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3.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ealer pipeline" sheetId="2" state="visible" r:id="rId2"/>
    <sheet xmlns:r="http://schemas.openxmlformats.org/officeDocument/2006/relationships" name="My equipment" sheetId="3" state="visible" r:id="rId3"/>
    <sheet xmlns:r="http://schemas.openxmlformats.org/officeDocument/2006/relationships" name="Dashboard" sheetId="4" state="visible" r:id="rId4"/>
    <sheet xmlns:r="http://schemas.openxmlformats.org/officeDocument/2006/relationships" name="Email templates" sheetId="5" state="visible" r:id="rId5"/>
    <sheet xmlns:r="http://schemas.openxmlformats.org/officeDocument/2006/relationships" name="Import to ExpiryEdge" sheetId="6" state="visible" r:id="rId6"/>
    <sheet xmlns:r="http://schemas.openxmlformats.org/officeDocument/2006/relationships" name="Lists" sheetId="7" state="visible" r:id="rId7"/>
    <sheet xmlns:r="http://schemas.openxmlformats.org/officeDocument/2006/relationships" name="_calc" sheetId="8" state="hidden" r:id="rId8"/>
  </sheets>
  <definedNames>
    <definedName name="_xlnm.Print_Area" localSheetId="0">'Start here'!$A$1:$C$113</definedName>
    <definedName name="_xlnm.Print_Area" localSheetId="1">OFFSET('Dealer pipeline'!$A$1,0,0,MAX(4,COUNTA('Dealer pipeline'!$A$1:$A$503)),20)</definedName>
    <definedName name="_xlnm.Print_Titles" localSheetId="1">'Dealer pipeline'!$3:$3</definedName>
    <definedName name="_xlnm.Print_Area" localSheetId="2">OFFSET('My equipment'!$A$1,0,0,MAX(4,COUNTA('My equipment'!$A$1:$A$503)),25)</definedName>
    <definedName name="_xlnm.Print_Titles" localSheetId="2">'My equipment'!$3:$3</definedName>
    <definedName name="_xlnm.Print_Area" localSheetId="3">'Dashboard'!$A$1:$I$59</definedName>
    <definedName name="_xlnm.Print_Titles" localSheetId="4">'Email templates'!$4:$4</definedName>
    <definedName name="_xlnm.Print_Area" localSheetId="4">'Email templates'!$A$1:$E$12</definedName>
    <definedName name="_xlnm.Print_Area" localSheetId="5">OFFSET('Import to ExpiryEdge'!$A$1,0,0,MAX(2,COUNTIF('Import to ExpiryEdge'!$A$1:$A$1001,"?*")),11)</definedName>
    <definedName name="_xlnm.Print_Titles" localSheetId="5">'Import to ExpiryEdge'!$1:$1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19">
    <font>
      <name val="Calibri"/>
      <family val="2"/>
      <color theme="1"/>
      <sz val="11"/>
      <scheme val="minor"/>
    </font>
    <font>
      <name val="Arial"/>
      <b val="1"/>
      <color rgb="00FFFFFF"/>
      <sz val="10"/>
    </font>
    <font>
      <name val="Arial"/>
      <color rgb="001F2A24"/>
      <sz val="10"/>
    </font>
    <font>
      <name val="Arial"/>
      <b val="1"/>
      <color rgb="001F2A24"/>
      <sz val="10"/>
    </font>
    <font>
      <name val="Arial"/>
      <color rgb="005F675C"/>
      <sz val="9"/>
    </font>
    <font>
      <name val="Arial"/>
      <b val="1"/>
      <color rgb="001F2A24"/>
      <sz val="15"/>
    </font>
    <font>
      <name val="Arial"/>
      <b val="1"/>
      <color rgb="001F2A24"/>
      <sz val="16"/>
    </font>
    <font>
      <name val="Arial"/>
      <b val="1"/>
      <color rgb="001F2A24"/>
      <sz val="12"/>
    </font>
    <font>
      <name val="Arial"/>
      <b val="1"/>
      <color rgb="001F2A24"/>
      <sz val="11"/>
    </font>
    <font>
      <name val="Arial"/>
      <b val="1"/>
      <color rgb="0017693A"/>
      <sz val="10"/>
    </font>
    <font>
      <name val="Arial"/>
      <b val="1"/>
      <color rgb="005F675C"/>
      <sz val="10"/>
    </font>
    <font>
      <name val="Arial"/>
      <b val="1"/>
      <color rgb="008A5A13"/>
      <sz val="10"/>
    </font>
    <font>
      <name val="Arial"/>
      <b val="1"/>
      <color rgb="00B03A21"/>
      <sz val="10"/>
    </font>
    <font>
      <name val="Arial"/>
      <color rgb="005F675C"/>
      <sz val="10"/>
    </font>
    <font>
      <name val="Arial"/>
      <color rgb="00434B45"/>
      <sz val="10"/>
    </font>
    <font>
      <name val="Arial"/>
      <b val="1"/>
      <color rgb="001F2A24"/>
      <sz val="20"/>
    </font>
    <font>
      <name val="Arial"/>
      <color rgb="00434B45"/>
      <sz val="11"/>
    </font>
    <font>
      <name val="Arial"/>
      <b val="1"/>
      <color rgb="001F2A24"/>
      <sz val="13"/>
    </font>
    <font>
      <name val="Arial"/>
      <color rgb="000E6B4F"/>
      <sz val="9"/>
      <u val="single"/>
    </font>
  </fonts>
  <fills count="11">
    <fill>
      <patternFill/>
    </fill>
    <fill>
      <patternFill patternType="gray125"/>
    </fill>
    <fill>
      <patternFill patternType="solid">
        <fgColor rgb="000E6B4F"/>
        <bgColor rgb="000E6B4F"/>
      </patternFill>
    </fill>
    <fill>
      <patternFill patternType="solid">
        <fgColor rgb="0035584B"/>
        <bgColor rgb="0035584B"/>
      </patternFill>
    </fill>
    <fill>
      <patternFill patternType="solid">
        <fgColor rgb="00F1F4EF"/>
        <bgColor rgb="00F1F4EF"/>
      </patternFill>
    </fill>
    <fill>
      <patternFill patternType="solid">
        <fgColor rgb="00D8F0DC"/>
        <bgColor rgb="00D8F0DC"/>
      </patternFill>
    </fill>
    <fill>
      <patternFill patternType="solid">
        <fgColor rgb="00ECEDE8"/>
        <bgColor rgb="00ECEDE8"/>
      </patternFill>
    </fill>
    <fill>
      <patternFill patternType="solid">
        <fgColor rgb="00FCEFD4"/>
        <bgColor rgb="00FCEFD4"/>
      </patternFill>
    </fill>
    <fill>
      <patternFill patternType="solid">
        <fgColor rgb="00F8DFD8"/>
        <bgColor rgb="00F8DFD8"/>
      </patternFill>
    </fill>
    <fill>
      <patternFill patternType="solid">
        <fgColor rgb="00E3F3E9"/>
        <bgColor rgb="00E3F3E9"/>
      </patternFill>
    </fill>
    <fill>
      <patternFill patternType="solid">
        <fgColor rgb="00FEF7E7"/>
        <bgColor rgb="00FEF7E7"/>
      </patternFill>
    </fill>
  </fills>
  <borders count="4">
    <border>
      <left/>
      <right/>
      <top/>
      <bottom/>
      <diagonal/>
    </border>
    <border>
      <left style="thin">
        <color rgb="00E0E2DA"/>
      </left>
      <right style="thin">
        <color rgb="00E0E2DA"/>
      </right>
      <top style="thin">
        <color rgb="00E0E2DA"/>
      </top>
      <bottom style="thin">
        <color rgb="00E0E2DA"/>
      </bottom>
    </border>
    <border>
      <bottom style="hair">
        <color rgb="00E0E2DA"/>
      </bottom>
    </border>
    <border>
      <bottom style="thin">
        <color rgb="00E0E2DA"/>
      </bottom>
    </border>
  </borders>
  <cellStyleXfs count="1">
    <xf numFmtId="0" fontId="0" fillId="0" borderId="0"/>
  </cellStyleXfs>
  <cellXfs count="56">
    <xf numFmtId="0" fontId="0" fillId="0" borderId="0" pivotButton="0" quotePrefix="0" xfId="0"/>
    <xf numFmtId="0" fontId="15" fillId="0" borderId="0" pivotButton="0" quotePrefix="0" xfId="0"/>
    <xf numFmtId="0" fontId="16" fillId="0" borderId="0" pivotButton="0" quotePrefix="0" xfId="0"/>
    <xf numFmtId="0" fontId="4" fillId="0" borderId="0" pivotButton="0" quotePrefix="0" xfId="0"/>
    <xf numFmtId="0" fontId="17" fillId="0" borderId="0" pivotButton="0" quotePrefix="0" xfId="0"/>
    <xf numFmtId="0" fontId="3" fillId="0" borderId="0" applyAlignment="1" pivotButton="0" quotePrefix="0" xfId="0">
      <alignment vertical="top" wrapText="1"/>
    </xf>
    <xf numFmtId="0" fontId="14" fillId="0" borderId="0" applyAlignment="1" pivotButton="0" quotePrefix="0" xfId="0">
      <alignment vertical="top" wrapText="1"/>
    </xf>
    <xf numFmtId="0" fontId="4" fillId="0" borderId="0" applyAlignment="1" pivotButton="0" quotePrefix="0" xfId="0">
      <alignment vertical="top" wrapText="1"/>
    </xf>
    <xf numFmtId="0" fontId="3" fillId="9" borderId="3" pivotButton="0" quotePrefix="0" xfId="0"/>
    <xf numFmtId="165" fontId="3" fillId="0" borderId="3" applyAlignment="1" pivotButton="0" quotePrefix="0" xfId="0">
      <alignment horizontal="left"/>
    </xf>
    <xf numFmtId="1" fontId="3" fillId="0" borderId="3" applyAlignment="1" pivotButton="0" quotePrefix="0" xfId="0">
      <alignment horizontal="left"/>
    </xf>
    <xf numFmtId="0" fontId="3" fillId="4" borderId="3" pivotButton="0" quotePrefix="0" xfId="0"/>
    <xf numFmtId="0" fontId="3" fillId="0" borderId="3" applyAlignment="1" pivotButton="0" quotePrefix="0" xfId="0">
      <alignment horizontal="left"/>
    </xf>
    <xf numFmtId="0" fontId="12" fillId="8" borderId="0" pivotButton="0" quotePrefix="0" xfId="0"/>
    <xf numFmtId="0" fontId="14" fillId="0" borderId="0" pivotButton="0" quotePrefix="0" xfId="0"/>
    <xf numFmtId="0" fontId="11" fillId="7" borderId="0" pivotButton="0" quotePrefix="0" xfId="0"/>
    <xf numFmtId="0" fontId="10" fillId="6" borderId="0" pivotButton="0" quotePrefix="0" xfId="0"/>
    <xf numFmtId="0" fontId="11" fillId="10" borderId="0" pivotButton="0" quotePrefix="0" xfId="0"/>
    <xf numFmtId="0" fontId="1" fillId="3" borderId="0" pivotButton="0" quotePrefix="0" xfId="0"/>
    <xf numFmtId="0" fontId="1" fillId="2" borderId="0" pivotButton="0" quotePrefix="0" xfId="0"/>
    <xf numFmtId="0" fontId="3" fillId="0" borderId="3" applyAlignment="1" pivotButton="0" quotePrefix="0" xfId="0">
      <alignment vertical="top" wrapText="1"/>
    </xf>
    <xf numFmtId="0" fontId="14" fillId="0" borderId="3" applyAlignment="1" pivotButton="0" quotePrefix="0" xfId="0">
      <alignment vertical="top" wrapText="1"/>
    </xf>
    <xf numFmtId="0" fontId="3" fillId="4" borderId="3" applyAlignment="1" pivotButton="0" quotePrefix="0" xfId="0">
      <alignment vertical="top" wrapText="1"/>
    </xf>
    <xf numFmtId="0" fontId="18" fillId="0" borderId="0" pivotButton="0" quotePrefix="0" xfId="0"/>
    <xf numFmtId="0" fontId="5" fillId="0" borderId="0" pivotButton="0" quotePrefix="0" xfId="0"/>
    <xf numFmtId="0" fontId="1" fillId="2" borderId="1" applyAlignment="1" pivotButton="0" quotePrefix="0" xfId="0">
      <alignment vertical="center" wrapText="1"/>
    </xf>
    <xf numFmtId="0" fontId="1" fillId="3" borderId="1" applyAlignment="1" pivotButton="0" quotePrefix="0" xfId="0">
      <alignment vertical="center" wrapText="1"/>
    </xf>
    <xf numFmtId="0" fontId="2" fillId="0" borderId="2" pivotButton="0" quotePrefix="0" xfId="0"/>
    <xf numFmtId="165" fontId="2" fillId="0" borderId="2" applyAlignment="1" pivotButton="0" quotePrefix="0" xfId="0">
      <alignment horizontal="left"/>
    </xf>
    <xf numFmtId="165" fontId="2" fillId="4" borderId="2" applyAlignment="1" pivotButton="0" quotePrefix="0" xfId="0">
      <alignment horizontal="left"/>
    </xf>
    <xf numFmtId="1" fontId="2" fillId="0" borderId="2" applyAlignment="1" pivotButton="0" quotePrefix="0" xfId="0">
      <alignment horizontal="right"/>
    </xf>
    <xf numFmtId="1" fontId="2" fillId="4" borderId="2" applyAlignment="1" pivotButton="0" quotePrefix="0" xfId="0">
      <alignment horizontal="right"/>
    </xf>
    <xf numFmtId="0" fontId="2" fillId="4" borderId="2" pivotButton="0" quotePrefix="0" xfId="0"/>
    <xf numFmtId="0" fontId="6" fillId="0" borderId="0" pivotButton="0" quotePrefix="0" xfId="0"/>
    <xf numFmtId="165" fontId="4" fillId="0" borderId="0" applyAlignment="1" pivotButton="0" quotePrefix="0" xfId="0">
      <alignment horizontal="left"/>
    </xf>
    <xf numFmtId="0" fontId="7" fillId="0" borderId="0" pivotButton="0" quotePrefix="0" xfId="0"/>
    <xf numFmtId="0" fontId="1" fillId="2" borderId="0" applyAlignment="1" pivotButton="0" quotePrefix="0" xfId="0">
      <alignment horizontal="left"/>
    </xf>
    <xf numFmtId="0" fontId="1" fillId="2" borderId="0" applyAlignment="1" pivotButton="0" quotePrefix="0" xfId="0">
      <alignment horizontal="right"/>
    </xf>
    <xf numFmtId="0" fontId="0" fillId="0" borderId="3" pivotButton="0" quotePrefix="0" xfId="0"/>
    <xf numFmtId="0" fontId="3" fillId="0" borderId="3" pivotButton="0" quotePrefix="0" xfId="0"/>
    <xf numFmtId="1" fontId="8" fillId="0" borderId="3" pivotButton="0" quotePrefix="0" xfId="0"/>
    <xf numFmtId="0" fontId="9" fillId="5" borderId="3" pivotButton="0" quotePrefix="0" xfId="0"/>
    <xf numFmtId="0" fontId="10" fillId="6" borderId="3" pivotButton="0" quotePrefix="0" xfId="0"/>
    <xf numFmtId="0" fontId="11" fillId="7" borderId="3" pivotButton="0" quotePrefix="0" xfId="0"/>
    <xf numFmtId="0" fontId="12" fillId="8" borderId="3" pivotButton="0" quotePrefix="0" xfId="0"/>
    <xf numFmtId="9" fontId="8" fillId="0" borderId="3" pivotButton="0" quotePrefix="0" xfId="0"/>
    <xf numFmtId="0" fontId="1" fillId="2" borderId="0" applyAlignment="1" pivotButton="0" quotePrefix="0" xfId="0">
      <alignment vertical="center" wrapText="1"/>
    </xf>
    <xf numFmtId="0" fontId="13" fillId="0" borderId="3" applyAlignment="1" pivotButton="0" quotePrefix="0" xfId="0">
      <alignment horizontal="center"/>
    </xf>
    <xf numFmtId="0" fontId="2" fillId="0" borderId="3" pivotButton="0" quotePrefix="0" xfId="0"/>
    <xf numFmtId="165" fontId="2" fillId="0" borderId="3" applyAlignment="1" pivotButton="0" quotePrefix="0" xfId="0">
      <alignment horizontal="left"/>
    </xf>
    <xf numFmtId="1" fontId="3" fillId="0" borderId="3" pivotButton="0" quotePrefix="0" xfId="0"/>
    <xf numFmtId="0" fontId="2" fillId="0" borderId="3" applyAlignment="1" pivotButton="0" quotePrefix="0" xfId="0">
      <alignment horizontal="left"/>
    </xf>
    <xf numFmtId="0" fontId="1" fillId="2" borderId="0" applyAlignment="1" pivotButton="0" quotePrefix="0" xfId="0">
      <alignment vertical="center"/>
    </xf>
    <xf numFmtId="0" fontId="2" fillId="0" borderId="3"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8">
    <dxf>
      <font>
        <b val="1"/>
        <color rgb="00B03A21"/>
      </font>
      <fill>
        <patternFill patternType="solid">
          <fgColor rgb="00F8DFD8"/>
          <bgColor rgb="00F8DFD8"/>
        </patternFill>
      </fill>
    </dxf>
    <dxf>
      <font>
        <b val="1"/>
        <color rgb="008A5A13"/>
      </font>
      <fill>
        <patternFill patternType="solid">
          <fgColor rgb="00FCEFD4"/>
          <bgColor rgb="00FCEFD4"/>
        </patternFill>
      </fill>
    </dxf>
    <dxf>
      <font>
        <color rgb="008A5A13"/>
      </font>
      <fill>
        <patternFill patternType="solid">
          <fgColor rgb="00FEF7E7"/>
          <bgColor rgb="00FEF7E7"/>
        </patternFill>
      </fill>
    </dxf>
    <dxf>
      <font>
        <color rgb="0017693A"/>
      </font>
      <fill>
        <patternFill patternType="solid">
          <fgColor rgb="00D8F0DC"/>
          <bgColor rgb="00D8F0DC"/>
        </patternFill>
      </fill>
    </dxf>
    <dxf>
      <font>
        <color rgb="008A5A13"/>
      </font>
      <fill>
        <patternFill patternType="solid">
          <fgColor rgb="00FCEFD4"/>
          <bgColor rgb="00FCEFD4"/>
        </patternFill>
      </fill>
    </dxf>
    <dxf>
      <font>
        <color rgb="005F675C"/>
      </font>
      <fill>
        <patternFill patternType="solid">
          <fgColor rgb="00ECEDE8"/>
          <bgColor rgb="00ECEDE8"/>
        </patternFill>
      </fill>
    </dxf>
    <dxf>
      <font>
        <i val="1"/>
        <color rgb="007A8178"/>
      </font>
    </dxf>
    <dxf>
      <fill>
        <patternFill patternType="solid">
          <fgColor rgb="00F7F8F4"/>
          <bgColor rgb="00F7F8F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ExpiryEdge</author>
  </authors>
  <commentList>
    <comment ref="C24" authorId="0" shapeId="0">
      <text>
        <t>Typed.</t>
      </text>
    </comment>
    <comment ref="C25" authorId="0" shapeId="0">
      <text>
        <t>Typed.</t>
      </text>
    </comment>
    <comment ref="C26" authorId="0" shapeId="0">
      <text>
        <t>Typed.</t>
      </text>
    </comment>
    <comment ref="C27" authorId="0" shapeId="0">
      <text>
        <t>Fixed date so the example never changes. The tracker uses TODAY().</t>
      </text>
    </comment>
    <comment ref="C28" authorId="0" shapeId="0">
      <text>
        <t>Typed.</t>
      </text>
    </comment>
    <comment ref="C29" authorId="0" shapeId="0">
      <text>
        <t>=EDATE(start, parts months)</t>
      </text>
    </comment>
    <comment ref="C30" authorId="0" shapeId="0">
      <text>
        <t>=EDATE(start, labor months)</t>
      </text>
    </comment>
    <comment ref="C31" authorId="0" shapeId="0">
      <text>
        <t>Earlier end while it is ahead.</t>
      </text>
    </comment>
    <comment ref="C32" authorId="0" shapeId="0">
      <text>
        <t>Next end minus today.</t>
      </text>
    </comment>
    <comment ref="C33" authorId="0" shapeId="0">
      <text>
        <t>Labor end minus today.</t>
      </text>
    </comment>
    <comment ref="C34" authorId="0" shapeId="0">
      <text>
        <t>Same thresholds as column O.</t>
      </text>
    </comment>
    <comment ref="C35" authorId="0" shapeId="0">
      <text>
        <t>Touch due differs from Last touch sent.</t>
      </text>
    </comment>
  </commentList>
</comments>
</file>

<file path=xl/comments/comment2.xml><?xml version="1.0" encoding="utf-8"?>
<comments xmlns="http://schemas.openxmlformats.org/spreadsheetml/2006/main">
  <authors>
    <author>ExpiryEdge</author>
  </authors>
  <commentList>
    <comment ref="A3" authorId="0" shapeId="0">
      <text>
        <t>Account name and site, e.g. "Sample Print Co, Main St". (Required for import.)</t>
      </text>
    </comment>
    <comment ref="B3" authorId="0" shapeId="0">
      <text>
        <t>The customer contact who approves purchases. The emails go here.</t>
      </text>
    </comment>
    <comment ref="C3" authorId="0" shapeId="0">
      <text>
        <t>Make and model. Decides which cover plans apply.</t>
      </text>
    </comment>
    <comment ref="D3" authorId="0" shapeId="0">
      <text>
        <t>The unit the warranty covers. One row per serial number, never one row per customer.</t>
      </text>
    </comment>
    <comment ref="E3" authorId="0" shapeId="0">
      <text>
        <t>From the install or commissioning job sheet. If you only have the invoice date, put it in Invoice date and note "install date estimated" in Notes.</t>
      </text>
    </comment>
    <comment ref="F3" authorId="0" shapeId="0">
      <text>
        <t>From accounting.</t>
      </text>
    </comment>
    <comment ref="G3" authorId="0" shapeId="0">
      <text>
        <t>Which date the manufacturer program counts cover from: Install or Invoice. Check the program terms. Blank counts as Install.</t>
      </text>
    </comment>
    <comment ref="H3" authorId="0" shapeId="0">
      <text>
        <t>Calculated. The invoice date if Start rule is Invoice, otherwise the install date.</t>
      </text>
    </comment>
    <comment ref="I3" authorId="0" shapeId="0">
      <text>
        <t>Months of parts (or printhead) cover, e.g. 12. Leave blank if there is only one kind of cover and use Labor months.</t>
      </text>
    </comment>
    <comment ref="J3" authorId="0" shapeId="0">
      <text>
        <t>Calculated with EDATE: warranty start plus parts months.</t>
      </text>
    </comment>
    <comment ref="K3" authorId="0" shapeId="0">
      <text>
        <t>Months of labor (or electrical) cover, e.g. 18.</t>
      </text>
    </comment>
    <comment ref="L3" authorId="0" shapeId="0">
      <text>
        <t>Calculated with EDATE: warranty start plus labor months.</t>
      </text>
    </comment>
    <comment ref="M3" authorId="0" shapeId="0">
      <text>
        <t>Calculated. The earlier end date while it is still ahead; once it passes, the later one. Split cover runs from whichever ends first.</t>
      </text>
    </comment>
    <comment ref="N3" authorId="0" shapeId="0">
      <text>
        <t>Calculated. Days from today to Next end; negative once it has passed.</t>
      </text>
    </comment>
    <comment ref="O3" authorId="0" shapeId="0">
      <text>
        <t>Calculated. 90, 60, 30 or 7: the touch the row is in now. "Lapsed" once the end date has passed. Blank when Taken or Declined, or more than 90 days out.</t>
      </text>
    </comment>
    <comment ref="P3" authorId="0" shapeId="0">
      <text>
        <t>Dropdown: 90, 60, 30 or 7. Update it when you send a touch. The row stays amber until it matches Touch due.</t>
      </text>
    </comment>
    <comment ref="Q3" authorId="0" shapeId="0">
      <text>
        <t>Dropdown: Offer due, Offered, Taken or Declined. Taken turns the row gray; add the new contract as its own row.</t>
      </text>
    </comment>
    <comment ref="R3" authorId="0" shapeId="0">
      <text>
        <t>The account manager who sends the offer.</t>
      </text>
    </comment>
    <comment ref="S3" authorId="0" shapeId="0">
      <text>
        <t>Covers vacations and staff changes.</t>
      </text>
    </comment>
    <comment ref="T3" authorId="0" shapeId="0">
      <text>
        <t>Quote number, decline reason, "install date estimated from invoice" and so on.</t>
      </text>
    </comment>
  </commentList>
</comments>
</file>

<file path=xl/comments/comment3.xml><?xml version="1.0" encoding="utf-8"?>
<comments xmlns="http://schemas.openxmlformats.org/spreadsheetml/2006/main">
  <authors>
    <author>ExpiryEdge</author>
  </authors>
  <commentList>
    <comment ref="A3" authorId="0" shapeId="0">
      <text>
        <t>What the equipment is and where, e.g. "Office copier, 2nd floor". (Required for import.)</t>
      </text>
    </comment>
    <comment ref="B3" authorId="0" shapeId="0">
      <text>
        <t>For filtering. Edit the list on the Lists sheet.</t>
      </text>
    </comment>
    <comment ref="C3" authorId="0" shapeId="0">
      <text>
        <t>Make and model. Decides which cover plans apply.</t>
      </text>
    </comment>
    <comment ref="D3" authorId="0" shapeId="0">
      <text>
        <t>The unit the warranty covers. One row per serial number, never one row per customer.</t>
      </text>
    </comment>
    <comment ref="E3" authorId="0" shapeId="0">
      <text>
        <t>From the install or commissioning job sheet. If you only have the invoice date, put it in Invoice date and note "install date estimated" in Notes.</t>
      </text>
    </comment>
    <comment ref="F3" authorId="0" shapeId="0">
      <text>
        <t>From accounting.</t>
      </text>
    </comment>
    <comment ref="G3" authorId="0" shapeId="0">
      <text>
        <t>Which date the manufacturer program counts cover from: Install or Invoice. Check the program terms. Blank counts as Install.</t>
      </text>
    </comment>
    <comment ref="H3" authorId="0" shapeId="0">
      <text>
        <t>Calculated. The invoice date if Start rule is Invoice, otherwise the install date.</t>
      </text>
    </comment>
    <comment ref="I3" authorId="0" shapeId="0">
      <text>
        <t>Months of parts (or printhead) cover, e.g. 12. Leave blank if there is only one kind of cover and use Labor months.</t>
      </text>
    </comment>
    <comment ref="J3" authorId="0" shapeId="0">
      <text>
        <t>Calculated with EDATE: warranty start plus parts months.</t>
      </text>
    </comment>
    <comment ref="K3" authorId="0" shapeId="0">
      <text>
        <t>Months of labor (or electrical) cover, e.g. 18.</t>
      </text>
    </comment>
    <comment ref="L3" authorId="0" shapeId="0">
      <text>
        <t>Calculated with EDATE: warranty start plus labor months.</t>
      </text>
    </comment>
    <comment ref="M3" authorId="0" shapeId="0">
      <text>
        <t>Calculated. The earlier end date while it is still ahead; once it passes, the later one. Split cover runs from whichever ends first.</t>
      </text>
    </comment>
    <comment ref="N3" authorId="0" shapeId="0">
      <text>
        <t>Calculated. Days from today to Next end; negative once it has passed.</t>
      </text>
    </comment>
    <comment ref="O3" authorId="0" shapeId="0">
      <text>
        <t>How many days before Next end you want to check the equipment and report faults. Leave blank for 60 (our suggestion, so covered faults are fixed while still covered).</t>
      </text>
    </comment>
    <comment ref="P3" authorId="0" shapeId="0">
      <text>
        <t>Calculated. Next end minus the check window: book the check, and report any fault, from this date.</t>
      </text>
    </comment>
    <comment ref="Q3" authorId="0" shapeId="0">
      <text>
        <t>Dropdown: Check due, Claim open, Claim settled, No claim needed or Cover extended. The last three turn the row gray.</t>
      </text>
    </comment>
    <comment ref="R3" authorId="0" shapeId="0">
      <text>
        <t>Who takes warranty claims: the dealer, the manufacturer or a service agent.</t>
      </text>
    </comment>
    <comment ref="S3" authorId="0" shapeId="0">
      <text>
        <t>Where to report a fault or send a claim.</t>
      </text>
    </comment>
    <comment ref="T3" authorId="0" shapeId="0">
      <text>
        <t>Who in your team should be reminded. Becomes notification_email on import.</t>
      </text>
    </comment>
    <comment ref="U3" authorId="0" shapeId="0">
      <text>
        <t>Has the product been registered with the manufacturer, if the program asks for it?</t>
      </text>
    </comment>
    <comment ref="V3" authorId="0" shapeId="0">
      <text>
        <t>Do you hold the warranty certificate and invoice? Claims usually need them.</t>
      </text>
    </comment>
    <comment ref="W3" authorId="0" shapeId="0">
      <text>
        <t>The supplier's reference for an open claim.</t>
      </text>
    </comment>
    <comment ref="X3" authorId="0" shapeId="0">
      <text>
        <t>Link to the warranty certificate, invoice or contract in your shared drive.</t>
      </text>
    </comment>
    <comment ref="Y3" authorId="0" shapeId="0">
      <text>
        <t>Faults to report, what the supplier said, estimated dates.</t>
      </text>
    </comment>
  </commentList>
</comments>
</file>

<file path=xl/comments/comment4.xml><?xml version="1.0" encoding="utf-8"?>
<comments xmlns="http://schemas.openxmlformats.org/spreadsheetml/2006/main">
  <authors>
    <author>ExpiryEdge</author>
  </authors>
  <commentList>
    <comment ref="A1" authorId="0" shapeId="0">
      <text>
        <t>This sheet fills itself from the tracker. Only rows with a name and a date appear. In ExpiryEdge, go to Bulk Import and upload this .xlsx (choose this sheet), or save this sheet as CSV first. Required columns: name, expiry_date, type.</t>
      </text>
    </comment>
  </commentList>
</comments>
</file>

<file path=xl/tables/table1.xml><?xml version="1.0" encoding="utf-8"?>
<table xmlns="http://schemas.openxmlformats.org/spreadsheetml/2006/main" id="1" name="tblDealerPipeline" displayName="tblDealerPipeline" ref="A3:T503" headerRowCount="1">
  <autoFilter ref="A3:T503"/>
  <tableColumns count="20">
    <tableColumn id="1" name="Customer"/>
    <tableColumn id="2" name="Contact email"/>
    <tableColumn id="3" name="Model"/>
    <tableColumn id="4" name="Serial number"/>
    <tableColumn id="5" name="Install date"/>
    <tableColumn id="6" name="Invoice date"/>
    <tableColumn id="7" name="Start rule"/>
    <tableColumn id="8" name="Warranty start"/>
    <tableColumn id="9" name="Parts months"/>
    <tableColumn id="10" name="Parts end"/>
    <tableColumn id="11" name="Labor months"/>
    <tableColumn id="12" name="Labor end"/>
    <tableColumn id="13" name="Next end"/>
    <tableColumn id="14" name="Days left"/>
    <tableColumn id="15" name="Touch due"/>
    <tableColumn id="16" name="Last touch sent"/>
    <tableColumn id="17" name="Status"/>
    <tableColumn id="18" name="Owner"/>
    <tableColumn id="19" name="Backup"/>
    <tableColumn id="20" name="Notes"/>
  </tableColumns>
  <tableStyleInfo name="TableStyleLight1" showFirstColumn="0" showLastColumn="0" showRowStripes="0" showColumnStripes="0"/>
</table>
</file>

<file path=xl/tables/table2.xml><?xml version="1.0" encoding="utf-8"?>
<table xmlns="http://schemas.openxmlformats.org/spreadsheetml/2006/main" id="2" name="tblMyEquipment" displayName="tblMyEquipment" ref="A3:Y503" headerRowCount="1">
  <autoFilter ref="A3:Y503"/>
  <tableColumns count="25">
    <tableColumn id="1" name="Asset"/>
    <tableColumn id="2" name="Category"/>
    <tableColumn id="3" name="Model"/>
    <tableColumn id="4" name="Serial number"/>
    <tableColumn id="5" name="Install date"/>
    <tableColumn id="6" name="Invoice date"/>
    <tableColumn id="7" name="Start rule"/>
    <tableColumn id="8" name="Warranty start"/>
    <tableColumn id="9" name="Parts months"/>
    <tableColumn id="10" name="Parts end"/>
    <tableColumn id="11" name="Labor months"/>
    <tableColumn id="12" name="Labor end"/>
    <tableColumn id="13" name="Next end"/>
    <tableColumn id="14" name="Days left"/>
    <tableColumn id="15" name="Check window (days)"/>
    <tableColumn id="16" name="Check-by date"/>
    <tableColumn id="17" name="Claim status"/>
    <tableColumn id="18" name="Supplier / claims contact"/>
    <tableColumn id="19" name="Claims email"/>
    <tableColumn id="20" name="Owner email"/>
    <tableColumn id="21" name="Registered?"/>
    <tableColumn id="22" name="Proof on file?"/>
    <tableColumn id="23" name="Claim / ticket ref"/>
    <tableColumn id="24" name="Document link"/>
    <tableColumn id="2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xpiryedge.com/templates/warranty-service-contract-tracker/"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0E6B4F"/>
    <outlinePr summaryBelow="1" summaryRight="1"/>
    <pageSetUpPr fitToPage="1"/>
  </sheetPr>
  <dimension ref="B2:C113"/>
  <sheetViews>
    <sheetView showGridLines="0" tabSelected="1" workbookViewId="0">
      <selection activeCell="A1" sqref="A1"/>
    </sheetView>
  </sheetViews>
  <sheetFormatPr baseColWidth="8" defaultRowHeight="15"/>
  <cols>
    <col width="3" customWidth="1" min="1" max="1"/>
    <col width="30" customWidth="1" min="2" max="2"/>
    <col width="96" customWidth="1" min="3" max="3"/>
  </cols>
  <sheetData>
    <row r="2">
      <c r="B2" s="1" t="inlineStr">
        <is>
          <t>Warranty &amp; service contract tracker</t>
        </is>
      </c>
    </row>
    <row r="3">
      <c r="B3" s="2" t="inlineStr">
        <is>
          <t>Warranty end dates per serial number, with a 90/60/30/7 renewal pipeline for dealers and a claim list for owners.</t>
        </is>
      </c>
    </row>
    <row r="4">
      <c r="B4" s="3" t="inlineStr">
        <is>
          <t>Free template · October 2026 edition · works in Excel, Google Sheets and LibreOffice</t>
        </is>
      </c>
    </row>
    <row r="6">
      <c r="B6" s="4" t="inlineStr">
        <is>
          <t>How to use it</t>
        </is>
      </c>
    </row>
    <row r="7" ht="48" customHeight="1">
      <c r="B7" s="5" t="inlineStr">
        <is>
          <t>1. Pick your mode</t>
        </is>
      </c>
      <c r="C7" s="6" t="inlineStr">
        <is>
          <t>Dealer: track customer machines on "Dealer pipeline" and sell extended warranties and service contracts. Owner: track your own equipment on "My equipment" and get faults fixed before cover ends. Use one sheet or both. Delete the rows that start with "Example –", or type over them.</t>
        </is>
      </c>
    </row>
    <row r="8" ht="48" customHeight="1">
      <c r="B8" s="5" t="inlineStr">
        <is>
          <t>2. One row per serial number</t>
        </is>
      </c>
      <c r="C8" s="6" t="inlineStr">
        <is>
          <t>Type the install date, invoice date, start rule and the months of each kind of cover. The sheet works out warranty start, parts end, labor end, the next end date and days left. A customer with eight machines has eight rows.</t>
        </is>
      </c>
    </row>
    <row r="9" ht="48" customHeight="1">
      <c r="B9" s="5" t="inlineStr">
        <is>
          <t>3. Work the touches</t>
        </is>
      </c>
      <c r="C9" s="6" t="inlineStr">
        <is>
          <t>Dealer: an amber row means a touch is due. Send the email from the "Email templates" sheet, then set Last touch sent and Status. Owner: an amber row is inside your check window. Book a check and report any fault while it is still covered.</t>
        </is>
      </c>
    </row>
    <row r="10" ht="33" customHeight="1">
      <c r="B10" s="5" t="inlineStr">
        <is>
          <t>4. Review weekly</t>
        </is>
      </c>
      <c r="C10" s="6" t="inlineStr">
        <is>
          <t>Open the Dashboard on a fixed day. It counts each status and lists the next 10 rows to act on, soonest first.</t>
        </is>
      </c>
    </row>
    <row r="12">
      <c r="B12" s="4" t="inlineStr">
        <is>
          <t>The 15-minute weekly review (dealers)</t>
        </is>
      </c>
    </row>
    <row r="13" ht="18" customHeight="1">
      <c r="B13" s="5" t="inlineStr">
        <is>
          <t>Sort and filter (2 min)</t>
        </is>
      </c>
      <c r="C13" s="6" t="inlineStr">
        <is>
          <t>Sort Dealer pipeline by Days left, smallest first, and hide Taken and Declined rows.</t>
        </is>
      </c>
    </row>
    <row r="14" ht="18" customHeight="1">
      <c r="B14" s="5" t="inlineStr">
        <is>
          <t>Send the amber rows (5 min)</t>
        </is>
      </c>
      <c r="C14" s="6" t="inlineStr">
        <is>
          <t>Send the touch shown in Touch due, then update Last touch sent and set Status to Offered.</t>
        </is>
      </c>
    </row>
    <row r="15" ht="18" customHeight="1">
      <c r="B15" s="5" t="inlineStr">
        <is>
          <t>Book the 7-day calls (3 min)</t>
        </is>
      </c>
      <c r="C15" s="6" t="inlineStr">
        <is>
          <t>Put a call in the owner's calendar for every row showing 7.</t>
        </is>
      </c>
    </row>
    <row r="16" ht="18" customHeight="1">
      <c r="B16" s="5" t="inlineStr">
        <is>
          <t>Clear lapsed rows (3 min)</t>
        </is>
      </c>
      <c r="C16" s="6" t="inlineStr">
        <is>
          <t>Record the decision, and send the rate card if the customer has not renewed.</t>
        </is>
      </c>
    </row>
    <row r="17" ht="18" customHeight="1">
      <c r="B17" s="5" t="inlineStr">
        <is>
          <t>Look ahead (2 min)</t>
        </is>
      </c>
      <c r="C17" s="6" t="inlineStr">
        <is>
          <t>Scan the next 120 days, book check visits, and check no owner is away when touches fall due.</t>
        </is>
      </c>
    </row>
    <row r="19">
      <c r="B19" s="4" t="inlineStr">
        <is>
          <t>Filling in missing install dates</t>
        </is>
      </c>
    </row>
    <row r="20" ht="48" customHeight="1">
      <c r="B20" s="5" t="inlineStr">
        <is>
          <t>Best to worst evidence</t>
        </is>
      </c>
      <c r="C20" s="6" t="inlineStr">
        <is>
          <t>1. Install or commissioning job sheet. 2. Delivery note. 3. Warranty registration record. 4. Ask the customer (their asset register or first service ticket). 5. Invoice date, as a last resort: write "install date estimated from invoice" in Notes.</t>
        </is>
      </c>
    </row>
    <row r="22">
      <c r="B22" s="4" t="inlineStr">
        <is>
          <t>Worked example: check the formulas</t>
        </is>
      </c>
    </row>
    <row r="23" ht="48" customHeight="1">
      <c r="B23" s="7" t="inlineStr">
        <is>
          <t>A wide-format printer installed on Mar 3, 2025, with 12 months of printhead cover and 18 months of electrical cover, looked at on Jan 21, 2026 (illustrative dates). These cells use the same formulas as the tracker, with a fixed "today" so the answer never changes: 41 days left on the next end date, 225 on the electrical cover, touch 60 due.</t>
        </is>
      </c>
    </row>
    <row r="24">
      <c r="B24" s="8" t="inlineStr">
        <is>
          <t>Install date</t>
        </is>
      </c>
      <c r="C24" s="9" t="n">
        <v>45719</v>
      </c>
    </row>
    <row r="25">
      <c r="B25" s="8" t="inlineStr">
        <is>
          <t>Parts months</t>
        </is>
      </c>
      <c r="C25" s="10" t="n">
        <v>12</v>
      </c>
    </row>
    <row r="26">
      <c r="B26" s="8" t="inlineStr">
        <is>
          <t>Labor months</t>
        </is>
      </c>
      <c r="C26" s="10" t="n">
        <v>18</v>
      </c>
    </row>
    <row r="27">
      <c r="B27" s="8" t="inlineStr">
        <is>
          <t>"Today" for this example</t>
        </is>
      </c>
      <c r="C27" s="9" t="n">
        <v>46043</v>
      </c>
    </row>
    <row r="28">
      <c r="B28" s="8" t="inlineStr">
        <is>
          <t>Last touch sent</t>
        </is>
      </c>
      <c r="C28" s="10" t="n">
        <v>90</v>
      </c>
    </row>
    <row r="29">
      <c r="B29" s="11" t="inlineStr">
        <is>
          <t>Parts end</t>
        </is>
      </c>
      <c r="C29" s="9">
        <f>EDATE(C24,C25)</f>
        <v/>
      </c>
    </row>
    <row r="30">
      <c r="B30" s="11" t="inlineStr">
        <is>
          <t>Labor end</t>
        </is>
      </c>
      <c r="C30" s="9">
        <f>EDATE(C24,C26)</f>
        <v/>
      </c>
    </row>
    <row r="31">
      <c r="B31" s="11" t="inlineStr">
        <is>
          <t>Next end</t>
        </is>
      </c>
      <c r="C31" s="9">
        <f>IF(MIN(C29,C30)&gt;=C27,MIN(C29,C30),MAX(C29,C30))</f>
        <v/>
      </c>
    </row>
    <row r="32">
      <c r="B32" s="11" t="inlineStr">
        <is>
          <t>Days left</t>
        </is>
      </c>
      <c r="C32" s="10">
        <f>C31-C27</f>
        <v/>
      </c>
    </row>
    <row r="33">
      <c r="B33" s="11" t="inlineStr">
        <is>
          <t>Days left on labor cover</t>
        </is>
      </c>
      <c r="C33" s="10">
        <f>C30-C27</f>
        <v/>
      </c>
    </row>
    <row r="34">
      <c r="B34" s="11" t="inlineStr">
        <is>
          <t>Touch due</t>
        </is>
      </c>
      <c r="C34" s="12">
        <f>IF(C32&lt;0,"Lapsed",IF(C32&lt;=7,7,IF(C32&lt;=30,30,IF(C32&lt;=60,60,IF(C32&lt;=90,90,"")))))</f>
        <v/>
      </c>
    </row>
    <row r="35">
      <c r="B35" s="11" t="inlineStr">
        <is>
          <t>Row colour</t>
        </is>
      </c>
      <c r="C35" s="12">
        <f>IF(AND(C34&lt;&gt;"",C34&amp;""&lt;&gt;C28&amp;""),"Amber: the 60-day quote is due","No colour")</f>
        <v/>
      </c>
    </row>
    <row r="37">
      <c r="B37" s="4" t="inlineStr">
        <is>
          <t>Colour key</t>
        </is>
      </c>
    </row>
    <row r="38">
      <c r="B38" s="13" t="inlineStr">
        <is>
          <t>Red row</t>
        </is>
      </c>
      <c r="C38" s="14" t="inlineStr">
        <is>
          <t>Dealer: 30 days or less and no decision yet. Owner: 30 days or less and the row is still open.</t>
        </is>
      </c>
    </row>
    <row r="39">
      <c r="B39" s="15" t="inlineStr">
        <is>
          <t>Amber row</t>
        </is>
      </c>
      <c r="C39" s="14" t="inlineStr">
        <is>
          <t>Dealer: a touch is due and has not been sent (Touch due differs from Last touch sent). Owner: inside your check window.</t>
        </is>
      </c>
    </row>
    <row r="40">
      <c r="B40" s="16" t="inlineStr">
        <is>
          <t>Gray row</t>
        </is>
      </c>
      <c r="C40" s="14" t="inlineStr">
        <is>
          <t>Dealer: Taken. Owner: Claim settled, No claim needed or Cover extended.</t>
        </is>
      </c>
    </row>
    <row r="41">
      <c r="B41" s="17" t="inlineStr">
        <is>
          <t>Next end / Days left</t>
        </is>
      </c>
      <c r="C41" s="14" t="inlineStr">
        <is>
          <t>These two cells also show the standard colours: red once passed, amber within 30 and pale amber within 90 days.</t>
        </is>
      </c>
    </row>
    <row r="42">
      <c r="B42" s="18" t="inlineStr">
        <is>
          <t>Calculated column</t>
        </is>
      </c>
      <c r="C42" s="14" t="inlineStr">
        <is>
          <t>Dark header and shaded cells: filled in by formula, no need to type.</t>
        </is>
      </c>
    </row>
    <row r="43">
      <c r="B43" s="19" t="inlineStr">
        <is>
          <t>Your input</t>
        </is>
      </c>
      <c r="C43" s="14" t="inlineStr">
        <is>
          <t>Green header: type here. Hover a header to see what it expects.</t>
        </is>
      </c>
    </row>
    <row r="45">
      <c r="B45" s="4" t="inlineStr">
        <is>
          <t>Columns on "Dealer pipeline"</t>
        </is>
      </c>
    </row>
    <row r="46">
      <c r="B46" s="19" t="inlineStr">
        <is>
          <t>Column</t>
        </is>
      </c>
      <c r="C46" s="19" t="inlineStr">
        <is>
          <t>What to enter</t>
        </is>
      </c>
    </row>
    <row r="47" ht="18" customHeight="1">
      <c r="B47" s="20" t="inlineStr">
        <is>
          <t>Customer *</t>
        </is>
      </c>
      <c r="C47" s="21" t="inlineStr">
        <is>
          <t>Account name and site, e.g. "Sample Print Co, Main St".</t>
        </is>
      </c>
    </row>
    <row r="48" ht="18" customHeight="1">
      <c r="B48" s="20" t="inlineStr">
        <is>
          <t>Contact email</t>
        </is>
      </c>
      <c r="C48" s="21" t="inlineStr">
        <is>
          <t>The customer contact who approves purchases. The emails go here.</t>
        </is>
      </c>
    </row>
    <row r="49" ht="18" customHeight="1">
      <c r="B49" s="20" t="inlineStr">
        <is>
          <t>Model</t>
        </is>
      </c>
      <c r="C49" s="21" t="inlineStr">
        <is>
          <t>Make and model. Decides which cover plans apply.</t>
        </is>
      </c>
    </row>
    <row r="50" ht="18" customHeight="1">
      <c r="B50" s="20" t="inlineStr">
        <is>
          <t>Serial number</t>
        </is>
      </c>
      <c r="C50" s="21" t="inlineStr">
        <is>
          <t>The unit the warranty covers. One row per serial number, never one row per customer.</t>
        </is>
      </c>
    </row>
    <row r="51" ht="33" customHeight="1">
      <c r="B51" s="20" t="inlineStr">
        <is>
          <t>Install date</t>
        </is>
      </c>
      <c r="C51" s="21" t="inlineStr">
        <is>
          <t>From the install or commissioning job sheet. If you only have the invoice date, put it in Invoice date and note "install date estimated" in Notes.</t>
        </is>
      </c>
    </row>
    <row r="52" ht="18" customHeight="1">
      <c r="B52" s="20" t="inlineStr">
        <is>
          <t>Invoice date</t>
        </is>
      </c>
      <c r="C52" s="21" t="inlineStr">
        <is>
          <t>From accounting.</t>
        </is>
      </c>
    </row>
    <row r="53" ht="33" customHeight="1">
      <c r="B53" s="20" t="inlineStr">
        <is>
          <t>Start rule</t>
        </is>
      </c>
      <c r="C53" s="21" t="inlineStr">
        <is>
          <t>Which date the manufacturer program counts cover from: Install or Invoice. Check the program terms. Blank counts as Install.</t>
        </is>
      </c>
    </row>
    <row r="54" ht="18" customHeight="1">
      <c r="B54" s="22" t="inlineStr">
        <is>
          <t>Warranty start</t>
        </is>
      </c>
      <c r="C54" s="21" t="inlineStr">
        <is>
          <t>Calculated. The invoice date if Start rule is Invoice, otherwise the install date.</t>
        </is>
      </c>
    </row>
    <row r="55" ht="33" customHeight="1">
      <c r="B55" s="20" t="inlineStr">
        <is>
          <t>Parts months</t>
        </is>
      </c>
      <c r="C55" s="21" t="inlineStr">
        <is>
          <t>Months of parts (or printhead) cover, e.g. 12. Leave blank if there is only one kind of cover and use Labor months.</t>
        </is>
      </c>
    </row>
    <row r="56" ht="18" customHeight="1">
      <c r="B56" s="22" t="inlineStr">
        <is>
          <t>Parts end</t>
        </is>
      </c>
      <c r="C56" s="21" t="inlineStr">
        <is>
          <t>Calculated with EDATE: warranty start plus parts months.</t>
        </is>
      </c>
    </row>
    <row r="57" ht="18" customHeight="1">
      <c r="B57" s="20" t="inlineStr">
        <is>
          <t>Labor months</t>
        </is>
      </c>
      <c r="C57" s="21" t="inlineStr">
        <is>
          <t>Months of labor (or electrical) cover, e.g. 18.</t>
        </is>
      </c>
    </row>
    <row r="58" ht="18" customHeight="1">
      <c r="B58" s="22" t="inlineStr">
        <is>
          <t>Labor end</t>
        </is>
      </c>
      <c r="C58" s="21" t="inlineStr">
        <is>
          <t>Calculated with EDATE: warranty start plus labor months.</t>
        </is>
      </c>
    </row>
    <row r="59" ht="33" customHeight="1">
      <c r="B59" s="22" t="inlineStr">
        <is>
          <t>Next end</t>
        </is>
      </c>
      <c r="C59" s="21" t="inlineStr">
        <is>
          <t>Calculated. The earlier end date while it is still ahead; once it passes, the later one. Split cover runs from whichever ends first.</t>
        </is>
      </c>
    </row>
    <row r="60" ht="18" customHeight="1">
      <c r="B60" s="22" t="inlineStr">
        <is>
          <t>Days left</t>
        </is>
      </c>
      <c r="C60" s="21" t="inlineStr">
        <is>
          <t>Calculated. Days from today to Next end; negative once it has passed.</t>
        </is>
      </c>
    </row>
    <row r="61" ht="33" customHeight="1">
      <c r="B61" s="22" t="inlineStr">
        <is>
          <t>Touch due</t>
        </is>
      </c>
      <c r="C61" s="21" t="inlineStr">
        <is>
          <t>Calculated. 90, 60, 30 or 7: the touch the row is in now. "Lapsed" once the end date has passed. Blank when Taken or Declined, or more than 90 days out.</t>
        </is>
      </c>
    </row>
    <row r="62" ht="33" customHeight="1">
      <c r="B62" s="20" t="inlineStr">
        <is>
          <t>Last touch sent</t>
        </is>
      </c>
      <c r="C62" s="21" t="inlineStr">
        <is>
          <t>Dropdown: 90, 60, 30 or 7. Update it when you send a touch. The row stays amber until it matches Touch due.</t>
        </is>
      </c>
    </row>
    <row r="63" ht="33" customHeight="1">
      <c r="B63" s="20" t="inlineStr">
        <is>
          <t>Status</t>
        </is>
      </c>
      <c r="C63" s="21" t="inlineStr">
        <is>
          <t>Dropdown: Offer due, Offered, Taken or Declined. Taken turns the row gray; add the new contract as its own row.</t>
        </is>
      </c>
    </row>
    <row r="64" ht="18" customHeight="1">
      <c r="B64" s="20" t="inlineStr">
        <is>
          <t>Owner</t>
        </is>
      </c>
      <c r="C64" s="21" t="inlineStr">
        <is>
          <t>The account manager who sends the offer.</t>
        </is>
      </c>
    </row>
    <row r="65" ht="18" customHeight="1">
      <c r="B65" s="20" t="inlineStr">
        <is>
          <t>Backup</t>
        </is>
      </c>
      <c r="C65" s="21" t="inlineStr">
        <is>
          <t>Covers vacations and staff changes.</t>
        </is>
      </c>
    </row>
    <row r="66" ht="18" customHeight="1">
      <c r="B66" s="20" t="inlineStr">
        <is>
          <t>Notes</t>
        </is>
      </c>
      <c r="C66" s="21" t="inlineStr">
        <is>
          <t>Quote number, decline reason, "install date estimated from invoice" and so on.</t>
        </is>
      </c>
    </row>
    <row r="67">
      <c r="B67" s="3" t="inlineStr">
        <is>
          <t>* needed for the import sheet.</t>
        </is>
      </c>
    </row>
    <row r="69">
      <c r="B69" s="4" t="inlineStr">
        <is>
          <t>Columns on "My equipment"</t>
        </is>
      </c>
    </row>
    <row r="70">
      <c r="B70" s="19" t="inlineStr">
        <is>
          <t>Column</t>
        </is>
      </c>
      <c r="C70" s="19" t="inlineStr">
        <is>
          <t>What to enter</t>
        </is>
      </c>
    </row>
    <row r="71" ht="18" customHeight="1">
      <c r="B71" s="20" t="inlineStr">
        <is>
          <t>Asset *</t>
        </is>
      </c>
      <c r="C71" s="21" t="inlineStr">
        <is>
          <t>What the equipment is and where, e.g. "Office copier, 2nd floor".</t>
        </is>
      </c>
    </row>
    <row r="72" ht="18" customHeight="1">
      <c r="B72" s="20" t="inlineStr">
        <is>
          <t>Category</t>
        </is>
      </c>
      <c r="C72" s="21" t="inlineStr">
        <is>
          <t>For filtering. Edit the list on the Lists sheet.</t>
        </is>
      </c>
    </row>
    <row r="73" ht="18" customHeight="1">
      <c r="B73" s="20" t="inlineStr">
        <is>
          <t>Model</t>
        </is>
      </c>
      <c r="C73" s="21" t="inlineStr">
        <is>
          <t>Make and model. Decides which cover plans apply.</t>
        </is>
      </c>
    </row>
    <row r="74" ht="18" customHeight="1">
      <c r="B74" s="20" t="inlineStr">
        <is>
          <t>Serial number</t>
        </is>
      </c>
      <c r="C74" s="21" t="inlineStr">
        <is>
          <t>The unit the warranty covers. One row per serial number, never one row per customer.</t>
        </is>
      </c>
    </row>
    <row r="75" ht="33" customHeight="1">
      <c r="B75" s="20" t="inlineStr">
        <is>
          <t>Install date</t>
        </is>
      </c>
      <c r="C75" s="21" t="inlineStr">
        <is>
          <t>From the install or commissioning job sheet. If you only have the invoice date, put it in Invoice date and note "install date estimated" in Notes.</t>
        </is>
      </c>
    </row>
    <row r="76" ht="18" customHeight="1">
      <c r="B76" s="20" t="inlineStr">
        <is>
          <t>Invoice date</t>
        </is>
      </c>
      <c r="C76" s="21" t="inlineStr">
        <is>
          <t>From accounting.</t>
        </is>
      </c>
    </row>
    <row r="77" ht="33" customHeight="1">
      <c r="B77" s="20" t="inlineStr">
        <is>
          <t>Start rule</t>
        </is>
      </c>
      <c r="C77" s="21" t="inlineStr">
        <is>
          <t>Which date the manufacturer program counts cover from: Install or Invoice. Check the program terms. Blank counts as Install.</t>
        </is>
      </c>
    </row>
    <row r="78" ht="18" customHeight="1">
      <c r="B78" s="22" t="inlineStr">
        <is>
          <t>Warranty start</t>
        </is>
      </c>
      <c r="C78" s="21" t="inlineStr">
        <is>
          <t>Calculated. The invoice date if Start rule is Invoice, otherwise the install date.</t>
        </is>
      </c>
    </row>
    <row r="79" ht="33" customHeight="1">
      <c r="B79" s="20" t="inlineStr">
        <is>
          <t>Parts months</t>
        </is>
      </c>
      <c r="C79" s="21" t="inlineStr">
        <is>
          <t>Months of parts (or printhead) cover, e.g. 12. Leave blank if there is only one kind of cover and use Labor months.</t>
        </is>
      </c>
    </row>
    <row r="80" ht="18" customHeight="1">
      <c r="B80" s="22" t="inlineStr">
        <is>
          <t>Parts end</t>
        </is>
      </c>
      <c r="C80" s="21" t="inlineStr">
        <is>
          <t>Calculated with EDATE: warranty start plus parts months.</t>
        </is>
      </c>
    </row>
    <row r="81" ht="18" customHeight="1">
      <c r="B81" s="20" t="inlineStr">
        <is>
          <t>Labor months</t>
        </is>
      </c>
      <c r="C81" s="21" t="inlineStr">
        <is>
          <t>Months of labor (or electrical) cover, e.g. 18.</t>
        </is>
      </c>
    </row>
    <row r="82" ht="18" customHeight="1">
      <c r="B82" s="22" t="inlineStr">
        <is>
          <t>Labor end</t>
        </is>
      </c>
      <c r="C82" s="21" t="inlineStr">
        <is>
          <t>Calculated with EDATE: warranty start plus labor months.</t>
        </is>
      </c>
    </row>
    <row r="83" ht="33" customHeight="1">
      <c r="B83" s="22" t="inlineStr">
        <is>
          <t>Next end</t>
        </is>
      </c>
      <c r="C83" s="21" t="inlineStr">
        <is>
          <t>Calculated. The earlier end date while it is still ahead; once it passes, the later one. Split cover runs from whichever ends first.</t>
        </is>
      </c>
    </row>
    <row r="84" ht="18" customHeight="1">
      <c r="B84" s="22" t="inlineStr">
        <is>
          <t>Days left</t>
        </is>
      </c>
      <c r="C84" s="21" t="inlineStr">
        <is>
          <t>Calculated. Days from today to Next end; negative once it has passed.</t>
        </is>
      </c>
    </row>
    <row r="85" ht="33" customHeight="1">
      <c r="B85" s="20" t="inlineStr">
        <is>
          <t>Check window (days)</t>
        </is>
      </c>
      <c r="C85" s="21" t="inlineStr">
        <is>
          <t>How many days before Next end you want to check the equipment and report faults. Leave blank for 60 (our suggestion, so covered faults are fixed while still covered).</t>
        </is>
      </c>
    </row>
    <row r="86" ht="18" customHeight="1">
      <c r="B86" s="22" t="inlineStr">
        <is>
          <t>Check-by date</t>
        </is>
      </c>
      <c r="C86" s="21" t="inlineStr">
        <is>
          <t>Calculated. Next end minus the check window: book the check, and report any fault, from this date.</t>
        </is>
      </c>
    </row>
    <row r="87" ht="33" customHeight="1">
      <c r="B87" s="20" t="inlineStr">
        <is>
          <t>Claim status</t>
        </is>
      </c>
      <c r="C87" s="21" t="inlineStr">
        <is>
          <t>Dropdown: Check due, Claim open, Claim settled, No claim needed or Cover extended. The last three turn the row gray.</t>
        </is>
      </c>
    </row>
    <row r="88" ht="18" customHeight="1">
      <c r="B88" s="20" t="inlineStr">
        <is>
          <t>Supplier / claims contact</t>
        </is>
      </c>
      <c r="C88" s="21" t="inlineStr">
        <is>
          <t>Who takes warranty claims: the dealer, the manufacturer or a service agent.</t>
        </is>
      </c>
    </row>
    <row r="89" ht="18" customHeight="1">
      <c r="B89" s="20" t="inlineStr">
        <is>
          <t>Claims email</t>
        </is>
      </c>
      <c r="C89" s="21" t="inlineStr">
        <is>
          <t>Where to report a fault or send a claim.</t>
        </is>
      </c>
    </row>
    <row r="90" ht="18" customHeight="1">
      <c r="B90" s="20" t="inlineStr">
        <is>
          <t>Owner email</t>
        </is>
      </c>
      <c r="C90" s="21" t="inlineStr">
        <is>
          <t>Who in your team should be reminded. Becomes notification_email on import.</t>
        </is>
      </c>
    </row>
    <row r="91" ht="18" customHeight="1">
      <c r="B91" s="20" t="inlineStr">
        <is>
          <t>Registered?</t>
        </is>
      </c>
      <c r="C91" s="21" t="inlineStr">
        <is>
          <t>Has the product been registered with the manufacturer, if the program asks for it?</t>
        </is>
      </c>
    </row>
    <row r="92" ht="18" customHeight="1">
      <c r="B92" s="20" t="inlineStr">
        <is>
          <t>Proof on file?</t>
        </is>
      </c>
      <c r="C92" s="21" t="inlineStr">
        <is>
          <t>Do you hold the warranty certificate and invoice? Claims usually need them.</t>
        </is>
      </c>
    </row>
    <row r="93" ht="18" customHeight="1">
      <c r="B93" s="20" t="inlineStr">
        <is>
          <t>Claim / ticket ref</t>
        </is>
      </c>
      <c r="C93" s="21" t="inlineStr">
        <is>
          <t>The supplier's reference for an open claim.</t>
        </is>
      </c>
    </row>
    <row r="94" ht="18" customHeight="1">
      <c r="B94" s="20" t="inlineStr">
        <is>
          <t>Document link</t>
        </is>
      </c>
      <c r="C94" s="21" t="inlineStr">
        <is>
          <t>Link to the warranty certificate, invoice or contract in your shared drive.</t>
        </is>
      </c>
    </row>
    <row r="95" ht="18" customHeight="1">
      <c r="B95" s="20" t="inlineStr">
        <is>
          <t>Notes</t>
        </is>
      </c>
      <c r="C95" s="21" t="inlineStr">
        <is>
          <t>Faults to report, what the supplier said, estimated dates.</t>
        </is>
      </c>
    </row>
    <row r="96">
      <c r="B96" s="3" t="inlineStr">
        <is>
          <t>* needed for the import sheet.</t>
        </is>
      </c>
    </row>
    <row r="98">
      <c r="B98" s="4" t="inlineStr">
        <is>
          <t>Other sheets</t>
        </is>
      </c>
    </row>
    <row r="99" ht="33" customHeight="1">
      <c r="B99" s="5" t="inlineStr">
        <is>
          <t>Dashboard</t>
        </is>
      </c>
      <c r="C99" s="6" t="inlineStr">
        <is>
          <t>Dealer pipeline counts (Offer due, Offered, Taken, Declined) and the next 10 open offers; owner claim counts and the next 10 assets to check. Always as of today.</t>
        </is>
      </c>
    </row>
    <row r="100" ht="18" customHeight="1">
      <c r="B100" s="5" t="inlineStr">
        <is>
          <t>Email templates</t>
        </is>
      </c>
      <c r="C100" s="6" t="inlineStr">
        <is>
          <t>The three renewal emails (90, 60 and 30 days) and the 7-day call, ready to copy and paste.</t>
        </is>
      </c>
    </row>
    <row r="101" ht="48" customHeight="1">
      <c r="B101" s="5" t="inlineStr">
        <is>
          <t>Import to ExpiryEdge</t>
        </is>
      </c>
      <c r="C101" s="6" t="inlineStr">
        <is>
          <t>The same rows laid out in the ExpiryEdge bulk-import columns (name, expiry_date, type, ...). If you ever move this list into ExpiryEdge, upload this file in Bulk Import and pick this sheet, or save the sheet as CSV. It fills itself; you never need to edit it.</t>
        </is>
      </c>
    </row>
    <row r="102" ht="18" customHeight="1">
      <c r="B102" s="5" t="inlineStr">
        <is>
          <t>Lists</t>
        </is>
      </c>
      <c r="C102" s="6" t="inlineStr">
        <is>
          <t>The options behind the dropdowns. Add your own there.</t>
        </is>
      </c>
    </row>
    <row r="104">
      <c r="B104" s="4" t="inlineStr">
        <is>
          <t>Good to know</t>
        </is>
      </c>
    </row>
    <row r="105">
      <c r="B105" s="14" t="inlineStr">
        <is>
          <t>·  Formulas are filled down for 500 rows. Need more? Copy the last row down.</t>
        </is>
      </c>
    </row>
    <row r="106">
      <c r="B106" s="14" t="inlineStr">
        <is>
          <t>·  Dates must be real dates, not text. If a status says "Check date", retype that date.</t>
        </is>
      </c>
    </row>
    <row r="107">
      <c r="B107" s="14" t="inlineStr">
        <is>
          <t>·  The file only changes when someone opens it. It cannot send reminders on its own.</t>
        </is>
      </c>
    </row>
    <row r="108">
      <c r="B108" s="14" t="inlineStr">
        <is>
          <t>·  This is a free template, not legal advice. Check dates and requirements against the official source for your situation.</t>
        </is>
      </c>
    </row>
    <row r="109">
      <c r="B109" s="14" t="inlineStr">
        <is>
          <t>·  The formulas match the free guide on expiryedge.com, column for column (A to T). The guide starts on row 2; here data starts on row 4.</t>
        </is>
      </c>
    </row>
    <row r="110">
      <c r="B110" s="14" t="inlineStr">
        <is>
          <t>·  Touch due compares with Last touch sent as text, so a 90 picked from the dropdown matches a calculated 90 in Excel, Google Sheets and LibreOffice.</t>
        </is>
      </c>
    </row>
    <row r="111">
      <c r="B111" s="14" t="inlineStr">
        <is>
          <t>·  When a customer buys an extended warranty or service contract, set Status to Taken and add the new contract as its own row.</t>
        </is>
      </c>
    </row>
    <row r="113">
      <c r="B113" s="23" t="inlineStr">
        <is>
          <t>Made by ExpiryEdge · expiryedge.com</t>
        </is>
      </c>
    </row>
  </sheetData>
  <mergeCells count="1">
    <mergeCell ref="B23:C23"/>
  </mergeCells>
  <hyperlinks>
    <hyperlink xmlns:r="http://schemas.openxmlformats.org/officeDocument/2006/relationships" ref="B113" r:id="rId1"/>
  </hyperlinks>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tabColor rgb="007CD9AE"/>
    <outlinePr summaryBelow="1" summaryRight="1"/>
    <pageSetUpPr fitToPage="1"/>
  </sheetPr>
  <dimension ref="A1:T503"/>
  <sheetViews>
    <sheetView showGridLines="0" tabSelected="0" zoomScale="100"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22" customWidth="1" min="3" max="3"/>
    <col width="14" customWidth="1" min="4" max="4"/>
    <col width="13" customWidth="1" min="5" max="5"/>
    <col width="13" customWidth="1" min="6" max="6"/>
    <col width="10" customWidth="1" min="7" max="7"/>
    <col width="13" customWidth="1" min="8" max="8"/>
    <col width="9" customWidth="1" min="9" max="9"/>
    <col width="13" customWidth="1" min="10" max="10"/>
    <col width="9" customWidth="1" min="11" max="11"/>
    <col width="13" customWidth="1" min="12" max="12"/>
    <col width="13" customWidth="1" min="13" max="13"/>
    <col width="9" customWidth="1" min="14" max="14"/>
    <col width="9" customWidth="1" min="15" max="15"/>
    <col width="10" customWidth="1" min="16" max="16"/>
    <col width="11" customWidth="1" min="17" max="17"/>
    <col width="16" customWidth="1" min="18" max="18"/>
    <col width="16" customWidth="1" min="19" max="19"/>
    <col width="36" customWidth="1" min="20" max="20"/>
  </cols>
  <sheetData>
    <row r="1" ht="24" customHeight="1">
      <c r="A1" s="24" t="inlineStr">
        <is>
          <t>Dealer renewal pipeline (one row per customer machine)</t>
        </is>
      </c>
    </row>
    <row r="2" ht="16" customHeight="1">
      <c r="A2" s="3" t="inlineStr">
        <is>
          <t>Type in the white columns. Shaded columns are calculated, so leave them alone. Rows starting "Example –" are samples: delete them (or type over them) when you add your own.</t>
        </is>
      </c>
    </row>
    <row r="3" ht="32" customHeight="1">
      <c r="A3" s="25" t="inlineStr">
        <is>
          <t>Customer</t>
        </is>
      </c>
      <c r="B3" s="25" t="inlineStr">
        <is>
          <t>Contact email</t>
        </is>
      </c>
      <c r="C3" s="25" t="inlineStr">
        <is>
          <t>Model</t>
        </is>
      </c>
      <c r="D3" s="25" t="inlineStr">
        <is>
          <t>Serial number</t>
        </is>
      </c>
      <c r="E3" s="25" t="inlineStr">
        <is>
          <t>Install date</t>
        </is>
      </c>
      <c r="F3" s="25" t="inlineStr">
        <is>
          <t>Invoice date</t>
        </is>
      </c>
      <c r="G3" s="25" t="inlineStr">
        <is>
          <t>Start rule</t>
        </is>
      </c>
      <c r="H3" s="26" t="inlineStr">
        <is>
          <t>Warranty start</t>
        </is>
      </c>
      <c r="I3" s="25" t="inlineStr">
        <is>
          <t>Parts months</t>
        </is>
      </c>
      <c r="J3" s="26" t="inlineStr">
        <is>
          <t>Parts end</t>
        </is>
      </c>
      <c r="K3" s="25" t="inlineStr">
        <is>
          <t>Labor months</t>
        </is>
      </c>
      <c r="L3" s="26" t="inlineStr">
        <is>
          <t>Labor end</t>
        </is>
      </c>
      <c r="M3" s="26" t="inlineStr">
        <is>
          <t>Next end</t>
        </is>
      </c>
      <c r="N3" s="26" t="inlineStr">
        <is>
          <t>Days left</t>
        </is>
      </c>
      <c r="O3" s="26" t="inlineStr">
        <is>
          <t>Touch due</t>
        </is>
      </c>
      <c r="P3" s="25" t="inlineStr">
        <is>
          <t>Last touch sent</t>
        </is>
      </c>
      <c r="Q3" s="25" t="inlineStr">
        <is>
          <t>Status</t>
        </is>
      </c>
      <c r="R3" s="25" t="inlineStr">
        <is>
          <t>Owner</t>
        </is>
      </c>
      <c r="S3" s="25" t="inlineStr">
        <is>
          <t>Backup</t>
        </is>
      </c>
      <c r="T3" s="25" t="inlineStr">
        <is>
          <t>Notes</t>
        </is>
      </c>
    </row>
    <row r="4">
      <c r="A4" s="27" t="inlineStr">
        <is>
          <t>Example – Sample Print Co, Main St</t>
        </is>
      </c>
      <c r="B4" s="27" t="inlineStr">
        <is>
          <t>buyer@example.com</t>
        </is>
      </c>
      <c r="C4" s="27" t="inlineStr">
        <is>
          <t>Wide-format printer (example)</t>
        </is>
      </c>
      <c r="D4" s="27" t="inlineStr">
        <is>
          <t>WF-20481</t>
        </is>
      </c>
      <c r="E4" s="28" t="n">
        <v>45985</v>
      </c>
      <c r="F4" s="28" t="n">
        <v>45971</v>
      </c>
      <c r="G4" s="27" t="inlineStr">
        <is>
          <t>Install</t>
        </is>
      </c>
      <c r="H4" s="29">
        <f>IF(G4="Invoice",IF(ISNUMBER(F4),F4,""),IF(ISNUMBER(E4),E4,""))</f>
        <v/>
      </c>
      <c r="I4" s="30" t="n">
        <v>12</v>
      </c>
      <c r="J4" s="29">
        <f>IF(AND(ISNUMBER(H4),ISNUMBER(I4)),EDATE(H4,I4),"")</f>
        <v/>
      </c>
      <c r="K4" s="30" t="n">
        <v>18</v>
      </c>
      <c r="L4" s="29">
        <f>IF(AND(ISNUMBER(H4),ISNUMBER(K4)),EDATE(H4,K4),"")</f>
        <v/>
      </c>
      <c r="M4" s="29">
        <f>IF(COUNT(J4,L4)=0,"",IF(MIN(J4,L4)&gt;=TODAY(),MIN(J4,L4),MAX(J4,L4)))</f>
        <v/>
      </c>
      <c r="N4" s="31">
        <f>IF(ISNUMBER(M4),M4-TODAY(),"")</f>
        <v/>
      </c>
      <c r="O4" s="32">
        <f>IF(NOT(ISNUMBER(N4)),"",IF(OR(Q4="Taken",Q4="Declined"),"",IF(N4&lt;0,"Lapsed",IF(N4&lt;=7,7,IF(N4&lt;=30,30,IF(N4&lt;=60,60,IF(N4&lt;=90,90,"")))))))</f>
        <v/>
      </c>
      <c r="P4" s="27" t="n">
        <v>90</v>
      </c>
      <c r="Q4" s="27" t="inlineStr">
        <is>
          <t>Offered</t>
        </is>
      </c>
      <c r="R4" s="27" t="inlineStr">
        <is>
          <t>Alex Sample</t>
        </is>
      </c>
      <c r="S4" s="27" t="inlineStr">
        <is>
          <t>Jo Placeholder</t>
        </is>
      </c>
      <c r="T4" s="27" t="inlineStr">
        <is>
          <t>Check visit booked; 60-day quote next</t>
        </is>
      </c>
    </row>
    <row r="5">
      <c r="A5" s="27" t="inlineStr">
        <is>
          <t>Example – Demo Packaging Ltd</t>
        </is>
      </c>
      <c r="B5" s="27" t="inlineStr">
        <is>
          <t>ops@example.com</t>
        </is>
      </c>
      <c r="C5" s="27" t="inlineStr">
        <is>
          <t>Label printer (example)</t>
        </is>
      </c>
      <c r="D5" s="27" t="inlineStr">
        <is>
          <t>LP-11873</t>
        </is>
      </c>
      <c r="E5" s="28" t="n">
        <v>45593</v>
      </c>
      <c r="F5" s="28" t="n">
        <v>45586</v>
      </c>
      <c r="G5" s="27" t="inlineStr">
        <is>
          <t>Invoice</t>
        </is>
      </c>
      <c r="H5" s="29">
        <f>IF(G5="Invoice",IF(ISNUMBER(F5),F5,""),IF(ISNUMBER(E5),E5,""))</f>
        <v/>
      </c>
      <c r="I5" s="30" t="n">
        <v>24</v>
      </c>
      <c r="J5" s="29">
        <f>IF(AND(ISNUMBER(H5),ISNUMBER(I5)),EDATE(H5,I5),"")</f>
        <v/>
      </c>
      <c r="K5" s="30" t="n">
        <v>24</v>
      </c>
      <c r="L5" s="29">
        <f>IF(AND(ISNUMBER(H5),ISNUMBER(K5)),EDATE(H5,K5),"")</f>
        <v/>
      </c>
      <c r="M5" s="29">
        <f>IF(COUNT(J5,L5)=0,"",IF(MIN(J5,L5)&gt;=TODAY(),MIN(J5,L5),MAX(J5,L5)))</f>
        <v/>
      </c>
      <c r="N5" s="31">
        <f>IF(ISNUMBER(M5),M5-TODAY(),"")</f>
        <v/>
      </c>
      <c r="O5" s="32">
        <f>IF(NOT(ISNUMBER(N5)),"",IF(OR(Q5="Taken",Q5="Declined"),"",IF(N5&lt;0,"Lapsed",IF(N5&lt;=7,7,IF(N5&lt;=30,30,IF(N5&lt;=60,60,IF(N5&lt;=90,90,"")))))))</f>
        <v/>
      </c>
      <c r="P5" s="27" t="n">
        <v>30</v>
      </c>
      <c r="Q5" s="27" t="inlineStr">
        <is>
          <t>Offered</t>
        </is>
      </c>
      <c r="R5" s="27" t="inlineStr">
        <is>
          <t>Jo Placeholder</t>
        </is>
      </c>
      <c r="S5" s="27" t="inlineStr">
        <is>
          <t>Alex Sample</t>
        </is>
      </c>
      <c r="T5" s="27" t="inlineStr">
        <is>
          <t>Quote Q-1038 sent; waiting for PO</t>
        </is>
      </c>
    </row>
    <row r="6">
      <c r="A6" s="27" t="inlineStr">
        <is>
          <t>Example – Placeholder Signs Inc</t>
        </is>
      </c>
      <c r="B6" s="27" t="inlineStr">
        <is>
          <t>owner@example.com</t>
        </is>
      </c>
      <c r="C6" s="27" t="inlineStr">
        <is>
          <t>Cutting plotter (example)</t>
        </is>
      </c>
      <c r="D6" s="27" t="inlineStr">
        <is>
          <t>CP-55120</t>
        </is>
      </c>
      <c r="E6" s="28" t="n">
        <v>46006</v>
      </c>
      <c r="F6" s="28" t="n">
        <v>45992</v>
      </c>
      <c r="G6" s="27" t="inlineStr">
        <is>
          <t>Install</t>
        </is>
      </c>
      <c r="H6" s="29">
        <f>IF(G6="Invoice",IF(ISNUMBER(F6),F6,""),IF(ISNUMBER(E6),E6,""))</f>
        <v/>
      </c>
      <c r="I6" s="30" t="n">
        <v>12</v>
      </c>
      <c r="J6" s="29">
        <f>IF(AND(ISNUMBER(H6),ISNUMBER(I6)),EDATE(H6,I6),"")</f>
        <v/>
      </c>
      <c r="K6" s="30" t="n">
        <v>12</v>
      </c>
      <c r="L6" s="29">
        <f>IF(AND(ISNUMBER(H6),ISNUMBER(K6)),EDATE(H6,K6),"")</f>
        <v/>
      </c>
      <c r="M6" s="29">
        <f>IF(COUNT(J6,L6)=0,"",IF(MIN(J6,L6)&gt;=TODAY(),MIN(J6,L6),MAX(J6,L6)))</f>
        <v/>
      </c>
      <c r="N6" s="31">
        <f>IF(ISNUMBER(M6),M6-TODAY(),"")</f>
        <v/>
      </c>
      <c r="O6" s="32">
        <f>IF(NOT(ISNUMBER(N6)),"",IF(OR(Q6="Taken",Q6="Declined"),"",IF(N6&lt;0,"Lapsed",IF(N6&lt;=7,7,IF(N6&lt;=30,30,IF(N6&lt;=60,60,IF(N6&lt;=90,90,"")))))))</f>
        <v/>
      </c>
      <c r="P6" s="27" t="n"/>
      <c r="Q6" s="27" t="inlineStr">
        <is>
          <t>Offer due</t>
        </is>
      </c>
      <c r="R6" s="27" t="inlineStr">
        <is>
          <t>Chris Demo</t>
        </is>
      </c>
      <c r="S6" s="27" t="inlineStr">
        <is>
          <t>Jo Placeholder</t>
        </is>
      </c>
      <c r="T6" s="27" t="n"/>
    </row>
    <row r="7">
      <c r="A7" s="27" t="inlineStr">
        <is>
          <t>Example – Sample Print Co, Main St</t>
        </is>
      </c>
      <c r="B7" s="27" t="inlineStr">
        <is>
          <t>buyer@example.com</t>
        </is>
      </c>
      <c r="C7" s="27" t="inlineStr">
        <is>
          <t>Laminator (example)</t>
        </is>
      </c>
      <c r="D7" s="27" t="inlineStr">
        <is>
          <t>LM-30915</t>
        </is>
      </c>
      <c r="E7" s="28" t="n">
        <v>45963</v>
      </c>
      <c r="F7" s="28" t="n">
        <v>45950</v>
      </c>
      <c r="G7" s="27" t="inlineStr">
        <is>
          <t>Install</t>
        </is>
      </c>
      <c r="H7" s="29">
        <f>IF(G7="Invoice",IF(ISNUMBER(F7),F7,""),IF(ISNUMBER(E7),E7,""))</f>
        <v/>
      </c>
      <c r="I7" s="30" t="n">
        <v>12</v>
      </c>
      <c r="J7" s="29">
        <f>IF(AND(ISNUMBER(H7),ISNUMBER(I7)),EDATE(H7,I7),"")</f>
        <v/>
      </c>
      <c r="K7" s="30" t="n">
        <v>12</v>
      </c>
      <c r="L7" s="29">
        <f>IF(AND(ISNUMBER(H7),ISNUMBER(K7)),EDATE(H7,K7),"")</f>
        <v/>
      </c>
      <c r="M7" s="29">
        <f>IF(COUNT(J7,L7)=0,"",IF(MIN(J7,L7)&gt;=TODAY(),MIN(J7,L7),MAX(J7,L7)))</f>
        <v/>
      </c>
      <c r="N7" s="31">
        <f>IF(ISNUMBER(M7),M7-TODAY(),"")</f>
        <v/>
      </c>
      <c r="O7" s="32">
        <f>IF(NOT(ISNUMBER(N7)),"",IF(OR(Q7="Taken",Q7="Declined"),"",IF(N7&lt;0,"Lapsed",IF(N7&lt;=7,7,IF(N7&lt;=30,30,IF(N7&lt;=60,60,IF(N7&lt;=90,90,"")))))))</f>
        <v/>
      </c>
      <c r="P7" s="27" t="n">
        <v>30</v>
      </c>
      <c r="Q7" s="27" t="inlineStr">
        <is>
          <t>Taken</t>
        </is>
      </c>
      <c r="R7" s="27" t="inlineStr">
        <is>
          <t>Alex Sample</t>
        </is>
      </c>
      <c r="S7" s="27" t="inlineStr">
        <is>
          <t>Jo Placeholder</t>
        </is>
      </c>
      <c r="T7" s="27" t="inlineStr">
        <is>
          <t>Taken (quote Q-1031): new contract added as its own row</t>
        </is>
      </c>
    </row>
    <row r="8">
      <c r="A8" s="27" t="inlineStr">
        <is>
          <t>Example – Demo Packaging Ltd</t>
        </is>
      </c>
      <c r="B8" s="27" t="inlineStr">
        <is>
          <t>ops@example.com</t>
        </is>
      </c>
      <c r="C8" s="27" t="inlineStr">
        <is>
          <t>Folder-inserter (example)</t>
        </is>
      </c>
      <c r="D8" s="27" t="inlineStr">
        <is>
          <t>FI-77304</t>
        </is>
      </c>
      <c r="E8" s="28" t="n">
        <v>45565</v>
      </c>
      <c r="F8" s="28" t="n">
        <v>45551</v>
      </c>
      <c r="G8" s="27" t="inlineStr">
        <is>
          <t>Install</t>
        </is>
      </c>
      <c r="H8" s="29">
        <f>IF(G8="Invoice",IF(ISNUMBER(F8),F8,""),IF(ISNUMBER(E8),E8,""))</f>
        <v/>
      </c>
      <c r="I8" s="30" t="n">
        <v>24</v>
      </c>
      <c r="J8" s="29">
        <f>IF(AND(ISNUMBER(H8),ISNUMBER(I8)),EDATE(H8,I8),"")</f>
        <v/>
      </c>
      <c r="K8" s="30" t="n">
        <v>24</v>
      </c>
      <c r="L8" s="29">
        <f>IF(AND(ISNUMBER(H8),ISNUMBER(K8)),EDATE(H8,K8),"")</f>
        <v/>
      </c>
      <c r="M8" s="29">
        <f>IF(COUNT(J8,L8)=0,"",IF(MIN(J8,L8)&gt;=TODAY(),MIN(J8,L8),MAX(J8,L8)))</f>
        <v/>
      </c>
      <c r="N8" s="31">
        <f>IF(ISNUMBER(M8),M8-TODAY(),"")</f>
        <v/>
      </c>
      <c r="O8" s="32">
        <f>IF(NOT(ISNUMBER(N8)),"",IF(OR(Q8="Taken",Q8="Declined"),"",IF(N8&lt;0,"Lapsed",IF(N8&lt;=7,7,IF(N8&lt;=30,30,IF(N8&lt;=60,60,IF(N8&lt;=90,90,"")))))))</f>
        <v/>
      </c>
      <c r="P8" s="27" t="n">
        <v>7</v>
      </c>
      <c r="Q8" s="27" t="inlineStr">
        <is>
          <t>Offered</t>
        </is>
      </c>
      <c r="R8" s="27" t="inlineStr">
        <is>
          <t>Jo Placeholder</t>
        </is>
      </c>
      <c r="S8" s="27" t="inlineStr">
        <is>
          <t>Alex Sample</t>
        </is>
      </c>
      <c r="T8" s="27" t="inlineStr">
        <is>
          <t>Cover has ended: record the decision</t>
        </is>
      </c>
    </row>
    <row r="9">
      <c r="A9" s="27" t="inlineStr">
        <is>
          <t>Example – Placeholder Signs Inc</t>
        </is>
      </c>
      <c r="B9" s="27" t="inlineStr">
        <is>
          <t>owner@example.com</t>
        </is>
      </c>
      <c r="C9" s="27" t="inlineStr">
        <is>
          <t>Wide-format printer (example)</t>
        </is>
      </c>
      <c r="D9" s="27" t="inlineStr">
        <is>
          <t>WF-20977</t>
        </is>
      </c>
      <c r="E9" s="28" t="n">
        <v>46084</v>
      </c>
      <c r="F9" s="28" t="n">
        <v>46073</v>
      </c>
      <c r="G9" s="27" t="inlineStr">
        <is>
          <t>Install</t>
        </is>
      </c>
      <c r="H9" s="29">
        <f>IF(G9="Invoice",IF(ISNUMBER(F9),F9,""),IF(ISNUMBER(E9),E9,""))</f>
        <v/>
      </c>
      <c r="I9" s="30" t="n">
        <v>12</v>
      </c>
      <c r="J9" s="29">
        <f>IF(AND(ISNUMBER(H9),ISNUMBER(I9)),EDATE(H9,I9),"")</f>
        <v/>
      </c>
      <c r="K9" s="30" t="n">
        <v>18</v>
      </c>
      <c r="L9" s="29">
        <f>IF(AND(ISNUMBER(H9),ISNUMBER(K9)),EDATE(H9,K9),"")</f>
        <v/>
      </c>
      <c r="M9" s="29">
        <f>IF(COUNT(J9,L9)=0,"",IF(MIN(J9,L9)&gt;=TODAY(),MIN(J9,L9),MAX(J9,L9)))</f>
        <v/>
      </c>
      <c r="N9" s="31">
        <f>IF(ISNUMBER(M9),M9-TODAY(),"")</f>
        <v/>
      </c>
      <c r="O9" s="32">
        <f>IF(NOT(ISNUMBER(N9)),"",IF(OR(Q9="Taken",Q9="Declined"),"",IF(N9&lt;0,"Lapsed",IF(N9&lt;=7,7,IF(N9&lt;=30,30,IF(N9&lt;=60,60,IF(N9&lt;=90,90,"")))))))</f>
        <v/>
      </c>
      <c r="P9" s="27" t="n"/>
      <c r="Q9" s="27" t="n"/>
      <c r="R9" s="27" t="inlineStr">
        <is>
          <t>Chris Demo</t>
        </is>
      </c>
      <c r="S9" s="27" t="inlineStr">
        <is>
          <t>Jo Placeholder</t>
        </is>
      </c>
      <c r="T9" s="27" t="n"/>
    </row>
    <row r="10">
      <c r="A10" s="27" t="inlineStr">
        <is>
          <t>Example – Sample Print Co, Main St</t>
        </is>
      </c>
      <c r="B10" s="27" t="inlineStr">
        <is>
          <t>buyer@example.com</t>
        </is>
      </c>
      <c r="C10" s="27" t="inlineStr">
        <is>
          <t>Production printer (example)</t>
        </is>
      </c>
      <c r="D10" s="27" t="inlineStr">
        <is>
          <t>PP-40012</t>
        </is>
      </c>
      <c r="E10" s="28" t="n">
        <v>45992</v>
      </c>
      <c r="F10" s="28" t="n">
        <v>45978</v>
      </c>
      <c r="G10" s="27" t="inlineStr">
        <is>
          <t>Install</t>
        </is>
      </c>
      <c r="H10" s="29">
        <f>IF(G10="Invoice",IF(ISNUMBER(F10),F10,""),IF(ISNUMBER(E10),E10,""))</f>
        <v/>
      </c>
      <c r="I10" s="30" t="n">
        <v>12</v>
      </c>
      <c r="J10" s="29">
        <f>IF(AND(ISNUMBER(H10),ISNUMBER(I10)),EDATE(H10,I10),"")</f>
        <v/>
      </c>
      <c r="K10" s="30" t="n">
        <v>12</v>
      </c>
      <c r="L10" s="29">
        <f>IF(AND(ISNUMBER(H10),ISNUMBER(K10)),EDATE(H10,K10),"")</f>
        <v/>
      </c>
      <c r="M10" s="29">
        <f>IF(COUNT(J10,L10)=0,"",IF(MIN(J10,L10)&gt;=TODAY(),MIN(J10,L10),MAX(J10,L10)))</f>
        <v/>
      </c>
      <c r="N10" s="31">
        <f>IF(ISNUMBER(M10),M10-TODAY(),"")</f>
        <v/>
      </c>
      <c r="O10" s="32">
        <f>IF(NOT(ISNUMBER(N10)),"",IF(OR(Q10="Taken",Q10="Declined"),"",IF(N10&lt;0,"Lapsed",IF(N10&lt;=7,7,IF(N10&lt;=30,30,IF(N10&lt;=60,60,IF(N10&lt;=90,90,"")))))))</f>
        <v/>
      </c>
      <c r="P10" s="27" t="n">
        <v>60</v>
      </c>
      <c r="Q10" s="27" t="inlineStr">
        <is>
          <t>Declined</t>
        </is>
      </c>
      <c r="R10" s="27" t="inlineStr">
        <is>
          <t>Alex Sample</t>
        </is>
      </c>
      <c r="S10" s="27" t="inlineStr">
        <is>
          <t>Jo Placeholder</t>
        </is>
      </c>
      <c r="T10" s="27" t="inlineStr">
        <is>
          <t>Declined: no budget this year. Rate card sent.</t>
        </is>
      </c>
    </row>
    <row r="11">
      <c r="A11" s="27" t="inlineStr">
        <is>
          <t>Example – Demo Packaging Ltd</t>
        </is>
      </c>
      <c r="B11" s="27" t="inlineStr">
        <is>
          <t>ops@example.com</t>
        </is>
      </c>
      <c r="C11" s="27" t="inlineStr">
        <is>
          <t>Wide-format printer (example)</t>
        </is>
      </c>
      <c r="D11" s="27" t="inlineStr">
        <is>
          <t>WF-19950</t>
        </is>
      </c>
      <c r="E11" s="28" t="n">
        <v>45810</v>
      </c>
      <c r="F11" s="28" t="n">
        <v>45796</v>
      </c>
      <c r="G11" s="27" t="inlineStr">
        <is>
          <t>Install</t>
        </is>
      </c>
      <c r="H11" s="29">
        <f>IF(G11="Invoice",IF(ISNUMBER(F11),F11,""),IF(ISNUMBER(E11),E11,""))</f>
        <v/>
      </c>
      <c r="I11" s="30" t="n">
        <v>12</v>
      </c>
      <c r="J11" s="29">
        <f>IF(AND(ISNUMBER(H11),ISNUMBER(I11)),EDATE(H11,I11),"")</f>
        <v/>
      </c>
      <c r="K11" s="30" t="n">
        <v>18</v>
      </c>
      <c r="L11" s="29">
        <f>IF(AND(ISNUMBER(H11),ISNUMBER(K11)),EDATE(H11,K11),"")</f>
        <v/>
      </c>
      <c r="M11" s="29">
        <f>IF(COUNT(J11,L11)=0,"",IF(MIN(J11,L11)&gt;=TODAY(),MIN(J11,L11),MAX(J11,L11)))</f>
        <v/>
      </c>
      <c r="N11" s="31">
        <f>IF(ISNUMBER(M11),M11-TODAY(),"")</f>
        <v/>
      </c>
      <c r="O11" s="32">
        <f>IF(NOT(ISNUMBER(N11)),"",IF(OR(Q11="Taken",Q11="Declined"),"",IF(N11&lt;0,"Lapsed",IF(N11&lt;=7,7,IF(N11&lt;=30,30,IF(N11&lt;=60,60,IF(N11&lt;=90,90,"")))))))</f>
        <v/>
      </c>
      <c r="P11" s="27" t="n">
        <v>7</v>
      </c>
      <c r="Q11" s="27" t="inlineStr">
        <is>
          <t>Offer due</t>
        </is>
      </c>
      <c r="R11" s="27" t="inlineStr">
        <is>
          <t>Jo Placeholder</t>
        </is>
      </c>
      <c r="S11" s="27" t="inlineStr">
        <is>
          <t>Alex Sample</t>
        </is>
      </c>
      <c r="T11" s="27" t="inlineStr">
        <is>
          <t>Printhead cover ended Jun 2, 2026; sequence now runs from electrical cover</t>
        </is>
      </c>
    </row>
    <row r="12">
      <c r="A12" s="27" t="n"/>
      <c r="B12" s="27" t="n"/>
      <c r="C12" s="27" t="n"/>
      <c r="D12" s="27" t="n"/>
      <c r="E12" s="28" t="n"/>
      <c r="F12" s="28" t="n"/>
      <c r="G12" s="27" t="n"/>
      <c r="H12" s="29">
        <f>IF(G12="Invoice",IF(ISNUMBER(F12),F12,""),IF(ISNUMBER(E12),E12,""))</f>
        <v/>
      </c>
      <c r="I12" s="30" t="n"/>
      <c r="J12" s="29">
        <f>IF(AND(ISNUMBER(H12),ISNUMBER(I12)),EDATE(H12,I12),"")</f>
        <v/>
      </c>
      <c r="K12" s="30" t="n"/>
      <c r="L12" s="29">
        <f>IF(AND(ISNUMBER(H12),ISNUMBER(K12)),EDATE(H12,K12),"")</f>
        <v/>
      </c>
      <c r="M12" s="29">
        <f>IF(COUNT(J12,L12)=0,"",IF(MIN(J12,L12)&gt;=TODAY(),MIN(J12,L12),MAX(J12,L12)))</f>
        <v/>
      </c>
      <c r="N12" s="31">
        <f>IF(ISNUMBER(M12),M12-TODAY(),"")</f>
        <v/>
      </c>
      <c r="O12" s="32">
        <f>IF(NOT(ISNUMBER(N12)),"",IF(OR(Q12="Taken",Q12="Declined"),"",IF(N12&lt;0,"Lapsed",IF(N12&lt;=7,7,IF(N12&lt;=30,30,IF(N12&lt;=60,60,IF(N12&lt;=90,90,"")))))))</f>
        <v/>
      </c>
      <c r="P12" s="27" t="n"/>
      <c r="Q12" s="27" t="n"/>
      <c r="R12" s="27" t="n"/>
      <c r="S12" s="27" t="n"/>
      <c r="T12" s="27" t="n"/>
    </row>
    <row r="13">
      <c r="A13" s="27" t="n"/>
      <c r="B13" s="27" t="n"/>
      <c r="C13" s="27" t="n"/>
      <c r="D13" s="27" t="n"/>
      <c r="E13" s="28" t="n"/>
      <c r="F13" s="28" t="n"/>
      <c r="G13" s="27" t="n"/>
      <c r="H13" s="29">
        <f>IF(G13="Invoice",IF(ISNUMBER(F13),F13,""),IF(ISNUMBER(E13),E13,""))</f>
        <v/>
      </c>
      <c r="I13" s="30" t="n"/>
      <c r="J13" s="29">
        <f>IF(AND(ISNUMBER(H13),ISNUMBER(I13)),EDATE(H13,I13),"")</f>
        <v/>
      </c>
      <c r="K13" s="30" t="n"/>
      <c r="L13" s="29">
        <f>IF(AND(ISNUMBER(H13),ISNUMBER(K13)),EDATE(H13,K13),"")</f>
        <v/>
      </c>
      <c r="M13" s="29">
        <f>IF(COUNT(J13,L13)=0,"",IF(MIN(J13,L13)&gt;=TODAY(),MIN(J13,L13),MAX(J13,L13)))</f>
        <v/>
      </c>
      <c r="N13" s="31">
        <f>IF(ISNUMBER(M13),M13-TODAY(),"")</f>
        <v/>
      </c>
      <c r="O13" s="32">
        <f>IF(NOT(ISNUMBER(N13)),"",IF(OR(Q13="Taken",Q13="Declined"),"",IF(N13&lt;0,"Lapsed",IF(N13&lt;=7,7,IF(N13&lt;=30,30,IF(N13&lt;=60,60,IF(N13&lt;=90,90,"")))))))</f>
        <v/>
      </c>
      <c r="P13" s="27" t="n"/>
      <c r="Q13" s="27" t="n"/>
      <c r="R13" s="27" t="n"/>
      <c r="S13" s="27" t="n"/>
      <c r="T13" s="27" t="n"/>
    </row>
    <row r="14">
      <c r="A14" s="27" t="n"/>
      <c r="B14" s="27" t="n"/>
      <c r="C14" s="27" t="n"/>
      <c r="D14" s="27" t="n"/>
      <c r="E14" s="28" t="n"/>
      <c r="F14" s="28" t="n"/>
      <c r="G14" s="27" t="n"/>
      <c r="H14" s="29">
        <f>IF(G14="Invoice",IF(ISNUMBER(F14),F14,""),IF(ISNUMBER(E14),E14,""))</f>
        <v/>
      </c>
      <c r="I14" s="30" t="n"/>
      <c r="J14" s="29">
        <f>IF(AND(ISNUMBER(H14),ISNUMBER(I14)),EDATE(H14,I14),"")</f>
        <v/>
      </c>
      <c r="K14" s="30" t="n"/>
      <c r="L14" s="29">
        <f>IF(AND(ISNUMBER(H14),ISNUMBER(K14)),EDATE(H14,K14),"")</f>
        <v/>
      </c>
      <c r="M14" s="29">
        <f>IF(COUNT(J14,L14)=0,"",IF(MIN(J14,L14)&gt;=TODAY(),MIN(J14,L14),MAX(J14,L14)))</f>
        <v/>
      </c>
      <c r="N14" s="31">
        <f>IF(ISNUMBER(M14),M14-TODAY(),"")</f>
        <v/>
      </c>
      <c r="O14" s="32">
        <f>IF(NOT(ISNUMBER(N14)),"",IF(OR(Q14="Taken",Q14="Declined"),"",IF(N14&lt;0,"Lapsed",IF(N14&lt;=7,7,IF(N14&lt;=30,30,IF(N14&lt;=60,60,IF(N14&lt;=90,90,"")))))))</f>
        <v/>
      </c>
      <c r="P14" s="27" t="n"/>
      <c r="Q14" s="27" t="n"/>
      <c r="R14" s="27" t="n"/>
      <c r="S14" s="27" t="n"/>
      <c r="T14" s="27" t="n"/>
    </row>
    <row r="15">
      <c r="A15" s="27" t="n"/>
      <c r="B15" s="27" t="n"/>
      <c r="C15" s="27" t="n"/>
      <c r="D15" s="27" t="n"/>
      <c r="E15" s="28" t="n"/>
      <c r="F15" s="28" t="n"/>
      <c r="G15" s="27" t="n"/>
      <c r="H15" s="29">
        <f>IF(G15="Invoice",IF(ISNUMBER(F15),F15,""),IF(ISNUMBER(E15),E15,""))</f>
        <v/>
      </c>
      <c r="I15" s="30" t="n"/>
      <c r="J15" s="29">
        <f>IF(AND(ISNUMBER(H15),ISNUMBER(I15)),EDATE(H15,I15),"")</f>
        <v/>
      </c>
      <c r="K15" s="30" t="n"/>
      <c r="L15" s="29">
        <f>IF(AND(ISNUMBER(H15),ISNUMBER(K15)),EDATE(H15,K15),"")</f>
        <v/>
      </c>
      <c r="M15" s="29">
        <f>IF(COUNT(J15,L15)=0,"",IF(MIN(J15,L15)&gt;=TODAY(),MIN(J15,L15),MAX(J15,L15)))</f>
        <v/>
      </c>
      <c r="N15" s="31">
        <f>IF(ISNUMBER(M15),M15-TODAY(),"")</f>
        <v/>
      </c>
      <c r="O15" s="32">
        <f>IF(NOT(ISNUMBER(N15)),"",IF(OR(Q15="Taken",Q15="Declined"),"",IF(N15&lt;0,"Lapsed",IF(N15&lt;=7,7,IF(N15&lt;=30,30,IF(N15&lt;=60,60,IF(N15&lt;=90,90,"")))))))</f>
        <v/>
      </c>
      <c r="P15" s="27" t="n"/>
      <c r="Q15" s="27" t="n"/>
      <c r="R15" s="27" t="n"/>
      <c r="S15" s="27" t="n"/>
      <c r="T15" s="27" t="n"/>
    </row>
    <row r="16">
      <c r="A16" s="27" t="n"/>
      <c r="B16" s="27" t="n"/>
      <c r="C16" s="27" t="n"/>
      <c r="D16" s="27" t="n"/>
      <c r="E16" s="28" t="n"/>
      <c r="F16" s="28" t="n"/>
      <c r="G16" s="27" t="n"/>
      <c r="H16" s="29">
        <f>IF(G16="Invoice",IF(ISNUMBER(F16),F16,""),IF(ISNUMBER(E16),E16,""))</f>
        <v/>
      </c>
      <c r="I16" s="30" t="n"/>
      <c r="J16" s="29">
        <f>IF(AND(ISNUMBER(H16),ISNUMBER(I16)),EDATE(H16,I16),"")</f>
        <v/>
      </c>
      <c r="K16" s="30" t="n"/>
      <c r="L16" s="29">
        <f>IF(AND(ISNUMBER(H16),ISNUMBER(K16)),EDATE(H16,K16),"")</f>
        <v/>
      </c>
      <c r="M16" s="29">
        <f>IF(COUNT(J16,L16)=0,"",IF(MIN(J16,L16)&gt;=TODAY(),MIN(J16,L16),MAX(J16,L16)))</f>
        <v/>
      </c>
      <c r="N16" s="31">
        <f>IF(ISNUMBER(M16),M16-TODAY(),"")</f>
        <v/>
      </c>
      <c r="O16" s="32">
        <f>IF(NOT(ISNUMBER(N16)),"",IF(OR(Q16="Taken",Q16="Declined"),"",IF(N16&lt;0,"Lapsed",IF(N16&lt;=7,7,IF(N16&lt;=30,30,IF(N16&lt;=60,60,IF(N16&lt;=90,90,"")))))))</f>
        <v/>
      </c>
      <c r="P16" s="27" t="n"/>
      <c r="Q16" s="27" t="n"/>
      <c r="R16" s="27" t="n"/>
      <c r="S16" s="27" t="n"/>
      <c r="T16" s="27" t="n"/>
    </row>
    <row r="17">
      <c r="A17" s="27" t="n"/>
      <c r="B17" s="27" t="n"/>
      <c r="C17" s="27" t="n"/>
      <c r="D17" s="27" t="n"/>
      <c r="E17" s="28" t="n"/>
      <c r="F17" s="28" t="n"/>
      <c r="G17" s="27" t="n"/>
      <c r="H17" s="29">
        <f>IF(G17="Invoice",IF(ISNUMBER(F17),F17,""),IF(ISNUMBER(E17),E17,""))</f>
        <v/>
      </c>
      <c r="I17" s="30" t="n"/>
      <c r="J17" s="29">
        <f>IF(AND(ISNUMBER(H17),ISNUMBER(I17)),EDATE(H17,I17),"")</f>
        <v/>
      </c>
      <c r="K17" s="30" t="n"/>
      <c r="L17" s="29">
        <f>IF(AND(ISNUMBER(H17),ISNUMBER(K17)),EDATE(H17,K17),"")</f>
        <v/>
      </c>
      <c r="M17" s="29">
        <f>IF(COUNT(J17,L17)=0,"",IF(MIN(J17,L17)&gt;=TODAY(),MIN(J17,L17),MAX(J17,L17)))</f>
        <v/>
      </c>
      <c r="N17" s="31">
        <f>IF(ISNUMBER(M17),M17-TODAY(),"")</f>
        <v/>
      </c>
      <c r="O17" s="32">
        <f>IF(NOT(ISNUMBER(N17)),"",IF(OR(Q17="Taken",Q17="Declined"),"",IF(N17&lt;0,"Lapsed",IF(N17&lt;=7,7,IF(N17&lt;=30,30,IF(N17&lt;=60,60,IF(N17&lt;=90,90,"")))))))</f>
        <v/>
      </c>
      <c r="P17" s="27" t="n"/>
      <c r="Q17" s="27" t="n"/>
      <c r="R17" s="27" t="n"/>
      <c r="S17" s="27" t="n"/>
      <c r="T17" s="27" t="n"/>
    </row>
    <row r="18">
      <c r="A18" s="27" t="n"/>
      <c r="B18" s="27" t="n"/>
      <c r="C18" s="27" t="n"/>
      <c r="D18" s="27" t="n"/>
      <c r="E18" s="28" t="n"/>
      <c r="F18" s="28" t="n"/>
      <c r="G18" s="27" t="n"/>
      <c r="H18" s="29">
        <f>IF(G18="Invoice",IF(ISNUMBER(F18),F18,""),IF(ISNUMBER(E18),E18,""))</f>
        <v/>
      </c>
      <c r="I18" s="30" t="n"/>
      <c r="J18" s="29">
        <f>IF(AND(ISNUMBER(H18),ISNUMBER(I18)),EDATE(H18,I18),"")</f>
        <v/>
      </c>
      <c r="K18" s="30" t="n"/>
      <c r="L18" s="29">
        <f>IF(AND(ISNUMBER(H18),ISNUMBER(K18)),EDATE(H18,K18),"")</f>
        <v/>
      </c>
      <c r="M18" s="29">
        <f>IF(COUNT(J18,L18)=0,"",IF(MIN(J18,L18)&gt;=TODAY(),MIN(J18,L18),MAX(J18,L18)))</f>
        <v/>
      </c>
      <c r="N18" s="31">
        <f>IF(ISNUMBER(M18),M18-TODAY(),"")</f>
        <v/>
      </c>
      <c r="O18" s="32">
        <f>IF(NOT(ISNUMBER(N18)),"",IF(OR(Q18="Taken",Q18="Declined"),"",IF(N18&lt;0,"Lapsed",IF(N18&lt;=7,7,IF(N18&lt;=30,30,IF(N18&lt;=60,60,IF(N18&lt;=90,90,"")))))))</f>
        <v/>
      </c>
      <c r="P18" s="27" t="n"/>
      <c r="Q18" s="27" t="n"/>
      <c r="R18" s="27" t="n"/>
      <c r="S18" s="27" t="n"/>
      <c r="T18" s="27" t="n"/>
    </row>
    <row r="19">
      <c r="A19" s="27" t="n"/>
      <c r="B19" s="27" t="n"/>
      <c r="C19" s="27" t="n"/>
      <c r="D19" s="27" t="n"/>
      <c r="E19" s="28" t="n"/>
      <c r="F19" s="28" t="n"/>
      <c r="G19" s="27" t="n"/>
      <c r="H19" s="29">
        <f>IF(G19="Invoice",IF(ISNUMBER(F19),F19,""),IF(ISNUMBER(E19),E19,""))</f>
        <v/>
      </c>
      <c r="I19" s="30" t="n"/>
      <c r="J19" s="29">
        <f>IF(AND(ISNUMBER(H19),ISNUMBER(I19)),EDATE(H19,I19),"")</f>
        <v/>
      </c>
      <c r="K19" s="30" t="n"/>
      <c r="L19" s="29">
        <f>IF(AND(ISNUMBER(H19),ISNUMBER(K19)),EDATE(H19,K19),"")</f>
        <v/>
      </c>
      <c r="M19" s="29">
        <f>IF(COUNT(J19,L19)=0,"",IF(MIN(J19,L19)&gt;=TODAY(),MIN(J19,L19),MAX(J19,L19)))</f>
        <v/>
      </c>
      <c r="N19" s="31">
        <f>IF(ISNUMBER(M19),M19-TODAY(),"")</f>
        <v/>
      </c>
      <c r="O19" s="32">
        <f>IF(NOT(ISNUMBER(N19)),"",IF(OR(Q19="Taken",Q19="Declined"),"",IF(N19&lt;0,"Lapsed",IF(N19&lt;=7,7,IF(N19&lt;=30,30,IF(N19&lt;=60,60,IF(N19&lt;=90,90,"")))))))</f>
        <v/>
      </c>
      <c r="P19" s="27" t="n"/>
      <c r="Q19" s="27" t="n"/>
      <c r="R19" s="27" t="n"/>
      <c r="S19" s="27" t="n"/>
      <c r="T19" s="27" t="n"/>
    </row>
    <row r="20">
      <c r="A20" s="27" t="n"/>
      <c r="B20" s="27" t="n"/>
      <c r="C20" s="27" t="n"/>
      <c r="D20" s="27" t="n"/>
      <c r="E20" s="28" t="n"/>
      <c r="F20" s="28" t="n"/>
      <c r="G20" s="27" t="n"/>
      <c r="H20" s="29">
        <f>IF(G20="Invoice",IF(ISNUMBER(F20),F20,""),IF(ISNUMBER(E20),E20,""))</f>
        <v/>
      </c>
      <c r="I20" s="30" t="n"/>
      <c r="J20" s="29">
        <f>IF(AND(ISNUMBER(H20),ISNUMBER(I20)),EDATE(H20,I20),"")</f>
        <v/>
      </c>
      <c r="K20" s="30" t="n"/>
      <c r="L20" s="29">
        <f>IF(AND(ISNUMBER(H20),ISNUMBER(K20)),EDATE(H20,K20),"")</f>
        <v/>
      </c>
      <c r="M20" s="29">
        <f>IF(COUNT(J20,L20)=0,"",IF(MIN(J20,L20)&gt;=TODAY(),MIN(J20,L20),MAX(J20,L20)))</f>
        <v/>
      </c>
      <c r="N20" s="31">
        <f>IF(ISNUMBER(M20),M20-TODAY(),"")</f>
        <v/>
      </c>
      <c r="O20" s="32">
        <f>IF(NOT(ISNUMBER(N20)),"",IF(OR(Q20="Taken",Q20="Declined"),"",IF(N20&lt;0,"Lapsed",IF(N20&lt;=7,7,IF(N20&lt;=30,30,IF(N20&lt;=60,60,IF(N20&lt;=90,90,"")))))))</f>
        <v/>
      </c>
      <c r="P20" s="27" t="n"/>
      <c r="Q20" s="27" t="n"/>
      <c r="R20" s="27" t="n"/>
      <c r="S20" s="27" t="n"/>
      <c r="T20" s="27" t="n"/>
    </row>
    <row r="21">
      <c r="A21" s="27" t="n"/>
      <c r="B21" s="27" t="n"/>
      <c r="C21" s="27" t="n"/>
      <c r="D21" s="27" t="n"/>
      <c r="E21" s="28" t="n"/>
      <c r="F21" s="28" t="n"/>
      <c r="G21" s="27" t="n"/>
      <c r="H21" s="29">
        <f>IF(G21="Invoice",IF(ISNUMBER(F21),F21,""),IF(ISNUMBER(E21),E21,""))</f>
        <v/>
      </c>
      <c r="I21" s="30" t="n"/>
      <c r="J21" s="29">
        <f>IF(AND(ISNUMBER(H21),ISNUMBER(I21)),EDATE(H21,I21),"")</f>
        <v/>
      </c>
      <c r="K21" s="30" t="n"/>
      <c r="L21" s="29">
        <f>IF(AND(ISNUMBER(H21),ISNUMBER(K21)),EDATE(H21,K21),"")</f>
        <v/>
      </c>
      <c r="M21" s="29">
        <f>IF(COUNT(J21,L21)=0,"",IF(MIN(J21,L21)&gt;=TODAY(),MIN(J21,L21),MAX(J21,L21)))</f>
        <v/>
      </c>
      <c r="N21" s="31">
        <f>IF(ISNUMBER(M21),M21-TODAY(),"")</f>
        <v/>
      </c>
      <c r="O21" s="32">
        <f>IF(NOT(ISNUMBER(N21)),"",IF(OR(Q21="Taken",Q21="Declined"),"",IF(N21&lt;0,"Lapsed",IF(N21&lt;=7,7,IF(N21&lt;=30,30,IF(N21&lt;=60,60,IF(N21&lt;=90,90,"")))))))</f>
        <v/>
      </c>
      <c r="P21" s="27" t="n"/>
      <c r="Q21" s="27" t="n"/>
      <c r="R21" s="27" t="n"/>
      <c r="S21" s="27" t="n"/>
      <c r="T21" s="27" t="n"/>
    </row>
    <row r="22">
      <c r="A22" s="27" t="n"/>
      <c r="B22" s="27" t="n"/>
      <c r="C22" s="27" t="n"/>
      <c r="D22" s="27" t="n"/>
      <c r="E22" s="28" t="n"/>
      <c r="F22" s="28" t="n"/>
      <c r="G22" s="27" t="n"/>
      <c r="H22" s="29">
        <f>IF(G22="Invoice",IF(ISNUMBER(F22),F22,""),IF(ISNUMBER(E22),E22,""))</f>
        <v/>
      </c>
      <c r="I22" s="30" t="n"/>
      <c r="J22" s="29">
        <f>IF(AND(ISNUMBER(H22),ISNUMBER(I22)),EDATE(H22,I22),"")</f>
        <v/>
      </c>
      <c r="K22" s="30" t="n"/>
      <c r="L22" s="29">
        <f>IF(AND(ISNUMBER(H22),ISNUMBER(K22)),EDATE(H22,K22),"")</f>
        <v/>
      </c>
      <c r="M22" s="29">
        <f>IF(COUNT(J22,L22)=0,"",IF(MIN(J22,L22)&gt;=TODAY(),MIN(J22,L22),MAX(J22,L22)))</f>
        <v/>
      </c>
      <c r="N22" s="31">
        <f>IF(ISNUMBER(M22),M22-TODAY(),"")</f>
        <v/>
      </c>
      <c r="O22" s="32">
        <f>IF(NOT(ISNUMBER(N22)),"",IF(OR(Q22="Taken",Q22="Declined"),"",IF(N22&lt;0,"Lapsed",IF(N22&lt;=7,7,IF(N22&lt;=30,30,IF(N22&lt;=60,60,IF(N22&lt;=90,90,"")))))))</f>
        <v/>
      </c>
      <c r="P22" s="27" t="n"/>
      <c r="Q22" s="27" t="n"/>
      <c r="R22" s="27" t="n"/>
      <c r="S22" s="27" t="n"/>
      <c r="T22" s="27" t="n"/>
    </row>
    <row r="23">
      <c r="A23" s="27" t="n"/>
      <c r="B23" s="27" t="n"/>
      <c r="C23" s="27" t="n"/>
      <c r="D23" s="27" t="n"/>
      <c r="E23" s="28" t="n"/>
      <c r="F23" s="28" t="n"/>
      <c r="G23" s="27" t="n"/>
      <c r="H23" s="29">
        <f>IF(G23="Invoice",IF(ISNUMBER(F23),F23,""),IF(ISNUMBER(E23),E23,""))</f>
        <v/>
      </c>
      <c r="I23" s="30" t="n"/>
      <c r="J23" s="29">
        <f>IF(AND(ISNUMBER(H23),ISNUMBER(I23)),EDATE(H23,I23),"")</f>
        <v/>
      </c>
      <c r="K23" s="30" t="n"/>
      <c r="L23" s="29">
        <f>IF(AND(ISNUMBER(H23),ISNUMBER(K23)),EDATE(H23,K23),"")</f>
        <v/>
      </c>
      <c r="M23" s="29">
        <f>IF(COUNT(J23,L23)=0,"",IF(MIN(J23,L23)&gt;=TODAY(),MIN(J23,L23),MAX(J23,L23)))</f>
        <v/>
      </c>
      <c r="N23" s="31">
        <f>IF(ISNUMBER(M23),M23-TODAY(),"")</f>
        <v/>
      </c>
      <c r="O23" s="32">
        <f>IF(NOT(ISNUMBER(N23)),"",IF(OR(Q23="Taken",Q23="Declined"),"",IF(N23&lt;0,"Lapsed",IF(N23&lt;=7,7,IF(N23&lt;=30,30,IF(N23&lt;=60,60,IF(N23&lt;=90,90,"")))))))</f>
        <v/>
      </c>
      <c r="P23" s="27" t="n"/>
      <c r="Q23" s="27" t="n"/>
      <c r="R23" s="27" t="n"/>
      <c r="S23" s="27" t="n"/>
      <c r="T23" s="27" t="n"/>
    </row>
    <row r="24">
      <c r="A24" s="27" t="n"/>
      <c r="B24" s="27" t="n"/>
      <c r="C24" s="27" t="n"/>
      <c r="D24" s="27" t="n"/>
      <c r="E24" s="28" t="n"/>
      <c r="F24" s="28" t="n"/>
      <c r="G24" s="27" t="n"/>
      <c r="H24" s="29">
        <f>IF(G24="Invoice",IF(ISNUMBER(F24),F24,""),IF(ISNUMBER(E24),E24,""))</f>
        <v/>
      </c>
      <c r="I24" s="30" t="n"/>
      <c r="J24" s="29">
        <f>IF(AND(ISNUMBER(H24),ISNUMBER(I24)),EDATE(H24,I24),"")</f>
        <v/>
      </c>
      <c r="K24" s="30" t="n"/>
      <c r="L24" s="29">
        <f>IF(AND(ISNUMBER(H24),ISNUMBER(K24)),EDATE(H24,K24),"")</f>
        <v/>
      </c>
      <c r="M24" s="29">
        <f>IF(COUNT(J24,L24)=0,"",IF(MIN(J24,L24)&gt;=TODAY(),MIN(J24,L24),MAX(J24,L24)))</f>
        <v/>
      </c>
      <c r="N24" s="31">
        <f>IF(ISNUMBER(M24),M24-TODAY(),"")</f>
        <v/>
      </c>
      <c r="O24" s="32">
        <f>IF(NOT(ISNUMBER(N24)),"",IF(OR(Q24="Taken",Q24="Declined"),"",IF(N24&lt;0,"Lapsed",IF(N24&lt;=7,7,IF(N24&lt;=30,30,IF(N24&lt;=60,60,IF(N24&lt;=90,90,"")))))))</f>
        <v/>
      </c>
      <c r="P24" s="27" t="n"/>
      <c r="Q24" s="27" t="n"/>
      <c r="R24" s="27" t="n"/>
      <c r="S24" s="27" t="n"/>
      <c r="T24" s="27" t="n"/>
    </row>
    <row r="25">
      <c r="A25" s="27" t="n"/>
      <c r="B25" s="27" t="n"/>
      <c r="C25" s="27" t="n"/>
      <c r="D25" s="27" t="n"/>
      <c r="E25" s="28" t="n"/>
      <c r="F25" s="28" t="n"/>
      <c r="G25" s="27" t="n"/>
      <c r="H25" s="29">
        <f>IF(G25="Invoice",IF(ISNUMBER(F25),F25,""),IF(ISNUMBER(E25),E25,""))</f>
        <v/>
      </c>
      <c r="I25" s="30" t="n"/>
      <c r="J25" s="29">
        <f>IF(AND(ISNUMBER(H25),ISNUMBER(I25)),EDATE(H25,I25),"")</f>
        <v/>
      </c>
      <c r="K25" s="30" t="n"/>
      <c r="L25" s="29">
        <f>IF(AND(ISNUMBER(H25),ISNUMBER(K25)),EDATE(H25,K25),"")</f>
        <v/>
      </c>
      <c r="M25" s="29">
        <f>IF(COUNT(J25,L25)=0,"",IF(MIN(J25,L25)&gt;=TODAY(),MIN(J25,L25),MAX(J25,L25)))</f>
        <v/>
      </c>
      <c r="N25" s="31">
        <f>IF(ISNUMBER(M25),M25-TODAY(),"")</f>
        <v/>
      </c>
      <c r="O25" s="32">
        <f>IF(NOT(ISNUMBER(N25)),"",IF(OR(Q25="Taken",Q25="Declined"),"",IF(N25&lt;0,"Lapsed",IF(N25&lt;=7,7,IF(N25&lt;=30,30,IF(N25&lt;=60,60,IF(N25&lt;=90,90,"")))))))</f>
        <v/>
      </c>
      <c r="P25" s="27" t="n"/>
      <c r="Q25" s="27" t="n"/>
      <c r="R25" s="27" t="n"/>
      <c r="S25" s="27" t="n"/>
      <c r="T25" s="27" t="n"/>
    </row>
    <row r="26">
      <c r="A26" s="27" t="n"/>
      <c r="B26" s="27" t="n"/>
      <c r="C26" s="27" t="n"/>
      <c r="D26" s="27" t="n"/>
      <c r="E26" s="28" t="n"/>
      <c r="F26" s="28" t="n"/>
      <c r="G26" s="27" t="n"/>
      <c r="H26" s="29">
        <f>IF(G26="Invoice",IF(ISNUMBER(F26),F26,""),IF(ISNUMBER(E26),E26,""))</f>
        <v/>
      </c>
      <c r="I26" s="30" t="n"/>
      <c r="J26" s="29">
        <f>IF(AND(ISNUMBER(H26),ISNUMBER(I26)),EDATE(H26,I26),"")</f>
        <v/>
      </c>
      <c r="K26" s="30" t="n"/>
      <c r="L26" s="29">
        <f>IF(AND(ISNUMBER(H26),ISNUMBER(K26)),EDATE(H26,K26),"")</f>
        <v/>
      </c>
      <c r="M26" s="29">
        <f>IF(COUNT(J26,L26)=0,"",IF(MIN(J26,L26)&gt;=TODAY(),MIN(J26,L26),MAX(J26,L26)))</f>
        <v/>
      </c>
      <c r="N26" s="31">
        <f>IF(ISNUMBER(M26),M26-TODAY(),"")</f>
        <v/>
      </c>
      <c r="O26" s="32">
        <f>IF(NOT(ISNUMBER(N26)),"",IF(OR(Q26="Taken",Q26="Declined"),"",IF(N26&lt;0,"Lapsed",IF(N26&lt;=7,7,IF(N26&lt;=30,30,IF(N26&lt;=60,60,IF(N26&lt;=90,90,"")))))))</f>
        <v/>
      </c>
      <c r="P26" s="27" t="n"/>
      <c r="Q26" s="27" t="n"/>
      <c r="R26" s="27" t="n"/>
      <c r="S26" s="27" t="n"/>
      <c r="T26" s="27" t="n"/>
    </row>
    <row r="27">
      <c r="A27" s="27" t="n"/>
      <c r="B27" s="27" t="n"/>
      <c r="C27" s="27" t="n"/>
      <c r="D27" s="27" t="n"/>
      <c r="E27" s="28" t="n"/>
      <c r="F27" s="28" t="n"/>
      <c r="G27" s="27" t="n"/>
      <c r="H27" s="29">
        <f>IF(G27="Invoice",IF(ISNUMBER(F27),F27,""),IF(ISNUMBER(E27),E27,""))</f>
        <v/>
      </c>
      <c r="I27" s="30" t="n"/>
      <c r="J27" s="29">
        <f>IF(AND(ISNUMBER(H27),ISNUMBER(I27)),EDATE(H27,I27),"")</f>
        <v/>
      </c>
      <c r="K27" s="30" t="n"/>
      <c r="L27" s="29">
        <f>IF(AND(ISNUMBER(H27),ISNUMBER(K27)),EDATE(H27,K27),"")</f>
        <v/>
      </c>
      <c r="M27" s="29">
        <f>IF(COUNT(J27,L27)=0,"",IF(MIN(J27,L27)&gt;=TODAY(),MIN(J27,L27),MAX(J27,L27)))</f>
        <v/>
      </c>
      <c r="N27" s="31">
        <f>IF(ISNUMBER(M27),M27-TODAY(),"")</f>
        <v/>
      </c>
      <c r="O27" s="32">
        <f>IF(NOT(ISNUMBER(N27)),"",IF(OR(Q27="Taken",Q27="Declined"),"",IF(N27&lt;0,"Lapsed",IF(N27&lt;=7,7,IF(N27&lt;=30,30,IF(N27&lt;=60,60,IF(N27&lt;=90,90,"")))))))</f>
        <v/>
      </c>
      <c r="P27" s="27" t="n"/>
      <c r="Q27" s="27" t="n"/>
      <c r="R27" s="27" t="n"/>
      <c r="S27" s="27" t="n"/>
      <c r="T27" s="27" t="n"/>
    </row>
    <row r="28">
      <c r="A28" s="27" t="n"/>
      <c r="B28" s="27" t="n"/>
      <c r="C28" s="27" t="n"/>
      <c r="D28" s="27" t="n"/>
      <c r="E28" s="28" t="n"/>
      <c r="F28" s="28" t="n"/>
      <c r="G28" s="27" t="n"/>
      <c r="H28" s="29">
        <f>IF(G28="Invoice",IF(ISNUMBER(F28),F28,""),IF(ISNUMBER(E28),E28,""))</f>
        <v/>
      </c>
      <c r="I28" s="30" t="n"/>
      <c r="J28" s="29">
        <f>IF(AND(ISNUMBER(H28),ISNUMBER(I28)),EDATE(H28,I28),"")</f>
        <v/>
      </c>
      <c r="K28" s="30" t="n"/>
      <c r="L28" s="29">
        <f>IF(AND(ISNUMBER(H28),ISNUMBER(K28)),EDATE(H28,K28),"")</f>
        <v/>
      </c>
      <c r="M28" s="29">
        <f>IF(COUNT(J28,L28)=0,"",IF(MIN(J28,L28)&gt;=TODAY(),MIN(J28,L28),MAX(J28,L28)))</f>
        <v/>
      </c>
      <c r="N28" s="31">
        <f>IF(ISNUMBER(M28),M28-TODAY(),"")</f>
        <v/>
      </c>
      <c r="O28" s="32">
        <f>IF(NOT(ISNUMBER(N28)),"",IF(OR(Q28="Taken",Q28="Declined"),"",IF(N28&lt;0,"Lapsed",IF(N28&lt;=7,7,IF(N28&lt;=30,30,IF(N28&lt;=60,60,IF(N28&lt;=90,90,"")))))))</f>
        <v/>
      </c>
      <c r="P28" s="27" t="n"/>
      <c r="Q28" s="27" t="n"/>
      <c r="R28" s="27" t="n"/>
      <c r="S28" s="27" t="n"/>
      <c r="T28" s="27" t="n"/>
    </row>
    <row r="29">
      <c r="A29" s="27" t="n"/>
      <c r="B29" s="27" t="n"/>
      <c r="C29" s="27" t="n"/>
      <c r="D29" s="27" t="n"/>
      <c r="E29" s="28" t="n"/>
      <c r="F29" s="28" t="n"/>
      <c r="G29" s="27" t="n"/>
      <c r="H29" s="29">
        <f>IF(G29="Invoice",IF(ISNUMBER(F29),F29,""),IF(ISNUMBER(E29),E29,""))</f>
        <v/>
      </c>
      <c r="I29" s="30" t="n"/>
      <c r="J29" s="29">
        <f>IF(AND(ISNUMBER(H29),ISNUMBER(I29)),EDATE(H29,I29),"")</f>
        <v/>
      </c>
      <c r="K29" s="30" t="n"/>
      <c r="L29" s="29">
        <f>IF(AND(ISNUMBER(H29),ISNUMBER(K29)),EDATE(H29,K29),"")</f>
        <v/>
      </c>
      <c r="M29" s="29">
        <f>IF(COUNT(J29,L29)=0,"",IF(MIN(J29,L29)&gt;=TODAY(),MIN(J29,L29),MAX(J29,L29)))</f>
        <v/>
      </c>
      <c r="N29" s="31">
        <f>IF(ISNUMBER(M29),M29-TODAY(),"")</f>
        <v/>
      </c>
      <c r="O29" s="32">
        <f>IF(NOT(ISNUMBER(N29)),"",IF(OR(Q29="Taken",Q29="Declined"),"",IF(N29&lt;0,"Lapsed",IF(N29&lt;=7,7,IF(N29&lt;=30,30,IF(N29&lt;=60,60,IF(N29&lt;=90,90,"")))))))</f>
        <v/>
      </c>
      <c r="P29" s="27" t="n"/>
      <c r="Q29" s="27" t="n"/>
      <c r="R29" s="27" t="n"/>
      <c r="S29" s="27" t="n"/>
      <c r="T29" s="27" t="n"/>
    </row>
    <row r="30">
      <c r="A30" s="27" t="n"/>
      <c r="B30" s="27" t="n"/>
      <c r="C30" s="27" t="n"/>
      <c r="D30" s="27" t="n"/>
      <c r="E30" s="28" t="n"/>
      <c r="F30" s="28" t="n"/>
      <c r="G30" s="27" t="n"/>
      <c r="H30" s="29">
        <f>IF(G30="Invoice",IF(ISNUMBER(F30),F30,""),IF(ISNUMBER(E30),E30,""))</f>
        <v/>
      </c>
      <c r="I30" s="30" t="n"/>
      <c r="J30" s="29">
        <f>IF(AND(ISNUMBER(H30),ISNUMBER(I30)),EDATE(H30,I30),"")</f>
        <v/>
      </c>
      <c r="K30" s="30" t="n"/>
      <c r="L30" s="29">
        <f>IF(AND(ISNUMBER(H30),ISNUMBER(K30)),EDATE(H30,K30),"")</f>
        <v/>
      </c>
      <c r="M30" s="29">
        <f>IF(COUNT(J30,L30)=0,"",IF(MIN(J30,L30)&gt;=TODAY(),MIN(J30,L30),MAX(J30,L30)))</f>
        <v/>
      </c>
      <c r="N30" s="31">
        <f>IF(ISNUMBER(M30),M30-TODAY(),"")</f>
        <v/>
      </c>
      <c r="O30" s="32">
        <f>IF(NOT(ISNUMBER(N30)),"",IF(OR(Q30="Taken",Q30="Declined"),"",IF(N30&lt;0,"Lapsed",IF(N30&lt;=7,7,IF(N30&lt;=30,30,IF(N30&lt;=60,60,IF(N30&lt;=90,90,"")))))))</f>
        <v/>
      </c>
      <c r="P30" s="27" t="n"/>
      <c r="Q30" s="27" t="n"/>
      <c r="R30" s="27" t="n"/>
      <c r="S30" s="27" t="n"/>
      <c r="T30" s="27" t="n"/>
    </row>
    <row r="31">
      <c r="A31" s="27" t="n"/>
      <c r="B31" s="27" t="n"/>
      <c r="C31" s="27" t="n"/>
      <c r="D31" s="27" t="n"/>
      <c r="E31" s="28" t="n"/>
      <c r="F31" s="28" t="n"/>
      <c r="G31" s="27" t="n"/>
      <c r="H31" s="29">
        <f>IF(G31="Invoice",IF(ISNUMBER(F31),F31,""),IF(ISNUMBER(E31),E31,""))</f>
        <v/>
      </c>
      <c r="I31" s="30" t="n"/>
      <c r="J31" s="29">
        <f>IF(AND(ISNUMBER(H31),ISNUMBER(I31)),EDATE(H31,I31),"")</f>
        <v/>
      </c>
      <c r="K31" s="30" t="n"/>
      <c r="L31" s="29">
        <f>IF(AND(ISNUMBER(H31),ISNUMBER(K31)),EDATE(H31,K31),"")</f>
        <v/>
      </c>
      <c r="M31" s="29">
        <f>IF(COUNT(J31,L31)=0,"",IF(MIN(J31,L31)&gt;=TODAY(),MIN(J31,L31),MAX(J31,L31)))</f>
        <v/>
      </c>
      <c r="N31" s="31">
        <f>IF(ISNUMBER(M31),M31-TODAY(),"")</f>
        <v/>
      </c>
      <c r="O31" s="32">
        <f>IF(NOT(ISNUMBER(N31)),"",IF(OR(Q31="Taken",Q31="Declined"),"",IF(N31&lt;0,"Lapsed",IF(N31&lt;=7,7,IF(N31&lt;=30,30,IF(N31&lt;=60,60,IF(N31&lt;=90,90,"")))))))</f>
        <v/>
      </c>
      <c r="P31" s="27" t="n"/>
      <c r="Q31" s="27" t="n"/>
      <c r="R31" s="27" t="n"/>
      <c r="S31" s="27" t="n"/>
      <c r="T31" s="27" t="n"/>
    </row>
    <row r="32">
      <c r="A32" s="27" t="n"/>
      <c r="B32" s="27" t="n"/>
      <c r="C32" s="27" t="n"/>
      <c r="D32" s="27" t="n"/>
      <c r="E32" s="28" t="n"/>
      <c r="F32" s="28" t="n"/>
      <c r="G32" s="27" t="n"/>
      <c r="H32" s="29">
        <f>IF(G32="Invoice",IF(ISNUMBER(F32),F32,""),IF(ISNUMBER(E32),E32,""))</f>
        <v/>
      </c>
      <c r="I32" s="30" t="n"/>
      <c r="J32" s="29">
        <f>IF(AND(ISNUMBER(H32),ISNUMBER(I32)),EDATE(H32,I32),"")</f>
        <v/>
      </c>
      <c r="K32" s="30" t="n"/>
      <c r="L32" s="29">
        <f>IF(AND(ISNUMBER(H32),ISNUMBER(K32)),EDATE(H32,K32),"")</f>
        <v/>
      </c>
      <c r="M32" s="29">
        <f>IF(COUNT(J32,L32)=0,"",IF(MIN(J32,L32)&gt;=TODAY(),MIN(J32,L32),MAX(J32,L32)))</f>
        <v/>
      </c>
      <c r="N32" s="31">
        <f>IF(ISNUMBER(M32),M32-TODAY(),"")</f>
        <v/>
      </c>
      <c r="O32" s="32">
        <f>IF(NOT(ISNUMBER(N32)),"",IF(OR(Q32="Taken",Q32="Declined"),"",IF(N32&lt;0,"Lapsed",IF(N32&lt;=7,7,IF(N32&lt;=30,30,IF(N32&lt;=60,60,IF(N32&lt;=90,90,"")))))))</f>
        <v/>
      </c>
      <c r="P32" s="27" t="n"/>
      <c r="Q32" s="27" t="n"/>
      <c r="R32" s="27" t="n"/>
      <c r="S32" s="27" t="n"/>
      <c r="T32" s="27" t="n"/>
    </row>
    <row r="33">
      <c r="A33" s="27" t="n"/>
      <c r="B33" s="27" t="n"/>
      <c r="C33" s="27" t="n"/>
      <c r="D33" s="27" t="n"/>
      <c r="E33" s="28" t="n"/>
      <c r="F33" s="28" t="n"/>
      <c r="G33" s="27" t="n"/>
      <c r="H33" s="29">
        <f>IF(G33="Invoice",IF(ISNUMBER(F33),F33,""),IF(ISNUMBER(E33),E33,""))</f>
        <v/>
      </c>
      <c r="I33" s="30" t="n"/>
      <c r="J33" s="29">
        <f>IF(AND(ISNUMBER(H33),ISNUMBER(I33)),EDATE(H33,I33),"")</f>
        <v/>
      </c>
      <c r="K33" s="30" t="n"/>
      <c r="L33" s="29">
        <f>IF(AND(ISNUMBER(H33),ISNUMBER(K33)),EDATE(H33,K33),"")</f>
        <v/>
      </c>
      <c r="M33" s="29">
        <f>IF(COUNT(J33,L33)=0,"",IF(MIN(J33,L33)&gt;=TODAY(),MIN(J33,L33),MAX(J33,L33)))</f>
        <v/>
      </c>
      <c r="N33" s="31">
        <f>IF(ISNUMBER(M33),M33-TODAY(),"")</f>
        <v/>
      </c>
      <c r="O33" s="32">
        <f>IF(NOT(ISNUMBER(N33)),"",IF(OR(Q33="Taken",Q33="Declined"),"",IF(N33&lt;0,"Lapsed",IF(N33&lt;=7,7,IF(N33&lt;=30,30,IF(N33&lt;=60,60,IF(N33&lt;=90,90,"")))))))</f>
        <v/>
      </c>
      <c r="P33" s="27" t="n"/>
      <c r="Q33" s="27" t="n"/>
      <c r="R33" s="27" t="n"/>
      <c r="S33" s="27" t="n"/>
      <c r="T33" s="27" t="n"/>
    </row>
    <row r="34">
      <c r="A34" s="27" t="n"/>
      <c r="B34" s="27" t="n"/>
      <c r="C34" s="27" t="n"/>
      <c r="D34" s="27" t="n"/>
      <c r="E34" s="28" t="n"/>
      <c r="F34" s="28" t="n"/>
      <c r="G34" s="27" t="n"/>
      <c r="H34" s="29">
        <f>IF(G34="Invoice",IF(ISNUMBER(F34),F34,""),IF(ISNUMBER(E34),E34,""))</f>
        <v/>
      </c>
      <c r="I34" s="30" t="n"/>
      <c r="J34" s="29">
        <f>IF(AND(ISNUMBER(H34),ISNUMBER(I34)),EDATE(H34,I34),"")</f>
        <v/>
      </c>
      <c r="K34" s="30" t="n"/>
      <c r="L34" s="29">
        <f>IF(AND(ISNUMBER(H34),ISNUMBER(K34)),EDATE(H34,K34),"")</f>
        <v/>
      </c>
      <c r="M34" s="29">
        <f>IF(COUNT(J34,L34)=0,"",IF(MIN(J34,L34)&gt;=TODAY(),MIN(J34,L34),MAX(J34,L34)))</f>
        <v/>
      </c>
      <c r="N34" s="31">
        <f>IF(ISNUMBER(M34),M34-TODAY(),"")</f>
        <v/>
      </c>
      <c r="O34" s="32">
        <f>IF(NOT(ISNUMBER(N34)),"",IF(OR(Q34="Taken",Q34="Declined"),"",IF(N34&lt;0,"Lapsed",IF(N34&lt;=7,7,IF(N34&lt;=30,30,IF(N34&lt;=60,60,IF(N34&lt;=90,90,"")))))))</f>
        <v/>
      </c>
      <c r="P34" s="27" t="n"/>
      <c r="Q34" s="27" t="n"/>
      <c r="R34" s="27" t="n"/>
      <c r="S34" s="27" t="n"/>
      <c r="T34" s="27" t="n"/>
    </row>
    <row r="35">
      <c r="A35" s="27" t="n"/>
      <c r="B35" s="27" t="n"/>
      <c r="C35" s="27" t="n"/>
      <c r="D35" s="27" t="n"/>
      <c r="E35" s="28" t="n"/>
      <c r="F35" s="28" t="n"/>
      <c r="G35" s="27" t="n"/>
      <c r="H35" s="29">
        <f>IF(G35="Invoice",IF(ISNUMBER(F35),F35,""),IF(ISNUMBER(E35),E35,""))</f>
        <v/>
      </c>
      <c r="I35" s="30" t="n"/>
      <c r="J35" s="29">
        <f>IF(AND(ISNUMBER(H35),ISNUMBER(I35)),EDATE(H35,I35),"")</f>
        <v/>
      </c>
      <c r="K35" s="30" t="n"/>
      <c r="L35" s="29">
        <f>IF(AND(ISNUMBER(H35),ISNUMBER(K35)),EDATE(H35,K35),"")</f>
        <v/>
      </c>
      <c r="M35" s="29">
        <f>IF(COUNT(J35,L35)=0,"",IF(MIN(J35,L35)&gt;=TODAY(),MIN(J35,L35),MAX(J35,L35)))</f>
        <v/>
      </c>
      <c r="N35" s="31">
        <f>IF(ISNUMBER(M35),M35-TODAY(),"")</f>
        <v/>
      </c>
      <c r="O35" s="32">
        <f>IF(NOT(ISNUMBER(N35)),"",IF(OR(Q35="Taken",Q35="Declined"),"",IF(N35&lt;0,"Lapsed",IF(N35&lt;=7,7,IF(N35&lt;=30,30,IF(N35&lt;=60,60,IF(N35&lt;=90,90,"")))))))</f>
        <v/>
      </c>
      <c r="P35" s="27" t="n"/>
      <c r="Q35" s="27" t="n"/>
      <c r="R35" s="27" t="n"/>
      <c r="S35" s="27" t="n"/>
      <c r="T35" s="27" t="n"/>
    </row>
    <row r="36">
      <c r="A36" s="27" t="n"/>
      <c r="B36" s="27" t="n"/>
      <c r="C36" s="27" t="n"/>
      <c r="D36" s="27" t="n"/>
      <c r="E36" s="28" t="n"/>
      <c r="F36" s="28" t="n"/>
      <c r="G36" s="27" t="n"/>
      <c r="H36" s="29">
        <f>IF(G36="Invoice",IF(ISNUMBER(F36),F36,""),IF(ISNUMBER(E36),E36,""))</f>
        <v/>
      </c>
      <c r="I36" s="30" t="n"/>
      <c r="J36" s="29">
        <f>IF(AND(ISNUMBER(H36),ISNUMBER(I36)),EDATE(H36,I36),"")</f>
        <v/>
      </c>
      <c r="K36" s="30" t="n"/>
      <c r="L36" s="29">
        <f>IF(AND(ISNUMBER(H36),ISNUMBER(K36)),EDATE(H36,K36),"")</f>
        <v/>
      </c>
      <c r="M36" s="29">
        <f>IF(COUNT(J36,L36)=0,"",IF(MIN(J36,L36)&gt;=TODAY(),MIN(J36,L36),MAX(J36,L36)))</f>
        <v/>
      </c>
      <c r="N36" s="31">
        <f>IF(ISNUMBER(M36),M36-TODAY(),"")</f>
        <v/>
      </c>
      <c r="O36" s="32">
        <f>IF(NOT(ISNUMBER(N36)),"",IF(OR(Q36="Taken",Q36="Declined"),"",IF(N36&lt;0,"Lapsed",IF(N36&lt;=7,7,IF(N36&lt;=30,30,IF(N36&lt;=60,60,IF(N36&lt;=90,90,"")))))))</f>
        <v/>
      </c>
      <c r="P36" s="27" t="n"/>
      <c r="Q36" s="27" t="n"/>
      <c r="R36" s="27" t="n"/>
      <c r="S36" s="27" t="n"/>
      <c r="T36" s="27" t="n"/>
    </row>
    <row r="37">
      <c r="A37" s="27" t="n"/>
      <c r="B37" s="27" t="n"/>
      <c r="C37" s="27" t="n"/>
      <c r="D37" s="27" t="n"/>
      <c r="E37" s="28" t="n"/>
      <c r="F37" s="28" t="n"/>
      <c r="G37" s="27" t="n"/>
      <c r="H37" s="29">
        <f>IF(G37="Invoice",IF(ISNUMBER(F37),F37,""),IF(ISNUMBER(E37),E37,""))</f>
        <v/>
      </c>
      <c r="I37" s="30" t="n"/>
      <c r="J37" s="29">
        <f>IF(AND(ISNUMBER(H37),ISNUMBER(I37)),EDATE(H37,I37),"")</f>
        <v/>
      </c>
      <c r="K37" s="30" t="n"/>
      <c r="L37" s="29">
        <f>IF(AND(ISNUMBER(H37),ISNUMBER(K37)),EDATE(H37,K37),"")</f>
        <v/>
      </c>
      <c r="M37" s="29">
        <f>IF(COUNT(J37,L37)=0,"",IF(MIN(J37,L37)&gt;=TODAY(),MIN(J37,L37),MAX(J37,L37)))</f>
        <v/>
      </c>
      <c r="N37" s="31">
        <f>IF(ISNUMBER(M37),M37-TODAY(),"")</f>
        <v/>
      </c>
      <c r="O37" s="32">
        <f>IF(NOT(ISNUMBER(N37)),"",IF(OR(Q37="Taken",Q37="Declined"),"",IF(N37&lt;0,"Lapsed",IF(N37&lt;=7,7,IF(N37&lt;=30,30,IF(N37&lt;=60,60,IF(N37&lt;=90,90,"")))))))</f>
        <v/>
      </c>
      <c r="P37" s="27" t="n"/>
      <c r="Q37" s="27" t="n"/>
      <c r="R37" s="27" t="n"/>
      <c r="S37" s="27" t="n"/>
      <c r="T37" s="27" t="n"/>
    </row>
    <row r="38">
      <c r="A38" s="27" t="n"/>
      <c r="B38" s="27" t="n"/>
      <c r="C38" s="27" t="n"/>
      <c r="D38" s="27" t="n"/>
      <c r="E38" s="28" t="n"/>
      <c r="F38" s="28" t="n"/>
      <c r="G38" s="27" t="n"/>
      <c r="H38" s="29">
        <f>IF(G38="Invoice",IF(ISNUMBER(F38),F38,""),IF(ISNUMBER(E38),E38,""))</f>
        <v/>
      </c>
      <c r="I38" s="30" t="n"/>
      <c r="J38" s="29">
        <f>IF(AND(ISNUMBER(H38),ISNUMBER(I38)),EDATE(H38,I38),"")</f>
        <v/>
      </c>
      <c r="K38" s="30" t="n"/>
      <c r="L38" s="29">
        <f>IF(AND(ISNUMBER(H38),ISNUMBER(K38)),EDATE(H38,K38),"")</f>
        <v/>
      </c>
      <c r="M38" s="29">
        <f>IF(COUNT(J38,L38)=0,"",IF(MIN(J38,L38)&gt;=TODAY(),MIN(J38,L38),MAX(J38,L38)))</f>
        <v/>
      </c>
      <c r="N38" s="31">
        <f>IF(ISNUMBER(M38),M38-TODAY(),"")</f>
        <v/>
      </c>
      <c r="O38" s="32">
        <f>IF(NOT(ISNUMBER(N38)),"",IF(OR(Q38="Taken",Q38="Declined"),"",IF(N38&lt;0,"Lapsed",IF(N38&lt;=7,7,IF(N38&lt;=30,30,IF(N38&lt;=60,60,IF(N38&lt;=90,90,"")))))))</f>
        <v/>
      </c>
      <c r="P38" s="27" t="n"/>
      <c r="Q38" s="27" t="n"/>
      <c r="R38" s="27" t="n"/>
      <c r="S38" s="27" t="n"/>
      <c r="T38" s="27" t="n"/>
    </row>
    <row r="39">
      <c r="A39" s="27" t="n"/>
      <c r="B39" s="27" t="n"/>
      <c r="C39" s="27" t="n"/>
      <c r="D39" s="27" t="n"/>
      <c r="E39" s="28" t="n"/>
      <c r="F39" s="28" t="n"/>
      <c r="G39" s="27" t="n"/>
      <c r="H39" s="29">
        <f>IF(G39="Invoice",IF(ISNUMBER(F39),F39,""),IF(ISNUMBER(E39),E39,""))</f>
        <v/>
      </c>
      <c r="I39" s="30" t="n"/>
      <c r="J39" s="29">
        <f>IF(AND(ISNUMBER(H39),ISNUMBER(I39)),EDATE(H39,I39),"")</f>
        <v/>
      </c>
      <c r="K39" s="30" t="n"/>
      <c r="L39" s="29">
        <f>IF(AND(ISNUMBER(H39),ISNUMBER(K39)),EDATE(H39,K39),"")</f>
        <v/>
      </c>
      <c r="M39" s="29">
        <f>IF(COUNT(J39,L39)=0,"",IF(MIN(J39,L39)&gt;=TODAY(),MIN(J39,L39),MAX(J39,L39)))</f>
        <v/>
      </c>
      <c r="N39" s="31">
        <f>IF(ISNUMBER(M39),M39-TODAY(),"")</f>
        <v/>
      </c>
      <c r="O39" s="32">
        <f>IF(NOT(ISNUMBER(N39)),"",IF(OR(Q39="Taken",Q39="Declined"),"",IF(N39&lt;0,"Lapsed",IF(N39&lt;=7,7,IF(N39&lt;=30,30,IF(N39&lt;=60,60,IF(N39&lt;=90,90,"")))))))</f>
        <v/>
      </c>
      <c r="P39" s="27" t="n"/>
      <c r="Q39" s="27" t="n"/>
      <c r="R39" s="27" t="n"/>
      <c r="S39" s="27" t="n"/>
      <c r="T39" s="27" t="n"/>
    </row>
    <row r="40">
      <c r="A40" s="27" t="n"/>
      <c r="B40" s="27" t="n"/>
      <c r="C40" s="27" t="n"/>
      <c r="D40" s="27" t="n"/>
      <c r="E40" s="28" t="n"/>
      <c r="F40" s="28" t="n"/>
      <c r="G40" s="27" t="n"/>
      <c r="H40" s="29">
        <f>IF(G40="Invoice",IF(ISNUMBER(F40),F40,""),IF(ISNUMBER(E40),E40,""))</f>
        <v/>
      </c>
      <c r="I40" s="30" t="n"/>
      <c r="J40" s="29">
        <f>IF(AND(ISNUMBER(H40),ISNUMBER(I40)),EDATE(H40,I40),"")</f>
        <v/>
      </c>
      <c r="K40" s="30" t="n"/>
      <c r="L40" s="29">
        <f>IF(AND(ISNUMBER(H40),ISNUMBER(K40)),EDATE(H40,K40),"")</f>
        <v/>
      </c>
      <c r="M40" s="29">
        <f>IF(COUNT(J40,L40)=0,"",IF(MIN(J40,L40)&gt;=TODAY(),MIN(J40,L40),MAX(J40,L40)))</f>
        <v/>
      </c>
      <c r="N40" s="31">
        <f>IF(ISNUMBER(M40),M40-TODAY(),"")</f>
        <v/>
      </c>
      <c r="O40" s="32">
        <f>IF(NOT(ISNUMBER(N40)),"",IF(OR(Q40="Taken",Q40="Declined"),"",IF(N40&lt;0,"Lapsed",IF(N40&lt;=7,7,IF(N40&lt;=30,30,IF(N40&lt;=60,60,IF(N40&lt;=90,90,"")))))))</f>
        <v/>
      </c>
      <c r="P40" s="27" t="n"/>
      <c r="Q40" s="27" t="n"/>
      <c r="R40" s="27" t="n"/>
      <c r="S40" s="27" t="n"/>
      <c r="T40" s="27" t="n"/>
    </row>
    <row r="41">
      <c r="A41" s="27" t="n"/>
      <c r="B41" s="27" t="n"/>
      <c r="C41" s="27" t="n"/>
      <c r="D41" s="27" t="n"/>
      <c r="E41" s="28" t="n"/>
      <c r="F41" s="28" t="n"/>
      <c r="G41" s="27" t="n"/>
      <c r="H41" s="29">
        <f>IF(G41="Invoice",IF(ISNUMBER(F41),F41,""),IF(ISNUMBER(E41),E41,""))</f>
        <v/>
      </c>
      <c r="I41" s="30" t="n"/>
      <c r="J41" s="29">
        <f>IF(AND(ISNUMBER(H41),ISNUMBER(I41)),EDATE(H41,I41),"")</f>
        <v/>
      </c>
      <c r="K41" s="30" t="n"/>
      <c r="L41" s="29">
        <f>IF(AND(ISNUMBER(H41),ISNUMBER(K41)),EDATE(H41,K41),"")</f>
        <v/>
      </c>
      <c r="M41" s="29">
        <f>IF(COUNT(J41,L41)=0,"",IF(MIN(J41,L41)&gt;=TODAY(),MIN(J41,L41),MAX(J41,L41)))</f>
        <v/>
      </c>
      <c r="N41" s="31">
        <f>IF(ISNUMBER(M41),M41-TODAY(),"")</f>
        <v/>
      </c>
      <c r="O41" s="32">
        <f>IF(NOT(ISNUMBER(N41)),"",IF(OR(Q41="Taken",Q41="Declined"),"",IF(N41&lt;0,"Lapsed",IF(N41&lt;=7,7,IF(N41&lt;=30,30,IF(N41&lt;=60,60,IF(N41&lt;=90,90,"")))))))</f>
        <v/>
      </c>
      <c r="P41" s="27" t="n"/>
      <c r="Q41" s="27" t="n"/>
      <c r="R41" s="27" t="n"/>
      <c r="S41" s="27" t="n"/>
      <c r="T41" s="27" t="n"/>
    </row>
    <row r="42">
      <c r="A42" s="27" t="n"/>
      <c r="B42" s="27" t="n"/>
      <c r="C42" s="27" t="n"/>
      <c r="D42" s="27" t="n"/>
      <c r="E42" s="28" t="n"/>
      <c r="F42" s="28" t="n"/>
      <c r="G42" s="27" t="n"/>
      <c r="H42" s="29">
        <f>IF(G42="Invoice",IF(ISNUMBER(F42),F42,""),IF(ISNUMBER(E42),E42,""))</f>
        <v/>
      </c>
      <c r="I42" s="30" t="n"/>
      <c r="J42" s="29">
        <f>IF(AND(ISNUMBER(H42),ISNUMBER(I42)),EDATE(H42,I42),"")</f>
        <v/>
      </c>
      <c r="K42" s="30" t="n"/>
      <c r="L42" s="29">
        <f>IF(AND(ISNUMBER(H42),ISNUMBER(K42)),EDATE(H42,K42),"")</f>
        <v/>
      </c>
      <c r="M42" s="29">
        <f>IF(COUNT(J42,L42)=0,"",IF(MIN(J42,L42)&gt;=TODAY(),MIN(J42,L42),MAX(J42,L42)))</f>
        <v/>
      </c>
      <c r="N42" s="31">
        <f>IF(ISNUMBER(M42),M42-TODAY(),"")</f>
        <v/>
      </c>
      <c r="O42" s="32">
        <f>IF(NOT(ISNUMBER(N42)),"",IF(OR(Q42="Taken",Q42="Declined"),"",IF(N42&lt;0,"Lapsed",IF(N42&lt;=7,7,IF(N42&lt;=30,30,IF(N42&lt;=60,60,IF(N42&lt;=90,90,"")))))))</f>
        <v/>
      </c>
      <c r="P42" s="27" t="n"/>
      <c r="Q42" s="27" t="n"/>
      <c r="R42" s="27" t="n"/>
      <c r="S42" s="27" t="n"/>
      <c r="T42" s="27" t="n"/>
    </row>
    <row r="43">
      <c r="A43" s="27" t="n"/>
      <c r="B43" s="27" t="n"/>
      <c r="C43" s="27" t="n"/>
      <c r="D43" s="27" t="n"/>
      <c r="E43" s="28" t="n"/>
      <c r="F43" s="28" t="n"/>
      <c r="G43" s="27" t="n"/>
      <c r="H43" s="29">
        <f>IF(G43="Invoice",IF(ISNUMBER(F43),F43,""),IF(ISNUMBER(E43),E43,""))</f>
        <v/>
      </c>
      <c r="I43" s="30" t="n"/>
      <c r="J43" s="29">
        <f>IF(AND(ISNUMBER(H43),ISNUMBER(I43)),EDATE(H43,I43),"")</f>
        <v/>
      </c>
      <c r="K43" s="30" t="n"/>
      <c r="L43" s="29">
        <f>IF(AND(ISNUMBER(H43),ISNUMBER(K43)),EDATE(H43,K43),"")</f>
        <v/>
      </c>
      <c r="M43" s="29">
        <f>IF(COUNT(J43,L43)=0,"",IF(MIN(J43,L43)&gt;=TODAY(),MIN(J43,L43),MAX(J43,L43)))</f>
        <v/>
      </c>
      <c r="N43" s="31">
        <f>IF(ISNUMBER(M43),M43-TODAY(),"")</f>
        <v/>
      </c>
      <c r="O43" s="32">
        <f>IF(NOT(ISNUMBER(N43)),"",IF(OR(Q43="Taken",Q43="Declined"),"",IF(N43&lt;0,"Lapsed",IF(N43&lt;=7,7,IF(N43&lt;=30,30,IF(N43&lt;=60,60,IF(N43&lt;=90,90,"")))))))</f>
        <v/>
      </c>
      <c r="P43" s="27" t="n"/>
      <c r="Q43" s="27" t="n"/>
      <c r="R43" s="27" t="n"/>
      <c r="S43" s="27" t="n"/>
      <c r="T43" s="27" t="n"/>
    </row>
    <row r="44">
      <c r="A44" s="27" t="n"/>
      <c r="B44" s="27" t="n"/>
      <c r="C44" s="27" t="n"/>
      <c r="D44" s="27" t="n"/>
      <c r="E44" s="28" t="n"/>
      <c r="F44" s="28" t="n"/>
      <c r="G44" s="27" t="n"/>
      <c r="H44" s="29">
        <f>IF(G44="Invoice",IF(ISNUMBER(F44),F44,""),IF(ISNUMBER(E44),E44,""))</f>
        <v/>
      </c>
      <c r="I44" s="30" t="n"/>
      <c r="J44" s="29">
        <f>IF(AND(ISNUMBER(H44),ISNUMBER(I44)),EDATE(H44,I44),"")</f>
        <v/>
      </c>
      <c r="K44" s="30" t="n"/>
      <c r="L44" s="29">
        <f>IF(AND(ISNUMBER(H44),ISNUMBER(K44)),EDATE(H44,K44),"")</f>
        <v/>
      </c>
      <c r="M44" s="29">
        <f>IF(COUNT(J44,L44)=0,"",IF(MIN(J44,L44)&gt;=TODAY(),MIN(J44,L44),MAX(J44,L44)))</f>
        <v/>
      </c>
      <c r="N44" s="31">
        <f>IF(ISNUMBER(M44),M44-TODAY(),"")</f>
        <v/>
      </c>
      <c r="O44" s="32">
        <f>IF(NOT(ISNUMBER(N44)),"",IF(OR(Q44="Taken",Q44="Declined"),"",IF(N44&lt;0,"Lapsed",IF(N44&lt;=7,7,IF(N44&lt;=30,30,IF(N44&lt;=60,60,IF(N44&lt;=90,90,"")))))))</f>
        <v/>
      </c>
      <c r="P44" s="27" t="n"/>
      <c r="Q44" s="27" t="n"/>
      <c r="R44" s="27" t="n"/>
      <c r="S44" s="27" t="n"/>
      <c r="T44" s="27" t="n"/>
    </row>
    <row r="45">
      <c r="A45" s="27" t="n"/>
      <c r="B45" s="27" t="n"/>
      <c r="C45" s="27" t="n"/>
      <c r="D45" s="27" t="n"/>
      <c r="E45" s="28" t="n"/>
      <c r="F45" s="28" t="n"/>
      <c r="G45" s="27" t="n"/>
      <c r="H45" s="29">
        <f>IF(G45="Invoice",IF(ISNUMBER(F45),F45,""),IF(ISNUMBER(E45),E45,""))</f>
        <v/>
      </c>
      <c r="I45" s="30" t="n"/>
      <c r="J45" s="29">
        <f>IF(AND(ISNUMBER(H45),ISNUMBER(I45)),EDATE(H45,I45),"")</f>
        <v/>
      </c>
      <c r="K45" s="30" t="n"/>
      <c r="L45" s="29">
        <f>IF(AND(ISNUMBER(H45),ISNUMBER(K45)),EDATE(H45,K45),"")</f>
        <v/>
      </c>
      <c r="M45" s="29">
        <f>IF(COUNT(J45,L45)=0,"",IF(MIN(J45,L45)&gt;=TODAY(),MIN(J45,L45),MAX(J45,L45)))</f>
        <v/>
      </c>
      <c r="N45" s="31">
        <f>IF(ISNUMBER(M45),M45-TODAY(),"")</f>
        <v/>
      </c>
      <c r="O45" s="32">
        <f>IF(NOT(ISNUMBER(N45)),"",IF(OR(Q45="Taken",Q45="Declined"),"",IF(N45&lt;0,"Lapsed",IF(N45&lt;=7,7,IF(N45&lt;=30,30,IF(N45&lt;=60,60,IF(N45&lt;=90,90,"")))))))</f>
        <v/>
      </c>
      <c r="P45" s="27" t="n"/>
      <c r="Q45" s="27" t="n"/>
      <c r="R45" s="27" t="n"/>
      <c r="S45" s="27" t="n"/>
      <c r="T45" s="27" t="n"/>
    </row>
    <row r="46">
      <c r="A46" s="27" t="n"/>
      <c r="B46" s="27" t="n"/>
      <c r="C46" s="27" t="n"/>
      <c r="D46" s="27" t="n"/>
      <c r="E46" s="28" t="n"/>
      <c r="F46" s="28" t="n"/>
      <c r="G46" s="27" t="n"/>
      <c r="H46" s="29">
        <f>IF(G46="Invoice",IF(ISNUMBER(F46),F46,""),IF(ISNUMBER(E46),E46,""))</f>
        <v/>
      </c>
      <c r="I46" s="30" t="n"/>
      <c r="J46" s="29">
        <f>IF(AND(ISNUMBER(H46),ISNUMBER(I46)),EDATE(H46,I46),"")</f>
        <v/>
      </c>
      <c r="K46" s="30" t="n"/>
      <c r="L46" s="29">
        <f>IF(AND(ISNUMBER(H46),ISNUMBER(K46)),EDATE(H46,K46),"")</f>
        <v/>
      </c>
      <c r="M46" s="29">
        <f>IF(COUNT(J46,L46)=0,"",IF(MIN(J46,L46)&gt;=TODAY(),MIN(J46,L46),MAX(J46,L46)))</f>
        <v/>
      </c>
      <c r="N46" s="31">
        <f>IF(ISNUMBER(M46),M46-TODAY(),"")</f>
        <v/>
      </c>
      <c r="O46" s="32">
        <f>IF(NOT(ISNUMBER(N46)),"",IF(OR(Q46="Taken",Q46="Declined"),"",IF(N46&lt;0,"Lapsed",IF(N46&lt;=7,7,IF(N46&lt;=30,30,IF(N46&lt;=60,60,IF(N46&lt;=90,90,"")))))))</f>
        <v/>
      </c>
      <c r="P46" s="27" t="n"/>
      <c r="Q46" s="27" t="n"/>
      <c r="R46" s="27" t="n"/>
      <c r="S46" s="27" t="n"/>
      <c r="T46" s="27" t="n"/>
    </row>
    <row r="47">
      <c r="A47" s="27" t="n"/>
      <c r="B47" s="27" t="n"/>
      <c r="C47" s="27" t="n"/>
      <c r="D47" s="27" t="n"/>
      <c r="E47" s="28" t="n"/>
      <c r="F47" s="28" t="n"/>
      <c r="G47" s="27" t="n"/>
      <c r="H47" s="29">
        <f>IF(G47="Invoice",IF(ISNUMBER(F47),F47,""),IF(ISNUMBER(E47),E47,""))</f>
        <v/>
      </c>
      <c r="I47" s="30" t="n"/>
      <c r="J47" s="29">
        <f>IF(AND(ISNUMBER(H47),ISNUMBER(I47)),EDATE(H47,I47),"")</f>
        <v/>
      </c>
      <c r="K47" s="30" t="n"/>
      <c r="L47" s="29">
        <f>IF(AND(ISNUMBER(H47),ISNUMBER(K47)),EDATE(H47,K47),"")</f>
        <v/>
      </c>
      <c r="M47" s="29">
        <f>IF(COUNT(J47,L47)=0,"",IF(MIN(J47,L47)&gt;=TODAY(),MIN(J47,L47),MAX(J47,L47)))</f>
        <v/>
      </c>
      <c r="N47" s="31">
        <f>IF(ISNUMBER(M47),M47-TODAY(),"")</f>
        <v/>
      </c>
      <c r="O47" s="32">
        <f>IF(NOT(ISNUMBER(N47)),"",IF(OR(Q47="Taken",Q47="Declined"),"",IF(N47&lt;0,"Lapsed",IF(N47&lt;=7,7,IF(N47&lt;=30,30,IF(N47&lt;=60,60,IF(N47&lt;=90,90,"")))))))</f>
        <v/>
      </c>
      <c r="P47" s="27" t="n"/>
      <c r="Q47" s="27" t="n"/>
      <c r="R47" s="27" t="n"/>
      <c r="S47" s="27" t="n"/>
      <c r="T47" s="27" t="n"/>
    </row>
    <row r="48">
      <c r="A48" s="27" t="n"/>
      <c r="B48" s="27" t="n"/>
      <c r="C48" s="27" t="n"/>
      <c r="D48" s="27" t="n"/>
      <c r="E48" s="28" t="n"/>
      <c r="F48" s="28" t="n"/>
      <c r="G48" s="27" t="n"/>
      <c r="H48" s="29">
        <f>IF(G48="Invoice",IF(ISNUMBER(F48),F48,""),IF(ISNUMBER(E48),E48,""))</f>
        <v/>
      </c>
      <c r="I48" s="30" t="n"/>
      <c r="J48" s="29">
        <f>IF(AND(ISNUMBER(H48),ISNUMBER(I48)),EDATE(H48,I48),"")</f>
        <v/>
      </c>
      <c r="K48" s="30" t="n"/>
      <c r="L48" s="29">
        <f>IF(AND(ISNUMBER(H48),ISNUMBER(K48)),EDATE(H48,K48),"")</f>
        <v/>
      </c>
      <c r="M48" s="29">
        <f>IF(COUNT(J48,L48)=0,"",IF(MIN(J48,L48)&gt;=TODAY(),MIN(J48,L48),MAX(J48,L48)))</f>
        <v/>
      </c>
      <c r="N48" s="31">
        <f>IF(ISNUMBER(M48),M48-TODAY(),"")</f>
        <v/>
      </c>
      <c r="O48" s="32">
        <f>IF(NOT(ISNUMBER(N48)),"",IF(OR(Q48="Taken",Q48="Declined"),"",IF(N48&lt;0,"Lapsed",IF(N48&lt;=7,7,IF(N48&lt;=30,30,IF(N48&lt;=60,60,IF(N48&lt;=90,90,"")))))))</f>
        <v/>
      </c>
      <c r="P48" s="27" t="n"/>
      <c r="Q48" s="27" t="n"/>
      <c r="R48" s="27" t="n"/>
      <c r="S48" s="27" t="n"/>
      <c r="T48" s="27" t="n"/>
    </row>
    <row r="49">
      <c r="A49" s="27" t="n"/>
      <c r="B49" s="27" t="n"/>
      <c r="C49" s="27" t="n"/>
      <c r="D49" s="27" t="n"/>
      <c r="E49" s="28" t="n"/>
      <c r="F49" s="28" t="n"/>
      <c r="G49" s="27" t="n"/>
      <c r="H49" s="29">
        <f>IF(G49="Invoice",IF(ISNUMBER(F49),F49,""),IF(ISNUMBER(E49),E49,""))</f>
        <v/>
      </c>
      <c r="I49" s="30" t="n"/>
      <c r="J49" s="29">
        <f>IF(AND(ISNUMBER(H49),ISNUMBER(I49)),EDATE(H49,I49),"")</f>
        <v/>
      </c>
      <c r="K49" s="30" t="n"/>
      <c r="L49" s="29">
        <f>IF(AND(ISNUMBER(H49),ISNUMBER(K49)),EDATE(H49,K49),"")</f>
        <v/>
      </c>
      <c r="M49" s="29">
        <f>IF(COUNT(J49,L49)=0,"",IF(MIN(J49,L49)&gt;=TODAY(),MIN(J49,L49),MAX(J49,L49)))</f>
        <v/>
      </c>
      <c r="N49" s="31">
        <f>IF(ISNUMBER(M49),M49-TODAY(),"")</f>
        <v/>
      </c>
      <c r="O49" s="32">
        <f>IF(NOT(ISNUMBER(N49)),"",IF(OR(Q49="Taken",Q49="Declined"),"",IF(N49&lt;0,"Lapsed",IF(N49&lt;=7,7,IF(N49&lt;=30,30,IF(N49&lt;=60,60,IF(N49&lt;=90,90,"")))))))</f>
        <v/>
      </c>
      <c r="P49" s="27" t="n"/>
      <c r="Q49" s="27" t="n"/>
      <c r="R49" s="27" t="n"/>
      <c r="S49" s="27" t="n"/>
      <c r="T49" s="27" t="n"/>
    </row>
    <row r="50">
      <c r="A50" s="27" t="n"/>
      <c r="B50" s="27" t="n"/>
      <c r="C50" s="27" t="n"/>
      <c r="D50" s="27" t="n"/>
      <c r="E50" s="28" t="n"/>
      <c r="F50" s="28" t="n"/>
      <c r="G50" s="27" t="n"/>
      <c r="H50" s="29">
        <f>IF(G50="Invoice",IF(ISNUMBER(F50),F50,""),IF(ISNUMBER(E50),E50,""))</f>
        <v/>
      </c>
      <c r="I50" s="30" t="n"/>
      <c r="J50" s="29">
        <f>IF(AND(ISNUMBER(H50),ISNUMBER(I50)),EDATE(H50,I50),"")</f>
        <v/>
      </c>
      <c r="K50" s="30" t="n"/>
      <c r="L50" s="29">
        <f>IF(AND(ISNUMBER(H50),ISNUMBER(K50)),EDATE(H50,K50),"")</f>
        <v/>
      </c>
      <c r="M50" s="29">
        <f>IF(COUNT(J50,L50)=0,"",IF(MIN(J50,L50)&gt;=TODAY(),MIN(J50,L50),MAX(J50,L50)))</f>
        <v/>
      </c>
      <c r="N50" s="31">
        <f>IF(ISNUMBER(M50),M50-TODAY(),"")</f>
        <v/>
      </c>
      <c r="O50" s="32">
        <f>IF(NOT(ISNUMBER(N50)),"",IF(OR(Q50="Taken",Q50="Declined"),"",IF(N50&lt;0,"Lapsed",IF(N50&lt;=7,7,IF(N50&lt;=30,30,IF(N50&lt;=60,60,IF(N50&lt;=90,90,"")))))))</f>
        <v/>
      </c>
      <c r="P50" s="27" t="n"/>
      <c r="Q50" s="27" t="n"/>
      <c r="R50" s="27" t="n"/>
      <c r="S50" s="27" t="n"/>
      <c r="T50" s="27" t="n"/>
    </row>
    <row r="51">
      <c r="A51" s="27" t="n"/>
      <c r="B51" s="27" t="n"/>
      <c r="C51" s="27" t="n"/>
      <c r="D51" s="27" t="n"/>
      <c r="E51" s="28" t="n"/>
      <c r="F51" s="28" t="n"/>
      <c r="G51" s="27" t="n"/>
      <c r="H51" s="29">
        <f>IF(G51="Invoice",IF(ISNUMBER(F51),F51,""),IF(ISNUMBER(E51),E51,""))</f>
        <v/>
      </c>
      <c r="I51" s="30" t="n"/>
      <c r="J51" s="29">
        <f>IF(AND(ISNUMBER(H51),ISNUMBER(I51)),EDATE(H51,I51),"")</f>
        <v/>
      </c>
      <c r="K51" s="30" t="n"/>
      <c r="L51" s="29">
        <f>IF(AND(ISNUMBER(H51),ISNUMBER(K51)),EDATE(H51,K51),"")</f>
        <v/>
      </c>
      <c r="M51" s="29">
        <f>IF(COUNT(J51,L51)=0,"",IF(MIN(J51,L51)&gt;=TODAY(),MIN(J51,L51),MAX(J51,L51)))</f>
        <v/>
      </c>
      <c r="N51" s="31">
        <f>IF(ISNUMBER(M51),M51-TODAY(),"")</f>
        <v/>
      </c>
      <c r="O51" s="32">
        <f>IF(NOT(ISNUMBER(N51)),"",IF(OR(Q51="Taken",Q51="Declined"),"",IF(N51&lt;0,"Lapsed",IF(N51&lt;=7,7,IF(N51&lt;=30,30,IF(N51&lt;=60,60,IF(N51&lt;=90,90,"")))))))</f>
        <v/>
      </c>
      <c r="P51" s="27" t="n"/>
      <c r="Q51" s="27" t="n"/>
      <c r="R51" s="27" t="n"/>
      <c r="S51" s="27" t="n"/>
      <c r="T51" s="27" t="n"/>
    </row>
    <row r="52">
      <c r="A52" s="27" t="n"/>
      <c r="B52" s="27" t="n"/>
      <c r="C52" s="27" t="n"/>
      <c r="D52" s="27" t="n"/>
      <c r="E52" s="28" t="n"/>
      <c r="F52" s="28" t="n"/>
      <c r="G52" s="27" t="n"/>
      <c r="H52" s="29">
        <f>IF(G52="Invoice",IF(ISNUMBER(F52),F52,""),IF(ISNUMBER(E52),E52,""))</f>
        <v/>
      </c>
      <c r="I52" s="30" t="n"/>
      <c r="J52" s="29">
        <f>IF(AND(ISNUMBER(H52),ISNUMBER(I52)),EDATE(H52,I52),"")</f>
        <v/>
      </c>
      <c r="K52" s="30" t="n"/>
      <c r="L52" s="29">
        <f>IF(AND(ISNUMBER(H52),ISNUMBER(K52)),EDATE(H52,K52),"")</f>
        <v/>
      </c>
      <c r="M52" s="29">
        <f>IF(COUNT(J52,L52)=0,"",IF(MIN(J52,L52)&gt;=TODAY(),MIN(J52,L52),MAX(J52,L52)))</f>
        <v/>
      </c>
      <c r="N52" s="31">
        <f>IF(ISNUMBER(M52),M52-TODAY(),"")</f>
        <v/>
      </c>
      <c r="O52" s="32">
        <f>IF(NOT(ISNUMBER(N52)),"",IF(OR(Q52="Taken",Q52="Declined"),"",IF(N52&lt;0,"Lapsed",IF(N52&lt;=7,7,IF(N52&lt;=30,30,IF(N52&lt;=60,60,IF(N52&lt;=90,90,"")))))))</f>
        <v/>
      </c>
      <c r="P52" s="27" t="n"/>
      <c r="Q52" s="27" t="n"/>
      <c r="R52" s="27" t="n"/>
      <c r="S52" s="27" t="n"/>
      <c r="T52" s="27" t="n"/>
    </row>
    <row r="53">
      <c r="A53" s="27" t="n"/>
      <c r="B53" s="27" t="n"/>
      <c r="C53" s="27" t="n"/>
      <c r="D53" s="27" t="n"/>
      <c r="E53" s="28" t="n"/>
      <c r="F53" s="28" t="n"/>
      <c r="G53" s="27" t="n"/>
      <c r="H53" s="29">
        <f>IF(G53="Invoice",IF(ISNUMBER(F53),F53,""),IF(ISNUMBER(E53),E53,""))</f>
        <v/>
      </c>
      <c r="I53" s="30" t="n"/>
      <c r="J53" s="29">
        <f>IF(AND(ISNUMBER(H53),ISNUMBER(I53)),EDATE(H53,I53),"")</f>
        <v/>
      </c>
      <c r="K53" s="30" t="n"/>
      <c r="L53" s="29">
        <f>IF(AND(ISNUMBER(H53),ISNUMBER(K53)),EDATE(H53,K53),"")</f>
        <v/>
      </c>
      <c r="M53" s="29">
        <f>IF(COUNT(J53,L53)=0,"",IF(MIN(J53,L53)&gt;=TODAY(),MIN(J53,L53),MAX(J53,L53)))</f>
        <v/>
      </c>
      <c r="N53" s="31">
        <f>IF(ISNUMBER(M53),M53-TODAY(),"")</f>
        <v/>
      </c>
      <c r="O53" s="32">
        <f>IF(NOT(ISNUMBER(N53)),"",IF(OR(Q53="Taken",Q53="Declined"),"",IF(N53&lt;0,"Lapsed",IF(N53&lt;=7,7,IF(N53&lt;=30,30,IF(N53&lt;=60,60,IF(N53&lt;=90,90,"")))))))</f>
        <v/>
      </c>
      <c r="P53" s="27" t="n"/>
      <c r="Q53" s="27" t="n"/>
      <c r="R53" s="27" t="n"/>
      <c r="S53" s="27" t="n"/>
      <c r="T53" s="27" t="n"/>
    </row>
    <row r="54">
      <c r="A54" s="27" t="n"/>
      <c r="B54" s="27" t="n"/>
      <c r="C54" s="27" t="n"/>
      <c r="D54" s="27" t="n"/>
      <c r="E54" s="28" t="n"/>
      <c r="F54" s="28" t="n"/>
      <c r="G54" s="27" t="n"/>
      <c r="H54" s="29">
        <f>IF(G54="Invoice",IF(ISNUMBER(F54),F54,""),IF(ISNUMBER(E54),E54,""))</f>
        <v/>
      </c>
      <c r="I54" s="30" t="n"/>
      <c r="J54" s="29">
        <f>IF(AND(ISNUMBER(H54),ISNUMBER(I54)),EDATE(H54,I54),"")</f>
        <v/>
      </c>
      <c r="K54" s="30" t="n"/>
      <c r="L54" s="29">
        <f>IF(AND(ISNUMBER(H54),ISNUMBER(K54)),EDATE(H54,K54),"")</f>
        <v/>
      </c>
      <c r="M54" s="29">
        <f>IF(COUNT(J54,L54)=0,"",IF(MIN(J54,L54)&gt;=TODAY(),MIN(J54,L54),MAX(J54,L54)))</f>
        <v/>
      </c>
      <c r="N54" s="31">
        <f>IF(ISNUMBER(M54),M54-TODAY(),"")</f>
        <v/>
      </c>
      <c r="O54" s="32">
        <f>IF(NOT(ISNUMBER(N54)),"",IF(OR(Q54="Taken",Q54="Declined"),"",IF(N54&lt;0,"Lapsed",IF(N54&lt;=7,7,IF(N54&lt;=30,30,IF(N54&lt;=60,60,IF(N54&lt;=90,90,"")))))))</f>
        <v/>
      </c>
      <c r="P54" s="27" t="n"/>
      <c r="Q54" s="27" t="n"/>
      <c r="R54" s="27" t="n"/>
      <c r="S54" s="27" t="n"/>
      <c r="T54" s="27" t="n"/>
    </row>
    <row r="55">
      <c r="A55" s="27" t="n"/>
      <c r="B55" s="27" t="n"/>
      <c r="C55" s="27" t="n"/>
      <c r="D55" s="27" t="n"/>
      <c r="E55" s="28" t="n"/>
      <c r="F55" s="28" t="n"/>
      <c r="G55" s="27" t="n"/>
      <c r="H55" s="29">
        <f>IF(G55="Invoice",IF(ISNUMBER(F55),F55,""),IF(ISNUMBER(E55),E55,""))</f>
        <v/>
      </c>
      <c r="I55" s="30" t="n"/>
      <c r="J55" s="29">
        <f>IF(AND(ISNUMBER(H55),ISNUMBER(I55)),EDATE(H55,I55),"")</f>
        <v/>
      </c>
      <c r="K55" s="30" t="n"/>
      <c r="L55" s="29">
        <f>IF(AND(ISNUMBER(H55),ISNUMBER(K55)),EDATE(H55,K55),"")</f>
        <v/>
      </c>
      <c r="M55" s="29">
        <f>IF(COUNT(J55,L55)=0,"",IF(MIN(J55,L55)&gt;=TODAY(),MIN(J55,L55),MAX(J55,L55)))</f>
        <v/>
      </c>
      <c r="N55" s="31">
        <f>IF(ISNUMBER(M55),M55-TODAY(),"")</f>
        <v/>
      </c>
      <c r="O55" s="32">
        <f>IF(NOT(ISNUMBER(N55)),"",IF(OR(Q55="Taken",Q55="Declined"),"",IF(N55&lt;0,"Lapsed",IF(N55&lt;=7,7,IF(N55&lt;=30,30,IF(N55&lt;=60,60,IF(N55&lt;=90,90,"")))))))</f>
        <v/>
      </c>
      <c r="P55" s="27" t="n"/>
      <c r="Q55" s="27" t="n"/>
      <c r="R55" s="27" t="n"/>
      <c r="S55" s="27" t="n"/>
      <c r="T55" s="27" t="n"/>
    </row>
    <row r="56">
      <c r="A56" s="27" t="n"/>
      <c r="B56" s="27" t="n"/>
      <c r="C56" s="27" t="n"/>
      <c r="D56" s="27" t="n"/>
      <c r="E56" s="28" t="n"/>
      <c r="F56" s="28" t="n"/>
      <c r="G56" s="27" t="n"/>
      <c r="H56" s="29">
        <f>IF(G56="Invoice",IF(ISNUMBER(F56),F56,""),IF(ISNUMBER(E56),E56,""))</f>
        <v/>
      </c>
      <c r="I56" s="30" t="n"/>
      <c r="J56" s="29">
        <f>IF(AND(ISNUMBER(H56),ISNUMBER(I56)),EDATE(H56,I56),"")</f>
        <v/>
      </c>
      <c r="K56" s="30" t="n"/>
      <c r="L56" s="29">
        <f>IF(AND(ISNUMBER(H56),ISNUMBER(K56)),EDATE(H56,K56),"")</f>
        <v/>
      </c>
      <c r="M56" s="29">
        <f>IF(COUNT(J56,L56)=0,"",IF(MIN(J56,L56)&gt;=TODAY(),MIN(J56,L56),MAX(J56,L56)))</f>
        <v/>
      </c>
      <c r="N56" s="31">
        <f>IF(ISNUMBER(M56),M56-TODAY(),"")</f>
        <v/>
      </c>
      <c r="O56" s="32">
        <f>IF(NOT(ISNUMBER(N56)),"",IF(OR(Q56="Taken",Q56="Declined"),"",IF(N56&lt;0,"Lapsed",IF(N56&lt;=7,7,IF(N56&lt;=30,30,IF(N56&lt;=60,60,IF(N56&lt;=90,90,"")))))))</f>
        <v/>
      </c>
      <c r="P56" s="27" t="n"/>
      <c r="Q56" s="27" t="n"/>
      <c r="R56" s="27" t="n"/>
      <c r="S56" s="27" t="n"/>
      <c r="T56" s="27" t="n"/>
    </row>
    <row r="57">
      <c r="A57" s="27" t="n"/>
      <c r="B57" s="27" t="n"/>
      <c r="C57" s="27" t="n"/>
      <c r="D57" s="27" t="n"/>
      <c r="E57" s="28" t="n"/>
      <c r="F57" s="28" t="n"/>
      <c r="G57" s="27" t="n"/>
      <c r="H57" s="29">
        <f>IF(G57="Invoice",IF(ISNUMBER(F57),F57,""),IF(ISNUMBER(E57),E57,""))</f>
        <v/>
      </c>
      <c r="I57" s="30" t="n"/>
      <c r="J57" s="29">
        <f>IF(AND(ISNUMBER(H57),ISNUMBER(I57)),EDATE(H57,I57),"")</f>
        <v/>
      </c>
      <c r="K57" s="30" t="n"/>
      <c r="L57" s="29">
        <f>IF(AND(ISNUMBER(H57),ISNUMBER(K57)),EDATE(H57,K57),"")</f>
        <v/>
      </c>
      <c r="M57" s="29">
        <f>IF(COUNT(J57,L57)=0,"",IF(MIN(J57,L57)&gt;=TODAY(),MIN(J57,L57),MAX(J57,L57)))</f>
        <v/>
      </c>
      <c r="N57" s="31">
        <f>IF(ISNUMBER(M57),M57-TODAY(),"")</f>
        <v/>
      </c>
      <c r="O57" s="32">
        <f>IF(NOT(ISNUMBER(N57)),"",IF(OR(Q57="Taken",Q57="Declined"),"",IF(N57&lt;0,"Lapsed",IF(N57&lt;=7,7,IF(N57&lt;=30,30,IF(N57&lt;=60,60,IF(N57&lt;=90,90,"")))))))</f>
        <v/>
      </c>
      <c r="P57" s="27" t="n"/>
      <c r="Q57" s="27" t="n"/>
      <c r="R57" s="27" t="n"/>
      <c r="S57" s="27" t="n"/>
      <c r="T57" s="27" t="n"/>
    </row>
    <row r="58">
      <c r="A58" s="27" t="n"/>
      <c r="B58" s="27" t="n"/>
      <c r="C58" s="27" t="n"/>
      <c r="D58" s="27" t="n"/>
      <c r="E58" s="28" t="n"/>
      <c r="F58" s="28" t="n"/>
      <c r="G58" s="27" t="n"/>
      <c r="H58" s="29">
        <f>IF(G58="Invoice",IF(ISNUMBER(F58),F58,""),IF(ISNUMBER(E58),E58,""))</f>
        <v/>
      </c>
      <c r="I58" s="30" t="n"/>
      <c r="J58" s="29">
        <f>IF(AND(ISNUMBER(H58),ISNUMBER(I58)),EDATE(H58,I58),"")</f>
        <v/>
      </c>
      <c r="K58" s="30" t="n"/>
      <c r="L58" s="29">
        <f>IF(AND(ISNUMBER(H58),ISNUMBER(K58)),EDATE(H58,K58),"")</f>
        <v/>
      </c>
      <c r="M58" s="29">
        <f>IF(COUNT(J58,L58)=0,"",IF(MIN(J58,L58)&gt;=TODAY(),MIN(J58,L58),MAX(J58,L58)))</f>
        <v/>
      </c>
      <c r="N58" s="31">
        <f>IF(ISNUMBER(M58),M58-TODAY(),"")</f>
        <v/>
      </c>
      <c r="O58" s="32">
        <f>IF(NOT(ISNUMBER(N58)),"",IF(OR(Q58="Taken",Q58="Declined"),"",IF(N58&lt;0,"Lapsed",IF(N58&lt;=7,7,IF(N58&lt;=30,30,IF(N58&lt;=60,60,IF(N58&lt;=90,90,"")))))))</f>
        <v/>
      </c>
      <c r="P58" s="27" t="n"/>
      <c r="Q58" s="27" t="n"/>
      <c r="R58" s="27" t="n"/>
      <c r="S58" s="27" t="n"/>
      <c r="T58" s="27" t="n"/>
    </row>
    <row r="59">
      <c r="A59" s="27" t="n"/>
      <c r="B59" s="27" t="n"/>
      <c r="C59" s="27" t="n"/>
      <c r="D59" s="27" t="n"/>
      <c r="E59" s="28" t="n"/>
      <c r="F59" s="28" t="n"/>
      <c r="G59" s="27" t="n"/>
      <c r="H59" s="29">
        <f>IF(G59="Invoice",IF(ISNUMBER(F59),F59,""),IF(ISNUMBER(E59),E59,""))</f>
        <v/>
      </c>
      <c r="I59" s="30" t="n"/>
      <c r="J59" s="29">
        <f>IF(AND(ISNUMBER(H59),ISNUMBER(I59)),EDATE(H59,I59),"")</f>
        <v/>
      </c>
      <c r="K59" s="30" t="n"/>
      <c r="L59" s="29">
        <f>IF(AND(ISNUMBER(H59),ISNUMBER(K59)),EDATE(H59,K59),"")</f>
        <v/>
      </c>
      <c r="M59" s="29">
        <f>IF(COUNT(J59,L59)=0,"",IF(MIN(J59,L59)&gt;=TODAY(),MIN(J59,L59),MAX(J59,L59)))</f>
        <v/>
      </c>
      <c r="N59" s="31">
        <f>IF(ISNUMBER(M59),M59-TODAY(),"")</f>
        <v/>
      </c>
      <c r="O59" s="32">
        <f>IF(NOT(ISNUMBER(N59)),"",IF(OR(Q59="Taken",Q59="Declined"),"",IF(N59&lt;0,"Lapsed",IF(N59&lt;=7,7,IF(N59&lt;=30,30,IF(N59&lt;=60,60,IF(N59&lt;=90,90,"")))))))</f>
        <v/>
      </c>
      <c r="P59" s="27" t="n"/>
      <c r="Q59" s="27" t="n"/>
      <c r="R59" s="27" t="n"/>
      <c r="S59" s="27" t="n"/>
      <c r="T59" s="27" t="n"/>
    </row>
    <row r="60">
      <c r="A60" s="27" t="n"/>
      <c r="B60" s="27" t="n"/>
      <c r="C60" s="27" t="n"/>
      <c r="D60" s="27" t="n"/>
      <c r="E60" s="28" t="n"/>
      <c r="F60" s="28" t="n"/>
      <c r="G60" s="27" t="n"/>
      <c r="H60" s="29">
        <f>IF(G60="Invoice",IF(ISNUMBER(F60),F60,""),IF(ISNUMBER(E60),E60,""))</f>
        <v/>
      </c>
      <c r="I60" s="30" t="n"/>
      <c r="J60" s="29">
        <f>IF(AND(ISNUMBER(H60),ISNUMBER(I60)),EDATE(H60,I60),"")</f>
        <v/>
      </c>
      <c r="K60" s="30" t="n"/>
      <c r="L60" s="29">
        <f>IF(AND(ISNUMBER(H60),ISNUMBER(K60)),EDATE(H60,K60),"")</f>
        <v/>
      </c>
      <c r="M60" s="29">
        <f>IF(COUNT(J60,L60)=0,"",IF(MIN(J60,L60)&gt;=TODAY(),MIN(J60,L60),MAX(J60,L60)))</f>
        <v/>
      </c>
      <c r="N60" s="31">
        <f>IF(ISNUMBER(M60),M60-TODAY(),"")</f>
        <v/>
      </c>
      <c r="O60" s="32">
        <f>IF(NOT(ISNUMBER(N60)),"",IF(OR(Q60="Taken",Q60="Declined"),"",IF(N60&lt;0,"Lapsed",IF(N60&lt;=7,7,IF(N60&lt;=30,30,IF(N60&lt;=60,60,IF(N60&lt;=90,90,"")))))))</f>
        <v/>
      </c>
      <c r="P60" s="27" t="n"/>
      <c r="Q60" s="27" t="n"/>
      <c r="R60" s="27" t="n"/>
      <c r="S60" s="27" t="n"/>
      <c r="T60" s="27" t="n"/>
    </row>
    <row r="61">
      <c r="A61" s="27" t="n"/>
      <c r="B61" s="27" t="n"/>
      <c r="C61" s="27" t="n"/>
      <c r="D61" s="27" t="n"/>
      <c r="E61" s="28" t="n"/>
      <c r="F61" s="28" t="n"/>
      <c r="G61" s="27" t="n"/>
      <c r="H61" s="29">
        <f>IF(G61="Invoice",IF(ISNUMBER(F61),F61,""),IF(ISNUMBER(E61),E61,""))</f>
        <v/>
      </c>
      <c r="I61" s="30" t="n"/>
      <c r="J61" s="29">
        <f>IF(AND(ISNUMBER(H61),ISNUMBER(I61)),EDATE(H61,I61),"")</f>
        <v/>
      </c>
      <c r="K61" s="30" t="n"/>
      <c r="L61" s="29">
        <f>IF(AND(ISNUMBER(H61),ISNUMBER(K61)),EDATE(H61,K61),"")</f>
        <v/>
      </c>
      <c r="M61" s="29">
        <f>IF(COUNT(J61,L61)=0,"",IF(MIN(J61,L61)&gt;=TODAY(),MIN(J61,L61),MAX(J61,L61)))</f>
        <v/>
      </c>
      <c r="N61" s="31">
        <f>IF(ISNUMBER(M61),M61-TODAY(),"")</f>
        <v/>
      </c>
      <c r="O61" s="32">
        <f>IF(NOT(ISNUMBER(N61)),"",IF(OR(Q61="Taken",Q61="Declined"),"",IF(N61&lt;0,"Lapsed",IF(N61&lt;=7,7,IF(N61&lt;=30,30,IF(N61&lt;=60,60,IF(N61&lt;=90,90,"")))))))</f>
        <v/>
      </c>
      <c r="P61" s="27" t="n"/>
      <c r="Q61" s="27" t="n"/>
      <c r="R61" s="27" t="n"/>
      <c r="S61" s="27" t="n"/>
      <c r="T61" s="27" t="n"/>
    </row>
    <row r="62">
      <c r="A62" s="27" t="n"/>
      <c r="B62" s="27" t="n"/>
      <c r="C62" s="27" t="n"/>
      <c r="D62" s="27" t="n"/>
      <c r="E62" s="28" t="n"/>
      <c r="F62" s="28" t="n"/>
      <c r="G62" s="27" t="n"/>
      <c r="H62" s="29">
        <f>IF(G62="Invoice",IF(ISNUMBER(F62),F62,""),IF(ISNUMBER(E62),E62,""))</f>
        <v/>
      </c>
      <c r="I62" s="30" t="n"/>
      <c r="J62" s="29">
        <f>IF(AND(ISNUMBER(H62),ISNUMBER(I62)),EDATE(H62,I62),"")</f>
        <v/>
      </c>
      <c r="K62" s="30" t="n"/>
      <c r="L62" s="29">
        <f>IF(AND(ISNUMBER(H62),ISNUMBER(K62)),EDATE(H62,K62),"")</f>
        <v/>
      </c>
      <c r="M62" s="29">
        <f>IF(COUNT(J62,L62)=0,"",IF(MIN(J62,L62)&gt;=TODAY(),MIN(J62,L62),MAX(J62,L62)))</f>
        <v/>
      </c>
      <c r="N62" s="31">
        <f>IF(ISNUMBER(M62),M62-TODAY(),"")</f>
        <v/>
      </c>
      <c r="O62" s="32">
        <f>IF(NOT(ISNUMBER(N62)),"",IF(OR(Q62="Taken",Q62="Declined"),"",IF(N62&lt;0,"Lapsed",IF(N62&lt;=7,7,IF(N62&lt;=30,30,IF(N62&lt;=60,60,IF(N62&lt;=90,90,"")))))))</f>
        <v/>
      </c>
      <c r="P62" s="27" t="n"/>
      <c r="Q62" s="27" t="n"/>
      <c r="R62" s="27" t="n"/>
      <c r="S62" s="27" t="n"/>
      <c r="T62" s="27" t="n"/>
    </row>
    <row r="63">
      <c r="A63" s="27" t="n"/>
      <c r="B63" s="27" t="n"/>
      <c r="C63" s="27" t="n"/>
      <c r="D63" s="27" t="n"/>
      <c r="E63" s="28" t="n"/>
      <c r="F63" s="28" t="n"/>
      <c r="G63" s="27" t="n"/>
      <c r="H63" s="29">
        <f>IF(G63="Invoice",IF(ISNUMBER(F63),F63,""),IF(ISNUMBER(E63),E63,""))</f>
        <v/>
      </c>
      <c r="I63" s="30" t="n"/>
      <c r="J63" s="29">
        <f>IF(AND(ISNUMBER(H63),ISNUMBER(I63)),EDATE(H63,I63),"")</f>
        <v/>
      </c>
      <c r="K63" s="30" t="n"/>
      <c r="L63" s="29">
        <f>IF(AND(ISNUMBER(H63),ISNUMBER(K63)),EDATE(H63,K63),"")</f>
        <v/>
      </c>
      <c r="M63" s="29">
        <f>IF(COUNT(J63,L63)=0,"",IF(MIN(J63,L63)&gt;=TODAY(),MIN(J63,L63),MAX(J63,L63)))</f>
        <v/>
      </c>
      <c r="N63" s="31">
        <f>IF(ISNUMBER(M63),M63-TODAY(),"")</f>
        <v/>
      </c>
      <c r="O63" s="32">
        <f>IF(NOT(ISNUMBER(N63)),"",IF(OR(Q63="Taken",Q63="Declined"),"",IF(N63&lt;0,"Lapsed",IF(N63&lt;=7,7,IF(N63&lt;=30,30,IF(N63&lt;=60,60,IF(N63&lt;=90,90,"")))))))</f>
        <v/>
      </c>
      <c r="P63" s="27" t="n"/>
      <c r="Q63" s="27" t="n"/>
      <c r="R63" s="27" t="n"/>
      <c r="S63" s="27" t="n"/>
      <c r="T63" s="27" t="n"/>
    </row>
    <row r="64">
      <c r="A64" s="27" t="n"/>
      <c r="B64" s="27" t="n"/>
      <c r="C64" s="27" t="n"/>
      <c r="D64" s="27" t="n"/>
      <c r="E64" s="28" t="n"/>
      <c r="F64" s="28" t="n"/>
      <c r="G64" s="27" t="n"/>
      <c r="H64" s="29">
        <f>IF(G64="Invoice",IF(ISNUMBER(F64),F64,""),IF(ISNUMBER(E64),E64,""))</f>
        <v/>
      </c>
      <c r="I64" s="30" t="n"/>
      <c r="J64" s="29">
        <f>IF(AND(ISNUMBER(H64),ISNUMBER(I64)),EDATE(H64,I64),"")</f>
        <v/>
      </c>
      <c r="K64" s="30" t="n"/>
      <c r="L64" s="29">
        <f>IF(AND(ISNUMBER(H64),ISNUMBER(K64)),EDATE(H64,K64),"")</f>
        <v/>
      </c>
      <c r="M64" s="29">
        <f>IF(COUNT(J64,L64)=0,"",IF(MIN(J64,L64)&gt;=TODAY(),MIN(J64,L64),MAX(J64,L64)))</f>
        <v/>
      </c>
      <c r="N64" s="31">
        <f>IF(ISNUMBER(M64),M64-TODAY(),"")</f>
        <v/>
      </c>
      <c r="O64" s="32">
        <f>IF(NOT(ISNUMBER(N64)),"",IF(OR(Q64="Taken",Q64="Declined"),"",IF(N64&lt;0,"Lapsed",IF(N64&lt;=7,7,IF(N64&lt;=30,30,IF(N64&lt;=60,60,IF(N64&lt;=90,90,"")))))))</f>
        <v/>
      </c>
      <c r="P64" s="27" t="n"/>
      <c r="Q64" s="27" t="n"/>
      <c r="R64" s="27" t="n"/>
      <c r="S64" s="27" t="n"/>
      <c r="T64" s="27" t="n"/>
    </row>
    <row r="65">
      <c r="A65" s="27" t="n"/>
      <c r="B65" s="27" t="n"/>
      <c r="C65" s="27" t="n"/>
      <c r="D65" s="27" t="n"/>
      <c r="E65" s="28" t="n"/>
      <c r="F65" s="28" t="n"/>
      <c r="G65" s="27" t="n"/>
      <c r="H65" s="29">
        <f>IF(G65="Invoice",IF(ISNUMBER(F65),F65,""),IF(ISNUMBER(E65),E65,""))</f>
        <v/>
      </c>
      <c r="I65" s="30" t="n"/>
      <c r="J65" s="29">
        <f>IF(AND(ISNUMBER(H65),ISNUMBER(I65)),EDATE(H65,I65),"")</f>
        <v/>
      </c>
      <c r="K65" s="30" t="n"/>
      <c r="L65" s="29">
        <f>IF(AND(ISNUMBER(H65),ISNUMBER(K65)),EDATE(H65,K65),"")</f>
        <v/>
      </c>
      <c r="M65" s="29">
        <f>IF(COUNT(J65,L65)=0,"",IF(MIN(J65,L65)&gt;=TODAY(),MIN(J65,L65),MAX(J65,L65)))</f>
        <v/>
      </c>
      <c r="N65" s="31">
        <f>IF(ISNUMBER(M65),M65-TODAY(),"")</f>
        <v/>
      </c>
      <c r="O65" s="32">
        <f>IF(NOT(ISNUMBER(N65)),"",IF(OR(Q65="Taken",Q65="Declined"),"",IF(N65&lt;0,"Lapsed",IF(N65&lt;=7,7,IF(N65&lt;=30,30,IF(N65&lt;=60,60,IF(N65&lt;=90,90,"")))))))</f>
        <v/>
      </c>
      <c r="P65" s="27" t="n"/>
      <c r="Q65" s="27" t="n"/>
      <c r="R65" s="27" t="n"/>
      <c r="S65" s="27" t="n"/>
      <c r="T65" s="27" t="n"/>
    </row>
    <row r="66">
      <c r="A66" s="27" t="n"/>
      <c r="B66" s="27" t="n"/>
      <c r="C66" s="27" t="n"/>
      <c r="D66" s="27" t="n"/>
      <c r="E66" s="28" t="n"/>
      <c r="F66" s="28" t="n"/>
      <c r="G66" s="27" t="n"/>
      <c r="H66" s="29">
        <f>IF(G66="Invoice",IF(ISNUMBER(F66),F66,""),IF(ISNUMBER(E66),E66,""))</f>
        <v/>
      </c>
      <c r="I66" s="30" t="n"/>
      <c r="J66" s="29">
        <f>IF(AND(ISNUMBER(H66),ISNUMBER(I66)),EDATE(H66,I66),"")</f>
        <v/>
      </c>
      <c r="K66" s="30" t="n"/>
      <c r="L66" s="29">
        <f>IF(AND(ISNUMBER(H66),ISNUMBER(K66)),EDATE(H66,K66),"")</f>
        <v/>
      </c>
      <c r="M66" s="29">
        <f>IF(COUNT(J66,L66)=0,"",IF(MIN(J66,L66)&gt;=TODAY(),MIN(J66,L66),MAX(J66,L66)))</f>
        <v/>
      </c>
      <c r="N66" s="31">
        <f>IF(ISNUMBER(M66),M66-TODAY(),"")</f>
        <v/>
      </c>
      <c r="O66" s="32">
        <f>IF(NOT(ISNUMBER(N66)),"",IF(OR(Q66="Taken",Q66="Declined"),"",IF(N66&lt;0,"Lapsed",IF(N66&lt;=7,7,IF(N66&lt;=30,30,IF(N66&lt;=60,60,IF(N66&lt;=90,90,"")))))))</f>
        <v/>
      </c>
      <c r="P66" s="27" t="n"/>
      <c r="Q66" s="27" t="n"/>
      <c r="R66" s="27" t="n"/>
      <c r="S66" s="27" t="n"/>
      <c r="T66" s="27" t="n"/>
    </row>
    <row r="67">
      <c r="A67" s="27" t="n"/>
      <c r="B67" s="27" t="n"/>
      <c r="C67" s="27" t="n"/>
      <c r="D67" s="27" t="n"/>
      <c r="E67" s="28" t="n"/>
      <c r="F67" s="28" t="n"/>
      <c r="G67" s="27" t="n"/>
      <c r="H67" s="29">
        <f>IF(G67="Invoice",IF(ISNUMBER(F67),F67,""),IF(ISNUMBER(E67),E67,""))</f>
        <v/>
      </c>
      <c r="I67" s="30" t="n"/>
      <c r="J67" s="29">
        <f>IF(AND(ISNUMBER(H67),ISNUMBER(I67)),EDATE(H67,I67),"")</f>
        <v/>
      </c>
      <c r="K67" s="30" t="n"/>
      <c r="L67" s="29">
        <f>IF(AND(ISNUMBER(H67),ISNUMBER(K67)),EDATE(H67,K67),"")</f>
        <v/>
      </c>
      <c r="M67" s="29">
        <f>IF(COUNT(J67,L67)=0,"",IF(MIN(J67,L67)&gt;=TODAY(),MIN(J67,L67),MAX(J67,L67)))</f>
        <v/>
      </c>
      <c r="N67" s="31">
        <f>IF(ISNUMBER(M67),M67-TODAY(),"")</f>
        <v/>
      </c>
      <c r="O67" s="32">
        <f>IF(NOT(ISNUMBER(N67)),"",IF(OR(Q67="Taken",Q67="Declined"),"",IF(N67&lt;0,"Lapsed",IF(N67&lt;=7,7,IF(N67&lt;=30,30,IF(N67&lt;=60,60,IF(N67&lt;=90,90,"")))))))</f>
        <v/>
      </c>
      <c r="P67" s="27" t="n"/>
      <c r="Q67" s="27" t="n"/>
      <c r="R67" s="27" t="n"/>
      <c r="S67" s="27" t="n"/>
      <c r="T67" s="27" t="n"/>
    </row>
    <row r="68">
      <c r="A68" s="27" t="n"/>
      <c r="B68" s="27" t="n"/>
      <c r="C68" s="27" t="n"/>
      <c r="D68" s="27" t="n"/>
      <c r="E68" s="28" t="n"/>
      <c r="F68" s="28" t="n"/>
      <c r="G68" s="27" t="n"/>
      <c r="H68" s="29">
        <f>IF(G68="Invoice",IF(ISNUMBER(F68),F68,""),IF(ISNUMBER(E68),E68,""))</f>
        <v/>
      </c>
      <c r="I68" s="30" t="n"/>
      <c r="J68" s="29">
        <f>IF(AND(ISNUMBER(H68),ISNUMBER(I68)),EDATE(H68,I68),"")</f>
        <v/>
      </c>
      <c r="K68" s="30" t="n"/>
      <c r="L68" s="29">
        <f>IF(AND(ISNUMBER(H68),ISNUMBER(K68)),EDATE(H68,K68),"")</f>
        <v/>
      </c>
      <c r="M68" s="29">
        <f>IF(COUNT(J68,L68)=0,"",IF(MIN(J68,L68)&gt;=TODAY(),MIN(J68,L68),MAX(J68,L68)))</f>
        <v/>
      </c>
      <c r="N68" s="31">
        <f>IF(ISNUMBER(M68),M68-TODAY(),"")</f>
        <v/>
      </c>
      <c r="O68" s="32">
        <f>IF(NOT(ISNUMBER(N68)),"",IF(OR(Q68="Taken",Q68="Declined"),"",IF(N68&lt;0,"Lapsed",IF(N68&lt;=7,7,IF(N68&lt;=30,30,IF(N68&lt;=60,60,IF(N68&lt;=90,90,"")))))))</f>
        <v/>
      </c>
      <c r="P68" s="27" t="n"/>
      <c r="Q68" s="27" t="n"/>
      <c r="R68" s="27" t="n"/>
      <c r="S68" s="27" t="n"/>
      <c r="T68" s="27" t="n"/>
    </row>
    <row r="69">
      <c r="A69" s="27" t="n"/>
      <c r="B69" s="27" t="n"/>
      <c r="C69" s="27" t="n"/>
      <c r="D69" s="27" t="n"/>
      <c r="E69" s="28" t="n"/>
      <c r="F69" s="28" t="n"/>
      <c r="G69" s="27" t="n"/>
      <c r="H69" s="29">
        <f>IF(G69="Invoice",IF(ISNUMBER(F69),F69,""),IF(ISNUMBER(E69),E69,""))</f>
        <v/>
      </c>
      <c r="I69" s="30" t="n"/>
      <c r="J69" s="29">
        <f>IF(AND(ISNUMBER(H69),ISNUMBER(I69)),EDATE(H69,I69),"")</f>
        <v/>
      </c>
      <c r="K69" s="30" t="n"/>
      <c r="L69" s="29">
        <f>IF(AND(ISNUMBER(H69),ISNUMBER(K69)),EDATE(H69,K69),"")</f>
        <v/>
      </c>
      <c r="M69" s="29">
        <f>IF(COUNT(J69,L69)=0,"",IF(MIN(J69,L69)&gt;=TODAY(),MIN(J69,L69),MAX(J69,L69)))</f>
        <v/>
      </c>
      <c r="N69" s="31">
        <f>IF(ISNUMBER(M69),M69-TODAY(),"")</f>
        <v/>
      </c>
      <c r="O69" s="32">
        <f>IF(NOT(ISNUMBER(N69)),"",IF(OR(Q69="Taken",Q69="Declined"),"",IF(N69&lt;0,"Lapsed",IF(N69&lt;=7,7,IF(N69&lt;=30,30,IF(N69&lt;=60,60,IF(N69&lt;=90,90,"")))))))</f>
        <v/>
      </c>
      <c r="P69" s="27" t="n"/>
      <c r="Q69" s="27" t="n"/>
      <c r="R69" s="27" t="n"/>
      <c r="S69" s="27" t="n"/>
      <c r="T69" s="27" t="n"/>
    </row>
    <row r="70">
      <c r="A70" s="27" t="n"/>
      <c r="B70" s="27" t="n"/>
      <c r="C70" s="27" t="n"/>
      <c r="D70" s="27" t="n"/>
      <c r="E70" s="28" t="n"/>
      <c r="F70" s="28" t="n"/>
      <c r="G70" s="27" t="n"/>
      <c r="H70" s="29">
        <f>IF(G70="Invoice",IF(ISNUMBER(F70),F70,""),IF(ISNUMBER(E70),E70,""))</f>
        <v/>
      </c>
      <c r="I70" s="30" t="n"/>
      <c r="J70" s="29">
        <f>IF(AND(ISNUMBER(H70),ISNUMBER(I70)),EDATE(H70,I70),"")</f>
        <v/>
      </c>
      <c r="K70" s="30" t="n"/>
      <c r="L70" s="29">
        <f>IF(AND(ISNUMBER(H70),ISNUMBER(K70)),EDATE(H70,K70),"")</f>
        <v/>
      </c>
      <c r="M70" s="29">
        <f>IF(COUNT(J70,L70)=0,"",IF(MIN(J70,L70)&gt;=TODAY(),MIN(J70,L70),MAX(J70,L70)))</f>
        <v/>
      </c>
      <c r="N70" s="31">
        <f>IF(ISNUMBER(M70),M70-TODAY(),"")</f>
        <v/>
      </c>
      <c r="O70" s="32">
        <f>IF(NOT(ISNUMBER(N70)),"",IF(OR(Q70="Taken",Q70="Declined"),"",IF(N70&lt;0,"Lapsed",IF(N70&lt;=7,7,IF(N70&lt;=30,30,IF(N70&lt;=60,60,IF(N70&lt;=90,90,"")))))))</f>
        <v/>
      </c>
      <c r="P70" s="27" t="n"/>
      <c r="Q70" s="27" t="n"/>
      <c r="R70" s="27" t="n"/>
      <c r="S70" s="27" t="n"/>
      <c r="T70" s="27" t="n"/>
    </row>
    <row r="71">
      <c r="A71" s="27" t="n"/>
      <c r="B71" s="27" t="n"/>
      <c r="C71" s="27" t="n"/>
      <c r="D71" s="27" t="n"/>
      <c r="E71" s="28" t="n"/>
      <c r="F71" s="28" t="n"/>
      <c r="G71" s="27" t="n"/>
      <c r="H71" s="29">
        <f>IF(G71="Invoice",IF(ISNUMBER(F71),F71,""),IF(ISNUMBER(E71),E71,""))</f>
        <v/>
      </c>
      <c r="I71" s="30" t="n"/>
      <c r="J71" s="29">
        <f>IF(AND(ISNUMBER(H71),ISNUMBER(I71)),EDATE(H71,I71),"")</f>
        <v/>
      </c>
      <c r="K71" s="30" t="n"/>
      <c r="L71" s="29">
        <f>IF(AND(ISNUMBER(H71),ISNUMBER(K71)),EDATE(H71,K71),"")</f>
        <v/>
      </c>
      <c r="M71" s="29">
        <f>IF(COUNT(J71,L71)=0,"",IF(MIN(J71,L71)&gt;=TODAY(),MIN(J71,L71),MAX(J71,L71)))</f>
        <v/>
      </c>
      <c r="N71" s="31">
        <f>IF(ISNUMBER(M71),M71-TODAY(),"")</f>
        <v/>
      </c>
      <c r="O71" s="32">
        <f>IF(NOT(ISNUMBER(N71)),"",IF(OR(Q71="Taken",Q71="Declined"),"",IF(N71&lt;0,"Lapsed",IF(N71&lt;=7,7,IF(N71&lt;=30,30,IF(N71&lt;=60,60,IF(N71&lt;=90,90,"")))))))</f>
        <v/>
      </c>
      <c r="P71" s="27" t="n"/>
      <c r="Q71" s="27" t="n"/>
      <c r="R71" s="27" t="n"/>
      <c r="S71" s="27" t="n"/>
      <c r="T71" s="27" t="n"/>
    </row>
    <row r="72">
      <c r="A72" s="27" t="n"/>
      <c r="B72" s="27" t="n"/>
      <c r="C72" s="27" t="n"/>
      <c r="D72" s="27" t="n"/>
      <c r="E72" s="28" t="n"/>
      <c r="F72" s="28" t="n"/>
      <c r="G72" s="27" t="n"/>
      <c r="H72" s="29">
        <f>IF(G72="Invoice",IF(ISNUMBER(F72),F72,""),IF(ISNUMBER(E72),E72,""))</f>
        <v/>
      </c>
      <c r="I72" s="30" t="n"/>
      <c r="J72" s="29">
        <f>IF(AND(ISNUMBER(H72),ISNUMBER(I72)),EDATE(H72,I72),"")</f>
        <v/>
      </c>
      <c r="K72" s="30" t="n"/>
      <c r="L72" s="29">
        <f>IF(AND(ISNUMBER(H72),ISNUMBER(K72)),EDATE(H72,K72),"")</f>
        <v/>
      </c>
      <c r="M72" s="29">
        <f>IF(COUNT(J72,L72)=0,"",IF(MIN(J72,L72)&gt;=TODAY(),MIN(J72,L72),MAX(J72,L72)))</f>
        <v/>
      </c>
      <c r="N72" s="31">
        <f>IF(ISNUMBER(M72),M72-TODAY(),"")</f>
        <v/>
      </c>
      <c r="O72" s="32">
        <f>IF(NOT(ISNUMBER(N72)),"",IF(OR(Q72="Taken",Q72="Declined"),"",IF(N72&lt;0,"Lapsed",IF(N72&lt;=7,7,IF(N72&lt;=30,30,IF(N72&lt;=60,60,IF(N72&lt;=90,90,"")))))))</f>
        <v/>
      </c>
      <c r="P72" s="27" t="n"/>
      <c r="Q72" s="27" t="n"/>
      <c r="R72" s="27" t="n"/>
      <c r="S72" s="27" t="n"/>
      <c r="T72" s="27" t="n"/>
    </row>
    <row r="73">
      <c r="A73" s="27" t="n"/>
      <c r="B73" s="27" t="n"/>
      <c r="C73" s="27" t="n"/>
      <c r="D73" s="27" t="n"/>
      <c r="E73" s="28" t="n"/>
      <c r="F73" s="28" t="n"/>
      <c r="G73" s="27" t="n"/>
      <c r="H73" s="29">
        <f>IF(G73="Invoice",IF(ISNUMBER(F73),F73,""),IF(ISNUMBER(E73),E73,""))</f>
        <v/>
      </c>
      <c r="I73" s="30" t="n"/>
      <c r="J73" s="29">
        <f>IF(AND(ISNUMBER(H73),ISNUMBER(I73)),EDATE(H73,I73),"")</f>
        <v/>
      </c>
      <c r="K73" s="30" t="n"/>
      <c r="L73" s="29">
        <f>IF(AND(ISNUMBER(H73),ISNUMBER(K73)),EDATE(H73,K73),"")</f>
        <v/>
      </c>
      <c r="M73" s="29">
        <f>IF(COUNT(J73,L73)=0,"",IF(MIN(J73,L73)&gt;=TODAY(),MIN(J73,L73),MAX(J73,L73)))</f>
        <v/>
      </c>
      <c r="N73" s="31">
        <f>IF(ISNUMBER(M73),M73-TODAY(),"")</f>
        <v/>
      </c>
      <c r="O73" s="32">
        <f>IF(NOT(ISNUMBER(N73)),"",IF(OR(Q73="Taken",Q73="Declined"),"",IF(N73&lt;0,"Lapsed",IF(N73&lt;=7,7,IF(N73&lt;=30,30,IF(N73&lt;=60,60,IF(N73&lt;=90,90,"")))))))</f>
        <v/>
      </c>
      <c r="P73" s="27" t="n"/>
      <c r="Q73" s="27" t="n"/>
      <c r="R73" s="27" t="n"/>
      <c r="S73" s="27" t="n"/>
      <c r="T73" s="27" t="n"/>
    </row>
    <row r="74">
      <c r="A74" s="27" t="n"/>
      <c r="B74" s="27" t="n"/>
      <c r="C74" s="27" t="n"/>
      <c r="D74" s="27" t="n"/>
      <c r="E74" s="28" t="n"/>
      <c r="F74" s="28" t="n"/>
      <c r="G74" s="27" t="n"/>
      <c r="H74" s="29">
        <f>IF(G74="Invoice",IF(ISNUMBER(F74),F74,""),IF(ISNUMBER(E74),E74,""))</f>
        <v/>
      </c>
      <c r="I74" s="30" t="n"/>
      <c r="J74" s="29">
        <f>IF(AND(ISNUMBER(H74),ISNUMBER(I74)),EDATE(H74,I74),"")</f>
        <v/>
      </c>
      <c r="K74" s="30" t="n"/>
      <c r="L74" s="29">
        <f>IF(AND(ISNUMBER(H74),ISNUMBER(K74)),EDATE(H74,K74),"")</f>
        <v/>
      </c>
      <c r="M74" s="29">
        <f>IF(COUNT(J74,L74)=0,"",IF(MIN(J74,L74)&gt;=TODAY(),MIN(J74,L74),MAX(J74,L74)))</f>
        <v/>
      </c>
      <c r="N74" s="31">
        <f>IF(ISNUMBER(M74),M74-TODAY(),"")</f>
        <v/>
      </c>
      <c r="O74" s="32">
        <f>IF(NOT(ISNUMBER(N74)),"",IF(OR(Q74="Taken",Q74="Declined"),"",IF(N74&lt;0,"Lapsed",IF(N74&lt;=7,7,IF(N74&lt;=30,30,IF(N74&lt;=60,60,IF(N74&lt;=90,90,"")))))))</f>
        <v/>
      </c>
      <c r="P74" s="27" t="n"/>
      <c r="Q74" s="27" t="n"/>
      <c r="R74" s="27" t="n"/>
      <c r="S74" s="27" t="n"/>
      <c r="T74" s="27" t="n"/>
    </row>
    <row r="75">
      <c r="A75" s="27" t="n"/>
      <c r="B75" s="27" t="n"/>
      <c r="C75" s="27" t="n"/>
      <c r="D75" s="27" t="n"/>
      <c r="E75" s="28" t="n"/>
      <c r="F75" s="28" t="n"/>
      <c r="G75" s="27" t="n"/>
      <c r="H75" s="29">
        <f>IF(G75="Invoice",IF(ISNUMBER(F75),F75,""),IF(ISNUMBER(E75),E75,""))</f>
        <v/>
      </c>
      <c r="I75" s="30" t="n"/>
      <c r="J75" s="29">
        <f>IF(AND(ISNUMBER(H75),ISNUMBER(I75)),EDATE(H75,I75),"")</f>
        <v/>
      </c>
      <c r="K75" s="30" t="n"/>
      <c r="L75" s="29">
        <f>IF(AND(ISNUMBER(H75),ISNUMBER(K75)),EDATE(H75,K75),"")</f>
        <v/>
      </c>
      <c r="M75" s="29">
        <f>IF(COUNT(J75,L75)=0,"",IF(MIN(J75,L75)&gt;=TODAY(),MIN(J75,L75),MAX(J75,L75)))</f>
        <v/>
      </c>
      <c r="N75" s="31">
        <f>IF(ISNUMBER(M75),M75-TODAY(),"")</f>
        <v/>
      </c>
      <c r="O75" s="32">
        <f>IF(NOT(ISNUMBER(N75)),"",IF(OR(Q75="Taken",Q75="Declined"),"",IF(N75&lt;0,"Lapsed",IF(N75&lt;=7,7,IF(N75&lt;=30,30,IF(N75&lt;=60,60,IF(N75&lt;=90,90,"")))))))</f>
        <v/>
      </c>
      <c r="P75" s="27" t="n"/>
      <c r="Q75" s="27" t="n"/>
      <c r="R75" s="27" t="n"/>
      <c r="S75" s="27" t="n"/>
      <c r="T75" s="27" t="n"/>
    </row>
    <row r="76">
      <c r="A76" s="27" t="n"/>
      <c r="B76" s="27" t="n"/>
      <c r="C76" s="27" t="n"/>
      <c r="D76" s="27" t="n"/>
      <c r="E76" s="28" t="n"/>
      <c r="F76" s="28" t="n"/>
      <c r="G76" s="27" t="n"/>
      <c r="H76" s="29">
        <f>IF(G76="Invoice",IF(ISNUMBER(F76),F76,""),IF(ISNUMBER(E76),E76,""))</f>
        <v/>
      </c>
      <c r="I76" s="30" t="n"/>
      <c r="J76" s="29">
        <f>IF(AND(ISNUMBER(H76),ISNUMBER(I76)),EDATE(H76,I76),"")</f>
        <v/>
      </c>
      <c r="K76" s="30" t="n"/>
      <c r="L76" s="29">
        <f>IF(AND(ISNUMBER(H76),ISNUMBER(K76)),EDATE(H76,K76),"")</f>
        <v/>
      </c>
      <c r="M76" s="29">
        <f>IF(COUNT(J76,L76)=0,"",IF(MIN(J76,L76)&gt;=TODAY(),MIN(J76,L76),MAX(J76,L76)))</f>
        <v/>
      </c>
      <c r="N76" s="31">
        <f>IF(ISNUMBER(M76),M76-TODAY(),"")</f>
        <v/>
      </c>
      <c r="O76" s="32">
        <f>IF(NOT(ISNUMBER(N76)),"",IF(OR(Q76="Taken",Q76="Declined"),"",IF(N76&lt;0,"Lapsed",IF(N76&lt;=7,7,IF(N76&lt;=30,30,IF(N76&lt;=60,60,IF(N76&lt;=90,90,"")))))))</f>
        <v/>
      </c>
      <c r="P76" s="27" t="n"/>
      <c r="Q76" s="27" t="n"/>
      <c r="R76" s="27" t="n"/>
      <c r="S76" s="27" t="n"/>
      <c r="T76" s="27" t="n"/>
    </row>
    <row r="77">
      <c r="A77" s="27" t="n"/>
      <c r="B77" s="27" t="n"/>
      <c r="C77" s="27" t="n"/>
      <c r="D77" s="27" t="n"/>
      <c r="E77" s="28" t="n"/>
      <c r="F77" s="28" t="n"/>
      <c r="G77" s="27" t="n"/>
      <c r="H77" s="29">
        <f>IF(G77="Invoice",IF(ISNUMBER(F77),F77,""),IF(ISNUMBER(E77),E77,""))</f>
        <v/>
      </c>
      <c r="I77" s="30" t="n"/>
      <c r="J77" s="29">
        <f>IF(AND(ISNUMBER(H77),ISNUMBER(I77)),EDATE(H77,I77),"")</f>
        <v/>
      </c>
      <c r="K77" s="30" t="n"/>
      <c r="L77" s="29">
        <f>IF(AND(ISNUMBER(H77),ISNUMBER(K77)),EDATE(H77,K77),"")</f>
        <v/>
      </c>
      <c r="M77" s="29">
        <f>IF(COUNT(J77,L77)=0,"",IF(MIN(J77,L77)&gt;=TODAY(),MIN(J77,L77),MAX(J77,L77)))</f>
        <v/>
      </c>
      <c r="N77" s="31">
        <f>IF(ISNUMBER(M77),M77-TODAY(),"")</f>
        <v/>
      </c>
      <c r="O77" s="32">
        <f>IF(NOT(ISNUMBER(N77)),"",IF(OR(Q77="Taken",Q77="Declined"),"",IF(N77&lt;0,"Lapsed",IF(N77&lt;=7,7,IF(N77&lt;=30,30,IF(N77&lt;=60,60,IF(N77&lt;=90,90,"")))))))</f>
        <v/>
      </c>
      <c r="P77" s="27" t="n"/>
      <c r="Q77" s="27" t="n"/>
      <c r="R77" s="27" t="n"/>
      <c r="S77" s="27" t="n"/>
      <c r="T77" s="27" t="n"/>
    </row>
    <row r="78">
      <c r="A78" s="27" t="n"/>
      <c r="B78" s="27" t="n"/>
      <c r="C78" s="27" t="n"/>
      <c r="D78" s="27" t="n"/>
      <c r="E78" s="28" t="n"/>
      <c r="F78" s="28" t="n"/>
      <c r="G78" s="27" t="n"/>
      <c r="H78" s="29">
        <f>IF(G78="Invoice",IF(ISNUMBER(F78),F78,""),IF(ISNUMBER(E78),E78,""))</f>
        <v/>
      </c>
      <c r="I78" s="30" t="n"/>
      <c r="J78" s="29">
        <f>IF(AND(ISNUMBER(H78),ISNUMBER(I78)),EDATE(H78,I78),"")</f>
        <v/>
      </c>
      <c r="K78" s="30" t="n"/>
      <c r="L78" s="29">
        <f>IF(AND(ISNUMBER(H78),ISNUMBER(K78)),EDATE(H78,K78),"")</f>
        <v/>
      </c>
      <c r="M78" s="29">
        <f>IF(COUNT(J78,L78)=0,"",IF(MIN(J78,L78)&gt;=TODAY(),MIN(J78,L78),MAX(J78,L78)))</f>
        <v/>
      </c>
      <c r="N78" s="31">
        <f>IF(ISNUMBER(M78),M78-TODAY(),"")</f>
        <v/>
      </c>
      <c r="O78" s="32">
        <f>IF(NOT(ISNUMBER(N78)),"",IF(OR(Q78="Taken",Q78="Declined"),"",IF(N78&lt;0,"Lapsed",IF(N78&lt;=7,7,IF(N78&lt;=30,30,IF(N78&lt;=60,60,IF(N78&lt;=90,90,"")))))))</f>
        <v/>
      </c>
      <c r="P78" s="27" t="n"/>
      <c r="Q78" s="27" t="n"/>
      <c r="R78" s="27" t="n"/>
      <c r="S78" s="27" t="n"/>
      <c r="T78" s="27" t="n"/>
    </row>
    <row r="79">
      <c r="A79" s="27" t="n"/>
      <c r="B79" s="27" t="n"/>
      <c r="C79" s="27" t="n"/>
      <c r="D79" s="27" t="n"/>
      <c r="E79" s="28" t="n"/>
      <c r="F79" s="28" t="n"/>
      <c r="G79" s="27" t="n"/>
      <c r="H79" s="29">
        <f>IF(G79="Invoice",IF(ISNUMBER(F79),F79,""),IF(ISNUMBER(E79),E79,""))</f>
        <v/>
      </c>
      <c r="I79" s="30" t="n"/>
      <c r="J79" s="29">
        <f>IF(AND(ISNUMBER(H79),ISNUMBER(I79)),EDATE(H79,I79),"")</f>
        <v/>
      </c>
      <c r="K79" s="30" t="n"/>
      <c r="L79" s="29">
        <f>IF(AND(ISNUMBER(H79),ISNUMBER(K79)),EDATE(H79,K79),"")</f>
        <v/>
      </c>
      <c r="M79" s="29">
        <f>IF(COUNT(J79,L79)=0,"",IF(MIN(J79,L79)&gt;=TODAY(),MIN(J79,L79),MAX(J79,L79)))</f>
        <v/>
      </c>
      <c r="N79" s="31">
        <f>IF(ISNUMBER(M79),M79-TODAY(),"")</f>
        <v/>
      </c>
      <c r="O79" s="32">
        <f>IF(NOT(ISNUMBER(N79)),"",IF(OR(Q79="Taken",Q79="Declined"),"",IF(N79&lt;0,"Lapsed",IF(N79&lt;=7,7,IF(N79&lt;=30,30,IF(N79&lt;=60,60,IF(N79&lt;=90,90,"")))))))</f>
        <v/>
      </c>
      <c r="P79" s="27" t="n"/>
      <c r="Q79" s="27" t="n"/>
      <c r="R79" s="27" t="n"/>
      <c r="S79" s="27" t="n"/>
      <c r="T79" s="27" t="n"/>
    </row>
    <row r="80">
      <c r="A80" s="27" t="n"/>
      <c r="B80" s="27" t="n"/>
      <c r="C80" s="27" t="n"/>
      <c r="D80" s="27" t="n"/>
      <c r="E80" s="28" t="n"/>
      <c r="F80" s="28" t="n"/>
      <c r="G80" s="27" t="n"/>
      <c r="H80" s="29">
        <f>IF(G80="Invoice",IF(ISNUMBER(F80),F80,""),IF(ISNUMBER(E80),E80,""))</f>
        <v/>
      </c>
      <c r="I80" s="30" t="n"/>
      <c r="J80" s="29">
        <f>IF(AND(ISNUMBER(H80),ISNUMBER(I80)),EDATE(H80,I80),"")</f>
        <v/>
      </c>
      <c r="K80" s="30" t="n"/>
      <c r="L80" s="29">
        <f>IF(AND(ISNUMBER(H80),ISNUMBER(K80)),EDATE(H80,K80),"")</f>
        <v/>
      </c>
      <c r="M80" s="29">
        <f>IF(COUNT(J80,L80)=0,"",IF(MIN(J80,L80)&gt;=TODAY(),MIN(J80,L80),MAX(J80,L80)))</f>
        <v/>
      </c>
      <c r="N80" s="31">
        <f>IF(ISNUMBER(M80),M80-TODAY(),"")</f>
        <v/>
      </c>
      <c r="O80" s="32">
        <f>IF(NOT(ISNUMBER(N80)),"",IF(OR(Q80="Taken",Q80="Declined"),"",IF(N80&lt;0,"Lapsed",IF(N80&lt;=7,7,IF(N80&lt;=30,30,IF(N80&lt;=60,60,IF(N80&lt;=90,90,"")))))))</f>
        <v/>
      </c>
      <c r="P80" s="27" t="n"/>
      <c r="Q80" s="27" t="n"/>
      <c r="R80" s="27" t="n"/>
      <c r="S80" s="27" t="n"/>
      <c r="T80" s="27" t="n"/>
    </row>
    <row r="81">
      <c r="A81" s="27" t="n"/>
      <c r="B81" s="27" t="n"/>
      <c r="C81" s="27" t="n"/>
      <c r="D81" s="27" t="n"/>
      <c r="E81" s="28" t="n"/>
      <c r="F81" s="28" t="n"/>
      <c r="G81" s="27" t="n"/>
      <c r="H81" s="29">
        <f>IF(G81="Invoice",IF(ISNUMBER(F81),F81,""),IF(ISNUMBER(E81),E81,""))</f>
        <v/>
      </c>
      <c r="I81" s="30" t="n"/>
      <c r="J81" s="29">
        <f>IF(AND(ISNUMBER(H81),ISNUMBER(I81)),EDATE(H81,I81),"")</f>
        <v/>
      </c>
      <c r="K81" s="30" t="n"/>
      <c r="L81" s="29">
        <f>IF(AND(ISNUMBER(H81),ISNUMBER(K81)),EDATE(H81,K81),"")</f>
        <v/>
      </c>
      <c r="M81" s="29">
        <f>IF(COUNT(J81,L81)=0,"",IF(MIN(J81,L81)&gt;=TODAY(),MIN(J81,L81),MAX(J81,L81)))</f>
        <v/>
      </c>
      <c r="N81" s="31">
        <f>IF(ISNUMBER(M81),M81-TODAY(),"")</f>
        <v/>
      </c>
      <c r="O81" s="32">
        <f>IF(NOT(ISNUMBER(N81)),"",IF(OR(Q81="Taken",Q81="Declined"),"",IF(N81&lt;0,"Lapsed",IF(N81&lt;=7,7,IF(N81&lt;=30,30,IF(N81&lt;=60,60,IF(N81&lt;=90,90,"")))))))</f>
        <v/>
      </c>
      <c r="P81" s="27" t="n"/>
      <c r="Q81" s="27" t="n"/>
      <c r="R81" s="27" t="n"/>
      <c r="S81" s="27" t="n"/>
      <c r="T81" s="27" t="n"/>
    </row>
    <row r="82">
      <c r="A82" s="27" t="n"/>
      <c r="B82" s="27" t="n"/>
      <c r="C82" s="27" t="n"/>
      <c r="D82" s="27" t="n"/>
      <c r="E82" s="28" t="n"/>
      <c r="F82" s="28" t="n"/>
      <c r="G82" s="27" t="n"/>
      <c r="H82" s="29">
        <f>IF(G82="Invoice",IF(ISNUMBER(F82),F82,""),IF(ISNUMBER(E82),E82,""))</f>
        <v/>
      </c>
      <c r="I82" s="30" t="n"/>
      <c r="J82" s="29">
        <f>IF(AND(ISNUMBER(H82),ISNUMBER(I82)),EDATE(H82,I82),"")</f>
        <v/>
      </c>
      <c r="K82" s="30" t="n"/>
      <c r="L82" s="29">
        <f>IF(AND(ISNUMBER(H82),ISNUMBER(K82)),EDATE(H82,K82),"")</f>
        <v/>
      </c>
      <c r="M82" s="29">
        <f>IF(COUNT(J82,L82)=0,"",IF(MIN(J82,L82)&gt;=TODAY(),MIN(J82,L82),MAX(J82,L82)))</f>
        <v/>
      </c>
      <c r="N82" s="31">
        <f>IF(ISNUMBER(M82),M82-TODAY(),"")</f>
        <v/>
      </c>
      <c r="O82" s="32">
        <f>IF(NOT(ISNUMBER(N82)),"",IF(OR(Q82="Taken",Q82="Declined"),"",IF(N82&lt;0,"Lapsed",IF(N82&lt;=7,7,IF(N82&lt;=30,30,IF(N82&lt;=60,60,IF(N82&lt;=90,90,"")))))))</f>
        <v/>
      </c>
      <c r="P82" s="27" t="n"/>
      <c r="Q82" s="27" t="n"/>
      <c r="R82" s="27" t="n"/>
      <c r="S82" s="27" t="n"/>
      <c r="T82" s="27" t="n"/>
    </row>
    <row r="83">
      <c r="A83" s="27" t="n"/>
      <c r="B83" s="27" t="n"/>
      <c r="C83" s="27" t="n"/>
      <c r="D83" s="27" t="n"/>
      <c r="E83" s="28" t="n"/>
      <c r="F83" s="28" t="n"/>
      <c r="G83" s="27" t="n"/>
      <c r="H83" s="29">
        <f>IF(G83="Invoice",IF(ISNUMBER(F83),F83,""),IF(ISNUMBER(E83),E83,""))</f>
        <v/>
      </c>
      <c r="I83" s="30" t="n"/>
      <c r="J83" s="29">
        <f>IF(AND(ISNUMBER(H83),ISNUMBER(I83)),EDATE(H83,I83),"")</f>
        <v/>
      </c>
      <c r="K83" s="30" t="n"/>
      <c r="L83" s="29">
        <f>IF(AND(ISNUMBER(H83),ISNUMBER(K83)),EDATE(H83,K83),"")</f>
        <v/>
      </c>
      <c r="M83" s="29">
        <f>IF(COUNT(J83,L83)=0,"",IF(MIN(J83,L83)&gt;=TODAY(),MIN(J83,L83),MAX(J83,L83)))</f>
        <v/>
      </c>
      <c r="N83" s="31">
        <f>IF(ISNUMBER(M83),M83-TODAY(),"")</f>
        <v/>
      </c>
      <c r="O83" s="32">
        <f>IF(NOT(ISNUMBER(N83)),"",IF(OR(Q83="Taken",Q83="Declined"),"",IF(N83&lt;0,"Lapsed",IF(N83&lt;=7,7,IF(N83&lt;=30,30,IF(N83&lt;=60,60,IF(N83&lt;=90,90,"")))))))</f>
        <v/>
      </c>
      <c r="P83" s="27" t="n"/>
      <c r="Q83" s="27" t="n"/>
      <c r="R83" s="27" t="n"/>
      <c r="S83" s="27" t="n"/>
      <c r="T83" s="27" t="n"/>
    </row>
    <row r="84">
      <c r="A84" s="27" t="n"/>
      <c r="B84" s="27" t="n"/>
      <c r="C84" s="27" t="n"/>
      <c r="D84" s="27" t="n"/>
      <c r="E84" s="28" t="n"/>
      <c r="F84" s="28" t="n"/>
      <c r="G84" s="27" t="n"/>
      <c r="H84" s="29">
        <f>IF(G84="Invoice",IF(ISNUMBER(F84),F84,""),IF(ISNUMBER(E84),E84,""))</f>
        <v/>
      </c>
      <c r="I84" s="30" t="n"/>
      <c r="J84" s="29">
        <f>IF(AND(ISNUMBER(H84),ISNUMBER(I84)),EDATE(H84,I84),"")</f>
        <v/>
      </c>
      <c r="K84" s="30" t="n"/>
      <c r="L84" s="29">
        <f>IF(AND(ISNUMBER(H84),ISNUMBER(K84)),EDATE(H84,K84),"")</f>
        <v/>
      </c>
      <c r="M84" s="29">
        <f>IF(COUNT(J84,L84)=0,"",IF(MIN(J84,L84)&gt;=TODAY(),MIN(J84,L84),MAX(J84,L84)))</f>
        <v/>
      </c>
      <c r="N84" s="31">
        <f>IF(ISNUMBER(M84),M84-TODAY(),"")</f>
        <v/>
      </c>
      <c r="O84" s="32">
        <f>IF(NOT(ISNUMBER(N84)),"",IF(OR(Q84="Taken",Q84="Declined"),"",IF(N84&lt;0,"Lapsed",IF(N84&lt;=7,7,IF(N84&lt;=30,30,IF(N84&lt;=60,60,IF(N84&lt;=90,90,"")))))))</f>
        <v/>
      </c>
      <c r="P84" s="27" t="n"/>
      <c r="Q84" s="27" t="n"/>
      <c r="R84" s="27" t="n"/>
      <c r="S84" s="27" t="n"/>
      <c r="T84" s="27" t="n"/>
    </row>
    <row r="85">
      <c r="A85" s="27" t="n"/>
      <c r="B85" s="27" t="n"/>
      <c r="C85" s="27" t="n"/>
      <c r="D85" s="27" t="n"/>
      <c r="E85" s="28" t="n"/>
      <c r="F85" s="28" t="n"/>
      <c r="G85" s="27" t="n"/>
      <c r="H85" s="29">
        <f>IF(G85="Invoice",IF(ISNUMBER(F85),F85,""),IF(ISNUMBER(E85),E85,""))</f>
        <v/>
      </c>
      <c r="I85" s="30" t="n"/>
      <c r="J85" s="29">
        <f>IF(AND(ISNUMBER(H85),ISNUMBER(I85)),EDATE(H85,I85),"")</f>
        <v/>
      </c>
      <c r="K85" s="30" t="n"/>
      <c r="L85" s="29">
        <f>IF(AND(ISNUMBER(H85),ISNUMBER(K85)),EDATE(H85,K85),"")</f>
        <v/>
      </c>
      <c r="M85" s="29">
        <f>IF(COUNT(J85,L85)=0,"",IF(MIN(J85,L85)&gt;=TODAY(),MIN(J85,L85),MAX(J85,L85)))</f>
        <v/>
      </c>
      <c r="N85" s="31">
        <f>IF(ISNUMBER(M85),M85-TODAY(),"")</f>
        <v/>
      </c>
      <c r="O85" s="32">
        <f>IF(NOT(ISNUMBER(N85)),"",IF(OR(Q85="Taken",Q85="Declined"),"",IF(N85&lt;0,"Lapsed",IF(N85&lt;=7,7,IF(N85&lt;=30,30,IF(N85&lt;=60,60,IF(N85&lt;=90,90,"")))))))</f>
        <v/>
      </c>
      <c r="P85" s="27" t="n"/>
      <c r="Q85" s="27" t="n"/>
      <c r="R85" s="27" t="n"/>
      <c r="S85" s="27" t="n"/>
      <c r="T85" s="27" t="n"/>
    </row>
    <row r="86">
      <c r="A86" s="27" t="n"/>
      <c r="B86" s="27" t="n"/>
      <c r="C86" s="27" t="n"/>
      <c r="D86" s="27" t="n"/>
      <c r="E86" s="28" t="n"/>
      <c r="F86" s="28" t="n"/>
      <c r="G86" s="27" t="n"/>
      <c r="H86" s="29">
        <f>IF(G86="Invoice",IF(ISNUMBER(F86),F86,""),IF(ISNUMBER(E86),E86,""))</f>
        <v/>
      </c>
      <c r="I86" s="30" t="n"/>
      <c r="J86" s="29">
        <f>IF(AND(ISNUMBER(H86),ISNUMBER(I86)),EDATE(H86,I86),"")</f>
        <v/>
      </c>
      <c r="K86" s="30" t="n"/>
      <c r="L86" s="29">
        <f>IF(AND(ISNUMBER(H86),ISNUMBER(K86)),EDATE(H86,K86),"")</f>
        <v/>
      </c>
      <c r="M86" s="29">
        <f>IF(COUNT(J86,L86)=0,"",IF(MIN(J86,L86)&gt;=TODAY(),MIN(J86,L86),MAX(J86,L86)))</f>
        <v/>
      </c>
      <c r="N86" s="31">
        <f>IF(ISNUMBER(M86),M86-TODAY(),"")</f>
        <v/>
      </c>
      <c r="O86" s="32">
        <f>IF(NOT(ISNUMBER(N86)),"",IF(OR(Q86="Taken",Q86="Declined"),"",IF(N86&lt;0,"Lapsed",IF(N86&lt;=7,7,IF(N86&lt;=30,30,IF(N86&lt;=60,60,IF(N86&lt;=90,90,"")))))))</f>
        <v/>
      </c>
      <c r="P86" s="27" t="n"/>
      <c r="Q86" s="27" t="n"/>
      <c r="R86" s="27" t="n"/>
      <c r="S86" s="27" t="n"/>
      <c r="T86" s="27" t="n"/>
    </row>
    <row r="87">
      <c r="A87" s="27" t="n"/>
      <c r="B87" s="27" t="n"/>
      <c r="C87" s="27" t="n"/>
      <c r="D87" s="27" t="n"/>
      <c r="E87" s="28" t="n"/>
      <c r="F87" s="28" t="n"/>
      <c r="G87" s="27" t="n"/>
      <c r="H87" s="29">
        <f>IF(G87="Invoice",IF(ISNUMBER(F87),F87,""),IF(ISNUMBER(E87),E87,""))</f>
        <v/>
      </c>
      <c r="I87" s="30" t="n"/>
      <c r="J87" s="29">
        <f>IF(AND(ISNUMBER(H87),ISNUMBER(I87)),EDATE(H87,I87),"")</f>
        <v/>
      </c>
      <c r="K87" s="30" t="n"/>
      <c r="L87" s="29">
        <f>IF(AND(ISNUMBER(H87),ISNUMBER(K87)),EDATE(H87,K87),"")</f>
        <v/>
      </c>
      <c r="M87" s="29">
        <f>IF(COUNT(J87,L87)=0,"",IF(MIN(J87,L87)&gt;=TODAY(),MIN(J87,L87),MAX(J87,L87)))</f>
        <v/>
      </c>
      <c r="N87" s="31">
        <f>IF(ISNUMBER(M87),M87-TODAY(),"")</f>
        <v/>
      </c>
      <c r="O87" s="32">
        <f>IF(NOT(ISNUMBER(N87)),"",IF(OR(Q87="Taken",Q87="Declined"),"",IF(N87&lt;0,"Lapsed",IF(N87&lt;=7,7,IF(N87&lt;=30,30,IF(N87&lt;=60,60,IF(N87&lt;=90,90,"")))))))</f>
        <v/>
      </c>
      <c r="P87" s="27" t="n"/>
      <c r="Q87" s="27" t="n"/>
      <c r="R87" s="27" t="n"/>
      <c r="S87" s="27" t="n"/>
      <c r="T87" s="27" t="n"/>
    </row>
    <row r="88">
      <c r="A88" s="27" t="n"/>
      <c r="B88" s="27" t="n"/>
      <c r="C88" s="27" t="n"/>
      <c r="D88" s="27" t="n"/>
      <c r="E88" s="28" t="n"/>
      <c r="F88" s="28" t="n"/>
      <c r="G88" s="27" t="n"/>
      <c r="H88" s="29">
        <f>IF(G88="Invoice",IF(ISNUMBER(F88),F88,""),IF(ISNUMBER(E88),E88,""))</f>
        <v/>
      </c>
      <c r="I88" s="30" t="n"/>
      <c r="J88" s="29">
        <f>IF(AND(ISNUMBER(H88),ISNUMBER(I88)),EDATE(H88,I88),"")</f>
        <v/>
      </c>
      <c r="K88" s="30" t="n"/>
      <c r="L88" s="29">
        <f>IF(AND(ISNUMBER(H88),ISNUMBER(K88)),EDATE(H88,K88),"")</f>
        <v/>
      </c>
      <c r="M88" s="29">
        <f>IF(COUNT(J88,L88)=0,"",IF(MIN(J88,L88)&gt;=TODAY(),MIN(J88,L88),MAX(J88,L88)))</f>
        <v/>
      </c>
      <c r="N88" s="31">
        <f>IF(ISNUMBER(M88),M88-TODAY(),"")</f>
        <v/>
      </c>
      <c r="O88" s="32">
        <f>IF(NOT(ISNUMBER(N88)),"",IF(OR(Q88="Taken",Q88="Declined"),"",IF(N88&lt;0,"Lapsed",IF(N88&lt;=7,7,IF(N88&lt;=30,30,IF(N88&lt;=60,60,IF(N88&lt;=90,90,"")))))))</f>
        <v/>
      </c>
      <c r="P88" s="27" t="n"/>
      <c r="Q88" s="27" t="n"/>
      <c r="R88" s="27" t="n"/>
      <c r="S88" s="27" t="n"/>
      <c r="T88" s="27" t="n"/>
    </row>
    <row r="89">
      <c r="A89" s="27" t="n"/>
      <c r="B89" s="27" t="n"/>
      <c r="C89" s="27" t="n"/>
      <c r="D89" s="27" t="n"/>
      <c r="E89" s="28" t="n"/>
      <c r="F89" s="28" t="n"/>
      <c r="G89" s="27" t="n"/>
      <c r="H89" s="29">
        <f>IF(G89="Invoice",IF(ISNUMBER(F89),F89,""),IF(ISNUMBER(E89),E89,""))</f>
        <v/>
      </c>
      <c r="I89" s="30" t="n"/>
      <c r="J89" s="29">
        <f>IF(AND(ISNUMBER(H89),ISNUMBER(I89)),EDATE(H89,I89),"")</f>
        <v/>
      </c>
      <c r="K89" s="30" t="n"/>
      <c r="L89" s="29">
        <f>IF(AND(ISNUMBER(H89),ISNUMBER(K89)),EDATE(H89,K89),"")</f>
        <v/>
      </c>
      <c r="M89" s="29">
        <f>IF(COUNT(J89,L89)=0,"",IF(MIN(J89,L89)&gt;=TODAY(),MIN(J89,L89),MAX(J89,L89)))</f>
        <v/>
      </c>
      <c r="N89" s="31">
        <f>IF(ISNUMBER(M89),M89-TODAY(),"")</f>
        <v/>
      </c>
      <c r="O89" s="32">
        <f>IF(NOT(ISNUMBER(N89)),"",IF(OR(Q89="Taken",Q89="Declined"),"",IF(N89&lt;0,"Lapsed",IF(N89&lt;=7,7,IF(N89&lt;=30,30,IF(N89&lt;=60,60,IF(N89&lt;=90,90,"")))))))</f>
        <v/>
      </c>
      <c r="P89" s="27" t="n"/>
      <c r="Q89" s="27" t="n"/>
      <c r="R89" s="27" t="n"/>
      <c r="S89" s="27" t="n"/>
      <c r="T89" s="27" t="n"/>
    </row>
    <row r="90">
      <c r="A90" s="27" t="n"/>
      <c r="B90" s="27" t="n"/>
      <c r="C90" s="27" t="n"/>
      <c r="D90" s="27" t="n"/>
      <c r="E90" s="28" t="n"/>
      <c r="F90" s="28" t="n"/>
      <c r="G90" s="27" t="n"/>
      <c r="H90" s="29">
        <f>IF(G90="Invoice",IF(ISNUMBER(F90),F90,""),IF(ISNUMBER(E90),E90,""))</f>
        <v/>
      </c>
      <c r="I90" s="30" t="n"/>
      <c r="J90" s="29">
        <f>IF(AND(ISNUMBER(H90),ISNUMBER(I90)),EDATE(H90,I90),"")</f>
        <v/>
      </c>
      <c r="K90" s="30" t="n"/>
      <c r="L90" s="29">
        <f>IF(AND(ISNUMBER(H90),ISNUMBER(K90)),EDATE(H90,K90),"")</f>
        <v/>
      </c>
      <c r="M90" s="29">
        <f>IF(COUNT(J90,L90)=0,"",IF(MIN(J90,L90)&gt;=TODAY(),MIN(J90,L90),MAX(J90,L90)))</f>
        <v/>
      </c>
      <c r="N90" s="31">
        <f>IF(ISNUMBER(M90),M90-TODAY(),"")</f>
        <v/>
      </c>
      <c r="O90" s="32">
        <f>IF(NOT(ISNUMBER(N90)),"",IF(OR(Q90="Taken",Q90="Declined"),"",IF(N90&lt;0,"Lapsed",IF(N90&lt;=7,7,IF(N90&lt;=30,30,IF(N90&lt;=60,60,IF(N90&lt;=90,90,"")))))))</f>
        <v/>
      </c>
      <c r="P90" s="27" t="n"/>
      <c r="Q90" s="27" t="n"/>
      <c r="R90" s="27" t="n"/>
      <c r="S90" s="27" t="n"/>
      <c r="T90" s="27" t="n"/>
    </row>
    <row r="91">
      <c r="A91" s="27" t="n"/>
      <c r="B91" s="27" t="n"/>
      <c r="C91" s="27" t="n"/>
      <c r="D91" s="27" t="n"/>
      <c r="E91" s="28" t="n"/>
      <c r="F91" s="28" t="n"/>
      <c r="G91" s="27" t="n"/>
      <c r="H91" s="29">
        <f>IF(G91="Invoice",IF(ISNUMBER(F91),F91,""),IF(ISNUMBER(E91),E91,""))</f>
        <v/>
      </c>
      <c r="I91" s="30" t="n"/>
      <c r="J91" s="29">
        <f>IF(AND(ISNUMBER(H91),ISNUMBER(I91)),EDATE(H91,I91),"")</f>
        <v/>
      </c>
      <c r="K91" s="30" t="n"/>
      <c r="L91" s="29">
        <f>IF(AND(ISNUMBER(H91),ISNUMBER(K91)),EDATE(H91,K91),"")</f>
        <v/>
      </c>
      <c r="M91" s="29">
        <f>IF(COUNT(J91,L91)=0,"",IF(MIN(J91,L91)&gt;=TODAY(),MIN(J91,L91),MAX(J91,L91)))</f>
        <v/>
      </c>
      <c r="N91" s="31">
        <f>IF(ISNUMBER(M91),M91-TODAY(),"")</f>
        <v/>
      </c>
      <c r="O91" s="32">
        <f>IF(NOT(ISNUMBER(N91)),"",IF(OR(Q91="Taken",Q91="Declined"),"",IF(N91&lt;0,"Lapsed",IF(N91&lt;=7,7,IF(N91&lt;=30,30,IF(N91&lt;=60,60,IF(N91&lt;=90,90,"")))))))</f>
        <v/>
      </c>
      <c r="P91" s="27" t="n"/>
      <c r="Q91" s="27" t="n"/>
      <c r="R91" s="27" t="n"/>
      <c r="S91" s="27" t="n"/>
      <c r="T91" s="27" t="n"/>
    </row>
    <row r="92">
      <c r="A92" s="27" t="n"/>
      <c r="B92" s="27" t="n"/>
      <c r="C92" s="27" t="n"/>
      <c r="D92" s="27" t="n"/>
      <c r="E92" s="28" t="n"/>
      <c r="F92" s="28" t="n"/>
      <c r="G92" s="27" t="n"/>
      <c r="H92" s="29">
        <f>IF(G92="Invoice",IF(ISNUMBER(F92),F92,""),IF(ISNUMBER(E92),E92,""))</f>
        <v/>
      </c>
      <c r="I92" s="30" t="n"/>
      <c r="J92" s="29">
        <f>IF(AND(ISNUMBER(H92),ISNUMBER(I92)),EDATE(H92,I92),"")</f>
        <v/>
      </c>
      <c r="K92" s="30" t="n"/>
      <c r="L92" s="29">
        <f>IF(AND(ISNUMBER(H92),ISNUMBER(K92)),EDATE(H92,K92),"")</f>
        <v/>
      </c>
      <c r="M92" s="29">
        <f>IF(COUNT(J92,L92)=0,"",IF(MIN(J92,L92)&gt;=TODAY(),MIN(J92,L92),MAX(J92,L92)))</f>
        <v/>
      </c>
      <c r="N92" s="31">
        <f>IF(ISNUMBER(M92),M92-TODAY(),"")</f>
        <v/>
      </c>
      <c r="O92" s="32">
        <f>IF(NOT(ISNUMBER(N92)),"",IF(OR(Q92="Taken",Q92="Declined"),"",IF(N92&lt;0,"Lapsed",IF(N92&lt;=7,7,IF(N92&lt;=30,30,IF(N92&lt;=60,60,IF(N92&lt;=90,90,"")))))))</f>
        <v/>
      </c>
      <c r="P92" s="27" t="n"/>
      <c r="Q92" s="27" t="n"/>
      <c r="R92" s="27" t="n"/>
      <c r="S92" s="27" t="n"/>
      <c r="T92" s="27" t="n"/>
    </row>
    <row r="93">
      <c r="A93" s="27" t="n"/>
      <c r="B93" s="27" t="n"/>
      <c r="C93" s="27" t="n"/>
      <c r="D93" s="27" t="n"/>
      <c r="E93" s="28" t="n"/>
      <c r="F93" s="28" t="n"/>
      <c r="G93" s="27" t="n"/>
      <c r="H93" s="29">
        <f>IF(G93="Invoice",IF(ISNUMBER(F93),F93,""),IF(ISNUMBER(E93),E93,""))</f>
        <v/>
      </c>
      <c r="I93" s="30" t="n"/>
      <c r="J93" s="29">
        <f>IF(AND(ISNUMBER(H93),ISNUMBER(I93)),EDATE(H93,I93),"")</f>
        <v/>
      </c>
      <c r="K93" s="30" t="n"/>
      <c r="L93" s="29">
        <f>IF(AND(ISNUMBER(H93),ISNUMBER(K93)),EDATE(H93,K93),"")</f>
        <v/>
      </c>
      <c r="M93" s="29">
        <f>IF(COUNT(J93,L93)=0,"",IF(MIN(J93,L93)&gt;=TODAY(),MIN(J93,L93),MAX(J93,L93)))</f>
        <v/>
      </c>
      <c r="N93" s="31">
        <f>IF(ISNUMBER(M93),M93-TODAY(),"")</f>
        <v/>
      </c>
      <c r="O93" s="32">
        <f>IF(NOT(ISNUMBER(N93)),"",IF(OR(Q93="Taken",Q93="Declined"),"",IF(N93&lt;0,"Lapsed",IF(N93&lt;=7,7,IF(N93&lt;=30,30,IF(N93&lt;=60,60,IF(N93&lt;=90,90,"")))))))</f>
        <v/>
      </c>
      <c r="P93" s="27" t="n"/>
      <c r="Q93" s="27" t="n"/>
      <c r="R93" s="27" t="n"/>
      <c r="S93" s="27" t="n"/>
      <c r="T93" s="27" t="n"/>
    </row>
    <row r="94">
      <c r="A94" s="27" t="n"/>
      <c r="B94" s="27" t="n"/>
      <c r="C94" s="27" t="n"/>
      <c r="D94" s="27" t="n"/>
      <c r="E94" s="28" t="n"/>
      <c r="F94" s="28" t="n"/>
      <c r="G94" s="27" t="n"/>
      <c r="H94" s="29">
        <f>IF(G94="Invoice",IF(ISNUMBER(F94),F94,""),IF(ISNUMBER(E94),E94,""))</f>
        <v/>
      </c>
      <c r="I94" s="30" t="n"/>
      <c r="J94" s="29">
        <f>IF(AND(ISNUMBER(H94),ISNUMBER(I94)),EDATE(H94,I94),"")</f>
        <v/>
      </c>
      <c r="K94" s="30" t="n"/>
      <c r="L94" s="29">
        <f>IF(AND(ISNUMBER(H94),ISNUMBER(K94)),EDATE(H94,K94),"")</f>
        <v/>
      </c>
      <c r="M94" s="29">
        <f>IF(COUNT(J94,L94)=0,"",IF(MIN(J94,L94)&gt;=TODAY(),MIN(J94,L94),MAX(J94,L94)))</f>
        <v/>
      </c>
      <c r="N94" s="31">
        <f>IF(ISNUMBER(M94),M94-TODAY(),"")</f>
        <v/>
      </c>
      <c r="O94" s="32">
        <f>IF(NOT(ISNUMBER(N94)),"",IF(OR(Q94="Taken",Q94="Declined"),"",IF(N94&lt;0,"Lapsed",IF(N94&lt;=7,7,IF(N94&lt;=30,30,IF(N94&lt;=60,60,IF(N94&lt;=90,90,"")))))))</f>
        <v/>
      </c>
      <c r="P94" s="27" t="n"/>
      <c r="Q94" s="27" t="n"/>
      <c r="R94" s="27" t="n"/>
      <c r="S94" s="27" t="n"/>
      <c r="T94" s="27" t="n"/>
    </row>
    <row r="95">
      <c r="A95" s="27" t="n"/>
      <c r="B95" s="27" t="n"/>
      <c r="C95" s="27" t="n"/>
      <c r="D95" s="27" t="n"/>
      <c r="E95" s="28" t="n"/>
      <c r="F95" s="28" t="n"/>
      <c r="G95" s="27" t="n"/>
      <c r="H95" s="29">
        <f>IF(G95="Invoice",IF(ISNUMBER(F95),F95,""),IF(ISNUMBER(E95),E95,""))</f>
        <v/>
      </c>
      <c r="I95" s="30" t="n"/>
      <c r="J95" s="29">
        <f>IF(AND(ISNUMBER(H95),ISNUMBER(I95)),EDATE(H95,I95),"")</f>
        <v/>
      </c>
      <c r="K95" s="30" t="n"/>
      <c r="L95" s="29">
        <f>IF(AND(ISNUMBER(H95),ISNUMBER(K95)),EDATE(H95,K95),"")</f>
        <v/>
      </c>
      <c r="M95" s="29">
        <f>IF(COUNT(J95,L95)=0,"",IF(MIN(J95,L95)&gt;=TODAY(),MIN(J95,L95),MAX(J95,L95)))</f>
        <v/>
      </c>
      <c r="N95" s="31">
        <f>IF(ISNUMBER(M95),M95-TODAY(),"")</f>
        <v/>
      </c>
      <c r="O95" s="32">
        <f>IF(NOT(ISNUMBER(N95)),"",IF(OR(Q95="Taken",Q95="Declined"),"",IF(N95&lt;0,"Lapsed",IF(N95&lt;=7,7,IF(N95&lt;=30,30,IF(N95&lt;=60,60,IF(N95&lt;=90,90,"")))))))</f>
        <v/>
      </c>
      <c r="P95" s="27" t="n"/>
      <c r="Q95" s="27" t="n"/>
      <c r="R95" s="27" t="n"/>
      <c r="S95" s="27" t="n"/>
      <c r="T95" s="27" t="n"/>
    </row>
    <row r="96">
      <c r="A96" s="27" t="n"/>
      <c r="B96" s="27" t="n"/>
      <c r="C96" s="27" t="n"/>
      <c r="D96" s="27" t="n"/>
      <c r="E96" s="28" t="n"/>
      <c r="F96" s="28" t="n"/>
      <c r="G96" s="27" t="n"/>
      <c r="H96" s="29">
        <f>IF(G96="Invoice",IF(ISNUMBER(F96),F96,""),IF(ISNUMBER(E96),E96,""))</f>
        <v/>
      </c>
      <c r="I96" s="30" t="n"/>
      <c r="J96" s="29">
        <f>IF(AND(ISNUMBER(H96),ISNUMBER(I96)),EDATE(H96,I96),"")</f>
        <v/>
      </c>
      <c r="K96" s="30" t="n"/>
      <c r="L96" s="29">
        <f>IF(AND(ISNUMBER(H96),ISNUMBER(K96)),EDATE(H96,K96),"")</f>
        <v/>
      </c>
      <c r="M96" s="29">
        <f>IF(COUNT(J96,L96)=0,"",IF(MIN(J96,L96)&gt;=TODAY(),MIN(J96,L96),MAX(J96,L96)))</f>
        <v/>
      </c>
      <c r="N96" s="31">
        <f>IF(ISNUMBER(M96),M96-TODAY(),"")</f>
        <v/>
      </c>
      <c r="O96" s="32">
        <f>IF(NOT(ISNUMBER(N96)),"",IF(OR(Q96="Taken",Q96="Declined"),"",IF(N96&lt;0,"Lapsed",IF(N96&lt;=7,7,IF(N96&lt;=30,30,IF(N96&lt;=60,60,IF(N96&lt;=90,90,"")))))))</f>
        <v/>
      </c>
      <c r="P96" s="27" t="n"/>
      <c r="Q96" s="27" t="n"/>
      <c r="R96" s="27" t="n"/>
      <c r="S96" s="27" t="n"/>
      <c r="T96" s="27" t="n"/>
    </row>
    <row r="97">
      <c r="A97" s="27" t="n"/>
      <c r="B97" s="27" t="n"/>
      <c r="C97" s="27" t="n"/>
      <c r="D97" s="27" t="n"/>
      <c r="E97" s="28" t="n"/>
      <c r="F97" s="28" t="n"/>
      <c r="G97" s="27" t="n"/>
      <c r="H97" s="29">
        <f>IF(G97="Invoice",IF(ISNUMBER(F97),F97,""),IF(ISNUMBER(E97),E97,""))</f>
        <v/>
      </c>
      <c r="I97" s="30" t="n"/>
      <c r="J97" s="29">
        <f>IF(AND(ISNUMBER(H97),ISNUMBER(I97)),EDATE(H97,I97),"")</f>
        <v/>
      </c>
      <c r="K97" s="30" t="n"/>
      <c r="L97" s="29">
        <f>IF(AND(ISNUMBER(H97),ISNUMBER(K97)),EDATE(H97,K97),"")</f>
        <v/>
      </c>
      <c r="M97" s="29">
        <f>IF(COUNT(J97,L97)=0,"",IF(MIN(J97,L97)&gt;=TODAY(),MIN(J97,L97),MAX(J97,L97)))</f>
        <v/>
      </c>
      <c r="N97" s="31">
        <f>IF(ISNUMBER(M97),M97-TODAY(),"")</f>
        <v/>
      </c>
      <c r="O97" s="32">
        <f>IF(NOT(ISNUMBER(N97)),"",IF(OR(Q97="Taken",Q97="Declined"),"",IF(N97&lt;0,"Lapsed",IF(N97&lt;=7,7,IF(N97&lt;=30,30,IF(N97&lt;=60,60,IF(N97&lt;=90,90,"")))))))</f>
        <v/>
      </c>
      <c r="P97" s="27" t="n"/>
      <c r="Q97" s="27" t="n"/>
      <c r="R97" s="27" t="n"/>
      <c r="S97" s="27" t="n"/>
      <c r="T97" s="27" t="n"/>
    </row>
    <row r="98">
      <c r="A98" s="27" t="n"/>
      <c r="B98" s="27" t="n"/>
      <c r="C98" s="27" t="n"/>
      <c r="D98" s="27" t="n"/>
      <c r="E98" s="28" t="n"/>
      <c r="F98" s="28" t="n"/>
      <c r="G98" s="27" t="n"/>
      <c r="H98" s="29">
        <f>IF(G98="Invoice",IF(ISNUMBER(F98),F98,""),IF(ISNUMBER(E98),E98,""))</f>
        <v/>
      </c>
      <c r="I98" s="30" t="n"/>
      <c r="J98" s="29">
        <f>IF(AND(ISNUMBER(H98),ISNUMBER(I98)),EDATE(H98,I98),"")</f>
        <v/>
      </c>
      <c r="K98" s="30" t="n"/>
      <c r="L98" s="29">
        <f>IF(AND(ISNUMBER(H98),ISNUMBER(K98)),EDATE(H98,K98),"")</f>
        <v/>
      </c>
      <c r="M98" s="29">
        <f>IF(COUNT(J98,L98)=0,"",IF(MIN(J98,L98)&gt;=TODAY(),MIN(J98,L98),MAX(J98,L98)))</f>
        <v/>
      </c>
      <c r="N98" s="31">
        <f>IF(ISNUMBER(M98),M98-TODAY(),"")</f>
        <v/>
      </c>
      <c r="O98" s="32">
        <f>IF(NOT(ISNUMBER(N98)),"",IF(OR(Q98="Taken",Q98="Declined"),"",IF(N98&lt;0,"Lapsed",IF(N98&lt;=7,7,IF(N98&lt;=30,30,IF(N98&lt;=60,60,IF(N98&lt;=90,90,"")))))))</f>
        <v/>
      </c>
      <c r="P98" s="27" t="n"/>
      <c r="Q98" s="27" t="n"/>
      <c r="R98" s="27" t="n"/>
      <c r="S98" s="27" t="n"/>
      <c r="T98" s="27" t="n"/>
    </row>
    <row r="99">
      <c r="A99" s="27" t="n"/>
      <c r="B99" s="27" t="n"/>
      <c r="C99" s="27" t="n"/>
      <c r="D99" s="27" t="n"/>
      <c r="E99" s="28" t="n"/>
      <c r="F99" s="28" t="n"/>
      <c r="G99" s="27" t="n"/>
      <c r="H99" s="29">
        <f>IF(G99="Invoice",IF(ISNUMBER(F99),F99,""),IF(ISNUMBER(E99),E99,""))</f>
        <v/>
      </c>
      <c r="I99" s="30" t="n"/>
      <c r="J99" s="29">
        <f>IF(AND(ISNUMBER(H99),ISNUMBER(I99)),EDATE(H99,I99),"")</f>
        <v/>
      </c>
      <c r="K99" s="30" t="n"/>
      <c r="L99" s="29">
        <f>IF(AND(ISNUMBER(H99),ISNUMBER(K99)),EDATE(H99,K99),"")</f>
        <v/>
      </c>
      <c r="M99" s="29">
        <f>IF(COUNT(J99,L99)=0,"",IF(MIN(J99,L99)&gt;=TODAY(),MIN(J99,L99),MAX(J99,L99)))</f>
        <v/>
      </c>
      <c r="N99" s="31">
        <f>IF(ISNUMBER(M99),M99-TODAY(),"")</f>
        <v/>
      </c>
      <c r="O99" s="32">
        <f>IF(NOT(ISNUMBER(N99)),"",IF(OR(Q99="Taken",Q99="Declined"),"",IF(N99&lt;0,"Lapsed",IF(N99&lt;=7,7,IF(N99&lt;=30,30,IF(N99&lt;=60,60,IF(N99&lt;=90,90,"")))))))</f>
        <v/>
      </c>
      <c r="P99" s="27" t="n"/>
      <c r="Q99" s="27" t="n"/>
      <c r="R99" s="27" t="n"/>
      <c r="S99" s="27" t="n"/>
      <c r="T99" s="27" t="n"/>
    </row>
    <row r="100">
      <c r="A100" s="27" t="n"/>
      <c r="B100" s="27" t="n"/>
      <c r="C100" s="27" t="n"/>
      <c r="D100" s="27" t="n"/>
      <c r="E100" s="28" t="n"/>
      <c r="F100" s="28" t="n"/>
      <c r="G100" s="27" t="n"/>
      <c r="H100" s="29">
        <f>IF(G100="Invoice",IF(ISNUMBER(F100),F100,""),IF(ISNUMBER(E100),E100,""))</f>
        <v/>
      </c>
      <c r="I100" s="30" t="n"/>
      <c r="J100" s="29">
        <f>IF(AND(ISNUMBER(H100),ISNUMBER(I100)),EDATE(H100,I100),"")</f>
        <v/>
      </c>
      <c r="K100" s="30" t="n"/>
      <c r="L100" s="29">
        <f>IF(AND(ISNUMBER(H100),ISNUMBER(K100)),EDATE(H100,K100),"")</f>
        <v/>
      </c>
      <c r="M100" s="29">
        <f>IF(COUNT(J100,L100)=0,"",IF(MIN(J100,L100)&gt;=TODAY(),MIN(J100,L100),MAX(J100,L100)))</f>
        <v/>
      </c>
      <c r="N100" s="31">
        <f>IF(ISNUMBER(M100),M100-TODAY(),"")</f>
        <v/>
      </c>
      <c r="O100" s="32">
        <f>IF(NOT(ISNUMBER(N100)),"",IF(OR(Q100="Taken",Q100="Declined"),"",IF(N100&lt;0,"Lapsed",IF(N100&lt;=7,7,IF(N100&lt;=30,30,IF(N100&lt;=60,60,IF(N100&lt;=90,90,"")))))))</f>
        <v/>
      </c>
      <c r="P100" s="27" t="n"/>
      <c r="Q100" s="27" t="n"/>
      <c r="R100" s="27" t="n"/>
      <c r="S100" s="27" t="n"/>
      <c r="T100" s="27" t="n"/>
    </row>
    <row r="101">
      <c r="A101" s="27" t="n"/>
      <c r="B101" s="27" t="n"/>
      <c r="C101" s="27" t="n"/>
      <c r="D101" s="27" t="n"/>
      <c r="E101" s="28" t="n"/>
      <c r="F101" s="28" t="n"/>
      <c r="G101" s="27" t="n"/>
      <c r="H101" s="29">
        <f>IF(G101="Invoice",IF(ISNUMBER(F101),F101,""),IF(ISNUMBER(E101),E101,""))</f>
        <v/>
      </c>
      <c r="I101" s="30" t="n"/>
      <c r="J101" s="29">
        <f>IF(AND(ISNUMBER(H101),ISNUMBER(I101)),EDATE(H101,I101),"")</f>
        <v/>
      </c>
      <c r="K101" s="30" t="n"/>
      <c r="L101" s="29">
        <f>IF(AND(ISNUMBER(H101),ISNUMBER(K101)),EDATE(H101,K101),"")</f>
        <v/>
      </c>
      <c r="M101" s="29">
        <f>IF(COUNT(J101,L101)=0,"",IF(MIN(J101,L101)&gt;=TODAY(),MIN(J101,L101),MAX(J101,L101)))</f>
        <v/>
      </c>
      <c r="N101" s="31">
        <f>IF(ISNUMBER(M101),M101-TODAY(),"")</f>
        <v/>
      </c>
      <c r="O101" s="32">
        <f>IF(NOT(ISNUMBER(N101)),"",IF(OR(Q101="Taken",Q101="Declined"),"",IF(N101&lt;0,"Lapsed",IF(N101&lt;=7,7,IF(N101&lt;=30,30,IF(N101&lt;=60,60,IF(N101&lt;=90,90,"")))))))</f>
        <v/>
      </c>
      <c r="P101" s="27" t="n"/>
      <c r="Q101" s="27" t="n"/>
      <c r="R101" s="27" t="n"/>
      <c r="S101" s="27" t="n"/>
      <c r="T101" s="27" t="n"/>
    </row>
    <row r="102">
      <c r="A102" s="27" t="n"/>
      <c r="B102" s="27" t="n"/>
      <c r="C102" s="27" t="n"/>
      <c r="D102" s="27" t="n"/>
      <c r="E102" s="28" t="n"/>
      <c r="F102" s="28" t="n"/>
      <c r="G102" s="27" t="n"/>
      <c r="H102" s="29">
        <f>IF(G102="Invoice",IF(ISNUMBER(F102),F102,""),IF(ISNUMBER(E102),E102,""))</f>
        <v/>
      </c>
      <c r="I102" s="30" t="n"/>
      <c r="J102" s="29">
        <f>IF(AND(ISNUMBER(H102),ISNUMBER(I102)),EDATE(H102,I102),"")</f>
        <v/>
      </c>
      <c r="K102" s="30" t="n"/>
      <c r="L102" s="29">
        <f>IF(AND(ISNUMBER(H102),ISNUMBER(K102)),EDATE(H102,K102),"")</f>
        <v/>
      </c>
      <c r="M102" s="29">
        <f>IF(COUNT(J102,L102)=0,"",IF(MIN(J102,L102)&gt;=TODAY(),MIN(J102,L102),MAX(J102,L102)))</f>
        <v/>
      </c>
      <c r="N102" s="31">
        <f>IF(ISNUMBER(M102),M102-TODAY(),"")</f>
        <v/>
      </c>
      <c r="O102" s="32">
        <f>IF(NOT(ISNUMBER(N102)),"",IF(OR(Q102="Taken",Q102="Declined"),"",IF(N102&lt;0,"Lapsed",IF(N102&lt;=7,7,IF(N102&lt;=30,30,IF(N102&lt;=60,60,IF(N102&lt;=90,90,"")))))))</f>
        <v/>
      </c>
      <c r="P102" s="27" t="n"/>
      <c r="Q102" s="27" t="n"/>
      <c r="R102" s="27" t="n"/>
      <c r="S102" s="27" t="n"/>
      <c r="T102" s="27" t="n"/>
    </row>
    <row r="103">
      <c r="A103" s="27" t="n"/>
      <c r="B103" s="27" t="n"/>
      <c r="C103" s="27" t="n"/>
      <c r="D103" s="27" t="n"/>
      <c r="E103" s="28" t="n"/>
      <c r="F103" s="28" t="n"/>
      <c r="G103" s="27" t="n"/>
      <c r="H103" s="29">
        <f>IF(G103="Invoice",IF(ISNUMBER(F103),F103,""),IF(ISNUMBER(E103),E103,""))</f>
        <v/>
      </c>
      <c r="I103" s="30" t="n"/>
      <c r="J103" s="29">
        <f>IF(AND(ISNUMBER(H103),ISNUMBER(I103)),EDATE(H103,I103),"")</f>
        <v/>
      </c>
      <c r="K103" s="30" t="n"/>
      <c r="L103" s="29">
        <f>IF(AND(ISNUMBER(H103),ISNUMBER(K103)),EDATE(H103,K103),"")</f>
        <v/>
      </c>
      <c r="M103" s="29">
        <f>IF(COUNT(J103,L103)=0,"",IF(MIN(J103,L103)&gt;=TODAY(),MIN(J103,L103),MAX(J103,L103)))</f>
        <v/>
      </c>
      <c r="N103" s="31">
        <f>IF(ISNUMBER(M103),M103-TODAY(),"")</f>
        <v/>
      </c>
      <c r="O103" s="32">
        <f>IF(NOT(ISNUMBER(N103)),"",IF(OR(Q103="Taken",Q103="Declined"),"",IF(N103&lt;0,"Lapsed",IF(N103&lt;=7,7,IF(N103&lt;=30,30,IF(N103&lt;=60,60,IF(N103&lt;=90,90,"")))))))</f>
        <v/>
      </c>
      <c r="P103" s="27" t="n"/>
      <c r="Q103" s="27" t="n"/>
      <c r="R103" s="27" t="n"/>
      <c r="S103" s="27" t="n"/>
      <c r="T103" s="27" t="n"/>
    </row>
    <row r="104">
      <c r="A104" s="27" t="n"/>
      <c r="B104" s="27" t="n"/>
      <c r="C104" s="27" t="n"/>
      <c r="D104" s="27" t="n"/>
      <c r="E104" s="28" t="n"/>
      <c r="F104" s="28" t="n"/>
      <c r="G104" s="27" t="n"/>
      <c r="H104" s="29">
        <f>IF(G104="Invoice",IF(ISNUMBER(F104),F104,""),IF(ISNUMBER(E104),E104,""))</f>
        <v/>
      </c>
      <c r="I104" s="30" t="n"/>
      <c r="J104" s="29">
        <f>IF(AND(ISNUMBER(H104),ISNUMBER(I104)),EDATE(H104,I104),"")</f>
        <v/>
      </c>
      <c r="K104" s="30" t="n"/>
      <c r="L104" s="29">
        <f>IF(AND(ISNUMBER(H104),ISNUMBER(K104)),EDATE(H104,K104),"")</f>
        <v/>
      </c>
      <c r="M104" s="29">
        <f>IF(COUNT(J104,L104)=0,"",IF(MIN(J104,L104)&gt;=TODAY(),MIN(J104,L104),MAX(J104,L104)))</f>
        <v/>
      </c>
      <c r="N104" s="31">
        <f>IF(ISNUMBER(M104),M104-TODAY(),"")</f>
        <v/>
      </c>
      <c r="O104" s="32">
        <f>IF(NOT(ISNUMBER(N104)),"",IF(OR(Q104="Taken",Q104="Declined"),"",IF(N104&lt;0,"Lapsed",IF(N104&lt;=7,7,IF(N104&lt;=30,30,IF(N104&lt;=60,60,IF(N104&lt;=90,90,"")))))))</f>
        <v/>
      </c>
      <c r="P104" s="27" t="n"/>
      <c r="Q104" s="27" t="n"/>
      <c r="R104" s="27" t="n"/>
      <c r="S104" s="27" t="n"/>
      <c r="T104" s="27" t="n"/>
    </row>
    <row r="105">
      <c r="A105" s="27" t="n"/>
      <c r="B105" s="27" t="n"/>
      <c r="C105" s="27" t="n"/>
      <c r="D105" s="27" t="n"/>
      <c r="E105" s="28" t="n"/>
      <c r="F105" s="28" t="n"/>
      <c r="G105" s="27" t="n"/>
      <c r="H105" s="29">
        <f>IF(G105="Invoice",IF(ISNUMBER(F105),F105,""),IF(ISNUMBER(E105),E105,""))</f>
        <v/>
      </c>
      <c r="I105" s="30" t="n"/>
      <c r="J105" s="29">
        <f>IF(AND(ISNUMBER(H105),ISNUMBER(I105)),EDATE(H105,I105),"")</f>
        <v/>
      </c>
      <c r="K105" s="30" t="n"/>
      <c r="L105" s="29">
        <f>IF(AND(ISNUMBER(H105),ISNUMBER(K105)),EDATE(H105,K105),"")</f>
        <v/>
      </c>
      <c r="M105" s="29">
        <f>IF(COUNT(J105,L105)=0,"",IF(MIN(J105,L105)&gt;=TODAY(),MIN(J105,L105),MAX(J105,L105)))</f>
        <v/>
      </c>
      <c r="N105" s="31">
        <f>IF(ISNUMBER(M105),M105-TODAY(),"")</f>
        <v/>
      </c>
      <c r="O105" s="32">
        <f>IF(NOT(ISNUMBER(N105)),"",IF(OR(Q105="Taken",Q105="Declined"),"",IF(N105&lt;0,"Lapsed",IF(N105&lt;=7,7,IF(N105&lt;=30,30,IF(N105&lt;=60,60,IF(N105&lt;=90,90,"")))))))</f>
        <v/>
      </c>
      <c r="P105" s="27" t="n"/>
      <c r="Q105" s="27" t="n"/>
      <c r="R105" s="27" t="n"/>
      <c r="S105" s="27" t="n"/>
      <c r="T105" s="27" t="n"/>
    </row>
    <row r="106">
      <c r="A106" s="27" t="n"/>
      <c r="B106" s="27" t="n"/>
      <c r="C106" s="27" t="n"/>
      <c r="D106" s="27" t="n"/>
      <c r="E106" s="28" t="n"/>
      <c r="F106" s="28" t="n"/>
      <c r="G106" s="27" t="n"/>
      <c r="H106" s="29">
        <f>IF(G106="Invoice",IF(ISNUMBER(F106),F106,""),IF(ISNUMBER(E106),E106,""))</f>
        <v/>
      </c>
      <c r="I106" s="30" t="n"/>
      <c r="J106" s="29">
        <f>IF(AND(ISNUMBER(H106),ISNUMBER(I106)),EDATE(H106,I106),"")</f>
        <v/>
      </c>
      <c r="K106" s="30" t="n"/>
      <c r="L106" s="29">
        <f>IF(AND(ISNUMBER(H106),ISNUMBER(K106)),EDATE(H106,K106),"")</f>
        <v/>
      </c>
      <c r="M106" s="29">
        <f>IF(COUNT(J106,L106)=0,"",IF(MIN(J106,L106)&gt;=TODAY(),MIN(J106,L106),MAX(J106,L106)))</f>
        <v/>
      </c>
      <c r="N106" s="31">
        <f>IF(ISNUMBER(M106),M106-TODAY(),"")</f>
        <v/>
      </c>
      <c r="O106" s="32">
        <f>IF(NOT(ISNUMBER(N106)),"",IF(OR(Q106="Taken",Q106="Declined"),"",IF(N106&lt;0,"Lapsed",IF(N106&lt;=7,7,IF(N106&lt;=30,30,IF(N106&lt;=60,60,IF(N106&lt;=90,90,"")))))))</f>
        <v/>
      </c>
      <c r="P106" s="27" t="n"/>
      <c r="Q106" s="27" t="n"/>
      <c r="R106" s="27" t="n"/>
      <c r="S106" s="27" t="n"/>
      <c r="T106" s="27" t="n"/>
    </row>
    <row r="107">
      <c r="A107" s="27" t="n"/>
      <c r="B107" s="27" t="n"/>
      <c r="C107" s="27" t="n"/>
      <c r="D107" s="27" t="n"/>
      <c r="E107" s="28" t="n"/>
      <c r="F107" s="28" t="n"/>
      <c r="G107" s="27" t="n"/>
      <c r="H107" s="29">
        <f>IF(G107="Invoice",IF(ISNUMBER(F107),F107,""),IF(ISNUMBER(E107),E107,""))</f>
        <v/>
      </c>
      <c r="I107" s="30" t="n"/>
      <c r="J107" s="29">
        <f>IF(AND(ISNUMBER(H107),ISNUMBER(I107)),EDATE(H107,I107),"")</f>
        <v/>
      </c>
      <c r="K107" s="30" t="n"/>
      <c r="L107" s="29">
        <f>IF(AND(ISNUMBER(H107),ISNUMBER(K107)),EDATE(H107,K107),"")</f>
        <v/>
      </c>
      <c r="M107" s="29">
        <f>IF(COUNT(J107,L107)=0,"",IF(MIN(J107,L107)&gt;=TODAY(),MIN(J107,L107),MAX(J107,L107)))</f>
        <v/>
      </c>
      <c r="N107" s="31">
        <f>IF(ISNUMBER(M107),M107-TODAY(),"")</f>
        <v/>
      </c>
      <c r="O107" s="32">
        <f>IF(NOT(ISNUMBER(N107)),"",IF(OR(Q107="Taken",Q107="Declined"),"",IF(N107&lt;0,"Lapsed",IF(N107&lt;=7,7,IF(N107&lt;=30,30,IF(N107&lt;=60,60,IF(N107&lt;=90,90,"")))))))</f>
        <v/>
      </c>
      <c r="P107" s="27" t="n"/>
      <c r="Q107" s="27" t="n"/>
      <c r="R107" s="27" t="n"/>
      <c r="S107" s="27" t="n"/>
      <c r="T107" s="27" t="n"/>
    </row>
    <row r="108">
      <c r="A108" s="27" t="n"/>
      <c r="B108" s="27" t="n"/>
      <c r="C108" s="27" t="n"/>
      <c r="D108" s="27" t="n"/>
      <c r="E108" s="28" t="n"/>
      <c r="F108" s="28" t="n"/>
      <c r="G108" s="27" t="n"/>
      <c r="H108" s="29">
        <f>IF(G108="Invoice",IF(ISNUMBER(F108),F108,""),IF(ISNUMBER(E108),E108,""))</f>
        <v/>
      </c>
      <c r="I108" s="30" t="n"/>
      <c r="J108" s="29">
        <f>IF(AND(ISNUMBER(H108),ISNUMBER(I108)),EDATE(H108,I108),"")</f>
        <v/>
      </c>
      <c r="K108" s="30" t="n"/>
      <c r="L108" s="29">
        <f>IF(AND(ISNUMBER(H108),ISNUMBER(K108)),EDATE(H108,K108),"")</f>
        <v/>
      </c>
      <c r="M108" s="29">
        <f>IF(COUNT(J108,L108)=0,"",IF(MIN(J108,L108)&gt;=TODAY(),MIN(J108,L108),MAX(J108,L108)))</f>
        <v/>
      </c>
      <c r="N108" s="31">
        <f>IF(ISNUMBER(M108),M108-TODAY(),"")</f>
        <v/>
      </c>
      <c r="O108" s="32">
        <f>IF(NOT(ISNUMBER(N108)),"",IF(OR(Q108="Taken",Q108="Declined"),"",IF(N108&lt;0,"Lapsed",IF(N108&lt;=7,7,IF(N108&lt;=30,30,IF(N108&lt;=60,60,IF(N108&lt;=90,90,"")))))))</f>
        <v/>
      </c>
      <c r="P108" s="27" t="n"/>
      <c r="Q108" s="27" t="n"/>
      <c r="R108" s="27" t="n"/>
      <c r="S108" s="27" t="n"/>
      <c r="T108" s="27" t="n"/>
    </row>
    <row r="109">
      <c r="A109" s="27" t="n"/>
      <c r="B109" s="27" t="n"/>
      <c r="C109" s="27" t="n"/>
      <c r="D109" s="27" t="n"/>
      <c r="E109" s="28" t="n"/>
      <c r="F109" s="28" t="n"/>
      <c r="G109" s="27" t="n"/>
      <c r="H109" s="29">
        <f>IF(G109="Invoice",IF(ISNUMBER(F109),F109,""),IF(ISNUMBER(E109),E109,""))</f>
        <v/>
      </c>
      <c r="I109" s="30" t="n"/>
      <c r="J109" s="29">
        <f>IF(AND(ISNUMBER(H109),ISNUMBER(I109)),EDATE(H109,I109),"")</f>
        <v/>
      </c>
      <c r="K109" s="30" t="n"/>
      <c r="L109" s="29">
        <f>IF(AND(ISNUMBER(H109),ISNUMBER(K109)),EDATE(H109,K109),"")</f>
        <v/>
      </c>
      <c r="M109" s="29">
        <f>IF(COUNT(J109,L109)=0,"",IF(MIN(J109,L109)&gt;=TODAY(),MIN(J109,L109),MAX(J109,L109)))</f>
        <v/>
      </c>
      <c r="N109" s="31">
        <f>IF(ISNUMBER(M109),M109-TODAY(),"")</f>
        <v/>
      </c>
      <c r="O109" s="32">
        <f>IF(NOT(ISNUMBER(N109)),"",IF(OR(Q109="Taken",Q109="Declined"),"",IF(N109&lt;0,"Lapsed",IF(N109&lt;=7,7,IF(N109&lt;=30,30,IF(N109&lt;=60,60,IF(N109&lt;=90,90,"")))))))</f>
        <v/>
      </c>
      <c r="P109" s="27" t="n"/>
      <c r="Q109" s="27" t="n"/>
      <c r="R109" s="27" t="n"/>
      <c r="S109" s="27" t="n"/>
      <c r="T109" s="27" t="n"/>
    </row>
    <row r="110">
      <c r="A110" s="27" t="n"/>
      <c r="B110" s="27" t="n"/>
      <c r="C110" s="27" t="n"/>
      <c r="D110" s="27" t="n"/>
      <c r="E110" s="28" t="n"/>
      <c r="F110" s="28" t="n"/>
      <c r="G110" s="27" t="n"/>
      <c r="H110" s="29">
        <f>IF(G110="Invoice",IF(ISNUMBER(F110),F110,""),IF(ISNUMBER(E110),E110,""))</f>
        <v/>
      </c>
      <c r="I110" s="30" t="n"/>
      <c r="J110" s="29">
        <f>IF(AND(ISNUMBER(H110),ISNUMBER(I110)),EDATE(H110,I110),"")</f>
        <v/>
      </c>
      <c r="K110" s="30" t="n"/>
      <c r="L110" s="29">
        <f>IF(AND(ISNUMBER(H110),ISNUMBER(K110)),EDATE(H110,K110),"")</f>
        <v/>
      </c>
      <c r="M110" s="29">
        <f>IF(COUNT(J110,L110)=0,"",IF(MIN(J110,L110)&gt;=TODAY(),MIN(J110,L110),MAX(J110,L110)))</f>
        <v/>
      </c>
      <c r="N110" s="31">
        <f>IF(ISNUMBER(M110),M110-TODAY(),"")</f>
        <v/>
      </c>
      <c r="O110" s="32">
        <f>IF(NOT(ISNUMBER(N110)),"",IF(OR(Q110="Taken",Q110="Declined"),"",IF(N110&lt;0,"Lapsed",IF(N110&lt;=7,7,IF(N110&lt;=30,30,IF(N110&lt;=60,60,IF(N110&lt;=90,90,"")))))))</f>
        <v/>
      </c>
      <c r="P110" s="27" t="n"/>
      <c r="Q110" s="27" t="n"/>
      <c r="R110" s="27" t="n"/>
      <c r="S110" s="27" t="n"/>
      <c r="T110" s="27" t="n"/>
    </row>
    <row r="111">
      <c r="A111" s="27" t="n"/>
      <c r="B111" s="27" t="n"/>
      <c r="C111" s="27" t="n"/>
      <c r="D111" s="27" t="n"/>
      <c r="E111" s="28" t="n"/>
      <c r="F111" s="28" t="n"/>
      <c r="G111" s="27" t="n"/>
      <c r="H111" s="29">
        <f>IF(G111="Invoice",IF(ISNUMBER(F111),F111,""),IF(ISNUMBER(E111),E111,""))</f>
        <v/>
      </c>
      <c r="I111" s="30" t="n"/>
      <c r="J111" s="29">
        <f>IF(AND(ISNUMBER(H111),ISNUMBER(I111)),EDATE(H111,I111),"")</f>
        <v/>
      </c>
      <c r="K111" s="30" t="n"/>
      <c r="L111" s="29">
        <f>IF(AND(ISNUMBER(H111),ISNUMBER(K111)),EDATE(H111,K111),"")</f>
        <v/>
      </c>
      <c r="M111" s="29">
        <f>IF(COUNT(J111,L111)=0,"",IF(MIN(J111,L111)&gt;=TODAY(),MIN(J111,L111),MAX(J111,L111)))</f>
        <v/>
      </c>
      <c r="N111" s="31">
        <f>IF(ISNUMBER(M111),M111-TODAY(),"")</f>
        <v/>
      </c>
      <c r="O111" s="32">
        <f>IF(NOT(ISNUMBER(N111)),"",IF(OR(Q111="Taken",Q111="Declined"),"",IF(N111&lt;0,"Lapsed",IF(N111&lt;=7,7,IF(N111&lt;=30,30,IF(N111&lt;=60,60,IF(N111&lt;=90,90,"")))))))</f>
        <v/>
      </c>
      <c r="P111" s="27" t="n"/>
      <c r="Q111" s="27" t="n"/>
      <c r="R111" s="27" t="n"/>
      <c r="S111" s="27" t="n"/>
      <c r="T111" s="27" t="n"/>
    </row>
    <row r="112">
      <c r="A112" s="27" t="n"/>
      <c r="B112" s="27" t="n"/>
      <c r="C112" s="27" t="n"/>
      <c r="D112" s="27" t="n"/>
      <c r="E112" s="28" t="n"/>
      <c r="F112" s="28" t="n"/>
      <c r="G112" s="27" t="n"/>
      <c r="H112" s="29">
        <f>IF(G112="Invoice",IF(ISNUMBER(F112),F112,""),IF(ISNUMBER(E112),E112,""))</f>
        <v/>
      </c>
      <c r="I112" s="30" t="n"/>
      <c r="J112" s="29">
        <f>IF(AND(ISNUMBER(H112),ISNUMBER(I112)),EDATE(H112,I112),"")</f>
        <v/>
      </c>
      <c r="K112" s="30" t="n"/>
      <c r="L112" s="29">
        <f>IF(AND(ISNUMBER(H112),ISNUMBER(K112)),EDATE(H112,K112),"")</f>
        <v/>
      </c>
      <c r="M112" s="29">
        <f>IF(COUNT(J112,L112)=0,"",IF(MIN(J112,L112)&gt;=TODAY(),MIN(J112,L112),MAX(J112,L112)))</f>
        <v/>
      </c>
      <c r="N112" s="31">
        <f>IF(ISNUMBER(M112),M112-TODAY(),"")</f>
        <v/>
      </c>
      <c r="O112" s="32">
        <f>IF(NOT(ISNUMBER(N112)),"",IF(OR(Q112="Taken",Q112="Declined"),"",IF(N112&lt;0,"Lapsed",IF(N112&lt;=7,7,IF(N112&lt;=30,30,IF(N112&lt;=60,60,IF(N112&lt;=90,90,"")))))))</f>
        <v/>
      </c>
      <c r="P112" s="27" t="n"/>
      <c r="Q112" s="27" t="n"/>
      <c r="R112" s="27" t="n"/>
      <c r="S112" s="27" t="n"/>
      <c r="T112" s="27" t="n"/>
    </row>
    <row r="113">
      <c r="A113" s="27" t="n"/>
      <c r="B113" s="27" t="n"/>
      <c r="C113" s="27" t="n"/>
      <c r="D113" s="27" t="n"/>
      <c r="E113" s="28" t="n"/>
      <c r="F113" s="28" t="n"/>
      <c r="G113" s="27" t="n"/>
      <c r="H113" s="29">
        <f>IF(G113="Invoice",IF(ISNUMBER(F113),F113,""),IF(ISNUMBER(E113),E113,""))</f>
        <v/>
      </c>
      <c r="I113" s="30" t="n"/>
      <c r="J113" s="29">
        <f>IF(AND(ISNUMBER(H113),ISNUMBER(I113)),EDATE(H113,I113),"")</f>
        <v/>
      </c>
      <c r="K113" s="30" t="n"/>
      <c r="L113" s="29">
        <f>IF(AND(ISNUMBER(H113),ISNUMBER(K113)),EDATE(H113,K113),"")</f>
        <v/>
      </c>
      <c r="M113" s="29">
        <f>IF(COUNT(J113,L113)=0,"",IF(MIN(J113,L113)&gt;=TODAY(),MIN(J113,L113),MAX(J113,L113)))</f>
        <v/>
      </c>
      <c r="N113" s="31">
        <f>IF(ISNUMBER(M113),M113-TODAY(),"")</f>
        <v/>
      </c>
      <c r="O113" s="32">
        <f>IF(NOT(ISNUMBER(N113)),"",IF(OR(Q113="Taken",Q113="Declined"),"",IF(N113&lt;0,"Lapsed",IF(N113&lt;=7,7,IF(N113&lt;=30,30,IF(N113&lt;=60,60,IF(N113&lt;=90,90,"")))))))</f>
        <v/>
      </c>
      <c r="P113" s="27" t="n"/>
      <c r="Q113" s="27" t="n"/>
      <c r="R113" s="27" t="n"/>
      <c r="S113" s="27" t="n"/>
      <c r="T113" s="27" t="n"/>
    </row>
    <row r="114">
      <c r="A114" s="27" t="n"/>
      <c r="B114" s="27" t="n"/>
      <c r="C114" s="27" t="n"/>
      <c r="D114" s="27" t="n"/>
      <c r="E114" s="28" t="n"/>
      <c r="F114" s="28" t="n"/>
      <c r="G114" s="27" t="n"/>
      <c r="H114" s="29">
        <f>IF(G114="Invoice",IF(ISNUMBER(F114),F114,""),IF(ISNUMBER(E114),E114,""))</f>
        <v/>
      </c>
      <c r="I114" s="30" t="n"/>
      <c r="J114" s="29">
        <f>IF(AND(ISNUMBER(H114),ISNUMBER(I114)),EDATE(H114,I114),"")</f>
        <v/>
      </c>
      <c r="K114" s="30" t="n"/>
      <c r="L114" s="29">
        <f>IF(AND(ISNUMBER(H114),ISNUMBER(K114)),EDATE(H114,K114),"")</f>
        <v/>
      </c>
      <c r="M114" s="29">
        <f>IF(COUNT(J114,L114)=0,"",IF(MIN(J114,L114)&gt;=TODAY(),MIN(J114,L114),MAX(J114,L114)))</f>
        <v/>
      </c>
      <c r="N114" s="31">
        <f>IF(ISNUMBER(M114),M114-TODAY(),"")</f>
        <v/>
      </c>
      <c r="O114" s="32">
        <f>IF(NOT(ISNUMBER(N114)),"",IF(OR(Q114="Taken",Q114="Declined"),"",IF(N114&lt;0,"Lapsed",IF(N114&lt;=7,7,IF(N114&lt;=30,30,IF(N114&lt;=60,60,IF(N114&lt;=90,90,"")))))))</f>
        <v/>
      </c>
      <c r="P114" s="27" t="n"/>
      <c r="Q114" s="27" t="n"/>
      <c r="R114" s="27" t="n"/>
      <c r="S114" s="27" t="n"/>
      <c r="T114" s="27" t="n"/>
    </row>
    <row r="115">
      <c r="A115" s="27" t="n"/>
      <c r="B115" s="27" t="n"/>
      <c r="C115" s="27" t="n"/>
      <c r="D115" s="27" t="n"/>
      <c r="E115" s="28" t="n"/>
      <c r="F115" s="28" t="n"/>
      <c r="G115" s="27" t="n"/>
      <c r="H115" s="29">
        <f>IF(G115="Invoice",IF(ISNUMBER(F115),F115,""),IF(ISNUMBER(E115),E115,""))</f>
        <v/>
      </c>
      <c r="I115" s="30" t="n"/>
      <c r="J115" s="29">
        <f>IF(AND(ISNUMBER(H115),ISNUMBER(I115)),EDATE(H115,I115),"")</f>
        <v/>
      </c>
      <c r="K115" s="30" t="n"/>
      <c r="L115" s="29">
        <f>IF(AND(ISNUMBER(H115),ISNUMBER(K115)),EDATE(H115,K115),"")</f>
        <v/>
      </c>
      <c r="M115" s="29">
        <f>IF(COUNT(J115,L115)=0,"",IF(MIN(J115,L115)&gt;=TODAY(),MIN(J115,L115),MAX(J115,L115)))</f>
        <v/>
      </c>
      <c r="N115" s="31">
        <f>IF(ISNUMBER(M115),M115-TODAY(),"")</f>
        <v/>
      </c>
      <c r="O115" s="32">
        <f>IF(NOT(ISNUMBER(N115)),"",IF(OR(Q115="Taken",Q115="Declined"),"",IF(N115&lt;0,"Lapsed",IF(N115&lt;=7,7,IF(N115&lt;=30,30,IF(N115&lt;=60,60,IF(N115&lt;=90,90,"")))))))</f>
        <v/>
      </c>
      <c r="P115" s="27" t="n"/>
      <c r="Q115" s="27" t="n"/>
      <c r="R115" s="27" t="n"/>
      <c r="S115" s="27" t="n"/>
      <c r="T115" s="27" t="n"/>
    </row>
    <row r="116">
      <c r="A116" s="27" t="n"/>
      <c r="B116" s="27" t="n"/>
      <c r="C116" s="27" t="n"/>
      <c r="D116" s="27" t="n"/>
      <c r="E116" s="28" t="n"/>
      <c r="F116" s="28" t="n"/>
      <c r="G116" s="27" t="n"/>
      <c r="H116" s="29">
        <f>IF(G116="Invoice",IF(ISNUMBER(F116),F116,""),IF(ISNUMBER(E116),E116,""))</f>
        <v/>
      </c>
      <c r="I116" s="30" t="n"/>
      <c r="J116" s="29">
        <f>IF(AND(ISNUMBER(H116),ISNUMBER(I116)),EDATE(H116,I116),"")</f>
        <v/>
      </c>
      <c r="K116" s="30" t="n"/>
      <c r="L116" s="29">
        <f>IF(AND(ISNUMBER(H116),ISNUMBER(K116)),EDATE(H116,K116),"")</f>
        <v/>
      </c>
      <c r="M116" s="29">
        <f>IF(COUNT(J116,L116)=0,"",IF(MIN(J116,L116)&gt;=TODAY(),MIN(J116,L116),MAX(J116,L116)))</f>
        <v/>
      </c>
      <c r="N116" s="31">
        <f>IF(ISNUMBER(M116),M116-TODAY(),"")</f>
        <v/>
      </c>
      <c r="O116" s="32">
        <f>IF(NOT(ISNUMBER(N116)),"",IF(OR(Q116="Taken",Q116="Declined"),"",IF(N116&lt;0,"Lapsed",IF(N116&lt;=7,7,IF(N116&lt;=30,30,IF(N116&lt;=60,60,IF(N116&lt;=90,90,"")))))))</f>
        <v/>
      </c>
      <c r="P116" s="27" t="n"/>
      <c r="Q116" s="27" t="n"/>
      <c r="R116" s="27" t="n"/>
      <c r="S116" s="27" t="n"/>
      <c r="T116" s="27" t="n"/>
    </row>
    <row r="117">
      <c r="A117" s="27" t="n"/>
      <c r="B117" s="27" t="n"/>
      <c r="C117" s="27" t="n"/>
      <c r="D117" s="27" t="n"/>
      <c r="E117" s="28" t="n"/>
      <c r="F117" s="28" t="n"/>
      <c r="G117" s="27" t="n"/>
      <c r="H117" s="29">
        <f>IF(G117="Invoice",IF(ISNUMBER(F117),F117,""),IF(ISNUMBER(E117),E117,""))</f>
        <v/>
      </c>
      <c r="I117" s="30" t="n"/>
      <c r="J117" s="29">
        <f>IF(AND(ISNUMBER(H117),ISNUMBER(I117)),EDATE(H117,I117),"")</f>
        <v/>
      </c>
      <c r="K117" s="30" t="n"/>
      <c r="L117" s="29">
        <f>IF(AND(ISNUMBER(H117),ISNUMBER(K117)),EDATE(H117,K117),"")</f>
        <v/>
      </c>
      <c r="M117" s="29">
        <f>IF(COUNT(J117,L117)=0,"",IF(MIN(J117,L117)&gt;=TODAY(),MIN(J117,L117),MAX(J117,L117)))</f>
        <v/>
      </c>
      <c r="N117" s="31">
        <f>IF(ISNUMBER(M117),M117-TODAY(),"")</f>
        <v/>
      </c>
      <c r="O117" s="32">
        <f>IF(NOT(ISNUMBER(N117)),"",IF(OR(Q117="Taken",Q117="Declined"),"",IF(N117&lt;0,"Lapsed",IF(N117&lt;=7,7,IF(N117&lt;=30,30,IF(N117&lt;=60,60,IF(N117&lt;=90,90,"")))))))</f>
        <v/>
      </c>
      <c r="P117" s="27" t="n"/>
      <c r="Q117" s="27" t="n"/>
      <c r="R117" s="27" t="n"/>
      <c r="S117" s="27" t="n"/>
      <c r="T117" s="27" t="n"/>
    </row>
    <row r="118">
      <c r="A118" s="27" t="n"/>
      <c r="B118" s="27" t="n"/>
      <c r="C118" s="27" t="n"/>
      <c r="D118" s="27" t="n"/>
      <c r="E118" s="28" t="n"/>
      <c r="F118" s="28" t="n"/>
      <c r="G118" s="27" t="n"/>
      <c r="H118" s="29">
        <f>IF(G118="Invoice",IF(ISNUMBER(F118),F118,""),IF(ISNUMBER(E118),E118,""))</f>
        <v/>
      </c>
      <c r="I118" s="30" t="n"/>
      <c r="J118" s="29">
        <f>IF(AND(ISNUMBER(H118),ISNUMBER(I118)),EDATE(H118,I118),"")</f>
        <v/>
      </c>
      <c r="K118" s="30" t="n"/>
      <c r="L118" s="29">
        <f>IF(AND(ISNUMBER(H118),ISNUMBER(K118)),EDATE(H118,K118),"")</f>
        <v/>
      </c>
      <c r="M118" s="29">
        <f>IF(COUNT(J118,L118)=0,"",IF(MIN(J118,L118)&gt;=TODAY(),MIN(J118,L118),MAX(J118,L118)))</f>
        <v/>
      </c>
      <c r="N118" s="31">
        <f>IF(ISNUMBER(M118),M118-TODAY(),"")</f>
        <v/>
      </c>
      <c r="O118" s="32">
        <f>IF(NOT(ISNUMBER(N118)),"",IF(OR(Q118="Taken",Q118="Declined"),"",IF(N118&lt;0,"Lapsed",IF(N118&lt;=7,7,IF(N118&lt;=30,30,IF(N118&lt;=60,60,IF(N118&lt;=90,90,"")))))))</f>
        <v/>
      </c>
      <c r="P118" s="27" t="n"/>
      <c r="Q118" s="27" t="n"/>
      <c r="R118" s="27" t="n"/>
      <c r="S118" s="27" t="n"/>
      <c r="T118" s="27" t="n"/>
    </row>
    <row r="119">
      <c r="A119" s="27" t="n"/>
      <c r="B119" s="27" t="n"/>
      <c r="C119" s="27" t="n"/>
      <c r="D119" s="27" t="n"/>
      <c r="E119" s="28" t="n"/>
      <c r="F119" s="28" t="n"/>
      <c r="G119" s="27" t="n"/>
      <c r="H119" s="29">
        <f>IF(G119="Invoice",IF(ISNUMBER(F119),F119,""),IF(ISNUMBER(E119),E119,""))</f>
        <v/>
      </c>
      <c r="I119" s="30" t="n"/>
      <c r="J119" s="29">
        <f>IF(AND(ISNUMBER(H119),ISNUMBER(I119)),EDATE(H119,I119),"")</f>
        <v/>
      </c>
      <c r="K119" s="30" t="n"/>
      <c r="L119" s="29">
        <f>IF(AND(ISNUMBER(H119),ISNUMBER(K119)),EDATE(H119,K119),"")</f>
        <v/>
      </c>
      <c r="M119" s="29">
        <f>IF(COUNT(J119,L119)=0,"",IF(MIN(J119,L119)&gt;=TODAY(),MIN(J119,L119),MAX(J119,L119)))</f>
        <v/>
      </c>
      <c r="N119" s="31">
        <f>IF(ISNUMBER(M119),M119-TODAY(),"")</f>
        <v/>
      </c>
      <c r="O119" s="32">
        <f>IF(NOT(ISNUMBER(N119)),"",IF(OR(Q119="Taken",Q119="Declined"),"",IF(N119&lt;0,"Lapsed",IF(N119&lt;=7,7,IF(N119&lt;=30,30,IF(N119&lt;=60,60,IF(N119&lt;=90,90,"")))))))</f>
        <v/>
      </c>
      <c r="P119" s="27" t="n"/>
      <c r="Q119" s="27" t="n"/>
      <c r="R119" s="27" t="n"/>
      <c r="S119" s="27" t="n"/>
      <c r="T119" s="27" t="n"/>
    </row>
    <row r="120">
      <c r="A120" s="27" t="n"/>
      <c r="B120" s="27" t="n"/>
      <c r="C120" s="27" t="n"/>
      <c r="D120" s="27" t="n"/>
      <c r="E120" s="28" t="n"/>
      <c r="F120" s="28" t="n"/>
      <c r="G120" s="27" t="n"/>
      <c r="H120" s="29">
        <f>IF(G120="Invoice",IF(ISNUMBER(F120),F120,""),IF(ISNUMBER(E120),E120,""))</f>
        <v/>
      </c>
      <c r="I120" s="30" t="n"/>
      <c r="J120" s="29">
        <f>IF(AND(ISNUMBER(H120),ISNUMBER(I120)),EDATE(H120,I120),"")</f>
        <v/>
      </c>
      <c r="K120" s="30" t="n"/>
      <c r="L120" s="29">
        <f>IF(AND(ISNUMBER(H120),ISNUMBER(K120)),EDATE(H120,K120),"")</f>
        <v/>
      </c>
      <c r="M120" s="29">
        <f>IF(COUNT(J120,L120)=0,"",IF(MIN(J120,L120)&gt;=TODAY(),MIN(J120,L120),MAX(J120,L120)))</f>
        <v/>
      </c>
      <c r="N120" s="31">
        <f>IF(ISNUMBER(M120),M120-TODAY(),"")</f>
        <v/>
      </c>
      <c r="O120" s="32">
        <f>IF(NOT(ISNUMBER(N120)),"",IF(OR(Q120="Taken",Q120="Declined"),"",IF(N120&lt;0,"Lapsed",IF(N120&lt;=7,7,IF(N120&lt;=30,30,IF(N120&lt;=60,60,IF(N120&lt;=90,90,"")))))))</f>
        <v/>
      </c>
      <c r="P120" s="27" t="n"/>
      <c r="Q120" s="27" t="n"/>
      <c r="R120" s="27" t="n"/>
      <c r="S120" s="27" t="n"/>
      <c r="T120" s="27" t="n"/>
    </row>
    <row r="121">
      <c r="A121" s="27" t="n"/>
      <c r="B121" s="27" t="n"/>
      <c r="C121" s="27" t="n"/>
      <c r="D121" s="27" t="n"/>
      <c r="E121" s="28" t="n"/>
      <c r="F121" s="28" t="n"/>
      <c r="G121" s="27" t="n"/>
      <c r="H121" s="29">
        <f>IF(G121="Invoice",IF(ISNUMBER(F121),F121,""),IF(ISNUMBER(E121),E121,""))</f>
        <v/>
      </c>
      <c r="I121" s="30" t="n"/>
      <c r="J121" s="29">
        <f>IF(AND(ISNUMBER(H121),ISNUMBER(I121)),EDATE(H121,I121),"")</f>
        <v/>
      </c>
      <c r="K121" s="30" t="n"/>
      <c r="L121" s="29">
        <f>IF(AND(ISNUMBER(H121),ISNUMBER(K121)),EDATE(H121,K121),"")</f>
        <v/>
      </c>
      <c r="M121" s="29">
        <f>IF(COUNT(J121,L121)=0,"",IF(MIN(J121,L121)&gt;=TODAY(),MIN(J121,L121),MAX(J121,L121)))</f>
        <v/>
      </c>
      <c r="N121" s="31">
        <f>IF(ISNUMBER(M121),M121-TODAY(),"")</f>
        <v/>
      </c>
      <c r="O121" s="32">
        <f>IF(NOT(ISNUMBER(N121)),"",IF(OR(Q121="Taken",Q121="Declined"),"",IF(N121&lt;0,"Lapsed",IF(N121&lt;=7,7,IF(N121&lt;=30,30,IF(N121&lt;=60,60,IF(N121&lt;=90,90,"")))))))</f>
        <v/>
      </c>
      <c r="P121" s="27" t="n"/>
      <c r="Q121" s="27" t="n"/>
      <c r="R121" s="27" t="n"/>
      <c r="S121" s="27" t="n"/>
      <c r="T121" s="27" t="n"/>
    </row>
    <row r="122">
      <c r="A122" s="27" t="n"/>
      <c r="B122" s="27" t="n"/>
      <c r="C122" s="27" t="n"/>
      <c r="D122" s="27" t="n"/>
      <c r="E122" s="28" t="n"/>
      <c r="F122" s="28" t="n"/>
      <c r="G122" s="27" t="n"/>
      <c r="H122" s="29">
        <f>IF(G122="Invoice",IF(ISNUMBER(F122),F122,""),IF(ISNUMBER(E122),E122,""))</f>
        <v/>
      </c>
      <c r="I122" s="30" t="n"/>
      <c r="J122" s="29">
        <f>IF(AND(ISNUMBER(H122),ISNUMBER(I122)),EDATE(H122,I122),"")</f>
        <v/>
      </c>
      <c r="K122" s="30" t="n"/>
      <c r="L122" s="29">
        <f>IF(AND(ISNUMBER(H122),ISNUMBER(K122)),EDATE(H122,K122),"")</f>
        <v/>
      </c>
      <c r="M122" s="29">
        <f>IF(COUNT(J122,L122)=0,"",IF(MIN(J122,L122)&gt;=TODAY(),MIN(J122,L122),MAX(J122,L122)))</f>
        <v/>
      </c>
      <c r="N122" s="31">
        <f>IF(ISNUMBER(M122),M122-TODAY(),"")</f>
        <v/>
      </c>
      <c r="O122" s="32">
        <f>IF(NOT(ISNUMBER(N122)),"",IF(OR(Q122="Taken",Q122="Declined"),"",IF(N122&lt;0,"Lapsed",IF(N122&lt;=7,7,IF(N122&lt;=30,30,IF(N122&lt;=60,60,IF(N122&lt;=90,90,"")))))))</f>
        <v/>
      </c>
      <c r="P122" s="27" t="n"/>
      <c r="Q122" s="27" t="n"/>
      <c r="R122" s="27" t="n"/>
      <c r="S122" s="27" t="n"/>
      <c r="T122" s="27" t="n"/>
    </row>
    <row r="123">
      <c r="A123" s="27" t="n"/>
      <c r="B123" s="27" t="n"/>
      <c r="C123" s="27" t="n"/>
      <c r="D123" s="27" t="n"/>
      <c r="E123" s="28" t="n"/>
      <c r="F123" s="28" t="n"/>
      <c r="G123" s="27" t="n"/>
      <c r="H123" s="29">
        <f>IF(G123="Invoice",IF(ISNUMBER(F123),F123,""),IF(ISNUMBER(E123),E123,""))</f>
        <v/>
      </c>
      <c r="I123" s="30" t="n"/>
      <c r="J123" s="29">
        <f>IF(AND(ISNUMBER(H123),ISNUMBER(I123)),EDATE(H123,I123),"")</f>
        <v/>
      </c>
      <c r="K123" s="30" t="n"/>
      <c r="L123" s="29">
        <f>IF(AND(ISNUMBER(H123),ISNUMBER(K123)),EDATE(H123,K123),"")</f>
        <v/>
      </c>
      <c r="M123" s="29">
        <f>IF(COUNT(J123,L123)=0,"",IF(MIN(J123,L123)&gt;=TODAY(),MIN(J123,L123),MAX(J123,L123)))</f>
        <v/>
      </c>
      <c r="N123" s="31">
        <f>IF(ISNUMBER(M123),M123-TODAY(),"")</f>
        <v/>
      </c>
      <c r="O123" s="32">
        <f>IF(NOT(ISNUMBER(N123)),"",IF(OR(Q123="Taken",Q123="Declined"),"",IF(N123&lt;0,"Lapsed",IF(N123&lt;=7,7,IF(N123&lt;=30,30,IF(N123&lt;=60,60,IF(N123&lt;=90,90,"")))))))</f>
        <v/>
      </c>
      <c r="P123" s="27" t="n"/>
      <c r="Q123" s="27" t="n"/>
      <c r="R123" s="27" t="n"/>
      <c r="S123" s="27" t="n"/>
      <c r="T123" s="27" t="n"/>
    </row>
    <row r="124">
      <c r="A124" s="27" t="n"/>
      <c r="B124" s="27" t="n"/>
      <c r="C124" s="27" t="n"/>
      <c r="D124" s="27" t="n"/>
      <c r="E124" s="28" t="n"/>
      <c r="F124" s="28" t="n"/>
      <c r="G124" s="27" t="n"/>
      <c r="H124" s="29">
        <f>IF(G124="Invoice",IF(ISNUMBER(F124),F124,""),IF(ISNUMBER(E124),E124,""))</f>
        <v/>
      </c>
      <c r="I124" s="30" t="n"/>
      <c r="J124" s="29">
        <f>IF(AND(ISNUMBER(H124),ISNUMBER(I124)),EDATE(H124,I124),"")</f>
        <v/>
      </c>
      <c r="K124" s="30" t="n"/>
      <c r="L124" s="29">
        <f>IF(AND(ISNUMBER(H124),ISNUMBER(K124)),EDATE(H124,K124),"")</f>
        <v/>
      </c>
      <c r="M124" s="29">
        <f>IF(COUNT(J124,L124)=0,"",IF(MIN(J124,L124)&gt;=TODAY(),MIN(J124,L124),MAX(J124,L124)))</f>
        <v/>
      </c>
      <c r="N124" s="31">
        <f>IF(ISNUMBER(M124),M124-TODAY(),"")</f>
        <v/>
      </c>
      <c r="O124" s="32">
        <f>IF(NOT(ISNUMBER(N124)),"",IF(OR(Q124="Taken",Q124="Declined"),"",IF(N124&lt;0,"Lapsed",IF(N124&lt;=7,7,IF(N124&lt;=30,30,IF(N124&lt;=60,60,IF(N124&lt;=90,90,"")))))))</f>
        <v/>
      </c>
      <c r="P124" s="27" t="n"/>
      <c r="Q124" s="27" t="n"/>
      <c r="R124" s="27" t="n"/>
      <c r="S124" s="27" t="n"/>
      <c r="T124" s="27" t="n"/>
    </row>
    <row r="125">
      <c r="A125" s="27" t="n"/>
      <c r="B125" s="27" t="n"/>
      <c r="C125" s="27" t="n"/>
      <c r="D125" s="27" t="n"/>
      <c r="E125" s="28" t="n"/>
      <c r="F125" s="28" t="n"/>
      <c r="G125" s="27" t="n"/>
      <c r="H125" s="29">
        <f>IF(G125="Invoice",IF(ISNUMBER(F125),F125,""),IF(ISNUMBER(E125),E125,""))</f>
        <v/>
      </c>
      <c r="I125" s="30" t="n"/>
      <c r="J125" s="29">
        <f>IF(AND(ISNUMBER(H125),ISNUMBER(I125)),EDATE(H125,I125),"")</f>
        <v/>
      </c>
      <c r="K125" s="30" t="n"/>
      <c r="L125" s="29">
        <f>IF(AND(ISNUMBER(H125),ISNUMBER(K125)),EDATE(H125,K125),"")</f>
        <v/>
      </c>
      <c r="M125" s="29">
        <f>IF(COUNT(J125,L125)=0,"",IF(MIN(J125,L125)&gt;=TODAY(),MIN(J125,L125),MAX(J125,L125)))</f>
        <v/>
      </c>
      <c r="N125" s="31">
        <f>IF(ISNUMBER(M125),M125-TODAY(),"")</f>
        <v/>
      </c>
      <c r="O125" s="32">
        <f>IF(NOT(ISNUMBER(N125)),"",IF(OR(Q125="Taken",Q125="Declined"),"",IF(N125&lt;0,"Lapsed",IF(N125&lt;=7,7,IF(N125&lt;=30,30,IF(N125&lt;=60,60,IF(N125&lt;=90,90,"")))))))</f>
        <v/>
      </c>
      <c r="P125" s="27" t="n"/>
      <c r="Q125" s="27" t="n"/>
      <c r="R125" s="27" t="n"/>
      <c r="S125" s="27" t="n"/>
      <c r="T125" s="27" t="n"/>
    </row>
    <row r="126">
      <c r="A126" s="27" t="n"/>
      <c r="B126" s="27" t="n"/>
      <c r="C126" s="27" t="n"/>
      <c r="D126" s="27" t="n"/>
      <c r="E126" s="28" t="n"/>
      <c r="F126" s="28" t="n"/>
      <c r="G126" s="27" t="n"/>
      <c r="H126" s="29">
        <f>IF(G126="Invoice",IF(ISNUMBER(F126),F126,""),IF(ISNUMBER(E126),E126,""))</f>
        <v/>
      </c>
      <c r="I126" s="30" t="n"/>
      <c r="J126" s="29">
        <f>IF(AND(ISNUMBER(H126),ISNUMBER(I126)),EDATE(H126,I126),"")</f>
        <v/>
      </c>
      <c r="K126" s="30" t="n"/>
      <c r="L126" s="29">
        <f>IF(AND(ISNUMBER(H126),ISNUMBER(K126)),EDATE(H126,K126),"")</f>
        <v/>
      </c>
      <c r="M126" s="29">
        <f>IF(COUNT(J126,L126)=0,"",IF(MIN(J126,L126)&gt;=TODAY(),MIN(J126,L126),MAX(J126,L126)))</f>
        <v/>
      </c>
      <c r="N126" s="31">
        <f>IF(ISNUMBER(M126),M126-TODAY(),"")</f>
        <v/>
      </c>
      <c r="O126" s="32">
        <f>IF(NOT(ISNUMBER(N126)),"",IF(OR(Q126="Taken",Q126="Declined"),"",IF(N126&lt;0,"Lapsed",IF(N126&lt;=7,7,IF(N126&lt;=30,30,IF(N126&lt;=60,60,IF(N126&lt;=90,90,"")))))))</f>
        <v/>
      </c>
      <c r="P126" s="27" t="n"/>
      <c r="Q126" s="27" t="n"/>
      <c r="R126" s="27" t="n"/>
      <c r="S126" s="27" t="n"/>
      <c r="T126" s="27" t="n"/>
    </row>
    <row r="127">
      <c r="A127" s="27" t="n"/>
      <c r="B127" s="27" t="n"/>
      <c r="C127" s="27" t="n"/>
      <c r="D127" s="27" t="n"/>
      <c r="E127" s="28" t="n"/>
      <c r="F127" s="28" t="n"/>
      <c r="G127" s="27" t="n"/>
      <c r="H127" s="29">
        <f>IF(G127="Invoice",IF(ISNUMBER(F127),F127,""),IF(ISNUMBER(E127),E127,""))</f>
        <v/>
      </c>
      <c r="I127" s="30" t="n"/>
      <c r="J127" s="29">
        <f>IF(AND(ISNUMBER(H127),ISNUMBER(I127)),EDATE(H127,I127),"")</f>
        <v/>
      </c>
      <c r="K127" s="30" t="n"/>
      <c r="L127" s="29">
        <f>IF(AND(ISNUMBER(H127),ISNUMBER(K127)),EDATE(H127,K127),"")</f>
        <v/>
      </c>
      <c r="M127" s="29">
        <f>IF(COUNT(J127,L127)=0,"",IF(MIN(J127,L127)&gt;=TODAY(),MIN(J127,L127),MAX(J127,L127)))</f>
        <v/>
      </c>
      <c r="N127" s="31">
        <f>IF(ISNUMBER(M127),M127-TODAY(),"")</f>
        <v/>
      </c>
      <c r="O127" s="32">
        <f>IF(NOT(ISNUMBER(N127)),"",IF(OR(Q127="Taken",Q127="Declined"),"",IF(N127&lt;0,"Lapsed",IF(N127&lt;=7,7,IF(N127&lt;=30,30,IF(N127&lt;=60,60,IF(N127&lt;=90,90,"")))))))</f>
        <v/>
      </c>
      <c r="P127" s="27" t="n"/>
      <c r="Q127" s="27" t="n"/>
      <c r="R127" s="27" t="n"/>
      <c r="S127" s="27" t="n"/>
      <c r="T127" s="27" t="n"/>
    </row>
    <row r="128">
      <c r="A128" s="27" t="n"/>
      <c r="B128" s="27" t="n"/>
      <c r="C128" s="27" t="n"/>
      <c r="D128" s="27" t="n"/>
      <c r="E128" s="28" t="n"/>
      <c r="F128" s="28" t="n"/>
      <c r="G128" s="27" t="n"/>
      <c r="H128" s="29">
        <f>IF(G128="Invoice",IF(ISNUMBER(F128),F128,""),IF(ISNUMBER(E128),E128,""))</f>
        <v/>
      </c>
      <c r="I128" s="30" t="n"/>
      <c r="J128" s="29">
        <f>IF(AND(ISNUMBER(H128),ISNUMBER(I128)),EDATE(H128,I128),"")</f>
        <v/>
      </c>
      <c r="K128" s="30" t="n"/>
      <c r="L128" s="29">
        <f>IF(AND(ISNUMBER(H128),ISNUMBER(K128)),EDATE(H128,K128),"")</f>
        <v/>
      </c>
      <c r="M128" s="29">
        <f>IF(COUNT(J128,L128)=0,"",IF(MIN(J128,L128)&gt;=TODAY(),MIN(J128,L128),MAX(J128,L128)))</f>
        <v/>
      </c>
      <c r="N128" s="31">
        <f>IF(ISNUMBER(M128),M128-TODAY(),"")</f>
        <v/>
      </c>
      <c r="O128" s="32">
        <f>IF(NOT(ISNUMBER(N128)),"",IF(OR(Q128="Taken",Q128="Declined"),"",IF(N128&lt;0,"Lapsed",IF(N128&lt;=7,7,IF(N128&lt;=30,30,IF(N128&lt;=60,60,IF(N128&lt;=90,90,"")))))))</f>
        <v/>
      </c>
      <c r="P128" s="27" t="n"/>
      <c r="Q128" s="27" t="n"/>
      <c r="R128" s="27" t="n"/>
      <c r="S128" s="27" t="n"/>
      <c r="T128" s="27" t="n"/>
    </row>
    <row r="129">
      <c r="A129" s="27" t="n"/>
      <c r="B129" s="27" t="n"/>
      <c r="C129" s="27" t="n"/>
      <c r="D129" s="27" t="n"/>
      <c r="E129" s="28" t="n"/>
      <c r="F129" s="28" t="n"/>
      <c r="G129" s="27" t="n"/>
      <c r="H129" s="29">
        <f>IF(G129="Invoice",IF(ISNUMBER(F129),F129,""),IF(ISNUMBER(E129),E129,""))</f>
        <v/>
      </c>
      <c r="I129" s="30" t="n"/>
      <c r="J129" s="29">
        <f>IF(AND(ISNUMBER(H129),ISNUMBER(I129)),EDATE(H129,I129),"")</f>
        <v/>
      </c>
      <c r="K129" s="30" t="n"/>
      <c r="L129" s="29">
        <f>IF(AND(ISNUMBER(H129),ISNUMBER(K129)),EDATE(H129,K129),"")</f>
        <v/>
      </c>
      <c r="M129" s="29">
        <f>IF(COUNT(J129,L129)=0,"",IF(MIN(J129,L129)&gt;=TODAY(),MIN(J129,L129),MAX(J129,L129)))</f>
        <v/>
      </c>
      <c r="N129" s="31">
        <f>IF(ISNUMBER(M129),M129-TODAY(),"")</f>
        <v/>
      </c>
      <c r="O129" s="32">
        <f>IF(NOT(ISNUMBER(N129)),"",IF(OR(Q129="Taken",Q129="Declined"),"",IF(N129&lt;0,"Lapsed",IF(N129&lt;=7,7,IF(N129&lt;=30,30,IF(N129&lt;=60,60,IF(N129&lt;=90,90,"")))))))</f>
        <v/>
      </c>
      <c r="P129" s="27" t="n"/>
      <c r="Q129" s="27" t="n"/>
      <c r="R129" s="27" t="n"/>
      <c r="S129" s="27" t="n"/>
      <c r="T129" s="27" t="n"/>
    </row>
    <row r="130">
      <c r="A130" s="27" t="n"/>
      <c r="B130" s="27" t="n"/>
      <c r="C130" s="27" t="n"/>
      <c r="D130" s="27" t="n"/>
      <c r="E130" s="28" t="n"/>
      <c r="F130" s="28" t="n"/>
      <c r="G130" s="27" t="n"/>
      <c r="H130" s="29">
        <f>IF(G130="Invoice",IF(ISNUMBER(F130),F130,""),IF(ISNUMBER(E130),E130,""))</f>
        <v/>
      </c>
      <c r="I130" s="30" t="n"/>
      <c r="J130" s="29">
        <f>IF(AND(ISNUMBER(H130),ISNUMBER(I130)),EDATE(H130,I130),"")</f>
        <v/>
      </c>
      <c r="K130" s="30" t="n"/>
      <c r="L130" s="29">
        <f>IF(AND(ISNUMBER(H130),ISNUMBER(K130)),EDATE(H130,K130),"")</f>
        <v/>
      </c>
      <c r="M130" s="29">
        <f>IF(COUNT(J130,L130)=0,"",IF(MIN(J130,L130)&gt;=TODAY(),MIN(J130,L130),MAX(J130,L130)))</f>
        <v/>
      </c>
      <c r="N130" s="31">
        <f>IF(ISNUMBER(M130),M130-TODAY(),"")</f>
        <v/>
      </c>
      <c r="O130" s="32">
        <f>IF(NOT(ISNUMBER(N130)),"",IF(OR(Q130="Taken",Q130="Declined"),"",IF(N130&lt;0,"Lapsed",IF(N130&lt;=7,7,IF(N130&lt;=30,30,IF(N130&lt;=60,60,IF(N130&lt;=90,90,"")))))))</f>
        <v/>
      </c>
      <c r="P130" s="27" t="n"/>
      <c r="Q130" s="27" t="n"/>
      <c r="R130" s="27" t="n"/>
      <c r="S130" s="27" t="n"/>
      <c r="T130" s="27" t="n"/>
    </row>
    <row r="131">
      <c r="A131" s="27" t="n"/>
      <c r="B131" s="27" t="n"/>
      <c r="C131" s="27" t="n"/>
      <c r="D131" s="27" t="n"/>
      <c r="E131" s="28" t="n"/>
      <c r="F131" s="28" t="n"/>
      <c r="G131" s="27" t="n"/>
      <c r="H131" s="29">
        <f>IF(G131="Invoice",IF(ISNUMBER(F131),F131,""),IF(ISNUMBER(E131),E131,""))</f>
        <v/>
      </c>
      <c r="I131" s="30" t="n"/>
      <c r="J131" s="29">
        <f>IF(AND(ISNUMBER(H131),ISNUMBER(I131)),EDATE(H131,I131),"")</f>
        <v/>
      </c>
      <c r="K131" s="30" t="n"/>
      <c r="L131" s="29">
        <f>IF(AND(ISNUMBER(H131),ISNUMBER(K131)),EDATE(H131,K131),"")</f>
        <v/>
      </c>
      <c r="M131" s="29">
        <f>IF(COUNT(J131,L131)=0,"",IF(MIN(J131,L131)&gt;=TODAY(),MIN(J131,L131),MAX(J131,L131)))</f>
        <v/>
      </c>
      <c r="N131" s="31">
        <f>IF(ISNUMBER(M131),M131-TODAY(),"")</f>
        <v/>
      </c>
      <c r="O131" s="32">
        <f>IF(NOT(ISNUMBER(N131)),"",IF(OR(Q131="Taken",Q131="Declined"),"",IF(N131&lt;0,"Lapsed",IF(N131&lt;=7,7,IF(N131&lt;=30,30,IF(N131&lt;=60,60,IF(N131&lt;=90,90,"")))))))</f>
        <v/>
      </c>
      <c r="P131" s="27" t="n"/>
      <c r="Q131" s="27" t="n"/>
      <c r="R131" s="27" t="n"/>
      <c r="S131" s="27" t="n"/>
      <c r="T131" s="27" t="n"/>
    </row>
    <row r="132">
      <c r="A132" s="27" t="n"/>
      <c r="B132" s="27" t="n"/>
      <c r="C132" s="27" t="n"/>
      <c r="D132" s="27" t="n"/>
      <c r="E132" s="28" t="n"/>
      <c r="F132" s="28" t="n"/>
      <c r="G132" s="27" t="n"/>
      <c r="H132" s="29">
        <f>IF(G132="Invoice",IF(ISNUMBER(F132),F132,""),IF(ISNUMBER(E132),E132,""))</f>
        <v/>
      </c>
      <c r="I132" s="30" t="n"/>
      <c r="J132" s="29">
        <f>IF(AND(ISNUMBER(H132),ISNUMBER(I132)),EDATE(H132,I132),"")</f>
        <v/>
      </c>
      <c r="K132" s="30" t="n"/>
      <c r="L132" s="29">
        <f>IF(AND(ISNUMBER(H132),ISNUMBER(K132)),EDATE(H132,K132),"")</f>
        <v/>
      </c>
      <c r="M132" s="29">
        <f>IF(COUNT(J132,L132)=0,"",IF(MIN(J132,L132)&gt;=TODAY(),MIN(J132,L132),MAX(J132,L132)))</f>
        <v/>
      </c>
      <c r="N132" s="31">
        <f>IF(ISNUMBER(M132),M132-TODAY(),"")</f>
        <v/>
      </c>
      <c r="O132" s="32">
        <f>IF(NOT(ISNUMBER(N132)),"",IF(OR(Q132="Taken",Q132="Declined"),"",IF(N132&lt;0,"Lapsed",IF(N132&lt;=7,7,IF(N132&lt;=30,30,IF(N132&lt;=60,60,IF(N132&lt;=90,90,"")))))))</f>
        <v/>
      </c>
      <c r="P132" s="27" t="n"/>
      <c r="Q132" s="27" t="n"/>
      <c r="R132" s="27" t="n"/>
      <c r="S132" s="27" t="n"/>
      <c r="T132" s="27" t="n"/>
    </row>
    <row r="133">
      <c r="A133" s="27" t="n"/>
      <c r="B133" s="27" t="n"/>
      <c r="C133" s="27" t="n"/>
      <c r="D133" s="27" t="n"/>
      <c r="E133" s="28" t="n"/>
      <c r="F133" s="28" t="n"/>
      <c r="G133" s="27" t="n"/>
      <c r="H133" s="29">
        <f>IF(G133="Invoice",IF(ISNUMBER(F133),F133,""),IF(ISNUMBER(E133),E133,""))</f>
        <v/>
      </c>
      <c r="I133" s="30" t="n"/>
      <c r="J133" s="29">
        <f>IF(AND(ISNUMBER(H133),ISNUMBER(I133)),EDATE(H133,I133),"")</f>
        <v/>
      </c>
      <c r="K133" s="30" t="n"/>
      <c r="L133" s="29">
        <f>IF(AND(ISNUMBER(H133),ISNUMBER(K133)),EDATE(H133,K133),"")</f>
        <v/>
      </c>
      <c r="M133" s="29">
        <f>IF(COUNT(J133,L133)=0,"",IF(MIN(J133,L133)&gt;=TODAY(),MIN(J133,L133),MAX(J133,L133)))</f>
        <v/>
      </c>
      <c r="N133" s="31">
        <f>IF(ISNUMBER(M133),M133-TODAY(),"")</f>
        <v/>
      </c>
      <c r="O133" s="32">
        <f>IF(NOT(ISNUMBER(N133)),"",IF(OR(Q133="Taken",Q133="Declined"),"",IF(N133&lt;0,"Lapsed",IF(N133&lt;=7,7,IF(N133&lt;=30,30,IF(N133&lt;=60,60,IF(N133&lt;=90,90,"")))))))</f>
        <v/>
      </c>
      <c r="P133" s="27" t="n"/>
      <c r="Q133" s="27" t="n"/>
      <c r="R133" s="27" t="n"/>
      <c r="S133" s="27" t="n"/>
      <c r="T133" s="27" t="n"/>
    </row>
    <row r="134">
      <c r="A134" s="27" t="n"/>
      <c r="B134" s="27" t="n"/>
      <c r="C134" s="27" t="n"/>
      <c r="D134" s="27" t="n"/>
      <c r="E134" s="28" t="n"/>
      <c r="F134" s="28" t="n"/>
      <c r="G134" s="27" t="n"/>
      <c r="H134" s="29">
        <f>IF(G134="Invoice",IF(ISNUMBER(F134),F134,""),IF(ISNUMBER(E134),E134,""))</f>
        <v/>
      </c>
      <c r="I134" s="30" t="n"/>
      <c r="J134" s="29">
        <f>IF(AND(ISNUMBER(H134),ISNUMBER(I134)),EDATE(H134,I134),"")</f>
        <v/>
      </c>
      <c r="K134" s="30" t="n"/>
      <c r="L134" s="29">
        <f>IF(AND(ISNUMBER(H134),ISNUMBER(K134)),EDATE(H134,K134),"")</f>
        <v/>
      </c>
      <c r="M134" s="29">
        <f>IF(COUNT(J134,L134)=0,"",IF(MIN(J134,L134)&gt;=TODAY(),MIN(J134,L134),MAX(J134,L134)))</f>
        <v/>
      </c>
      <c r="N134" s="31">
        <f>IF(ISNUMBER(M134),M134-TODAY(),"")</f>
        <v/>
      </c>
      <c r="O134" s="32">
        <f>IF(NOT(ISNUMBER(N134)),"",IF(OR(Q134="Taken",Q134="Declined"),"",IF(N134&lt;0,"Lapsed",IF(N134&lt;=7,7,IF(N134&lt;=30,30,IF(N134&lt;=60,60,IF(N134&lt;=90,90,"")))))))</f>
        <v/>
      </c>
      <c r="P134" s="27" t="n"/>
      <c r="Q134" s="27" t="n"/>
      <c r="R134" s="27" t="n"/>
      <c r="S134" s="27" t="n"/>
      <c r="T134" s="27" t="n"/>
    </row>
    <row r="135">
      <c r="A135" s="27" t="n"/>
      <c r="B135" s="27" t="n"/>
      <c r="C135" s="27" t="n"/>
      <c r="D135" s="27" t="n"/>
      <c r="E135" s="28" t="n"/>
      <c r="F135" s="28" t="n"/>
      <c r="G135" s="27" t="n"/>
      <c r="H135" s="29">
        <f>IF(G135="Invoice",IF(ISNUMBER(F135),F135,""),IF(ISNUMBER(E135),E135,""))</f>
        <v/>
      </c>
      <c r="I135" s="30" t="n"/>
      <c r="J135" s="29">
        <f>IF(AND(ISNUMBER(H135),ISNUMBER(I135)),EDATE(H135,I135),"")</f>
        <v/>
      </c>
      <c r="K135" s="30" t="n"/>
      <c r="L135" s="29">
        <f>IF(AND(ISNUMBER(H135),ISNUMBER(K135)),EDATE(H135,K135),"")</f>
        <v/>
      </c>
      <c r="M135" s="29">
        <f>IF(COUNT(J135,L135)=0,"",IF(MIN(J135,L135)&gt;=TODAY(),MIN(J135,L135),MAX(J135,L135)))</f>
        <v/>
      </c>
      <c r="N135" s="31">
        <f>IF(ISNUMBER(M135),M135-TODAY(),"")</f>
        <v/>
      </c>
      <c r="O135" s="32">
        <f>IF(NOT(ISNUMBER(N135)),"",IF(OR(Q135="Taken",Q135="Declined"),"",IF(N135&lt;0,"Lapsed",IF(N135&lt;=7,7,IF(N135&lt;=30,30,IF(N135&lt;=60,60,IF(N135&lt;=90,90,"")))))))</f>
        <v/>
      </c>
      <c r="P135" s="27" t="n"/>
      <c r="Q135" s="27" t="n"/>
      <c r="R135" s="27" t="n"/>
      <c r="S135" s="27" t="n"/>
      <c r="T135" s="27" t="n"/>
    </row>
    <row r="136">
      <c r="A136" s="27" t="n"/>
      <c r="B136" s="27" t="n"/>
      <c r="C136" s="27" t="n"/>
      <c r="D136" s="27" t="n"/>
      <c r="E136" s="28" t="n"/>
      <c r="F136" s="28" t="n"/>
      <c r="G136" s="27" t="n"/>
      <c r="H136" s="29">
        <f>IF(G136="Invoice",IF(ISNUMBER(F136),F136,""),IF(ISNUMBER(E136),E136,""))</f>
        <v/>
      </c>
      <c r="I136" s="30" t="n"/>
      <c r="J136" s="29">
        <f>IF(AND(ISNUMBER(H136),ISNUMBER(I136)),EDATE(H136,I136),"")</f>
        <v/>
      </c>
      <c r="K136" s="30" t="n"/>
      <c r="L136" s="29">
        <f>IF(AND(ISNUMBER(H136),ISNUMBER(K136)),EDATE(H136,K136),"")</f>
        <v/>
      </c>
      <c r="M136" s="29">
        <f>IF(COUNT(J136,L136)=0,"",IF(MIN(J136,L136)&gt;=TODAY(),MIN(J136,L136),MAX(J136,L136)))</f>
        <v/>
      </c>
      <c r="N136" s="31">
        <f>IF(ISNUMBER(M136),M136-TODAY(),"")</f>
        <v/>
      </c>
      <c r="O136" s="32">
        <f>IF(NOT(ISNUMBER(N136)),"",IF(OR(Q136="Taken",Q136="Declined"),"",IF(N136&lt;0,"Lapsed",IF(N136&lt;=7,7,IF(N136&lt;=30,30,IF(N136&lt;=60,60,IF(N136&lt;=90,90,"")))))))</f>
        <v/>
      </c>
      <c r="P136" s="27" t="n"/>
      <c r="Q136" s="27" t="n"/>
      <c r="R136" s="27" t="n"/>
      <c r="S136" s="27" t="n"/>
      <c r="T136" s="27" t="n"/>
    </row>
    <row r="137">
      <c r="A137" s="27" t="n"/>
      <c r="B137" s="27" t="n"/>
      <c r="C137" s="27" t="n"/>
      <c r="D137" s="27" t="n"/>
      <c r="E137" s="28" t="n"/>
      <c r="F137" s="28" t="n"/>
      <c r="G137" s="27" t="n"/>
      <c r="H137" s="29">
        <f>IF(G137="Invoice",IF(ISNUMBER(F137),F137,""),IF(ISNUMBER(E137),E137,""))</f>
        <v/>
      </c>
      <c r="I137" s="30" t="n"/>
      <c r="J137" s="29">
        <f>IF(AND(ISNUMBER(H137),ISNUMBER(I137)),EDATE(H137,I137),"")</f>
        <v/>
      </c>
      <c r="K137" s="30" t="n"/>
      <c r="L137" s="29">
        <f>IF(AND(ISNUMBER(H137),ISNUMBER(K137)),EDATE(H137,K137),"")</f>
        <v/>
      </c>
      <c r="M137" s="29">
        <f>IF(COUNT(J137,L137)=0,"",IF(MIN(J137,L137)&gt;=TODAY(),MIN(J137,L137),MAX(J137,L137)))</f>
        <v/>
      </c>
      <c r="N137" s="31">
        <f>IF(ISNUMBER(M137),M137-TODAY(),"")</f>
        <v/>
      </c>
      <c r="O137" s="32">
        <f>IF(NOT(ISNUMBER(N137)),"",IF(OR(Q137="Taken",Q137="Declined"),"",IF(N137&lt;0,"Lapsed",IF(N137&lt;=7,7,IF(N137&lt;=30,30,IF(N137&lt;=60,60,IF(N137&lt;=90,90,"")))))))</f>
        <v/>
      </c>
      <c r="P137" s="27" t="n"/>
      <c r="Q137" s="27" t="n"/>
      <c r="R137" s="27" t="n"/>
      <c r="S137" s="27" t="n"/>
      <c r="T137" s="27" t="n"/>
    </row>
    <row r="138">
      <c r="A138" s="27" t="n"/>
      <c r="B138" s="27" t="n"/>
      <c r="C138" s="27" t="n"/>
      <c r="D138" s="27" t="n"/>
      <c r="E138" s="28" t="n"/>
      <c r="F138" s="28" t="n"/>
      <c r="G138" s="27" t="n"/>
      <c r="H138" s="29">
        <f>IF(G138="Invoice",IF(ISNUMBER(F138),F138,""),IF(ISNUMBER(E138),E138,""))</f>
        <v/>
      </c>
      <c r="I138" s="30" t="n"/>
      <c r="J138" s="29">
        <f>IF(AND(ISNUMBER(H138),ISNUMBER(I138)),EDATE(H138,I138),"")</f>
        <v/>
      </c>
      <c r="K138" s="30" t="n"/>
      <c r="L138" s="29">
        <f>IF(AND(ISNUMBER(H138),ISNUMBER(K138)),EDATE(H138,K138),"")</f>
        <v/>
      </c>
      <c r="M138" s="29">
        <f>IF(COUNT(J138,L138)=0,"",IF(MIN(J138,L138)&gt;=TODAY(),MIN(J138,L138),MAX(J138,L138)))</f>
        <v/>
      </c>
      <c r="N138" s="31">
        <f>IF(ISNUMBER(M138),M138-TODAY(),"")</f>
        <v/>
      </c>
      <c r="O138" s="32">
        <f>IF(NOT(ISNUMBER(N138)),"",IF(OR(Q138="Taken",Q138="Declined"),"",IF(N138&lt;0,"Lapsed",IF(N138&lt;=7,7,IF(N138&lt;=30,30,IF(N138&lt;=60,60,IF(N138&lt;=90,90,"")))))))</f>
        <v/>
      </c>
      <c r="P138" s="27" t="n"/>
      <c r="Q138" s="27" t="n"/>
      <c r="R138" s="27" t="n"/>
      <c r="S138" s="27" t="n"/>
      <c r="T138" s="27" t="n"/>
    </row>
    <row r="139">
      <c r="A139" s="27" t="n"/>
      <c r="B139" s="27" t="n"/>
      <c r="C139" s="27" t="n"/>
      <c r="D139" s="27" t="n"/>
      <c r="E139" s="28" t="n"/>
      <c r="F139" s="28" t="n"/>
      <c r="G139" s="27" t="n"/>
      <c r="H139" s="29">
        <f>IF(G139="Invoice",IF(ISNUMBER(F139),F139,""),IF(ISNUMBER(E139),E139,""))</f>
        <v/>
      </c>
      <c r="I139" s="30" t="n"/>
      <c r="J139" s="29">
        <f>IF(AND(ISNUMBER(H139),ISNUMBER(I139)),EDATE(H139,I139),"")</f>
        <v/>
      </c>
      <c r="K139" s="30" t="n"/>
      <c r="L139" s="29">
        <f>IF(AND(ISNUMBER(H139),ISNUMBER(K139)),EDATE(H139,K139),"")</f>
        <v/>
      </c>
      <c r="M139" s="29">
        <f>IF(COUNT(J139,L139)=0,"",IF(MIN(J139,L139)&gt;=TODAY(),MIN(J139,L139),MAX(J139,L139)))</f>
        <v/>
      </c>
      <c r="N139" s="31">
        <f>IF(ISNUMBER(M139),M139-TODAY(),"")</f>
        <v/>
      </c>
      <c r="O139" s="32">
        <f>IF(NOT(ISNUMBER(N139)),"",IF(OR(Q139="Taken",Q139="Declined"),"",IF(N139&lt;0,"Lapsed",IF(N139&lt;=7,7,IF(N139&lt;=30,30,IF(N139&lt;=60,60,IF(N139&lt;=90,90,"")))))))</f>
        <v/>
      </c>
      <c r="P139" s="27" t="n"/>
      <c r="Q139" s="27" t="n"/>
      <c r="R139" s="27" t="n"/>
      <c r="S139" s="27" t="n"/>
      <c r="T139" s="27" t="n"/>
    </row>
    <row r="140">
      <c r="A140" s="27" t="n"/>
      <c r="B140" s="27" t="n"/>
      <c r="C140" s="27" t="n"/>
      <c r="D140" s="27" t="n"/>
      <c r="E140" s="28" t="n"/>
      <c r="F140" s="28" t="n"/>
      <c r="G140" s="27" t="n"/>
      <c r="H140" s="29">
        <f>IF(G140="Invoice",IF(ISNUMBER(F140),F140,""),IF(ISNUMBER(E140),E140,""))</f>
        <v/>
      </c>
      <c r="I140" s="30" t="n"/>
      <c r="J140" s="29">
        <f>IF(AND(ISNUMBER(H140),ISNUMBER(I140)),EDATE(H140,I140),"")</f>
        <v/>
      </c>
      <c r="K140" s="30" t="n"/>
      <c r="L140" s="29">
        <f>IF(AND(ISNUMBER(H140),ISNUMBER(K140)),EDATE(H140,K140),"")</f>
        <v/>
      </c>
      <c r="M140" s="29">
        <f>IF(COUNT(J140,L140)=0,"",IF(MIN(J140,L140)&gt;=TODAY(),MIN(J140,L140),MAX(J140,L140)))</f>
        <v/>
      </c>
      <c r="N140" s="31">
        <f>IF(ISNUMBER(M140),M140-TODAY(),"")</f>
        <v/>
      </c>
      <c r="O140" s="32">
        <f>IF(NOT(ISNUMBER(N140)),"",IF(OR(Q140="Taken",Q140="Declined"),"",IF(N140&lt;0,"Lapsed",IF(N140&lt;=7,7,IF(N140&lt;=30,30,IF(N140&lt;=60,60,IF(N140&lt;=90,90,"")))))))</f>
        <v/>
      </c>
      <c r="P140" s="27" t="n"/>
      <c r="Q140" s="27" t="n"/>
      <c r="R140" s="27" t="n"/>
      <c r="S140" s="27" t="n"/>
      <c r="T140" s="27" t="n"/>
    </row>
    <row r="141">
      <c r="A141" s="27" t="n"/>
      <c r="B141" s="27" t="n"/>
      <c r="C141" s="27" t="n"/>
      <c r="D141" s="27" t="n"/>
      <c r="E141" s="28" t="n"/>
      <c r="F141" s="28" t="n"/>
      <c r="G141" s="27" t="n"/>
      <c r="H141" s="29">
        <f>IF(G141="Invoice",IF(ISNUMBER(F141),F141,""),IF(ISNUMBER(E141),E141,""))</f>
        <v/>
      </c>
      <c r="I141" s="30" t="n"/>
      <c r="J141" s="29">
        <f>IF(AND(ISNUMBER(H141),ISNUMBER(I141)),EDATE(H141,I141),"")</f>
        <v/>
      </c>
      <c r="K141" s="30" t="n"/>
      <c r="L141" s="29">
        <f>IF(AND(ISNUMBER(H141),ISNUMBER(K141)),EDATE(H141,K141),"")</f>
        <v/>
      </c>
      <c r="M141" s="29">
        <f>IF(COUNT(J141,L141)=0,"",IF(MIN(J141,L141)&gt;=TODAY(),MIN(J141,L141),MAX(J141,L141)))</f>
        <v/>
      </c>
      <c r="N141" s="31">
        <f>IF(ISNUMBER(M141),M141-TODAY(),"")</f>
        <v/>
      </c>
      <c r="O141" s="32">
        <f>IF(NOT(ISNUMBER(N141)),"",IF(OR(Q141="Taken",Q141="Declined"),"",IF(N141&lt;0,"Lapsed",IF(N141&lt;=7,7,IF(N141&lt;=30,30,IF(N141&lt;=60,60,IF(N141&lt;=90,90,"")))))))</f>
        <v/>
      </c>
      <c r="P141" s="27" t="n"/>
      <c r="Q141" s="27" t="n"/>
      <c r="R141" s="27" t="n"/>
      <c r="S141" s="27" t="n"/>
      <c r="T141" s="27" t="n"/>
    </row>
    <row r="142">
      <c r="A142" s="27" t="n"/>
      <c r="B142" s="27" t="n"/>
      <c r="C142" s="27" t="n"/>
      <c r="D142" s="27" t="n"/>
      <c r="E142" s="28" t="n"/>
      <c r="F142" s="28" t="n"/>
      <c r="G142" s="27" t="n"/>
      <c r="H142" s="29">
        <f>IF(G142="Invoice",IF(ISNUMBER(F142),F142,""),IF(ISNUMBER(E142),E142,""))</f>
        <v/>
      </c>
      <c r="I142" s="30" t="n"/>
      <c r="J142" s="29">
        <f>IF(AND(ISNUMBER(H142),ISNUMBER(I142)),EDATE(H142,I142),"")</f>
        <v/>
      </c>
      <c r="K142" s="30" t="n"/>
      <c r="L142" s="29">
        <f>IF(AND(ISNUMBER(H142),ISNUMBER(K142)),EDATE(H142,K142),"")</f>
        <v/>
      </c>
      <c r="M142" s="29">
        <f>IF(COUNT(J142,L142)=0,"",IF(MIN(J142,L142)&gt;=TODAY(),MIN(J142,L142),MAX(J142,L142)))</f>
        <v/>
      </c>
      <c r="N142" s="31">
        <f>IF(ISNUMBER(M142),M142-TODAY(),"")</f>
        <v/>
      </c>
      <c r="O142" s="32">
        <f>IF(NOT(ISNUMBER(N142)),"",IF(OR(Q142="Taken",Q142="Declined"),"",IF(N142&lt;0,"Lapsed",IF(N142&lt;=7,7,IF(N142&lt;=30,30,IF(N142&lt;=60,60,IF(N142&lt;=90,90,"")))))))</f>
        <v/>
      </c>
      <c r="P142" s="27" t="n"/>
      <c r="Q142" s="27" t="n"/>
      <c r="R142" s="27" t="n"/>
      <c r="S142" s="27" t="n"/>
      <c r="T142" s="27" t="n"/>
    </row>
    <row r="143">
      <c r="A143" s="27" t="n"/>
      <c r="B143" s="27" t="n"/>
      <c r="C143" s="27" t="n"/>
      <c r="D143" s="27" t="n"/>
      <c r="E143" s="28" t="n"/>
      <c r="F143" s="28" t="n"/>
      <c r="G143" s="27" t="n"/>
      <c r="H143" s="29">
        <f>IF(G143="Invoice",IF(ISNUMBER(F143),F143,""),IF(ISNUMBER(E143),E143,""))</f>
        <v/>
      </c>
      <c r="I143" s="30" t="n"/>
      <c r="J143" s="29">
        <f>IF(AND(ISNUMBER(H143),ISNUMBER(I143)),EDATE(H143,I143),"")</f>
        <v/>
      </c>
      <c r="K143" s="30" t="n"/>
      <c r="L143" s="29">
        <f>IF(AND(ISNUMBER(H143),ISNUMBER(K143)),EDATE(H143,K143),"")</f>
        <v/>
      </c>
      <c r="M143" s="29">
        <f>IF(COUNT(J143,L143)=0,"",IF(MIN(J143,L143)&gt;=TODAY(),MIN(J143,L143),MAX(J143,L143)))</f>
        <v/>
      </c>
      <c r="N143" s="31">
        <f>IF(ISNUMBER(M143),M143-TODAY(),"")</f>
        <v/>
      </c>
      <c r="O143" s="32">
        <f>IF(NOT(ISNUMBER(N143)),"",IF(OR(Q143="Taken",Q143="Declined"),"",IF(N143&lt;0,"Lapsed",IF(N143&lt;=7,7,IF(N143&lt;=30,30,IF(N143&lt;=60,60,IF(N143&lt;=90,90,"")))))))</f>
        <v/>
      </c>
      <c r="P143" s="27" t="n"/>
      <c r="Q143" s="27" t="n"/>
      <c r="R143" s="27" t="n"/>
      <c r="S143" s="27" t="n"/>
      <c r="T143" s="27" t="n"/>
    </row>
    <row r="144">
      <c r="A144" s="27" t="n"/>
      <c r="B144" s="27" t="n"/>
      <c r="C144" s="27" t="n"/>
      <c r="D144" s="27" t="n"/>
      <c r="E144" s="28" t="n"/>
      <c r="F144" s="28" t="n"/>
      <c r="G144" s="27" t="n"/>
      <c r="H144" s="29">
        <f>IF(G144="Invoice",IF(ISNUMBER(F144),F144,""),IF(ISNUMBER(E144),E144,""))</f>
        <v/>
      </c>
      <c r="I144" s="30" t="n"/>
      <c r="J144" s="29">
        <f>IF(AND(ISNUMBER(H144),ISNUMBER(I144)),EDATE(H144,I144),"")</f>
        <v/>
      </c>
      <c r="K144" s="30" t="n"/>
      <c r="L144" s="29">
        <f>IF(AND(ISNUMBER(H144),ISNUMBER(K144)),EDATE(H144,K144),"")</f>
        <v/>
      </c>
      <c r="M144" s="29">
        <f>IF(COUNT(J144,L144)=0,"",IF(MIN(J144,L144)&gt;=TODAY(),MIN(J144,L144),MAX(J144,L144)))</f>
        <v/>
      </c>
      <c r="N144" s="31">
        <f>IF(ISNUMBER(M144),M144-TODAY(),"")</f>
        <v/>
      </c>
      <c r="O144" s="32">
        <f>IF(NOT(ISNUMBER(N144)),"",IF(OR(Q144="Taken",Q144="Declined"),"",IF(N144&lt;0,"Lapsed",IF(N144&lt;=7,7,IF(N144&lt;=30,30,IF(N144&lt;=60,60,IF(N144&lt;=90,90,"")))))))</f>
        <v/>
      </c>
      <c r="P144" s="27" t="n"/>
      <c r="Q144" s="27" t="n"/>
      <c r="R144" s="27" t="n"/>
      <c r="S144" s="27" t="n"/>
      <c r="T144" s="27" t="n"/>
    </row>
    <row r="145">
      <c r="A145" s="27" t="n"/>
      <c r="B145" s="27" t="n"/>
      <c r="C145" s="27" t="n"/>
      <c r="D145" s="27" t="n"/>
      <c r="E145" s="28" t="n"/>
      <c r="F145" s="28" t="n"/>
      <c r="G145" s="27" t="n"/>
      <c r="H145" s="29">
        <f>IF(G145="Invoice",IF(ISNUMBER(F145),F145,""),IF(ISNUMBER(E145),E145,""))</f>
        <v/>
      </c>
      <c r="I145" s="30" t="n"/>
      <c r="J145" s="29">
        <f>IF(AND(ISNUMBER(H145),ISNUMBER(I145)),EDATE(H145,I145),"")</f>
        <v/>
      </c>
      <c r="K145" s="30" t="n"/>
      <c r="L145" s="29">
        <f>IF(AND(ISNUMBER(H145),ISNUMBER(K145)),EDATE(H145,K145),"")</f>
        <v/>
      </c>
      <c r="M145" s="29">
        <f>IF(COUNT(J145,L145)=0,"",IF(MIN(J145,L145)&gt;=TODAY(),MIN(J145,L145),MAX(J145,L145)))</f>
        <v/>
      </c>
      <c r="N145" s="31">
        <f>IF(ISNUMBER(M145),M145-TODAY(),"")</f>
        <v/>
      </c>
      <c r="O145" s="32">
        <f>IF(NOT(ISNUMBER(N145)),"",IF(OR(Q145="Taken",Q145="Declined"),"",IF(N145&lt;0,"Lapsed",IF(N145&lt;=7,7,IF(N145&lt;=30,30,IF(N145&lt;=60,60,IF(N145&lt;=90,90,"")))))))</f>
        <v/>
      </c>
      <c r="P145" s="27" t="n"/>
      <c r="Q145" s="27" t="n"/>
      <c r="R145" s="27" t="n"/>
      <c r="S145" s="27" t="n"/>
      <c r="T145" s="27" t="n"/>
    </row>
    <row r="146">
      <c r="A146" s="27" t="n"/>
      <c r="B146" s="27" t="n"/>
      <c r="C146" s="27" t="n"/>
      <c r="D146" s="27" t="n"/>
      <c r="E146" s="28" t="n"/>
      <c r="F146" s="28" t="n"/>
      <c r="G146" s="27" t="n"/>
      <c r="H146" s="29">
        <f>IF(G146="Invoice",IF(ISNUMBER(F146),F146,""),IF(ISNUMBER(E146),E146,""))</f>
        <v/>
      </c>
      <c r="I146" s="30" t="n"/>
      <c r="J146" s="29">
        <f>IF(AND(ISNUMBER(H146),ISNUMBER(I146)),EDATE(H146,I146),"")</f>
        <v/>
      </c>
      <c r="K146" s="30" t="n"/>
      <c r="L146" s="29">
        <f>IF(AND(ISNUMBER(H146),ISNUMBER(K146)),EDATE(H146,K146),"")</f>
        <v/>
      </c>
      <c r="M146" s="29">
        <f>IF(COUNT(J146,L146)=0,"",IF(MIN(J146,L146)&gt;=TODAY(),MIN(J146,L146),MAX(J146,L146)))</f>
        <v/>
      </c>
      <c r="N146" s="31">
        <f>IF(ISNUMBER(M146),M146-TODAY(),"")</f>
        <v/>
      </c>
      <c r="O146" s="32">
        <f>IF(NOT(ISNUMBER(N146)),"",IF(OR(Q146="Taken",Q146="Declined"),"",IF(N146&lt;0,"Lapsed",IF(N146&lt;=7,7,IF(N146&lt;=30,30,IF(N146&lt;=60,60,IF(N146&lt;=90,90,"")))))))</f>
        <v/>
      </c>
      <c r="P146" s="27" t="n"/>
      <c r="Q146" s="27" t="n"/>
      <c r="R146" s="27" t="n"/>
      <c r="S146" s="27" t="n"/>
      <c r="T146" s="27" t="n"/>
    </row>
    <row r="147">
      <c r="A147" s="27" t="n"/>
      <c r="B147" s="27" t="n"/>
      <c r="C147" s="27" t="n"/>
      <c r="D147" s="27" t="n"/>
      <c r="E147" s="28" t="n"/>
      <c r="F147" s="28" t="n"/>
      <c r="G147" s="27" t="n"/>
      <c r="H147" s="29">
        <f>IF(G147="Invoice",IF(ISNUMBER(F147),F147,""),IF(ISNUMBER(E147),E147,""))</f>
        <v/>
      </c>
      <c r="I147" s="30" t="n"/>
      <c r="J147" s="29">
        <f>IF(AND(ISNUMBER(H147),ISNUMBER(I147)),EDATE(H147,I147),"")</f>
        <v/>
      </c>
      <c r="K147" s="30" t="n"/>
      <c r="L147" s="29">
        <f>IF(AND(ISNUMBER(H147),ISNUMBER(K147)),EDATE(H147,K147),"")</f>
        <v/>
      </c>
      <c r="M147" s="29">
        <f>IF(COUNT(J147,L147)=0,"",IF(MIN(J147,L147)&gt;=TODAY(),MIN(J147,L147),MAX(J147,L147)))</f>
        <v/>
      </c>
      <c r="N147" s="31">
        <f>IF(ISNUMBER(M147),M147-TODAY(),"")</f>
        <v/>
      </c>
      <c r="O147" s="32">
        <f>IF(NOT(ISNUMBER(N147)),"",IF(OR(Q147="Taken",Q147="Declined"),"",IF(N147&lt;0,"Lapsed",IF(N147&lt;=7,7,IF(N147&lt;=30,30,IF(N147&lt;=60,60,IF(N147&lt;=90,90,"")))))))</f>
        <v/>
      </c>
      <c r="P147" s="27" t="n"/>
      <c r="Q147" s="27" t="n"/>
      <c r="R147" s="27" t="n"/>
      <c r="S147" s="27" t="n"/>
      <c r="T147" s="27" t="n"/>
    </row>
    <row r="148">
      <c r="A148" s="27" t="n"/>
      <c r="B148" s="27" t="n"/>
      <c r="C148" s="27" t="n"/>
      <c r="D148" s="27" t="n"/>
      <c r="E148" s="28" t="n"/>
      <c r="F148" s="28" t="n"/>
      <c r="G148" s="27" t="n"/>
      <c r="H148" s="29">
        <f>IF(G148="Invoice",IF(ISNUMBER(F148),F148,""),IF(ISNUMBER(E148),E148,""))</f>
        <v/>
      </c>
      <c r="I148" s="30" t="n"/>
      <c r="J148" s="29">
        <f>IF(AND(ISNUMBER(H148),ISNUMBER(I148)),EDATE(H148,I148),"")</f>
        <v/>
      </c>
      <c r="K148" s="30" t="n"/>
      <c r="L148" s="29">
        <f>IF(AND(ISNUMBER(H148),ISNUMBER(K148)),EDATE(H148,K148),"")</f>
        <v/>
      </c>
      <c r="M148" s="29">
        <f>IF(COUNT(J148,L148)=0,"",IF(MIN(J148,L148)&gt;=TODAY(),MIN(J148,L148),MAX(J148,L148)))</f>
        <v/>
      </c>
      <c r="N148" s="31">
        <f>IF(ISNUMBER(M148),M148-TODAY(),"")</f>
        <v/>
      </c>
      <c r="O148" s="32">
        <f>IF(NOT(ISNUMBER(N148)),"",IF(OR(Q148="Taken",Q148="Declined"),"",IF(N148&lt;0,"Lapsed",IF(N148&lt;=7,7,IF(N148&lt;=30,30,IF(N148&lt;=60,60,IF(N148&lt;=90,90,"")))))))</f>
        <v/>
      </c>
      <c r="P148" s="27" t="n"/>
      <c r="Q148" s="27" t="n"/>
      <c r="R148" s="27" t="n"/>
      <c r="S148" s="27" t="n"/>
      <c r="T148" s="27" t="n"/>
    </row>
    <row r="149">
      <c r="A149" s="27" t="n"/>
      <c r="B149" s="27" t="n"/>
      <c r="C149" s="27" t="n"/>
      <c r="D149" s="27" t="n"/>
      <c r="E149" s="28" t="n"/>
      <c r="F149" s="28" t="n"/>
      <c r="G149" s="27" t="n"/>
      <c r="H149" s="29">
        <f>IF(G149="Invoice",IF(ISNUMBER(F149),F149,""),IF(ISNUMBER(E149),E149,""))</f>
        <v/>
      </c>
      <c r="I149" s="30" t="n"/>
      <c r="J149" s="29">
        <f>IF(AND(ISNUMBER(H149),ISNUMBER(I149)),EDATE(H149,I149),"")</f>
        <v/>
      </c>
      <c r="K149" s="30" t="n"/>
      <c r="L149" s="29">
        <f>IF(AND(ISNUMBER(H149),ISNUMBER(K149)),EDATE(H149,K149),"")</f>
        <v/>
      </c>
      <c r="M149" s="29">
        <f>IF(COUNT(J149,L149)=0,"",IF(MIN(J149,L149)&gt;=TODAY(),MIN(J149,L149),MAX(J149,L149)))</f>
        <v/>
      </c>
      <c r="N149" s="31">
        <f>IF(ISNUMBER(M149),M149-TODAY(),"")</f>
        <v/>
      </c>
      <c r="O149" s="32">
        <f>IF(NOT(ISNUMBER(N149)),"",IF(OR(Q149="Taken",Q149="Declined"),"",IF(N149&lt;0,"Lapsed",IF(N149&lt;=7,7,IF(N149&lt;=30,30,IF(N149&lt;=60,60,IF(N149&lt;=90,90,"")))))))</f>
        <v/>
      </c>
      <c r="P149" s="27" t="n"/>
      <c r="Q149" s="27" t="n"/>
      <c r="R149" s="27" t="n"/>
      <c r="S149" s="27" t="n"/>
      <c r="T149" s="27" t="n"/>
    </row>
    <row r="150">
      <c r="A150" s="27" t="n"/>
      <c r="B150" s="27" t="n"/>
      <c r="C150" s="27" t="n"/>
      <c r="D150" s="27" t="n"/>
      <c r="E150" s="28" t="n"/>
      <c r="F150" s="28" t="n"/>
      <c r="G150" s="27" t="n"/>
      <c r="H150" s="29">
        <f>IF(G150="Invoice",IF(ISNUMBER(F150),F150,""),IF(ISNUMBER(E150),E150,""))</f>
        <v/>
      </c>
      <c r="I150" s="30" t="n"/>
      <c r="J150" s="29">
        <f>IF(AND(ISNUMBER(H150),ISNUMBER(I150)),EDATE(H150,I150),"")</f>
        <v/>
      </c>
      <c r="K150" s="30" t="n"/>
      <c r="L150" s="29">
        <f>IF(AND(ISNUMBER(H150),ISNUMBER(K150)),EDATE(H150,K150),"")</f>
        <v/>
      </c>
      <c r="M150" s="29">
        <f>IF(COUNT(J150,L150)=0,"",IF(MIN(J150,L150)&gt;=TODAY(),MIN(J150,L150),MAX(J150,L150)))</f>
        <v/>
      </c>
      <c r="N150" s="31">
        <f>IF(ISNUMBER(M150),M150-TODAY(),"")</f>
        <v/>
      </c>
      <c r="O150" s="32">
        <f>IF(NOT(ISNUMBER(N150)),"",IF(OR(Q150="Taken",Q150="Declined"),"",IF(N150&lt;0,"Lapsed",IF(N150&lt;=7,7,IF(N150&lt;=30,30,IF(N150&lt;=60,60,IF(N150&lt;=90,90,"")))))))</f>
        <v/>
      </c>
      <c r="P150" s="27" t="n"/>
      <c r="Q150" s="27" t="n"/>
      <c r="R150" s="27" t="n"/>
      <c r="S150" s="27" t="n"/>
      <c r="T150" s="27" t="n"/>
    </row>
    <row r="151">
      <c r="A151" s="27" t="n"/>
      <c r="B151" s="27" t="n"/>
      <c r="C151" s="27" t="n"/>
      <c r="D151" s="27" t="n"/>
      <c r="E151" s="28" t="n"/>
      <c r="F151" s="28" t="n"/>
      <c r="G151" s="27" t="n"/>
      <c r="H151" s="29">
        <f>IF(G151="Invoice",IF(ISNUMBER(F151),F151,""),IF(ISNUMBER(E151),E151,""))</f>
        <v/>
      </c>
      <c r="I151" s="30" t="n"/>
      <c r="J151" s="29">
        <f>IF(AND(ISNUMBER(H151),ISNUMBER(I151)),EDATE(H151,I151),"")</f>
        <v/>
      </c>
      <c r="K151" s="30" t="n"/>
      <c r="L151" s="29">
        <f>IF(AND(ISNUMBER(H151),ISNUMBER(K151)),EDATE(H151,K151),"")</f>
        <v/>
      </c>
      <c r="M151" s="29">
        <f>IF(COUNT(J151,L151)=0,"",IF(MIN(J151,L151)&gt;=TODAY(),MIN(J151,L151),MAX(J151,L151)))</f>
        <v/>
      </c>
      <c r="N151" s="31">
        <f>IF(ISNUMBER(M151),M151-TODAY(),"")</f>
        <v/>
      </c>
      <c r="O151" s="32">
        <f>IF(NOT(ISNUMBER(N151)),"",IF(OR(Q151="Taken",Q151="Declined"),"",IF(N151&lt;0,"Lapsed",IF(N151&lt;=7,7,IF(N151&lt;=30,30,IF(N151&lt;=60,60,IF(N151&lt;=90,90,"")))))))</f>
        <v/>
      </c>
      <c r="P151" s="27" t="n"/>
      <c r="Q151" s="27" t="n"/>
      <c r="R151" s="27" t="n"/>
      <c r="S151" s="27" t="n"/>
      <c r="T151" s="27" t="n"/>
    </row>
    <row r="152">
      <c r="A152" s="27" t="n"/>
      <c r="B152" s="27" t="n"/>
      <c r="C152" s="27" t="n"/>
      <c r="D152" s="27" t="n"/>
      <c r="E152" s="28" t="n"/>
      <c r="F152" s="28" t="n"/>
      <c r="G152" s="27" t="n"/>
      <c r="H152" s="29">
        <f>IF(G152="Invoice",IF(ISNUMBER(F152),F152,""),IF(ISNUMBER(E152),E152,""))</f>
        <v/>
      </c>
      <c r="I152" s="30" t="n"/>
      <c r="J152" s="29">
        <f>IF(AND(ISNUMBER(H152),ISNUMBER(I152)),EDATE(H152,I152),"")</f>
        <v/>
      </c>
      <c r="K152" s="30" t="n"/>
      <c r="L152" s="29">
        <f>IF(AND(ISNUMBER(H152),ISNUMBER(K152)),EDATE(H152,K152),"")</f>
        <v/>
      </c>
      <c r="M152" s="29">
        <f>IF(COUNT(J152,L152)=0,"",IF(MIN(J152,L152)&gt;=TODAY(),MIN(J152,L152),MAX(J152,L152)))</f>
        <v/>
      </c>
      <c r="N152" s="31">
        <f>IF(ISNUMBER(M152),M152-TODAY(),"")</f>
        <v/>
      </c>
      <c r="O152" s="32">
        <f>IF(NOT(ISNUMBER(N152)),"",IF(OR(Q152="Taken",Q152="Declined"),"",IF(N152&lt;0,"Lapsed",IF(N152&lt;=7,7,IF(N152&lt;=30,30,IF(N152&lt;=60,60,IF(N152&lt;=90,90,"")))))))</f>
        <v/>
      </c>
      <c r="P152" s="27" t="n"/>
      <c r="Q152" s="27" t="n"/>
      <c r="R152" s="27" t="n"/>
      <c r="S152" s="27" t="n"/>
      <c r="T152" s="27" t="n"/>
    </row>
    <row r="153">
      <c r="A153" s="27" t="n"/>
      <c r="B153" s="27" t="n"/>
      <c r="C153" s="27" t="n"/>
      <c r="D153" s="27" t="n"/>
      <c r="E153" s="28" t="n"/>
      <c r="F153" s="28" t="n"/>
      <c r="G153" s="27" t="n"/>
      <c r="H153" s="29">
        <f>IF(G153="Invoice",IF(ISNUMBER(F153),F153,""),IF(ISNUMBER(E153),E153,""))</f>
        <v/>
      </c>
      <c r="I153" s="30" t="n"/>
      <c r="J153" s="29">
        <f>IF(AND(ISNUMBER(H153),ISNUMBER(I153)),EDATE(H153,I153),"")</f>
        <v/>
      </c>
      <c r="K153" s="30" t="n"/>
      <c r="L153" s="29">
        <f>IF(AND(ISNUMBER(H153),ISNUMBER(K153)),EDATE(H153,K153),"")</f>
        <v/>
      </c>
      <c r="M153" s="29">
        <f>IF(COUNT(J153,L153)=0,"",IF(MIN(J153,L153)&gt;=TODAY(),MIN(J153,L153),MAX(J153,L153)))</f>
        <v/>
      </c>
      <c r="N153" s="31">
        <f>IF(ISNUMBER(M153),M153-TODAY(),"")</f>
        <v/>
      </c>
      <c r="O153" s="32">
        <f>IF(NOT(ISNUMBER(N153)),"",IF(OR(Q153="Taken",Q153="Declined"),"",IF(N153&lt;0,"Lapsed",IF(N153&lt;=7,7,IF(N153&lt;=30,30,IF(N153&lt;=60,60,IF(N153&lt;=90,90,"")))))))</f>
        <v/>
      </c>
      <c r="P153" s="27" t="n"/>
      <c r="Q153" s="27" t="n"/>
      <c r="R153" s="27" t="n"/>
      <c r="S153" s="27" t="n"/>
      <c r="T153" s="27" t="n"/>
    </row>
    <row r="154">
      <c r="A154" s="27" t="n"/>
      <c r="B154" s="27" t="n"/>
      <c r="C154" s="27" t="n"/>
      <c r="D154" s="27" t="n"/>
      <c r="E154" s="28" t="n"/>
      <c r="F154" s="28" t="n"/>
      <c r="G154" s="27" t="n"/>
      <c r="H154" s="29">
        <f>IF(G154="Invoice",IF(ISNUMBER(F154),F154,""),IF(ISNUMBER(E154),E154,""))</f>
        <v/>
      </c>
      <c r="I154" s="30" t="n"/>
      <c r="J154" s="29">
        <f>IF(AND(ISNUMBER(H154),ISNUMBER(I154)),EDATE(H154,I154),"")</f>
        <v/>
      </c>
      <c r="K154" s="30" t="n"/>
      <c r="L154" s="29">
        <f>IF(AND(ISNUMBER(H154),ISNUMBER(K154)),EDATE(H154,K154),"")</f>
        <v/>
      </c>
      <c r="M154" s="29">
        <f>IF(COUNT(J154,L154)=0,"",IF(MIN(J154,L154)&gt;=TODAY(),MIN(J154,L154),MAX(J154,L154)))</f>
        <v/>
      </c>
      <c r="N154" s="31">
        <f>IF(ISNUMBER(M154),M154-TODAY(),"")</f>
        <v/>
      </c>
      <c r="O154" s="32">
        <f>IF(NOT(ISNUMBER(N154)),"",IF(OR(Q154="Taken",Q154="Declined"),"",IF(N154&lt;0,"Lapsed",IF(N154&lt;=7,7,IF(N154&lt;=30,30,IF(N154&lt;=60,60,IF(N154&lt;=90,90,"")))))))</f>
        <v/>
      </c>
      <c r="P154" s="27" t="n"/>
      <c r="Q154" s="27" t="n"/>
      <c r="R154" s="27" t="n"/>
      <c r="S154" s="27" t="n"/>
      <c r="T154" s="27" t="n"/>
    </row>
    <row r="155">
      <c r="A155" s="27" t="n"/>
      <c r="B155" s="27" t="n"/>
      <c r="C155" s="27" t="n"/>
      <c r="D155" s="27" t="n"/>
      <c r="E155" s="28" t="n"/>
      <c r="F155" s="28" t="n"/>
      <c r="G155" s="27" t="n"/>
      <c r="H155" s="29">
        <f>IF(G155="Invoice",IF(ISNUMBER(F155),F155,""),IF(ISNUMBER(E155),E155,""))</f>
        <v/>
      </c>
      <c r="I155" s="30" t="n"/>
      <c r="J155" s="29">
        <f>IF(AND(ISNUMBER(H155),ISNUMBER(I155)),EDATE(H155,I155),"")</f>
        <v/>
      </c>
      <c r="K155" s="30" t="n"/>
      <c r="L155" s="29">
        <f>IF(AND(ISNUMBER(H155),ISNUMBER(K155)),EDATE(H155,K155),"")</f>
        <v/>
      </c>
      <c r="M155" s="29">
        <f>IF(COUNT(J155,L155)=0,"",IF(MIN(J155,L155)&gt;=TODAY(),MIN(J155,L155),MAX(J155,L155)))</f>
        <v/>
      </c>
      <c r="N155" s="31">
        <f>IF(ISNUMBER(M155),M155-TODAY(),"")</f>
        <v/>
      </c>
      <c r="O155" s="32">
        <f>IF(NOT(ISNUMBER(N155)),"",IF(OR(Q155="Taken",Q155="Declined"),"",IF(N155&lt;0,"Lapsed",IF(N155&lt;=7,7,IF(N155&lt;=30,30,IF(N155&lt;=60,60,IF(N155&lt;=90,90,"")))))))</f>
        <v/>
      </c>
      <c r="P155" s="27" t="n"/>
      <c r="Q155" s="27" t="n"/>
      <c r="R155" s="27" t="n"/>
      <c r="S155" s="27" t="n"/>
      <c r="T155" s="27" t="n"/>
    </row>
    <row r="156">
      <c r="A156" s="27" t="n"/>
      <c r="B156" s="27" t="n"/>
      <c r="C156" s="27" t="n"/>
      <c r="D156" s="27" t="n"/>
      <c r="E156" s="28" t="n"/>
      <c r="F156" s="28" t="n"/>
      <c r="G156" s="27" t="n"/>
      <c r="H156" s="29">
        <f>IF(G156="Invoice",IF(ISNUMBER(F156),F156,""),IF(ISNUMBER(E156),E156,""))</f>
        <v/>
      </c>
      <c r="I156" s="30" t="n"/>
      <c r="J156" s="29">
        <f>IF(AND(ISNUMBER(H156),ISNUMBER(I156)),EDATE(H156,I156),"")</f>
        <v/>
      </c>
      <c r="K156" s="30" t="n"/>
      <c r="L156" s="29">
        <f>IF(AND(ISNUMBER(H156),ISNUMBER(K156)),EDATE(H156,K156),"")</f>
        <v/>
      </c>
      <c r="M156" s="29">
        <f>IF(COUNT(J156,L156)=0,"",IF(MIN(J156,L156)&gt;=TODAY(),MIN(J156,L156),MAX(J156,L156)))</f>
        <v/>
      </c>
      <c r="N156" s="31">
        <f>IF(ISNUMBER(M156),M156-TODAY(),"")</f>
        <v/>
      </c>
      <c r="O156" s="32">
        <f>IF(NOT(ISNUMBER(N156)),"",IF(OR(Q156="Taken",Q156="Declined"),"",IF(N156&lt;0,"Lapsed",IF(N156&lt;=7,7,IF(N156&lt;=30,30,IF(N156&lt;=60,60,IF(N156&lt;=90,90,"")))))))</f>
        <v/>
      </c>
      <c r="P156" s="27" t="n"/>
      <c r="Q156" s="27" t="n"/>
      <c r="R156" s="27" t="n"/>
      <c r="S156" s="27" t="n"/>
      <c r="T156" s="27" t="n"/>
    </row>
    <row r="157">
      <c r="A157" s="27" t="n"/>
      <c r="B157" s="27" t="n"/>
      <c r="C157" s="27" t="n"/>
      <c r="D157" s="27" t="n"/>
      <c r="E157" s="28" t="n"/>
      <c r="F157" s="28" t="n"/>
      <c r="G157" s="27" t="n"/>
      <c r="H157" s="29">
        <f>IF(G157="Invoice",IF(ISNUMBER(F157),F157,""),IF(ISNUMBER(E157),E157,""))</f>
        <v/>
      </c>
      <c r="I157" s="30" t="n"/>
      <c r="J157" s="29">
        <f>IF(AND(ISNUMBER(H157),ISNUMBER(I157)),EDATE(H157,I157),"")</f>
        <v/>
      </c>
      <c r="K157" s="30" t="n"/>
      <c r="L157" s="29">
        <f>IF(AND(ISNUMBER(H157),ISNUMBER(K157)),EDATE(H157,K157),"")</f>
        <v/>
      </c>
      <c r="M157" s="29">
        <f>IF(COUNT(J157,L157)=0,"",IF(MIN(J157,L157)&gt;=TODAY(),MIN(J157,L157),MAX(J157,L157)))</f>
        <v/>
      </c>
      <c r="N157" s="31">
        <f>IF(ISNUMBER(M157),M157-TODAY(),"")</f>
        <v/>
      </c>
      <c r="O157" s="32">
        <f>IF(NOT(ISNUMBER(N157)),"",IF(OR(Q157="Taken",Q157="Declined"),"",IF(N157&lt;0,"Lapsed",IF(N157&lt;=7,7,IF(N157&lt;=30,30,IF(N157&lt;=60,60,IF(N157&lt;=90,90,"")))))))</f>
        <v/>
      </c>
      <c r="P157" s="27" t="n"/>
      <c r="Q157" s="27" t="n"/>
      <c r="R157" s="27" t="n"/>
      <c r="S157" s="27" t="n"/>
      <c r="T157" s="27" t="n"/>
    </row>
    <row r="158">
      <c r="A158" s="27" t="n"/>
      <c r="B158" s="27" t="n"/>
      <c r="C158" s="27" t="n"/>
      <c r="D158" s="27" t="n"/>
      <c r="E158" s="28" t="n"/>
      <c r="F158" s="28" t="n"/>
      <c r="G158" s="27" t="n"/>
      <c r="H158" s="29">
        <f>IF(G158="Invoice",IF(ISNUMBER(F158),F158,""),IF(ISNUMBER(E158),E158,""))</f>
        <v/>
      </c>
      <c r="I158" s="30" t="n"/>
      <c r="J158" s="29">
        <f>IF(AND(ISNUMBER(H158),ISNUMBER(I158)),EDATE(H158,I158),"")</f>
        <v/>
      </c>
      <c r="K158" s="30" t="n"/>
      <c r="L158" s="29">
        <f>IF(AND(ISNUMBER(H158),ISNUMBER(K158)),EDATE(H158,K158),"")</f>
        <v/>
      </c>
      <c r="M158" s="29">
        <f>IF(COUNT(J158,L158)=0,"",IF(MIN(J158,L158)&gt;=TODAY(),MIN(J158,L158),MAX(J158,L158)))</f>
        <v/>
      </c>
      <c r="N158" s="31">
        <f>IF(ISNUMBER(M158),M158-TODAY(),"")</f>
        <v/>
      </c>
      <c r="O158" s="32">
        <f>IF(NOT(ISNUMBER(N158)),"",IF(OR(Q158="Taken",Q158="Declined"),"",IF(N158&lt;0,"Lapsed",IF(N158&lt;=7,7,IF(N158&lt;=30,30,IF(N158&lt;=60,60,IF(N158&lt;=90,90,"")))))))</f>
        <v/>
      </c>
      <c r="P158" s="27" t="n"/>
      <c r="Q158" s="27" t="n"/>
      <c r="R158" s="27" t="n"/>
      <c r="S158" s="27" t="n"/>
      <c r="T158" s="27" t="n"/>
    </row>
    <row r="159">
      <c r="A159" s="27" t="n"/>
      <c r="B159" s="27" t="n"/>
      <c r="C159" s="27" t="n"/>
      <c r="D159" s="27" t="n"/>
      <c r="E159" s="28" t="n"/>
      <c r="F159" s="28" t="n"/>
      <c r="G159" s="27" t="n"/>
      <c r="H159" s="29">
        <f>IF(G159="Invoice",IF(ISNUMBER(F159),F159,""),IF(ISNUMBER(E159),E159,""))</f>
        <v/>
      </c>
      <c r="I159" s="30" t="n"/>
      <c r="J159" s="29">
        <f>IF(AND(ISNUMBER(H159),ISNUMBER(I159)),EDATE(H159,I159),"")</f>
        <v/>
      </c>
      <c r="K159" s="30" t="n"/>
      <c r="L159" s="29">
        <f>IF(AND(ISNUMBER(H159),ISNUMBER(K159)),EDATE(H159,K159),"")</f>
        <v/>
      </c>
      <c r="M159" s="29">
        <f>IF(COUNT(J159,L159)=0,"",IF(MIN(J159,L159)&gt;=TODAY(),MIN(J159,L159),MAX(J159,L159)))</f>
        <v/>
      </c>
      <c r="N159" s="31">
        <f>IF(ISNUMBER(M159),M159-TODAY(),"")</f>
        <v/>
      </c>
      <c r="O159" s="32">
        <f>IF(NOT(ISNUMBER(N159)),"",IF(OR(Q159="Taken",Q159="Declined"),"",IF(N159&lt;0,"Lapsed",IF(N159&lt;=7,7,IF(N159&lt;=30,30,IF(N159&lt;=60,60,IF(N159&lt;=90,90,"")))))))</f>
        <v/>
      </c>
      <c r="P159" s="27" t="n"/>
      <c r="Q159" s="27" t="n"/>
      <c r="R159" s="27" t="n"/>
      <c r="S159" s="27" t="n"/>
      <c r="T159" s="27" t="n"/>
    </row>
    <row r="160">
      <c r="A160" s="27" t="n"/>
      <c r="B160" s="27" t="n"/>
      <c r="C160" s="27" t="n"/>
      <c r="D160" s="27" t="n"/>
      <c r="E160" s="28" t="n"/>
      <c r="F160" s="28" t="n"/>
      <c r="G160" s="27" t="n"/>
      <c r="H160" s="29">
        <f>IF(G160="Invoice",IF(ISNUMBER(F160),F160,""),IF(ISNUMBER(E160),E160,""))</f>
        <v/>
      </c>
      <c r="I160" s="30" t="n"/>
      <c r="J160" s="29">
        <f>IF(AND(ISNUMBER(H160),ISNUMBER(I160)),EDATE(H160,I160),"")</f>
        <v/>
      </c>
      <c r="K160" s="30" t="n"/>
      <c r="L160" s="29">
        <f>IF(AND(ISNUMBER(H160),ISNUMBER(K160)),EDATE(H160,K160),"")</f>
        <v/>
      </c>
      <c r="M160" s="29">
        <f>IF(COUNT(J160,L160)=0,"",IF(MIN(J160,L160)&gt;=TODAY(),MIN(J160,L160),MAX(J160,L160)))</f>
        <v/>
      </c>
      <c r="N160" s="31">
        <f>IF(ISNUMBER(M160),M160-TODAY(),"")</f>
        <v/>
      </c>
      <c r="O160" s="32">
        <f>IF(NOT(ISNUMBER(N160)),"",IF(OR(Q160="Taken",Q160="Declined"),"",IF(N160&lt;0,"Lapsed",IF(N160&lt;=7,7,IF(N160&lt;=30,30,IF(N160&lt;=60,60,IF(N160&lt;=90,90,"")))))))</f>
        <v/>
      </c>
      <c r="P160" s="27" t="n"/>
      <c r="Q160" s="27" t="n"/>
      <c r="R160" s="27" t="n"/>
      <c r="S160" s="27" t="n"/>
      <c r="T160" s="27" t="n"/>
    </row>
    <row r="161">
      <c r="A161" s="27" t="n"/>
      <c r="B161" s="27" t="n"/>
      <c r="C161" s="27" t="n"/>
      <c r="D161" s="27" t="n"/>
      <c r="E161" s="28" t="n"/>
      <c r="F161" s="28" t="n"/>
      <c r="G161" s="27" t="n"/>
      <c r="H161" s="29">
        <f>IF(G161="Invoice",IF(ISNUMBER(F161),F161,""),IF(ISNUMBER(E161),E161,""))</f>
        <v/>
      </c>
      <c r="I161" s="30" t="n"/>
      <c r="J161" s="29">
        <f>IF(AND(ISNUMBER(H161),ISNUMBER(I161)),EDATE(H161,I161),"")</f>
        <v/>
      </c>
      <c r="K161" s="30" t="n"/>
      <c r="L161" s="29">
        <f>IF(AND(ISNUMBER(H161),ISNUMBER(K161)),EDATE(H161,K161),"")</f>
        <v/>
      </c>
      <c r="M161" s="29">
        <f>IF(COUNT(J161,L161)=0,"",IF(MIN(J161,L161)&gt;=TODAY(),MIN(J161,L161),MAX(J161,L161)))</f>
        <v/>
      </c>
      <c r="N161" s="31">
        <f>IF(ISNUMBER(M161),M161-TODAY(),"")</f>
        <v/>
      </c>
      <c r="O161" s="32">
        <f>IF(NOT(ISNUMBER(N161)),"",IF(OR(Q161="Taken",Q161="Declined"),"",IF(N161&lt;0,"Lapsed",IF(N161&lt;=7,7,IF(N161&lt;=30,30,IF(N161&lt;=60,60,IF(N161&lt;=90,90,"")))))))</f>
        <v/>
      </c>
      <c r="P161" s="27" t="n"/>
      <c r="Q161" s="27" t="n"/>
      <c r="R161" s="27" t="n"/>
      <c r="S161" s="27" t="n"/>
      <c r="T161" s="27" t="n"/>
    </row>
    <row r="162">
      <c r="A162" s="27" t="n"/>
      <c r="B162" s="27" t="n"/>
      <c r="C162" s="27" t="n"/>
      <c r="D162" s="27" t="n"/>
      <c r="E162" s="28" t="n"/>
      <c r="F162" s="28" t="n"/>
      <c r="G162" s="27" t="n"/>
      <c r="H162" s="29">
        <f>IF(G162="Invoice",IF(ISNUMBER(F162),F162,""),IF(ISNUMBER(E162),E162,""))</f>
        <v/>
      </c>
      <c r="I162" s="30" t="n"/>
      <c r="J162" s="29">
        <f>IF(AND(ISNUMBER(H162),ISNUMBER(I162)),EDATE(H162,I162),"")</f>
        <v/>
      </c>
      <c r="K162" s="30" t="n"/>
      <c r="L162" s="29">
        <f>IF(AND(ISNUMBER(H162),ISNUMBER(K162)),EDATE(H162,K162),"")</f>
        <v/>
      </c>
      <c r="M162" s="29">
        <f>IF(COUNT(J162,L162)=0,"",IF(MIN(J162,L162)&gt;=TODAY(),MIN(J162,L162),MAX(J162,L162)))</f>
        <v/>
      </c>
      <c r="N162" s="31">
        <f>IF(ISNUMBER(M162),M162-TODAY(),"")</f>
        <v/>
      </c>
      <c r="O162" s="32">
        <f>IF(NOT(ISNUMBER(N162)),"",IF(OR(Q162="Taken",Q162="Declined"),"",IF(N162&lt;0,"Lapsed",IF(N162&lt;=7,7,IF(N162&lt;=30,30,IF(N162&lt;=60,60,IF(N162&lt;=90,90,"")))))))</f>
        <v/>
      </c>
      <c r="P162" s="27" t="n"/>
      <c r="Q162" s="27" t="n"/>
      <c r="R162" s="27" t="n"/>
      <c r="S162" s="27" t="n"/>
      <c r="T162" s="27" t="n"/>
    </row>
    <row r="163">
      <c r="A163" s="27" t="n"/>
      <c r="B163" s="27" t="n"/>
      <c r="C163" s="27" t="n"/>
      <c r="D163" s="27" t="n"/>
      <c r="E163" s="28" t="n"/>
      <c r="F163" s="28" t="n"/>
      <c r="G163" s="27" t="n"/>
      <c r="H163" s="29">
        <f>IF(G163="Invoice",IF(ISNUMBER(F163),F163,""),IF(ISNUMBER(E163),E163,""))</f>
        <v/>
      </c>
      <c r="I163" s="30" t="n"/>
      <c r="J163" s="29">
        <f>IF(AND(ISNUMBER(H163),ISNUMBER(I163)),EDATE(H163,I163),"")</f>
        <v/>
      </c>
      <c r="K163" s="30" t="n"/>
      <c r="L163" s="29">
        <f>IF(AND(ISNUMBER(H163),ISNUMBER(K163)),EDATE(H163,K163),"")</f>
        <v/>
      </c>
      <c r="M163" s="29">
        <f>IF(COUNT(J163,L163)=0,"",IF(MIN(J163,L163)&gt;=TODAY(),MIN(J163,L163),MAX(J163,L163)))</f>
        <v/>
      </c>
      <c r="N163" s="31">
        <f>IF(ISNUMBER(M163),M163-TODAY(),"")</f>
        <v/>
      </c>
      <c r="O163" s="32">
        <f>IF(NOT(ISNUMBER(N163)),"",IF(OR(Q163="Taken",Q163="Declined"),"",IF(N163&lt;0,"Lapsed",IF(N163&lt;=7,7,IF(N163&lt;=30,30,IF(N163&lt;=60,60,IF(N163&lt;=90,90,"")))))))</f>
        <v/>
      </c>
      <c r="P163" s="27" t="n"/>
      <c r="Q163" s="27" t="n"/>
      <c r="R163" s="27" t="n"/>
      <c r="S163" s="27" t="n"/>
      <c r="T163" s="27" t="n"/>
    </row>
    <row r="164">
      <c r="A164" s="27" t="n"/>
      <c r="B164" s="27" t="n"/>
      <c r="C164" s="27" t="n"/>
      <c r="D164" s="27" t="n"/>
      <c r="E164" s="28" t="n"/>
      <c r="F164" s="28" t="n"/>
      <c r="G164" s="27" t="n"/>
      <c r="H164" s="29">
        <f>IF(G164="Invoice",IF(ISNUMBER(F164),F164,""),IF(ISNUMBER(E164),E164,""))</f>
        <v/>
      </c>
      <c r="I164" s="30" t="n"/>
      <c r="J164" s="29">
        <f>IF(AND(ISNUMBER(H164),ISNUMBER(I164)),EDATE(H164,I164),"")</f>
        <v/>
      </c>
      <c r="K164" s="30" t="n"/>
      <c r="L164" s="29">
        <f>IF(AND(ISNUMBER(H164),ISNUMBER(K164)),EDATE(H164,K164),"")</f>
        <v/>
      </c>
      <c r="M164" s="29">
        <f>IF(COUNT(J164,L164)=0,"",IF(MIN(J164,L164)&gt;=TODAY(),MIN(J164,L164),MAX(J164,L164)))</f>
        <v/>
      </c>
      <c r="N164" s="31">
        <f>IF(ISNUMBER(M164),M164-TODAY(),"")</f>
        <v/>
      </c>
      <c r="O164" s="32">
        <f>IF(NOT(ISNUMBER(N164)),"",IF(OR(Q164="Taken",Q164="Declined"),"",IF(N164&lt;0,"Lapsed",IF(N164&lt;=7,7,IF(N164&lt;=30,30,IF(N164&lt;=60,60,IF(N164&lt;=90,90,"")))))))</f>
        <v/>
      </c>
      <c r="P164" s="27" t="n"/>
      <c r="Q164" s="27" t="n"/>
      <c r="R164" s="27" t="n"/>
      <c r="S164" s="27" t="n"/>
      <c r="T164" s="27" t="n"/>
    </row>
    <row r="165">
      <c r="A165" s="27" t="n"/>
      <c r="B165" s="27" t="n"/>
      <c r="C165" s="27" t="n"/>
      <c r="D165" s="27" t="n"/>
      <c r="E165" s="28" t="n"/>
      <c r="F165" s="28" t="n"/>
      <c r="G165" s="27" t="n"/>
      <c r="H165" s="29">
        <f>IF(G165="Invoice",IF(ISNUMBER(F165),F165,""),IF(ISNUMBER(E165),E165,""))</f>
        <v/>
      </c>
      <c r="I165" s="30" t="n"/>
      <c r="J165" s="29">
        <f>IF(AND(ISNUMBER(H165),ISNUMBER(I165)),EDATE(H165,I165),"")</f>
        <v/>
      </c>
      <c r="K165" s="30" t="n"/>
      <c r="L165" s="29">
        <f>IF(AND(ISNUMBER(H165),ISNUMBER(K165)),EDATE(H165,K165),"")</f>
        <v/>
      </c>
      <c r="M165" s="29">
        <f>IF(COUNT(J165,L165)=0,"",IF(MIN(J165,L165)&gt;=TODAY(),MIN(J165,L165),MAX(J165,L165)))</f>
        <v/>
      </c>
      <c r="N165" s="31">
        <f>IF(ISNUMBER(M165),M165-TODAY(),"")</f>
        <v/>
      </c>
      <c r="O165" s="32">
        <f>IF(NOT(ISNUMBER(N165)),"",IF(OR(Q165="Taken",Q165="Declined"),"",IF(N165&lt;0,"Lapsed",IF(N165&lt;=7,7,IF(N165&lt;=30,30,IF(N165&lt;=60,60,IF(N165&lt;=90,90,"")))))))</f>
        <v/>
      </c>
      <c r="P165" s="27" t="n"/>
      <c r="Q165" s="27" t="n"/>
      <c r="R165" s="27" t="n"/>
      <c r="S165" s="27" t="n"/>
      <c r="T165" s="27" t="n"/>
    </row>
    <row r="166">
      <c r="A166" s="27" t="n"/>
      <c r="B166" s="27" t="n"/>
      <c r="C166" s="27" t="n"/>
      <c r="D166" s="27" t="n"/>
      <c r="E166" s="28" t="n"/>
      <c r="F166" s="28" t="n"/>
      <c r="G166" s="27" t="n"/>
      <c r="H166" s="29">
        <f>IF(G166="Invoice",IF(ISNUMBER(F166),F166,""),IF(ISNUMBER(E166),E166,""))</f>
        <v/>
      </c>
      <c r="I166" s="30" t="n"/>
      <c r="J166" s="29">
        <f>IF(AND(ISNUMBER(H166),ISNUMBER(I166)),EDATE(H166,I166),"")</f>
        <v/>
      </c>
      <c r="K166" s="30" t="n"/>
      <c r="L166" s="29">
        <f>IF(AND(ISNUMBER(H166),ISNUMBER(K166)),EDATE(H166,K166),"")</f>
        <v/>
      </c>
      <c r="M166" s="29">
        <f>IF(COUNT(J166,L166)=0,"",IF(MIN(J166,L166)&gt;=TODAY(),MIN(J166,L166),MAX(J166,L166)))</f>
        <v/>
      </c>
      <c r="N166" s="31">
        <f>IF(ISNUMBER(M166),M166-TODAY(),"")</f>
        <v/>
      </c>
      <c r="O166" s="32">
        <f>IF(NOT(ISNUMBER(N166)),"",IF(OR(Q166="Taken",Q166="Declined"),"",IF(N166&lt;0,"Lapsed",IF(N166&lt;=7,7,IF(N166&lt;=30,30,IF(N166&lt;=60,60,IF(N166&lt;=90,90,"")))))))</f>
        <v/>
      </c>
      <c r="P166" s="27" t="n"/>
      <c r="Q166" s="27" t="n"/>
      <c r="R166" s="27" t="n"/>
      <c r="S166" s="27" t="n"/>
      <c r="T166" s="27" t="n"/>
    </row>
    <row r="167">
      <c r="A167" s="27" t="n"/>
      <c r="B167" s="27" t="n"/>
      <c r="C167" s="27" t="n"/>
      <c r="D167" s="27" t="n"/>
      <c r="E167" s="28" t="n"/>
      <c r="F167" s="28" t="n"/>
      <c r="G167" s="27" t="n"/>
      <c r="H167" s="29">
        <f>IF(G167="Invoice",IF(ISNUMBER(F167),F167,""),IF(ISNUMBER(E167),E167,""))</f>
        <v/>
      </c>
      <c r="I167" s="30" t="n"/>
      <c r="J167" s="29">
        <f>IF(AND(ISNUMBER(H167),ISNUMBER(I167)),EDATE(H167,I167),"")</f>
        <v/>
      </c>
      <c r="K167" s="30" t="n"/>
      <c r="L167" s="29">
        <f>IF(AND(ISNUMBER(H167),ISNUMBER(K167)),EDATE(H167,K167),"")</f>
        <v/>
      </c>
      <c r="M167" s="29">
        <f>IF(COUNT(J167,L167)=0,"",IF(MIN(J167,L167)&gt;=TODAY(),MIN(J167,L167),MAX(J167,L167)))</f>
        <v/>
      </c>
      <c r="N167" s="31">
        <f>IF(ISNUMBER(M167),M167-TODAY(),"")</f>
        <v/>
      </c>
      <c r="O167" s="32">
        <f>IF(NOT(ISNUMBER(N167)),"",IF(OR(Q167="Taken",Q167="Declined"),"",IF(N167&lt;0,"Lapsed",IF(N167&lt;=7,7,IF(N167&lt;=30,30,IF(N167&lt;=60,60,IF(N167&lt;=90,90,"")))))))</f>
        <v/>
      </c>
      <c r="P167" s="27" t="n"/>
      <c r="Q167" s="27" t="n"/>
      <c r="R167" s="27" t="n"/>
      <c r="S167" s="27" t="n"/>
      <c r="T167" s="27" t="n"/>
    </row>
    <row r="168">
      <c r="A168" s="27" t="n"/>
      <c r="B168" s="27" t="n"/>
      <c r="C168" s="27" t="n"/>
      <c r="D168" s="27" t="n"/>
      <c r="E168" s="28" t="n"/>
      <c r="F168" s="28" t="n"/>
      <c r="G168" s="27" t="n"/>
      <c r="H168" s="29">
        <f>IF(G168="Invoice",IF(ISNUMBER(F168),F168,""),IF(ISNUMBER(E168),E168,""))</f>
        <v/>
      </c>
      <c r="I168" s="30" t="n"/>
      <c r="J168" s="29">
        <f>IF(AND(ISNUMBER(H168),ISNUMBER(I168)),EDATE(H168,I168),"")</f>
        <v/>
      </c>
      <c r="K168" s="30" t="n"/>
      <c r="L168" s="29">
        <f>IF(AND(ISNUMBER(H168),ISNUMBER(K168)),EDATE(H168,K168),"")</f>
        <v/>
      </c>
      <c r="M168" s="29">
        <f>IF(COUNT(J168,L168)=0,"",IF(MIN(J168,L168)&gt;=TODAY(),MIN(J168,L168),MAX(J168,L168)))</f>
        <v/>
      </c>
      <c r="N168" s="31">
        <f>IF(ISNUMBER(M168),M168-TODAY(),"")</f>
        <v/>
      </c>
      <c r="O168" s="32">
        <f>IF(NOT(ISNUMBER(N168)),"",IF(OR(Q168="Taken",Q168="Declined"),"",IF(N168&lt;0,"Lapsed",IF(N168&lt;=7,7,IF(N168&lt;=30,30,IF(N168&lt;=60,60,IF(N168&lt;=90,90,"")))))))</f>
        <v/>
      </c>
      <c r="P168" s="27" t="n"/>
      <c r="Q168" s="27" t="n"/>
      <c r="R168" s="27" t="n"/>
      <c r="S168" s="27" t="n"/>
      <c r="T168" s="27" t="n"/>
    </row>
    <row r="169">
      <c r="A169" s="27" t="n"/>
      <c r="B169" s="27" t="n"/>
      <c r="C169" s="27" t="n"/>
      <c r="D169" s="27" t="n"/>
      <c r="E169" s="28" t="n"/>
      <c r="F169" s="28" t="n"/>
      <c r="G169" s="27" t="n"/>
      <c r="H169" s="29">
        <f>IF(G169="Invoice",IF(ISNUMBER(F169),F169,""),IF(ISNUMBER(E169),E169,""))</f>
        <v/>
      </c>
      <c r="I169" s="30" t="n"/>
      <c r="J169" s="29">
        <f>IF(AND(ISNUMBER(H169),ISNUMBER(I169)),EDATE(H169,I169),"")</f>
        <v/>
      </c>
      <c r="K169" s="30" t="n"/>
      <c r="L169" s="29">
        <f>IF(AND(ISNUMBER(H169),ISNUMBER(K169)),EDATE(H169,K169),"")</f>
        <v/>
      </c>
      <c r="M169" s="29">
        <f>IF(COUNT(J169,L169)=0,"",IF(MIN(J169,L169)&gt;=TODAY(),MIN(J169,L169),MAX(J169,L169)))</f>
        <v/>
      </c>
      <c r="N169" s="31">
        <f>IF(ISNUMBER(M169),M169-TODAY(),"")</f>
        <v/>
      </c>
      <c r="O169" s="32">
        <f>IF(NOT(ISNUMBER(N169)),"",IF(OR(Q169="Taken",Q169="Declined"),"",IF(N169&lt;0,"Lapsed",IF(N169&lt;=7,7,IF(N169&lt;=30,30,IF(N169&lt;=60,60,IF(N169&lt;=90,90,"")))))))</f>
        <v/>
      </c>
      <c r="P169" s="27" t="n"/>
      <c r="Q169" s="27" t="n"/>
      <c r="R169" s="27" t="n"/>
      <c r="S169" s="27" t="n"/>
      <c r="T169" s="27" t="n"/>
    </row>
    <row r="170">
      <c r="A170" s="27" t="n"/>
      <c r="B170" s="27" t="n"/>
      <c r="C170" s="27" t="n"/>
      <c r="D170" s="27" t="n"/>
      <c r="E170" s="28" t="n"/>
      <c r="F170" s="28" t="n"/>
      <c r="G170" s="27" t="n"/>
      <c r="H170" s="29">
        <f>IF(G170="Invoice",IF(ISNUMBER(F170),F170,""),IF(ISNUMBER(E170),E170,""))</f>
        <v/>
      </c>
      <c r="I170" s="30" t="n"/>
      <c r="J170" s="29">
        <f>IF(AND(ISNUMBER(H170),ISNUMBER(I170)),EDATE(H170,I170),"")</f>
        <v/>
      </c>
      <c r="K170" s="30" t="n"/>
      <c r="L170" s="29">
        <f>IF(AND(ISNUMBER(H170),ISNUMBER(K170)),EDATE(H170,K170),"")</f>
        <v/>
      </c>
      <c r="M170" s="29">
        <f>IF(COUNT(J170,L170)=0,"",IF(MIN(J170,L170)&gt;=TODAY(),MIN(J170,L170),MAX(J170,L170)))</f>
        <v/>
      </c>
      <c r="N170" s="31">
        <f>IF(ISNUMBER(M170),M170-TODAY(),"")</f>
        <v/>
      </c>
      <c r="O170" s="32">
        <f>IF(NOT(ISNUMBER(N170)),"",IF(OR(Q170="Taken",Q170="Declined"),"",IF(N170&lt;0,"Lapsed",IF(N170&lt;=7,7,IF(N170&lt;=30,30,IF(N170&lt;=60,60,IF(N170&lt;=90,90,"")))))))</f>
        <v/>
      </c>
      <c r="P170" s="27" t="n"/>
      <c r="Q170" s="27" t="n"/>
      <c r="R170" s="27" t="n"/>
      <c r="S170" s="27" t="n"/>
      <c r="T170" s="27" t="n"/>
    </row>
    <row r="171">
      <c r="A171" s="27" t="n"/>
      <c r="B171" s="27" t="n"/>
      <c r="C171" s="27" t="n"/>
      <c r="D171" s="27" t="n"/>
      <c r="E171" s="28" t="n"/>
      <c r="F171" s="28" t="n"/>
      <c r="G171" s="27" t="n"/>
      <c r="H171" s="29">
        <f>IF(G171="Invoice",IF(ISNUMBER(F171),F171,""),IF(ISNUMBER(E171),E171,""))</f>
        <v/>
      </c>
      <c r="I171" s="30" t="n"/>
      <c r="J171" s="29">
        <f>IF(AND(ISNUMBER(H171),ISNUMBER(I171)),EDATE(H171,I171),"")</f>
        <v/>
      </c>
      <c r="K171" s="30" t="n"/>
      <c r="L171" s="29">
        <f>IF(AND(ISNUMBER(H171),ISNUMBER(K171)),EDATE(H171,K171),"")</f>
        <v/>
      </c>
      <c r="M171" s="29">
        <f>IF(COUNT(J171,L171)=0,"",IF(MIN(J171,L171)&gt;=TODAY(),MIN(J171,L171),MAX(J171,L171)))</f>
        <v/>
      </c>
      <c r="N171" s="31">
        <f>IF(ISNUMBER(M171),M171-TODAY(),"")</f>
        <v/>
      </c>
      <c r="O171" s="32">
        <f>IF(NOT(ISNUMBER(N171)),"",IF(OR(Q171="Taken",Q171="Declined"),"",IF(N171&lt;0,"Lapsed",IF(N171&lt;=7,7,IF(N171&lt;=30,30,IF(N171&lt;=60,60,IF(N171&lt;=90,90,"")))))))</f>
        <v/>
      </c>
      <c r="P171" s="27" t="n"/>
      <c r="Q171" s="27" t="n"/>
      <c r="R171" s="27" t="n"/>
      <c r="S171" s="27" t="n"/>
      <c r="T171" s="27" t="n"/>
    </row>
    <row r="172">
      <c r="A172" s="27" t="n"/>
      <c r="B172" s="27" t="n"/>
      <c r="C172" s="27" t="n"/>
      <c r="D172" s="27" t="n"/>
      <c r="E172" s="28" t="n"/>
      <c r="F172" s="28" t="n"/>
      <c r="G172" s="27" t="n"/>
      <c r="H172" s="29">
        <f>IF(G172="Invoice",IF(ISNUMBER(F172),F172,""),IF(ISNUMBER(E172),E172,""))</f>
        <v/>
      </c>
      <c r="I172" s="30" t="n"/>
      <c r="J172" s="29">
        <f>IF(AND(ISNUMBER(H172),ISNUMBER(I172)),EDATE(H172,I172),"")</f>
        <v/>
      </c>
      <c r="K172" s="30" t="n"/>
      <c r="L172" s="29">
        <f>IF(AND(ISNUMBER(H172),ISNUMBER(K172)),EDATE(H172,K172),"")</f>
        <v/>
      </c>
      <c r="M172" s="29">
        <f>IF(COUNT(J172,L172)=0,"",IF(MIN(J172,L172)&gt;=TODAY(),MIN(J172,L172),MAX(J172,L172)))</f>
        <v/>
      </c>
      <c r="N172" s="31">
        <f>IF(ISNUMBER(M172),M172-TODAY(),"")</f>
        <v/>
      </c>
      <c r="O172" s="32">
        <f>IF(NOT(ISNUMBER(N172)),"",IF(OR(Q172="Taken",Q172="Declined"),"",IF(N172&lt;0,"Lapsed",IF(N172&lt;=7,7,IF(N172&lt;=30,30,IF(N172&lt;=60,60,IF(N172&lt;=90,90,"")))))))</f>
        <v/>
      </c>
      <c r="P172" s="27" t="n"/>
      <c r="Q172" s="27" t="n"/>
      <c r="R172" s="27" t="n"/>
      <c r="S172" s="27" t="n"/>
      <c r="T172" s="27" t="n"/>
    </row>
    <row r="173">
      <c r="A173" s="27" t="n"/>
      <c r="B173" s="27" t="n"/>
      <c r="C173" s="27" t="n"/>
      <c r="D173" s="27" t="n"/>
      <c r="E173" s="28" t="n"/>
      <c r="F173" s="28" t="n"/>
      <c r="G173" s="27" t="n"/>
      <c r="H173" s="29">
        <f>IF(G173="Invoice",IF(ISNUMBER(F173),F173,""),IF(ISNUMBER(E173),E173,""))</f>
        <v/>
      </c>
      <c r="I173" s="30" t="n"/>
      <c r="J173" s="29">
        <f>IF(AND(ISNUMBER(H173),ISNUMBER(I173)),EDATE(H173,I173),"")</f>
        <v/>
      </c>
      <c r="K173" s="30" t="n"/>
      <c r="L173" s="29">
        <f>IF(AND(ISNUMBER(H173),ISNUMBER(K173)),EDATE(H173,K173),"")</f>
        <v/>
      </c>
      <c r="M173" s="29">
        <f>IF(COUNT(J173,L173)=0,"",IF(MIN(J173,L173)&gt;=TODAY(),MIN(J173,L173),MAX(J173,L173)))</f>
        <v/>
      </c>
      <c r="N173" s="31">
        <f>IF(ISNUMBER(M173),M173-TODAY(),"")</f>
        <v/>
      </c>
      <c r="O173" s="32">
        <f>IF(NOT(ISNUMBER(N173)),"",IF(OR(Q173="Taken",Q173="Declined"),"",IF(N173&lt;0,"Lapsed",IF(N173&lt;=7,7,IF(N173&lt;=30,30,IF(N173&lt;=60,60,IF(N173&lt;=90,90,"")))))))</f>
        <v/>
      </c>
      <c r="P173" s="27" t="n"/>
      <c r="Q173" s="27" t="n"/>
      <c r="R173" s="27" t="n"/>
      <c r="S173" s="27" t="n"/>
      <c r="T173" s="27" t="n"/>
    </row>
    <row r="174">
      <c r="A174" s="27" t="n"/>
      <c r="B174" s="27" t="n"/>
      <c r="C174" s="27" t="n"/>
      <c r="D174" s="27" t="n"/>
      <c r="E174" s="28" t="n"/>
      <c r="F174" s="28" t="n"/>
      <c r="G174" s="27" t="n"/>
      <c r="H174" s="29">
        <f>IF(G174="Invoice",IF(ISNUMBER(F174),F174,""),IF(ISNUMBER(E174),E174,""))</f>
        <v/>
      </c>
      <c r="I174" s="30" t="n"/>
      <c r="J174" s="29">
        <f>IF(AND(ISNUMBER(H174),ISNUMBER(I174)),EDATE(H174,I174),"")</f>
        <v/>
      </c>
      <c r="K174" s="30" t="n"/>
      <c r="L174" s="29">
        <f>IF(AND(ISNUMBER(H174),ISNUMBER(K174)),EDATE(H174,K174),"")</f>
        <v/>
      </c>
      <c r="M174" s="29">
        <f>IF(COUNT(J174,L174)=0,"",IF(MIN(J174,L174)&gt;=TODAY(),MIN(J174,L174),MAX(J174,L174)))</f>
        <v/>
      </c>
      <c r="N174" s="31">
        <f>IF(ISNUMBER(M174),M174-TODAY(),"")</f>
        <v/>
      </c>
      <c r="O174" s="32">
        <f>IF(NOT(ISNUMBER(N174)),"",IF(OR(Q174="Taken",Q174="Declined"),"",IF(N174&lt;0,"Lapsed",IF(N174&lt;=7,7,IF(N174&lt;=30,30,IF(N174&lt;=60,60,IF(N174&lt;=90,90,"")))))))</f>
        <v/>
      </c>
      <c r="P174" s="27" t="n"/>
      <c r="Q174" s="27" t="n"/>
      <c r="R174" s="27" t="n"/>
      <c r="S174" s="27" t="n"/>
      <c r="T174" s="27" t="n"/>
    </row>
    <row r="175">
      <c r="A175" s="27" t="n"/>
      <c r="B175" s="27" t="n"/>
      <c r="C175" s="27" t="n"/>
      <c r="D175" s="27" t="n"/>
      <c r="E175" s="28" t="n"/>
      <c r="F175" s="28" t="n"/>
      <c r="G175" s="27" t="n"/>
      <c r="H175" s="29">
        <f>IF(G175="Invoice",IF(ISNUMBER(F175),F175,""),IF(ISNUMBER(E175),E175,""))</f>
        <v/>
      </c>
      <c r="I175" s="30" t="n"/>
      <c r="J175" s="29">
        <f>IF(AND(ISNUMBER(H175),ISNUMBER(I175)),EDATE(H175,I175),"")</f>
        <v/>
      </c>
      <c r="K175" s="30" t="n"/>
      <c r="L175" s="29">
        <f>IF(AND(ISNUMBER(H175),ISNUMBER(K175)),EDATE(H175,K175),"")</f>
        <v/>
      </c>
      <c r="M175" s="29">
        <f>IF(COUNT(J175,L175)=0,"",IF(MIN(J175,L175)&gt;=TODAY(),MIN(J175,L175),MAX(J175,L175)))</f>
        <v/>
      </c>
      <c r="N175" s="31">
        <f>IF(ISNUMBER(M175),M175-TODAY(),"")</f>
        <v/>
      </c>
      <c r="O175" s="32">
        <f>IF(NOT(ISNUMBER(N175)),"",IF(OR(Q175="Taken",Q175="Declined"),"",IF(N175&lt;0,"Lapsed",IF(N175&lt;=7,7,IF(N175&lt;=30,30,IF(N175&lt;=60,60,IF(N175&lt;=90,90,"")))))))</f>
        <v/>
      </c>
      <c r="P175" s="27" t="n"/>
      <c r="Q175" s="27" t="n"/>
      <c r="R175" s="27" t="n"/>
      <c r="S175" s="27" t="n"/>
      <c r="T175" s="27" t="n"/>
    </row>
    <row r="176">
      <c r="A176" s="27" t="n"/>
      <c r="B176" s="27" t="n"/>
      <c r="C176" s="27" t="n"/>
      <c r="D176" s="27" t="n"/>
      <c r="E176" s="28" t="n"/>
      <c r="F176" s="28" t="n"/>
      <c r="G176" s="27" t="n"/>
      <c r="H176" s="29">
        <f>IF(G176="Invoice",IF(ISNUMBER(F176),F176,""),IF(ISNUMBER(E176),E176,""))</f>
        <v/>
      </c>
      <c r="I176" s="30" t="n"/>
      <c r="J176" s="29">
        <f>IF(AND(ISNUMBER(H176),ISNUMBER(I176)),EDATE(H176,I176),"")</f>
        <v/>
      </c>
      <c r="K176" s="30" t="n"/>
      <c r="L176" s="29">
        <f>IF(AND(ISNUMBER(H176),ISNUMBER(K176)),EDATE(H176,K176),"")</f>
        <v/>
      </c>
      <c r="M176" s="29">
        <f>IF(COUNT(J176,L176)=0,"",IF(MIN(J176,L176)&gt;=TODAY(),MIN(J176,L176),MAX(J176,L176)))</f>
        <v/>
      </c>
      <c r="N176" s="31">
        <f>IF(ISNUMBER(M176),M176-TODAY(),"")</f>
        <v/>
      </c>
      <c r="O176" s="32">
        <f>IF(NOT(ISNUMBER(N176)),"",IF(OR(Q176="Taken",Q176="Declined"),"",IF(N176&lt;0,"Lapsed",IF(N176&lt;=7,7,IF(N176&lt;=30,30,IF(N176&lt;=60,60,IF(N176&lt;=90,90,"")))))))</f>
        <v/>
      </c>
      <c r="P176" s="27" t="n"/>
      <c r="Q176" s="27" t="n"/>
      <c r="R176" s="27" t="n"/>
      <c r="S176" s="27" t="n"/>
      <c r="T176" s="27" t="n"/>
    </row>
    <row r="177">
      <c r="A177" s="27" t="n"/>
      <c r="B177" s="27" t="n"/>
      <c r="C177" s="27" t="n"/>
      <c r="D177" s="27" t="n"/>
      <c r="E177" s="28" t="n"/>
      <c r="F177" s="28" t="n"/>
      <c r="G177" s="27" t="n"/>
      <c r="H177" s="29">
        <f>IF(G177="Invoice",IF(ISNUMBER(F177),F177,""),IF(ISNUMBER(E177),E177,""))</f>
        <v/>
      </c>
      <c r="I177" s="30" t="n"/>
      <c r="J177" s="29">
        <f>IF(AND(ISNUMBER(H177),ISNUMBER(I177)),EDATE(H177,I177),"")</f>
        <v/>
      </c>
      <c r="K177" s="30" t="n"/>
      <c r="L177" s="29">
        <f>IF(AND(ISNUMBER(H177),ISNUMBER(K177)),EDATE(H177,K177),"")</f>
        <v/>
      </c>
      <c r="M177" s="29">
        <f>IF(COUNT(J177,L177)=0,"",IF(MIN(J177,L177)&gt;=TODAY(),MIN(J177,L177),MAX(J177,L177)))</f>
        <v/>
      </c>
      <c r="N177" s="31">
        <f>IF(ISNUMBER(M177),M177-TODAY(),"")</f>
        <v/>
      </c>
      <c r="O177" s="32">
        <f>IF(NOT(ISNUMBER(N177)),"",IF(OR(Q177="Taken",Q177="Declined"),"",IF(N177&lt;0,"Lapsed",IF(N177&lt;=7,7,IF(N177&lt;=30,30,IF(N177&lt;=60,60,IF(N177&lt;=90,90,"")))))))</f>
        <v/>
      </c>
      <c r="P177" s="27" t="n"/>
      <c r="Q177" s="27" t="n"/>
      <c r="R177" s="27" t="n"/>
      <c r="S177" s="27" t="n"/>
      <c r="T177" s="27" t="n"/>
    </row>
    <row r="178">
      <c r="A178" s="27" t="n"/>
      <c r="B178" s="27" t="n"/>
      <c r="C178" s="27" t="n"/>
      <c r="D178" s="27" t="n"/>
      <c r="E178" s="28" t="n"/>
      <c r="F178" s="28" t="n"/>
      <c r="G178" s="27" t="n"/>
      <c r="H178" s="29">
        <f>IF(G178="Invoice",IF(ISNUMBER(F178),F178,""),IF(ISNUMBER(E178),E178,""))</f>
        <v/>
      </c>
      <c r="I178" s="30" t="n"/>
      <c r="J178" s="29">
        <f>IF(AND(ISNUMBER(H178),ISNUMBER(I178)),EDATE(H178,I178),"")</f>
        <v/>
      </c>
      <c r="K178" s="30" t="n"/>
      <c r="L178" s="29">
        <f>IF(AND(ISNUMBER(H178),ISNUMBER(K178)),EDATE(H178,K178),"")</f>
        <v/>
      </c>
      <c r="M178" s="29">
        <f>IF(COUNT(J178,L178)=0,"",IF(MIN(J178,L178)&gt;=TODAY(),MIN(J178,L178),MAX(J178,L178)))</f>
        <v/>
      </c>
      <c r="N178" s="31">
        <f>IF(ISNUMBER(M178),M178-TODAY(),"")</f>
        <v/>
      </c>
      <c r="O178" s="32">
        <f>IF(NOT(ISNUMBER(N178)),"",IF(OR(Q178="Taken",Q178="Declined"),"",IF(N178&lt;0,"Lapsed",IF(N178&lt;=7,7,IF(N178&lt;=30,30,IF(N178&lt;=60,60,IF(N178&lt;=90,90,"")))))))</f>
        <v/>
      </c>
      <c r="P178" s="27" t="n"/>
      <c r="Q178" s="27" t="n"/>
      <c r="R178" s="27" t="n"/>
      <c r="S178" s="27" t="n"/>
      <c r="T178" s="27" t="n"/>
    </row>
    <row r="179">
      <c r="A179" s="27" t="n"/>
      <c r="B179" s="27" t="n"/>
      <c r="C179" s="27" t="n"/>
      <c r="D179" s="27" t="n"/>
      <c r="E179" s="28" t="n"/>
      <c r="F179" s="28" t="n"/>
      <c r="G179" s="27" t="n"/>
      <c r="H179" s="29">
        <f>IF(G179="Invoice",IF(ISNUMBER(F179),F179,""),IF(ISNUMBER(E179),E179,""))</f>
        <v/>
      </c>
      <c r="I179" s="30" t="n"/>
      <c r="J179" s="29">
        <f>IF(AND(ISNUMBER(H179),ISNUMBER(I179)),EDATE(H179,I179),"")</f>
        <v/>
      </c>
      <c r="K179" s="30" t="n"/>
      <c r="L179" s="29">
        <f>IF(AND(ISNUMBER(H179),ISNUMBER(K179)),EDATE(H179,K179),"")</f>
        <v/>
      </c>
      <c r="M179" s="29">
        <f>IF(COUNT(J179,L179)=0,"",IF(MIN(J179,L179)&gt;=TODAY(),MIN(J179,L179),MAX(J179,L179)))</f>
        <v/>
      </c>
      <c r="N179" s="31">
        <f>IF(ISNUMBER(M179),M179-TODAY(),"")</f>
        <v/>
      </c>
      <c r="O179" s="32">
        <f>IF(NOT(ISNUMBER(N179)),"",IF(OR(Q179="Taken",Q179="Declined"),"",IF(N179&lt;0,"Lapsed",IF(N179&lt;=7,7,IF(N179&lt;=30,30,IF(N179&lt;=60,60,IF(N179&lt;=90,90,"")))))))</f>
        <v/>
      </c>
      <c r="P179" s="27" t="n"/>
      <c r="Q179" s="27" t="n"/>
      <c r="R179" s="27" t="n"/>
      <c r="S179" s="27" t="n"/>
      <c r="T179" s="27" t="n"/>
    </row>
    <row r="180">
      <c r="A180" s="27" t="n"/>
      <c r="B180" s="27" t="n"/>
      <c r="C180" s="27" t="n"/>
      <c r="D180" s="27" t="n"/>
      <c r="E180" s="28" t="n"/>
      <c r="F180" s="28" t="n"/>
      <c r="G180" s="27" t="n"/>
      <c r="H180" s="29">
        <f>IF(G180="Invoice",IF(ISNUMBER(F180),F180,""),IF(ISNUMBER(E180),E180,""))</f>
        <v/>
      </c>
      <c r="I180" s="30" t="n"/>
      <c r="J180" s="29">
        <f>IF(AND(ISNUMBER(H180),ISNUMBER(I180)),EDATE(H180,I180),"")</f>
        <v/>
      </c>
      <c r="K180" s="30" t="n"/>
      <c r="L180" s="29">
        <f>IF(AND(ISNUMBER(H180),ISNUMBER(K180)),EDATE(H180,K180),"")</f>
        <v/>
      </c>
      <c r="M180" s="29">
        <f>IF(COUNT(J180,L180)=0,"",IF(MIN(J180,L180)&gt;=TODAY(),MIN(J180,L180),MAX(J180,L180)))</f>
        <v/>
      </c>
      <c r="N180" s="31">
        <f>IF(ISNUMBER(M180),M180-TODAY(),"")</f>
        <v/>
      </c>
      <c r="O180" s="32">
        <f>IF(NOT(ISNUMBER(N180)),"",IF(OR(Q180="Taken",Q180="Declined"),"",IF(N180&lt;0,"Lapsed",IF(N180&lt;=7,7,IF(N180&lt;=30,30,IF(N180&lt;=60,60,IF(N180&lt;=90,90,"")))))))</f>
        <v/>
      </c>
      <c r="P180" s="27" t="n"/>
      <c r="Q180" s="27" t="n"/>
      <c r="R180" s="27" t="n"/>
      <c r="S180" s="27" t="n"/>
      <c r="T180" s="27" t="n"/>
    </row>
    <row r="181">
      <c r="A181" s="27" t="n"/>
      <c r="B181" s="27" t="n"/>
      <c r="C181" s="27" t="n"/>
      <c r="D181" s="27" t="n"/>
      <c r="E181" s="28" t="n"/>
      <c r="F181" s="28" t="n"/>
      <c r="G181" s="27" t="n"/>
      <c r="H181" s="29">
        <f>IF(G181="Invoice",IF(ISNUMBER(F181),F181,""),IF(ISNUMBER(E181),E181,""))</f>
        <v/>
      </c>
      <c r="I181" s="30" t="n"/>
      <c r="J181" s="29">
        <f>IF(AND(ISNUMBER(H181),ISNUMBER(I181)),EDATE(H181,I181),"")</f>
        <v/>
      </c>
      <c r="K181" s="30" t="n"/>
      <c r="L181" s="29">
        <f>IF(AND(ISNUMBER(H181),ISNUMBER(K181)),EDATE(H181,K181),"")</f>
        <v/>
      </c>
      <c r="M181" s="29">
        <f>IF(COUNT(J181,L181)=0,"",IF(MIN(J181,L181)&gt;=TODAY(),MIN(J181,L181),MAX(J181,L181)))</f>
        <v/>
      </c>
      <c r="N181" s="31">
        <f>IF(ISNUMBER(M181),M181-TODAY(),"")</f>
        <v/>
      </c>
      <c r="O181" s="32">
        <f>IF(NOT(ISNUMBER(N181)),"",IF(OR(Q181="Taken",Q181="Declined"),"",IF(N181&lt;0,"Lapsed",IF(N181&lt;=7,7,IF(N181&lt;=30,30,IF(N181&lt;=60,60,IF(N181&lt;=90,90,"")))))))</f>
        <v/>
      </c>
      <c r="P181" s="27" t="n"/>
      <c r="Q181" s="27" t="n"/>
      <c r="R181" s="27" t="n"/>
      <c r="S181" s="27" t="n"/>
      <c r="T181" s="27" t="n"/>
    </row>
    <row r="182">
      <c r="A182" s="27" t="n"/>
      <c r="B182" s="27" t="n"/>
      <c r="C182" s="27" t="n"/>
      <c r="D182" s="27" t="n"/>
      <c r="E182" s="28" t="n"/>
      <c r="F182" s="28" t="n"/>
      <c r="G182" s="27" t="n"/>
      <c r="H182" s="29">
        <f>IF(G182="Invoice",IF(ISNUMBER(F182),F182,""),IF(ISNUMBER(E182),E182,""))</f>
        <v/>
      </c>
      <c r="I182" s="30" t="n"/>
      <c r="J182" s="29">
        <f>IF(AND(ISNUMBER(H182),ISNUMBER(I182)),EDATE(H182,I182),"")</f>
        <v/>
      </c>
      <c r="K182" s="30" t="n"/>
      <c r="L182" s="29">
        <f>IF(AND(ISNUMBER(H182),ISNUMBER(K182)),EDATE(H182,K182),"")</f>
        <v/>
      </c>
      <c r="M182" s="29">
        <f>IF(COUNT(J182,L182)=0,"",IF(MIN(J182,L182)&gt;=TODAY(),MIN(J182,L182),MAX(J182,L182)))</f>
        <v/>
      </c>
      <c r="N182" s="31">
        <f>IF(ISNUMBER(M182),M182-TODAY(),"")</f>
        <v/>
      </c>
      <c r="O182" s="32">
        <f>IF(NOT(ISNUMBER(N182)),"",IF(OR(Q182="Taken",Q182="Declined"),"",IF(N182&lt;0,"Lapsed",IF(N182&lt;=7,7,IF(N182&lt;=30,30,IF(N182&lt;=60,60,IF(N182&lt;=90,90,"")))))))</f>
        <v/>
      </c>
      <c r="P182" s="27" t="n"/>
      <c r="Q182" s="27" t="n"/>
      <c r="R182" s="27" t="n"/>
      <c r="S182" s="27" t="n"/>
      <c r="T182" s="27" t="n"/>
    </row>
    <row r="183">
      <c r="A183" s="27" t="n"/>
      <c r="B183" s="27" t="n"/>
      <c r="C183" s="27" t="n"/>
      <c r="D183" s="27" t="n"/>
      <c r="E183" s="28" t="n"/>
      <c r="F183" s="28" t="n"/>
      <c r="G183" s="27" t="n"/>
      <c r="H183" s="29">
        <f>IF(G183="Invoice",IF(ISNUMBER(F183),F183,""),IF(ISNUMBER(E183),E183,""))</f>
        <v/>
      </c>
      <c r="I183" s="30" t="n"/>
      <c r="J183" s="29">
        <f>IF(AND(ISNUMBER(H183),ISNUMBER(I183)),EDATE(H183,I183),"")</f>
        <v/>
      </c>
      <c r="K183" s="30" t="n"/>
      <c r="L183" s="29">
        <f>IF(AND(ISNUMBER(H183),ISNUMBER(K183)),EDATE(H183,K183),"")</f>
        <v/>
      </c>
      <c r="M183" s="29">
        <f>IF(COUNT(J183,L183)=0,"",IF(MIN(J183,L183)&gt;=TODAY(),MIN(J183,L183),MAX(J183,L183)))</f>
        <v/>
      </c>
      <c r="N183" s="31">
        <f>IF(ISNUMBER(M183),M183-TODAY(),"")</f>
        <v/>
      </c>
      <c r="O183" s="32">
        <f>IF(NOT(ISNUMBER(N183)),"",IF(OR(Q183="Taken",Q183="Declined"),"",IF(N183&lt;0,"Lapsed",IF(N183&lt;=7,7,IF(N183&lt;=30,30,IF(N183&lt;=60,60,IF(N183&lt;=90,90,"")))))))</f>
        <v/>
      </c>
      <c r="P183" s="27" t="n"/>
      <c r="Q183" s="27" t="n"/>
      <c r="R183" s="27" t="n"/>
      <c r="S183" s="27" t="n"/>
      <c r="T183" s="27" t="n"/>
    </row>
    <row r="184">
      <c r="A184" s="27" t="n"/>
      <c r="B184" s="27" t="n"/>
      <c r="C184" s="27" t="n"/>
      <c r="D184" s="27" t="n"/>
      <c r="E184" s="28" t="n"/>
      <c r="F184" s="28" t="n"/>
      <c r="G184" s="27" t="n"/>
      <c r="H184" s="29">
        <f>IF(G184="Invoice",IF(ISNUMBER(F184),F184,""),IF(ISNUMBER(E184),E184,""))</f>
        <v/>
      </c>
      <c r="I184" s="30" t="n"/>
      <c r="J184" s="29">
        <f>IF(AND(ISNUMBER(H184),ISNUMBER(I184)),EDATE(H184,I184),"")</f>
        <v/>
      </c>
      <c r="K184" s="30" t="n"/>
      <c r="L184" s="29">
        <f>IF(AND(ISNUMBER(H184),ISNUMBER(K184)),EDATE(H184,K184),"")</f>
        <v/>
      </c>
      <c r="M184" s="29">
        <f>IF(COUNT(J184,L184)=0,"",IF(MIN(J184,L184)&gt;=TODAY(),MIN(J184,L184),MAX(J184,L184)))</f>
        <v/>
      </c>
      <c r="N184" s="31">
        <f>IF(ISNUMBER(M184),M184-TODAY(),"")</f>
        <v/>
      </c>
      <c r="O184" s="32">
        <f>IF(NOT(ISNUMBER(N184)),"",IF(OR(Q184="Taken",Q184="Declined"),"",IF(N184&lt;0,"Lapsed",IF(N184&lt;=7,7,IF(N184&lt;=30,30,IF(N184&lt;=60,60,IF(N184&lt;=90,90,"")))))))</f>
        <v/>
      </c>
      <c r="P184" s="27" t="n"/>
      <c r="Q184" s="27" t="n"/>
      <c r="R184" s="27" t="n"/>
      <c r="S184" s="27" t="n"/>
      <c r="T184" s="27" t="n"/>
    </row>
    <row r="185">
      <c r="A185" s="27" t="n"/>
      <c r="B185" s="27" t="n"/>
      <c r="C185" s="27" t="n"/>
      <c r="D185" s="27" t="n"/>
      <c r="E185" s="28" t="n"/>
      <c r="F185" s="28" t="n"/>
      <c r="G185" s="27" t="n"/>
      <c r="H185" s="29">
        <f>IF(G185="Invoice",IF(ISNUMBER(F185),F185,""),IF(ISNUMBER(E185),E185,""))</f>
        <v/>
      </c>
      <c r="I185" s="30" t="n"/>
      <c r="J185" s="29">
        <f>IF(AND(ISNUMBER(H185),ISNUMBER(I185)),EDATE(H185,I185),"")</f>
        <v/>
      </c>
      <c r="K185" s="30" t="n"/>
      <c r="L185" s="29">
        <f>IF(AND(ISNUMBER(H185),ISNUMBER(K185)),EDATE(H185,K185),"")</f>
        <v/>
      </c>
      <c r="M185" s="29">
        <f>IF(COUNT(J185,L185)=0,"",IF(MIN(J185,L185)&gt;=TODAY(),MIN(J185,L185),MAX(J185,L185)))</f>
        <v/>
      </c>
      <c r="N185" s="31">
        <f>IF(ISNUMBER(M185),M185-TODAY(),"")</f>
        <v/>
      </c>
      <c r="O185" s="32">
        <f>IF(NOT(ISNUMBER(N185)),"",IF(OR(Q185="Taken",Q185="Declined"),"",IF(N185&lt;0,"Lapsed",IF(N185&lt;=7,7,IF(N185&lt;=30,30,IF(N185&lt;=60,60,IF(N185&lt;=90,90,"")))))))</f>
        <v/>
      </c>
      <c r="P185" s="27" t="n"/>
      <c r="Q185" s="27" t="n"/>
      <c r="R185" s="27" t="n"/>
      <c r="S185" s="27" t="n"/>
      <c r="T185" s="27" t="n"/>
    </row>
    <row r="186">
      <c r="A186" s="27" t="n"/>
      <c r="B186" s="27" t="n"/>
      <c r="C186" s="27" t="n"/>
      <c r="D186" s="27" t="n"/>
      <c r="E186" s="28" t="n"/>
      <c r="F186" s="28" t="n"/>
      <c r="G186" s="27" t="n"/>
      <c r="H186" s="29">
        <f>IF(G186="Invoice",IF(ISNUMBER(F186),F186,""),IF(ISNUMBER(E186),E186,""))</f>
        <v/>
      </c>
      <c r="I186" s="30" t="n"/>
      <c r="J186" s="29">
        <f>IF(AND(ISNUMBER(H186),ISNUMBER(I186)),EDATE(H186,I186),"")</f>
        <v/>
      </c>
      <c r="K186" s="30" t="n"/>
      <c r="L186" s="29">
        <f>IF(AND(ISNUMBER(H186),ISNUMBER(K186)),EDATE(H186,K186),"")</f>
        <v/>
      </c>
      <c r="M186" s="29">
        <f>IF(COUNT(J186,L186)=0,"",IF(MIN(J186,L186)&gt;=TODAY(),MIN(J186,L186),MAX(J186,L186)))</f>
        <v/>
      </c>
      <c r="N186" s="31">
        <f>IF(ISNUMBER(M186),M186-TODAY(),"")</f>
        <v/>
      </c>
      <c r="O186" s="32">
        <f>IF(NOT(ISNUMBER(N186)),"",IF(OR(Q186="Taken",Q186="Declined"),"",IF(N186&lt;0,"Lapsed",IF(N186&lt;=7,7,IF(N186&lt;=30,30,IF(N186&lt;=60,60,IF(N186&lt;=90,90,"")))))))</f>
        <v/>
      </c>
      <c r="P186" s="27" t="n"/>
      <c r="Q186" s="27" t="n"/>
      <c r="R186" s="27" t="n"/>
      <c r="S186" s="27" t="n"/>
      <c r="T186" s="27" t="n"/>
    </row>
    <row r="187">
      <c r="A187" s="27" t="n"/>
      <c r="B187" s="27" t="n"/>
      <c r="C187" s="27" t="n"/>
      <c r="D187" s="27" t="n"/>
      <c r="E187" s="28" t="n"/>
      <c r="F187" s="28" t="n"/>
      <c r="G187" s="27" t="n"/>
      <c r="H187" s="29">
        <f>IF(G187="Invoice",IF(ISNUMBER(F187),F187,""),IF(ISNUMBER(E187),E187,""))</f>
        <v/>
      </c>
      <c r="I187" s="30" t="n"/>
      <c r="J187" s="29">
        <f>IF(AND(ISNUMBER(H187),ISNUMBER(I187)),EDATE(H187,I187),"")</f>
        <v/>
      </c>
      <c r="K187" s="30" t="n"/>
      <c r="L187" s="29">
        <f>IF(AND(ISNUMBER(H187),ISNUMBER(K187)),EDATE(H187,K187),"")</f>
        <v/>
      </c>
      <c r="M187" s="29">
        <f>IF(COUNT(J187,L187)=0,"",IF(MIN(J187,L187)&gt;=TODAY(),MIN(J187,L187),MAX(J187,L187)))</f>
        <v/>
      </c>
      <c r="N187" s="31">
        <f>IF(ISNUMBER(M187),M187-TODAY(),"")</f>
        <v/>
      </c>
      <c r="O187" s="32">
        <f>IF(NOT(ISNUMBER(N187)),"",IF(OR(Q187="Taken",Q187="Declined"),"",IF(N187&lt;0,"Lapsed",IF(N187&lt;=7,7,IF(N187&lt;=30,30,IF(N187&lt;=60,60,IF(N187&lt;=90,90,"")))))))</f>
        <v/>
      </c>
      <c r="P187" s="27" t="n"/>
      <c r="Q187" s="27" t="n"/>
      <c r="R187" s="27" t="n"/>
      <c r="S187" s="27" t="n"/>
      <c r="T187" s="27" t="n"/>
    </row>
    <row r="188">
      <c r="A188" s="27" t="n"/>
      <c r="B188" s="27" t="n"/>
      <c r="C188" s="27" t="n"/>
      <c r="D188" s="27" t="n"/>
      <c r="E188" s="28" t="n"/>
      <c r="F188" s="28" t="n"/>
      <c r="G188" s="27" t="n"/>
      <c r="H188" s="29">
        <f>IF(G188="Invoice",IF(ISNUMBER(F188),F188,""),IF(ISNUMBER(E188),E188,""))</f>
        <v/>
      </c>
      <c r="I188" s="30" t="n"/>
      <c r="J188" s="29">
        <f>IF(AND(ISNUMBER(H188),ISNUMBER(I188)),EDATE(H188,I188),"")</f>
        <v/>
      </c>
      <c r="K188" s="30" t="n"/>
      <c r="L188" s="29">
        <f>IF(AND(ISNUMBER(H188),ISNUMBER(K188)),EDATE(H188,K188),"")</f>
        <v/>
      </c>
      <c r="M188" s="29">
        <f>IF(COUNT(J188,L188)=0,"",IF(MIN(J188,L188)&gt;=TODAY(),MIN(J188,L188),MAX(J188,L188)))</f>
        <v/>
      </c>
      <c r="N188" s="31">
        <f>IF(ISNUMBER(M188),M188-TODAY(),"")</f>
        <v/>
      </c>
      <c r="O188" s="32">
        <f>IF(NOT(ISNUMBER(N188)),"",IF(OR(Q188="Taken",Q188="Declined"),"",IF(N188&lt;0,"Lapsed",IF(N188&lt;=7,7,IF(N188&lt;=30,30,IF(N188&lt;=60,60,IF(N188&lt;=90,90,"")))))))</f>
        <v/>
      </c>
      <c r="P188" s="27" t="n"/>
      <c r="Q188" s="27" t="n"/>
      <c r="R188" s="27" t="n"/>
      <c r="S188" s="27" t="n"/>
      <c r="T188" s="27" t="n"/>
    </row>
    <row r="189">
      <c r="A189" s="27" t="n"/>
      <c r="B189" s="27" t="n"/>
      <c r="C189" s="27" t="n"/>
      <c r="D189" s="27" t="n"/>
      <c r="E189" s="28" t="n"/>
      <c r="F189" s="28" t="n"/>
      <c r="G189" s="27" t="n"/>
      <c r="H189" s="29">
        <f>IF(G189="Invoice",IF(ISNUMBER(F189),F189,""),IF(ISNUMBER(E189),E189,""))</f>
        <v/>
      </c>
      <c r="I189" s="30" t="n"/>
      <c r="J189" s="29">
        <f>IF(AND(ISNUMBER(H189),ISNUMBER(I189)),EDATE(H189,I189),"")</f>
        <v/>
      </c>
      <c r="K189" s="30" t="n"/>
      <c r="L189" s="29">
        <f>IF(AND(ISNUMBER(H189),ISNUMBER(K189)),EDATE(H189,K189),"")</f>
        <v/>
      </c>
      <c r="M189" s="29">
        <f>IF(COUNT(J189,L189)=0,"",IF(MIN(J189,L189)&gt;=TODAY(),MIN(J189,L189),MAX(J189,L189)))</f>
        <v/>
      </c>
      <c r="N189" s="31">
        <f>IF(ISNUMBER(M189),M189-TODAY(),"")</f>
        <v/>
      </c>
      <c r="O189" s="32">
        <f>IF(NOT(ISNUMBER(N189)),"",IF(OR(Q189="Taken",Q189="Declined"),"",IF(N189&lt;0,"Lapsed",IF(N189&lt;=7,7,IF(N189&lt;=30,30,IF(N189&lt;=60,60,IF(N189&lt;=90,90,"")))))))</f>
        <v/>
      </c>
      <c r="P189" s="27" t="n"/>
      <c r="Q189" s="27" t="n"/>
      <c r="R189" s="27" t="n"/>
      <c r="S189" s="27" t="n"/>
      <c r="T189" s="27" t="n"/>
    </row>
    <row r="190">
      <c r="A190" s="27" t="n"/>
      <c r="B190" s="27" t="n"/>
      <c r="C190" s="27" t="n"/>
      <c r="D190" s="27" t="n"/>
      <c r="E190" s="28" t="n"/>
      <c r="F190" s="28" t="n"/>
      <c r="G190" s="27" t="n"/>
      <c r="H190" s="29">
        <f>IF(G190="Invoice",IF(ISNUMBER(F190),F190,""),IF(ISNUMBER(E190),E190,""))</f>
        <v/>
      </c>
      <c r="I190" s="30" t="n"/>
      <c r="J190" s="29">
        <f>IF(AND(ISNUMBER(H190),ISNUMBER(I190)),EDATE(H190,I190),"")</f>
        <v/>
      </c>
      <c r="K190" s="30" t="n"/>
      <c r="L190" s="29">
        <f>IF(AND(ISNUMBER(H190),ISNUMBER(K190)),EDATE(H190,K190),"")</f>
        <v/>
      </c>
      <c r="M190" s="29">
        <f>IF(COUNT(J190,L190)=0,"",IF(MIN(J190,L190)&gt;=TODAY(),MIN(J190,L190),MAX(J190,L190)))</f>
        <v/>
      </c>
      <c r="N190" s="31">
        <f>IF(ISNUMBER(M190),M190-TODAY(),"")</f>
        <v/>
      </c>
      <c r="O190" s="32">
        <f>IF(NOT(ISNUMBER(N190)),"",IF(OR(Q190="Taken",Q190="Declined"),"",IF(N190&lt;0,"Lapsed",IF(N190&lt;=7,7,IF(N190&lt;=30,30,IF(N190&lt;=60,60,IF(N190&lt;=90,90,"")))))))</f>
        <v/>
      </c>
      <c r="P190" s="27" t="n"/>
      <c r="Q190" s="27" t="n"/>
      <c r="R190" s="27" t="n"/>
      <c r="S190" s="27" t="n"/>
      <c r="T190" s="27" t="n"/>
    </row>
    <row r="191">
      <c r="A191" s="27" t="n"/>
      <c r="B191" s="27" t="n"/>
      <c r="C191" s="27" t="n"/>
      <c r="D191" s="27" t="n"/>
      <c r="E191" s="28" t="n"/>
      <c r="F191" s="28" t="n"/>
      <c r="G191" s="27" t="n"/>
      <c r="H191" s="29">
        <f>IF(G191="Invoice",IF(ISNUMBER(F191),F191,""),IF(ISNUMBER(E191),E191,""))</f>
        <v/>
      </c>
      <c r="I191" s="30" t="n"/>
      <c r="J191" s="29">
        <f>IF(AND(ISNUMBER(H191),ISNUMBER(I191)),EDATE(H191,I191),"")</f>
        <v/>
      </c>
      <c r="K191" s="30" t="n"/>
      <c r="L191" s="29">
        <f>IF(AND(ISNUMBER(H191),ISNUMBER(K191)),EDATE(H191,K191),"")</f>
        <v/>
      </c>
      <c r="M191" s="29">
        <f>IF(COUNT(J191,L191)=0,"",IF(MIN(J191,L191)&gt;=TODAY(),MIN(J191,L191),MAX(J191,L191)))</f>
        <v/>
      </c>
      <c r="N191" s="31">
        <f>IF(ISNUMBER(M191),M191-TODAY(),"")</f>
        <v/>
      </c>
      <c r="O191" s="32">
        <f>IF(NOT(ISNUMBER(N191)),"",IF(OR(Q191="Taken",Q191="Declined"),"",IF(N191&lt;0,"Lapsed",IF(N191&lt;=7,7,IF(N191&lt;=30,30,IF(N191&lt;=60,60,IF(N191&lt;=90,90,"")))))))</f>
        <v/>
      </c>
      <c r="P191" s="27" t="n"/>
      <c r="Q191" s="27" t="n"/>
      <c r="R191" s="27" t="n"/>
      <c r="S191" s="27" t="n"/>
      <c r="T191" s="27" t="n"/>
    </row>
    <row r="192">
      <c r="A192" s="27" t="n"/>
      <c r="B192" s="27" t="n"/>
      <c r="C192" s="27" t="n"/>
      <c r="D192" s="27" t="n"/>
      <c r="E192" s="28" t="n"/>
      <c r="F192" s="28" t="n"/>
      <c r="G192" s="27" t="n"/>
      <c r="H192" s="29">
        <f>IF(G192="Invoice",IF(ISNUMBER(F192),F192,""),IF(ISNUMBER(E192),E192,""))</f>
        <v/>
      </c>
      <c r="I192" s="30" t="n"/>
      <c r="J192" s="29">
        <f>IF(AND(ISNUMBER(H192),ISNUMBER(I192)),EDATE(H192,I192),"")</f>
        <v/>
      </c>
      <c r="K192" s="30" t="n"/>
      <c r="L192" s="29">
        <f>IF(AND(ISNUMBER(H192),ISNUMBER(K192)),EDATE(H192,K192),"")</f>
        <v/>
      </c>
      <c r="M192" s="29">
        <f>IF(COUNT(J192,L192)=0,"",IF(MIN(J192,L192)&gt;=TODAY(),MIN(J192,L192),MAX(J192,L192)))</f>
        <v/>
      </c>
      <c r="N192" s="31">
        <f>IF(ISNUMBER(M192),M192-TODAY(),"")</f>
        <v/>
      </c>
      <c r="O192" s="32">
        <f>IF(NOT(ISNUMBER(N192)),"",IF(OR(Q192="Taken",Q192="Declined"),"",IF(N192&lt;0,"Lapsed",IF(N192&lt;=7,7,IF(N192&lt;=30,30,IF(N192&lt;=60,60,IF(N192&lt;=90,90,"")))))))</f>
        <v/>
      </c>
      <c r="P192" s="27" t="n"/>
      <c r="Q192" s="27" t="n"/>
      <c r="R192" s="27" t="n"/>
      <c r="S192" s="27" t="n"/>
      <c r="T192" s="27" t="n"/>
    </row>
    <row r="193">
      <c r="A193" s="27" t="n"/>
      <c r="B193" s="27" t="n"/>
      <c r="C193" s="27" t="n"/>
      <c r="D193" s="27" t="n"/>
      <c r="E193" s="28" t="n"/>
      <c r="F193" s="28" t="n"/>
      <c r="G193" s="27" t="n"/>
      <c r="H193" s="29">
        <f>IF(G193="Invoice",IF(ISNUMBER(F193),F193,""),IF(ISNUMBER(E193),E193,""))</f>
        <v/>
      </c>
      <c r="I193" s="30" t="n"/>
      <c r="J193" s="29">
        <f>IF(AND(ISNUMBER(H193),ISNUMBER(I193)),EDATE(H193,I193),"")</f>
        <v/>
      </c>
      <c r="K193" s="30" t="n"/>
      <c r="L193" s="29">
        <f>IF(AND(ISNUMBER(H193),ISNUMBER(K193)),EDATE(H193,K193),"")</f>
        <v/>
      </c>
      <c r="M193" s="29">
        <f>IF(COUNT(J193,L193)=0,"",IF(MIN(J193,L193)&gt;=TODAY(),MIN(J193,L193),MAX(J193,L193)))</f>
        <v/>
      </c>
      <c r="N193" s="31">
        <f>IF(ISNUMBER(M193),M193-TODAY(),"")</f>
        <v/>
      </c>
      <c r="O193" s="32">
        <f>IF(NOT(ISNUMBER(N193)),"",IF(OR(Q193="Taken",Q193="Declined"),"",IF(N193&lt;0,"Lapsed",IF(N193&lt;=7,7,IF(N193&lt;=30,30,IF(N193&lt;=60,60,IF(N193&lt;=90,90,"")))))))</f>
        <v/>
      </c>
      <c r="P193" s="27" t="n"/>
      <c r="Q193" s="27" t="n"/>
      <c r="R193" s="27" t="n"/>
      <c r="S193" s="27" t="n"/>
      <c r="T193" s="27" t="n"/>
    </row>
    <row r="194">
      <c r="A194" s="27" t="n"/>
      <c r="B194" s="27" t="n"/>
      <c r="C194" s="27" t="n"/>
      <c r="D194" s="27" t="n"/>
      <c r="E194" s="28" t="n"/>
      <c r="F194" s="28" t="n"/>
      <c r="G194" s="27" t="n"/>
      <c r="H194" s="29">
        <f>IF(G194="Invoice",IF(ISNUMBER(F194),F194,""),IF(ISNUMBER(E194),E194,""))</f>
        <v/>
      </c>
      <c r="I194" s="30" t="n"/>
      <c r="J194" s="29">
        <f>IF(AND(ISNUMBER(H194),ISNUMBER(I194)),EDATE(H194,I194),"")</f>
        <v/>
      </c>
      <c r="K194" s="30" t="n"/>
      <c r="L194" s="29">
        <f>IF(AND(ISNUMBER(H194),ISNUMBER(K194)),EDATE(H194,K194),"")</f>
        <v/>
      </c>
      <c r="M194" s="29">
        <f>IF(COUNT(J194,L194)=0,"",IF(MIN(J194,L194)&gt;=TODAY(),MIN(J194,L194),MAX(J194,L194)))</f>
        <v/>
      </c>
      <c r="N194" s="31">
        <f>IF(ISNUMBER(M194),M194-TODAY(),"")</f>
        <v/>
      </c>
      <c r="O194" s="32">
        <f>IF(NOT(ISNUMBER(N194)),"",IF(OR(Q194="Taken",Q194="Declined"),"",IF(N194&lt;0,"Lapsed",IF(N194&lt;=7,7,IF(N194&lt;=30,30,IF(N194&lt;=60,60,IF(N194&lt;=90,90,"")))))))</f>
        <v/>
      </c>
      <c r="P194" s="27" t="n"/>
      <c r="Q194" s="27" t="n"/>
      <c r="R194" s="27" t="n"/>
      <c r="S194" s="27" t="n"/>
      <c r="T194" s="27" t="n"/>
    </row>
    <row r="195">
      <c r="A195" s="27" t="n"/>
      <c r="B195" s="27" t="n"/>
      <c r="C195" s="27" t="n"/>
      <c r="D195" s="27" t="n"/>
      <c r="E195" s="28" t="n"/>
      <c r="F195" s="28" t="n"/>
      <c r="G195" s="27" t="n"/>
      <c r="H195" s="29">
        <f>IF(G195="Invoice",IF(ISNUMBER(F195),F195,""),IF(ISNUMBER(E195),E195,""))</f>
        <v/>
      </c>
      <c r="I195" s="30" t="n"/>
      <c r="J195" s="29">
        <f>IF(AND(ISNUMBER(H195),ISNUMBER(I195)),EDATE(H195,I195),"")</f>
        <v/>
      </c>
      <c r="K195" s="30" t="n"/>
      <c r="L195" s="29">
        <f>IF(AND(ISNUMBER(H195),ISNUMBER(K195)),EDATE(H195,K195),"")</f>
        <v/>
      </c>
      <c r="M195" s="29">
        <f>IF(COUNT(J195,L195)=0,"",IF(MIN(J195,L195)&gt;=TODAY(),MIN(J195,L195),MAX(J195,L195)))</f>
        <v/>
      </c>
      <c r="N195" s="31">
        <f>IF(ISNUMBER(M195),M195-TODAY(),"")</f>
        <v/>
      </c>
      <c r="O195" s="32">
        <f>IF(NOT(ISNUMBER(N195)),"",IF(OR(Q195="Taken",Q195="Declined"),"",IF(N195&lt;0,"Lapsed",IF(N195&lt;=7,7,IF(N195&lt;=30,30,IF(N195&lt;=60,60,IF(N195&lt;=90,90,"")))))))</f>
        <v/>
      </c>
      <c r="P195" s="27" t="n"/>
      <c r="Q195" s="27" t="n"/>
      <c r="R195" s="27" t="n"/>
      <c r="S195" s="27" t="n"/>
      <c r="T195" s="27" t="n"/>
    </row>
    <row r="196">
      <c r="A196" s="27" t="n"/>
      <c r="B196" s="27" t="n"/>
      <c r="C196" s="27" t="n"/>
      <c r="D196" s="27" t="n"/>
      <c r="E196" s="28" t="n"/>
      <c r="F196" s="28" t="n"/>
      <c r="G196" s="27" t="n"/>
      <c r="H196" s="29">
        <f>IF(G196="Invoice",IF(ISNUMBER(F196),F196,""),IF(ISNUMBER(E196),E196,""))</f>
        <v/>
      </c>
      <c r="I196" s="30" t="n"/>
      <c r="J196" s="29">
        <f>IF(AND(ISNUMBER(H196),ISNUMBER(I196)),EDATE(H196,I196),"")</f>
        <v/>
      </c>
      <c r="K196" s="30" t="n"/>
      <c r="L196" s="29">
        <f>IF(AND(ISNUMBER(H196),ISNUMBER(K196)),EDATE(H196,K196),"")</f>
        <v/>
      </c>
      <c r="M196" s="29">
        <f>IF(COUNT(J196,L196)=0,"",IF(MIN(J196,L196)&gt;=TODAY(),MIN(J196,L196),MAX(J196,L196)))</f>
        <v/>
      </c>
      <c r="N196" s="31">
        <f>IF(ISNUMBER(M196),M196-TODAY(),"")</f>
        <v/>
      </c>
      <c r="O196" s="32">
        <f>IF(NOT(ISNUMBER(N196)),"",IF(OR(Q196="Taken",Q196="Declined"),"",IF(N196&lt;0,"Lapsed",IF(N196&lt;=7,7,IF(N196&lt;=30,30,IF(N196&lt;=60,60,IF(N196&lt;=90,90,"")))))))</f>
        <v/>
      </c>
      <c r="P196" s="27" t="n"/>
      <c r="Q196" s="27" t="n"/>
      <c r="R196" s="27" t="n"/>
      <c r="S196" s="27" t="n"/>
      <c r="T196" s="27" t="n"/>
    </row>
    <row r="197">
      <c r="A197" s="27" t="n"/>
      <c r="B197" s="27" t="n"/>
      <c r="C197" s="27" t="n"/>
      <c r="D197" s="27" t="n"/>
      <c r="E197" s="28" t="n"/>
      <c r="F197" s="28" t="n"/>
      <c r="G197" s="27" t="n"/>
      <c r="H197" s="29">
        <f>IF(G197="Invoice",IF(ISNUMBER(F197),F197,""),IF(ISNUMBER(E197),E197,""))</f>
        <v/>
      </c>
      <c r="I197" s="30" t="n"/>
      <c r="J197" s="29">
        <f>IF(AND(ISNUMBER(H197),ISNUMBER(I197)),EDATE(H197,I197),"")</f>
        <v/>
      </c>
      <c r="K197" s="30" t="n"/>
      <c r="L197" s="29">
        <f>IF(AND(ISNUMBER(H197),ISNUMBER(K197)),EDATE(H197,K197),"")</f>
        <v/>
      </c>
      <c r="M197" s="29">
        <f>IF(COUNT(J197,L197)=0,"",IF(MIN(J197,L197)&gt;=TODAY(),MIN(J197,L197),MAX(J197,L197)))</f>
        <v/>
      </c>
      <c r="N197" s="31">
        <f>IF(ISNUMBER(M197),M197-TODAY(),"")</f>
        <v/>
      </c>
      <c r="O197" s="32">
        <f>IF(NOT(ISNUMBER(N197)),"",IF(OR(Q197="Taken",Q197="Declined"),"",IF(N197&lt;0,"Lapsed",IF(N197&lt;=7,7,IF(N197&lt;=30,30,IF(N197&lt;=60,60,IF(N197&lt;=90,90,"")))))))</f>
        <v/>
      </c>
      <c r="P197" s="27" t="n"/>
      <c r="Q197" s="27" t="n"/>
      <c r="R197" s="27" t="n"/>
      <c r="S197" s="27" t="n"/>
      <c r="T197" s="27" t="n"/>
    </row>
    <row r="198">
      <c r="A198" s="27" t="n"/>
      <c r="B198" s="27" t="n"/>
      <c r="C198" s="27" t="n"/>
      <c r="D198" s="27" t="n"/>
      <c r="E198" s="28" t="n"/>
      <c r="F198" s="28" t="n"/>
      <c r="G198" s="27" t="n"/>
      <c r="H198" s="29">
        <f>IF(G198="Invoice",IF(ISNUMBER(F198),F198,""),IF(ISNUMBER(E198),E198,""))</f>
        <v/>
      </c>
      <c r="I198" s="30" t="n"/>
      <c r="J198" s="29">
        <f>IF(AND(ISNUMBER(H198),ISNUMBER(I198)),EDATE(H198,I198),"")</f>
        <v/>
      </c>
      <c r="K198" s="30" t="n"/>
      <c r="L198" s="29">
        <f>IF(AND(ISNUMBER(H198),ISNUMBER(K198)),EDATE(H198,K198),"")</f>
        <v/>
      </c>
      <c r="M198" s="29">
        <f>IF(COUNT(J198,L198)=0,"",IF(MIN(J198,L198)&gt;=TODAY(),MIN(J198,L198),MAX(J198,L198)))</f>
        <v/>
      </c>
      <c r="N198" s="31">
        <f>IF(ISNUMBER(M198),M198-TODAY(),"")</f>
        <v/>
      </c>
      <c r="O198" s="32">
        <f>IF(NOT(ISNUMBER(N198)),"",IF(OR(Q198="Taken",Q198="Declined"),"",IF(N198&lt;0,"Lapsed",IF(N198&lt;=7,7,IF(N198&lt;=30,30,IF(N198&lt;=60,60,IF(N198&lt;=90,90,"")))))))</f>
        <v/>
      </c>
      <c r="P198" s="27" t="n"/>
      <c r="Q198" s="27" t="n"/>
      <c r="R198" s="27" t="n"/>
      <c r="S198" s="27" t="n"/>
      <c r="T198" s="27" t="n"/>
    </row>
    <row r="199">
      <c r="A199" s="27" t="n"/>
      <c r="B199" s="27" t="n"/>
      <c r="C199" s="27" t="n"/>
      <c r="D199" s="27" t="n"/>
      <c r="E199" s="28" t="n"/>
      <c r="F199" s="28" t="n"/>
      <c r="G199" s="27" t="n"/>
      <c r="H199" s="29">
        <f>IF(G199="Invoice",IF(ISNUMBER(F199),F199,""),IF(ISNUMBER(E199),E199,""))</f>
        <v/>
      </c>
      <c r="I199" s="30" t="n"/>
      <c r="J199" s="29">
        <f>IF(AND(ISNUMBER(H199),ISNUMBER(I199)),EDATE(H199,I199),"")</f>
        <v/>
      </c>
      <c r="K199" s="30" t="n"/>
      <c r="L199" s="29">
        <f>IF(AND(ISNUMBER(H199),ISNUMBER(K199)),EDATE(H199,K199),"")</f>
        <v/>
      </c>
      <c r="M199" s="29">
        <f>IF(COUNT(J199,L199)=0,"",IF(MIN(J199,L199)&gt;=TODAY(),MIN(J199,L199),MAX(J199,L199)))</f>
        <v/>
      </c>
      <c r="N199" s="31">
        <f>IF(ISNUMBER(M199),M199-TODAY(),"")</f>
        <v/>
      </c>
      <c r="O199" s="32">
        <f>IF(NOT(ISNUMBER(N199)),"",IF(OR(Q199="Taken",Q199="Declined"),"",IF(N199&lt;0,"Lapsed",IF(N199&lt;=7,7,IF(N199&lt;=30,30,IF(N199&lt;=60,60,IF(N199&lt;=90,90,"")))))))</f>
        <v/>
      </c>
      <c r="P199" s="27" t="n"/>
      <c r="Q199" s="27" t="n"/>
      <c r="R199" s="27" t="n"/>
      <c r="S199" s="27" t="n"/>
      <c r="T199" s="27" t="n"/>
    </row>
    <row r="200">
      <c r="A200" s="27" t="n"/>
      <c r="B200" s="27" t="n"/>
      <c r="C200" s="27" t="n"/>
      <c r="D200" s="27" t="n"/>
      <c r="E200" s="28" t="n"/>
      <c r="F200" s="28" t="n"/>
      <c r="G200" s="27" t="n"/>
      <c r="H200" s="29">
        <f>IF(G200="Invoice",IF(ISNUMBER(F200),F200,""),IF(ISNUMBER(E200),E200,""))</f>
        <v/>
      </c>
      <c r="I200" s="30" t="n"/>
      <c r="J200" s="29">
        <f>IF(AND(ISNUMBER(H200),ISNUMBER(I200)),EDATE(H200,I200),"")</f>
        <v/>
      </c>
      <c r="K200" s="30" t="n"/>
      <c r="L200" s="29">
        <f>IF(AND(ISNUMBER(H200),ISNUMBER(K200)),EDATE(H200,K200),"")</f>
        <v/>
      </c>
      <c r="M200" s="29">
        <f>IF(COUNT(J200,L200)=0,"",IF(MIN(J200,L200)&gt;=TODAY(),MIN(J200,L200),MAX(J200,L200)))</f>
        <v/>
      </c>
      <c r="N200" s="31">
        <f>IF(ISNUMBER(M200),M200-TODAY(),"")</f>
        <v/>
      </c>
      <c r="O200" s="32">
        <f>IF(NOT(ISNUMBER(N200)),"",IF(OR(Q200="Taken",Q200="Declined"),"",IF(N200&lt;0,"Lapsed",IF(N200&lt;=7,7,IF(N200&lt;=30,30,IF(N200&lt;=60,60,IF(N200&lt;=90,90,"")))))))</f>
        <v/>
      </c>
      <c r="P200" s="27" t="n"/>
      <c r="Q200" s="27" t="n"/>
      <c r="R200" s="27" t="n"/>
      <c r="S200" s="27" t="n"/>
      <c r="T200" s="27" t="n"/>
    </row>
    <row r="201">
      <c r="A201" s="27" t="n"/>
      <c r="B201" s="27" t="n"/>
      <c r="C201" s="27" t="n"/>
      <c r="D201" s="27" t="n"/>
      <c r="E201" s="28" t="n"/>
      <c r="F201" s="28" t="n"/>
      <c r="G201" s="27" t="n"/>
      <c r="H201" s="29">
        <f>IF(G201="Invoice",IF(ISNUMBER(F201),F201,""),IF(ISNUMBER(E201),E201,""))</f>
        <v/>
      </c>
      <c r="I201" s="30" t="n"/>
      <c r="J201" s="29">
        <f>IF(AND(ISNUMBER(H201),ISNUMBER(I201)),EDATE(H201,I201),"")</f>
        <v/>
      </c>
      <c r="K201" s="30" t="n"/>
      <c r="L201" s="29">
        <f>IF(AND(ISNUMBER(H201),ISNUMBER(K201)),EDATE(H201,K201),"")</f>
        <v/>
      </c>
      <c r="M201" s="29">
        <f>IF(COUNT(J201,L201)=0,"",IF(MIN(J201,L201)&gt;=TODAY(),MIN(J201,L201),MAX(J201,L201)))</f>
        <v/>
      </c>
      <c r="N201" s="31">
        <f>IF(ISNUMBER(M201),M201-TODAY(),"")</f>
        <v/>
      </c>
      <c r="O201" s="32">
        <f>IF(NOT(ISNUMBER(N201)),"",IF(OR(Q201="Taken",Q201="Declined"),"",IF(N201&lt;0,"Lapsed",IF(N201&lt;=7,7,IF(N201&lt;=30,30,IF(N201&lt;=60,60,IF(N201&lt;=90,90,"")))))))</f>
        <v/>
      </c>
      <c r="P201" s="27" t="n"/>
      <c r="Q201" s="27" t="n"/>
      <c r="R201" s="27" t="n"/>
      <c r="S201" s="27" t="n"/>
      <c r="T201" s="27" t="n"/>
    </row>
    <row r="202">
      <c r="A202" s="27" t="n"/>
      <c r="B202" s="27" t="n"/>
      <c r="C202" s="27" t="n"/>
      <c r="D202" s="27" t="n"/>
      <c r="E202" s="28" t="n"/>
      <c r="F202" s="28" t="n"/>
      <c r="G202" s="27" t="n"/>
      <c r="H202" s="29">
        <f>IF(G202="Invoice",IF(ISNUMBER(F202),F202,""),IF(ISNUMBER(E202),E202,""))</f>
        <v/>
      </c>
      <c r="I202" s="30" t="n"/>
      <c r="J202" s="29">
        <f>IF(AND(ISNUMBER(H202),ISNUMBER(I202)),EDATE(H202,I202),"")</f>
        <v/>
      </c>
      <c r="K202" s="30" t="n"/>
      <c r="L202" s="29">
        <f>IF(AND(ISNUMBER(H202),ISNUMBER(K202)),EDATE(H202,K202),"")</f>
        <v/>
      </c>
      <c r="M202" s="29">
        <f>IF(COUNT(J202,L202)=0,"",IF(MIN(J202,L202)&gt;=TODAY(),MIN(J202,L202),MAX(J202,L202)))</f>
        <v/>
      </c>
      <c r="N202" s="31">
        <f>IF(ISNUMBER(M202),M202-TODAY(),"")</f>
        <v/>
      </c>
      <c r="O202" s="32">
        <f>IF(NOT(ISNUMBER(N202)),"",IF(OR(Q202="Taken",Q202="Declined"),"",IF(N202&lt;0,"Lapsed",IF(N202&lt;=7,7,IF(N202&lt;=30,30,IF(N202&lt;=60,60,IF(N202&lt;=90,90,"")))))))</f>
        <v/>
      </c>
      <c r="P202" s="27" t="n"/>
      <c r="Q202" s="27" t="n"/>
      <c r="R202" s="27" t="n"/>
      <c r="S202" s="27" t="n"/>
      <c r="T202" s="27" t="n"/>
    </row>
    <row r="203">
      <c r="A203" s="27" t="n"/>
      <c r="B203" s="27" t="n"/>
      <c r="C203" s="27" t="n"/>
      <c r="D203" s="27" t="n"/>
      <c r="E203" s="28" t="n"/>
      <c r="F203" s="28" t="n"/>
      <c r="G203" s="27" t="n"/>
      <c r="H203" s="29">
        <f>IF(G203="Invoice",IF(ISNUMBER(F203),F203,""),IF(ISNUMBER(E203),E203,""))</f>
        <v/>
      </c>
      <c r="I203" s="30" t="n"/>
      <c r="J203" s="29">
        <f>IF(AND(ISNUMBER(H203),ISNUMBER(I203)),EDATE(H203,I203),"")</f>
        <v/>
      </c>
      <c r="K203" s="30" t="n"/>
      <c r="L203" s="29">
        <f>IF(AND(ISNUMBER(H203),ISNUMBER(K203)),EDATE(H203,K203),"")</f>
        <v/>
      </c>
      <c r="M203" s="29">
        <f>IF(COUNT(J203,L203)=0,"",IF(MIN(J203,L203)&gt;=TODAY(),MIN(J203,L203),MAX(J203,L203)))</f>
        <v/>
      </c>
      <c r="N203" s="31">
        <f>IF(ISNUMBER(M203),M203-TODAY(),"")</f>
        <v/>
      </c>
      <c r="O203" s="32">
        <f>IF(NOT(ISNUMBER(N203)),"",IF(OR(Q203="Taken",Q203="Declined"),"",IF(N203&lt;0,"Lapsed",IF(N203&lt;=7,7,IF(N203&lt;=30,30,IF(N203&lt;=60,60,IF(N203&lt;=90,90,"")))))))</f>
        <v/>
      </c>
      <c r="P203" s="27" t="n"/>
      <c r="Q203" s="27" t="n"/>
      <c r="R203" s="27" t="n"/>
      <c r="S203" s="27" t="n"/>
      <c r="T203" s="27" t="n"/>
    </row>
    <row r="204">
      <c r="A204" s="27" t="n"/>
      <c r="B204" s="27" t="n"/>
      <c r="C204" s="27" t="n"/>
      <c r="D204" s="27" t="n"/>
      <c r="E204" s="28" t="n"/>
      <c r="F204" s="28" t="n"/>
      <c r="G204" s="27" t="n"/>
      <c r="H204" s="29">
        <f>IF(G204="Invoice",IF(ISNUMBER(F204),F204,""),IF(ISNUMBER(E204),E204,""))</f>
        <v/>
      </c>
      <c r="I204" s="30" t="n"/>
      <c r="J204" s="29">
        <f>IF(AND(ISNUMBER(H204),ISNUMBER(I204)),EDATE(H204,I204),"")</f>
        <v/>
      </c>
      <c r="K204" s="30" t="n"/>
      <c r="L204" s="29">
        <f>IF(AND(ISNUMBER(H204),ISNUMBER(K204)),EDATE(H204,K204),"")</f>
        <v/>
      </c>
      <c r="M204" s="29">
        <f>IF(COUNT(J204,L204)=0,"",IF(MIN(J204,L204)&gt;=TODAY(),MIN(J204,L204),MAX(J204,L204)))</f>
        <v/>
      </c>
      <c r="N204" s="31">
        <f>IF(ISNUMBER(M204),M204-TODAY(),"")</f>
        <v/>
      </c>
      <c r="O204" s="32">
        <f>IF(NOT(ISNUMBER(N204)),"",IF(OR(Q204="Taken",Q204="Declined"),"",IF(N204&lt;0,"Lapsed",IF(N204&lt;=7,7,IF(N204&lt;=30,30,IF(N204&lt;=60,60,IF(N204&lt;=90,90,"")))))))</f>
        <v/>
      </c>
      <c r="P204" s="27" t="n"/>
      <c r="Q204" s="27" t="n"/>
      <c r="R204" s="27" t="n"/>
      <c r="S204" s="27" t="n"/>
      <c r="T204" s="27" t="n"/>
    </row>
    <row r="205">
      <c r="A205" s="27" t="n"/>
      <c r="B205" s="27" t="n"/>
      <c r="C205" s="27" t="n"/>
      <c r="D205" s="27" t="n"/>
      <c r="E205" s="28" t="n"/>
      <c r="F205" s="28" t="n"/>
      <c r="G205" s="27" t="n"/>
      <c r="H205" s="29">
        <f>IF(G205="Invoice",IF(ISNUMBER(F205),F205,""),IF(ISNUMBER(E205),E205,""))</f>
        <v/>
      </c>
      <c r="I205" s="30" t="n"/>
      <c r="J205" s="29">
        <f>IF(AND(ISNUMBER(H205),ISNUMBER(I205)),EDATE(H205,I205),"")</f>
        <v/>
      </c>
      <c r="K205" s="30" t="n"/>
      <c r="L205" s="29">
        <f>IF(AND(ISNUMBER(H205),ISNUMBER(K205)),EDATE(H205,K205),"")</f>
        <v/>
      </c>
      <c r="M205" s="29">
        <f>IF(COUNT(J205,L205)=0,"",IF(MIN(J205,L205)&gt;=TODAY(),MIN(J205,L205),MAX(J205,L205)))</f>
        <v/>
      </c>
      <c r="N205" s="31">
        <f>IF(ISNUMBER(M205),M205-TODAY(),"")</f>
        <v/>
      </c>
      <c r="O205" s="32">
        <f>IF(NOT(ISNUMBER(N205)),"",IF(OR(Q205="Taken",Q205="Declined"),"",IF(N205&lt;0,"Lapsed",IF(N205&lt;=7,7,IF(N205&lt;=30,30,IF(N205&lt;=60,60,IF(N205&lt;=90,90,"")))))))</f>
        <v/>
      </c>
      <c r="P205" s="27" t="n"/>
      <c r="Q205" s="27" t="n"/>
      <c r="R205" s="27" t="n"/>
      <c r="S205" s="27" t="n"/>
      <c r="T205" s="27" t="n"/>
    </row>
    <row r="206">
      <c r="A206" s="27" t="n"/>
      <c r="B206" s="27" t="n"/>
      <c r="C206" s="27" t="n"/>
      <c r="D206" s="27" t="n"/>
      <c r="E206" s="28" t="n"/>
      <c r="F206" s="28" t="n"/>
      <c r="G206" s="27" t="n"/>
      <c r="H206" s="29">
        <f>IF(G206="Invoice",IF(ISNUMBER(F206),F206,""),IF(ISNUMBER(E206),E206,""))</f>
        <v/>
      </c>
      <c r="I206" s="30" t="n"/>
      <c r="J206" s="29">
        <f>IF(AND(ISNUMBER(H206),ISNUMBER(I206)),EDATE(H206,I206),"")</f>
        <v/>
      </c>
      <c r="K206" s="30" t="n"/>
      <c r="L206" s="29">
        <f>IF(AND(ISNUMBER(H206),ISNUMBER(K206)),EDATE(H206,K206),"")</f>
        <v/>
      </c>
      <c r="M206" s="29">
        <f>IF(COUNT(J206,L206)=0,"",IF(MIN(J206,L206)&gt;=TODAY(),MIN(J206,L206),MAX(J206,L206)))</f>
        <v/>
      </c>
      <c r="N206" s="31">
        <f>IF(ISNUMBER(M206),M206-TODAY(),"")</f>
        <v/>
      </c>
      <c r="O206" s="32">
        <f>IF(NOT(ISNUMBER(N206)),"",IF(OR(Q206="Taken",Q206="Declined"),"",IF(N206&lt;0,"Lapsed",IF(N206&lt;=7,7,IF(N206&lt;=30,30,IF(N206&lt;=60,60,IF(N206&lt;=90,90,"")))))))</f>
        <v/>
      </c>
      <c r="P206" s="27" t="n"/>
      <c r="Q206" s="27" t="n"/>
      <c r="R206" s="27" t="n"/>
      <c r="S206" s="27" t="n"/>
      <c r="T206" s="27" t="n"/>
    </row>
    <row r="207">
      <c r="A207" s="27" t="n"/>
      <c r="B207" s="27" t="n"/>
      <c r="C207" s="27" t="n"/>
      <c r="D207" s="27" t="n"/>
      <c r="E207" s="28" t="n"/>
      <c r="F207" s="28" t="n"/>
      <c r="G207" s="27" t="n"/>
      <c r="H207" s="29">
        <f>IF(G207="Invoice",IF(ISNUMBER(F207),F207,""),IF(ISNUMBER(E207),E207,""))</f>
        <v/>
      </c>
      <c r="I207" s="30" t="n"/>
      <c r="J207" s="29">
        <f>IF(AND(ISNUMBER(H207),ISNUMBER(I207)),EDATE(H207,I207),"")</f>
        <v/>
      </c>
      <c r="K207" s="30" t="n"/>
      <c r="L207" s="29">
        <f>IF(AND(ISNUMBER(H207),ISNUMBER(K207)),EDATE(H207,K207),"")</f>
        <v/>
      </c>
      <c r="M207" s="29">
        <f>IF(COUNT(J207,L207)=0,"",IF(MIN(J207,L207)&gt;=TODAY(),MIN(J207,L207),MAX(J207,L207)))</f>
        <v/>
      </c>
      <c r="N207" s="31">
        <f>IF(ISNUMBER(M207),M207-TODAY(),"")</f>
        <v/>
      </c>
      <c r="O207" s="32">
        <f>IF(NOT(ISNUMBER(N207)),"",IF(OR(Q207="Taken",Q207="Declined"),"",IF(N207&lt;0,"Lapsed",IF(N207&lt;=7,7,IF(N207&lt;=30,30,IF(N207&lt;=60,60,IF(N207&lt;=90,90,"")))))))</f>
        <v/>
      </c>
      <c r="P207" s="27" t="n"/>
      <c r="Q207" s="27" t="n"/>
      <c r="R207" s="27" t="n"/>
      <c r="S207" s="27" t="n"/>
      <c r="T207" s="27" t="n"/>
    </row>
    <row r="208">
      <c r="A208" s="27" t="n"/>
      <c r="B208" s="27" t="n"/>
      <c r="C208" s="27" t="n"/>
      <c r="D208" s="27" t="n"/>
      <c r="E208" s="28" t="n"/>
      <c r="F208" s="28" t="n"/>
      <c r="G208" s="27" t="n"/>
      <c r="H208" s="29">
        <f>IF(G208="Invoice",IF(ISNUMBER(F208),F208,""),IF(ISNUMBER(E208),E208,""))</f>
        <v/>
      </c>
      <c r="I208" s="30" t="n"/>
      <c r="J208" s="29">
        <f>IF(AND(ISNUMBER(H208),ISNUMBER(I208)),EDATE(H208,I208),"")</f>
        <v/>
      </c>
      <c r="K208" s="30" t="n"/>
      <c r="L208" s="29">
        <f>IF(AND(ISNUMBER(H208),ISNUMBER(K208)),EDATE(H208,K208),"")</f>
        <v/>
      </c>
      <c r="M208" s="29">
        <f>IF(COUNT(J208,L208)=0,"",IF(MIN(J208,L208)&gt;=TODAY(),MIN(J208,L208),MAX(J208,L208)))</f>
        <v/>
      </c>
      <c r="N208" s="31">
        <f>IF(ISNUMBER(M208),M208-TODAY(),"")</f>
        <v/>
      </c>
      <c r="O208" s="32">
        <f>IF(NOT(ISNUMBER(N208)),"",IF(OR(Q208="Taken",Q208="Declined"),"",IF(N208&lt;0,"Lapsed",IF(N208&lt;=7,7,IF(N208&lt;=30,30,IF(N208&lt;=60,60,IF(N208&lt;=90,90,"")))))))</f>
        <v/>
      </c>
      <c r="P208" s="27" t="n"/>
      <c r="Q208" s="27" t="n"/>
      <c r="R208" s="27" t="n"/>
      <c r="S208" s="27" t="n"/>
      <c r="T208" s="27" t="n"/>
    </row>
    <row r="209">
      <c r="A209" s="27" t="n"/>
      <c r="B209" s="27" t="n"/>
      <c r="C209" s="27" t="n"/>
      <c r="D209" s="27" t="n"/>
      <c r="E209" s="28" t="n"/>
      <c r="F209" s="28" t="n"/>
      <c r="G209" s="27" t="n"/>
      <c r="H209" s="29">
        <f>IF(G209="Invoice",IF(ISNUMBER(F209),F209,""),IF(ISNUMBER(E209),E209,""))</f>
        <v/>
      </c>
      <c r="I209" s="30" t="n"/>
      <c r="J209" s="29">
        <f>IF(AND(ISNUMBER(H209),ISNUMBER(I209)),EDATE(H209,I209),"")</f>
        <v/>
      </c>
      <c r="K209" s="30" t="n"/>
      <c r="L209" s="29">
        <f>IF(AND(ISNUMBER(H209),ISNUMBER(K209)),EDATE(H209,K209),"")</f>
        <v/>
      </c>
      <c r="M209" s="29">
        <f>IF(COUNT(J209,L209)=0,"",IF(MIN(J209,L209)&gt;=TODAY(),MIN(J209,L209),MAX(J209,L209)))</f>
        <v/>
      </c>
      <c r="N209" s="31">
        <f>IF(ISNUMBER(M209),M209-TODAY(),"")</f>
        <v/>
      </c>
      <c r="O209" s="32">
        <f>IF(NOT(ISNUMBER(N209)),"",IF(OR(Q209="Taken",Q209="Declined"),"",IF(N209&lt;0,"Lapsed",IF(N209&lt;=7,7,IF(N209&lt;=30,30,IF(N209&lt;=60,60,IF(N209&lt;=90,90,"")))))))</f>
        <v/>
      </c>
      <c r="P209" s="27" t="n"/>
      <c r="Q209" s="27" t="n"/>
      <c r="R209" s="27" t="n"/>
      <c r="S209" s="27" t="n"/>
      <c r="T209" s="27" t="n"/>
    </row>
    <row r="210">
      <c r="A210" s="27" t="n"/>
      <c r="B210" s="27" t="n"/>
      <c r="C210" s="27" t="n"/>
      <c r="D210" s="27" t="n"/>
      <c r="E210" s="28" t="n"/>
      <c r="F210" s="28" t="n"/>
      <c r="G210" s="27" t="n"/>
      <c r="H210" s="29">
        <f>IF(G210="Invoice",IF(ISNUMBER(F210),F210,""),IF(ISNUMBER(E210),E210,""))</f>
        <v/>
      </c>
      <c r="I210" s="30" t="n"/>
      <c r="J210" s="29">
        <f>IF(AND(ISNUMBER(H210),ISNUMBER(I210)),EDATE(H210,I210),"")</f>
        <v/>
      </c>
      <c r="K210" s="30" t="n"/>
      <c r="L210" s="29">
        <f>IF(AND(ISNUMBER(H210),ISNUMBER(K210)),EDATE(H210,K210),"")</f>
        <v/>
      </c>
      <c r="M210" s="29">
        <f>IF(COUNT(J210,L210)=0,"",IF(MIN(J210,L210)&gt;=TODAY(),MIN(J210,L210),MAX(J210,L210)))</f>
        <v/>
      </c>
      <c r="N210" s="31">
        <f>IF(ISNUMBER(M210),M210-TODAY(),"")</f>
        <v/>
      </c>
      <c r="O210" s="32">
        <f>IF(NOT(ISNUMBER(N210)),"",IF(OR(Q210="Taken",Q210="Declined"),"",IF(N210&lt;0,"Lapsed",IF(N210&lt;=7,7,IF(N210&lt;=30,30,IF(N210&lt;=60,60,IF(N210&lt;=90,90,"")))))))</f>
        <v/>
      </c>
      <c r="P210" s="27" t="n"/>
      <c r="Q210" s="27" t="n"/>
      <c r="R210" s="27" t="n"/>
      <c r="S210" s="27" t="n"/>
      <c r="T210" s="27" t="n"/>
    </row>
    <row r="211">
      <c r="A211" s="27" t="n"/>
      <c r="B211" s="27" t="n"/>
      <c r="C211" s="27" t="n"/>
      <c r="D211" s="27" t="n"/>
      <c r="E211" s="28" t="n"/>
      <c r="F211" s="28" t="n"/>
      <c r="G211" s="27" t="n"/>
      <c r="H211" s="29">
        <f>IF(G211="Invoice",IF(ISNUMBER(F211),F211,""),IF(ISNUMBER(E211),E211,""))</f>
        <v/>
      </c>
      <c r="I211" s="30" t="n"/>
      <c r="J211" s="29">
        <f>IF(AND(ISNUMBER(H211),ISNUMBER(I211)),EDATE(H211,I211),"")</f>
        <v/>
      </c>
      <c r="K211" s="30" t="n"/>
      <c r="L211" s="29">
        <f>IF(AND(ISNUMBER(H211),ISNUMBER(K211)),EDATE(H211,K211),"")</f>
        <v/>
      </c>
      <c r="M211" s="29">
        <f>IF(COUNT(J211,L211)=0,"",IF(MIN(J211,L211)&gt;=TODAY(),MIN(J211,L211),MAX(J211,L211)))</f>
        <v/>
      </c>
      <c r="N211" s="31">
        <f>IF(ISNUMBER(M211),M211-TODAY(),"")</f>
        <v/>
      </c>
      <c r="O211" s="32">
        <f>IF(NOT(ISNUMBER(N211)),"",IF(OR(Q211="Taken",Q211="Declined"),"",IF(N211&lt;0,"Lapsed",IF(N211&lt;=7,7,IF(N211&lt;=30,30,IF(N211&lt;=60,60,IF(N211&lt;=90,90,"")))))))</f>
        <v/>
      </c>
      <c r="P211" s="27" t="n"/>
      <c r="Q211" s="27" t="n"/>
      <c r="R211" s="27" t="n"/>
      <c r="S211" s="27" t="n"/>
      <c r="T211" s="27" t="n"/>
    </row>
    <row r="212">
      <c r="A212" s="27" t="n"/>
      <c r="B212" s="27" t="n"/>
      <c r="C212" s="27" t="n"/>
      <c r="D212" s="27" t="n"/>
      <c r="E212" s="28" t="n"/>
      <c r="F212" s="28" t="n"/>
      <c r="G212" s="27" t="n"/>
      <c r="H212" s="29">
        <f>IF(G212="Invoice",IF(ISNUMBER(F212),F212,""),IF(ISNUMBER(E212),E212,""))</f>
        <v/>
      </c>
      <c r="I212" s="30" t="n"/>
      <c r="J212" s="29">
        <f>IF(AND(ISNUMBER(H212),ISNUMBER(I212)),EDATE(H212,I212),"")</f>
        <v/>
      </c>
      <c r="K212" s="30" t="n"/>
      <c r="L212" s="29">
        <f>IF(AND(ISNUMBER(H212),ISNUMBER(K212)),EDATE(H212,K212),"")</f>
        <v/>
      </c>
      <c r="M212" s="29">
        <f>IF(COUNT(J212,L212)=0,"",IF(MIN(J212,L212)&gt;=TODAY(),MIN(J212,L212),MAX(J212,L212)))</f>
        <v/>
      </c>
      <c r="N212" s="31">
        <f>IF(ISNUMBER(M212),M212-TODAY(),"")</f>
        <v/>
      </c>
      <c r="O212" s="32">
        <f>IF(NOT(ISNUMBER(N212)),"",IF(OR(Q212="Taken",Q212="Declined"),"",IF(N212&lt;0,"Lapsed",IF(N212&lt;=7,7,IF(N212&lt;=30,30,IF(N212&lt;=60,60,IF(N212&lt;=90,90,"")))))))</f>
        <v/>
      </c>
      <c r="P212" s="27" t="n"/>
      <c r="Q212" s="27" t="n"/>
      <c r="R212" s="27" t="n"/>
      <c r="S212" s="27" t="n"/>
      <c r="T212" s="27" t="n"/>
    </row>
    <row r="213">
      <c r="A213" s="27" t="n"/>
      <c r="B213" s="27" t="n"/>
      <c r="C213" s="27" t="n"/>
      <c r="D213" s="27" t="n"/>
      <c r="E213" s="28" t="n"/>
      <c r="F213" s="28" t="n"/>
      <c r="G213" s="27" t="n"/>
      <c r="H213" s="29">
        <f>IF(G213="Invoice",IF(ISNUMBER(F213),F213,""),IF(ISNUMBER(E213),E213,""))</f>
        <v/>
      </c>
      <c r="I213" s="30" t="n"/>
      <c r="J213" s="29">
        <f>IF(AND(ISNUMBER(H213),ISNUMBER(I213)),EDATE(H213,I213),"")</f>
        <v/>
      </c>
      <c r="K213" s="30" t="n"/>
      <c r="L213" s="29">
        <f>IF(AND(ISNUMBER(H213),ISNUMBER(K213)),EDATE(H213,K213),"")</f>
        <v/>
      </c>
      <c r="M213" s="29">
        <f>IF(COUNT(J213,L213)=0,"",IF(MIN(J213,L213)&gt;=TODAY(),MIN(J213,L213),MAX(J213,L213)))</f>
        <v/>
      </c>
      <c r="N213" s="31">
        <f>IF(ISNUMBER(M213),M213-TODAY(),"")</f>
        <v/>
      </c>
      <c r="O213" s="32">
        <f>IF(NOT(ISNUMBER(N213)),"",IF(OR(Q213="Taken",Q213="Declined"),"",IF(N213&lt;0,"Lapsed",IF(N213&lt;=7,7,IF(N213&lt;=30,30,IF(N213&lt;=60,60,IF(N213&lt;=90,90,"")))))))</f>
        <v/>
      </c>
      <c r="P213" s="27" t="n"/>
      <c r="Q213" s="27" t="n"/>
      <c r="R213" s="27" t="n"/>
      <c r="S213" s="27" t="n"/>
      <c r="T213" s="27" t="n"/>
    </row>
    <row r="214">
      <c r="A214" s="27" t="n"/>
      <c r="B214" s="27" t="n"/>
      <c r="C214" s="27" t="n"/>
      <c r="D214" s="27" t="n"/>
      <c r="E214" s="28" t="n"/>
      <c r="F214" s="28" t="n"/>
      <c r="G214" s="27" t="n"/>
      <c r="H214" s="29">
        <f>IF(G214="Invoice",IF(ISNUMBER(F214),F214,""),IF(ISNUMBER(E214),E214,""))</f>
        <v/>
      </c>
      <c r="I214" s="30" t="n"/>
      <c r="J214" s="29">
        <f>IF(AND(ISNUMBER(H214),ISNUMBER(I214)),EDATE(H214,I214),"")</f>
        <v/>
      </c>
      <c r="K214" s="30" t="n"/>
      <c r="L214" s="29">
        <f>IF(AND(ISNUMBER(H214),ISNUMBER(K214)),EDATE(H214,K214),"")</f>
        <v/>
      </c>
      <c r="M214" s="29">
        <f>IF(COUNT(J214,L214)=0,"",IF(MIN(J214,L214)&gt;=TODAY(),MIN(J214,L214),MAX(J214,L214)))</f>
        <v/>
      </c>
      <c r="N214" s="31">
        <f>IF(ISNUMBER(M214),M214-TODAY(),"")</f>
        <v/>
      </c>
      <c r="O214" s="32">
        <f>IF(NOT(ISNUMBER(N214)),"",IF(OR(Q214="Taken",Q214="Declined"),"",IF(N214&lt;0,"Lapsed",IF(N214&lt;=7,7,IF(N214&lt;=30,30,IF(N214&lt;=60,60,IF(N214&lt;=90,90,"")))))))</f>
        <v/>
      </c>
      <c r="P214" s="27" t="n"/>
      <c r="Q214" s="27" t="n"/>
      <c r="R214" s="27" t="n"/>
      <c r="S214" s="27" t="n"/>
      <c r="T214" s="27" t="n"/>
    </row>
    <row r="215">
      <c r="A215" s="27" t="n"/>
      <c r="B215" s="27" t="n"/>
      <c r="C215" s="27" t="n"/>
      <c r="D215" s="27" t="n"/>
      <c r="E215" s="28" t="n"/>
      <c r="F215" s="28" t="n"/>
      <c r="G215" s="27" t="n"/>
      <c r="H215" s="29">
        <f>IF(G215="Invoice",IF(ISNUMBER(F215),F215,""),IF(ISNUMBER(E215),E215,""))</f>
        <v/>
      </c>
      <c r="I215" s="30" t="n"/>
      <c r="J215" s="29">
        <f>IF(AND(ISNUMBER(H215),ISNUMBER(I215)),EDATE(H215,I215),"")</f>
        <v/>
      </c>
      <c r="K215" s="30" t="n"/>
      <c r="L215" s="29">
        <f>IF(AND(ISNUMBER(H215),ISNUMBER(K215)),EDATE(H215,K215),"")</f>
        <v/>
      </c>
      <c r="M215" s="29">
        <f>IF(COUNT(J215,L215)=0,"",IF(MIN(J215,L215)&gt;=TODAY(),MIN(J215,L215),MAX(J215,L215)))</f>
        <v/>
      </c>
      <c r="N215" s="31">
        <f>IF(ISNUMBER(M215),M215-TODAY(),"")</f>
        <v/>
      </c>
      <c r="O215" s="32">
        <f>IF(NOT(ISNUMBER(N215)),"",IF(OR(Q215="Taken",Q215="Declined"),"",IF(N215&lt;0,"Lapsed",IF(N215&lt;=7,7,IF(N215&lt;=30,30,IF(N215&lt;=60,60,IF(N215&lt;=90,90,"")))))))</f>
        <v/>
      </c>
      <c r="P215" s="27" t="n"/>
      <c r="Q215" s="27" t="n"/>
      <c r="R215" s="27" t="n"/>
      <c r="S215" s="27" t="n"/>
      <c r="T215" s="27" t="n"/>
    </row>
    <row r="216">
      <c r="A216" s="27" t="n"/>
      <c r="B216" s="27" t="n"/>
      <c r="C216" s="27" t="n"/>
      <c r="D216" s="27" t="n"/>
      <c r="E216" s="28" t="n"/>
      <c r="F216" s="28" t="n"/>
      <c r="G216" s="27" t="n"/>
      <c r="H216" s="29">
        <f>IF(G216="Invoice",IF(ISNUMBER(F216),F216,""),IF(ISNUMBER(E216),E216,""))</f>
        <v/>
      </c>
      <c r="I216" s="30" t="n"/>
      <c r="J216" s="29">
        <f>IF(AND(ISNUMBER(H216),ISNUMBER(I216)),EDATE(H216,I216),"")</f>
        <v/>
      </c>
      <c r="K216" s="30" t="n"/>
      <c r="L216" s="29">
        <f>IF(AND(ISNUMBER(H216),ISNUMBER(K216)),EDATE(H216,K216),"")</f>
        <v/>
      </c>
      <c r="M216" s="29">
        <f>IF(COUNT(J216,L216)=0,"",IF(MIN(J216,L216)&gt;=TODAY(),MIN(J216,L216),MAX(J216,L216)))</f>
        <v/>
      </c>
      <c r="N216" s="31">
        <f>IF(ISNUMBER(M216),M216-TODAY(),"")</f>
        <v/>
      </c>
      <c r="O216" s="32">
        <f>IF(NOT(ISNUMBER(N216)),"",IF(OR(Q216="Taken",Q216="Declined"),"",IF(N216&lt;0,"Lapsed",IF(N216&lt;=7,7,IF(N216&lt;=30,30,IF(N216&lt;=60,60,IF(N216&lt;=90,90,"")))))))</f>
        <v/>
      </c>
      <c r="P216" s="27" t="n"/>
      <c r="Q216" s="27" t="n"/>
      <c r="R216" s="27" t="n"/>
      <c r="S216" s="27" t="n"/>
      <c r="T216" s="27" t="n"/>
    </row>
    <row r="217">
      <c r="A217" s="27" t="n"/>
      <c r="B217" s="27" t="n"/>
      <c r="C217" s="27" t="n"/>
      <c r="D217" s="27" t="n"/>
      <c r="E217" s="28" t="n"/>
      <c r="F217" s="28" t="n"/>
      <c r="G217" s="27" t="n"/>
      <c r="H217" s="29">
        <f>IF(G217="Invoice",IF(ISNUMBER(F217),F217,""),IF(ISNUMBER(E217),E217,""))</f>
        <v/>
      </c>
      <c r="I217" s="30" t="n"/>
      <c r="J217" s="29">
        <f>IF(AND(ISNUMBER(H217),ISNUMBER(I217)),EDATE(H217,I217),"")</f>
        <v/>
      </c>
      <c r="K217" s="30" t="n"/>
      <c r="L217" s="29">
        <f>IF(AND(ISNUMBER(H217),ISNUMBER(K217)),EDATE(H217,K217),"")</f>
        <v/>
      </c>
      <c r="M217" s="29">
        <f>IF(COUNT(J217,L217)=0,"",IF(MIN(J217,L217)&gt;=TODAY(),MIN(J217,L217),MAX(J217,L217)))</f>
        <v/>
      </c>
      <c r="N217" s="31">
        <f>IF(ISNUMBER(M217),M217-TODAY(),"")</f>
        <v/>
      </c>
      <c r="O217" s="32">
        <f>IF(NOT(ISNUMBER(N217)),"",IF(OR(Q217="Taken",Q217="Declined"),"",IF(N217&lt;0,"Lapsed",IF(N217&lt;=7,7,IF(N217&lt;=30,30,IF(N217&lt;=60,60,IF(N217&lt;=90,90,"")))))))</f>
        <v/>
      </c>
      <c r="P217" s="27" t="n"/>
      <c r="Q217" s="27" t="n"/>
      <c r="R217" s="27" t="n"/>
      <c r="S217" s="27" t="n"/>
      <c r="T217" s="27" t="n"/>
    </row>
    <row r="218">
      <c r="A218" s="27" t="n"/>
      <c r="B218" s="27" t="n"/>
      <c r="C218" s="27" t="n"/>
      <c r="D218" s="27" t="n"/>
      <c r="E218" s="28" t="n"/>
      <c r="F218" s="28" t="n"/>
      <c r="G218" s="27" t="n"/>
      <c r="H218" s="29">
        <f>IF(G218="Invoice",IF(ISNUMBER(F218),F218,""),IF(ISNUMBER(E218),E218,""))</f>
        <v/>
      </c>
      <c r="I218" s="30" t="n"/>
      <c r="J218" s="29">
        <f>IF(AND(ISNUMBER(H218),ISNUMBER(I218)),EDATE(H218,I218),"")</f>
        <v/>
      </c>
      <c r="K218" s="30" t="n"/>
      <c r="L218" s="29">
        <f>IF(AND(ISNUMBER(H218),ISNUMBER(K218)),EDATE(H218,K218),"")</f>
        <v/>
      </c>
      <c r="M218" s="29">
        <f>IF(COUNT(J218,L218)=0,"",IF(MIN(J218,L218)&gt;=TODAY(),MIN(J218,L218),MAX(J218,L218)))</f>
        <v/>
      </c>
      <c r="N218" s="31">
        <f>IF(ISNUMBER(M218),M218-TODAY(),"")</f>
        <v/>
      </c>
      <c r="O218" s="32">
        <f>IF(NOT(ISNUMBER(N218)),"",IF(OR(Q218="Taken",Q218="Declined"),"",IF(N218&lt;0,"Lapsed",IF(N218&lt;=7,7,IF(N218&lt;=30,30,IF(N218&lt;=60,60,IF(N218&lt;=90,90,"")))))))</f>
        <v/>
      </c>
      <c r="P218" s="27" t="n"/>
      <c r="Q218" s="27" t="n"/>
      <c r="R218" s="27" t="n"/>
      <c r="S218" s="27" t="n"/>
      <c r="T218" s="27" t="n"/>
    </row>
    <row r="219">
      <c r="A219" s="27" t="n"/>
      <c r="B219" s="27" t="n"/>
      <c r="C219" s="27" t="n"/>
      <c r="D219" s="27" t="n"/>
      <c r="E219" s="28" t="n"/>
      <c r="F219" s="28" t="n"/>
      <c r="G219" s="27" t="n"/>
      <c r="H219" s="29">
        <f>IF(G219="Invoice",IF(ISNUMBER(F219),F219,""),IF(ISNUMBER(E219),E219,""))</f>
        <v/>
      </c>
      <c r="I219" s="30" t="n"/>
      <c r="J219" s="29">
        <f>IF(AND(ISNUMBER(H219),ISNUMBER(I219)),EDATE(H219,I219),"")</f>
        <v/>
      </c>
      <c r="K219" s="30" t="n"/>
      <c r="L219" s="29">
        <f>IF(AND(ISNUMBER(H219),ISNUMBER(K219)),EDATE(H219,K219),"")</f>
        <v/>
      </c>
      <c r="M219" s="29">
        <f>IF(COUNT(J219,L219)=0,"",IF(MIN(J219,L219)&gt;=TODAY(),MIN(J219,L219),MAX(J219,L219)))</f>
        <v/>
      </c>
      <c r="N219" s="31">
        <f>IF(ISNUMBER(M219),M219-TODAY(),"")</f>
        <v/>
      </c>
      <c r="O219" s="32">
        <f>IF(NOT(ISNUMBER(N219)),"",IF(OR(Q219="Taken",Q219="Declined"),"",IF(N219&lt;0,"Lapsed",IF(N219&lt;=7,7,IF(N219&lt;=30,30,IF(N219&lt;=60,60,IF(N219&lt;=90,90,"")))))))</f>
        <v/>
      </c>
      <c r="P219" s="27" t="n"/>
      <c r="Q219" s="27" t="n"/>
      <c r="R219" s="27" t="n"/>
      <c r="S219" s="27" t="n"/>
      <c r="T219" s="27" t="n"/>
    </row>
    <row r="220">
      <c r="A220" s="27" t="n"/>
      <c r="B220" s="27" t="n"/>
      <c r="C220" s="27" t="n"/>
      <c r="D220" s="27" t="n"/>
      <c r="E220" s="28" t="n"/>
      <c r="F220" s="28" t="n"/>
      <c r="G220" s="27" t="n"/>
      <c r="H220" s="29">
        <f>IF(G220="Invoice",IF(ISNUMBER(F220),F220,""),IF(ISNUMBER(E220),E220,""))</f>
        <v/>
      </c>
      <c r="I220" s="30" t="n"/>
      <c r="J220" s="29">
        <f>IF(AND(ISNUMBER(H220),ISNUMBER(I220)),EDATE(H220,I220),"")</f>
        <v/>
      </c>
      <c r="K220" s="30" t="n"/>
      <c r="L220" s="29">
        <f>IF(AND(ISNUMBER(H220),ISNUMBER(K220)),EDATE(H220,K220),"")</f>
        <v/>
      </c>
      <c r="M220" s="29">
        <f>IF(COUNT(J220,L220)=0,"",IF(MIN(J220,L220)&gt;=TODAY(),MIN(J220,L220),MAX(J220,L220)))</f>
        <v/>
      </c>
      <c r="N220" s="31">
        <f>IF(ISNUMBER(M220),M220-TODAY(),"")</f>
        <v/>
      </c>
      <c r="O220" s="32">
        <f>IF(NOT(ISNUMBER(N220)),"",IF(OR(Q220="Taken",Q220="Declined"),"",IF(N220&lt;0,"Lapsed",IF(N220&lt;=7,7,IF(N220&lt;=30,30,IF(N220&lt;=60,60,IF(N220&lt;=90,90,"")))))))</f>
        <v/>
      </c>
      <c r="P220" s="27" t="n"/>
      <c r="Q220" s="27" t="n"/>
      <c r="R220" s="27" t="n"/>
      <c r="S220" s="27" t="n"/>
      <c r="T220" s="27" t="n"/>
    </row>
    <row r="221">
      <c r="A221" s="27" t="n"/>
      <c r="B221" s="27" t="n"/>
      <c r="C221" s="27" t="n"/>
      <c r="D221" s="27" t="n"/>
      <c r="E221" s="28" t="n"/>
      <c r="F221" s="28" t="n"/>
      <c r="G221" s="27" t="n"/>
      <c r="H221" s="29">
        <f>IF(G221="Invoice",IF(ISNUMBER(F221),F221,""),IF(ISNUMBER(E221),E221,""))</f>
        <v/>
      </c>
      <c r="I221" s="30" t="n"/>
      <c r="J221" s="29">
        <f>IF(AND(ISNUMBER(H221),ISNUMBER(I221)),EDATE(H221,I221),"")</f>
        <v/>
      </c>
      <c r="K221" s="30" t="n"/>
      <c r="L221" s="29">
        <f>IF(AND(ISNUMBER(H221),ISNUMBER(K221)),EDATE(H221,K221),"")</f>
        <v/>
      </c>
      <c r="M221" s="29">
        <f>IF(COUNT(J221,L221)=0,"",IF(MIN(J221,L221)&gt;=TODAY(),MIN(J221,L221),MAX(J221,L221)))</f>
        <v/>
      </c>
      <c r="N221" s="31">
        <f>IF(ISNUMBER(M221),M221-TODAY(),"")</f>
        <v/>
      </c>
      <c r="O221" s="32">
        <f>IF(NOT(ISNUMBER(N221)),"",IF(OR(Q221="Taken",Q221="Declined"),"",IF(N221&lt;0,"Lapsed",IF(N221&lt;=7,7,IF(N221&lt;=30,30,IF(N221&lt;=60,60,IF(N221&lt;=90,90,"")))))))</f>
        <v/>
      </c>
      <c r="P221" s="27" t="n"/>
      <c r="Q221" s="27" t="n"/>
      <c r="R221" s="27" t="n"/>
      <c r="S221" s="27" t="n"/>
      <c r="T221" s="27" t="n"/>
    </row>
    <row r="222">
      <c r="A222" s="27" t="n"/>
      <c r="B222" s="27" t="n"/>
      <c r="C222" s="27" t="n"/>
      <c r="D222" s="27" t="n"/>
      <c r="E222" s="28" t="n"/>
      <c r="F222" s="28" t="n"/>
      <c r="G222" s="27" t="n"/>
      <c r="H222" s="29">
        <f>IF(G222="Invoice",IF(ISNUMBER(F222),F222,""),IF(ISNUMBER(E222),E222,""))</f>
        <v/>
      </c>
      <c r="I222" s="30" t="n"/>
      <c r="J222" s="29">
        <f>IF(AND(ISNUMBER(H222),ISNUMBER(I222)),EDATE(H222,I222),"")</f>
        <v/>
      </c>
      <c r="K222" s="30" t="n"/>
      <c r="L222" s="29">
        <f>IF(AND(ISNUMBER(H222),ISNUMBER(K222)),EDATE(H222,K222),"")</f>
        <v/>
      </c>
      <c r="M222" s="29">
        <f>IF(COUNT(J222,L222)=0,"",IF(MIN(J222,L222)&gt;=TODAY(),MIN(J222,L222),MAX(J222,L222)))</f>
        <v/>
      </c>
      <c r="N222" s="31">
        <f>IF(ISNUMBER(M222),M222-TODAY(),"")</f>
        <v/>
      </c>
      <c r="O222" s="32">
        <f>IF(NOT(ISNUMBER(N222)),"",IF(OR(Q222="Taken",Q222="Declined"),"",IF(N222&lt;0,"Lapsed",IF(N222&lt;=7,7,IF(N222&lt;=30,30,IF(N222&lt;=60,60,IF(N222&lt;=90,90,"")))))))</f>
        <v/>
      </c>
      <c r="P222" s="27" t="n"/>
      <c r="Q222" s="27" t="n"/>
      <c r="R222" s="27" t="n"/>
      <c r="S222" s="27" t="n"/>
      <c r="T222" s="27" t="n"/>
    </row>
    <row r="223">
      <c r="A223" s="27" t="n"/>
      <c r="B223" s="27" t="n"/>
      <c r="C223" s="27" t="n"/>
      <c r="D223" s="27" t="n"/>
      <c r="E223" s="28" t="n"/>
      <c r="F223" s="28" t="n"/>
      <c r="G223" s="27" t="n"/>
      <c r="H223" s="29">
        <f>IF(G223="Invoice",IF(ISNUMBER(F223),F223,""),IF(ISNUMBER(E223),E223,""))</f>
        <v/>
      </c>
      <c r="I223" s="30" t="n"/>
      <c r="J223" s="29">
        <f>IF(AND(ISNUMBER(H223),ISNUMBER(I223)),EDATE(H223,I223),"")</f>
        <v/>
      </c>
      <c r="K223" s="30" t="n"/>
      <c r="L223" s="29">
        <f>IF(AND(ISNUMBER(H223),ISNUMBER(K223)),EDATE(H223,K223),"")</f>
        <v/>
      </c>
      <c r="M223" s="29">
        <f>IF(COUNT(J223,L223)=0,"",IF(MIN(J223,L223)&gt;=TODAY(),MIN(J223,L223),MAX(J223,L223)))</f>
        <v/>
      </c>
      <c r="N223" s="31">
        <f>IF(ISNUMBER(M223),M223-TODAY(),"")</f>
        <v/>
      </c>
      <c r="O223" s="32">
        <f>IF(NOT(ISNUMBER(N223)),"",IF(OR(Q223="Taken",Q223="Declined"),"",IF(N223&lt;0,"Lapsed",IF(N223&lt;=7,7,IF(N223&lt;=30,30,IF(N223&lt;=60,60,IF(N223&lt;=90,90,"")))))))</f>
        <v/>
      </c>
      <c r="P223" s="27" t="n"/>
      <c r="Q223" s="27" t="n"/>
      <c r="R223" s="27" t="n"/>
      <c r="S223" s="27" t="n"/>
      <c r="T223" s="27" t="n"/>
    </row>
    <row r="224">
      <c r="A224" s="27" t="n"/>
      <c r="B224" s="27" t="n"/>
      <c r="C224" s="27" t="n"/>
      <c r="D224" s="27" t="n"/>
      <c r="E224" s="28" t="n"/>
      <c r="F224" s="28" t="n"/>
      <c r="G224" s="27" t="n"/>
      <c r="H224" s="29">
        <f>IF(G224="Invoice",IF(ISNUMBER(F224),F224,""),IF(ISNUMBER(E224),E224,""))</f>
        <v/>
      </c>
      <c r="I224" s="30" t="n"/>
      <c r="J224" s="29">
        <f>IF(AND(ISNUMBER(H224),ISNUMBER(I224)),EDATE(H224,I224),"")</f>
        <v/>
      </c>
      <c r="K224" s="30" t="n"/>
      <c r="L224" s="29">
        <f>IF(AND(ISNUMBER(H224),ISNUMBER(K224)),EDATE(H224,K224),"")</f>
        <v/>
      </c>
      <c r="M224" s="29">
        <f>IF(COUNT(J224,L224)=0,"",IF(MIN(J224,L224)&gt;=TODAY(),MIN(J224,L224),MAX(J224,L224)))</f>
        <v/>
      </c>
      <c r="N224" s="31">
        <f>IF(ISNUMBER(M224),M224-TODAY(),"")</f>
        <v/>
      </c>
      <c r="O224" s="32">
        <f>IF(NOT(ISNUMBER(N224)),"",IF(OR(Q224="Taken",Q224="Declined"),"",IF(N224&lt;0,"Lapsed",IF(N224&lt;=7,7,IF(N224&lt;=30,30,IF(N224&lt;=60,60,IF(N224&lt;=90,90,"")))))))</f>
        <v/>
      </c>
      <c r="P224" s="27" t="n"/>
      <c r="Q224" s="27" t="n"/>
      <c r="R224" s="27" t="n"/>
      <c r="S224" s="27" t="n"/>
      <c r="T224" s="27" t="n"/>
    </row>
    <row r="225">
      <c r="A225" s="27" t="n"/>
      <c r="B225" s="27" t="n"/>
      <c r="C225" s="27" t="n"/>
      <c r="D225" s="27" t="n"/>
      <c r="E225" s="28" t="n"/>
      <c r="F225" s="28" t="n"/>
      <c r="G225" s="27" t="n"/>
      <c r="H225" s="29">
        <f>IF(G225="Invoice",IF(ISNUMBER(F225),F225,""),IF(ISNUMBER(E225),E225,""))</f>
        <v/>
      </c>
      <c r="I225" s="30" t="n"/>
      <c r="J225" s="29">
        <f>IF(AND(ISNUMBER(H225),ISNUMBER(I225)),EDATE(H225,I225),"")</f>
        <v/>
      </c>
      <c r="K225" s="30" t="n"/>
      <c r="L225" s="29">
        <f>IF(AND(ISNUMBER(H225),ISNUMBER(K225)),EDATE(H225,K225),"")</f>
        <v/>
      </c>
      <c r="M225" s="29">
        <f>IF(COUNT(J225,L225)=0,"",IF(MIN(J225,L225)&gt;=TODAY(),MIN(J225,L225),MAX(J225,L225)))</f>
        <v/>
      </c>
      <c r="N225" s="31">
        <f>IF(ISNUMBER(M225),M225-TODAY(),"")</f>
        <v/>
      </c>
      <c r="O225" s="32">
        <f>IF(NOT(ISNUMBER(N225)),"",IF(OR(Q225="Taken",Q225="Declined"),"",IF(N225&lt;0,"Lapsed",IF(N225&lt;=7,7,IF(N225&lt;=30,30,IF(N225&lt;=60,60,IF(N225&lt;=90,90,"")))))))</f>
        <v/>
      </c>
      <c r="P225" s="27" t="n"/>
      <c r="Q225" s="27" t="n"/>
      <c r="R225" s="27" t="n"/>
      <c r="S225" s="27" t="n"/>
      <c r="T225" s="27" t="n"/>
    </row>
    <row r="226">
      <c r="A226" s="27" t="n"/>
      <c r="B226" s="27" t="n"/>
      <c r="C226" s="27" t="n"/>
      <c r="D226" s="27" t="n"/>
      <c r="E226" s="28" t="n"/>
      <c r="F226" s="28" t="n"/>
      <c r="G226" s="27" t="n"/>
      <c r="H226" s="29">
        <f>IF(G226="Invoice",IF(ISNUMBER(F226),F226,""),IF(ISNUMBER(E226),E226,""))</f>
        <v/>
      </c>
      <c r="I226" s="30" t="n"/>
      <c r="J226" s="29">
        <f>IF(AND(ISNUMBER(H226),ISNUMBER(I226)),EDATE(H226,I226),"")</f>
        <v/>
      </c>
      <c r="K226" s="30" t="n"/>
      <c r="L226" s="29">
        <f>IF(AND(ISNUMBER(H226),ISNUMBER(K226)),EDATE(H226,K226),"")</f>
        <v/>
      </c>
      <c r="M226" s="29">
        <f>IF(COUNT(J226,L226)=0,"",IF(MIN(J226,L226)&gt;=TODAY(),MIN(J226,L226),MAX(J226,L226)))</f>
        <v/>
      </c>
      <c r="N226" s="31">
        <f>IF(ISNUMBER(M226),M226-TODAY(),"")</f>
        <v/>
      </c>
      <c r="O226" s="32">
        <f>IF(NOT(ISNUMBER(N226)),"",IF(OR(Q226="Taken",Q226="Declined"),"",IF(N226&lt;0,"Lapsed",IF(N226&lt;=7,7,IF(N226&lt;=30,30,IF(N226&lt;=60,60,IF(N226&lt;=90,90,"")))))))</f>
        <v/>
      </c>
      <c r="P226" s="27" t="n"/>
      <c r="Q226" s="27" t="n"/>
      <c r="R226" s="27" t="n"/>
      <c r="S226" s="27" t="n"/>
      <c r="T226" s="27" t="n"/>
    </row>
    <row r="227">
      <c r="A227" s="27" t="n"/>
      <c r="B227" s="27" t="n"/>
      <c r="C227" s="27" t="n"/>
      <c r="D227" s="27" t="n"/>
      <c r="E227" s="28" t="n"/>
      <c r="F227" s="28" t="n"/>
      <c r="G227" s="27" t="n"/>
      <c r="H227" s="29">
        <f>IF(G227="Invoice",IF(ISNUMBER(F227),F227,""),IF(ISNUMBER(E227),E227,""))</f>
        <v/>
      </c>
      <c r="I227" s="30" t="n"/>
      <c r="J227" s="29">
        <f>IF(AND(ISNUMBER(H227),ISNUMBER(I227)),EDATE(H227,I227),"")</f>
        <v/>
      </c>
      <c r="K227" s="30" t="n"/>
      <c r="L227" s="29">
        <f>IF(AND(ISNUMBER(H227),ISNUMBER(K227)),EDATE(H227,K227),"")</f>
        <v/>
      </c>
      <c r="M227" s="29">
        <f>IF(COUNT(J227,L227)=0,"",IF(MIN(J227,L227)&gt;=TODAY(),MIN(J227,L227),MAX(J227,L227)))</f>
        <v/>
      </c>
      <c r="N227" s="31">
        <f>IF(ISNUMBER(M227),M227-TODAY(),"")</f>
        <v/>
      </c>
      <c r="O227" s="32">
        <f>IF(NOT(ISNUMBER(N227)),"",IF(OR(Q227="Taken",Q227="Declined"),"",IF(N227&lt;0,"Lapsed",IF(N227&lt;=7,7,IF(N227&lt;=30,30,IF(N227&lt;=60,60,IF(N227&lt;=90,90,"")))))))</f>
        <v/>
      </c>
      <c r="P227" s="27" t="n"/>
      <c r="Q227" s="27" t="n"/>
      <c r="R227" s="27" t="n"/>
      <c r="S227" s="27" t="n"/>
      <c r="T227" s="27" t="n"/>
    </row>
    <row r="228">
      <c r="A228" s="27" t="n"/>
      <c r="B228" s="27" t="n"/>
      <c r="C228" s="27" t="n"/>
      <c r="D228" s="27" t="n"/>
      <c r="E228" s="28" t="n"/>
      <c r="F228" s="28" t="n"/>
      <c r="G228" s="27" t="n"/>
      <c r="H228" s="29">
        <f>IF(G228="Invoice",IF(ISNUMBER(F228),F228,""),IF(ISNUMBER(E228),E228,""))</f>
        <v/>
      </c>
      <c r="I228" s="30" t="n"/>
      <c r="J228" s="29">
        <f>IF(AND(ISNUMBER(H228),ISNUMBER(I228)),EDATE(H228,I228),"")</f>
        <v/>
      </c>
      <c r="K228" s="30" t="n"/>
      <c r="L228" s="29">
        <f>IF(AND(ISNUMBER(H228),ISNUMBER(K228)),EDATE(H228,K228),"")</f>
        <v/>
      </c>
      <c r="M228" s="29">
        <f>IF(COUNT(J228,L228)=0,"",IF(MIN(J228,L228)&gt;=TODAY(),MIN(J228,L228),MAX(J228,L228)))</f>
        <v/>
      </c>
      <c r="N228" s="31">
        <f>IF(ISNUMBER(M228),M228-TODAY(),"")</f>
        <v/>
      </c>
      <c r="O228" s="32">
        <f>IF(NOT(ISNUMBER(N228)),"",IF(OR(Q228="Taken",Q228="Declined"),"",IF(N228&lt;0,"Lapsed",IF(N228&lt;=7,7,IF(N228&lt;=30,30,IF(N228&lt;=60,60,IF(N228&lt;=90,90,"")))))))</f>
        <v/>
      </c>
      <c r="P228" s="27" t="n"/>
      <c r="Q228" s="27" t="n"/>
      <c r="R228" s="27" t="n"/>
      <c r="S228" s="27" t="n"/>
      <c r="T228" s="27" t="n"/>
    </row>
    <row r="229">
      <c r="A229" s="27" t="n"/>
      <c r="B229" s="27" t="n"/>
      <c r="C229" s="27" t="n"/>
      <c r="D229" s="27" t="n"/>
      <c r="E229" s="28" t="n"/>
      <c r="F229" s="28" t="n"/>
      <c r="G229" s="27" t="n"/>
      <c r="H229" s="29">
        <f>IF(G229="Invoice",IF(ISNUMBER(F229),F229,""),IF(ISNUMBER(E229),E229,""))</f>
        <v/>
      </c>
      <c r="I229" s="30" t="n"/>
      <c r="J229" s="29">
        <f>IF(AND(ISNUMBER(H229),ISNUMBER(I229)),EDATE(H229,I229),"")</f>
        <v/>
      </c>
      <c r="K229" s="30" t="n"/>
      <c r="L229" s="29">
        <f>IF(AND(ISNUMBER(H229),ISNUMBER(K229)),EDATE(H229,K229),"")</f>
        <v/>
      </c>
      <c r="M229" s="29">
        <f>IF(COUNT(J229,L229)=0,"",IF(MIN(J229,L229)&gt;=TODAY(),MIN(J229,L229),MAX(J229,L229)))</f>
        <v/>
      </c>
      <c r="N229" s="31">
        <f>IF(ISNUMBER(M229),M229-TODAY(),"")</f>
        <v/>
      </c>
      <c r="O229" s="32">
        <f>IF(NOT(ISNUMBER(N229)),"",IF(OR(Q229="Taken",Q229="Declined"),"",IF(N229&lt;0,"Lapsed",IF(N229&lt;=7,7,IF(N229&lt;=30,30,IF(N229&lt;=60,60,IF(N229&lt;=90,90,"")))))))</f>
        <v/>
      </c>
      <c r="P229" s="27" t="n"/>
      <c r="Q229" s="27" t="n"/>
      <c r="R229" s="27" t="n"/>
      <c r="S229" s="27" t="n"/>
      <c r="T229" s="27" t="n"/>
    </row>
    <row r="230">
      <c r="A230" s="27" t="n"/>
      <c r="B230" s="27" t="n"/>
      <c r="C230" s="27" t="n"/>
      <c r="D230" s="27" t="n"/>
      <c r="E230" s="28" t="n"/>
      <c r="F230" s="28" t="n"/>
      <c r="G230" s="27" t="n"/>
      <c r="H230" s="29">
        <f>IF(G230="Invoice",IF(ISNUMBER(F230),F230,""),IF(ISNUMBER(E230),E230,""))</f>
        <v/>
      </c>
      <c r="I230" s="30" t="n"/>
      <c r="J230" s="29">
        <f>IF(AND(ISNUMBER(H230),ISNUMBER(I230)),EDATE(H230,I230),"")</f>
        <v/>
      </c>
      <c r="K230" s="30" t="n"/>
      <c r="L230" s="29">
        <f>IF(AND(ISNUMBER(H230),ISNUMBER(K230)),EDATE(H230,K230),"")</f>
        <v/>
      </c>
      <c r="M230" s="29">
        <f>IF(COUNT(J230,L230)=0,"",IF(MIN(J230,L230)&gt;=TODAY(),MIN(J230,L230),MAX(J230,L230)))</f>
        <v/>
      </c>
      <c r="N230" s="31">
        <f>IF(ISNUMBER(M230),M230-TODAY(),"")</f>
        <v/>
      </c>
      <c r="O230" s="32">
        <f>IF(NOT(ISNUMBER(N230)),"",IF(OR(Q230="Taken",Q230="Declined"),"",IF(N230&lt;0,"Lapsed",IF(N230&lt;=7,7,IF(N230&lt;=30,30,IF(N230&lt;=60,60,IF(N230&lt;=90,90,"")))))))</f>
        <v/>
      </c>
      <c r="P230" s="27" t="n"/>
      <c r="Q230" s="27" t="n"/>
      <c r="R230" s="27" t="n"/>
      <c r="S230" s="27" t="n"/>
      <c r="T230" s="27" t="n"/>
    </row>
    <row r="231">
      <c r="A231" s="27" t="n"/>
      <c r="B231" s="27" t="n"/>
      <c r="C231" s="27" t="n"/>
      <c r="D231" s="27" t="n"/>
      <c r="E231" s="28" t="n"/>
      <c r="F231" s="28" t="n"/>
      <c r="G231" s="27" t="n"/>
      <c r="H231" s="29">
        <f>IF(G231="Invoice",IF(ISNUMBER(F231),F231,""),IF(ISNUMBER(E231),E231,""))</f>
        <v/>
      </c>
      <c r="I231" s="30" t="n"/>
      <c r="J231" s="29">
        <f>IF(AND(ISNUMBER(H231),ISNUMBER(I231)),EDATE(H231,I231),"")</f>
        <v/>
      </c>
      <c r="K231" s="30" t="n"/>
      <c r="L231" s="29">
        <f>IF(AND(ISNUMBER(H231),ISNUMBER(K231)),EDATE(H231,K231),"")</f>
        <v/>
      </c>
      <c r="M231" s="29">
        <f>IF(COUNT(J231,L231)=0,"",IF(MIN(J231,L231)&gt;=TODAY(),MIN(J231,L231),MAX(J231,L231)))</f>
        <v/>
      </c>
      <c r="N231" s="31">
        <f>IF(ISNUMBER(M231),M231-TODAY(),"")</f>
        <v/>
      </c>
      <c r="O231" s="32">
        <f>IF(NOT(ISNUMBER(N231)),"",IF(OR(Q231="Taken",Q231="Declined"),"",IF(N231&lt;0,"Lapsed",IF(N231&lt;=7,7,IF(N231&lt;=30,30,IF(N231&lt;=60,60,IF(N231&lt;=90,90,"")))))))</f>
        <v/>
      </c>
      <c r="P231" s="27" t="n"/>
      <c r="Q231" s="27" t="n"/>
      <c r="R231" s="27" t="n"/>
      <c r="S231" s="27" t="n"/>
      <c r="T231" s="27" t="n"/>
    </row>
    <row r="232">
      <c r="A232" s="27" t="n"/>
      <c r="B232" s="27" t="n"/>
      <c r="C232" s="27" t="n"/>
      <c r="D232" s="27" t="n"/>
      <c r="E232" s="28" t="n"/>
      <c r="F232" s="28" t="n"/>
      <c r="G232" s="27" t="n"/>
      <c r="H232" s="29">
        <f>IF(G232="Invoice",IF(ISNUMBER(F232),F232,""),IF(ISNUMBER(E232),E232,""))</f>
        <v/>
      </c>
      <c r="I232" s="30" t="n"/>
      <c r="J232" s="29">
        <f>IF(AND(ISNUMBER(H232),ISNUMBER(I232)),EDATE(H232,I232),"")</f>
        <v/>
      </c>
      <c r="K232" s="30" t="n"/>
      <c r="L232" s="29">
        <f>IF(AND(ISNUMBER(H232),ISNUMBER(K232)),EDATE(H232,K232),"")</f>
        <v/>
      </c>
      <c r="M232" s="29">
        <f>IF(COUNT(J232,L232)=0,"",IF(MIN(J232,L232)&gt;=TODAY(),MIN(J232,L232),MAX(J232,L232)))</f>
        <v/>
      </c>
      <c r="N232" s="31">
        <f>IF(ISNUMBER(M232),M232-TODAY(),"")</f>
        <v/>
      </c>
      <c r="O232" s="32">
        <f>IF(NOT(ISNUMBER(N232)),"",IF(OR(Q232="Taken",Q232="Declined"),"",IF(N232&lt;0,"Lapsed",IF(N232&lt;=7,7,IF(N232&lt;=30,30,IF(N232&lt;=60,60,IF(N232&lt;=90,90,"")))))))</f>
        <v/>
      </c>
      <c r="P232" s="27" t="n"/>
      <c r="Q232" s="27" t="n"/>
      <c r="R232" s="27" t="n"/>
      <c r="S232" s="27" t="n"/>
      <c r="T232" s="27" t="n"/>
    </row>
    <row r="233">
      <c r="A233" s="27" t="n"/>
      <c r="B233" s="27" t="n"/>
      <c r="C233" s="27" t="n"/>
      <c r="D233" s="27" t="n"/>
      <c r="E233" s="28" t="n"/>
      <c r="F233" s="28" t="n"/>
      <c r="G233" s="27" t="n"/>
      <c r="H233" s="29">
        <f>IF(G233="Invoice",IF(ISNUMBER(F233),F233,""),IF(ISNUMBER(E233),E233,""))</f>
        <v/>
      </c>
      <c r="I233" s="30" t="n"/>
      <c r="J233" s="29">
        <f>IF(AND(ISNUMBER(H233),ISNUMBER(I233)),EDATE(H233,I233),"")</f>
        <v/>
      </c>
      <c r="K233" s="30" t="n"/>
      <c r="L233" s="29">
        <f>IF(AND(ISNUMBER(H233),ISNUMBER(K233)),EDATE(H233,K233),"")</f>
        <v/>
      </c>
      <c r="M233" s="29">
        <f>IF(COUNT(J233,L233)=0,"",IF(MIN(J233,L233)&gt;=TODAY(),MIN(J233,L233),MAX(J233,L233)))</f>
        <v/>
      </c>
      <c r="N233" s="31">
        <f>IF(ISNUMBER(M233),M233-TODAY(),"")</f>
        <v/>
      </c>
      <c r="O233" s="32">
        <f>IF(NOT(ISNUMBER(N233)),"",IF(OR(Q233="Taken",Q233="Declined"),"",IF(N233&lt;0,"Lapsed",IF(N233&lt;=7,7,IF(N233&lt;=30,30,IF(N233&lt;=60,60,IF(N233&lt;=90,90,"")))))))</f>
        <v/>
      </c>
      <c r="P233" s="27" t="n"/>
      <c r="Q233" s="27" t="n"/>
      <c r="R233" s="27" t="n"/>
      <c r="S233" s="27" t="n"/>
      <c r="T233" s="27" t="n"/>
    </row>
    <row r="234">
      <c r="A234" s="27" t="n"/>
      <c r="B234" s="27" t="n"/>
      <c r="C234" s="27" t="n"/>
      <c r="D234" s="27" t="n"/>
      <c r="E234" s="28" t="n"/>
      <c r="F234" s="28" t="n"/>
      <c r="G234" s="27" t="n"/>
      <c r="H234" s="29">
        <f>IF(G234="Invoice",IF(ISNUMBER(F234),F234,""),IF(ISNUMBER(E234),E234,""))</f>
        <v/>
      </c>
      <c r="I234" s="30" t="n"/>
      <c r="J234" s="29">
        <f>IF(AND(ISNUMBER(H234),ISNUMBER(I234)),EDATE(H234,I234),"")</f>
        <v/>
      </c>
      <c r="K234" s="30" t="n"/>
      <c r="L234" s="29">
        <f>IF(AND(ISNUMBER(H234),ISNUMBER(K234)),EDATE(H234,K234),"")</f>
        <v/>
      </c>
      <c r="M234" s="29">
        <f>IF(COUNT(J234,L234)=0,"",IF(MIN(J234,L234)&gt;=TODAY(),MIN(J234,L234),MAX(J234,L234)))</f>
        <v/>
      </c>
      <c r="N234" s="31">
        <f>IF(ISNUMBER(M234),M234-TODAY(),"")</f>
        <v/>
      </c>
      <c r="O234" s="32">
        <f>IF(NOT(ISNUMBER(N234)),"",IF(OR(Q234="Taken",Q234="Declined"),"",IF(N234&lt;0,"Lapsed",IF(N234&lt;=7,7,IF(N234&lt;=30,30,IF(N234&lt;=60,60,IF(N234&lt;=90,90,"")))))))</f>
        <v/>
      </c>
      <c r="P234" s="27" t="n"/>
      <c r="Q234" s="27" t="n"/>
      <c r="R234" s="27" t="n"/>
      <c r="S234" s="27" t="n"/>
      <c r="T234" s="27" t="n"/>
    </row>
    <row r="235">
      <c r="A235" s="27" t="n"/>
      <c r="B235" s="27" t="n"/>
      <c r="C235" s="27" t="n"/>
      <c r="D235" s="27" t="n"/>
      <c r="E235" s="28" t="n"/>
      <c r="F235" s="28" t="n"/>
      <c r="G235" s="27" t="n"/>
      <c r="H235" s="29">
        <f>IF(G235="Invoice",IF(ISNUMBER(F235),F235,""),IF(ISNUMBER(E235),E235,""))</f>
        <v/>
      </c>
      <c r="I235" s="30" t="n"/>
      <c r="J235" s="29">
        <f>IF(AND(ISNUMBER(H235),ISNUMBER(I235)),EDATE(H235,I235),"")</f>
        <v/>
      </c>
      <c r="K235" s="30" t="n"/>
      <c r="L235" s="29">
        <f>IF(AND(ISNUMBER(H235),ISNUMBER(K235)),EDATE(H235,K235),"")</f>
        <v/>
      </c>
      <c r="M235" s="29">
        <f>IF(COUNT(J235,L235)=0,"",IF(MIN(J235,L235)&gt;=TODAY(),MIN(J235,L235),MAX(J235,L235)))</f>
        <v/>
      </c>
      <c r="N235" s="31">
        <f>IF(ISNUMBER(M235),M235-TODAY(),"")</f>
        <v/>
      </c>
      <c r="O235" s="32">
        <f>IF(NOT(ISNUMBER(N235)),"",IF(OR(Q235="Taken",Q235="Declined"),"",IF(N235&lt;0,"Lapsed",IF(N235&lt;=7,7,IF(N235&lt;=30,30,IF(N235&lt;=60,60,IF(N235&lt;=90,90,"")))))))</f>
        <v/>
      </c>
      <c r="P235" s="27" t="n"/>
      <c r="Q235" s="27" t="n"/>
      <c r="R235" s="27" t="n"/>
      <c r="S235" s="27" t="n"/>
      <c r="T235" s="27" t="n"/>
    </row>
    <row r="236">
      <c r="A236" s="27" t="n"/>
      <c r="B236" s="27" t="n"/>
      <c r="C236" s="27" t="n"/>
      <c r="D236" s="27" t="n"/>
      <c r="E236" s="28" t="n"/>
      <c r="F236" s="28" t="n"/>
      <c r="G236" s="27" t="n"/>
      <c r="H236" s="29">
        <f>IF(G236="Invoice",IF(ISNUMBER(F236),F236,""),IF(ISNUMBER(E236),E236,""))</f>
        <v/>
      </c>
      <c r="I236" s="30" t="n"/>
      <c r="J236" s="29">
        <f>IF(AND(ISNUMBER(H236),ISNUMBER(I236)),EDATE(H236,I236),"")</f>
        <v/>
      </c>
      <c r="K236" s="30" t="n"/>
      <c r="L236" s="29">
        <f>IF(AND(ISNUMBER(H236),ISNUMBER(K236)),EDATE(H236,K236),"")</f>
        <v/>
      </c>
      <c r="M236" s="29">
        <f>IF(COUNT(J236,L236)=0,"",IF(MIN(J236,L236)&gt;=TODAY(),MIN(J236,L236),MAX(J236,L236)))</f>
        <v/>
      </c>
      <c r="N236" s="31">
        <f>IF(ISNUMBER(M236),M236-TODAY(),"")</f>
        <v/>
      </c>
      <c r="O236" s="32">
        <f>IF(NOT(ISNUMBER(N236)),"",IF(OR(Q236="Taken",Q236="Declined"),"",IF(N236&lt;0,"Lapsed",IF(N236&lt;=7,7,IF(N236&lt;=30,30,IF(N236&lt;=60,60,IF(N236&lt;=90,90,"")))))))</f>
        <v/>
      </c>
      <c r="P236" s="27" t="n"/>
      <c r="Q236" s="27" t="n"/>
      <c r="R236" s="27" t="n"/>
      <c r="S236" s="27" t="n"/>
      <c r="T236" s="27" t="n"/>
    </row>
    <row r="237">
      <c r="A237" s="27" t="n"/>
      <c r="B237" s="27" t="n"/>
      <c r="C237" s="27" t="n"/>
      <c r="D237" s="27" t="n"/>
      <c r="E237" s="28" t="n"/>
      <c r="F237" s="28" t="n"/>
      <c r="G237" s="27" t="n"/>
      <c r="H237" s="29">
        <f>IF(G237="Invoice",IF(ISNUMBER(F237),F237,""),IF(ISNUMBER(E237),E237,""))</f>
        <v/>
      </c>
      <c r="I237" s="30" t="n"/>
      <c r="J237" s="29">
        <f>IF(AND(ISNUMBER(H237),ISNUMBER(I237)),EDATE(H237,I237),"")</f>
        <v/>
      </c>
      <c r="K237" s="30" t="n"/>
      <c r="L237" s="29">
        <f>IF(AND(ISNUMBER(H237),ISNUMBER(K237)),EDATE(H237,K237),"")</f>
        <v/>
      </c>
      <c r="M237" s="29">
        <f>IF(COUNT(J237,L237)=0,"",IF(MIN(J237,L237)&gt;=TODAY(),MIN(J237,L237),MAX(J237,L237)))</f>
        <v/>
      </c>
      <c r="N237" s="31">
        <f>IF(ISNUMBER(M237),M237-TODAY(),"")</f>
        <v/>
      </c>
      <c r="O237" s="32">
        <f>IF(NOT(ISNUMBER(N237)),"",IF(OR(Q237="Taken",Q237="Declined"),"",IF(N237&lt;0,"Lapsed",IF(N237&lt;=7,7,IF(N237&lt;=30,30,IF(N237&lt;=60,60,IF(N237&lt;=90,90,"")))))))</f>
        <v/>
      </c>
      <c r="P237" s="27" t="n"/>
      <c r="Q237" s="27" t="n"/>
      <c r="R237" s="27" t="n"/>
      <c r="S237" s="27" t="n"/>
      <c r="T237" s="27" t="n"/>
    </row>
    <row r="238">
      <c r="A238" s="27" t="n"/>
      <c r="B238" s="27" t="n"/>
      <c r="C238" s="27" t="n"/>
      <c r="D238" s="27" t="n"/>
      <c r="E238" s="28" t="n"/>
      <c r="F238" s="28" t="n"/>
      <c r="G238" s="27" t="n"/>
      <c r="H238" s="29">
        <f>IF(G238="Invoice",IF(ISNUMBER(F238),F238,""),IF(ISNUMBER(E238),E238,""))</f>
        <v/>
      </c>
      <c r="I238" s="30" t="n"/>
      <c r="J238" s="29">
        <f>IF(AND(ISNUMBER(H238),ISNUMBER(I238)),EDATE(H238,I238),"")</f>
        <v/>
      </c>
      <c r="K238" s="30" t="n"/>
      <c r="L238" s="29">
        <f>IF(AND(ISNUMBER(H238),ISNUMBER(K238)),EDATE(H238,K238),"")</f>
        <v/>
      </c>
      <c r="M238" s="29">
        <f>IF(COUNT(J238,L238)=0,"",IF(MIN(J238,L238)&gt;=TODAY(),MIN(J238,L238),MAX(J238,L238)))</f>
        <v/>
      </c>
      <c r="N238" s="31">
        <f>IF(ISNUMBER(M238),M238-TODAY(),"")</f>
        <v/>
      </c>
      <c r="O238" s="32">
        <f>IF(NOT(ISNUMBER(N238)),"",IF(OR(Q238="Taken",Q238="Declined"),"",IF(N238&lt;0,"Lapsed",IF(N238&lt;=7,7,IF(N238&lt;=30,30,IF(N238&lt;=60,60,IF(N238&lt;=90,90,"")))))))</f>
        <v/>
      </c>
      <c r="P238" s="27" t="n"/>
      <c r="Q238" s="27" t="n"/>
      <c r="R238" s="27" t="n"/>
      <c r="S238" s="27" t="n"/>
      <c r="T238" s="27" t="n"/>
    </row>
    <row r="239">
      <c r="A239" s="27" t="n"/>
      <c r="B239" s="27" t="n"/>
      <c r="C239" s="27" t="n"/>
      <c r="D239" s="27" t="n"/>
      <c r="E239" s="28" t="n"/>
      <c r="F239" s="28" t="n"/>
      <c r="G239" s="27" t="n"/>
      <c r="H239" s="29">
        <f>IF(G239="Invoice",IF(ISNUMBER(F239),F239,""),IF(ISNUMBER(E239),E239,""))</f>
        <v/>
      </c>
      <c r="I239" s="30" t="n"/>
      <c r="J239" s="29">
        <f>IF(AND(ISNUMBER(H239),ISNUMBER(I239)),EDATE(H239,I239),"")</f>
        <v/>
      </c>
      <c r="K239" s="30" t="n"/>
      <c r="L239" s="29">
        <f>IF(AND(ISNUMBER(H239),ISNUMBER(K239)),EDATE(H239,K239),"")</f>
        <v/>
      </c>
      <c r="M239" s="29">
        <f>IF(COUNT(J239,L239)=0,"",IF(MIN(J239,L239)&gt;=TODAY(),MIN(J239,L239),MAX(J239,L239)))</f>
        <v/>
      </c>
      <c r="N239" s="31">
        <f>IF(ISNUMBER(M239),M239-TODAY(),"")</f>
        <v/>
      </c>
      <c r="O239" s="32">
        <f>IF(NOT(ISNUMBER(N239)),"",IF(OR(Q239="Taken",Q239="Declined"),"",IF(N239&lt;0,"Lapsed",IF(N239&lt;=7,7,IF(N239&lt;=30,30,IF(N239&lt;=60,60,IF(N239&lt;=90,90,"")))))))</f>
        <v/>
      </c>
      <c r="P239" s="27" t="n"/>
      <c r="Q239" s="27" t="n"/>
      <c r="R239" s="27" t="n"/>
      <c r="S239" s="27" t="n"/>
      <c r="T239" s="27" t="n"/>
    </row>
    <row r="240">
      <c r="A240" s="27" t="n"/>
      <c r="B240" s="27" t="n"/>
      <c r="C240" s="27" t="n"/>
      <c r="D240" s="27" t="n"/>
      <c r="E240" s="28" t="n"/>
      <c r="F240" s="28" t="n"/>
      <c r="G240" s="27" t="n"/>
      <c r="H240" s="29">
        <f>IF(G240="Invoice",IF(ISNUMBER(F240),F240,""),IF(ISNUMBER(E240),E240,""))</f>
        <v/>
      </c>
      <c r="I240" s="30" t="n"/>
      <c r="J240" s="29">
        <f>IF(AND(ISNUMBER(H240),ISNUMBER(I240)),EDATE(H240,I240),"")</f>
        <v/>
      </c>
      <c r="K240" s="30" t="n"/>
      <c r="L240" s="29">
        <f>IF(AND(ISNUMBER(H240),ISNUMBER(K240)),EDATE(H240,K240),"")</f>
        <v/>
      </c>
      <c r="M240" s="29">
        <f>IF(COUNT(J240,L240)=0,"",IF(MIN(J240,L240)&gt;=TODAY(),MIN(J240,L240),MAX(J240,L240)))</f>
        <v/>
      </c>
      <c r="N240" s="31">
        <f>IF(ISNUMBER(M240),M240-TODAY(),"")</f>
        <v/>
      </c>
      <c r="O240" s="32">
        <f>IF(NOT(ISNUMBER(N240)),"",IF(OR(Q240="Taken",Q240="Declined"),"",IF(N240&lt;0,"Lapsed",IF(N240&lt;=7,7,IF(N240&lt;=30,30,IF(N240&lt;=60,60,IF(N240&lt;=90,90,"")))))))</f>
        <v/>
      </c>
      <c r="P240" s="27" t="n"/>
      <c r="Q240" s="27" t="n"/>
      <c r="R240" s="27" t="n"/>
      <c r="S240" s="27" t="n"/>
      <c r="T240" s="27" t="n"/>
    </row>
    <row r="241">
      <c r="A241" s="27" t="n"/>
      <c r="B241" s="27" t="n"/>
      <c r="C241" s="27" t="n"/>
      <c r="D241" s="27" t="n"/>
      <c r="E241" s="28" t="n"/>
      <c r="F241" s="28" t="n"/>
      <c r="G241" s="27" t="n"/>
      <c r="H241" s="29">
        <f>IF(G241="Invoice",IF(ISNUMBER(F241),F241,""),IF(ISNUMBER(E241),E241,""))</f>
        <v/>
      </c>
      <c r="I241" s="30" t="n"/>
      <c r="J241" s="29">
        <f>IF(AND(ISNUMBER(H241),ISNUMBER(I241)),EDATE(H241,I241),"")</f>
        <v/>
      </c>
      <c r="K241" s="30" t="n"/>
      <c r="L241" s="29">
        <f>IF(AND(ISNUMBER(H241),ISNUMBER(K241)),EDATE(H241,K241),"")</f>
        <v/>
      </c>
      <c r="M241" s="29">
        <f>IF(COUNT(J241,L241)=0,"",IF(MIN(J241,L241)&gt;=TODAY(),MIN(J241,L241),MAX(J241,L241)))</f>
        <v/>
      </c>
      <c r="N241" s="31">
        <f>IF(ISNUMBER(M241),M241-TODAY(),"")</f>
        <v/>
      </c>
      <c r="O241" s="32">
        <f>IF(NOT(ISNUMBER(N241)),"",IF(OR(Q241="Taken",Q241="Declined"),"",IF(N241&lt;0,"Lapsed",IF(N241&lt;=7,7,IF(N241&lt;=30,30,IF(N241&lt;=60,60,IF(N241&lt;=90,90,"")))))))</f>
        <v/>
      </c>
      <c r="P241" s="27" t="n"/>
      <c r="Q241" s="27" t="n"/>
      <c r="R241" s="27" t="n"/>
      <c r="S241" s="27" t="n"/>
      <c r="T241" s="27" t="n"/>
    </row>
    <row r="242">
      <c r="A242" s="27" t="n"/>
      <c r="B242" s="27" t="n"/>
      <c r="C242" s="27" t="n"/>
      <c r="D242" s="27" t="n"/>
      <c r="E242" s="28" t="n"/>
      <c r="F242" s="28" t="n"/>
      <c r="G242" s="27" t="n"/>
      <c r="H242" s="29">
        <f>IF(G242="Invoice",IF(ISNUMBER(F242),F242,""),IF(ISNUMBER(E242),E242,""))</f>
        <v/>
      </c>
      <c r="I242" s="30" t="n"/>
      <c r="J242" s="29">
        <f>IF(AND(ISNUMBER(H242),ISNUMBER(I242)),EDATE(H242,I242),"")</f>
        <v/>
      </c>
      <c r="K242" s="30" t="n"/>
      <c r="L242" s="29">
        <f>IF(AND(ISNUMBER(H242),ISNUMBER(K242)),EDATE(H242,K242),"")</f>
        <v/>
      </c>
      <c r="M242" s="29">
        <f>IF(COUNT(J242,L242)=0,"",IF(MIN(J242,L242)&gt;=TODAY(),MIN(J242,L242),MAX(J242,L242)))</f>
        <v/>
      </c>
      <c r="N242" s="31">
        <f>IF(ISNUMBER(M242),M242-TODAY(),"")</f>
        <v/>
      </c>
      <c r="O242" s="32">
        <f>IF(NOT(ISNUMBER(N242)),"",IF(OR(Q242="Taken",Q242="Declined"),"",IF(N242&lt;0,"Lapsed",IF(N242&lt;=7,7,IF(N242&lt;=30,30,IF(N242&lt;=60,60,IF(N242&lt;=90,90,"")))))))</f>
        <v/>
      </c>
      <c r="P242" s="27" t="n"/>
      <c r="Q242" s="27" t="n"/>
      <c r="R242" s="27" t="n"/>
      <c r="S242" s="27" t="n"/>
      <c r="T242" s="27" t="n"/>
    </row>
    <row r="243">
      <c r="A243" s="27" t="n"/>
      <c r="B243" s="27" t="n"/>
      <c r="C243" s="27" t="n"/>
      <c r="D243" s="27" t="n"/>
      <c r="E243" s="28" t="n"/>
      <c r="F243" s="28" t="n"/>
      <c r="G243" s="27" t="n"/>
      <c r="H243" s="29">
        <f>IF(G243="Invoice",IF(ISNUMBER(F243),F243,""),IF(ISNUMBER(E243),E243,""))</f>
        <v/>
      </c>
      <c r="I243" s="30" t="n"/>
      <c r="J243" s="29">
        <f>IF(AND(ISNUMBER(H243),ISNUMBER(I243)),EDATE(H243,I243),"")</f>
        <v/>
      </c>
      <c r="K243" s="30" t="n"/>
      <c r="L243" s="29">
        <f>IF(AND(ISNUMBER(H243),ISNUMBER(K243)),EDATE(H243,K243),"")</f>
        <v/>
      </c>
      <c r="M243" s="29">
        <f>IF(COUNT(J243,L243)=0,"",IF(MIN(J243,L243)&gt;=TODAY(),MIN(J243,L243),MAX(J243,L243)))</f>
        <v/>
      </c>
      <c r="N243" s="31">
        <f>IF(ISNUMBER(M243),M243-TODAY(),"")</f>
        <v/>
      </c>
      <c r="O243" s="32">
        <f>IF(NOT(ISNUMBER(N243)),"",IF(OR(Q243="Taken",Q243="Declined"),"",IF(N243&lt;0,"Lapsed",IF(N243&lt;=7,7,IF(N243&lt;=30,30,IF(N243&lt;=60,60,IF(N243&lt;=90,90,"")))))))</f>
        <v/>
      </c>
      <c r="P243" s="27" t="n"/>
      <c r="Q243" s="27" t="n"/>
      <c r="R243" s="27" t="n"/>
      <c r="S243" s="27" t="n"/>
      <c r="T243" s="27" t="n"/>
    </row>
    <row r="244">
      <c r="A244" s="27" t="n"/>
      <c r="B244" s="27" t="n"/>
      <c r="C244" s="27" t="n"/>
      <c r="D244" s="27" t="n"/>
      <c r="E244" s="28" t="n"/>
      <c r="F244" s="28" t="n"/>
      <c r="G244" s="27" t="n"/>
      <c r="H244" s="29">
        <f>IF(G244="Invoice",IF(ISNUMBER(F244),F244,""),IF(ISNUMBER(E244),E244,""))</f>
        <v/>
      </c>
      <c r="I244" s="30" t="n"/>
      <c r="J244" s="29">
        <f>IF(AND(ISNUMBER(H244),ISNUMBER(I244)),EDATE(H244,I244),"")</f>
        <v/>
      </c>
      <c r="K244" s="30" t="n"/>
      <c r="L244" s="29">
        <f>IF(AND(ISNUMBER(H244),ISNUMBER(K244)),EDATE(H244,K244),"")</f>
        <v/>
      </c>
      <c r="M244" s="29">
        <f>IF(COUNT(J244,L244)=0,"",IF(MIN(J244,L244)&gt;=TODAY(),MIN(J244,L244),MAX(J244,L244)))</f>
        <v/>
      </c>
      <c r="N244" s="31">
        <f>IF(ISNUMBER(M244),M244-TODAY(),"")</f>
        <v/>
      </c>
      <c r="O244" s="32">
        <f>IF(NOT(ISNUMBER(N244)),"",IF(OR(Q244="Taken",Q244="Declined"),"",IF(N244&lt;0,"Lapsed",IF(N244&lt;=7,7,IF(N244&lt;=30,30,IF(N244&lt;=60,60,IF(N244&lt;=90,90,"")))))))</f>
        <v/>
      </c>
      <c r="P244" s="27" t="n"/>
      <c r="Q244" s="27" t="n"/>
      <c r="R244" s="27" t="n"/>
      <c r="S244" s="27" t="n"/>
      <c r="T244" s="27" t="n"/>
    </row>
    <row r="245">
      <c r="A245" s="27" t="n"/>
      <c r="B245" s="27" t="n"/>
      <c r="C245" s="27" t="n"/>
      <c r="D245" s="27" t="n"/>
      <c r="E245" s="28" t="n"/>
      <c r="F245" s="28" t="n"/>
      <c r="G245" s="27" t="n"/>
      <c r="H245" s="29">
        <f>IF(G245="Invoice",IF(ISNUMBER(F245),F245,""),IF(ISNUMBER(E245),E245,""))</f>
        <v/>
      </c>
      <c r="I245" s="30" t="n"/>
      <c r="J245" s="29">
        <f>IF(AND(ISNUMBER(H245),ISNUMBER(I245)),EDATE(H245,I245),"")</f>
        <v/>
      </c>
      <c r="K245" s="30" t="n"/>
      <c r="L245" s="29">
        <f>IF(AND(ISNUMBER(H245),ISNUMBER(K245)),EDATE(H245,K245),"")</f>
        <v/>
      </c>
      <c r="M245" s="29">
        <f>IF(COUNT(J245,L245)=0,"",IF(MIN(J245,L245)&gt;=TODAY(),MIN(J245,L245),MAX(J245,L245)))</f>
        <v/>
      </c>
      <c r="N245" s="31">
        <f>IF(ISNUMBER(M245),M245-TODAY(),"")</f>
        <v/>
      </c>
      <c r="O245" s="32">
        <f>IF(NOT(ISNUMBER(N245)),"",IF(OR(Q245="Taken",Q245="Declined"),"",IF(N245&lt;0,"Lapsed",IF(N245&lt;=7,7,IF(N245&lt;=30,30,IF(N245&lt;=60,60,IF(N245&lt;=90,90,"")))))))</f>
        <v/>
      </c>
      <c r="P245" s="27" t="n"/>
      <c r="Q245" s="27" t="n"/>
      <c r="R245" s="27" t="n"/>
      <c r="S245" s="27" t="n"/>
      <c r="T245" s="27" t="n"/>
    </row>
    <row r="246">
      <c r="A246" s="27" t="n"/>
      <c r="B246" s="27" t="n"/>
      <c r="C246" s="27" t="n"/>
      <c r="D246" s="27" t="n"/>
      <c r="E246" s="28" t="n"/>
      <c r="F246" s="28" t="n"/>
      <c r="G246" s="27" t="n"/>
      <c r="H246" s="29">
        <f>IF(G246="Invoice",IF(ISNUMBER(F246),F246,""),IF(ISNUMBER(E246),E246,""))</f>
        <v/>
      </c>
      <c r="I246" s="30" t="n"/>
      <c r="J246" s="29">
        <f>IF(AND(ISNUMBER(H246),ISNUMBER(I246)),EDATE(H246,I246),"")</f>
        <v/>
      </c>
      <c r="K246" s="30" t="n"/>
      <c r="L246" s="29">
        <f>IF(AND(ISNUMBER(H246),ISNUMBER(K246)),EDATE(H246,K246),"")</f>
        <v/>
      </c>
      <c r="M246" s="29">
        <f>IF(COUNT(J246,L246)=0,"",IF(MIN(J246,L246)&gt;=TODAY(),MIN(J246,L246),MAX(J246,L246)))</f>
        <v/>
      </c>
      <c r="N246" s="31">
        <f>IF(ISNUMBER(M246),M246-TODAY(),"")</f>
        <v/>
      </c>
      <c r="O246" s="32">
        <f>IF(NOT(ISNUMBER(N246)),"",IF(OR(Q246="Taken",Q246="Declined"),"",IF(N246&lt;0,"Lapsed",IF(N246&lt;=7,7,IF(N246&lt;=30,30,IF(N246&lt;=60,60,IF(N246&lt;=90,90,"")))))))</f>
        <v/>
      </c>
      <c r="P246" s="27" t="n"/>
      <c r="Q246" s="27" t="n"/>
      <c r="R246" s="27" t="n"/>
      <c r="S246" s="27" t="n"/>
      <c r="T246" s="27" t="n"/>
    </row>
    <row r="247">
      <c r="A247" s="27" t="n"/>
      <c r="B247" s="27" t="n"/>
      <c r="C247" s="27" t="n"/>
      <c r="D247" s="27" t="n"/>
      <c r="E247" s="28" t="n"/>
      <c r="F247" s="28" t="n"/>
      <c r="G247" s="27" t="n"/>
      <c r="H247" s="29">
        <f>IF(G247="Invoice",IF(ISNUMBER(F247),F247,""),IF(ISNUMBER(E247),E247,""))</f>
        <v/>
      </c>
      <c r="I247" s="30" t="n"/>
      <c r="J247" s="29">
        <f>IF(AND(ISNUMBER(H247),ISNUMBER(I247)),EDATE(H247,I247),"")</f>
        <v/>
      </c>
      <c r="K247" s="30" t="n"/>
      <c r="L247" s="29">
        <f>IF(AND(ISNUMBER(H247),ISNUMBER(K247)),EDATE(H247,K247),"")</f>
        <v/>
      </c>
      <c r="M247" s="29">
        <f>IF(COUNT(J247,L247)=0,"",IF(MIN(J247,L247)&gt;=TODAY(),MIN(J247,L247),MAX(J247,L247)))</f>
        <v/>
      </c>
      <c r="N247" s="31">
        <f>IF(ISNUMBER(M247),M247-TODAY(),"")</f>
        <v/>
      </c>
      <c r="O247" s="32">
        <f>IF(NOT(ISNUMBER(N247)),"",IF(OR(Q247="Taken",Q247="Declined"),"",IF(N247&lt;0,"Lapsed",IF(N247&lt;=7,7,IF(N247&lt;=30,30,IF(N247&lt;=60,60,IF(N247&lt;=90,90,"")))))))</f>
        <v/>
      </c>
      <c r="P247" s="27" t="n"/>
      <c r="Q247" s="27" t="n"/>
      <c r="R247" s="27" t="n"/>
      <c r="S247" s="27" t="n"/>
      <c r="T247" s="27" t="n"/>
    </row>
    <row r="248">
      <c r="A248" s="27" t="n"/>
      <c r="B248" s="27" t="n"/>
      <c r="C248" s="27" t="n"/>
      <c r="D248" s="27" t="n"/>
      <c r="E248" s="28" t="n"/>
      <c r="F248" s="28" t="n"/>
      <c r="G248" s="27" t="n"/>
      <c r="H248" s="29">
        <f>IF(G248="Invoice",IF(ISNUMBER(F248),F248,""),IF(ISNUMBER(E248),E248,""))</f>
        <v/>
      </c>
      <c r="I248" s="30" t="n"/>
      <c r="J248" s="29">
        <f>IF(AND(ISNUMBER(H248),ISNUMBER(I248)),EDATE(H248,I248),"")</f>
        <v/>
      </c>
      <c r="K248" s="30" t="n"/>
      <c r="L248" s="29">
        <f>IF(AND(ISNUMBER(H248),ISNUMBER(K248)),EDATE(H248,K248),"")</f>
        <v/>
      </c>
      <c r="M248" s="29">
        <f>IF(COUNT(J248,L248)=0,"",IF(MIN(J248,L248)&gt;=TODAY(),MIN(J248,L248),MAX(J248,L248)))</f>
        <v/>
      </c>
      <c r="N248" s="31">
        <f>IF(ISNUMBER(M248),M248-TODAY(),"")</f>
        <v/>
      </c>
      <c r="O248" s="32">
        <f>IF(NOT(ISNUMBER(N248)),"",IF(OR(Q248="Taken",Q248="Declined"),"",IF(N248&lt;0,"Lapsed",IF(N248&lt;=7,7,IF(N248&lt;=30,30,IF(N248&lt;=60,60,IF(N248&lt;=90,90,"")))))))</f>
        <v/>
      </c>
      <c r="P248" s="27" t="n"/>
      <c r="Q248" s="27" t="n"/>
      <c r="R248" s="27" t="n"/>
      <c r="S248" s="27" t="n"/>
      <c r="T248" s="27" t="n"/>
    </row>
    <row r="249">
      <c r="A249" s="27" t="n"/>
      <c r="B249" s="27" t="n"/>
      <c r="C249" s="27" t="n"/>
      <c r="D249" s="27" t="n"/>
      <c r="E249" s="28" t="n"/>
      <c r="F249" s="28" t="n"/>
      <c r="G249" s="27" t="n"/>
      <c r="H249" s="29">
        <f>IF(G249="Invoice",IF(ISNUMBER(F249),F249,""),IF(ISNUMBER(E249),E249,""))</f>
        <v/>
      </c>
      <c r="I249" s="30" t="n"/>
      <c r="J249" s="29">
        <f>IF(AND(ISNUMBER(H249),ISNUMBER(I249)),EDATE(H249,I249),"")</f>
        <v/>
      </c>
      <c r="K249" s="30" t="n"/>
      <c r="L249" s="29">
        <f>IF(AND(ISNUMBER(H249),ISNUMBER(K249)),EDATE(H249,K249),"")</f>
        <v/>
      </c>
      <c r="M249" s="29">
        <f>IF(COUNT(J249,L249)=0,"",IF(MIN(J249,L249)&gt;=TODAY(),MIN(J249,L249),MAX(J249,L249)))</f>
        <v/>
      </c>
      <c r="N249" s="31">
        <f>IF(ISNUMBER(M249),M249-TODAY(),"")</f>
        <v/>
      </c>
      <c r="O249" s="32">
        <f>IF(NOT(ISNUMBER(N249)),"",IF(OR(Q249="Taken",Q249="Declined"),"",IF(N249&lt;0,"Lapsed",IF(N249&lt;=7,7,IF(N249&lt;=30,30,IF(N249&lt;=60,60,IF(N249&lt;=90,90,"")))))))</f>
        <v/>
      </c>
      <c r="P249" s="27" t="n"/>
      <c r="Q249" s="27" t="n"/>
      <c r="R249" s="27" t="n"/>
      <c r="S249" s="27" t="n"/>
      <c r="T249" s="27" t="n"/>
    </row>
    <row r="250">
      <c r="A250" s="27" t="n"/>
      <c r="B250" s="27" t="n"/>
      <c r="C250" s="27" t="n"/>
      <c r="D250" s="27" t="n"/>
      <c r="E250" s="28" t="n"/>
      <c r="F250" s="28" t="n"/>
      <c r="G250" s="27" t="n"/>
      <c r="H250" s="29">
        <f>IF(G250="Invoice",IF(ISNUMBER(F250),F250,""),IF(ISNUMBER(E250),E250,""))</f>
        <v/>
      </c>
      <c r="I250" s="30" t="n"/>
      <c r="J250" s="29">
        <f>IF(AND(ISNUMBER(H250),ISNUMBER(I250)),EDATE(H250,I250),"")</f>
        <v/>
      </c>
      <c r="K250" s="30" t="n"/>
      <c r="L250" s="29">
        <f>IF(AND(ISNUMBER(H250),ISNUMBER(K250)),EDATE(H250,K250),"")</f>
        <v/>
      </c>
      <c r="M250" s="29">
        <f>IF(COUNT(J250,L250)=0,"",IF(MIN(J250,L250)&gt;=TODAY(),MIN(J250,L250),MAX(J250,L250)))</f>
        <v/>
      </c>
      <c r="N250" s="31">
        <f>IF(ISNUMBER(M250),M250-TODAY(),"")</f>
        <v/>
      </c>
      <c r="O250" s="32">
        <f>IF(NOT(ISNUMBER(N250)),"",IF(OR(Q250="Taken",Q250="Declined"),"",IF(N250&lt;0,"Lapsed",IF(N250&lt;=7,7,IF(N250&lt;=30,30,IF(N250&lt;=60,60,IF(N250&lt;=90,90,"")))))))</f>
        <v/>
      </c>
      <c r="P250" s="27" t="n"/>
      <c r="Q250" s="27" t="n"/>
      <c r="R250" s="27" t="n"/>
      <c r="S250" s="27" t="n"/>
      <c r="T250" s="27" t="n"/>
    </row>
    <row r="251">
      <c r="A251" s="27" t="n"/>
      <c r="B251" s="27" t="n"/>
      <c r="C251" s="27" t="n"/>
      <c r="D251" s="27" t="n"/>
      <c r="E251" s="28" t="n"/>
      <c r="F251" s="28" t="n"/>
      <c r="G251" s="27" t="n"/>
      <c r="H251" s="29">
        <f>IF(G251="Invoice",IF(ISNUMBER(F251),F251,""),IF(ISNUMBER(E251),E251,""))</f>
        <v/>
      </c>
      <c r="I251" s="30" t="n"/>
      <c r="J251" s="29">
        <f>IF(AND(ISNUMBER(H251),ISNUMBER(I251)),EDATE(H251,I251),"")</f>
        <v/>
      </c>
      <c r="K251" s="30" t="n"/>
      <c r="L251" s="29">
        <f>IF(AND(ISNUMBER(H251),ISNUMBER(K251)),EDATE(H251,K251),"")</f>
        <v/>
      </c>
      <c r="M251" s="29">
        <f>IF(COUNT(J251,L251)=0,"",IF(MIN(J251,L251)&gt;=TODAY(),MIN(J251,L251),MAX(J251,L251)))</f>
        <v/>
      </c>
      <c r="N251" s="31">
        <f>IF(ISNUMBER(M251),M251-TODAY(),"")</f>
        <v/>
      </c>
      <c r="O251" s="32">
        <f>IF(NOT(ISNUMBER(N251)),"",IF(OR(Q251="Taken",Q251="Declined"),"",IF(N251&lt;0,"Lapsed",IF(N251&lt;=7,7,IF(N251&lt;=30,30,IF(N251&lt;=60,60,IF(N251&lt;=90,90,"")))))))</f>
        <v/>
      </c>
      <c r="P251" s="27" t="n"/>
      <c r="Q251" s="27" t="n"/>
      <c r="R251" s="27" t="n"/>
      <c r="S251" s="27" t="n"/>
      <c r="T251" s="27" t="n"/>
    </row>
    <row r="252">
      <c r="A252" s="27" t="n"/>
      <c r="B252" s="27" t="n"/>
      <c r="C252" s="27" t="n"/>
      <c r="D252" s="27" t="n"/>
      <c r="E252" s="28" t="n"/>
      <c r="F252" s="28" t="n"/>
      <c r="G252" s="27" t="n"/>
      <c r="H252" s="29">
        <f>IF(G252="Invoice",IF(ISNUMBER(F252),F252,""),IF(ISNUMBER(E252),E252,""))</f>
        <v/>
      </c>
      <c r="I252" s="30" t="n"/>
      <c r="J252" s="29">
        <f>IF(AND(ISNUMBER(H252),ISNUMBER(I252)),EDATE(H252,I252),"")</f>
        <v/>
      </c>
      <c r="K252" s="30" t="n"/>
      <c r="L252" s="29">
        <f>IF(AND(ISNUMBER(H252),ISNUMBER(K252)),EDATE(H252,K252),"")</f>
        <v/>
      </c>
      <c r="M252" s="29">
        <f>IF(COUNT(J252,L252)=0,"",IF(MIN(J252,L252)&gt;=TODAY(),MIN(J252,L252),MAX(J252,L252)))</f>
        <v/>
      </c>
      <c r="N252" s="31">
        <f>IF(ISNUMBER(M252),M252-TODAY(),"")</f>
        <v/>
      </c>
      <c r="O252" s="32">
        <f>IF(NOT(ISNUMBER(N252)),"",IF(OR(Q252="Taken",Q252="Declined"),"",IF(N252&lt;0,"Lapsed",IF(N252&lt;=7,7,IF(N252&lt;=30,30,IF(N252&lt;=60,60,IF(N252&lt;=90,90,"")))))))</f>
        <v/>
      </c>
      <c r="P252" s="27" t="n"/>
      <c r="Q252" s="27" t="n"/>
      <c r="R252" s="27" t="n"/>
      <c r="S252" s="27" t="n"/>
      <c r="T252" s="27" t="n"/>
    </row>
    <row r="253">
      <c r="A253" s="27" t="n"/>
      <c r="B253" s="27" t="n"/>
      <c r="C253" s="27" t="n"/>
      <c r="D253" s="27" t="n"/>
      <c r="E253" s="28" t="n"/>
      <c r="F253" s="28" t="n"/>
      <c r="G253" s="27" t="n"/>
      <c r="H253" s="29">
        <f>IF(G253="Invoice",IF(ISNUMBER(F253),F253,""),IF(ISNUMBER(E253),E253,""))</f>
        <v/>
      </c>
      <c r="I253" s="30" t="n"/>
      <c r="J253" s="29">
        <f>IF(AND(ISNUMBER(H253),ISNUMBER(I253)),EDATE(H253,I253),"")</f>
        <v/>
      </c>
      <c r="K253" s="30" t="n"/>
      <c r="L253" s="29">
        <f>IF(AND(ISNUMBER(H253),ISNUMBER(K253)),EDATE(H253,K253),"")</f>
        <v/>
      </c>
      <c r="M253" s="29">
        <f>IF(COUNT(J253,L253)=0,"",IF(MIN(J253,L253)&gt;=TODAY(),MIN(J253,L253),MAX(J253,L253)))</f>
        <v/>
      </c>
      <c r="N253" s="31">
        <f>IF(ISNUMBER(M253),M253-TODAY(),"")</f>
        <v/>
      </c>
      <c r="O253" s="32">
        <f>IF(NOT(ISNUMBER(N253)),"",IF(OR(Q253="Taken",Q253="Declined"),"",IF(N253&lt;0,"Lapsed",IF(N253&lt;=7,7,IF(N253&lt;=30,30,IF(N253&lt;=60,60,IF(N253&lt;=90,90,"")))))))</f>
        <v/>
      </c>
      <c r="P253" s="27" t="n"/>
      <c r="Q253" s="27" t="n"/>
      <c r="R253" s="27" t="n"/>
      <c r="S253" s="27" t="n"/>
      <c r="T253" s="27" t="n"/>
    </row>
    <row r="254">
      <c r="A254" s="27" t="n"/>
      <c r="B254" s="27" t="n"/>
      <c r="C254" s="27" t="n"/>
      <c r="D254" s="27" t="n"/>
      <c r="E254" s="28" t="n"/>
      <c r="F254" s="28" t="n"/>
      <c r="G254" s="27" t="n"/>
      <c r="H254" s="29">
        <f>IF(G254="Invoice",IF(ISNUMBER(F254),F254,""),IF(ISNUMBER(E254),E254,""))</f>
        <v/>
      </c>
      <c r="I254" s="30" t="n"/>
      <c r="J254" s="29">
        <f>IF(AND(ISNUMBER(H254),ISNUMBER(I254)),EDATE(H254,I254),"")</f>
        <v/>
      </c>
      <c r="K254" s="30" t="n"/>
      <c r="L254" s="29">
        <f>IF(AND(ISNUMBER(H254),ISNUMBER(K254)),EDATE(H254,K254),"")</f>
        <v/>
      </c>
      <c r="M254" s="29">
        <f>IF(COUNT(J254,L254)=0,"",IF(MIN(J254,L254)&gt;=TODAY(),MIN(J254,L254),MAX(J254,L254)))</f>
        <v/>
      </c>
      <c r="N254" s="31">
        <f>IF(ISNUMBER(M254),M254-TODAY(),"")</f>
        <v/>
      </c>
      <c r="O254" s="32">
        <f>IF(NOT(ISNUMBER(N254)),"",IF(OR(Q254="Taken",Q254="Declined"),"",IF(N254&lt;0,"Lapsed",IF(N254&lt;=7,7,IF(N254&lt;=30,30,IF(N254&lt;=60,60,IF(N254&lt;=90,90,"")))))))</f>
        <v/>
      </c>
      <c r="P254" s="27" t="n"/>
      <c r="Q254" s="27" t="n"/>
      <c r="R254" s="27" t="n"/>
      <c r="S254" s="27" t="n"/>
      <c r="T254" s="27" t="n"/>
    </row>
    <row r="255">
      <c r="A255" s="27" t="n"/>
      <c r="B255" s="27" t="n"/>
      <c r="C255" s="27" t="n"/>
      <c r="D255" s="27" t="n"/>
      <c r="E255" s="28" t="n"/>
      <c r="F255" s="28" t="n"/>
      <c r="G255" s="27" t="n"/>
      <c r="H255" s="29">
        <f>IF(G255="Invoice",IF(ISNUMBER(F255),F255,""),IF(ISNUMBER(E255),E255,""))</f>
        <v/>
      </c>
      <c r="I255" s="30" t="n"/>
      <c r="J255" s="29">
        <f>IF(AND(ISNUMBER(H255),ISNUMBER(I255)),EDATE(H255,I255),"")</f>
        <v/>
      </c>
      <c r="K255" s="30" t="n"/>
      <c r="L255" s="29">
        <f>IF(AND(ISNUMBER(H255),ISNUMBER(K255)),EDATE(H255,K255),"")</f>
        <v/>
      </c>
      <c r="M255" s="29">
        <f>IF(COUNT(J255,L255)=0,"",IF(MIN(J255,L255)&gt;=TODAY(),MIN(J255,L255),MAX(J255,L255)))</f>
        <v/>
      </c>
      <c r="N255" s="31">
        <f>IF(ISNUMBER(M255),M255-TODAY(),"")</f>
        <v/>
      </c>
      <c r="O255" s="32">
        <f>IF(NOT(ISNUMBER(N255)),"",IF(OR(Q255="Taken",Q255="Declined"),"",IF(N255&lt;0,"Lapsed",IF(N255&lt;=7,7,IF(N255&lt;=30,30,IF(N255&lt;=60,60,IF(N255&lt;=90,90,"")))))))</f>
        <v/>
      </c>
      <c r="P255" s="27" t="n"/>
      <c r="Q255" s="27" t="n"/>
      <c r="R255" s="27" t="n"/>
      <c r="S255" s="27" t="n"/>
      <c r="T255" s="27" t="n"/>
    </row>
    <row r="256">
      <c r="A256" s="27" t="n"/>
      <c r="B256" s="27" t="n"/>
      <c r="C256" s="27" t="n"/>
      <c r="D256" s="27" t="n"/>
      <c r="E256" s="28" t="n"/>
      <c r="F256" s="28" t="n"/>
      <c r="G256" s="27" t="n"/>
      <c r="H256" s="29">
        <f>IF(G256="Invoice",IF(ISNUMBER(F256),F256,""),IF(ISNUMBER(E256),E256,""))</f>
        <v/>
      </c>
      <c r="I256" s="30" t="n"/>
      <c r="J256" s="29">
        <f>IF(AND(ISNUMBER(H256),ISNUMBER(I256)),EDATE(H256,I256),"")</f>
        <v/>
      </c>
      <c r="K256" s="30" t="n"/>
      <c r="L256" s="29">
        <f>IF(AND(ISNUMBER(H256),ISNUMBER(K256)),EDATE(H256,K256),"")</f>
        <v/>
      </c>
      <c r="M256" s="29">
        <f>IF(COUNT(J256,L256)=0,"",IF(MIN(J256,L256)&gt;=TODAY(),MIN(J256,L256),MAX(J256,L256)))</f>
        <v/>
      </c>
      <c r="N256" s="31">
        <f>IF(ISNUMBER(M256),M256-TODAY(),"")</f>
        <v/>
      </c>
      <c r="O256" s="32">
        <f>IF(NOT(ISNUMBER(N256)),"",IF(OR(Q256="Taken",Q256="Declined"),"",IF(N256&lt;0,"Lapsed",IF(N256&lt;=7,7,IF(N256&lt;=30,30,IF(N256&lt;=60,60,IF(N256&lt;=90,90,"")))))))</f>
        <v/>
      </c>
      <c r="P256" s="27" t="n"/>
      <c r="Q256" s="27" t="n"/>
      <c r="R256" s="27" t="n"/>
      <c r="S256" s="27" t="n"/>
      <c r="T256" s="27" t="n"/>
    </row>
    <row r="257">
      <c r="A257" s="27" t="n"/>
      <c r="B257" s="27" t="n"/>
      <c r="C257" s="27" t="n"/>
      <c r="D257" s="27" t="n"/>
      <c r="E257" s="28" t="n"/>
      <c r="F257" s="28" t="n"/>
      <c r="G257" s="27" t="n"/>
      <c r="H257" s="29">
        <f>IF(G257="Invoice",IF(ISNUMBER(F257),F257,""),IF(ISNUMBER(E257),E257,""))</f>
        <v/>
      </c>
      <c r="I257" s="30" t="n"/>
      <c r="J257" s="29">
        <f>IF(AND(ISNUMBER(H257),ISNUMBER(I257)),EDATE(H257,I257),"")</f>
        <v/>
      </c>
      <c r="K257" s="30" t="n"/>
      <c r="L257" s="29">
        <f>IF(AND(ISNUMBER(H257),ISNUMBER(K257)),EDATE(H257,K257),"")</f>
        <v/>
      </c>
      <c r="M257" s="29">
        <f>IF(COUNT(J257,L257)=0,"",IF(MIN(J257,L257)&gt;=TODAY(),MIN(J257,L257),MAX(J257,L257)))</f>
        <v/>
      </c>
      <c r="N257" s="31">
        <f>IF(ISNUMBER(M257),M257-TODAY(),"")</f>
        <v/>
      </c>
      <c r="O257" s="32">
        <f>IF(NOT(ISNUMBER(N257)),"",IF(OR(Q257="Taken",Q257="Declined"),"",IF(N257&lt;0,"Lapsed",IF(N257&lt;=7,7,IF(N257&lt;=30,30,IF(N257&lt;=60,60,IF(N257&lt;=90,90,"")))))))</f>
        <v/>
      </c>
      <c r="P257" s="27" t="n"/>
      <c r="Q257" s="27" t="n"/>
      <c r="R257" s="27" t="n"/>
      <c r="S257" s="27" t="n"/>
      <c r="T257" s="27" t="n"/>
    </row>
    <row r="258">
      <c r="A258" s="27" t="n"/>
      <c r="B258" s="27" t="n"/>
      <c r="C258" s="27" t="n"/>
      <c r="D258" s="27" t="n"/>
      <c r="E258" s="28" t="n"/>
      <c r="F258" s="28" t="n"/>
      <c r="G258" s="27" t="n"/>
      <c r="H258" s="29">
        <f>IF(G258="Invoice",IF(ISNUMBER(F258),F258,""),IF(ISNUMBER(E258),E258,""))</f>
        <v/>
      </c>
      <c r="I258" s="30" t="n"/>
      <c r="J258" s="29">
        <f>IF(AND(ISNUMBER(H258),ISNUMBER(I258)),EDATE(H258,I258),"")</f>
        <v/>
      </c>
      <c r="K258" s="30" t="n"/>
      <c r="L258" s="29">
        <f>IF(AND(ISNUMBER(H258),ISNUMBER(K258)),EDATE(H258,K258),"")</f>
        <v/>
      </c>
      <c r="M258" s="29">
        <f>IF(COUNT(J258,L258)=0,"",IF(MIN(J258,L258)&gt;=TODAY(),MIN(J258,L258),MAX(J258,L258)))</f>
        <v/>
      </c>
      <c r="N258" s="31">
        <f>IF(ISNUMBER(M258),M258-TODAY(),"")</f>
        <v/>
      </c>
      <c r="O258" s="32">
        <f>IF(NOT(ISNUMBER(N258)),"",IF(OR(Q258="Taken",Q258="Declined"),"",IF(N258&lt;0,"Lapsed",IF(N258&lt;=7,7,IF(N258&lt;=30,30,IF(N258&lt;=60,60,IF(N258&lt;=90,90,"")))))))</f>
        <v/>
      </c>
      <c r="P258" s="27" t="n"/>
      <c r="Q258" s="27" t="n"/>
      <c r="R258" s="27" t="n"/>
      <c r="S258" s="27" t="n"/>
      <c r="T258" s="27" t="n"/>
    </row>
    <row r="259">
      <c r="A259" s="27" t="n"/>
      <c r="B259" s="27" t="n"/>
      <c r="C259" s="27" t="n"/>
      <c r="D259" s="27" t="n"/>
      <c r="E259" s="28" t="n"/>
      <c r="F259" s="28" t="n"/>
      <c r="G259" s="27" t="n"/>
      <c r="H259" s="29">
        <f>IF(G259="Invoice",IF(ISNUMBER(F259),F259,""),IF(ISNUMBER(E259),E259,""))</f>
        <v/>
      </c>
      <c r="I259" s="30" t="n"/>
      <c r="J259" s="29">
        <f>IF(AND(ISNUMBER(H259),ISNUMBER(I259)),EDATE(H259,I259),"")</f>
        <v/>
      </c>
      <c r="K259" s="30" t="n"/>
      <c r="L259" s="29">
        <f>IF(AND(ISNUMBER(H259),ISNUMBER(K259)),EDATE(H259,K259),"")</f>
        <v/>
      </c>
      <c r="M259" s="29">
        <f>IF(COUNT(J259,L259)=0,"",IF(MIN(J259,L259)&gt;=TODAY(),MIN(J259,L259),MAX(J259,L259)))</f>
        <v/>
      </c>
      <c r="N259" s="31">
        <f>IF(ISNUMBER(M259),M259-TODAY(),"")</f>
        <v/>
      </c>
      <c r="O259" s="32">
        <f>IF(NOT(ISNUMBER(N259)),"",IF(OR(Q259="Taken",Q259="Declined"),"",IF(N259&lt;0,"Lapsed",IF(N259&lt;=7,7,IF(N259&lt;=30,30,IF(N259&lt;=60,60,IF(N259&lt;=90,90,"")))))))</f>
        <v/>
      </c>
      <c r="P259" s="27" t="n"/>
      <c r="Q259" s="27" t="n"/>
      <c r="R259" s="27" t="n"/>
      <c r="S259" s="27" t="n"/>
      <c r="T259" s="27" t="n"/>
    </row>
    <row r="260">
      <c r="A260" s="27" t="n"/>
      <c r="B260" s="27" t="n"/>
      <c r="C260" s="27" t="n"/>
      <c r="D260" s="27" t="n"/>
      <c r="E260" s="28" t="n"/>
      <c r="F260" s="28" t="n"/>
      <c r="G260" s="27" t="n"/>
      <c r="H260" s="29">
        <f>IF(G260="Invoice",IF(ISNUMBER(F260),F260,""),IF(ISNUMBER(E260),E260,""))</f>
        <v/>
      </c>
      <c r="I260" s="30" t="n"/>
      <c r="J260" s="29">
        <f>IF(AND(ISNUMBER(H260),ISNUMBER(I260)),EDATE(H260,I260),"")</f>
        <v/>
      </c>
      <c r="K260" s="30" t="n"/>
      <c r="L260" s="29">
        <f>IF(AND(ISNUMBER(H260),ISNUMBER(K260)),EDATE(H260,K260),"")</f>
        <v/>
      </c>
      <c r="M260" s="29">
        <f>IF(COUNT(J260,L260)=0,"",IF(MIN(J260,L260)&gt;=TODAY(),MIN(J260,L260),MAX(J260,L260)))</f>
        <v/>
      </c>
      <c r="N260" s="31">
        <f>IF(ISNUMBER(M260),M260-TODAY(),"")</f>
        <v/>
      </c>
      <c r="O260" s="32">
        <f>IF(NOT(ISNUMBER(N260)),"",IF(OR(Q260="Taken",Q260="Declined"),"",IF(N260&lt;0,"Lapsed",IF(N260&lt;=7,7,IF(N260&lt;=30,30,IF(N260&lt;=60,60,IF(N260&lt;=90,90,"")))))))</f>
        <v/>
      </c>
      <c r="P260" s="27" t="n"/>
      <c r="Q260" s="27" t="n"/>
      <c r="R260" s="27" t="n"/>
      <c r="S260" s="27" t="n"/>
      <c r="T260" s="27" t="n"/>
    </row>
    <row r="261">
      <c r="A261" s="27" t="n"/>
      <c r="B261" s="27" t="n"/>
      <c r="C261" s="27" t="n"/>
      <c r="D261" s="27" t="n"/>
      <c r="E261" s="28" t="n"/>
      <c r="F261" s="28" t="n"/>
      <c r="G261" s="27" t="n"/>
      <c r="H261" s="29">
        <f>IF(G261="Invoice",IF(ISNUMBER(F261),F261,""),IF(ISNUMBER(E261),E261,""))</f>
        <v/>
      </c>
      <c r="I261" s="30" t="n"/>
      <c r="J261" s="29">
        <f>IF(AND(ISNUMBER(H261),ISNUMBER(I261)),EDATE(H261,I261),"")</f>
        <v/>
      </c>
      <c r="K261" s="30" t="n"/>
      <c r="L261" s="29">
        <f>IF(AND(ISNUMBER(H261),ISNUMBER(K261)),EDATE(H261,K261),"")</f>
        <v/>
      </c>
      <c r="M261" s="29">
        <f>IF(COUNT(J261,L261)=0,"",IF(MIN(J261,L261)&gt;=TODAY(),MIN(J261,L261),MAX(J261,L261)))</f>
        <v/>
      </c>
      <c r="N261" s="31">
        <f>IF(ISNUMBER(M261),M261-TODAY(),"")</f>
        <v/>
      </c>
      <c r="O261" s="32">
        <f>IF(NOT(ISNUMBER(N261)),"",IF(OR(Q261="Taken",Q261="Declined"),"",IF(N261&lt;0,"Lapsed",IF(N261&lt;=7,7,IF(N261&lt;=30,30,IF(N261&lt;=60,60,IF(N261&lt;=90,90,"")))))))</f>
        <v/>
      </c>
      <c r="P261" s="27" t="n"/>
      <c r="Q261" s="27" t="n"/>
      <c r="R261" s="27" t="n"/>
      <c r="S261" s="27" t="n"/>
      <c r="T261" s="27" t="n"/>
    </row>
    <row r="262">
      <c r="A262" s="27" t="n"/>
      <c r="B262" s="27" t="n"/>
      <c r="C262" s="27" t="n"/>
      <c r="D262" s="27" t="n"/>
      <c r="E262" s="28" t="n"/>
      <c r="F262" s="28" t="n"/>
      <c r="G262" s="27" t="n"/>
      <c r="H262" s="29">
        <f>IF(G262="Invoice",IF(ISNUMBER(F262),F262,""),IF(ISNUMBER(E262),E262,""))</f>
        <v/>
      </c>
      <c r="I262" s="30" t="n"/>
      <c r="J262" s="29">
        <f>IF(AND(ISNUMBER(H262),ISNUMBER(I262)),EDATE(H262,I262),"")</f>
        <v/>
      </c>
      <c r="K262" s="30" t="n"/>
      <c r="L262" s="29">
        <f>IF(AND(ISNUMBER(H262),ISNUMBER(K262)),EDATE(H262,K262),"")</f>
        <v/>
      </c>
      <c r="M262" s="29">
        <f>IF(COUNT(J262,L262)=0,"",IF(MIN(J262,L262)&gt;=TODAY(),MIN(J262,L262),MAX(J262,L262)))</f>
        <v/>
      </c>
      <c r="N262" s="31">
        <f>IF(ISNUMBER(M262),M262-TODAY(),"")</f>
        <v/>
      </c>
      <c r="O262" s="32">
        <f>IF(NOT(ISNUMBER(N262)),"",IF(OR(Q262="Taken",Q262="Declined"),"",IF(N262&lt;0,"Lapsed",IF(N262&lt;=7,7,IF(N262&lt;=30,30,IF(N262&lt;=60,60,IF(N262&lt;=90,90,"")))))))</f>
        <v/>
      </c>
      <c r="P262" s="27" t="n"/>
      <c r="Q262" s="27" t="n"/>
      <c r="R262" s="27" t="n"/>
      <c r="S262" s="27" t="n"/>
      <c r="T262" s="27" t="n"/>
    </row>
    <row r="263">
      <c r="A263" s="27" t="n"/>
      <c r="B263" s="27" t="n"/>
      <c r="C263" s="27" t="n"/>
      <c r="D263" s="27" t="n"/>
      <c r="E263" s="28" t="n"/>
      <c r="F263" s="28" t="n"/>
      <c r="G263" s="27" t="n"/>
      <c r="H263" s="29">
        <f>IF(G263="Invoice",IF(ISNUMBER(F263),F263,""),IF(ISNUMBER(E263),E263,""))</f>
        <v/>
      </c>
      <c r="I263" s="30" t="n"/>
      <c r="J263" s="29">
        <f>IF(AND(ISNUMBER(H263),ISNUMBER(I263)),EDATE(H263,I263),"")</f>
        <v/>
      </c>
      <c r="K263" s="30" t="n"/>
      <c r="L263" s="29">
        <f>IF(AND(ISNUMBER(H263),ISNUMBER(K263)),EDATE(H263,K263),"")</f>
        <v/>
      </c>
      <c r="M263" s="29">
        <f>IF(COUNT(J263,L263)=0,"",IF(MIN(J263,L263)&gt;=TODAY(),MIN(J263,L263),MAX(J263,L263)))</f>
        <v/>
      </c>
      <c r="N263" s="31">
        <f>IF(ISNUMBER(M263),M263-TODAY(),"")</f>
        <v/>
      </c>
      <c r="O263" s="32">
        <f>IF(NOT(ISNUMBER(N263)),"",IF(OR(Q263="Taken",Q263="Declined"),"",IF(N263&lt;0,"Lapsed",IF(N263&lt;=7,7,IF(N263&lt;=30,30,IF(N263&lt;=60,60,IF(N263&lt;=90,90,"")))))))</f>
        <v/>
      </c>
      <c r="P263" s="27" t="n"/>
      <c r="Q263" s="27" t="n"/>
      <c r="R263" s="27" t="n"/>
      <c r="S263" s="27" t="n"/>
      <c r="T263" s="27" t="n"/>
    </row>
    <row r="264">
      <c r="A264" s="27" t="n"/>
      <c r="B264" s="27" t="n"/>
      <c r="C264" s="27" t="n"/>
      <c r="D264" s="27" t="n"/>
      <c r="E264" s="28" t="n"/>
      <c r="F264" s="28" t="n"/>
      <c r="G264" s="27" t="n"/>
      <c r="H264" s="29">
        <f>IF(G264="Invoice",IF(ISNUMBER(F264),F264,""),IF(ISNUMBER(E264),E264,""))</f>
        <v/>
      </c>
      <c r="I264" s="30" t="n"/>
      <c r="J264" s="29">
        <f>IF(AND(ISNUMBER(H264),ISNUMBER(I264)),EDATE(H264,I264),"")</f>
        <v/>
      </c>
      <c r="K264" s="30" t="n"/>
      <c r="L264" s="29">
        <f>IF(AND(ISNUMBER(H264),ISNUMBER(K264)),EDATE(H264,K264),"")</f>
        <v/>
      </c>
      <c r="M264" s="29">
        <f>IF(COUNT(J264,L264)=0,"",IF(MIN(J264,L264)&gt;=TODAY(),MIN(J264,L264),MAX(J264,L264)))</f>
        <v/>
      </c>
      <c r="N264" s="31">
        <f>IF(ISNUMBER(M264),M264-TODAY(),"")</f>
        <v/>
      </c>
      <c r="O264" s="32">
        <f>IF(NOT(ISNUMBER(N264)),"",IF(OR(Q264="Taken",Q264="Declined"),"",IF(N264&lt;0,"Lapsed",IF(N264&lt;=7,7,IF(N264&lt;=30,30,IF(N264&lt;=60,60,IF(N264&lt;=90,90,"")))))))</f>
        <v/>
      </c>
      <c r="P264" s="27" t="n"/>
      <c r="Q264" s="27" t="n"/>
      <c r="R264" s="27" t="n"/>
      <c r="S264" s="27" t="n"/>
      <c r="T264" s="27" t="n"/>
    </row>
    <row r="265">
      <c r="A265" s="27" t="n"/>
      <c r="B265" s="27" t="n"/>
      <c r="C265" s="27" t="n"/>
      <c r="D265" s="27" t="n"/>
      <c r="E265" s="28" t="n"/>
      <c r="F265" s="28" t="n"/>
      <c r="G265" s="27" t="n"/>
      <c r="H265" s="29">
        <f>IF(G265="Invoice",IF(ISNUMBER(F265),F265,""),IF(ISNUMBER(E265),E265,""))</f>
        <v/>
      </c>
      <c r="I265" s="30" t="n"/>
      <c r="J265" s="29">
        <f>IF(AND(ISNUMBER(H265),ISNUMBER(I265)),EDATE(H265,I265),"")</f>
        <v/>
      </c>
      <c r="K265" s="30" t="n"/>
      <c r="L265" s="29">
        <f>IF(AND(ISNUMBER(H265),ISNUMBER(K265)),EDATE(H265,K265),"")</f>
        <v/>
      </c>
      <c r="M265" s="29">
        <f>IF(COUNT(J265,L265)=0,"",IF(MIN(J265,L265)&gt;=TODAY(),MIN(J265,L265),MAX(J265,L265)))</f>
        <v/>
      </c>
      <c r="N265" s="31">
        <f>IF(ISNUMBER(M265),M265-TODAY(),"")</f>
        <v/>
      </c>
      <c r="O265" s="32">
        <f>IF(NOT(ISNUMBER(N265)),"",IF(OR(Q265="Taken",Q265="Declined"),"",IF(N265&lt;0,"Lapsed",IF(N265&lt;=7,7,IF(N265&lt;=30,30,IF(N265&lt;=60,60,IF(N265&lt;=90,90,"")))))))</f>
        <v/>
      </c>
      <c r="P265" s="27" t="n"/>
      <c r="Q265" s="27" t="n"/>
      <c r="R265" s="27" t="n"/>
      <c r="S265" s="27" t="n"/>
      <c r="T265" s="27" t="n"/>
    </row>
    <row r="266">
      <c r="A266" s="27" t="n"/>
      <c r="B266" s="27" t="n"/>
      <c r="C266" s="27" t="n"/>
      <c r="D266" s="27" t="n"/>
      <c r="E266" s="28" t="n"/>
      <c r="F266" s="28" t="n"/>
      <c r="G266" s="27" t="n"/>
      <c r="H266" s="29">
        <f>IF(G266="Invoice",IF(ISNUMBER(F266),F266,""),IF(ISNUMBER(E266),E266,""))</f>
        <v/>
      </c>
      <c r="I266" s="30" t="n"/>
      <c r="J266" s="29">
        <f>IF(AND(ISNUMBER(H266),ISNUMBER(I266)),EDATE(H266,I266),"")</f>
        <v/>
      </c>
      <c r="K266" s="30" t="n"/>
      <c r="L266" s="29">
        <f>IF(AND(ISNUMBER(H266),ISNUMBER(K266)),EDATE(H266,K266),"")</f>
        <v/>
      </c>
      <c r="M266" s="29">
        <f>IF(COUNT(J266,L266)=0,"",IF(MIN(J266,L266)&gt;=TODAY(),MIN(J266,L266),MAX(J266,L266)))</f>
        <v/>
      </c>
      <c r="N266" s="31">
        <f>IF(ISNUMBER(M266),M266-TODAY(),"")</f>
        <v/>
      </c>
      <c r="O266" s="32">
        <f>IF(NOT(ISNUMBER(N266)),"",IF(OR(Q266="Taken",Q266="Declined"),"",IF(N266&lt;0,"Lapsed",IF(N266&lt;=7,7,IF(N266&lt;=30,30,IF(N266&lt;=60,60,IF(N266&lt;=90,90,"")))))))</f>
        <v/>
      </c>
      <c r="P266" s="27" t="n"/>
      <c r="Q266" s="27" t="n"/>
      <c r="R266" s="27" t="n"/>
      <c r="S266" s="27" t="n"/>
      <c r="T266" s="27" t="n"/>
    </row>
    <row r="267">
      <c r="A267" s="27" t="n"/>
      <c r="B267" s="27" t="n"/>
      <c r="C267" s="27" t="n"/>
      <c r="D267" s="27" t="n"/>
      <c r="E267" s="28" t="n"/>
      <c r="F267" s="28" t="n"/>
      <c r="G267" s="27" t="n"/>
      <c r="H267" s="29">
        <f>IF(G267="Invoice",IF(ISNUMBER(F267),F267,""),IF(ISNUMBER(E267),E267,""))</f>
        <v/>
      </c>
      <c r="I267" s="30" t="n"/>
      <c r="J267" s="29">
        <f>IF(AND(ISNUMBER(H267),ISNUMBER(I267)),EDATE(H267,I267),"")</f>
        <v/>
      </c>
      <c r="K267" s="30" t="n"/>
      <c r="L267" s="29">
        <f>IF(AND(ISNUMBER(H267),ISNUMBER(K267)),EDATE(H267,K267),"")</f>
        <v/>
      </c>
      <c r="M267" s="29">
        <f>IF(COUNT(J267,L267)=0,"",IF(MIN(J267,L267)&gt;=TODAY(),MIN(J267,L267),MAX(J267,L267)))</f>
        <v/>
      </c>
      <c r="N267" s="31">
        <f>IF(ISNUMBER(M267),M267-TODAY(),"")</f>
        <v/>
      </c>
      <c r="O267" s="32">
        <f>IF(NOT(ISNUMBER(N267)),"",IF(OR(Q267="Taken",Q267="Declined"),"",IF(N267&lt;0,"Lapsed",IF(N267&lt;=7,7,IF(N267&lt;=30,30,IF(N267&lt;=60,60,IF(N267&lt;=90,90,"")))))))</f>
        <v/>
      </c>
      <c r="P267" s="27" t="n"/>
      <c r="Q267" s="27" t="n"/>
      <c r="R267" s="27" t="n"/>
      <c r="S267" s="27" t="n"/>
      <c r="T267" s="27" t="n"/>
    </row>
    <row r="268">
      <c r="A268" s="27" t="n"/>
      <c r="B268" s="27" t="n"/>
      <c r="C268" s="27" t="n"/>
      <c r="D268" s="27" t="n"/>
      <c r="E268" s="28" t="n"/>
      <c r="F268" s="28" t="n"/>
      <c r="G268" s="27" t="n"/>
      <c r="H268" s="29">
        <f>IF(G268="Invoice",IF(ISNUMBER(F268),F268,""),IF(ISNUMBER(E268),E268,""))</f>
        <v/>
      </c>
      <c r="I268" s="30" t="n"/>
      <c r="J268" s="29">
        <f>IF(AND(ISNUMBER(H268),ISNUMBER(I268)),EDATE(H268,I268),"")</f>
        <v/>
      </c>
      <c r="K268" s="30" t="n"/>
      <c r="L268" s="29">
        <f>IF(AND(ISNUMBER(H268),ISNUMBER(K268)),EDATE(H268,K268),"")</f>
        <v/>
      </c>
      <c r="M268" s="29">
        <f>IF(COUNT(J268,L268)=0,"",IF(MIN(J268,L268)&gt;=TODAY(),MIN(J268,L268),MAX(J268,L268)))</f>
        <v/>
      </c>
      <c r="N268" s="31">
        <f>IF(ISNUMBER(M268),M268-TODAY(),"")</f>
        <v/>
      </c>
      <c r="O268" s="32">
        <f>IF(NOT(ISNUMBER(N268)),"",IF(OR(Q268="Taken",Q268="Declined"),"",IF(N268&lt;0,"Lapsed",IF(N268&lt;=7,7,IF(N268&lt;=30,30,IF(N268&lt;=60,60,IF(N268&lt;=90,90,"")))))))</f>
        <v/>
      </c>
      <c r="P268" s="27" t="n"/>
      <c r="Q268" s="27" t="n"/>
      <c r="R268" s="27" t="n"/>
      <c r="S268" s="27" t="n"/>
      <c r="T268" s="27" t="n"/>
    </row>
    <row r="269">
      <c r="A269" s="27" t="n"/>
      <c r="B269" s="27" t="n"/>
      <c r="C269" s="27" t="n"/>
      <c r="D269" s="27" t="n"/>
      <c r="E269" s="28" t="n"/>
      <c r="F269" s="28" t="n"/>
      <c r="G269" s="27" t="n"/>
      <c r="H269" s="29">
        <f>IF(G269="Invoice",IF(ISNUMBER(F269),F269,""),IF(ISNUMBER(E269),E269,""))</f>
        <v/>
      </c>
      <c r="I269" s="30" t="n"/>
      <c r="J269" s="29">
        <f>IF(AND(ISNUMBER(H269),ISNUMBER(I269)),EDATE(H269,I269),"")</f>
        <v/>
      </c>
      <c r="K269" s="30" t="n"/>
      <c r="L269" s="29">
        <f>IF(AND(ISNUMBER(H269),ISNUMBER(K269)),EDATE(H269,K269),"")</f>
        <v/>
      </c>
      <c r="M269" s="29">
        <f>IF(COUNT(J269,L269)=0,"",IF(MIN(J269,L269)&gt;=TODAY(),MIN(J269,L269),MAX(J269,L269)))</f>
        <v/>
      </c>
      <c r="N269" s="31">
        <f>IF(ISNUMBER(M269),M269-TODAY(),"")</f>
        <v/>
      </c>
      <c r="O269" s="32">
        <f>IF(NOT(ISNUMBER(N269)),"",IF(OR(Q269="Taken",Q269="Declined"),"",IF(N269&lt;0,"Lapsed",IF(N269&lt;=7,7,IF(N269&lt;=30,30,IF(N269&lt;=60,60,IF(N269&lt;=90,90,"")))))))</f>
        <v/>
      </c>
      <c r="P269" s="27" t="n"/>
      <c r="Q269" s="27" t="n"/>
      <c r="R269" s="27" t="n"/>
      <c r="S269" s="27" t="n"/>
      <c r="T269" s="27" t="n"/>
    </row>
    <row r="270">
      <c r="A270" s="27" t="n"/>
      <c r="B270" s="27" t="n"/>
      <c r="C270" s="27" t="n"/>
      <c r="D270" s="27" t="n"/>
      <c r="E270" s="28" t="n"/>
      <c r="F270" s="28" t="n"/>
      <c r="G270" s="27" t="n"/>
      <c r="H270" s="29">
        <f>IF(G270="Invoice",IF(ISNUMBER(F270),F270,""),IF(ISNUMBER(E270),E270,""))</f>
        <v/>
      </c>
      <c r="I270" s="30" t="n"/>
      <c r="J270" s="29">
        <f>IF(AND(ISNUMBER(H270),ISNUMBER(I270)),EDATE(H270,I270),"")</f>
        <v/>
      </c>
      <c r="K270" s="30" t="n"/>
      <c r="L270" s="29">
        <f>IF(AND(ISNUMBER(H270),ISNUMBER(K270)),EDATE(H270,K270),"")</f>
        <v/>
      </c>
      <c r="M270" s="29">
        <f>IF(COUNT(J270,L270)=0,"",IF(MIN(J270,L270)&gt;=TODAY(),MIN(J270,L270),MAX(J270,L270)))</f>
        <v/>
      </c>
      <c r="N270" s="31">
        <f>IF(ISNUMBER(M270),M270-TODAY(),"")</f>
        <v/>
      </c>
      <c r="O270" s="32">
        <f>IF(NOT(ISNUMBER(N270)),"",IF(OR(Q270="Taken",Q270="Declined"),"",IF(N270&lt;0,"Lapsed",IF(N270&lt;=7,7,IF(N270&lt;=30,30,IF(N270&lt;=60,60,IF(N270&lt;=90,90,"")))))))</f>
        <v/>
      </c>
      <c r="P270" s="27" t="n"/>
      <c r="Q270" s="27" t="n"/>
      <c r="R270" s="27" t="n"/>
      <c r="S270" s="27" t="n"/>
      <c r="T270" s="27" t="n"/>
    </row>
    <row r="271">
      <c r="A271" s="27" t="n"/>
      <c r="B271" s="27" t="n"/>
      <c r="C271" s="27" t="n"/>
      <c r="D271" s="27" t="n"/>
      <c r="E271" s="28" t="n"/>
      <c r="F271" s="28" t="n"/>
      <c r="G271" s="27" t="n"/>
      <c r="H271" s="29">
        <f>IF(G271="Invoice",IF(ISNUMBER(F271),F271,""),IF(ISNUMBER(E271),E271,""))</f>
        <v/>
      </c>
      <c r="I271" s="30" t="n"/>
      <c r="J271" s="29">
        <f>IF(AND(ISNUMBER(H271),ISNUMBER(I271)),EDATE(H271,I271),"")</f>
        <v/>
      </c>
      <c r="K271" s="30" t="n"/>
      <c r="L271" s="29">
        <f>IF(AND(ISNUMBER(H271),ISNUMBER(K271)),EDATE(H271,K271),"")</f>
        <v/>
      </c>
      <c r="M271" s="29">
        <f>IF(COUNT(J271,L271)=0,"",IF(MIN(J271,L271)&gt;=TODAY(),MIN(J271,L271),MAX(J271,L271)))</f>
        <v/>
      </c>
      <c r="N271" s="31">
        <f>IF(ISNUMBER(M271),M271-TODAY(),"")</f>
        <v/>
      </c>
      <c r="O271" s="32">
        <f>IF(NOT(ISNUMBER(N271)),"",IF(OR(Q271="Taken",Q271="Declined"),"",IF(N271&lt;0,"Lapsed",IF(N271&lt;=7,7,IF(N271&lt;=30,30,IF(N271&lt;=60,60,IF(N271&lt;=90,90,"")))))))</f>
        <v/>
      </c>
      <c r="P271" s="27" t="n"/>
      <c r="Q271" s="27" t="n"/>
      <c r="R271" s="27" t="n"/>
      <c r="S271" s="27" t="n"/>
      <c r="T271" s="27" t="n"/>
    </row>
    <row r="272">
      <c r="A272" s="27" t="n"/>
      <c r="B272" s="27" t="n"/>
      <c r="C272" s="27" t="n"/>
      <c r="D272" s="27" t="n"/>
      <c r="E272" s="28" t="n"/>
      <c r="F272" s="28" t="n"/>
      <c r="G272" s="27" t="n"/>
      <c r="H272" s="29">
        <f>IF(G272="Invoice",IF(ISNUMBER(F272),F272,""),IF(ISNUMBER(E272),E272,""))</f>
        <v/>
      </c>
      <c r="I272" s="30" t="n"/>
      <c r="J272" s="29">
        <f>IF(AND(ISNUMBER(H272),ISNUMBER(I272)),EDATE(H272,I272),"")</f>
        <v/>
      </c>
      <c r="K272" s="30" t="n"/>
      <c r="L272" s="29">
        <f>IF(AND(ISNUMBER(H272),ISNUMBER(K272)),EDATE(H272,K272),"")</f>
        <v/>
      </c>
      <c r="M272" s="29">
        <f>IF(COUNT(J272,L272)=0,"",IF(MIN(J272,L272)&gt;=TODAY(),MIN(J272,L272),MAX(J272,L272)))</f>
        <v/>
      </c>
      <c r="N272" s="31">
        <f>IF(ISNUMBER(M272),M272-TODAY(),"")</f>
        <v/>
      </c>
      <c r="O272" s="32">
        <f>IF(NOT(ISNUMBER(N272)),"",IF(OR(Q272="Taken",Q272="Declined"),"",IF(N272&lt;0,"Lapsed",IF(N272&lt;=7,7,IF(N272&lt;=30,30,IF(N272&lt;=60,60,IF(N272&lt;=90,90,"")))))))</f>
        <v/>
      </c>
      <c r="P272" s="27" t="n"/>
      <c r="Q272" s="27" t="n"/>
      <c r="R272" s="27" t="n"/>
      <c r="S272" s="27" t="n"/>
      <c r="T272" s="27" t="n"/>
    </row>
    <row r="273">
      <c r="A273" s="27" t="n"/>
      <c r="B273" s="27" t="n"/>
      <c r="C273" s="27" t="n"/>
      <c r="D273" s="27" t="n"/>
      <c r="E273" s="28" t="n"/>
      <c r="F273" s="28" t="n"/>
      <c r="G273" s="27" t="n"/>
      <c r="H273" s="29">
        <f>IF(G273="Invoice",IF(ISNUMBER(F273),F273,""),IF(ISNUMBER(E273),E273,""))</f>
        <v/>
      </c>
      <c r="I273" s="30" t="n"/>
      <c r="J273" s="29">
        <f>IF(AND(ISNUMBER(H273),ISNUMBER(I273)),EDATE(H273,I273),"")</f>
        <v/>
      </c>
      <c r="K273" s="30" t="n"/>
      <c r="L273" s="29">
        <f>IF(AND(ISNUMBER(H273),ISNUMBER(K273)),EDATE(H273,K273),"")</f>
        <v/>
      </c>
      <c r="M273" s="29">
        <f>IF(COUNT(J273,L273)=0,"",IF(MIN(J273,L273)&gt;=TODAY(),MIN(J273,L273),MAX(J273,L273)))</f>
        <v/>
      </c>
      <c r="N273" s="31">
        <f>IF(ISNUMBER(M273),M273-TODAY(),"")</f>
        <v/>
      </c>
      <c r="O273" s="32">
        <f>IF(NOT(ISNUMBER(N273)),"",IF(OR(Q273="Taken",Q273="Declined"),"",IF(N273&lt;0,"Lapsed",IF(N273&lt;=7,7,IF(N273&lt;=30,30,IF(N273&lt;=60,60,IF(N273&lt;=90,90,"")))))))</f>
        <v/>
      </c>
      <c r="P273" s="27" t="n"/>
      <c r="Q273" s="27" t="n"/>
      <c r="R273" s="27" t="n"/>
      <c r="S273" s="27" t="n"/>
      <c r="T273" s="27" t="n"/>
    </row>
    <row r="274">
      <c r="A274" s="27" t="n"/>
      <c r="B274" s="27" t="n"/>
      <c r="C274" s="27" t="n"/>
      <c r="D274" s="27" t="n"/>
      <c r="E274" s="28" t="n"/>
      <c r="F274" s="28" t="n"/>
      <c r="G274" s="27" t="n"/>
      <c r="H274" s="29">
        <f>IF(G274="Invoice",IF(ISNUMBER(F274),F274,""),IF(ISNUMBER(E274),E274,""))</f>
        <v/>
      </c>
      <c r="I274" s="30" t="n"/>
      <c r="J274" s="29">
        <f>IF(AND(ISNUMBER(H274),ISNUMBER(I274)),EDATE(H274,I274),"")</f>
        <v/>
      </c>
      <c r="K274" s="30" t="n"/>
      <c r="L274" s="29">
        <f>IF(AND(ISNUMBER(H274),ISNUMBER(K274)),EDATE(H274,K274),"")</f>
        <v/>
      </c>
      <c r="M274" s="29">
        <f>IF(COUNT(J274,L274)=0,"",IF(MIN(J274,L274)&gt;=TODAY(),MIN(J274,L274),MAX(J274,L274)))</f>
        <v/>
      </c>
      <c r="N274" s="31">
        <f>IF(ISNUMBER(M274),M274-TODAY(),"")</f>
        <v/>
      </c>
      <c r="O274" s="32">
        <f>IF(NOT(ISNUMBER(N274)),"",IF(OR(Q274="Taken",Q274="Declined"),"",IF(N274&lt;0,"Lapsed",IF(N274&lt;=7,7,IF(N274&lt;=30,30,IF(N274&lt;=60,60,IF(N274&lt;=90,90,"")))))))</f>
        <v/>
      </c>
      <c r="P274" s="27" t="n"/>
      <c r="Q274" s="27" t="n"/>
      <c r="R274" s="27" t="n"/>
      <c r="S274" s="27" t="n"/>
      <c r="T274" s="27" t="n"/>
    </row>
    <row r="275">
      <c r="A275" s="27" t="n"/>
      <c r="B275" s="27" t="n"/>
      <c r="C275" s="27" t="n"/>
      <c r="D275" s="27" t="n"/>
      <c r="E275" s="28" t="n"/>
      <c r="F275" s="28" t="n"/>
      <c r="G275" s="27" t="n"/>
      <c r="H275" s="29">
        <f>IF(G275="Invoice",IF(ISNUMBER(F275),F275,""),IF(ISNUMBER(E275),E275,""))</f>
        <v/>
      </c>
      <c r="I275" s="30" t="n"/>
      <c r="J275" s="29">
        <f>IF(AND(ISNUMBER(H275),ISNUMBER(I275)),EDATE(H275,I275),"")</f>
        <v/>
      </c>
      <c r="K275" s="30" t="n"/>
      <c r="L275" s="29">
        <f>IF(AND(ISNUMBER(H275),ISNUMBER(K275)),EDATE(H275,K275),"")</f>
        <v/>
      </c>
      <c r="M275" s="29">
        <f>IF(COUNT(J275,L275)=0,"",IF(MIN(J275,L275)&gt;=TODAY(),MIN(J275,L275),MAX(J275,L275)))</f>
        <v/>
      </c>
      <c r="N275" s="31">
        <f>IF(ISNUMBER(M275),M275-TODAY(),"")</f>
        <v/>
      </c>
      <c r="O275" s="32">
        <f>IF(NOT(ISNUMBER(N275)),"",IF(OR(Q275="Taken",Q275="Declined"),"",IF(N275&lt;0,"Lapsed",IF(N275&lt;=7,7,IF(N275&lt;=30,30,IF(N275&lt;=60,60,IF(N275&lt;=90,90,"")))))))</f>
        <v/>
      </c>
      <c r="P275" s="27" t="n"/>
      <c r="Q275" s="27" t="n"/>
      <c r="R275" s="27" t="n"/>
      <c r="S275" s="27" t="n"/>
      <c r="T275" s="27" t="n"/>
    </row>
    <row r="276">
      <c r="A276" s="27" t="n"/>
      <c r="B276" s="27" t="n"/>
      <c r="C276" s="27" t="n"/>
      <c r="D276" s="27" t="n"/>
      <c r="E276" s="28" t="n"/>
      <c r="F276" s="28" t="n"/>
      <c r="G276" s="27" t="n"/>
      <c r="H276" s="29">
        <f>IF(G276="Invoice",IF(ISNUMBER(F276),F276,""),IF(ISNUMBER(E276),E276,""))</f>
        <v/>
      </c>
      <c r="I276" s="30" t="n"/>
      <c r="J276" s="29">
        <f>IF(AND(ISNUMBER(H276),ISNUMBER(I276)),EDATE(H276,I276),"")</f>
        <v/>
      </c>
      <c r="K276" s="30" t="n"/>
      <c r="L276" s="29">
        <f>IF(AND(ISNUMBER(H276),ISNUMBER(K276)),EDATE(H276,K276),"")</f>
        <v/>
      </c>
      <c r="M276" s="29">
        <f>IF(COUNT(J276,L276)=0,"",IF(MIN(J276,L276)&gt;=TODAY(),MIN(J276,L276),MAX(J276,L276)))</f>
        <v/>
      </c>
      <c r="N276" s="31">
        <f>IF(ISNUMBER(M276),M276-TODAY(),"")</f>
        <v/>
      </c>
      <c r="O276" s="32">
        <f>IF(NOT(ISNUMBER(N276)),"",IF(OR(Q276="Taken",Q276="Declined"),"",IF(N276&lt;0,"Lapsed",IF(N276&lt;=7,7,IF(N276&lt;=30,30,IF(N276&lt;=60,60,IF(N276&lt;=90,90,"")))))))</f>
        <v/>
      </c>
      <c r="P276" s="27" t="n"/>
      <c r="Q276" s="27" t="n"/>
      <c r="R276" s="27" t="n"/>
      <c r="S276" s="27" t="n"/>
      <c r="T276" s="27" t="n"/>
    </row>
    <row r="277">
      <c r="A277" s="27" t="n"/>
      <c r="B277" s="27" t="n"/>
      <c r="C277" s="27" t="n"/>
      <c r="D277" s="27" t="n"/>
      <c r="E277" s="28" t="n"/>
      <c r="F277" s="28" t="n"/>
      <c r="G277" s="27" t="n"/>
      <c r="H277" s="29">
        <f>IF(G277="Invoice",IF(ISNUMBER(F277),F277,""),IF(ISNUMBER(E277),E277,""))</f>
        <v/>
      </c>
      <c r="I277" s="30" t="n"/>
      <c r="J277" s="29">
        <f>IF(AND(ISNUMBER(H277),ISNUMBER(I277)),EDATE(H277,I277),"")</f>
        <v/>
      </c>
      <c r="K277" s="30" t="n"/>
      <c r="L277" s="29">
        <f>IF(AND(ISNUMBER(H277),ISNUMBER(K277)),EDATE(H277,K277),"")</f>
        <v/>
      </c>
      <c r="M277" s="29">
        <f>IF(COUNT(J277,L277)=0,"",IF(MIN(J277,L277)&gt;=TODAY(),MIN(J277,L277),MAX(J277,L277)))</f>
        <v/>
      </c>
      <c r="N277" s="31">
        <f>IF(ISNUMBER(M277),M277-TODAY(),"")</f>
        <v/>
      </c>
      <c r="O277" s="32">
        <f>IF(NOT(ISNUMBER(N277)),"",IF(OR(Q277="Taken",Q277="Declined"),"",IF(N277&lt;0,"Lapsed",IF(N277&lt;=7,7,IF(N277&lt;=30,30,IF(N277&lt;=60,60,IF(N277&lt;=90,90,"")))))))</f>
        <v/>
      </c>
      <c r="P277" s="27" t="n"/>
      <c r="Q277" s="27" t="n"/>
      <c r="R277" s="27" t="n"/>
      <c r="S277" s="27" t="n"/>
      <c r="T277" s="27" t="n"/>
    </row>
    <row r="278">
      <c r="A278" s="27" t="n"/>
      <c r="B278" s="27" t="n"/>
      <c r="C278" s="27" t="n"/>
      <c r="D278" s="27" t="n"/>
      <c r="E278" s="28" t="n"/>
      <c r="F278" s="28" t="n"/>
      <c r="G278" s="27" t="n"/>
      <c r="H278" s="29">
        <f>IF(G278="Invoice",IF(ISNUMBER(F278),F278,""),IF(ISNUMBER(E278),E278,""))</f>
        <v/>
      </c>
      <c r="I278" s="30" t="n"/>
      <c r="J278" s="29">
        <f>IF(AND(ISNUMBER(H278),ISNUMBER(I278)),EDATE(H278,I278),"")</f>
        <v/>
      </c>
      <c r="K278" s="30" t="n"/>
      <c r="L278" s="29">
        <f>IF(AND(ISNUMBER(H278),ISNUMBER(K278)),EDATE(H278,K278),"")</f>
        <v/>
      </c>
      <c r="M278" s="29">
        <f>IF(COUNT(J278,L278)=0,"",IF(MIN(J278,L278)&gt;=TODAY(),MIN(J278,L278),MAX(J278,L278)))</f>
        <v/>
      </c>
      <c r="N278" s="31">
        <f>IF(ISNUMBER(M278),M278-TODAY(),"")</f>
        <v/>
      </c>
      <c r="O278" s="32">
        <f>IF(NOT(ISNUMBER(N278)),"",IF(OR(Q278="Taken",Q278="Declined"),"",IF(N278&lt;0,"Lapsed",IF(N278&lt;=7,7,IF(N278&lt;=30,30,IF(N278&lt;=60,60,IF(N278&lt;=90,90,"")))))))</f>
        <v/>
      </c>
      <c r="P278" s="27" t="n"/>
      <c r="Q278" s="27" t="n"/>
      <c r="R278" s="27" t="n"/>
      <c r="S278" s="27" t="n"/>
      <c r="T278" s="27" t="n"/>
    </row>
    <row r="279">
      <c r="A279" s="27" t="n"/>
      <c r="B279" s="27" t="n"/>
      <c r="C279" s="27" t="n"/>
      <c r="D279" s="27" t="n"/>
      <c r="E279" s="28" t="n"/>
      <c r="F279" s="28" t="n"/>
      <c r="G279" s="27" t="n"/>
      <c r="H279" s="29">
        <f>IF(G279="Invoice",IF(ISNUMBER(F279),F279,""),IF(ISNUMBER(E279),E279,""))</f>
        <v/>
      </c>
      <c r="I279" s="30" t="n"/>
      <c r="J279" s="29">
        <f>IF(AND(ISNUMBER(H279),ISNUMBER(I279)),EDATE(H279,I279),"")</f>
        <v/>
      </c>
      <c r="K279" s="30" t="n"/>
      <c r="L279" s="29">
        <f>IF(AND(ISNUMBER(H279),ISNUMBER(K279)),EDATE(H279,K279),"")</f>
        <v/>
      </c>
      <c r="M279" s="29">
        <f>IF(COUNT(J279,L279)=0,"",IF(MIN(J279,L279)&gt;=TODAY(),MIN(J279,L279),MAX(J279,L279)))</f>
        <v/>
      </c>
      <c r="N279" s="31">
        <f>IF(ISNUMBER(M279),M279-TODAY(),"")</f>
        <v/>
      </c>
      <c r="O279" s="32">
        <f>IF(NOT(ISNUMBER(N279)),"",IF(OR(Q279="Taken",Q279="Declined"),"",IF(N279&lt;0,"Lapsed",IF(N279&lt;=7,7,IF(N279&lt;=30,30,IF(N279&lt;=60,60,IF(N279&lt;=90,90,"")))))))</f>
        <v/>
      </c>
      <c r="P279" s="27" t="n"/>
      <c r="Q279" s="27" t="n"/>
      <c r="R279" s="27" t="n"/>
      <c r="S279" s="27" t="n"/>
      <c r="T279" s="27" t="n"/>
    </row>
    <row r="280">
      <c r="A280" s="27" t="n"/>
      <c r="B280" s="27" t="n"/>
      <c r="C280" s="27" t="n"/>
      <c r="D280" s="27" t="n"/>
      <c r="E280" s="28" t="n"/>
      <c r="F280" s="28" t="n"/>
      <c r="G280" s="27" t="n"/>
      <c r="H280" s="29">
        <f>IF(G280="Invoice",IF(ISNUMBER(F280),F280,""),IF(ISNUMBER(E280),E280,""))</f>
        <v/>
      </c>
      <c r="I280" s="30" t="n"/>
      <c r="J280" s="29">
        <f>IF(AND(ISNUMBER(H280),ISNUMBER(I280)),EDATE(H280,I280),"")</f>
        <v/>
      </c>
      <c r="K280" s="30" t="n"/>
      <c r="L280" s="29">
        <f>IF(AND(ISNUMBER(H280),ISNUMBER(K280)),EDATE(H280,K280),"")</f>
        <v/>
      </c>
      <c r="M280" s="29">
        <f>IF(COUNT(J280,L280)=0,"",IF(MIN(J280,L280)&gt;=TODAY(),MIN(J280,L280),MAX(J280,L280)))</f>
        <v/>
      </c>
      <c r="N280" s="31">
        <f>IF(ISNUMBER(M280),M280-TODAY(),"")</f>
        <v/>
      </c>
      <c r="O280" s="32">
        <f>IF(NOT(ISNUMBER(N280)),"",IF(OR(Q280="Taken",Q280="Declined"),"",IF(N280&lt;0,"Lapsed",IF(N280&lt;=7,7,IF(N280&lt;=30,30,IF(N280&lt;=60,60,IF(N280&lt;=90,90,"")))))))</f>
        <v/>
      </c>
      <c r="P280" s="27" t="n"/>
      <c r="Q280" s="27" t="n"/>
      <c r="R280" s="27" t="n"/>
      <c r="S280" s="27" t="n"/>
      <c r="T280" s="27" t="n"/>
    </row>
    <row r="281">
      <c r="A281" s="27" t="n"/>
      <c r="B281" s="27" t="n"/>
      <c r="C281" s="27" t="n"/>
      <c r="D281" s="27" t="n"/>
      <c r="E281" s="28" t="n"/>
      <c r="F281" s="28" t="n"/>
      <c r="G281" s="27" t="n"/>
      <c r="H281" s="29">
        <f>IF(G281="Invoice",IF(ISNUMBER(F281),F281,""),IF(ISNUMBER(E281),E281,""))</f>
        <v/>
      </c>
      <c r="I281" s="30" t="n"/>
      <c r="J281" s="29">
        <f>IF(AND(ISNUMBER(H281),ISNUMBER(I281)),EDATE(H281,I281),"")</f>
        <v/>
      </c>
      <c r="K281" s="30" t="n"/>
      <c r="L281" s="29">
        <f>IF(AND(ISNUMBER(H281),ISNUMBER(K281)),EDATE(H281,K281),"")</f>
        <v/>
      </c>
      <c r="M281" s="29">
        <f>IF(COUNT(J281,L281)=0,"",IF(MIN(J281,L281)&gt;=TODAY(),MIN(J281,L281),MAX(J281,L281)))</f>
        <v/>
      </c>
      <c r="N281" s="31">
        <f>IF(ISNUMBER(M281),M281-TODAY(),"")</f>
        <v/>
      </c>
      <c r="O281" s="32">
        <f>IF(NOT(ISNUMBER(N281)),"",IF(OR(Q281="Taken",Q281="Declined"),"",IF(N281&lt;0,"Lapsed",IF(N281&lt;=7,7,IF(N281&lt;=30,30,IF(N281&lt;=60,60,IF(N281&lt;=90,90,"")))))))</f>
        <v/>
      </c>
      <c r="P281" s="27" t="n"/>
      <c r="Q281" s="27" t="n"/>
      <c r="R281" s="27" t="n"/>
      <c r="S281" s="27" t="n"/>
      <c r="T281" s="27" t="n"/>
    </row>
    <row r="282">
      <c r="A282" s="27" t="n"/>
      <c r="B282" s="27" t="n"/>
      <c r="C282" s="27" t="n"/>
      <c r="D282" s="27" t="n"/>
      <c r="E282" s="28" t="n"/>
      <c r="F282" s="28" t="n"/>
      <c r="G282" s="27" t="n"/>
      <c r="H282" s="29">
        <f>IF(G282="Invoice",IF(ISNUMBER(F282),F282,""),IF(ISNUMBER(E282),E282,""))</f>
        <v/>
      </c>
      <c r="I282" s="30" t="n"/>
      <c r="J282" s="29">
        <f>IF(AND(ISNUMBER(H282),ISNUMBER(I282)),EDATE(H282,I282),"")</f>
        <v/>
      </c>
      <c r="K282" s="30" t="n"/>
      <c r="L282" s="29">
        <f>IF(AND(ISNUMBER(H282),ISNUMBER(K282)),EDATE(H282,K282),"")</f>
        <v/>
      </c>
      <c r="M282" s="29">
        <f>IF(COUNT(J282,L282)=0,"",IF(MIN(J282,L282)&gt;=TODAY(),MIN(J282,L282),MAX(J282,L282)))</f>
        <v/>
      </c>
      <c r="N282" s="31">
        <f>IF(ISNUMBER(M282),M282-TODAY(),"")</f>
        <v/>
      </c>
      <c r="O282" s="32">
        <f>IF(NOT(ISNUMBER(N282)),"",IF(OR(Q282="Taken",Q282="Declined"),"",IF(N282&lt;0,"Lapsed",IF(N282&lt;=7,7,IF(N282&lt;=30,30,IF(N282&lt;=60,60,IF(N282&lt;=90,90,"")))))))</f>
        <v/>
      </c>
      <c r="P282" s="27" t="n"/>
      <c r="Q282" s="27" t="n"/>
      <c r="R282" s="27" t="n"/>
      <c r="S282" s="27" t="n"/>
      <c r="T282" s="27" t="n"/>
    </row>
    <row r="283">
      <c r="A283" s="27" t="n"/>
      <c r="B283" s="27" t="n"/>
      <c r="C283" s="27" t="n"/>
      <c r="D283" s="27" t="n"/>
      <c r="E283" s="28" t="n"/>
      <c r="F283" s="28" t="n"/>
      <c r="G283" s="27" t="n"/>
      <c r="H283" s="29">
        <f>IF(G283="Invoice",IF(ISNUMBER(F283),F283,""),IF(ISNUMBER(E283),E283,""))</f>
        <v/>
      </c>
      <c r="I283" s="30" t="n"/>
      <c r="J283" s="29">
        <f>IF(AND(ISNUMBER(H283),ISNUMBER(I283)),EDATE(H283,I283),"")</f>
        <v/>
      </c>
      <c r="K283" s="30" t="n"/>
      <c r="L283" s="29">
        <f>IF(AND(ISNUMBER(H283),ISNUMBER(K283)),EDATE(H283,K283),"")</f>
        <v/>
      </c>
      <c r="M283" s="29">
        <f>IF(COUNT(J283,L283)=0,"",IF(MIN(J283,L283)&gt;=TODAY(),MIN(J283,L283),MAX(J283,L283)))</f>
        <v/>
      </c>
      <c r="N283" s="31">
        <f>IF(ISNUMBER(M283),M283-TODAY(),"")</f>
        <v/>
      </c>
      <c r="O283" s="32">
        <f>IF(NOT(ISNUMBER(N283)),"",IF(OR(Q283="Taken",Q283="Declined"),"",IF(N283&lt;0,"Lapsed",IF(N283&lt;=7,7,IF(N283&lt;=30,30,IF(N283&lt;=60,60,IF(N283&lt;=90,90,"")))))))</f>
        <v/>
      </c>
      <c r="P283" s="27" t="n"/>
      <c r="Q283" s="27" t="n"/>
      <c r="R283" s="27" t="n"/>
      <c r="S283" s="27" t="n"/>
      <c r="T283" s="27" t="n"/>
    </row>
    <row r="284">
      <c r="A284" s="27" t="n"/>
      <c r="B284" s="27" t="n"/>
      <c r="C284" s="27" t="n"/>
      <c r="D284" s="27" t="n"/>
      <c r="E284" s="28" t="n"/>
      <c r="F284" s="28" t="n"/>
      <c r="G284" s="27" t="n"/>
      <c r="H284" s="29">
        <f>IF(G284="Invoice",IF(ISNUMBER(F284),F284,""),IF(ISNUMBER(E284),E284,""))</f>
        <v/>
      </c>
      <c r="I284" s="30" t="n"/>
      <c r="J284" s="29">
        <f>IF(AND(ISNUMBER(H284),ISNUMBER(I284)),EDATE(H284,I284),"")</f>
        <v/>
      </c>
      <c r="K284" s="30" t="n"/>
      <c r="L284" s="29">
        <f>IF(AND(ISNUMBER(H284),ISNUMBER(K284)),EDATE(H284,K284),"")</f>
        <v/>
      </c>
      <c r="M284" s="29">
        <f>IF(COUNT(J284,L284)=0,"",IF(MIN(J284,L284)&gt;=TODAY(),MIN(J284,L284),MAX(J284,L284)))</f>
        <v/>
      </c>
      <c r="N284" s="31">
        <f>IF(ISNUMBER(M284),M284-TODAY(),"")</f>
        <v/>
      </c>
      <c r="O284" s="32">
        <f>IF(NOT(ISNUMBER(N284)),"",IF(OR(Q284="Taken",Q284="Declined"),"",IF(N284&lt;0,"Lapsed",IF(N284&lt;=7,7,IF(N284&lt;=30,30,IF(N284&lt;=60,60,IF(N284&lt;=90,90,"")))))))</f>
        <v/>
      </c>
      <c r="P284" s="27" t="n"/>
      <c r="Q284" s="27" t="n"/>
      <c r="R284" s="27" t="n"/>
      <c r="S284" s="27" t="n"/>
      <c r="T284" s="27" t="n"/>
    </row>
    <row r="285">
      <c r="A285" s="27" t="n"/>
      <c r="B285" s="27" t="n"/>
      <c r="C285" s="27" t="n"/>
      <c r="D285" s="27" t="n"/>
      <c r="E285" s="28" t="n"/>
      <c r="F285" s="28" t="n"/>
      <c r="G285" s="27" t="n"/>
      <c r="H285" s="29">
        <f>IF(G285="Invoice",IF(ISNUMBER(F285),F285,""),IF(ISNUMBER(E285),E285,""))</f>
        <v/>
      </c>
      <c r="I285" s="30" t="n"/>
      <c r="J285" s="29">
        <f>IF(AND(ISNUMBER(H285),ISNUMBER(I285)),EDATE(H285,I285),"")</f>
        <v/>
      </c>
      <c r="K285" s="30" t="n"/>
      <c r="L285" s="29">
        <f>IF(AND(ISNUMBER(H285),ISNUMBER(K285)),EDATE(H285,K285),"")</f>
        <v/>
      </c>
      <c r="M285" s="29">
        <f>IF(COUNT(J285,L285)=0,"",IF(MIN(J285,L285)&gt;=TODAY(),MIN(J285,L285),MAX(J285,L285)))</f>
        <v/>
      </c>
      <c r="N285" s="31">
        <f>IF(ISNUMBER(M285),M285-TODAY(),"")</f>
        <v/>
      </c>
      <c r="O285" s="32">
        <f>IF(NOT(ISNUMBER(N285)),"",IF(OR(Q285="Taken",Q285="Declined"),"",IF(N285&lt;0,"Lapsed",IF(N285&lt;=7,7,IF(N285&lt;=30,30,IF(N285&lt;=60,60,IF(N285&lt;=90,90,"")))))))</f>
        <v/>
      </c>
      <c r="P285" s="27" t="n"/>
      <c r="Q285" s="27" t="n"/>
      <c r="R285" s="27" t="n"/>
      <c r="S285" s="27" t="n"/>
      <c r="T285" s="27" t="n"/>
    </row>
    <row r="286">
      <c r="A286" s="27" t="n"/>
      <c r="B286" s="27" t="n"/>
      <c r="C286" s="27" t="n"/>
      <c r="D286" s="27" t="n"/>
      <c r="E286" s="28" t="n"/>
      <c r="F286" s="28" t="n"/>
      <c r="G286" s="27" t="n"/>
      <c r="H286" s="29">
        <f>IF(G286="Invoice",IF(ISNUMBER(F286),F286,""),IF(ISNUMBER(E286),E286,""))</f>
        <v/>
      </c>
      <c r="I286" s="30" t="n"/>
      <c r="J286" s="29">
        <f>IF(AND(ISNUMBER(H286),ISNUMBER(I286)),EDATE(H286,I286),"")</f>
        <v/>
      </c>
      <c r="K286" s="30" t="n"/>
      <c r="L286" s="29">
        <f>IF(AND(ISNUMBER(H286),ISNUMBER(K286)),EDATE(H286,K286),"")</f>
        <v/>
      </c>
      <c r="M286" s="29">
        <f>IF(COUNT(J286,L286)=0,"",IF(MIN(J286,L286)&gt;=TODAY(),MIN(J286,L286),MAX(J286,L286)))</f>
        <v/>
      </c>
      <c r="N286" s="31">
        <f>IF(ISNUMBER(M286),M286-TODAY(),"")</f>
        <v/>
      </c>
      <c r="O286" s="32">
        <f>IF(NOT(ISNUMBER(N286)),"",IF(OR(Q286="Taken",Q286="Declined"),"",IF(N286&lt;0,"Lapsed",IF(N286&lt;=7,7,IF(N286&lt;=30,30,IF(N286&lt;=60,60,IF(N286&lt;=90,90,"")))))))</f>
        <v/>
      </c>
      <c r="P286" s="27" t="n"/>
      <c r="Q286" s="27" t="n"/>
      <c r="R286" s="27" t="n"/>
      <c r="S286" s="27" t="n"/>
      <c r="T286" s="27" t="n"/>
    </row>
    <row r="287">
      <c r="A287" s="27" t="n"/>
      <c r="B287" s="27" t="n"/>
      <c r="C287" s="27" t="n"/>
      <c r="D287" s="27" t="n"/>
      <c r="E287" s="28" t="n"/>
      <c r="F287" s="28" t="n"/>
      <c r="G287" s="27" t="n"/>
      <c r="H287" s="29">
        <f>IF(G287="Invoice",IF(ISNUMBER(F287),F287,""),IF(ISNUMBER(E287),E287,""))</f>
        <v/>
      </c>
      <c r="I287" s="30" t="n"/>
      <c r="J287" s="29">
        <f>IF(AND(ISNUMBER(H287),ISNUMBER(I287)),EDATE(H287,I287),"")</f>
        <v/>
      </c>
      <c r="K287" s="30" t="n"/>
      <c r="L287" s="29">
        <f>IF(AND(ISNUMBER(H287),ISNUMBER(K287)),EDATE(H287,K287),"")</f>
        <v/>
      </c>
      <c r="M287" s="29">
        <f>IF(COUNT(J287,L287)=0,"",IF(MIN(J287,L287)&gt;=TODAY(),MIN(J287,L287),MAX(J287,L287)))</f>
        <v/>
      </c>
      <c r="N287" s="31">
        <f>IF(ISNUMBER(M287),M287-TODAY(),"")</f>
        <v/>
      </c>
      <c r="O287" s="32">
        <f>IF(NOT(ISNUMBER(N287)),"",IF(OR(Q287="Taken",Q287="Declined"),"",IF(N287&lt;0,"Lapsed",IF(N287&lt;=7,7,IF(N287&lt;=30,30,IF(N287&lt;=60,60,IF(N287&lt;=90,90,"")))))))</f>
        <v/>
      </c>
      <c r="P287" s="27" t="n"/>
      <c r="Q287" s="27" t="n"/>
      <c r="R287" s="27" t="n"/>
      <c r="S287" s="27" t="n"/>
      <c r="T287" s="27" t="n"/>
    </row>
    <row r="288">
      <c r="A288" s="27" t="n"/>
      <c r="B288" s="27" t="n"/>
      <c r="C288" s="27" t="n"/>
      <c r="D288" s="27" t="n"/>
      <c r="E288" s="28" t="n"/>
      <c r="F288" s="28" t="n"/>
      <c r="G288" s="27" t="n"/>
      <c r="H288" s="29">
        <f>IF(G288="Invoice",IF(ISNUMBER(F288),F288,""),IF(ISNUMBER(E288),E288,""))</f>
        <v/>
      </c>
      <c r="I288" s="30" t="n"/>
      <c r="J288" s="29">
        <f>IF(AND(ISNUMBER(H288),ISNUMBER(I288)),EDATE(H288,I288),"")</f>
        <v/>
      </c>
      <c r="K288" s="30" t="n"/>
      <c r="L288" s="29">
        <f>IF(AND(ISNUMBER(H288),ISNUMBER(K288)),EDATE(H288,K288),"")</f>
        <v/>
      </c>
      <c r="M288" s="29">
        <f>IF(COUNT(J288,L288)=0,"",IF(MIN(J288,L288)&gt;=TODAY(),MIN(J288,L288),MAX(J288,L288)))</f>
        <v/>
      </c>
      <c r="N288" s="31">
        <f>IF(ISNUMBER(M288),M288-TODAY(),"")</f>
        <v/>
      </c>
      <c r="O288" s="32">
        <f>IF(NOT(ISNUMBER(N288)),"",IF(OR(Q288="Taken",Q288="Declined"),"",IF(N288&lt;0,"Lapsed",IF(N288&lt;=7,7,IF(N288&lt;=30,30,IF(N288&lt;=60,60,IF(N288&lt;=90,90,"")))))))</f>
        <v/>
      </c>
      <c r="P288" s="27" t="n"/>
      <c r="Q288" s="27" t="n"/>
      <c r="R288" s="27" t="n"/>
      <c r="S288" s="27" t="n"/>
      <c r="T288" s="27" t="n"/>
    </row>
    <row r="289">
      <c r="A289" s="27" t="n"/>
      <c r="B289" s="27" t="n"/>
      <c r="C289" s="27" t="n"/>
      <c r="D289" s="27" t="n"/>
      <c r="E289" s="28" t="n"/>
      <c r="F289" s="28" t="n"/>
      <c r="G289" s="27" t="n"/>
      <c r="H289" s="29">
        <f>IF(G289="Invoice",IF(ISNUMBER(F289),F289,""),IF(ISNUMBER(E289),E289,""))</f>
        <v/>
      </c>
      <c r="I289" s="30" t="n"/>
      <c r="J289" s="29">
        <f>IF(AND(ISNUMBER(H289),ISNUMBER(I289)),EDATE(H289,I289),"")</f>
        <v/>
      </c>
      <c r="K289" s="30" t="n"/>
      <c r="L289" s="29">
        <f>IF(AND(ISNUMBER(H289),ISNUMBER(K289)),EDATE(H289,K289),"")</f>
        <v/>
      </c>
      <c r="M289" s="29">
        <f>IF(COUNT(J289,L289)=0,"",IF(MIN(J289,L289)&gt;=TODAY(),MIN(J289,L289),MAX(J289,L289)))</f>
        <v/>
      </c>
      <c r="N289" s="31">
        <f>IF(ISNUMBER(M289),M289-TODAY(),"")</f>
        <v/>
      </c>
      <c r="O289" s="32">
        <f>IF(NOT(ISNUMBER(N289)),"",IF(OR(Q289="Taken",Q289="Declined"),"",IF(N289&lt;0,"Lapsed",IF(N289&lt;=7,7,IF(N289&lt;=30,30,IF(N289&lt;=60,60,IF(N289&lt;=90,90,"")))))))</f>
        <v/>
      </c>
      <c r="P289" s="27" t="n"/>
      <c r="Q289" s="27" t="n"/>
      <c r="R289" s="27" t="n"/>
      <c r="S289" s="27" t="n"/>
      <c r="T289" s="27" t="n"/>
    </row>
    <row r="290">
      <c r="A290" s="27" t="n"/>
      <c r="B290" s="27" t="n"/>
      <c r="C290" s="27" t="n"/>
      <c r="D290" s="27" t="n"/>
      <c r="E290" s="28" t="n"/>
      <c r="F290" s="28" t="n"/>
      <c r="G290" s="27" t="n"/>
      <c r="H290" s="29">
        <f>IF(G290="Invoice",IF(ISNUMBER(F290),F290,""),IF(ISNUMBER(E290),E290,""))</f>
        <v/>
      </c>
      <c r="I290" s="30" t="n"/>
      <c r="J290" s="29">
        <f>IF(AND(ISNUMBER(H290),ISNUMBER(I290)),EDATE(H290,I290),"")</f>
        <v/>
      </c>
      <c r="K290" s="30" t="n"/>
      <c r="L290" s="29">
        <f>IF(AND(ISNUMBER(H290),ISNUMBER(K290)),EDATE(H290,K290),"")</f>
        <v/>
      </c>
      <c r="M290" s="29">
        <f>IF(COUNT(J290,L290)=0,"",IF(MIN(J290,L290)&gt;=TODAY(),MIN(J290,L290),MAX(J290,L290)))</f>
        <v/>
      </c>
      <c r="N290" s="31">
        <f>IF(ISNUMBER(M290),M290-TODAY(),"")</f>
        <v/>
      </c>
      <c r="O290" s="32">
        <f>IF(NOT(ISNUMBER(N290)),"",IF(OR(Q290="Taken",Q290="Declined"),"",IF(N290&lt;0,"Lapsed",IF(N290&lt;=7,7,IF(N290&lt;=30,30,IF(N290&lt;=60,60,IF(N290&lt;=90,90,"")))))))</f>
        <v/>
      </c>
      <c r="P290" s="27" t="n"/>
      <c r="Q290" s="27" t="n"/>
      <c r="R290" s="27" t="n"/>
      <c r="S290" s="27" t="n"/>
      <c r="T290" s="27" t="n"/>
    </row>
    <row r="291">
      <c r="A291" s="27" t="n"/>
      <c r="B291" s="27" t="n"/>
      <c r="C291" s="27" t="n"/>
      <c r="D291" s="27" t="n"/>
      <c r="E291" s="28" t="n"/>
      <c r="F291" s="28" t="n"/>
      <c r="G291" s="27" t="n"/>
      <c r="H291" s="29">
        <f>IF(G291="Invoice",IF(ISNUMBER(F291),F291,""),IF(ISNUMBER(E291),E291,""))</f>
        <v/>
      </c>
      <c r="I291" s="30" t="n"/>
      <c r="J291" s="29">
        <f>IF(AND(ISNUMBER(H291),ISNUMBER(I291)),EDATE(H291,I291),"")</f>
        <v/>
      </c>
      <c r="K291" s="30" t="n"/>
      <c r="L291" s="29">
        <f>IF(AND(ISNUMBER(H291),ISNUMBER(K291)),EDATE(H291,K291),"")</f>
        <v/>
      </c>
      <c r="M291" s="29">
        <f>IF(COUNT(J291,L291)=0,"",IF(MIN(J291,L291)&gt;=TODAY(),MIN(J291,L291),MAX(J291,L291)))</f>
        <v/>
      </c>
      <c r="N291" s="31">
        <f>IF(ISNUMBER(M291),M291-TODAY(),"")</f>
        <v/>
      </c>
      <c r="O291" s="32">
        <f>IF(NOT(ISNUMBER(N291)),"",IF(OR(Q291="Taken",Q291="Declined"),"",IF(N291&lt;0,"Lapsed",IF(N291&lt;=7,7,IF(N291&lt;=30,30,IF(N291&lt;=60,60,IF(N291&lt;=90,90,"")))))))</f>
        <v/>
      </c>
      <c r="P291" s="27" t="n"/>
      <c r="Q291" s="27" t="n"/>
      <c r="R291" s="27" t="n"/>
      <c r="S291" s="27" t="n"/>
      <c r="T291" s="27" t="n"/>
    </row>
    <row r="292">
      <c r="A292" s="27" t="n"/>
      <c r="B292" s="27" t="n"/>
      <c r="C292" s="27" t="n"/>
      <c r="D292" s="27" t="n"/>
      <c r="E292" s="28" t="n"/>
      <c r="F292" s="28" t="n"/>
      <c r="G292" s="27" t="n"/>
      <c r="H292" s="29">
        <f>IF(G292="Invoice",IF(ISNUMBER(F292),F292,""),IF(ISNUMBER(E292),E292,""))</f>
        <v/>
      </c>
      <c r="I292" s="30" t="n"/>
      <c r="J292" s="29">
        <f>IF(AND(ISNUMBER(H292),ISNUMBER(I292)),EDATE(H292,I292),"")</f>
        <v/>
      </c>
      <c r="K292" s="30" t="n"/>
      <c r="L292" s="29">
        <f>IF(AND(ISNUMBER(H292),ISNUMBER(K292)),EDATE(H292,K292),"")</f>
        <v/>
      </c>
      <c r="M292" s="29">
        <f>IF(COUNT(J292,L292)=0,"",IF(MIN(J292,L292)&gt;=TODAY(),MIN(J292,L292),MAX(J292,L292)))</f>
        <v/>
      </c>
      <c r="N292" s="31">
        <f>IF(ISNUMBER(M292),M292-TODAY(),"")</f>
        <v/>
      </c>
      <c r="O292" s="32">
        <f>IF(NOT(ISNUMBER(N292)),"",IF(OR(Q292="Taken",Q292="Declined"),"",IF(N292&lt;0,"Lapsed",IF(N292&lt;=7,7,IF(N292&lt;=30,30,IF(N292&lt;=60,60,IF(N292&lt;=90,90,"")))))))</f>
        <v/>
      </c>
      <c r="P292" s="27" t="n"/>
      <c r="Q292" s="27" t="n"/>
      <c r="R292" s="27" t="n"/>
      <c r="S292" s="27" t="n"/>
      <c r="T292" s="27" t="n"/>
    </row>
    <row r="293">
      <c r="A293" s="27" t="n"/>
      <c r="B293" s="27" t="n"/>
      <c r="C293" s="27" t="n"/>
      <c r="D293" s="27" t="n"/>
      <c r="E293" s="28" t="n"/>
      <c r="F293" s="28" t="n"/>
      <c r="G293" s="27" t="n"/>
      <c r="H293" s="29">
        <f>IF(G293="Invoice",IF(ISNUMBER(F293),F293,""),IF(ISNUMBER(E293),E293,""))</f>
        <v/>
      </c>
      <c r="I293" s="30" t="n"/>
      <c r="J293" s="29">
        <f>IF(AND(ISNUMBER(H293),ISNUMBER(I293)),EDATE(H293,I293),"")</f>
        <v/>
      </c>
      <c r="K293" s="30" t="n"/>
      <c r="L293" s="29">
        <f>IF(AND(ISNUMBER(H293),ISNUMBER(K293)),EDATE(H293,K293),"")</f>
        <v/>
      </c>
      <c r="M293" s="29">
        <f>IF(COUNT(J293,L293)=0,"",IF(MIN(J293,L293)&gt;=TODAY(),MIN(J293,L293),MAX(J293,L293)))</f>
        <v/>
      </c>
      <c r="N293" s="31">
        <f>IF(ISNUMBER(M293),M293-TODAY(),"")</f>
        <v/>
      </c>
      <c r="O293" s="32">
        <f>IF(NOT(ISNUMBER(N293)),"",IF(OR(Q293="Taken",Q293="Declined"),"",IF(N293&lt;0,"Lapsed",IF(N293&lt;=7,7,IF(N293&lt;=30,30,IF(N293&lt;=60,60,IF(N293&lt;=90,90,"")))))))</f>
        <v/>
      </c>
      <c r="P293" s="27" t="n"/>
      <c r="Q293" s="27" t="n"/>
      <c r="R293" s="27" t="n"/>
      <c r="S293" s="27" t="n"/>
      <c r="T293" s="27" t="n"/>
    </row>
    <row r="294">
      <c r="A294" s="27" t="n"/>
      <c r="B294" s="27" t="n"/>
      <c r="C294" s="27" t="n"/>
      <c r="D294" s="27" t="n"/>
      <c r="E294" s="28" t="n"/>
      <c r="F294" s="28" t="n"/>
      <c r="G294" s="27" t="n"/>
      <c r="H294" s="29">
        <f>IF(G294="Invoice",IF(ISNUMBER(F294),F294,""),IF(ISNUMBER(E294),E294,""))</f>
        <v/>
      </c>
      <c r="I294" s="30" t="n"/>
      <c r="J294" s="29">
        <f>IF(AND(ISNUMBER(H294),ISNUMBER(I294)),EDATE(H294,I294),"")</f>
        <v/>
      </c>
      <c r="K294" s="30" t="n"/>
      <c r="L294" s="29">
        <f>IF(AND(ISNUMBER(H294),ISNUMBER(K294)),EDATE(H294,K294),"")</f>
        <v/>
      </c>
      <c r="M294" s="29">
        <f>IF(COUNT(J294,L294)=0,"",IF(MIN(J294,L294)&gt;=TODAY(),MIN(J294,L294),MAX(J294,L294)))</f>
        <v/>
      </c>
      <c r="N294" s="31">
        <f>IF(ISNUMBER(M294),M294-TODAY(),"")</f>
        <v/>
      </c>
      <c r="O294" s="32">
        <f>IF(NOT(ISNUMBER(N294)),"",IF(OR(Q294="Taken",Q294="Declined"),"",IF(N294&lt;0,"Lapsed",IF(N294&lt;=7,7,IF(N294&lt;=30,30,IF(N294&lt;=60,60,IF(N294&lt;=90,90,"")))))))</f>
        <v/>
      </c>
      <c r="P294" s="27" t="n"/>
      <c r="Q294" s="27" t="n"/>
      <c r="R294" s="27" t="n"/>
      <c r="S294" s="27" t="n"/>
      <c r="T294" s="27" t="n"/>
    </row>
    <row r="295">
      <c r="A295" s="27" t="n"/>
      <c r="B295" s="27" t="n"/>
      <c r="C295" s="27" t="n"/>
      <c r="D295" s="27" t="n"/>
      <c r="E295" s="28" t="n"/>
      <c r="F295" s="28" t="n"/>
      <c r="G295" s="27" t="n"/>
      <c r="H295" s="29">
        <f>IF(G295="Invoice",IF(ISNUMBER(F295),F295,""),IF(ISNUMBER(E295),E295,""))</f>
        <v/>
      </c>
      <c r="I295" s="30" t="n"/>
      <c r="J295" s="29">
        <f>IF(AND(ISNUMBER(H295),ISNUMBER(I295)),EDATE(H295,I295),"")</f>
        <v/>
      </c>
      <c r="K295" s="30" t="n"/>
      <c r="L295" s="29">
        <f>IF(AND(ISNUMBER(H295),ISNUMBER(K295)),EDATE(H295,K295),"")</f>
        <v/>
      </c>
      <c r="M295" s="29">
        <f>IF(COUNT(J295,L295)=0,"",IF(MIN(J295,L295)&gt;=TODAY(),MIN(J295,L295),MAX(J295,L295)))</f>
        <v/>
      </c>
      <c r="N295" s="31">
        <f>IF(ISNUMBER(M295),M295-TODAY(),"")</f>
        <v/>
      </c>
      <c r="O295" s="32">
        <f>IF(NOT(ISNUMBER(N295)),"",IF(OR(Q295="Taken",Q295="Declined"),"",IF(N295&lt;0,"Lapsed",IF(N295&lt;=7,7,IF(N295&lt;=30,30,IF(N295&lt;=60,60,IF(N295&lt;=90,90,"")))))))</f>
        <v/>
      </c>
      <c r="P295" s="27" t="n"/>
      <c r="Q295" s="27" t="n"/>
      <c r="R295" s="27" t="n"/>
      <c r="S295" s="27" t="n"/>
      <c r="T295" s="27" t="n"/>
    </row>
    <row r="296">
      <c r="A296" s="27" t="n"/>
      <c r="B296" s="27" t="n"/>
      <c r="C296" s="27" t="n"/>
      <c r="D296" s="27" t="n"/>
      <c r="E296" s="28" t="n"/>
      <c r="F296" s="28" t="n"/>
      <c r="G296" s="27" t="n"/>
      <c r="H296" s="29">
        <f>IF(G296="Invoice",IF(ISNUMBER(F296),F296,""),IF(ISNUMBER(E296),E296,""))</f>
        <v/>
      </c>
      <c r="I296" s="30" t="n"/>
      <c r="J296" s="29">
        <f>IF(AND(ISNUMBER(H296),ISNUMBER(I296)),EDATE(H296,I296),"")</f>
        <v/>
      </c>
      <c r="K296" s="30" t="n"/>
      <c r="L296" s="29">
        <f>IF(AND(ISNUMBER(H296),ISNUMBER(K296)),EDATE(H296,K296),"")</f>
        <v/>
      </c>
      <c r="M296" s="29">
        <f>IF(COUNT(J296,L296)=0,"",IF(MIN(J296,L296)&gt;=TODAY(),MIN(J296,L296),MAX(J296,L296)))</f>
        <v/>
      </c>
      <c r="N296" s="31">
        <f>IF(ISNUMBER(M296),M296-TODAY(),"")</f>
        <v/>
      </c>
      <c r="O296" s="32">
        <f>IF(NOT(ISNUMBER(N296)),"",IF(OR(Q296="Taken",Q296="Declined"),"",IF(N296&lt;0,"Lapsed",IF(N296&lt;=7,7,IF(N296&lt;=30,30,IF(N296&lt;=60,60,IF(N296&lt;=90,90,"")))))))</f>
        <v/>
      </c>
      <c r="P296" s="27" t="n"/>
      <c r="Q296" s="27" t="n"/>
      <c r="R296" s="27" t="n"/>
      <c r="S296" s="27" t="n"/>
      <c r="T296" s="27" t="n"/>
    </row>
    <row r="297">
      <c r="A297" s="27" t="n"/>
      <c r="B297" s="27" t="n"/>
      <c r="C297" s="27" t="n"/>
      <c r="D297" s="27" t="n"/>
      <c r="E297" s="28" t="n"/>
      <c r="F297" s="28" t="n"/>
      <c r="G297" s="27" t="n"/>
      <c r="H297" s="29">
        <f>IF(G297="Invoice",IF(ISNUMBER(F297),F297,""),IF(ISNUMBER(E297),E297,""))</f>
        <v/>
      </c>
      <c r="I297" s="30" t="n"/>
      <c r="J297" s="29">
        <f>IF(AND(ISNUMBER(H297),ISNUMBER(I297)),EDATE(H297,I297),"")</f>
        <v/>
      </c>
      <c r="K297" s="30" t="n"/>
      <c r="L297" s="29">
        <f>IF(AND(ISNUMBER(H297),ISNUMBER(K297)),EDATE(H297,K297),"")</f>
        <v/>
      </c>
      <c r="M297" s="29">
        <f>IF(COUNT(J297,L297)=0,"",IF(MIN(J297,L297)&gt;=TODAY(),MIN(J297,L297),MAX(J297,L297)))</f>
        <v/>
      </c>
      <c r="N297" s="31">
        <f>IF(ISNUMBER(M297),M297-TODAY(),"")</f>
        <v/>
      </c>
      <c r="O297" s="32">
        <f>IF(NOT(ISNUMBER(N297)),"",IF(OR(Q297="Taken",Q297="Declined"),"",IF(N297&lt;0,"Lapsed",IF(N297&lt;=7,7,IF(N297&lt;=30,30,IF(N297&lt;=60,60,IF(N297&lt;=90,90,"")))))))</f>
        <v/>
      </c>
      <c r="P297" s="27" t="n"/>
      <c r="Q297" s="27" t="n"/>
      <c r="R297" s="27" t="n"/>
      <c r="S297" s="27" t="n"/>
      <c r="T297" s="27" t="n"/>
    </row>
    <row r="298">
      <c r="A298" s="27" t="n"/>
      <c r="B298" s="27" t="n"/>
      <c r="C298" s="27" t="n"/>
      <c r="D298" s="27" t="n"/>
      <c r="E298" s="28" t="n"/>
      <c r="F298" s="28" t="n"/>
      <c r="G298" s="27" t="n"/>
      <c r="H298" s="29">
        <f>IF(G298="Invoice",IF(ISNUMBER(F298),F298,""),IF(ISNUMBER(E298),E298,""))</f>
        <v/>
      </c>
      <c r="I298" s="30" t="n"/>
      <c r="J298" s="29">
        <f>IF(AND(ISNUMBER(H298),ISNUMBER(I298)),EDATE(H298,I298),"")</f>
        <v/>
      </c>
      <c r="K298" s="30" t="n"/>
      <c r="L298" s="29">
        <f>IF(AND(ISNUMBER(H298),ISNUMBER(K298)),EDATE(H298,K298),"")</f>
        <v/>
      </c>
      <c r="M298" s="29">
        <f>IF(COUNT(J298,L298)=0,"",IF(MIN(J298,L298)&gt;=TODAY(),MIN(J298,L298),MAX(J298,L298)))</f>
        <v/>
      </c>
      <c r="N298" s="31">
        <f>IF(ISNUMBER(M298),M298-TODAY(),"")</f>
        <v/>
      </c>
      <c r="O298" s="32">
        <f>IF(NOT(ISNUMBER(N298)),"",IF(OR(Q298="Taken",Q298="Declined"),"",IF(N298&lt;0,"Lapsed",IF(N298&lt;=7,7,IF(N298&lt;=30,30,IF(N298&lt;=60,60,IF(N298&lt;=90,90,"")))))))</f>
        <v/>
      </c>
      <c r="P298" s="27" t="n"/>
      <c r="Q298" s="27" t="n"/>
      <c r="R298" s="27" t="n"/>
      <c r="S298" s="27" t="n"/>
      <c r="T298" s="27" t="n"/>
    </row>
    <row r="299">
      <c r="A299" s="27" t="n"/>
      <c r="B299" s="27" t="n"/>
      <c r="C299" s="27" t="n"/>
      <c r="D299" s="27" t="n"/>
      <c r="E299" s="28" t="n"/>
      <c r="F299" s="28" t="n"/>
      <c r="G299" s="27" t="n"/>
      <c r="H299" s="29">
        <f>IF(G299="Invoice",IF(ISNUMBER(F299),F299,""),IF(ISNUMBER(E299),E299,""))</f>
        <v/>
      </c>
      <c r="I299" s="30" t="n"/>
      <c r="J299" s="29">
        <f>IF(AND(ISNUMBER(H299),ISNUMBER(I299)),EDATE(H299,I299),"")</f>
        <v/>
      </c>
      <c r="K299" s="30" t="n"/>
      <c r="L299" s="29">
        <f>IF(AND(ISNUMBER(H299),ISNUMBER(K299)),EDATE(H299,K299),"")</f>
        <v/>
      </c>
      <c r="M299" s="29">
        <f>IF(COUNT(J299,L299)=0,"",IF(MIN(J299,L299)&gt;=TODAY(),MIN(J299,L299),MAX(J299,L299)))</f>
        <v/>
      </c>
      <c r="N299" s="31">
        <f>IF(ISNUMBER(M299),M299-TODAY(),"")</f>
        <v/>
      </c>
      <c r="O299" s="32">
        <f>IF(NOT(ISNUMBER(N299)),"",IF(OR(Q299="Taken",Q299="Declined"),"",IF(N299&lt;0,"Lapsed",IF(N299&lt;=7,7,IF(N299&lt;=30,30,IF(N299&lt;=60,60,IF(N299&lt;=90,90,"")))))))</f>
        <v/>
      </c>
      <c r="P299" s="27" t="n"/>
      <c r="Q299" s="27" t="n"/>
      <c r="R299" s="27" t="n"/>
      <c r="S299" s="27" t="n"/>
      <c r="T299" s="27" t="n"/>
    </row>
    <row r="300">
      <c r="A300" s="27" t="n"/>
      <c r="B300" s="27" t="n"/>
      <c r="C300" s="27" t="n"/>
      <c r="D300" s="27" t="n"/>
      <c r="E300" s="28" t="n"/>
      <c r="F300" s="28" t="n"/>
      <c r="G300" s="27" t="n"/>
      <c r="H300" s="29">
        <f>IF(G300="Invoice",IF(ISNUMBER(F300),F300,""),IF(ISNUMBER(E300),E300,""))</f>
        <v/>
      </c>
      <c r="I300" s="30" t="n"/>
      <c r="J300" s="29">
        <f>IF(AND(ISNUMBER(H300),ISNUMBER(I300)),EDATE(H300,I300),"")</f>
        <v/>
      </c>
      <c r="K300" s="30" t="n"/>
      <c r="L300" s="29">
        <f>IF(AND(ISNUMBER(H300),ISNUMBER(K300)),EDATE(H300,K300),"")</f>
        <v/>
      </c>
      <c r="M300" s="29">
        <f>IF(COUNT(J300,L300)=0,"",IF(MIN(J300,L300)&gt;=TODAY(),MIN(J300,L300),MAX(J300,L300)))</f>
        <v/>
      </c>
      <c r="N300" s="31">
        <f>IF(ISNUMBER(M300),M300-TODAY(),"")</f>
        <v/>
      </c>
      <c r="O300" s="32">
        <f>IF(NOT(ISNUMBER(N300)),"",IF(OR(Q300="Taken",Q300="Declined"),"",IF(N300&lt;0,"Lapsed",IF(N300&lt;=7,7,IF(N300&lt;=30,30,IF(N300&lt;=60,60,IF(N300&lt;=90,90,"")))))))</f>
        <v/>
      </c>
      <c r="P300" s="27" t="n"/>
      <c r="Q300" s="27" t="n"/>
      <c r="R300" s="27" t="n"/>
      <c r="S300" s="27" t="n"/>
      <c r="T300" s="27" t="n"/>
    </row>
    <row r="301">
      <c r="A301" s="27" t="n"/>
      <c r="B301" s="27" t="n"/>
      <c r="C301" s="27" t="n"/>
      <c r="D301" s="27" t="n"/>
      <c r="E301" s="28" t="n"/>
      <c r="F301" s="28" t="n"/>
      <c r="G301" s="27" t="n"/>
      <c r="H301" s="29">
        <f>IF(G301="Invoice",IF(ISNUMBER(F301),F301,""),IF(ISNUMBER(E301),E301,""))</f>
        <v/>
      </c>
      <c r="I301" s="30" t="n"/>
      <c r="J301" s="29">
        <f>IF(AND(ISNUMBER(H301),ISNUMBER(I301)),EDATE(H301,I301),"")</f>
        <v/>
      </c>
      <c r="K301" s="30" t="n"/>
      <c r="L301" s="29">
        <f>IF(AND(ISNUMBER(H301),ISNUMBER(K301)),EDATE(H301,K301),"")</f>
        <v/>
      </c>
      <c r="M301" s="29">
        <f>IF(COUNT(J301,L301)=0,"",IF(MIN(J301,L301)&gt;=TODAY(),MIN(J301,L301),MAX(J301,L301)))</f>
        <v/>
      </c>
      <c r="N301" s="31">
        <f>IF(ISNUMBER(M301),M301-TODAY(),"")</f>
        <v/>
      </c>
      <c r="O301" s="32">
        <f>IF(NOT(ISNUMBER(N301)),"",IF(OR(Q301="Taken",Q301="Declined"),"",IF(N301&lt;0,"Lapsed",IF(N301&lt;=7,7,IF(N301&lt;=30,30,IF(N301&lt;=60,60,IF(N301&lt;=90,90,"")))))))</f>
        <v/>
      </c>
      <c r="P301" s="27" t="n"/>
      <c r="Q301" s="27" t="n"/>
      <c r="R301" s="27" t="n"/>
      <c r="S301" s="27" t="n"/>
      <c r="T301" s="27" t="n"/>
    </row>
    <row r="302">
      <c r="A302" s="27" t="n"/>
      <c r="B302" s="27" t="n"/>
      <c r="C302" s="27" t="n"/>
      <c r="D302" s="27" t="n"/>
      <c r="E302" s="28" t="n"/>
      <c r="F302" s="28" t="n"/>
      <c r="G302" s="27" t="n"/>
      <c r="H302" s="29">
        <f>IF(G302="Invoice",IF(ISNUMBER(F302),F302,""),IF(ISNUMBER(E302),E302,""))</f>
        <v/>
      </c>
      <c r="I302" s="30" t="n"/>
      <c r="J302" s="29">
        <f>IF(AND(ISNUMBER(H302),ISNUMBER(I302)),EDATE(H302,I302),"")</f>
        <v/>
      </c>
      <c r="K302" s="30" t="n"/>
      <c r="L302" s="29">
        <f>IF(AND(ISNUMBER(H302),ISNUMBER(K302)),EDATE(H302,K302),"")</f>
        <v/>
      </c>
      <c r="M302" s="29">
        <f>IF(COUNT(J302,L302)=0,"",IF(MIN(J302,L302)&gt;=TODAY(),MIN(J302,L302),MAX(J302,L302)))</f>
        <v/>
      </c>
      <c r="N302" s="31">
        <f>IF(ISNUMBER(M302),M302-TODAY(),"")</f>
        <v/>
      </c>
      <c r="O302" s="32">
        <f>IF(NOT(ISNUMBER(N302)),"",IF(OR(Q302="Taken",Q302="Declined"),"",IF(N302&lt;0,"Lapsed",IF(N302&lt;=7,7,IF(N302&lt;=30,30,IF(N302&lt;=60,60,IF(N302&lt;=90,90,"")))))))</f>
        <v/>
      </c>
      <c r="P302" s="27" t="n"/>
      <c r="Q302" s="27" t="n"/>
      <c r="R302" s="27" t="n"/>
      <c r="S302" s="27" t="n"/>
      <c r="T302" s="27" t="n"/>
    </row>
    <row r="303">
      <c r="A303" s="27" t="n"/>
      <c r="B303" s="27" t="n"/>
      <c r="C303" s="27" t="n"/>
      <c r="D303" s="27" t="n"/>
      <c r="E303" s="28" t="n"/>
      <c r="F303" s="28" t="n"/>
      <c r="G303" s="27" t="n"/>
      <c r="H303" s="29">
        <f>IF(G303="Invoice",IF(ISNUMBER(F303),F303,""),IF(ISNUMBER(E303),E303,""))</f>
        <v/>
      </c>
      <c r="I303" s="30" t="n"/>
      <c r="J303" s="29">
        <f>IF(AND(ISNUMBER(H303),ISNUMBER(I303)),EDATE(H303,I303),"")</f>
        <v/>
      </c>
      <c r="K303" s="30" t="n"/>
      <c r="L303" s="29">
        <f>IF(AND(ISNUMBER(H303),ISNUMBER(K303)),EDATE(H303,K303),"")</f>
        <v/>
      </c>
      <c r="M303" s="29">
        <f>IF(COUNT(J303,L303)=0,"",IF(MIN(J303,L303)&gt;=TODAY(),MIN(J303,L303),MAX(J303,L303)))</f>
        <v/>
      </c>
      <c r="N303" s="31">
        <f>IF(ISNUMBER(M303),M303-TODAY(),"")</f>
        <v/>
      </c>
      <c r="O303" s="32">
        <f>IF(NOT(ISNUMBER(N303)),"",IF(OR(Q303="Taken",Q303="Declined"),"",IF(N303&lt;0,"Lapsed",IF(N303&lt;=7,7,IF(N303&lt;=30,30,IF(N303&lt;=60,60,IF(N303&lt;=90,90,"")))))))</f>
        <v/>
      </c>
      <c r="P303" s="27" t="n"/>
      <c r="Q303" s="27" t="n"/>
      <c r="R303" s="27" t="n"/>
      <c r="S303" s="27" t="n"/>
      <c r="T303" s="27" t="n"/>
    </row>
    <row r="304">
      <c r="A304" s="27" t="n"/>
      <c r="B304" s="27" t="n"/>
      <c r="C304" s="27" t="n"/>
      <c r="D304" s="27" t="n"/>
      <c r="E304" s="28" t="n"/>
      <c r="F304" s="28" t="n"/>
      <c r="G304" s="27" t="n"/>
      <c r="H304" s="29">
        <f>IF(G304="Invoice",IF(ISNUMBER(F304),F304,""),IF(ISNUMBER(E304),E304,""))</f>
        <v/>
      </c>
      <c r="I304" s="30" t="n"/>
      <c r="J304" s="29">
        <f>IF(AND(ISNUMBER(H304),ISNUMBER(I304)),EDATE(H304,I304),"")</f>
        <v/>
      </c>
      <c r="K304" s="30" t="n"/>
      <c r="L304" s="29">
        <f>IF(AND(ISNUMBER(H304),ISNUMBER(K304)),EDATE(H304,K304),"")</f>
        <v/>
      </c>
      <c r="M304" s="29">
        <f>IF(COUNT(J304,L304)=0,"",IF(MIN(J304,L304)&gt;=TODAY(),MIN(J304,L304),MAX(J304,L304)))</f>
        <v/>
      </c>
      <c r="N304" s="31">
        <f>IF(ISNUMBER(M304),M304-TODAY(),"")</f>
        <v/>
      </c>
      <c r="O304" s="32">
        <f>IF(NOT(ISNUMBER(N304)),"",IF(OR(Q304="Taken",Q304="Declined"),"",IF(N304&lt;0,"Lapsed",IF(N304&lt;=7,7,IF(N304&lt;=30,30,IF(N304&lt;=60,60,IF(N304&lt;=90,90,"")))))))</f>
        <v/>
      </c>
      <c r="P304" s="27" t="n"/>
      <c r="Q304" s="27" t="n"/>
      <c r="R304" s="27" t="n"/>
      <c r="S304" s="27" t="n"/>
      <c r="T304" s="27" t="n"/>
    </row>
    <row r="305">
      <c r="A305" s="27" t="n"/>
      <c r="B305" s="27" t="n"/>
      <c r="C305" s="27" t="n"/>
      <c r="D305" s="27" t="n"/>
      <c r="E305" s="28" t="n"/>
      <c r="F305" s="28" t="n"/>
      <c r="G305" s="27" t="n"/>
      <c r="H305" s="29">
        <f>IF(G305="Invoice",IF(ISNUMBER(F305),F305,""),IF(ISNUMBER(E305),E305,""))</f>
        <v/>
      </c>
      <c r="I305" s="30" t="n"/>
      <c r="J305" s="29">
        <f>IF(AND(ISNUMBER(H305),ISNUMBER(I305)),EDATE(H305,I305),"")</f>
        <v/>
      </c>
      <c r="K305" s="30" t="n"/>
      <c r="L305" s="29">
        <f>IF(AND(ISNUMBER(H305),ISNUMBER(K305)),EDATE(H305,K305),"")</f>
        <v/>
      </c>
      <c r="M305" s="29">
        <f>IF(COUNT(J305,L305)=0,"",IF(MIN(J305,L305)&gt;=TODAY(),MIN(J305,L305),MAX(J305,L305)))</f>
        <v/>
      </c>
      <c r="N305" s="31">
        <f>IF(ISNUMBER(M305),M305-TODAY(),"")</f>
        <v/>
      </c>
      <c r="O305" s="32">
        <f>IF(NOT(ISNUMBER(N305)),"",IF(OR(Q305="Taken",Q305="Declined"),"",IF(N305&lt;0,"Lapsed",IF(N305&lt;=7,7,IF(N305&lt;=30,30,IF(N305&lt;=60,60,IF(N305&lt;=90,90,"")))))))</f>
        <v/>
      </c>
      <c r="P305" s="27" t="n"/>
      <c r="Q305" s="27" t="n"/>
      <c r="R305" s="27" t="n"/>
      <c r="S305" s="27" t="n"/>
      <c r="T305" s="27" t="n"/>
    </row>
    <row r="306">
      <c r="A306" s="27" t="n"/>
      <c r="B306" s="27" t="n"/>
      <c r="C306" s="27" t="n"/>
      <c r="D306" s="27" t="n"/>
      <c r="E306" s="28" t="n"/>
      <c r="F306" s="28" t="n"/>
      <c r="G306" s="27" t="n"/>
      <c r="H306" s="29">
        <f>IF(G306="Invoice",IF(ISNUMBER(F306),F306,""),IF(ISNUMBER(E306),E306,""))</f>
        <v/>
      </c>
      <c r="I306" s="30" t="n"/>
      <c r="J306" s="29">
        <f>IF(AND(ISNUMBER(H306),ISNUMBER(I306)),EDATE(H306,I306),"")</f>
        <v/>
      </c>
      <c r="K306" s="30" t="n"/>
      <c r="L306" s="29">
        <f>IF(AND(ISNUMBER(H306),ISNUMBER(K306)),EDATE(H306,K306),"")</f>
        <v/>
      </c>
      <c r="M306" s="29">
        <f>IF(COUNT(J306,L306)=0,"",IF(MIN(J306,L306)&gt;=TODAY(),MIN(J306,L306),MAX(J306,L306)))</f>
        <v/>
      </c>
      <c r="N306" s="31">
        <f>IF(ISNUMBER(M306),M306-TODAY(),"")</f>
        <v/>
      </c>
      <c r="O306" s="32">
        <f>IF(NOT(ISNUMBER(N306)),"",IF(OR(Q306="Taken",Q306="Declined"),"",IF(N306&lt;0,"Lapsed",IF(N306&lt;=7,7,IF(N306&lt;=30,30,IF(N306&lt;=60,60,IF(N306&lt;=90,90,"")))))))</f>
        <v/>
      </c>
      <c r="P306" s="27" t="n"/>
      <c r="Q306" s="27" t="n"/>
      <c r="R306" s="27" t="n"/>
      <c r="S306" s="27" t="n"/>
      <c r="T306" s="27" t="n"/>
    </row>
    <row r="307">
      <c r="A307" s="27" t="n"/>
      <c r="B307" s="27" t="n"/>
      <c r="C307" s="27" t="n"/>
      <c r="D307" s="27" t="n"/>
      <c r="E307" s="28" t="n"/>
      <c r="F307" s="28" t="n"/>
      <c r="G307" s="27" t="n"/>
      <c r="H307" s="29">
        <f>IF(G307="Invoice",IF(ISNUMBER(F307),F307,""),IF(ISNUMBER(E307),E307,""))</f>
        <v/>
      </c>
      <c r="I307" s="30" t="n"/>
      <c r="J307" s="29">
        <f>IF(AND(ISNUMBER(H307),ISNUMBER(I307)),EDATE(H307,I307),"")</f>
        <v/>
      </c>
      <c r="K307" s="30" t="n"/>
      <c r="L307" s="29">
        <f>IF(AND(ISNUMBER(H307),ISNUMBER(K307)),EDATE(H307,K307),"")</f>
        <v/>
      </c>
      <c r="M307" s="29">
        <f>IF(COUNT(J307,L307)=0,"",IF(MIN(J307,L307)&gt;=TODAY(),MIN(J307,L307),MAX(J307,L307)))</f>
        <v/>
      </c>
      <c r="N307" s="31">
        <f>IF(ISNUMBER(M307),M307-TODAY(),"")</f>
        <v/>
      </c>
      <c r="O307" s="32">
        <f>IF(NOT(ISNUMBER(N307)),"",IF(OR(Q307="Taken",Q307="Declined"),"",IF(N307&lt;0,"Lapsed",IF(N307&lt;=7,7,IF(N307&lt;=30,30,IF(N307&lt;=60,60,IF(N307&lt;=90,90,"")))))))</f>
        <v/>
      </c>
      <c r="P307" s="27" t="n"/>
      <c r="Q307" s="27" t="n"/>
      <c r="R307" s="27" t="n"/>
      <c r="S307" s="27" t="n"/>
      <c r="T307" s="27" t="n"/>
    </row>
    <row r="308">
      <c r="A308" s="27" t="n"/>
      <c r="B308" s="27" t="n"/>
      <c r="C308" s="27" t="n"/>
      <c r="D308" s="27" t="n"/>
      <c r="E308" s="28" t="n"/>
      <c r="F308" s="28" t="n"/>
      <c r="G308" s="27" t="n"/>
      <c r="H308" s="29">
        <f>IF(G308="Invoice",IF(ISNUMBER(F308),F308,""),IF(ISNUMBER(E308),E308,""))</f>
        <v/>
      </c>
      <c r="I308" s="30" t="n"/>
      <c r="J308" s="29">
        <f>IF(AND(ISNUMBER(H308),ISNUMBER(I308)),EDATE(H308,I308),"")</f>
        <v/>
      </c>
      <c r="K308" s="30" t="n"/>
      <c r="L308" s="29">
        <f>IF(AND(ISNUMBER(H308),ISNUMBER(K308)),EDATE(H308,K308),"")</f>
        <v/>
      </c>
      <c r="M308" s="29">
        <f>IF(COUNT(J308,L308)=0,"",IF(MIN(J308,L308)&gt;=TODAY(),MIN(J308,L308),MAX(J308,L308)))</f>
        <v/>
      </c>
      <c r="N308" s="31">
        <f>IF(ISNUMBER(M308),M308-TODAY(),"")</f>
        <v/>
      </c>
      <c r="O308" s="32">
        <f>IF(NOT(ISNUMBER(N308)),"",IF(OR(Q308="Taken",Q308="Declined"),"",IF(N308&lt;0,"Lapsed",IF(N308&lt;=7,7,IF(N308&lt;=30,30,IF(N308&lt;=60,60,IF(N308&lt;=90,90,"")))))))</f>
        <v/>
      </c>
      <c r="P308" s="27" t="n"/>
      <c r="Q308" s="27" t="n"/>
      <c r="R308" s="27" t="n"/>
      <c r="S308" s="27" t="n"/>
      <c r="T308" s="27" t="n"/>
    </row>
    <row r="309">
      <c r="A309" s="27" t="n"/>
      <c r="B309" s="27" t="n"/>
      <c r="C309" s="27" t="n"/>
      <c r="D309" s="27" t="n"/>
      <c r="E309" s="28" t="n"/>
      <c r="F309" s="28" t="n"/>
      <c r="G309" s="27" t="n"/>
      <c r="H309" s="29">
        <f>IF(G309="Invoice",IF(ISNUMBER(F309),F309,""),IF(ISNUMBER(E309),E309,""))</f>
        <v/>
      </c>
      <c r="I309" s="30" t="n"/>
      <c r="J309" s="29">
        <f>IF(AND(ISNUMBER(H309),ISNUMBER(I309)),EDATE(H309,I309),"")</f>
        <v/>
      </c>
      <c r="K309" s="30" t="n"/>
      <c r="L309" s="29">
        <f>IF(AND(ISNUMBER(H309),ISNUMBER(K309)),EDATE(H309,K309),"")</f>
        <v/>
      </c>
      <c r="M309" s="29">
        <f>IF(COUNT(J309,L309)=0,"",IF(MIN(J309,L309)&gt;=TODAY(),MIN(J309,L309),MAX(J309,L309)))</f>
        <v/>
      </c>
      <c r="N309" s="31">
        <f>IF(ISNUMBER(M309),M309-TODAY(),"")</f>
        <v/>
      </c>
      <c r="O309" s="32">
        <f>IF(NOT(ISNUMBER(N309)),"",IF(OR(Q309="Taken",Q309="Declined"),"",IF(N309&lt;0,"Lapsed",IF(N309&lt;=7,7,IF(N309&lt;=30,30,IF(N309&lt;=60,60,IF(N309&lt;=90,90,"")))))))</f>
        <v/>
      </c>
      <c r="P309" s="27" t="n"/>
      <c r="Q309" s="27" t="n"/>
      <c r="R309" s="27" t="n"/>
      <c r="S309" s="27" t="n"/>
      <c r="T309" s="27" t="n"/>
    </row>
    <row r="310">
      <c r="A310" s="27" t="n"/>
      <c r="B310" s="27" t="n"/>
      <c r="C310" s="27" t="n"/>
      <c r="D310" s="27" t="n"/>
      <c r="E310" s="28" t="n"/>
      <c r="F310" s="28" t="n"/>
      <c r="G310" s="27" t="n"/>
      <c r="H310" s="29">
        <f>IF(G310="Invoice",IF(ISNUMBER(F310),F310,""),IF(ISNUMBER(E310),E310,""))</f>
        <v/>
      </c>
      <c r="I310" s="30" t="n"/>
      <c r="J310" s="29">
        <f>IF(AND(ISNUMBER(H310),ISNUMBER(I310)),EDATE(H310,I310),"")</f>
        <v/>
      </c>
      <c r="K310" s="30" t="n"/>
      <c r="L310" s="29">
        <f>IF(AND(ISNUMBER(H310),ISNUMBER(K310)),EDATE(H310,K310),"")</f>
        <v/>
      </c>
      <c r="M310" s="29">
        <f>IF(COUNT(J310,L310)=0,"",IF(MIN(J310,L310)&gt;=TODAY(),MIN(J310,L310),MAX(J310,L310)))</f>
        <v/>
      </c>
      <c r="N310" s="31">
        <f>IF(ISNUMBER(M310),M310-TODAY(),"")</f>
        <v/>
      </c>
      <c r="O310" s="32">
        <f>IF(NOT(ISNUMBER(N310)),"",IF(OR(Q310="Taken",Q310="Declined"),"",IF(N310&lt;0,"Lapsed",IF(N310&lt;=7,7,IF(N310&lt;=30,30,IF(N310&lt;=60,60,IF(N310&lt;=90,90,"")))))))</f>
        <v/>
      </c>
      <c r="P310" s="27" t="n"/>
      <c r="Q310" s="27" t="n"/>
      <c r="R310" s="27" t="n"/>
      <c r="S310" s="27" t="n"/>
      <c r="T310" s="27" t="n"/>
    </row>
    <row r="311">
      <c r="A311" s="27" t="n"/>
      <c r="B311" s="27" t="n"/>
      <c r="C311" s="27" t="n"/>
      <c r="D311" s="27" t="n"/>
      <c r="E311" s="28" t="n"/>
      <c r="F311" s="28" t="n"/>
      <c r="G311" s="27" t="n"/>
      <c r="H311" s="29">
        <f>IF(G311="Invoice",IF(ISNUMBER(F311),F311,""),IF(ISNUMBER(E311),E311,""))</f>
        <v/>
      </c>
      <c r="I311" s="30" t="n"/>
      <c r="J311" s="29">
        <f>IF(AND(ISNUMBER(H311),ISNUMBER(I311)),EDATE(H311,I311),"")</f>
        <v/>
      </c>
      <c r="K311" s="30" t="n"/>
      <c r="L311" s="29">
        <f>IF(AND(ISNUMBER(H311),ISNUMBER(K311)),EDATE(H311,K311),"")</f>
        <v/>
      </c>
      <c r="M311" s="29">
        <f>IF(COUNT(J311,L311)=0,"",IF(MIN(J311,L311)&gt;=TODAY(),MIN(J311,L311),MAX(J311,L311)))</f>
        <v/>
      </c>
      <c r="N311" s="31">
        <f>IF(ISNUMBER(M311),M311-TODAY(),"")</f>
        <v/>
      </c>
      <c r="O311" s="32">
        <f>IF(NOT(ISNUMBER(N311)),"",IF(OR(Q311="Taken",Q311="Declined"),"",IF(N311&lt;0,"Lapsed",IF(N311&lt;=7,7,IF(N311&lt;=30,30,IF(N311&lt;=60,60,IF(N311&lt;=90,90,"")))))))</f>
        <v/>
      </c>
      <c r="P311" s="27" t="n"/>
      <c r="Q311" s="27" t="n"/>
      <c r="R311" s="27" t="n"/>
      <c r="S311" s="27" t="n"/>
      <c r="T311" s="27" t="n"/>
    </row>
    <row r="312">
      <c r="A312" s="27" t="n"/>
      <c r="B312" s="27" t="n"/>
      <c r="C312" s="27" t="n"/>
      <c r="D312" s="27" t="n"/>
      <c r="E312" s="28" t="n"/>
      <c r="F312" s="28" t="n"/>
      <c r="G312" s="27" t="n"/>
      <c r="H312" s="29">
        <f>IF(G312="Invoice",IF(ISNUMBER(F312),F312,""),IF(ISNUMBER(E312),E312,""))</f>
        <v/>
      </c>
      <c r="I312" s="30" t="n"/>
      <c r="J312" s="29">
        <f>IF(AND(ISNUMBER(H312),ISNUMBER(I312)),EDATE(H312,I312),"")</f>
        <v/>
      </c>
      <c r="K312" s="30" t="n"/>
      <c r="L312" s="29">
        <f>IF(AND(ISNUMBER(H312),ISNUMBER(K312)),EDATE(H312,K312),"")</f>
        <v/>
      </c>
      <c r="M312" s="29">
        <f>IF(COUNT(J312,L312)=0,"",IF(MIN(J312,L312)&gt;=TODAY(),MIN(J312,L312),MAX(J312,L312)))</f>
        <v/>
      </c>
      <c r="N312" s="31">
        <f>IF(ISNUMBER(M312),M312-TODAY(),"")</f>
        <v/>
      </c>
      <c r="O312" s="32">
        <f>IF(NOT(ISNUMBER(N312)),"",IF(OR(Q312="Taken",Q312="Declined"),"",IF(N312&lt;0,"Lapsed",IF(N312&lt;=7,7,IF(N312&lt;=30,30,IF(N312&lt;=60,60,IF(N312&lt;=90,90,"")))))))</f>
        <v/>
      </c>
      <c r="P312" s="27" t="n"/>
      <c r="Q312" s="27" t="n"/>
      <c r="R312" s="27" t="n"/>
      <c r="S312" s="27" t="n"/>
      <c r="T312" s="27" t="n"/>
    </row>
    <row r="313">
      <c r="A313" s="27" t="n"/>
      <c r="B313" s="27" t="n"/>
      <c r="C313" s="27" t="n"/>
      <c r="D313" s="27" t="n"/>
      <c r="E313" s="28" t="n"/>
      <c r="F313" s="28" t="n"/>
      <c r="G313" s="27" t="n"/>
      <c r="H313" s="29">
        <f>IF(G313="Invoice",IF(ISNUMBER(F313),F313,""),IF(ISNUMBER(E313),E313,""))</f>
        <v/>
      </c>
      <c r="I313" s="30" t="n"/>
      <c r="J313" s="29">
        <f>IF(AND(ISNUMBER(H313),ISNUMBER(I313)),EDATE(H313,I313),"")</f>
        <v/>
      </c>
      <c r="K313" s="30" t="n"/>
      <c r="L313" s="29">
        <f>IF(AND(ISNUMBER(H313),ISNUMBER(K313)),EDATE(H313,K313),"")</f>
        <v/>
      </c>
      <c r="M313" s="29">
        <f>IF(COUNT(J313,L313)=0,"",IF(MIN(J313,L313)&gt;=TODAY(),MIN(J313,L313),MAX(J313,L313)))</f>
        <v/>
      </c>
      <c r="N313" s="31">
        <f>IF(ISNUMBER(M313),M313-TODAY(),"")</f>
        <v/>
      </c>
      <c r="O313" s="32">
        <f>IF(NOT(ISNUMBER(N313)),"",IF(OR(Q313="Taken",Q313="Declined"),"",IF(N313&lt;0,"Lapsed",IF(N313&lt;=7,7,IF(N313&lt;=30,30,IF(N313&lt;=60,60,IF(N313&lt;=90,90,"")))))))</f>
        <v/>
      </c>
      <c r="P313" s="27" t="n"/>
      <c r="Q313" s="27" t="n"/>
      <c r="R313" s="27" t="n"/>
      <c r="S313" s="27" t="n"/>
      <c r="T313" s="27" t="n"/>
    </row>
    <row r="314">
      <c r="A314" s="27" t="n"/>
      <c r="B314" s="27" t="n"/>
      <c r="C314" s="27" t="n"/>
      <c r="D314" s="27" t="n"/>
      <c r="E314" s="28" t="n"/>
      <c r="F314" s="28" t="n"/>
      <c r="G314" s="27" t="n"/>
      <c r="H314" s="29">
        <f>IF(G314="Invoice",IF(ISNUMBER(F314),F314,""),IF(ISNUMBER(E314),E314,""))</f>
        <v/>
      </c>
      <c r="I314" s="30" t="n"/>
      <c r="J314" s="29">
        <f>IF(AND(ISNUMBER(H314),ISNUMBER(I314)),EDATE(H314,I314),"")</f>
        <v/>
      </c>
      <c r="K314" s="30" t="n"/>
      <c r="L314" s="29">
        <f>IF(AND(ISNUMBER(H314),ISNUMBER(K314)),EDATE(H314,K314),"")</f>
        <v/>
      </c>
      <c r="M314" s="29">
        <f>IF(COUNT(J314,L314)=0,"",IF(MIN(J314,L314)&gt;=TODAY(),MIN(J314,L314),MAX(J314,L314)))</f>
        <v/>
      </c>
      <c r="N314" s="31">
        <f>IF(ISNUMBER(M314),M314-TODAY(),"")</f>
        <v/>
      </c>
      <c r="O314" s="32">
        <f>IF(NOT(ISNUMBER(N314)),"",IF(OR(Q314="Taken",Q314="Declined"),"",IF(N314&lt;0,"Lapsed",IF(N314&lt;=7,7,IF(N314&lt;=30,30,IF(N314&lt;=60,60,IF(N314&lt;=90,90,"")))))))</f>
        <v/>
      </c>
      <c r="P314" s="27" t="n"/>
      <c r="Q314" s="27" t="n"/>
      <c r="R314" s="27" t="n"/>
      <c r="S314" s="27" t="n"/>
      <c r="T314" s="27" t="n"/>
    </row>
    <row r="315">
      <c r="A315" s="27" t="n"/>
      <c r="B315" s="27" t="n"/>
      <c r="C315" s="27" t="n"/>
      <c r="D315" s="27" t="n"/>
      <c r="E315" s="28" t="n"/>
      <c r="F315" s="28" t="n"/>
      <c r="G315" s="27" t="n"/>
      <c r="H315" s="29">
        <f>IF(G315="Invoice",IF(ISNUMBER(F315),F315,""),IF(ISNUMBER(E315),E315,""))</f>
        <v/>
      </c>
      <c r="I315" s="30" t="n"/>
      <c r="J315" s="29">
        <f>IF(AND(ISNUMBER(H315),ISNUMBER(I315)),EDATE(H315,I315),"")</f>
        <v/>
      </c>
      <c r="K315" s="30" t="n"/>
      <c r="L315" s="29">
        <f>IF(AND(ISNUMBER(H315),ISNUMBER(K315)),EDATE(H315,K315),"")</f>
        <v/>
      </c>
      <c r="M315" s="29">
        <f>IF(COUNT(J315,L315)=0,"",IF(MIN(J315,L315)&gt;=TODAY(),MIN(J315,L315),MAX(J315,L315)))</f>
        <v/>
      </c>
      <c r="N315" s="31">
        <f>IF(ISNUMBER(M315),M315-TODAY(),"")</f>
        <v/>
      </c>
      <c r="O315" s="32">
        <f>IF(NOT(ISNUMBER(N315)),"",IF(OR(Q315="Taken",Q315="Declined"),"",IF(N315&lt;0,"Lapsed",IF(N315&lt;=7,7,IF(N315&lt;=30,30,IF(N315&lt;=60,60,IF(N315&lt;=90,90,"")))))))</f>
        <v/>
      </c>
      <c r="P315" s="27" t="n"/>
      <c r="Q315" s="27" t="n"/>
      <c r="R315" s="27" t="n"/>
      <c r="S315" s="27" t="n"/>
      <c r="T315" s="27" t="n"/>
    </row>
    <row r="316">
      <c r="A316" s="27" t="n"/>
      <c r="B316" s="27" t="n"/>
      <c r="C316" s="27" t="n"/>
      <c r="D316" s="27" t="n"/>
      <c r="E316" s="28" t="n"/>
      <c r="F316" s="28" t="n"/>
      <c r="G316" s="27" t="n"/>
      <c r="H316" s="29">
        <f>IF(G316="Invoice",IF(ISNUMBER(F316),F316,""),IF(ISNUMBER(E316),E316,""))</f>
        <v/>
      </c>
      <c r="I316" s="30" t="n"/>
      <c r="J316" s="29">
        <f>IF(AND(ISNUMBER(H316),ISNUMBER(I316)),EDATE(H316,I316),"")</f>
        <v/>
      </c>
      <c r="K316" s="30" t="n"/>
      <c r="L316" s="29">
        <f>IF(AND(ISNUMBER(H316),ISNUMBER(K316)),EDATE(H316,K316),"")</f>
        <v/>
      </c>
      <c r="M316" s="29">
        <f>IF(COUNT(J316,L316)=0,"",IF(MIN(J316,L316)&gt;=TODAY(),MIN(J316,L316),MAX(J316,L316)))</f>
        <v/>
      </c>
      <c r="N316" s="31">
        <f>IF(ISNUMBER(M316),M316-TODAY(),"")</f>
        <v/>
      </c>
      <c r="O316" s="32">
        <f>IF(NOT(ISNUMBER(N316)),"",IF(OR(Q316="Taken",Q316="Declined"),"",IF(N316&lt;0,"Lapsed",IF(N316&lt;=7,7,IF(N316&lt;=30,30,IF(N316&lt;=60,60,IF(N316&lt;=90,90,"")))))))</f>
        <v/>
      </c>
      <c r="P316" s="27" t="n"/>
      <c r="Q316" s="27" t="n"/>
      <c r="R316" s="27" t="n"/>
      <c r="S316" s="27" t="n"/>
      <c r="T316" s="27" t="n"/>
    </row>
    <row r="317">
      <c r="A317" s="27" t="n"/>
      <c r="B317" s="27" t="n"/>
      <c r="C317" s="27" t="n"/>
      <c r="D317" s="27" t="n"/>
      <c r="E317" s="28" t="n"/>
      <c r="F317" s="28" t="n"/>
      <c r="G317" s="27" t="n"/>
      <c r="H317" s="29">
        <f>IF(G317="Invoice",IF(ISNUMBER(F317),F317,""),IF(ISNUMBER(E317),E317,""))</f>
        <v/>
      </c>
      <c r="I317" s="30" t="n"/>
      <c r="J317" s="29">
        <f>IF(AND(ISNUMBER(H317),ISNUMBER(I317)),EDATE(H317,I317),"")</f>
        <v/>
      </c>
      <c r="K317" s="30" t="n"/>
      <c r="L317" s="29">
        <f>IF(AND(ISNUMBER(H317),ISNUMBER(K317)),EDATE(H317,K317),"")</f>
        <v/>
      </c>
      <c r="M317" s="29">
        <f>IF(COUNT(J317,L317)=0,"",IF(MIN(J317,L317)&gt;=TODAY(),MIN(J317,L317),MAX(J317,L317)))</f>
        <v/>
      </c>
      <c r="N317" s="31">
        <f>IF(ISNUMBER(M317),M317-TODAY(),"")</f>
        <v/>
      </c>
      <c r="O317" s="32">
        <f>IF(NOT(ISNUMBER(N317)),"",IF(OR(Q317="Taken",Q317="Declined"),"",IF(N317&lt;0,"Lapsed",IF(N317&lt;=7,7,IF(N317&lt;=30,30,IF(N317&lt;=60,60,IF(N317&lt;=90,90,"")))))))</f>
        <v/>
      </c>
      <c r="P317" s="27" t="n"/>
      <c r="Q317" s="27" t="n"/>
      <c r="R317" s="27" t="n"/>
      <c r="S317" s="27" t="n"/>
      <c r="T317" s="27" t="n"/>
    </row>
    <row r="318">
      <c r="A318" s="27" t="n"/>
      <c r="B318" s="27" t="n"/>
      <c r="C318" s="27" t="n"/>
      <c r="D318" s="27" t="n"/>
      <c r="E318" s="28" t="n"/>
      <c r="F318" s="28" t="n"/>
      <c r="G318" s="27" t="n"/>
      <c r="H318" s="29">
        <f>IF(G318="Invoice",IF(ISNUMBER(F318),F318,""),IF(ISNUMBER(E318),E318,""))</f>
        <v/>
      </c>
      <c r="I318" s="30" t="n"/>
      <c r="J318" s="29">
        <f>IF(AND(ISNUMBER(H318),ISNUMBER(I318)),EDATE(H318,I318),"")</f>
        <v/>
      </c>
      <c r="K318" s="30" t="n"/>
      <c r="L318" s="29">
        <f>IF(AND(ISNUMBER(H318),ISNUMBER(K318)),EDATE(H318,K318),"")</f>
        <v/>
      </c>
      <c r="M318" s="29">
        <f>IF(COUNT(J318,L318)=0,"",IF(MIN(J318,L318)&gt;=TODAY(),MIN(J318,L318),MAX(J318,L318)))</f>
        <v/>
      </c>
      <c r="N318" s="31">
        <f>IF(ISNUMBER(M318),M318-TODAY(),"")</f>
        <v/>
      </c>
      <c r="O318" s="32">
        <f>IF(NOT(ISNUMBER(N318)),"",IF(OR(Q318="Taken",Q318="Declined"),"",IF(N318&lt;0,"Lapsed",IF(N318&lt;=7,7,IF(N318&lt;=30,30,IF(N318&lt;=60,60,IF(N318&lt;=90,90,"")))))))</f>
        <v/>
      </c>
      <c r="P318" s="27" t="n"/>
      <c r="Q318" s="27" t="n"/>
      <c r="R318" s="27" t="n"/>
      <c r="S318" s="27" t="n"/>
      <c r="T318" s="27" t="n"/>
    </row>
    <row r="319">
      <c r="A319" s="27" t="n"/>
      <c r="B319" s="27" t="n"/>
      <c r="C319" s="27" t="n"/>
      <c r="D319" s="27" t="n"/>
      <c r="E319" s="28" t="n"/>
      <c r="F319" s="28" t="n"/>
      <c r="G319" s="27" t="n"/>
      <c r="H319" s="29">
        <f>IF(G319="Invoice",IF(ISNUMBER(F319),F319,""),IF(ISNUMBER(E319),E319,""))</f>
        <v/>
      </c>
      <c r="I319" s="30" t="n"/>
      <c r="J319" s="29">
        <f>IF(AND(ISNUMBER(H319),ISNUMBER(I319)),EDATE(H319,I319),"")</f>
        <v/>
      </c>
      <c r="K319" s="30" t="n"/>
      <c r="L319" s="29">
        <f>IF(AND(ISNUMBER(H319),ISNUMBER(K319)),EDATE(H319,K319),"")</f>
        <v/>
      </c>
      <c r="M319" s="29">
        <f>IF(COUNT(J319,L319)=0,"",IF(MIN(J319,L319)&gt;=TODAY(),MIN(J319,L319),MAX(J319,L319)))</f>
        <v/>
      </c>
      <c r="N319" s="31">
        <f>IF(ISNUMBER(M319),M319-TODAY(),"")</f>
        <v/>
      </c>
      <c r="O319" s="32">
        <f>IF(NOT(ISNUMBER(N319)),"",IF(OR(Q319="Taken",Q319="Declined"),"",IF(N319&lt;0,"Lapsed",IF(N319&lt;=7,7,IF(N319&lt;=30,30,IF(N319&lt;=60,60,IF(N319&lt;=90,90,"")))))))</f>
        <v/>
      </c>
      <c r="P319" s="27" t="n"/>
      <c r="Q319" s="27" t="n"/>
      <c r="R319" s="27" t="n"/>
      <c r="S319" s="27" t="n"/>
      <c r="T319" s="27" t="n"/>
    </row>
    <row r="320">
      <c r="A320" s="27" t="n"/>
      <c r="B320" s="27" t="n"/>
      <c r="C320" s="27" t="n"/>
      <c r="D320" s="27" t="n"/>
      <c r="E320" s="28" t="n"/>
      <c r="F320" s="28" t="n"/>
      <c r="G320" s="27" t="n"/>
      <c r="H320" s="29">
        <f>IF(G320="Invoice",IF(ISNUMBER(F320),F320,""),IF(ISNUMBER(E320),E320,""))</f>
        <v/>
      </c>
      <c r="I320" s="30" t="n"/>
      <c r="J320" s="29">
        <f>IF(AND(ISNUMBER(H320),ISNUMBER(I320)),EDATE(H320,I320),"")</f>
        <v/>
      </c>
      <c r="K320" s="30" t="n"/>
      <c r="L320" s="29">
        <f>IF(AND(ISNUMBER(H320),ISNUMBER(K320)),EDATE(H320,K320),"")</f>
        <v/>
      </c>
      <c r="M320" s="29">
        <f>IF(COUNT(J320,L320)=0,"",IF(MIN(J320,L320)&gt;=TODAY(),MIN(J320,L320),MAX(J320,L320)))</f>
        <v/>
      </c>
      <c r="N320" s="31">
        <f>IF(ISNUMBER(M320),M320-TODAY(),"")</f>
        <v/>
      </c>
      <c r="O320" s="32">
        <f>IF(NOT(ISNUMBER(N320)),"",IF(OR(Q320="Taken",Q320="Declined"),"",IF(N320&lt;0,"Lapsed",IF(N320&lt;=7,7,IF(N320&lt;=30,30,IF(N320&lt;=60,60,IF(N320&lt;=90,90,"")))))))</f>
        <v/>
      </c>
      <c r="P320" s="27" t="n"/>
      <c r="Q320" s="27" t="n"/>
      <c r="R320" s="27" t="n"/>
      <c r="S320" s="27" t="n"/>
      <c r="T320" s="27" t="n"/>
    </row>
    <row r="321">
      <c r="A321" s="27" t="n"/>
      <c r="B321" s="27" t="n"/>
      <c r="C321" s="27" t="n"/>
      <c r="D321" s="27" t="n"/>
      <c r="E321" s="28" t="n"/>
      <c r="F321" s="28" t="n"/>
      <c r="G321" s="27" t="n"/>
      <c r="H321" s="29">
        <f>IF(G321="Invoice",IF(ISNUMBER(F321),F321,""),IF(ISNUMBER(E321),E321,""))</f>
        <v/>
      </c>
      <c r="I321" s="30" t="n"/>
      <c r="J321" s="29">
        <f>IF(AND(ISNUMBER(H321),ISNUMBER(I321)),EDATE(H321,I321),"")</f>
        <v/>
      </c>
      <c r="K321" s="30" t="n"/>
      <c r="L321" s="29">
        <f>IF(AND(ISNUMBER(H321),ISNUMBER(K321)),EDATE(H321,K321),"")</f>
        <v/>
      </c>
      <c r="M321" s="29">
        <f>IF(COUNT(J321,L321)=0,"",IF(MIN(J321,L321)&gt;=TODAY(),MIN(J321,L321),MAX(J321,L321)))</f>
        <v/>
      </c>
      <c r="N321" s="31">
        <f>IF(ISNUMBER(M321),M321-TODAY(),"")</f>
        <v/>
      </c>
      <c r="O321" s="32">
        <f>IF(NOT(ISNUMBER(N321)),"",IF(OR(Q321="Taken",Q321="Declined"),"",IF(N321&lt;0,"Lapsed",IF(N321&lt;=7,7,IF(N321&lt;=30,30,IF(N321&lt;=60,60,IF(N321&lt;=90,90,"")))))))</f>
        <v/>
      </c>
      <c r="P321" s="27" t="n"/>
      <c r="Q321" s="27" t="n"/>
      <c r="R321" s="27" t="n"/>
      <c r="S321" s="27" t="n"/>
      <c r="T321" s="27" t="n"/>
    </row>
    <row r="322">
      <c r="A322" s="27" t="n"/>
      <c r="B322" s="27" t="n"/>
      <c r="C322" s="27" t="n"/>
      <c r="D322" s="27" t="n"/>
      <c r="E322" s="28" t="n"/>
      <c r="F322" s="28" t="n"/>
      <c r="G322" s="27" t="n"/>
      <c r="H322" s="29">
        <f>IF(G322="Invoice",IF(ISNUMBER(F322),F322,""),IF(ISNUMBER(E322),E322,""))</f>
        <v/>
      </c>
      <c r="I322" s="30" t="n"/>
      <c r="J322" s="29">
        <f>IF(AND(ISNUMBER(H322),ISNUMBER(I322)),EDATE(H322,I322),"")</f>
        <v/>
      </c>
      <c r="K322" s="30" t="n"/>
      <c r="L322" s="29">
        <f>IF(AND(ISNUMBER(H322),ISNUMBER(K322)),EDATE(H322,K322),"")</f>
        <v/>
      </c>
      <c r="M322" s="29">
        <f>IF(COUNT(J322,L322)=0,"",IF(MIN(J322,L322)&gt;=TODAY(),MIN(J322,L322),MAX(J322,L322)))</f>
        <v/>
      </c>
      <c r="N322" s="31">
        <f>IF(ISNUMBER(M322),M322-TODAY(),"")</f>
        <v/>
      </c>
      <c r="O322" s="32">
        <f>IF(NOT(ISNUMBER(N322)),"",IF(OR(Q322="Taken",Q322="Declined"),"",IF(N322&lt;0,"Lapsed",IF(N322&lt;=7,7,IF(N322&lt;=30,30,IF(N322&lt;=60,60,IF(N322&lt;=90,90,"")))))))</f>
        <v/>
      </c>
      <c r="P322" s="27" t="n"/>
      <c r="Q322" s="27" t="n"/>
      <c r="R322" s="27" t="n"/>
      <c r="S322" s="27" t="n"/>
      <c r="T322" s="27" t="n"/>
    </row>
    <row r="323">
      <c r="A323" s="27" t="n"/>
      <c r="B323" s="27" t="n"/>
      <c r="C323" s="27" t="n"/>
      <c r="D323" s="27" t="n"/>
      <c r="E323" s="28" t="n"/>
      <c r="F323" s="28" t="n"/>
      <c r="G323" s="27" t="n"/>
      <c r="H323" s="29">
        <f>IF(G323="Invoice",IF(ISNUMBER(F323),F323,""),IF(ISNUMBER(E323),E323,""))</f>
        <v/>
      </c>
      <c r="I323" s="30" t="n"/>
      <c r="J323" s="29">
        <f>IF(AND(ISNUMBER(H323),ISNUMBER(I323)),EDATE(H323,I323),"")</f>
        <v/>
      </c>
      <c r="K323" s="30" t="n"/>
      <c r="L323" s="29">
        <f>IF(AND(ISNUMBER(H323),ISNUMBER(K323)),EDATE(H323,K323),"")</f>
        <v/>
      </c>
      <c r="M323" s="29">
        <f>IF(COUNT(J323,L323)=0,"",IF(MIN(J323,L323)&gt;=TODAY(),MIN(J323,L323),MAX(J323,L323)))</f>
        <v/>
      </c>
      <c r="N323" s="31">
        <f>IF(ISNUMBER(M323),M323-TODAY(),"")</f>
        <v/>
      </c>
      <c r="O323" s="32">
        <f>IF(NOT(ISNUMBER(N323)),"",IF(OR(Q323="Taken",Q323="Declined"),"",IF(N323&lt;0,"Lapsed",IF(N323&lt;=7,7,IF(N323&lt;=30,30,IF(N323&lt;=60,60,IF(N323&lt;=90,90,"")))))))</f>
        <v/>
      </c>
      <c r="P323" s="27" t="n"/>
      <c r="Q323" s="27" t="n"/>
      <c r="R323" s="27" t="n"/>
      <c r="S323" s="27" t="n"/>
      <c r="T323" s="27" t="n"/>
    </row>
    <row r="324">
      <c r="A324" s="27" t="n"/>
      <c r="B324" s="27" t="n"/>
      <c r="C324" s="27" t="n"/>
      <c r="D324" s="27" t="n"/>
      <c r="E324" s="28" t="n"/>
      <c r="F324" s="28" t="n"/>
      <c r="G324" s="27" t="n"/>
      <c r="H324" s="29">
        <f>IF(G324="Invoice",IF(ISNUMBER(F324),F324,""),IF(ISNUMBER(E324),E324,""))</f>
        <v/>
      </c>
      <c r="I324" s="30" t="n"/>
      <c r="J324" s="29">
        <f>IF(AND(ISNUMBER(H324),ISNUMBER(I324)),EDATE(H324,I324),"")</f>
        <v/>
      </c>
      <c r="K324" s="30" t="n"/>
      <c r="L324" s="29">
        <f>IF(AND(ISNUMBER(H324),ISNUMBER(K324)),EDATE(H324,K324),"")</f>
        <v/>
      </c>
      <c r="M324" s="29">
        <f>IF(COUNT(J324,L324)=0,"",IF(MIN(J324,L324)&gt;=TODAY(),MIN(J324,L324),MAX(J324,L324)))</f>
        <v/>
      </c>
      <c r="N324" s="31">
        <f>IF(ISNUMBER(M324),M324-TODAY(),"")</f>
        <v/>
      </c>
      <c r="O324" s="32">
        <f>IF(NOT(ISNUMBER(N324)),"",IF(OR(Q324="Taken",Q324="Declined"),"",IF(N324&lt;0,"Lapsed",IF(N324&lt;=7,7,IF(N324&lt;=30,30,IF(N324&lt;=60,60,IF(N324&lt;=90,90,"")))))))</f>
        <v/>
      </c>
      <c r="P324" s="27" t="n"/>
      <c r="Q324" s="27" t="n"/>
      <c r="R324" s="27" t="n"/>
      <c r="S324" s="27" t="n"/>
      <c r="T324" s="27" t="n"/>
    </row>
    <row r="325">
      <c r="A325" s="27" t="n"/>
      <c r="B325" s="27" t="n"/>
      <c r="C325" s="27" t="n"/>
      <c r="D325" s="27" t="n"/>
      <c r="E325" s="28" t="n"/>
      <c r="F325" s="28" t="n"/>
      <c r="G325" s="27" t="n"/>
      <c r="H325" s="29">
        <f>IF(G325="Invoice",IF(ISNUMBER(F325),F325,""),IF(ISNUMBER(E325),E325,""))</f>
        <v/>
      </c>
      <c r="I325" s="30" t="n"/>
      <c r="J325" s="29">
        <f>IF(AND(ISNUMBER(H325),ISNUMBER(I325)),EDATE(H325,I325),"")</f>
        <v/>
      </c>
      <c r="K325" s="30" t="n"/>
      <c r="L325" s="29">
        <f>IF(AND(ISNUMBER(H325),ISNUMBER(K325)),EDATE(H325,K325),"")</f>
        <v/>
      </c>
      <c r="M325" s="29">
        <f>IF(COUNT(J325,L325)=0,"",IF(MIN(J325,L325)&gt;=TODAY(),MIN(J325,L325),MAX(J325,L325)))</f>
        <v/>
      </c>
      <c r="N325" s="31">
        <f>IF(ISNUMBER(M325),M325-TODAY(),"")</f>
        <v/>
      </c>
      <c r="O325" s="32">
        <f>IF(NOT(ISNUMBER(N325)),"",IF(OR(Q325="Taken",Q325="Declined"),"",IF(N325&lt;0,"Lapsed",IF(N325&lt;=7,7,IF(N325&lt;=30,30,IF(N325&lt;=60,60,IF(N325&lt;=90,90,"")))))))</f>
        <v/>
      </c>
      <c r="P325" s="27" t="n"/>
      <c r="Q325" s="27" t="n"/>
      <c r="R325" s="27" t="n"/>
      <c r="S325" s="27" t="n"/>
      <c r="T325" s="27" t="n"/>
    </row>
    <row r="326">
      <c r="A326" s="27" t="n"/>
      <c r="B326" s="27" t="n"/>
      <c r="C326" s="27" t="n"/>
      <c r="D326" s="27" t="n"/>
      <c r="E326" s="28" t="n"/>
      <c r="F326" s="28" t="n"/>
      <c r="G326" s="27" t="n"/>
      <c r="H326" s="29">
        <f>IF(G326="Invoice",IF(ISNUMBER(F326),F326,""),IF(ISNUMBER(E326),E326,""))</f>
        <v/>
      </c>
      <c r="I326" s="30" t="n"/>
      <c r="J326" s="29">
        <f>IF(AND(ISNUMBER(H326),ISNUMBER(I326)),EDATE(H326,I326),"")</f>
        <v/>
      </c>
      <c r="K326" s="30" t="n"/>
      <c r="L326" s="29">
        <f>IF(AND(ISNUMBER(H326),ISNUMBER(K326)),EDATE(H326,K326),"")</f>
        <v/>
      </c>
      <c r="M326" s="29">
        <f>IF(COUNT(J326,L326)=0,"",IF(MIN(J326,L326)&gt;=TODAY(),MIN(J326,L326),MAX(J326,L326)))</f>
        <v/>
      </c>
      <c r="N326" s="31">
        <f>IF(ISNUMBER(M326),M326-TODAY(),"")</f>
        <v/>
      </c>
      <c r="O326" s="32">
        <f>IF(NOT(ISNUMBER(N326)),"",IF(OR(Q326="Taken",Q326="Declined"),"",IF(N326&lt;0,"Lapsed",IF(N326&lt;=7,7,IF(N326&lt;=30,30,IF(N326&lt;=60,60,IF(N326&lt;=90,90,"")))))))</f>
        <v/>
      </c>
      <c r="P326" s="27" t="n"/>
      <c r="Q326" s="27" t="n"/>
      <c r="R326" s="27" t="n"/>
      <c r="S326" s="27" t="n"/>
      <c r="T326" s="27" t="n"/>
    </row>
    <row r="327">
      <c r="A327" s="27" t="n"/>
      <c r="B327" s="27" t="n"/>
      <c r="C327" s="27" t="n"/>
      <c r="D327" s="27" t="n"/>
      <c r="E327" s="28" t="n"/>
      <c r="F327" s="28" t="n"/>
      <c r="G327" s="27" t="n"/>
      <c r="H327" s="29">
        <f>IF(G327="Invoice",IF(ISNUMBER(F327),F327,""),IF(ISNUMBER(E327),E327,""))</f>
        <v/>
      </c>
      <c r="I327" s="30" t="n"/>
      <c r="J327" s="29">
        <f>IF(AND(ISNUMBER(H327),ISNUMBER(I327)),EDATE(H327,I327),"")</f>
        <v/>
      </c>
      <c r="K327" s="30" t="n"/>
      <c r="L327" s="29">
        <f>IF(AND(ISNUMBER(H327),ISNUMBER(K327)),EDATE(H327,K327),"")</f>
        <v/>
      </c>
      <c r="M327" s="29">
        <f>IF(COUNT(J327,L327)=0,"",IF(MIN(J327,L327)&gt;=TODAY(),MIN(J327,L327),MAX(J327,L327)))</f>
        <v/>
      </c>
      <c r="N327" s="31">
        <f>IF(ISNUMBER(M327),M327-TODAY(),"")</f>
        <v/>
      </c>
      <c r="O327" s="32">
        <f>IF(NOT(ISNUMBER(N327)),"",IF(OR(Q327="Taken",Q327="Declined"),"",IF(N327&lt;0,"Lapsed",IF(N327&lt;=7,7,IF(N327&lt;=30,30,IF(N327&lt;=60,60,IF(N327&lt;=90,90,"")))))))</f>
        <v/>
      </c>
      <c r="P327" s="27" t="n"/>
      <c r="Q327" s="27" t="n"/>
      <c r="R327" s="27" t="n"/>
      <c r="S327" s="27" t="n"/>
      <c r="T327" s="27" t="n"/>
    </row>
    <row r="328">
      <c r="A328" s="27" t="n"/>
      <c r="B328" s="27" t="n"/>
      <c r="C328" s="27" t="n"/>
      <c r="D328" s="27" t="n"/>
      <c r="E328" s="28" t="n"/>
      <c r="F328" s="28" t="n"/>
      <c r="G328" s="27" t="n"/>
      <c r="H328" s="29">
        <f>IF(G328="Invoice",IF(ISNUMBER(F328),F328,""),IF(ISNUMBER(E328),E328,""))</f>
        <v/>
      </c>
      <c r="I328" s="30" t="n"/>
      <c r="J328" s="29">
        <f>IF(AND(ISNUMBER(H328),ISNUMBER(I328)),EDATE(H328,I328),"")</f>
        <v/>
      </c>
      <c r="K328" s="30" t="n"/>
      <c r="L328" s="29">
        <f>IF(AND(ISNUMBER(H328),ISNUMBER(K328)),EDATE(H328,K328),"")</f>
        <v/>
      </c>
      <c r="M328" s="29">
        <f>IF(COUNT(J328,L328)=0,"",IF(MIN(J328,L328)&gt;=TODAY(),MIN(J328,L328),MAX(J328,L328)))</f>
        <v/>
      </c>
      <c r="N328" s="31">
        <f>IF(ISNUMBER(M328),M328-TODAY(),"")</f>
        <v/>
      </c>
      <c r="O328" s="32">
        <f>IF(NOT(ISNUMBER(N328)),"",IF(OR(Q328="Taken",Q328="Declined"),"",IF(N328&lt;0,"Lapsed",IF(N328&lt;=7,7,IF(N328&lt;=30,30,IF(N328&lt;=60,60,IF(N328&lt;=90,90,"")))))))</f>
        <v/>
      </c>
      <c r="P328" s="27" t="n"/>
      <c r="Q328" s="27" t="n"/>
      <c r="R328" s="27" t="n"/>
      <c r="S328" s="27" t="n"/>
      <c r="T328" s="27" t="n"/>
    </row>
    <row r="329">
      <c r="A329" s="27" t="n"/>
      <c r="B329" s="27" t="n"/>
      <c r="C329" s="27" t="n"/>
      <c r="D329" s="27" t="n"/>
      <c r="E329" s="28" t="n"/>
      <c r="F329" s="28" t="n"/>
      <c r="G329" s="27" t="n"/>
      <c r="H329" s="29">
        <f>IF(G329="Invoice",IF(ISNUMBER(F329),F329,""),IF(ISNUMBER(E329),E329,""))</f>
        <v/>
      </c>
      <c r="I329" s="30" t="n"/>
      <c r="J329" s="29">
        <f>IF(AND(ISNUMBER(H329),ISNUMBER(I329)),EDATE(H329,I329),"")</f>
        <v/>
      </c>
      <c r="K329" s="30" t="n"/>
      <c r="L329" s="29">
        <f>IF(AND(ISNUMBER(H329),ISNUMBER(K329)),EDATE(H329,K329),"")</f>
        <v/>
      </c>
      <c r="M329" s="29">
        <f>IF(COUNT(J329,L329)=0,"",IF(MIN(J329,L329)&gt;=TODAY(),MIN(J329,L329),MAX(J329,L329)))</f>
        <v/>
      </c>
      <c r="N329" s="31">
        <f>IF(ISNUMBER(M329),M329-TODAY(),"")</f>
        <v/>
      </c>
      <c r="O329" s="32">
        <f>IF(NOT(ISNUMBER(N329)),"",IF(OR(Q329="Taken",Q329="Declined"),"",IF(N329&lt;0,"Lapsed",IF(N329&lt;=7,7,IF(N329&lt;=30,30,IF(N329&lt;=60,60,IF(N329&lt;=90,90,"")))))))</f>
        <v/>
      </c>
      <c r="P329" s="27" t="n"/>
      <c r="Q329" s="27" t="n"/>
      <c r="R329" s="27" t="n"/>
      <c r="S329" s="27" t="n"/>
      <c r="T329" s="27" t="n"/>
    </row>
    <row r="330">
      <c r="A330" s="27" t="n"/>
      <c r="B330" s="27" t="n"/>
      <c r="C330" s="27" t="n"/>
      <c r="D330" s="27" t="n"/>
      <c r="E330" s="28" t="n"/>
      <c r="F330" s="28" t="n"/>
      <c r="G330" s="27" t="n"/>
      <c r="H330" s="29">
        <f>IF(G330="Invoice",IF(ISNUMBER(F330),F330,""),IF(ISNUMBER(E330),E330,""))</f>
        <v/>
      </c>
      <c r="I330" s="30" t="n"/>
      <c r="J330" s="29">
        <f>IF(AND(ISNUMBER(H330),ISNUMBER(I330)),EDATE(H330,I330),"")</f>
        <v/>
      </c>
      <c r="K330" s="30" t="n"/>
      <c r="L330" s="29">
        <f>IF(AND(ISNUMBER(H330),ISNUMBER(K330)),EDATE(H330,K330),"")</f>
        <v/>
      </c>
      <c r="M330" s="29">
        <f>IF(COUNT(J330,L330)=0,"",IF(MIN(J330,L330)&gt;=TODAY(),MIN(J330,L330),MAX(J330,L330)))</f>
        <v/>
      </c>
      <c r="N330" s="31">
        <f>IF(ISNUMBER(M330),M330-TODAY(),"")</f>
        <v/>
      </c>
      <c r="O330" s="32">
        <f>IF(NOT(ISNUMBER(N330)),"",IF(OR(Q330="Taken",Q330="Declined"),"",IF(N330&lt;0,"Lapsed",IF(N330&lt;=7,7,IF(N330&lt;=30,30,IF(N330&lt;=60,60,IF(N330&lt;=90,90,"")))))))</f>
        <v/>
      </c>
      <c r="P330" s="27" t="n"/>
      <c r="Q330" s="27" t="n"/>
      <c r="R330" s="27" t="n"/>
      <c r="S330" s="27" t="n"/>
      <c r="T330" s="27" t="n"/>
    </row>
    <row r="331">
      <c r="A331" s="27" t="n"/>
      <c r="B331" s="27" t="n"/>
      <c r="C331" s="27" t="n"/>
      <c r="D331" s="27" t="n"/>
      <c r="E331" s="28" t="n"/>
      <c r="F331" s="28" t="n"/>
      <c r="G331" s="27" t="n"/>
      <c r="H331" s="29">
        <f>IF(G331="Invoice",IF(ISNUMBER(F331),F331,""),IF(ISNUMBER(E331),E331,""))</f>
        <v/>
      </c>
      <c r="I331" s="30" t="n"/>
      <c r="J331" s="29">
        <f>IF(AND(ISNUMBER(H331),ISNUMBER(I331)),EDATE(H331,I331),"")</f>
        <v/>
      </c>
      <c r="K331" s="30" t="n"/>
      <c r="L331" s="29">
        <f>IF(AND(ISNUMBER(H331),ISNUMBER(K331)),EDATE(H331,K331),"")</f>
        <v/>
      </c>
      <c r="M331" s="29">
        <f>IF(COUNT(J331,L331)=0,"",IF(MIN(J331,L331)&gt;=TODAY(),MIN(J331,L331),MAX(J331,L331)))</f>
        <v/>
      </c>
      <c r="N331" s="31">
        <f>IF(ISNUMBER(M331),M331-TODAY(),"")</f>
        <v/>
      </c>
      <c r="O331" s="32">
        <f>IF(NOT(ISNUMBER(N331)),"",IF(OR(Q331="Taken",Q331="Declined"),"",IF(N331&lt;0,"Lapsed",IF(N331&lt;=7,7,IF(N331&lt;=30,30,IF(N331&lt;=60,60,IF(N331&lt;=90,90,"")))))))</f>
        <v/>
      </c>
      <c r="P331" s="27" t="n"/>
      <c r="Q331" s="27" t="n"/>
      <c r="R331" s="27" t="n"/>
      <c r="S331" s="27" t="n"/>
      <c r="T331" s="27" t="n"/>
    </row>
    <row r="332">
      <c r="A332" s="27" t="n"/>
      <c r="B332" s="27" t="n"/>
      <c r="C332" s="27" t="n"/>
      <c r="D332" s="27" t="n"/>
      <c r="E332" s="28" t="n"/>
      <c r="F332" s="28" t="n"/>
      <c r="G332" s="27" t="n"/>
      <c r="H332" s="29">
        <f>IF(G332="Invoice",IF(ISNUMBER(F332),F332,""),IF(ISNUMBER(E332),E332,""))</f>
        <v/>
      </c>
      <c r="I332" s="30" t="n"/>
      <c r="J332" s="29">
        <f>IF(AND(ISNUMBER(H332),ISNUMBER(I332)),EDATE(H332,I332),"")</f>
        <v/>
      </c>
      <c r="K332" s="30" t="n"/>
      <c r="L332" s="29">
        <f>IF(AND(ISNUMBER(H332),ISNUMBER(K332)),EDATE(H332,K332),"")</f>
        <v/>
      </c>
      <c r="M332" s="29">
        <f>IF(COUNT(J332,L332)=0,"",IF(MIN(J332,L332)&gt;=TODAY(),MIN(J332,L332),MAX(J332,L332)))</f>
        <v/>
      </c>
      <c r="N332" s="31">
        <f>IF(ISNUMBER(M332),M332-TODAY(),"")</f>
        <v/>
      </c>
      <c r="O332" s="32">
        <f>IF(NOT(ISNUMBER(N332)),"",IF(OR(Q332="Taken",Q332="Declined"),"",IF(N332&lt;0,"Lapsed",IF(N332&lt;=7,7,IF(N332&lt;=30,30,IF(N332&lt;=60,60,IF(N332&lt;=90,90,"")))))))</f>
        <v/>
      </c>
      <c r="P332" s="27" t="n"/>
      <c r="Q332" s="27" t="n"/>
      <c r="R332" s="27" t="n"/>
      <c r="S332" s="27" t="n"/>
      <c r="T332" s="27" t="n"/>
    </row>
    <row r="333">
      <c r="A333" s="27" t="n"/>
      <c r="B333" s="27" t="n"/>
      <c r="C333" s="27" t="n"/>
      <c r="D333" s="27" t="n"/>
      <c r="E333" s="28" t="n"/>
      <c r="F333" s="28" t="n"/>
      <c r="G333" s="27" t="n"/>
      <c r="H333" s="29">
        <f>IF(G333="Invoice",IF(ISNUMBER(F333),F333,""),IF(ISNUMBER(E333),E333,""))</f>
        <v/>
      </c>
      <c r="I333" s="30" t="n"/>
      <c r="J333" s="29">
        <f>IF(AND(ISNUMBER(H333),ISNUMBER(I333)),EDATE(H333,I333),"")</f>
        <v/>
      </c>
      <c r="K333" s="30" t="n"/>
      <c r="L333" s="29">
        <f>IF(AND(ISNUMBER(H333),ISNUMBER(K333)),EDATE(H333,K333),"")</f>
        <v/>
      </c>
      <c r="M333" s="29">
        <f>IF(COUNT(J333,L333)=0,"",IF(MIN(J333,L333)&gt;=TODAY(),MIN(J333,L333),MAX(J333,L333)))</f>
        <v/>
      </c>
      <c r="N333" s="31">
        <f>IF(ISNUMBER(M333),M333-TODAY(),"")</f>
        <v/>
      </c>
      <c r="O333" s="32">
        <f>IF(NOT(ISNUMBER(N333)),"",IF(OR(Q333="Taken",Q333="Declined"),"",IF(N333&lt;0,"Lapsed",IF(N333&lt;=7,7,IF(N333&lt;=30,30,IF(N333&lt;=60,60,IF(N333&lt;=90,90,"")))))))</f>
        <v/>
      </c>
      <c r="P333" s="27" t="n"/>
      <c r="Q333" s="27" t="n"/>
      <c r="R333" s="27" t="n"/>
      <c r="S333" s="27" t="n"/>
      <c r="T333" s="27" t="n"/>
    </row>
    <row r="334">
      <c r="A334" s="27" t="n"/>
      <c r="B334" s="27" t="n"/>
      <c r="C334" s="27" t="n"/>
      <c r="D334" s="27" t="n"/>
      <c r="E334" s="28" t="n"/>
      <c r="F334" s="28" t="n"/>
      <c r="G334" s="27" t="n"/>
      <c r="H334" s="29">
        <f>IF(G334="Invoice",IF(ISNUMBER(F334),F334,""),IF(ISNUMBER(E334),E334,""))</f>
        <v/>
      </c>
      <c r="I334" s="30" t="n"/>
      <c r="J334" s="29">
        <f>IF(AND(ISNUMBER(H334),ISNUMBER(I334)),EDATE(H334,I334),"")</f>
        <v/>
      </c>
      <c r="K334" s="30" t="n"/>
      <c r="L334" s="29">
        <f>IF(AND(ISNUMBER(H334),ISNUMBER(K334)),EDATE(H334,K334),"")</f>
        <v/>
      </c>
      <c r="M334" s="29">
        <f>IF(COUNT(J334,L334)=0,"",IF(MIN(J334,L334)&gt;=TODAY(),MIN(J334,L334),MAX(J334,L334)))</f>
        <v/>
      </c>
      <c r="N334" s="31">
        <f>IF(ISNUMBER(M334),M334-TODAY(),"")</f>
        <v/>
      </c>
      <c r="O334" s="32">
        <f>IF(NOT(ISNUMBER(N334)),"",IF(OR(Q334="Taken",Q334="Declined"),"",IF(N334&lt;0,"Lapsed",IF(N334&lt;=7,7,IF(N334&lt;=30,30,IF(N334&lt;=60,60,IF(N334&lt;=90,90,"")))))))</f>
        <v/>
      </c>
      <c r="P334" s="27" t="n"/>
      <c r="Q334" s="27" t="n"/>
      <c r="R334" s="27" t="n"/>
      <c r="S334" s="27" t="n"/>
      <c r="T334" s="27" t="n"/>
    </row>
    <row r="335">
      <c r="A335" s="27" t="n"/>
      <c r="B335" s="27" t="n"/>
      <c r="C335" s="27" t="n"/>
      <c r="D335" s="27" t="n"/>
      <c r="E335" s="28" t="n"/>
      <c r="F335" s="28" t="n"/>
      <c r="G335" s="27" t="n"/>
      <c r="H335" s="29">
        <f>IF(G335="Invoice",IF(ISNUMBER(F335),F335,""),IF(ISNUMBER(E335),E335,""))</f>
        <v/>
      </c>
      <c r="I335" s="30" t="n"/>
      <c r="J335" s="29">
        <f>IF(AND(ISNUMBER(H335),ISNUMBER(I335)),EDATE(H335,I335),"")</f>
        <v/>
      </c>
      <c r="K335" s="30" t="n"/>
      <c r="L335" s="29">
        <f>IF(AND(ISNUMBER(H335),ISNUMBER(K335)),EDATE(H335,K335),"")</f>
        <v/>
      </c>
      <c r="M335" s="29">
        <f>IF(COUNT(J335,L335)=0,"",IF(MIN(J335,L335)&gt;=TODAY(),MIN(J335,L335),MAX(J335,L335)))</f>
        <v/>
      </c>
      <c r="N335" s="31">
        <f>IF(ISNUMBER(M335),M335-TODAY(),"")</f>
        <v/>
      </c>
      <c r="O335" s="32">
        <f>IF(NOT(ISNUMBER(N335)),"",IF(OR(Q335="Taken",Q335="Declined"),"",IF(N335&lt;0,"Lapsed",IF(N335&lt;=7,7,IF(N335&lt;=30,30,IF(N335&lt;=60,60,IF(N335&lt;=90,90,"")))))))</f>
        <v/>
      </c>
      <c r="P335" s="27" t="n"/>
      <c r="Q335" s="27" t="n"/>
      <c r="R335" s="27" t="n"/>
      <c r="S335" s="27" t="n"/>
      <c r="T335" s="27" t="n"/>
    </row>
    <row r="336">
      <c r="A336" s="27" t="n"/>
      <c r="B336" s="27" t="n"/>
      <c r="C336" s="27" t="n"/>
      <c r="D336" s="27" t="n"/>
      <c r="E336" s="28" t="n"/>
      <c r="F336" s="28" t="n"/>
      <c r="G336" s="27" t="n"/>
      <c r="H336" s="29">
        <f>IF(G336="Invoice",IF(ISNUMBER(F336),F336,""),IF(ISNUMBER(E336),E336,""))</f>
        <v/>
      </c>
      <c r="I336" s="30" t="n"/>
      <c r="J336" s="29">
        <f>IF(AND(ISNUMBER(H336),ISNUMBER(I336)),EDATE(H336,I336),"")</f>
        <v/>
      </c>
      <c r="K336" s="30" t="n"/>
      <c r="L336" s="29">
        <f>IF(AND(ISNUMBER(H336),ISNUMBER(K336)),EDATE(H336,K336),"")</f>
        <v/>
      </c>
      <c r="M336" s="29">
        <f>IF(COUNT(J336,L336)=0,"",IF(MIN(J336,L336)&gt;=TODAY(),MIN(J336,L336),MAX(J336,L336)))</f>
        <v/>
      </c>
      <c r="N336" s="31">
        <f>IF(ISNUMBER(M336),M336-TODAY(),"")</f>
        <v/>
      </c>
      <c r="O336" s="32">
        <f>IF(NOT(ISNUMBER(N336)),"",IF(OR(Q336="Taken",Q336="Declined"),"",IF(N336&lt;0,"Lapsed",IF(N336&lt;=7,7,IF(N336&lt;=30,30,IF(N336&lt;=60,60,IF(N336&lt;=90,90,"")))))))</f>
        <v/>
      </c>
      <c r="P336" s="27" t="n"/>
      <c r="Q336" s="27" t="n"/>
      <c r="R336" s="27" t="n"/>
      <c r="S336" s="27" t="n"/>
      <c r="T336" s="27" t="n"/>
    </row>
    <row r="337">
      <c r="A337" s="27" t="n"/>
      <c r="B337" s="27" t="n"/>
      <c r="C337" s="27" t="n"/>
      <c r="D337" s="27" t="n"/>
      <c r="E337" s="28" t="n"/>
      <c r="F337" s="28" t="n"/>
      <c r="G337" s="27" t="n"/>
      <c r="H337" s="29">
        <f>IF(G337="Invoice",IF(ISNUMBER(F337),F337,""),IF(ISNUMBER(E337),E337,""))</f>
        <v/>
      </c>
      <c r="I337" s="30" t="n"/>
      <c r="J337" s="29">
        <f>IF(AND(ISNUMBER(H337),ISNUMBER(I337)),EDATE(H337,I337),"")</f>
        <v/>
      </c>
      <c r="K337" s="30" t="n"/>
      <c r="L337" s="29">
        <f>IF(AND(ISNUMBER(H337),ISNUMBER(K337)),EDATE(H337,K337),"")</f>
        <v/>
      </c>
      <c r="M337" s="29">
        <f>IF(COUNT(J337,L337)=0,"",IF(MIN(J337,L337)&gt;=TODAY(),MIN(J337,L337),MAX(J337,L337)))</f>
        <v/>
      </c>
      <c r="N337" s="31">
        <f>IF(ISNUMBER(M337),M337-TODAY(),"")</f>
        <v/>
      </c>
      <c r="O337" s="32">
        <f>IF(NOT(ISNUMBER(N337)),"",IF(OR(Q337="Taken",Q337="Declined"),"",IF(N337&lt;0,"Lapsed",IF(N337&lt;=7,7,IF(N337&lt;=30,30,IF(N337&lt;=60,60,IF(N337&lt;=90,90,"")))))))</f>
        <v/>
      </c>
      <c r="P337" s="27" t="n"/>
      <c r="Q337" s="27" t="n"/>
      <c r="R337" s="27" t="n"/>
      <c r="S337" s="27" t="n"/>
      <c r="T337" s="27" t="n"/>
    </row>
    <row r="338">
      <c r="A338" s="27" t="n"/>
      <c r="B338" s="27" t="n"/>
      <c r="C338" s="27" t="n"/>
      <c r="D338" s="27" t="n"/>
      <c r="E338" s="28" t="n"/>
      <c r="F338" s="28" t="n"/>
      <c r="G338" s="27" t="n"/>
      <c r="H338" s="29">
        <f>IF(G338="Invoice",IF(ISNUMBER(F338),F338,""),IF(ISNUMBER(E338),E338,""))</f>
        <v/>
      </c>
      <c r="I338" s="30" t="n"/>
      <c r="J338" s="29">
        <f>IF(AND(ISNUMBER(H338),ISNUMBER(I338)),EDATE(H338,I338),"")</f>
        <v/>
      </c>
      <c r="K338" s="30" t="n"/>
      <c r="L338" s="29">
        <f>IF(AND(ISNUMBER(H338),ISNUMBER(K338)),EDATE(H338,K338),"")</f>
        <v/>
      </c>
      <c r="M338" s="29">
        <f>IF(COUNT(J338,L338)=0,"",IF(MIN(J338,L338)&gt;=TODAY(),MIN(J338,L338),MAX(J338,L338)))</f>
        <v/>
      </c>
      <c r="N338" s="31">
        <f>IF(ISNUMBER(M338),M338-TODAY(),"")</f>
        <v/>
      </c>
      <c r="O338" s="32">
        <f>IF(NOT(ISNUMBER(N338)),"",IF(OR(Q338="Taken",Q338="Declined"),"",IF(N338&lt;0,"Lapsed",IF(N338&lt;=7,7,IF(N338&lt;=30,30,IF(N338&lt;=60,60,IF(N338&lt;=90,90,"")))))))</f>
        <v/>
      </c>
      <c r="P338" s="27" t="n"/>
      <c r="Q338" s="27" t="n"/>
      <c r="R338" s="27" t="n"/>
      <c r="S338" s="27" t="n"/>
      <c r="T338" s="27" t="n"/>
    </row>
    <row r="339">
      <c r="A339" s="27" t="n"/>
      <c r="B339" s="27" t="n"/>
      <c r="C339" s="27" t="n"/>
      <c r="D339" s="27" t="n"/>
      <c r="E339" s="28" t="n"/>
      <c r="F339" s="28" t="n"/>
      <c r="G339" s="27" t="n"/>
      <c r="H339" s="29">
        <f>IF(G339="Invoice",IF(ISNUMBER(F339),F339,""),IF(ISNUMBER(E339),E339,""))</f>
        <v/>
      </c>
      <c r="I339" s="30" t="n"/>
      <c r="J339" s="29">
        <f>IF(AND(ISNUMBER(H339),ISNUMBER(I339)),EDATE(H339,I339),"")</f>
        <v/>
      </c>
      <c r="K339" s="30" t="n"/>
      <c r="L339" s="29">
        <f>IF(AND(ISNUMBER(H339),ISNUMBER(K339)),EDATE(H339,K339),"")</f>
        <v/>
      </c>
      <c r="M339" s="29">
        <f>IF(COUNT(J339,L339)=0,"",IF(MIN(J339,L339)&gt;=TODAY(),MIN(J339,L339),MAX(J339,L339)))</f>
        <v/>
      </c>
      <c r="N339" s="31">
        <f>IF(ISNUMBER(M339),M339-TODAY(),"")</f>
        <v/>
      </c>
      <c r="O339" s="32">
        <f>IF(NOT(ISNUMBER(N339)),"",IF(OR(Q339="Taken",Q339="Declined"),"",IF(N339&lt;0,"Lapsed",IF(N339&lt;=7,7,IF(N339&lt;=30,30,IF(N339&lt;=60,60,IF(N339&lt;=90,90,"")))))))</f>
        <v/>
      </c>
      <c r="P339" s="27" t="n"/>
      <c r="Q339" s="27" t="n"/>
      <c r="R339" s="27" t="n"/>
      <c r="S339" s="27" t="n"/>
      <c r="T339" s="27" t="n"/>
    </row>
    <row r="340">
      <c r="A340" s="27" t="n"/>
      <c r="B340" s="27" t="n"/>
      <c r="C340" s="27" t="n"/>
      <c r="D340" s="27" t="n"/>
      <c r="E340" s="28" t="n"/>
      <c r="F340" s="28" t="n"/>
      <c r="G340" s="27" t="n"/>
      <c r="H340" s="29">
        <f>IF(G340="Invoice",IF(ISNUMBER(F340),F340,""),IF(ISNUMBER(E340),E340,""))</f>
        <v/>
      </c>
      <c r="I340" s="30" t="n"/>
      <c r="J340" s="29">
        <f>IF(AND(ISNUMBER(H340),ISNUMBER(I340)),EDATE(H340,I340),"")</f>
        <v/>
      </c>
      <c r="K340" s="30" t="n"/>
      <c r="L340" s="29">
        <f>IF(AND(ISNUMBER(H340),ISNUMBER(K340)),EDATE(H340,K340),"")</f>
        <v/>
      </c>
      <c r="M340" s="29">
        <f>IF(COUNT(J340,L340)=0,"",IF(MIN(J340,L340)&gt;=TODAY(),MIN(J340,L340),MAX(J340,L340)))</f>
        <v/>
      </c>
      <c r="N340" s="31">
        <f>IF(ISNUMBER(M340),M340-TODAY(),"")</f>
        <v/>
      </c>
      <c r="O340" s="32">
        <f>IF(NOT(ISNUMBER(N340)),"",IF(OR(Q340="Taken",Q340="Declined"),"",IF(N340&lt;0,"Lapsed",IF(N340&lt;=7,7,IF(N340&lt;=30,30,IF(N340&lt;=60,60,IF(N340&lt;=90,90,"")))))))</f>
        <v/>
      </c>
      <c r="P340" s="27" t="n"/>
      <c r="Q340" s="27" t="n"/>
      <c r="R340" s="27" t="n"/>
      <c r="S340" s="27" t="n"/>
      <c r="T340" s="27" t="n"/>
    </row>
    <row r="341">
      <c r="A341" s="27" t="n"/>
      <c r="B341" s="27" t="n"/>
      <c r="C341" s="27" t="n"/>
      <c r="D341" s="27" t="n"/>
      <c r="E341" s="28" t="n"/>
      <c r="F341" s="28" t="n"/>
      <c r="G341" s="27" t="n"/>
      <c r="H341" s="29">
        <f>IF(G341="Invoice",IF(ISNUMBER(F341),F341,""),IF(ISNUMBER(E341),E341,""))</f>
        <v/>
      </c>
      <c r="I341" s="30" t="n"/>
      <c r="J341" s="29">
        <f>IF(AND(ISNUMBER(H341),ISNUMBER(I341)),EDATE(H341,I341),"")</f>
        <v/>
      </c>
      <c r="K341" s="30" t="n"/>
      <c r="L341" s="29">
        <f>IF(AND(ISNUMBER(H341),ISNUMBER(K341)),EDATE(H341,K341),"")</f>
        <v/>
      </c>
      <c r="M341" s="29">
        <f>IF(COUNT(J341,L341)=0,"",IF(MIN(J341,L341)&gt;=TODAY(),MIN(J341,L341),MAX(J341,L341)))</f>
        <v/>
      </c>
      <c r="N341" s="31">
        <f>IF(ISNUMBER(M341),M341-TODAY(),"")</f>
        <v/>
      </c>
      <c r="O341" s="32">
        <f>IF(NOT(ISNUMBER(N341)),"",IF(OR(Q341="Taken",Q341="Declined"),"",IF(N341&lt;0,"Lapsed",IF(N341&lt;=7,7,IF(N341&lt;=30,30,IF(N341&lt;=60,60,IF(N341&lt;=90,90,"")))))))</f>
        <v/>
      </c>
      <c r="P341" s="27" t="n"/>
      <c r="Q341" s="27" t="n"/>
      <c r="R341" s="27" t="n"/>
      <c r="S341" s="27" t="n"/>
      <c r="T341" s="27" t="n"/>
    </row>
    <row r="342">
      <c r="A342" s="27" t="n"/>
      <c r="B342" s="27" t="n"/>
      <c r="C342" s="27" t="n"/>
      <c r="D342" s="27" t="n"/>
      <c r="E342" s="28" t="n"/>
      <c r="F342" s="28" t="n"/>
      <c r="G342" s="27" t="n"/>
      <c r="H342" s="29">
        <f>IF(G342="Invoice",IF(ISNUMBER(F342),F342,""),IF(ISNUMBER(E342),E342,""))</f>
        <v/>
      </c>
      <c r="I342" s="30" t="n"/>
      <c r="J342" s="29">
        <f>IF(AND(ISNUMBER(H342),ISNUMBER(I342)),EDATE(H342,I342),"")</f>
        <v/>
      </c>
      <c r="K342" s="30" t="n"/>
      <c r="L342" s="29">
        <f>IF(AND(ISNUMBER(H342),ISNUMBER(K342)),EDATE(H342,K342),"")</f>
        <v/>
      </c>
      <c r="M342" s="29">
        <f>IF(COUNT(J342,L342)=0,"",IF(MIN(J342,L342)&gt;=TODAY(),MIN(J342,L342),MAX(J342,L342)))</f>
        <v/>
      </c>
      <c r="N342" s="31">
        <f>IF(ISNUMBER(M342),M342-TODAY(),"")</f>
        <v/>
      </c>
      <c r="O342" s="32">
        <f>IF(NOT(ISNUMBER(N342)),"",IF(OR(Q342="Taken",Q342="Declined"),"",IF(N342&lt;0,"Lapsed",IF(N342&lt;=7,7,IF(N342&lt;=30,30,IF(N342&lt;=60,60,IF(N342&lt;=90,90,"")))))))</f>
        <v/>
      </c>
      <c r="P342" s="27" t="n"/>
      <c r="Q342" s="27" t="n"/>
      <c r="R342" s="27" t="n"/>
      <c r="S342" s="27" t="n"/>
      <c r="T342" s="27" t="n"/>
    </row>
    <row r="343">
      <c r="A343" s="27" t="n"/>
      <c r="B343" s="27" t="n"/>
      <c r="C343" s="27" t="n"/>
      <c r="D343" s="27" t="n"/>
      <c r="E343" s="28" t="n"/>
      <c r="F343" s="28" t="n"/>
      <c r="G343" s="27" t="n"/>
      <c r="H343" s="29">
        <f>IF(G343="Invoice",IF(ISNUMBER(F343),F343,""),IF(ISNUMBER(E343),E343,""))</f>
        <v/>
      </c>
      <c r="I343" s="30" t="n"/>
      <c r="J343" s="29">
        <f>IF(AND(ISNUMBER(H343),ISNUMBER(I343)),EDATE(H343,I343),"")</f>
        <v/>
      </c>
      <c r="K343" s="30" t="n"/>
      <c r="L343" s="29">
        <f>IF(AND(ISNUMBER(H343),ISNUMBER(K343)),EDATE(H343,K343),"")</f>
        <v/>
      </c>
      <c r="M343" s="29">
        <f>IF(COUNT(J343,L343)=0,"",IF(MIN(J343,L343)&gt;=TODAY(),MIN(J343,L343),MAX(J343,L343)))</f>
        <v/>
      </c>
      <c r="N343" s="31">
        <f>IF(ISNUMBER(M343),M343-TODAY(),"")</f>
        <v/>
      </c>
      <c r="O343" s="32">
        <f>IF(NOT(ISNUMBER(N343)),"",IF(OR(Q343="Taken",Q343="Declined"),"",IF(N343&lt;0,"Lapsed",IF(N343&lt;=7,7,IF(N343&lt;=30,30,IF(N343&lt;=60,60,IF(N343&lt;=90,90,"")))))))</f>
        <v/>
      </c>
      <c r="P343" s="27" t="n"/>
      <c r="Q343" s="27" t="n"/>
      <c r="R343" s="27" t="n"/>
      <c r="S343" s="27" t="n"/>
      <c r="T343" s="27" t="n"/>
    </row>
    <row r="344">
      <c r="A344" s="27" t="n"/>
      <c r="B344" s="27" t="n"/>
      <c r="C344" s="27" t="n"/>
      <c r="D344" s="27" t="n"/>
      <c r="E344" s="28" t="n"/>
      <c r="F344" s="28" t="n"/>
      <c r="G344" s="27" t="n"/>
      <c r="H344" s="29">
        <f>IF(G344="Invoice",IF(ISNUMBER(F344),F344,""),IF(ISNUMBER(E344),E344,""))</f>
        <v/>
      </c>
      <c r="I344" s="30" t="n"/>
      <c r="J344" s="29">
        <f>IF(AND(ISNUMBER(H344),ISNUMBER(I344)),EDATE(H344,I344),"")</f>
        <v/>
      </c>
      <c r="K344" s="30" t="n"/>
      <c r="L344" s="29">
        <f>IF(AND(ISNUMBER(H344),ISNUMBER(K344)),EDATE(H344,K344),"")</f>
        <v/>
      </c>
      <c r="M344" s="29">
        <f>IF(COUNT(J344,L344)=0,"",IF(MIN(J344,L344)&gt;=TODAY(),MIN(J344,L344),MAX(J344,L344)))</f>
        <v/>
      </c>
      <c r="N344" s="31">
        <f>IF(ISNUMBER(M344),M344-TODAY(),"")</f>
        <v/>
      </c>
      <c r="O344" s="32">
        <f>IF(NOT(ISNUMBER(N344)),"",IF(OR(Q344="Taken",Q344="Declined"),"",IF(N344&lt;0,"Lapsed",IF(N344&lt;=7,7,IF(N344&lt;=30,30,IF(N344&lt;=60,60,IF(N344&lt;=90,90,"")))))))</f>
        <v/>
      </c>
      <c r="P344" s="27" t="n"/>
      <c r="Q344" s="27" t="n"/>
      <c r="R344" s="27" t="n"/>
      <c r="S344" s="27" t="n"/>
      <c r="T344" s="27" t="n"/>
    </row>
    <row r="345">
      <c r="A345" s="27" t="n"/>
      <c r="B345" s="27" t="n"/>
      <c r="C345" s="27" t="n"/>
      <c r="D345" s="27" t="n"/>
      <c r="E345" s="28" t="n"/>
      <c r="F345" s="28" t="n"/>
      <c r="G345" s="27" t="n"/>
      <c r="H345" s="29">
        <f>IF(G345="Invoice",IF(ISNUMBER(F345),F345,""),IF(ISNUMBER(E345),E345,""))</f>
        <v/>
      </c>
      <c r="I345" s="30" t="n"/>
      <c r="J345" s="29">
        <f>IF(AND(ISNUMBER(H345),ISNUMBER(I345)),EDATE(H345,I345),"")</f>
        <v/>
      </c>
      <c r="K345" s="30" t="n"/>
      <c r="L345" s="29">
        <f>IF(AND(ISNUMBER(H345),ISNUMBER(K345)),EDATE(H345,K345),"")</f>
        <v/>
      </c>
      <c r="M345" s="29">
        <f>IF(COUNT(J345,L345)=0,"",IF(MIN(J345,L345)&gt;=TODAY(),MIN(J345,L345),MAX(J345,L345)))</f>
        <v/>
      </c>
      <c r="N345" s="31">
        <f>IF(ISNUMBER(M345),M345-TODAY(),"")</f>
        <v/>
      </c>
      <c r="O345" s="32">
        <f>IF(NOT(ISNUMBER(N345)),"",IF(OR(Q345="Taken",Q345="Declined"),"",IF(N345&lt;0,"Lapsed",IF(N345&lt;=7,7,IF(N345&lt;=30,30,IF(N345&lt;=60,60,IF(N345&lt;=90,90,"")))))))</f>
        <v/>
      </c>
      <c r="P345" s="27" t="n"/>
      <c r="Q345" s="27" t="n"/>
      <c r="R345" s="27" t="n"/>
      <c r="S345" s="27" t="n"/>
      <c r="T345" s="27" t="n"/>
    </row>
    <row r="346">
      <c r="A346" s="27" t="n"/>
      <c r="B346" s="27" t="n"/>
      <c r="C346" s="27" t="n"/>
      <c r="D346" s="27" t="n"/>
      <c r="E346" s="28" t="n"/>
      <c r="F346" s="28" t="n"/>
      <c r="G346" s="27" t="n"/>
      <c r="H346" s="29">
        <f>IF(G346="Invoice",IF(ISNUMBER(F346),F346,""),IF(ISNUMBER(E346),E346,""))</f>
        <v/>
      </c>
      <c r="I346" s="30" t="n"/>
      <c r="J346" s="29">
        <f>IF(AND(ISNUMBER(H346),ISNUMBER(I346)),EDATE(H346,I346),"")</f>
        <v/>
      </c>
      <c r="K346" s="30" t="n"/>
      <c r="L346" s="29">
        <f>IF(AND(ISNUMBER(H346),ISNUMBER(K346)),EDATE(H346,K346),"")</f>
        <v/>
      </c>
      <c r="M346" s="29">
        <f>IF(COUNT(J346,L346)=0,"",IF(MIN(J346,L346)&gt;=TODAY(),MIN(J346,L346),MAX(J346,L346)))</f>
        <v/>
      </c>
      <c r="N346" s="31">
        <f>IF(ISNUMBER(M346),M346-TODAY(),"")</f>
        <v/>
      </c>
      <c r="O346" s="32">
        <f>IF(NOT(ISNUMBER(N346)),"",IF(OR(Q346="Taken",Q346="Declined"),"",IF(N346&lt;0,"Lapsed",IF(N346&lt;=7,7,IF(N346&lt;=30,30,IF(N346&lt;=60,60,IF(N346&lt;=90,90,"")))))))</f>
        <v/>
      </c>
      <c r="P346" s="27" t="n"/>
      <c r="Q346" s="27" t="n"/>
      <c r="R346" s="27" t="n"/>
      <c r="S346" s="27" t="n"/>
      <c r="T346" s="27" t="n"/>
    </row>
    <row r="347">
      <c r="A347" s="27" t="n"/>
      <c r="B347" s="27" t="n"/>
      <c r="C347" s="27" t="n"/>
      <c r="D347" s="27" t="n"/>
      <c r="E347" s="28" t="n"/>
      <c r="F347" s="28" t="n"/>
      <c r="G347" s="27" t="n"/>
      <c r="H347" s="29">
        <f>IF(G347="Invoice",IF(ISNUMBER(F347),F347,""),IF(ISNUMBER(E347),E347,""))</f>
        <v/>
      </c>
      <c r="I347" s="30" t="n"/>
      <c r="J347" s="29">
        <f>IF(AND(ISNUMBER(H347),ISNUMBER(I347)),EDATE(H347,I347),"")</f>
        <v/>
      </c>
      <c r="K347" s="30" t="n"/>
      <c r="L347" s="29">
        <f>IF(AND(ISNUMBER(H347),ISNUMBER(K347)),EDATE(H347,K347),"")</f>
        <v/>
      </c>
      <c r="M347" s="29">
        <f>IF(COUNT(J347,L347)=0,"",IF(MIN(J347,L347)&gt;=TODAY(),MIN(J347,L347),MAX(J347,L347)))</f>
        <v/>
      </c>
      <c r="N347" s="31">
        <f>IF(ISNUMBER(M347),M347-TODAY(),"")</f>
        <v/>
      </c>
      <c r="O347" s="32">
        <f>IF(NOT(ISNUMBER(N347)),"",IF(OR(Q347="Taken",Q347="Declined"),"",IF(N347&lt;0,"Lapsed",IF(N347&lt;=7,7,IF(N347&lt;=30,30,IF(N347&lt;=60,60,IF(N347&lt;=90,90,"")))))))</f>
        <v/>
      </c>
      <c r="P347" s="27" t="n"/>
      <c r="Q347" s="27" t="n"/>
      <c r="R347" s="27" t="n"/>
      <c r="S347" s="27" t="n"/>
      <c r="T347" s="27" t="n"/>
    </row>
    <row r="348">
      <c r="A348" s="27" t="n"/>
      <c r="B348" s="27" t="n"/>
      <c r="C348" s="27" t="n"/>
      <c r="D348" s="27" t="n"/>
      <c r="E348" s="28" t="n"/>
      <c r="F348" s="28" t="n"/>
      <c r="G348" s="27" t="n"/>
      <c r="H348" s="29">
        <f>IF(G348="Invoice",IF(ISNUMBER(F348),F348,""),IF(ISNUMBER(E348),E348,""))</f>
        <v/>
      </c>
      <c r="I348" s="30" t="n"/>
      <c r="J348" s="29">
        <f>IF(AND(ISNUMBER(H348),ISNUMBER(I348)),EDATE(H348,I348),"")</f>
        <v/>
      </c>
      <c r="K348" s="30" t="n"/>
      <c r="L348" s="29">
        <f>IF(AND(ISNUMBER(H348),ISNUMBER(K348)),EDATE(H348,K348),"")</f>
        <v/>
      </c>
      <c r="M348" s="29">
        <f>IF(COUNT(J348,L348)=0,"",IF(MIN(J348,L348)&gt;=TODAY(),MIN(J348,L348),MAX(J348,L348)))</f>
        <v/>
      </c>
      <c r="N348" s="31">
        <f>IF(ISNUMBER(M348),M348-TODAY(),"")</f>
        <v/>
      </c>
      <c r="O348" s="32">
        <f>IF(NOT(ISNUMBER(N348)),"",IF(OR(Q348="Taken",Q348="Declined"),"",IF(N348&lt;0,"Lapsed",IF(N348&lt;=7,7,IF(N348&lt;=30,30,IF(N348&lt;=60,60,IF(N348&lt;=90,90,"")))))))</f>
        <v/>
      </c>
      <c r="P348" s="27" t="n"/>
      <c r="Q348" s="27" t="n"/>
      <c r="R348" s="27" t="n"/>
      <c r="S348" s="27" t="n"/>
      <c r="T348" s="27" t="n"/>
    </row>
    <row r="349">
      <c r="A349" s="27" t="n"/>
      <c r="B349" s="27" t="n"/>
      <c r="C349" s="27" t="n"/>
      <c r="D349" s="27" t="n"/>
      <c r="E349" s="28" t="n"/>
      <c r="F349" s="28" t="n"/>
      <c r="G349" s="27" t="n"/>
      <c r="H349" s="29">
        <f>IF(G349="Invoice",IF(ISNUMBER(F349),F349,""),IF(ISNUMBER(E349),E349,""))</f>
        <v/>
      </c>
      <c r="I349" s="30" t="n"/>
      <c r="J349" s="29">
        <f>IF(AND(ISNUMBER(H349),ISNUMBER(I349)),EDATE(H349,I349),"")</f>
        <v/>
      </c>
      <c r="K349" s="30" t="n"/>
      <c r="L349" s="29">
        <f>IF(AND(ISNUMBER(H349),ISNUMBER(K349)),EDATE(H349,K349),"")</f>
        <v/>
      </c>
      <c r="M349" s="29">
        <f>IF(COUNT(J349,L349)=0,"",IF(MIN(J349,L349)&gt;=TODAY(),MIN(J349,L349),MAX(J349,L349)))</f>
        <v/>
      </c>
      <c r="N349" s="31">
        <f>IF(ISNUMBER(M349),M349-TODAY(),"")</f>
        <v/>
      </c>
      <c r="O349" s="32">
        <f>IF(NOT(ISNUMBER(N349)),"",IF(OR(Q349="Taken",Q349="Declined"),"",IF(N349&lt;0,"Lapsed",IF(N349&lt;=7,7,IF(N349&lt;=30,30,IF(N349&lt;=60,60,IF(N349&lt;=90,90,"")))))))</f>
        <v/>
      </c>
      <c r="P349" s="27" t="n"/>
      <c r="Q349" s="27" t="n"/>
      <c r="R349" s="27" t="n"/>
      <c r="S349" s="27" t="n"/>
      <c r="T349" s="27" t="n"/>
    </row>
    <row r="350">
      <c r="A350" s="27" t="n"/>
      <c r="B350" s="27" t="n"/>
      <c r="C350" s="27" t="n"/>
      <c r="D350" s="27" t="n"/>
      <c r="E350" s="28" t="n"/>
      <c r="F350" s="28" t="n"/>
      <c r="G350" s="27" t="n"/>
      <c r="H350" s="29">
        <f>IF(G350="Invoice",IF(ISNUMBER(F350),F350,""),IF(ISNUMBER(E350),E350,""))</f>
        <v/>
      </c>
      <c r="I350" s="30" t="n"/>
      <c r="J350" s="29">
        <f>IF(AND(ISNUMBER(H350),ISNUMBER(I350)),EDATE(H350,I350),"")</f>
        <v/>
      </c>
      <c r="K350" s="30" t="n"/>
      <c r="L350" s="29">
        <f>IF(AND(ISNUMBER(H350),ISNUMBER(K350)),EDATE(H350,K350),"")</f>
        <v/>
      </c>
      <c r="M350" s="29">
        <f>IF(COUNT(J350,L350)=0,"",IF(MIN(J350,L350)&gt;=TODAY(),MIN(J350,L350),MAX(J350,L350)))</f>
        <v/>
      </c>
      <c r="N350" s="31">
        <f>IF(ISNUMBER(M350),M350-TODAY(),"")</f>
        <v/>
      </c>
      <c r="O350" s="32">
        <f>IF(NOT(ISNUMBER(N350)),"",IF(OR(Q350="Taken",Q350="Declined"),"",IF(N350&lt;0,"Lapsed",IF(N350&lt;=7,7,IF(N350&lt;=30,30,IF(N350&lt;=60,60,IF(N350&lt;=90,90,"")))))))</f>
        <v/>
      </c>
      <c r="P350" s="27" t="n"/>
      <c r="Q350" s="27" t="n"/>
      <c r="R350" s="27" t="n"/>
      <c r="S350" s="27" t="n"/>
      <c r="T350" s="27" t="n"/>
    </row>
    <row r="351">
      <c r="A351" s="27" t="n"/>
      <c r="B351" s="27" t="n"/>
      <c r="C351" s="27" t="n"/>
      <c r="D351" s="27" t="n"/>
      <c r="E351" s="28" t="n"/>
      <c r="F351" s="28" t="n"/>
      <c r="G351" s="27" t="n"/>
      <c r="H351" s="29">
        <f>IF(G351="Invoice",IF(ISNUMBER(F351),F351,""),IF(ISNUMBER(E351),E351,""))</f>
        <v/>
      </c>
      <c r="I351" s="30" t="n"/>
      <c r="J351" s="29">
        <f>IF(AND(ISNUMBER(H351),ISNUMBER(I351)),EDATE(H351,I351),"")</f>
        <v/>
      </c>
      <c r="K351" s="30" t="n"/>
      <c r="L351" s="29">
        <f>IF(AND(ISNUMBER(H351),ISNUMBER(K351)),EDATE(H351,K351),"")</f>
        <v/>
      </c>
      <c r="M351" s="29">
        <f>IF(COUNT(J351,L351)=0,"",IF(MIN(J351,L351)&gt;=TODAY(),MIN(J351,L351),MAX(J351,L351)))</f>
        <v/>
      </c>
      <c r="N351" s="31">
        <f>IF(ISNUMBER(M351),M351-TODAY(),"")</f>
        <v/>
      </c>
      <c r="O351" s="32">
        <f>IF(NOT(ISNUMBER(N351)),"",IF(OR(Q351="Taken",Q351="Declined"),"",IF(N351&lt;0,"Lapsed",IF(N351&lt;=7,7,IF(N351&lt;=30,30,IF(N351&lt;=60,60,IF(N351&lt;=90,90,"")))))))</f>
        <v/>
      </c>
      <c r="P351" s="27" t="n"/>
      <c r="Q351" s="27" t="n"/>
      <c r="R351" s="27" t="n"/>
      <c r="S351" s="27" t="n"/>
      <c r="T351" s="27" t="n"/>
    </row>
    <row r="352">
      <c r="A352" s="27" t="n"/>
      <c r="B352" s="27" t="n"/>
      <c r="C352" s="27" t="n"/>
      <c r="D352" s="27" t="n"/>
      <c r="E352" s="28" t="n"/>
      <c r="F352" s="28" t="n"/>
      <c r="G352" s="27" t="n"/>
      <c r="H352" s="29">
        <f>IF(G352="Invoice",IF(ISNUMBER(F352),F352,""),IF(ISNUMBER(E352),E352,""))</f>
        <v/>
      </c>
      <c r="I352" s="30" t="n"/>
      <c r="J352" s="29">
        <f>IF(AND(ISNUMBER(H352),ISNUMBER(I352)),EDATE(H352,I352),"")</f>
        <v/>
      </c>
      <c r="K352" s="30" t="n"/>
      <c r="L352" s="29">
        <f>IF(AND(ISNUMBER(H352),ISNUMBER(K352)),EDATE(H352,K352),"")</f>
        <v/>
      </c>
      <c r="M352" s="29">
        <f>IF(COUNT(J352,L352)=0,"",IF(MIN(J352,L352)&gt;=TODAY(),MIN(J352,L352),MAX(J352,L352)))</f>
        <v/>
      </c>
      <c r="N352" s="31">
        <f>IF(ISNUMBER(M352),M352-TODAY(),"")</f>
        <v/>
      </c>
      <c r="O352" s="32">
        <f>IF(NOT(ISNUMBER(N352)),"",IF(OR(Q352="Taken",Q352="Declined"),"",IF(N352&lt;0,"Lapsed",IF(N352&lt;=7,7,IF(N352&lt;=30,30,IF(N352&lt;=60,60,IF(N352&lt;=90,90,"")))))))</f>
        <v/>
      </c>
      <c r="P352" s="27" t="n"/>
      <c r="Q352" s="27" t="n"/>
      <c r="R352" s="27" t="n"/>
      <c r="S352" s="27" t="n"/>
      <c r="T352" s="27" t="n"/>
    </row>
    <row r="353">
      <c r="A353" s="27" t="n"/>
      <c r="B353" s="27" t="n"/>
      <c r="C353" s="27" t="n"/>
      <c r="D353" s="27" t="n"/>
      <c r="E353" s="28" t="n"/>
      <c r="F353" s="28" t="n"/>
      <c r="G353" s="27" t="n"/>
      <c r="H353" s="29">
        <f>IF(G353="Invoice",IF(ISNUMBER(F353),F353,""),IF(ISNUMBER(E353),E353,""))</f>
        <v/>
      </c>
      <c r="I353" s="30" t="n"/>
      <c r="J353" s="29">
        <f>IF(AND(ISNUMBER(H353),ISNUMBER(I353)),EDATE(H353,I353),"")</f>
        <v/>
      </c>
      <c r="K353" s="30" t="n"/>
      <c r="L353" s="29">
        <f>IF(AND(ISNUMBER(H353),ISNUMBER(K353)),EDATE(H353,K353),"")</f>
        <v/>
      </c>
      <c r="M353" s="29">
        <f>IF(COUNT(J353,L353)=0,"",IF(MIN(J353,L353)&gt;=TODAY(),MIN(J353,L353),MAX(J353,L353)))</f>
        <v/>
      </c>
      <c r="N353" s="31">
        <f>IF(ISNUMBER(M353),M353-TODAY(),"")</f>
        <v/>
      </c>
      <c r="O353" s="32">
        <f>IF(NOT(ISNUMBER(N353)),"",IF(OR(Q353="Taken",Q353="Declined"),"",IF(N353&lt;0,"Lapsed",IF(N353&lt;=7,7,IF(N353&lt;=30,30,IF(N353&lt;=60,60,IF(N353&lt;=90,90,"")))))))</f>
        <v/>
      </c>
      <c r="P353" s="27" t="n"/>
      <c r="Q353" s="27" t="n"/>
      <c r="R353" s="27" t="n"/>
      <c r="S353" s="27" t="n"/>
      <c r="T353" s="27" t="n"/>
    </row>
    <row r="354">
      <c r="A354" s="27" t="n"/>
      <c r="B354" s="27" t="n"/>
      <c r="C354" s="27" t="n"/>
      <c r="D354" s="27" t="n"/>
      <c r="E354" s="28" t="n"/>
      <c r="F354" s="28" t="n"/>
      <c r="G354" s="27" t="n"/>
      <c r="H354" s="29">
        <f>IF(G354="Invoice",IF(ISNUMBER(F354),F354,""),IF(ISNUMBER(E354),E354,""))</f>
        <v/>
      </c>
      <c r="I354" s="30" t="n"/>
      <c r="J354" s="29">
        <f>IF(AND(ISNUMBER(H354),ISNUMBER(I354)),EDATE(H354,I354),"")</f>
        <v/>
      </c>
      <c r="K354" s="30" t="n"/>
      <c r="L354" s="29">
        <f>IF(AND(ISNUMBER(H354),ISNUMBER(K354)),EDATE(H354,K354),"")</f>
        <v/>
      </c>
      <c r="M354" s="29">
        <f>IF(COUNT(J354,L354)=0,"",IF(MIN(J354,L354)&gt;=TODAY(),MIN(J354,L354),MAX(J354,L354)))</f>
        <v/>
      </c>
      <c r="N354" s="31">
        <f>IF(ISNUMBER(M354),M354-TODAY(),"")</f>
        <v/>
      </c>
      <c r="O354" s="32">
        <f>IF(NOT(ISNUMBER(N354)),"",IF(OR(Q354="Taken",Q354="Declined"),"",IF(N354&lt;0,"Lapsed",IF(N354&lt;=7,7,IF(N354&lt;=30,30,IF(N354&lt;=60,60,IF(N354&lt;=90,90,"")))))))</f>
        <v/>
      </c>
      <c r="P354" s="27" t="n"/>
      <c r="Q354" s="27" t="n"/>
      <c r="R354" s="27" t="n"/>
      <c r="S354" s="27" t="n"/>
      <c r="T354" s="27" t="n"/>
    </row>
    <row r="355">
      <c r="A355" s="27" t="n"/>
      <c r="B355" s="27" t="n"/>
      <c r="C355" s="27" t="n"/>
      <c r="D355" s="27" t="n"/>
      <c r="E355" s="28" t="n"/>
      <c r="F355" s="28" t="n"/>
      <c r="G355" s="27" t="n"/>
      <c r="H355" s="29">
        <f>IF(G355="Invoice",IF(ISNUMBER(F355),F355,""),IF(ISNUMBER(E355),E355,""))</f>
        <v/>
      </c>
      <c r="I355" s="30" t="n"/>
      <c r="J355" s="29">
        <f>IF(AND(ISNUMBER(H355),ISNUMBER(I355)),EDATE(H355,I355),"")</f>
        <v/>
      </c>
      <c r="K355" s="30" t="n"/>
      <c r="L355" s="29">
        <f>IF(AND(ISNUMBER(H355),ISNUMBER(K355)),EDATE(H355,K355),"")</f>
        <v/>
      </c>
      <c r="M355" s="29">
        <f>IF(COUNT(J355,L355)=0,"",IF(MIN(J355,L355)&gt;=TODAY(),MIN(J355,L355),MAX(J355,L355)))</f>
        <v/>
      </c>
      <c r="N355" s="31">
        <f>IF(ISNUMBER(M355),M355-TODAY(),"")</f>
        <v/>
      </c>
      <c r="O355" s="32">
        <f>IF(NOT(ISNUMBER(N355)),"",IF(OR(Q355="Taken",Q355="Declined"),"",IF(N355&lt;0,"Lapsed",IF(N355&lt;=7,7,IF(N355&lt;=30,30,IF(N355&lt;=60,60,IF(N355&lt;=90,90,"")))))))</f>
        <v/>
      </c>
      <c r="P355" s="27" t="n"/>
      <c r="Q355" s="27" t="n"/>
      <c r="R355" s="27" t="n"/>
      <c r="S355" s="27" t="n"/>
      <c r="T355" s="27" t="n"/>
    </row>
    <row r="356">
      <c r="A356" s="27" t="n"/>
      <c r="B356" s="27" t="n"/>
      <c r="C356" s="27" t="n"/>
      <c r="D356" s="27" t="n"/>
      <c r="E356" s="28" t="n"/>
      <c r="F356" s="28" t="n"/>
      <c r="G356" s="27" t="n"/>
      <c r="H356" s="29">
        <f>IF(G356="Invoice",IF(ISNUMBER(F356),F356,""),IF(ISNUMBER(E356),E356,""))</f>
        <v/>
      </c>
      <c r="I356" s="30" t="n"/>
      <c r="J356" s="29">
        <f>IF(AND(ISNUMBER(H356),ISNUMBER(I356)),EDATE(H356,I356),"")</f>
        <v/>
      </c>
      <c r="K356" s="30" t="n"/>
      <c r="L356" s="29">
        <f>IF(AND(ISNUMBER(H356),ISNUMBER(K356)),EDATE(H356,K356),"")</f>
        <v/>
      </c>
      <c r="M356" s="29">
        <f>IF(COUNT(J356,L356)=0,"",IF(MIN(J356,L356)&gt;=TODAY(),MIN(J356,L356),MAX(J356,L356)))</f>
        <v/>
      </c>
      <c r="N356" s="31">
        <f>IF(ISNUMBER(M356),M356-TODAY(),"")</f>
        <v/>
      </c>
      <c r="O356" s="32">
        <f>IF(NOT(ISNUMBER(N356)),"",IF(OR(Q356="Taken",Q356="Declined"),"",IF(N356&lt;0,"Lapsed",IF(N356&lt;=7,7,IF(N356&lt;=30,30,IF(N356&lt;=60,60,IF(N356&lt;=90,90,"")))))))</f>
        <v/>
      </c>
      <c r="P356" s="27" t="n"/>
      <c r="Q356" s="27" t="n"/>
      <c r="R356" s="27" t="n"/>
      <c r="S356" s="27" t="n"/>
      <c r="T356" s="27" t="n"/>
    </row>
    <row r="357">
      <c r="A357" s="27" t="n"/>
      <c r="B357" s="27" t="n"/>
      <c r="C357" s="27" t="n"/>
      <c r="D357" s="27" t="n"/>
      <c r="E357" s="28" t="n"/>
      <c r="F357" s="28" t="n"/>
      <c r="G357" s="27" t="n"/>
      <c r="H357" s="29">
        <f>IF(G357="Invoice",IF(ISNUMBER(F357),F357,""),IF(ISNUMBER(E357),E357,""))</f>
        <v/>
      </c>
      <c r="I357" s="30" t="n"/>
      <c r="J357" s="29">
        <f>IF(AND(ISNUMBER(H357),ISNUMBER(I357)),EDATE(H357,I357),"")</f>
        <v/>
      </c>
      <c r="K357" s="30" t="n"/>
      <c r="L357" s="29">
        <f>IF(AND(ISNUMBER(H357),ISNUMBER(K357)),EDATE(H357,K357),"")</f>
        <v/>
      </c>
      <c r="M357" s="29">
        <f>IF(COUNT(J357,L357)=0,"",IF(MIN(J357,L357)&gt;=TODAY(),MIN(J357,L357),MAX(J357,L357)))</f>
        <v/>
      </c>
      <c r="N357" s="31">
        <f>IF(ISNUMBER(M357),M357-TODAY(),"")</f>
        <v/>
      </c>
      <c r="O357" s="32">
        <f>IF(NOT(ISNUMBER(N357)),"",IF(OR(Q357="Taken",Q357="Declined"),"",IF(N357&lt;0,"Lapsed",IF(N357&lt;=7,7,IF(N357&lt;=30,30,IF(N357&lt;=60,60,IF(N357&lt;=90,90,"")))))))</f>
        <v/>
      </c>
      <c r="P357" s="27" t="n"/>
      <c r="Q357" s="27" t="n"/>
      <c r="R357" s="27" t="n"/>
      <c r="S357" s="27" t="n"/>
      <c r="T357" s="27" t="n"/>
    </row>
    <row r="358">
      <c r="A358" s="27" t="n"/>
      <c r="B358" s="27" t="n"/>
      <c r="C358" s="27" t="n"/>
      <c r="D358" s="27" t="n"/>
      <c r="E358" s="28" t="n"/>
      <c r="F358" s="28" t="n"/>
      <c r="G358" s="27" t="n"/>
      <c r="H358" s="29">
        <f>IF(G358="Invoice",IF(ISNUMBER(F358),F358,""),IF(ISNUMBER(E358),E358,""))</f>
        <v/>
      </c>
      <c r="I358" s="30" t="n"/>
      <c r="J358" s="29">
        <f>IF(AND(ISNUMBER(H358),ISNUMBER(I358)),EDATE(H358,I358),"")</f>
        <v/>
      </c>
      <c r="K358" s="30" t="n"/>
      <c r="L358" s="29">
        <f>IF(AND(ISNUMBER(H358),ISNUMBER(K358)),EDATE(H358,K358),"")</f>
        <v/>
      </c>
      <c r="M358" s="29">
        <f>IF(COUNT(J358,L358)=0,"",IF(MIN(J358,L358)&gt;=TODAY(),MIN(J358,L358),MAX(J358,L358)))</f>
        <v/>
      </c>
      <c r="N358" s="31">
        <f>IF(ISNUMBER(M358),M358-TODAY(),"")</f>
        <v/>
      </c>
      <c r="O358" s="32">
        <f>IF(NOT(ISNUMBER(N358)),"",IF(OR(Q358="Taken",Q358="Declined"),"",IF(N358&lt;0,"Lapsed",IF(N358&lt;=7,7,IF(N358&lt;=30,30,IF(N358&lt;=60,60,IF(N358&lt;=90,90,"")))))))</f>
        <v/>
      </c>
      <c r="P358" s="27" t="n"/>
      <c r="Q358" s="27" t="n"/>
      <c r="R358" s="27" t="n"/>
      <c r="S358" s="27" t="n"/>
      <c r="T358" s="27" t="n"/>
    </row>
    <row r="359">
      <c r="A359" s="27" t="n"/>
      <c r="B359" s="27" t="n"/>
      <c r="C359" s="27" t="n"/>
      <c r="D359" s="27" t="n"/>
      <c r="E359" s="28" t="n"/>
      <c r="F359" s="28" t="n"/>
      <c r="G359" s="27" t="n"/>
      <c r="H359" s="29">
        <f>IF(G359="Invoice",IF(ISNUMBER(F359),F359,""),IF(ISNUMBER(E359),E359,""))</f>
        <v/>
      </c>
      <c r="I359" s="30" t="n"/>
      <c r="J359" s="29">
        <f>IF(AND(ISNUMBER(H359),ISNUMBER(I359)),EDATE(H359,I359),"")</f>
        <v/>
      </c>
      <c r="K359" s="30" t="n"/>
      <c r="L359" s="29">
        <f>IF(AND(ISNUMBER(H359),ISNUMBER(K359)),EDATE(H359,K359),"")</f>
        <v/>
      </c>
      <c r="M359" s="29">
        <f>IF(COUNT(J359,L359)=0,"",IF(MIN(J359,L359)&gt;=TODAY(),MIN(J359,L359),MAX(J359,L359)))</f>
        <v/>
      </c>
      <c r="N359" s="31">
        <f>IF(ISNUMBER(M359),M359-TODAY(),"")</f>
        <v/>
      </c>
      <c r="O359" s="32">
        <f>IF(NOT(ISNUMBER(N359)),"",IF(OR(Q359="Taken",Q359="Declined"),"",IF(N359&lt;0,"Lapsed",IF(N359&lt;=7,7,IF(N359&lt;=30,30,IF(N359&lt;=60,60,IF(N359&lt;=90,90,"")))))))</f>
        <v/>
      </c>
      <c r="P359" s="27" t="n"/>
      <c r="Q359" s="27" t="n"/>
      <c r="R359" s="27" t="n"/>
      <c r="S359" s="27" t="n"/>
      <c r="T359" s="27" t="n"/>
    </row>
    <row r="360">
      <c r="A360" s="27" t="n"/>
      <c r="B360" s="27" t="n"/>
      <c r="C360" s="27" t="n"/>
      <c r="D360" s="27" t="n"/>
      <c r="E360" s="28" t="n"/>
      <c r="F360" s="28" t="n"/>
      <c r="G360" s="27" t="n"/>
      <c r="H360" s="29">
        <f>IF(G360="Invoice",IF(ISNUMBER(F360),F360,""),IF(ISNUMBER(E360),E360,""))</f>
        <v/>
      </c>
      <c r="I360" s="30" t="n"/>
      <c r="J360" s="29">
        <f>IF(AND(ISNUMBER(H360),ISNUMBER(I360)),EDATE(H360,I360),"")</f>
        <v/>
      </c>
      <c r="K360" s="30" t="n"/>
      <c r="L360" s="29">
        <f>IF(AND(ISNUMBER(H360),ISNUMBER(K360)),EDATE(H360,K360),"")</f>
        <v/>
      </c>
      <c r="M360" s="29">
        <f>IF(COUNT(J360,L360)=0,"",IF(MIN(J360,L360)&gt;=TODAY(),MIN(J360,L360),MAX(J360,L360)))</f>
        <v/>
      </c>
      <c r="N360" s="31">
        <f>IF(ISNUMBER(M360),M360-TODAY(),"")</f>
        <v/>
      </c>
      <c r="O360" s="32">
        <f>IF(NOT(ISNUMBER(N360)),"",IF(OR(Q360="Taken",Q360="Declined"),"",IF(N360&lt;0,"Lapsed",IF(N360&lt;=7,7,IF(N360&lt;=30,30,IF(N360&lt;=60,60,IF(N360&lt;=90,90,"")))))))</f>
        <v/>
      </c>
      <c r="P360" s="27" t="n"/>
      <c r="Q360" s="27" t="n"/>
      <c r="R360" s="27" t="n"/>
      <c r="S360" s="27" t="n"/>
      <c r="T360" s="27" t="n"/>
    </row>
    <row r="361">
      <c r="A361" s="27" t="n"/>
      <c r="B361" s="27" t="n"/>
      <c r="C361" s="27" t="n"/>
      <c r="D361" s="27" t="n"/>
      <c r="E361" s="28" t="n"/>
      <c r="F361" s="28" t="n"/>
      <c r="G361" s="27" t="n"/>
      <c r="H361" s="29">
        <f>IF(G361="Invoice",IF(ISNUMBER(F361),F361,""),IF(ISNUMBER(E361),E361,""))</f>
        <v/>
      </c>
      <c r="I361" s="30" t="n"/>
      <c r="J361" s="29">
        <f>IF(AND(ISNUMBER(H361),ISNUMBER(I361)),EDATE(H361,I361),"")</f>
        <v/>
      </c>
      <c r="K361" s="30" t="n"/>
      <c r="L361" s="29">
        <f>IF(AND(ISNUMBER(H361),ISNUMBER(K361)),EDATE(H361,K361),"")</f>
        <v/>
      </c>
      <c r="M361" s="29">
        <f>IF(COUNT(J361,L361)=0,"",IF(MIN(J361,L361)&gt;=TODAY(),MIN(J361,L361),MAX(J361,L361)))</f>
        <v/>
      </c>
      <c r="N361" s="31">
        <f>IF(ISNUMBER(M361),M361-TODAY(),"")</f>
        <v/>
      </c>
      <c r="O361" s="32">
        <f>IF(NOT(ISNUMBER(N361)),"",IF(OR(Q361="Taken",Q361="Declined"),"",IF(N361&lt;0,"Lapsed",IF(N361&lt;=7,7,IF(N361&lt;=30,30,IF(N361&lt;=60,60,IF(N361&lt;=90,90,"")))))))</f>
        <v/>
      </c>
      <c r="P361" s="27" t="n"/>
      <c r="Q361" s="27" t="n"/>
      <c r="R361" s="27" t="n"/>
      <c r="S361" s="27" t="n"/>
      <c r="T361" s="27" t="n"/>
    </row>
    <row r="362">
      <c r="A362" s="27" t="n"/>
      <c r="B362" s="27" t="n"/>
      <c r="C362" s="27" t="n"/>
      <c r="D362" s="27" t="n"/>
      <c r="E362" s="28" t="n"/>
      <c r="F362" s="28" t="n"/>
      <c r="G362" s="27" t="n"/>
      <c r="H362" s="29">
        <f>IF(G362="Invoice",IF(ISNUMBER(F362),F362,""),IF(ISNUMBER(E362),E362,""))</f>
        <v/>
      </c>
      <c r="I362" s="30" t="n"/>
      <c r="J362" s="29">
        <f>IF(AND(ISNUMBER(H362),ISNUMBER(I362)),EDATE(H362,I362),"")</f>
        <v/>
      </c>
      <c r="K362" s="30" t="n"/>
      <c r="L362" s="29">
        <f>IF(AND(ISNUMBER(H362),ISNUMBER(K362)),EDATE(H362,K362),"")</f>
        <v/>
      </c>
      <c r="M362" s="29">
        <f>IF(COUNT(J362,L362)=0,"",IF(MIN(J362,L362)&gt;=TODAY(),MIN(J362,L362),MAX(J362,L362)))</f>
        <v/>
      </c>
      <c r="N362" s="31">
        <f>IF(ISNUMBER(M362),M362-TODAY(),"")</f>
        <v/>
      </c>
      <c r="O362" s="32">
        <f>IF(NOT(ISNUMBER(N362)),"",IF(OR(Q362="Taken",Q362="Declined"),"",IF(N362&lt;0,"Lapsed",IF(N362&lt;=7,7,IF(N362&lt;=30,30,IF(N362&lt;=60,60,IF(N362&lt;=90,90,"")))))))</f>
        <v/>
      </c>
      <c r="P362" s="27" t="n"/>
      <c r="Q362" s="27" t="n"/>
      <c r="R362" s="27" t="n"/>
      <c r="S362" s="27" t="n"/>
      <c r="T362" s="27" t="n"/>
    </row>
    <row r="363">
      <c r="A363" s="27" t="n"/>
      <c r="B363" s="27" t="n"/>
      <c r="C363" s="27" t="n"/>
      <c r="D363" s="27" t="n"/>
      <c r="E363" s="28" t="n"/>
      <c r="F363" s="28" t="n"/>
      <c r="G363" s="27" t="n"/>
      <c r="H363" s="29">
        <f>IF(G363="Invoice",IF(ISNUMBER(F363),F363,""),IF(ISNUMBER(E363),E363,""))</f>
        <v/>
      </c>
      <c r="I363" s="30" t="n"/>
      <c r="J363" s="29">
        <f>IF(AND(ISNUMBER(H363),ISNUMBER(I363)),EDATE(H363,I363),"")</f>
        <v/>
      </c>
      <c r="K363" s="30" t="n"/>
      <c r="L363" s="29">
        <f>IF(AND(ISNUMBER(H363),ISNUMBER(K363)),EDATE(H363,K363),"")</f>
        <v/>
      </c>
      <c r="M363" s="29">
        <f>IF(COUNT(J363,L363)=0,"",IF(MIN(J363,L363)&gt;=TODAY(),MIN(J363,L363),MAX(J363,L363)))</f>
        <v/>
      </c>
      <c r="N363" s="31">
        <f>IF(ISNUMBER(M363),M363-TODAY(),"")</f>
        <v/>
      </c>
      <c r="O363" s="32">
        <f>IF(NOT(ISNUMBER(N363)),"",IF(OR(Q363="Taken",Q363="Declined"),"",IF(N363&lt;0,"Lapsed",IF(N363&lt;=7,7,IF(N363&lt;=30,30,IF(N363&lt;=60,60,IF(N363&lt;=90,90,"")))))))</f>
        <v/>
      </c>
      <c r="P363" s="27" t="n"/>
      <c r="Q363" s="27" t="n"/>
      <c r="R363" s="27" t="n"/>
      <c r="S363" s="27" t="n"/>
      <c r="T363" s="27" t="n"/>
    </row>
    <row r="364">
      <c r="A364" s="27" t="n"/>
      <c r="B364" s="27" t="n"/>
      <c r="C364" s="27" t="n"/>
      <c r="D364" s="27" t="n"/>
      <c r="E364" s="28" t="n"/>
      <c r="F364" s="28" t="n"/>
      <c r="G364" s="27" t="n"/>
      <c r="H364" s="29">
        <f>IF(G364="Invoice",IF(ISNUMBER(F364),F364,""),IF(ISNUMBER(E364),E364,""))</f>
        <v/>
      </c>
      <c r="I364" s="30" t="n"/>
      <c r="J364" s="29">
        <f>IF(AND(ISNUMBER(H364),ISNUMBER(I364)),EDATE(H364,I364),"")</f>
        <v/>
      </c>
      <c r="K364" s="30" t="n"/>
      <c r="L364" s="29">
        <f>IF(AND(ISNUMBER(H364),ISNUMBER(K364)),EDATE(H364,K364),"")</f>
        <v/>
      </c>
      <c r="M364" s="29">
        <f>IF(COUNT(J364,L364)=0,"",IF(MIN(J364,L364)&gt;=TODAY(),MIN(J364,L364),MAX(J364,L364)))</f>
        <v/>
      </c>
      <c r="N364" s="31">
        <f>IF(ISNUMBER(M364),M364-TODAY(),"")</f>
        <v/>
      </c>
      <c r="O364" s="32">
        <f>IF(NOT(ISNUMBER(N364)),"",IF(OR(Q364="Taken",Q364="Declined"),"",IF(N364&lt;0,"Lapsed",IF(N364&lt;=7,7,IF(N364&lt;=30,30,IF(N364&lt;=60,60,IF(N364&lt;=90,90,"")))))))</f>
        <v/>
      </c>
      <c r="P364" s="27" t="n"/>
      <c r="Q364" s="27" t="n"/>
      <c r="R364" s="27" t="n"/>
      <c r="S364" s="27" t="n"/>
      <c r="T364" s="27" t="n"/>
    </row>
    <row r="365">
      <c r="A365" s="27" t="n"/>
      <c r="B365" s="27" t="n"/>
      <c r="C365" s="27" t="n"/>
      <c r="D365" s="27" t="n"/>
      <c r="E365" s="28" t="n"/>
      <c r="F365" s="28" t="n"/>
      <c r="G365" s="27" t="n"/>
      <c r="H365" s="29">
        <f>IF(G365="Invoice",IF(ISNUMBER(F365),F365,""),IF(ISNUMBER(E365),E365,""))</f>
        <v/>
      </c>
      <c r="I365" s="30" t="n"/>
      <c r="J365" s="29">
        <f>IF(AND(ISNUMBER(H365),ISNUMBER(I365)),EDATE(H365,I365),"")</f>
        <v/>
      </c>
      <c r="K365" s="30" t="n"/>
      <c r="L365" s="29">
        <f>IF(AND(ISNUMBER(H365),ISNUMBER(K365)),EDATE(H365,K365),"")</f>
        <v/>
      </c>
      <c r="M365" s="29">
        <f>IF(COUNT(J365,L365)=0,"",IF(MIN(J365,L365)&gt;=TODAY(),MIN(J365,L365),MAX(J365,L365)))</f>
        <v/>
      </c>
      <c r="N365" s="31">
        <f>IF(ISNUMBER(M365),M365-TODAY(),"")</f>
        <v/>
      </c>
      <c r="O365" s="32">
        <f>IF(NOT(ISNUMBER(N365)),"",IF(OR(Q365="Taken",Q365="Declined"),"",IF(N365&lt;0,"Lapsed",IF(N365&lt;=7,7,IF(N365&lt;=30,30,IF(N365&lt;=60,60,IF(N365&lt;=90,90,"")))))))</f>
        <v/>
      </c>
      <c r="P365" s="27" t="n"/>
      <c r="Q365" s="27" t="n"/>
      <c r="R365" s="27" t="n"/>
      <c r="S365" s="27" t="n"/>
      <c r="T365" s="27" t="n"/>
    </row>
    <row r="366">
      <c r="A366" s="27" t="n"/>
      <c r="B366" s="27" t="n"/>
      <c r="C366" s="27" t="n"/>
      <c r="D366" s="27" t="n"/>
      <c r="E366" s="28" t="n"/>
      <c r="F366" s="28" t="n"/>
      <c r="G366" s="27" t="n"/>
      <c r="H366" s="29">
        <f>IF(G366="Invoice",IF(ISNUMBER(F366),F366,""),IF(ISNUMBER(E366),E366,""))</f>
        <v/>
      </c>
      <c r="I366" s="30" t="n"/>
      <c r="J366" s="29">
        <f>IF(AND(ISNUMBER(H366),ISNUMBER(I366)),EDATE(H366,I366),"")</f>
        <v/>
      </c>
      <c r="K366" s="30" t="n"/>
      <c r="L366" s="29">
        <f>IF(AND(ISNUMBER(H366),ISNUMBER(K366)),EDATE(H366,K366),"")</f>
        <v/>
      </c>
      <c r="M366" s="29">
        <f>IF(COUNT(J366,L366)=0,"",IF(MIN(J366,L366)&gt;=TODAY(),MIN(J366,L366),MAX(J366,L366)))</f>
        <v/>
      </c>
      <c r="N366" s="31">
        <f>IF(ISNUMBER(M366),M366-TODAY(),"")</f>
        <v/>
      </c>
      <c r="O366" s="32">
        <f>IF(NOT(ISNUMBER(N366)),"",IF(OR(Q366="Taken",Q366="Declined"),"",IF(N366&lt;0,"Lapsed",IF(N366&lt;=7,7,IF(N366&lt;=30,30,IF(N366&lt;=60,60,IF(N366&lt;=90,90,"")))))))</f>
        <v/>
      </c>
      <c r="P366" s="27" t="n"/>
      <c r="Q366" s="27" t="n"/>
      <c r="R366" s="27" t="n"/>
      <c r="S366" s="27" t="n"/>
      <c r="T366" s="27" t="n"/>
    </row>
    <row r="367">
      <c r="A367" s="27" t="n"/>
      <c r="B367" s="27" t="n"/>
      <c r="C367" s="27" t="n"/>
      <c r="D367" s="27" t="n"/>
      <c r="E367" s="28" t="n"/>
      <c r="F367" s="28" t="n"/>
      <c r="G367" s="27" t="n"/>
      <c r="H367" s="29">
        <f>IF(G367="Invoice",IF(ISNUMBER(F367),F367,""),IF(ISNUMBER(E367),E367,""))</f>
        <v/>
      </c>
      <c r="I367" s="30" t="n"/>
      <c r="J367" s="29">
        <f>IF(AND(ISNUMBER(H367),ISNUMBER(I367)),EDATE(H367,I367),"")</f>
        <v/>
      </c>
      <c r="K367" s="30" t="n"/>
      <c r="L367" s="29">
        <f>IF(AND(ISNUMBER(H367),ISNUMBER(K367)),EDATE(H367,K367),"")</f>
        <v/>
      </c>
      <c r="M367" s="29">
        <f>IF(COUNT(J367,L367)=0,"",IF(MIN(J367,L367)&gt;=TODAY(),MIN(J367,L367),MAX(J367,L367)))</f>
        <v/>
      </c>
      <c r="N367" s="31">
        <f>IF(ISNUMBER(M367),M367-TODAY(),"")</f>
        <v/>
      </c>
      <c r="O367" s="32">
        <f>IF(NOT(ISNUMBER(N367)),"",IF(OR(Q367="Taken",Q367="Declined"),"",IF(N367&lt;0,"Lapsed",IF(N367&lt;=7,7,IF(N367&lt;=30,30,IF(N367&lt;=60,60,IF(N367&lt;=90,90,"")))))))</f>
        <v/>
      </c>
      <c r="P367" s="27" t="n"/>
      <c r="Q367" s="27" t="n"/>
      <c r="R367" s="27" t="n"/>
      <c r="S367" s="27" t="n"/>
      <c r="T367" s="27" t="n"/>
    </row>
    <row r="368">
      <c r="A368" s="27" t="n"/>
      <c r="B368" s="27" t="n"/>
      <c r="C368" s="27" t="n"/>
      <c r="D368" s="27" t="n"/>
      <c r="E368" s="28" t="n"/>
      <c r="F368" s="28" t="n"/>
      <c r="G368" s="27" t="n"/>
      <c r="H368" s="29">
        <f>IF(G368="Invoice",IF(ISNUMBER(F368),F368,""),IF(ISNUMBER(E368),E368,""))</f>
        <v/>
      </c>
      <c r="I368" s="30" t="n"/>
      <c r="J368" s="29">
        <f>IF(AND(ISNUMBER(H368),ISNUMBER(I368)),EDATE(H368,I368),"")</f>
        <v/>
      </c>
      <c r="K368" s="30" t="n"/>
      <c r="L368" s="29">
        <f>IF(AND(ISNUMBER(H368),ISNUMBER(K368)),EDATE(H368,K368),"")</f>
        <v/>
      </c>
      <c r="M368" s="29">
        <f>IF(COUNT(J368,L368)=0,"",IF(MIN(J368,L368)&gt;=TODAY(),MIN(J368,L368),MAX(J368,L368)))</f>
        <v/>
      </c>
      <c r="N368" s="31">
        <f>IF(ISNUMBER(M368),M368-TODAY(),"")</f>
        <v/>
      </c>
      <c r="O368" s="32">
        <f>IF(NOT(ISNUMBER(N368)),"",IF(OR(Q368="Taken",Q368="Declined"),"",IF(N368&lt;0,"Lapsed",IF(N368&lt;=7,7,IF(N368&lt;=30,30,IF(N368&lt;=60,60,IF(N368&lt;=90,90,"")))))))</f>
        <v/>
      </c>
      <c r="P368" s="27" t="n"/>
      <c r="Q368" s="27" t="n"/>
      <c r="R368" s="27" t="n"/>
      <c r="S368" s="27" t="n"/>
      <c r="T368" s="27" t="n"/>
    </row>
    <row r="369">
      <c r="A369" s="27" t="n"/>
      <c r="B369" s="27" t="n"/>
      <c r="C369" s="27" t="n"/>
      <c r="D369" s="27" t="n"/>
      <c r="E369" s="28" t="n"/>
      <c r="F369" s="28" t="n"/>
      <c r="G369" s="27" t="n"/>
      <c r="H369" s="29">
        <f>IF(G369="Invoice",IF(ISNUMBER(F369),F369,""),IF(ISNUMBER(E369),E369,""))</f>
        <v/>
      </c>
      <c r="I369" s="30" t="n"/>
      <c r="J369" s="29">
        <f>IF(AND(ISNUMBER(H369),ISNUMBER(I369)),EDATE(H369,I369),"")</f>
        <v/>
      </c>
      <c r="K369" s="30" t="n"/>
      <c r="L369" s="29">
        <f>IF(AND(ISNUMBER(H369),ISNUMBER(K369)),EDATE(H369,K369),"")</f>
        <v/>
      </c>
      <c r="M369" s="29">
        <f>IF(COUNT(J369,L369)=0,"",IF(MIN(J369,L369)&gt;=TODAY(),MIN(J369,L369),MAX(J369,L369)))</f>
        <v/>
      </c>
      <c r="N369" s="31">
        <f>IF(ISNUMBER(M369),M369-TODAY(),"")</f>
        <v/>
      </c>
      <c r="O369" s="32">
        <f>IF(NOT(ISNUMBER(N369)),"",IF(OR(Q369="Taken",Q369="Declined"),"",IF(N369&lt;0,"Lapsed",IF(N369&lt;=7,7,IF(N369&lt;=30,30,IF(N369&lt;=60,60,IF(N369&lt;=90,90,"")))))))</f>
        <v/>
      </c>
      <c r="P369" s="27" t="n"/>
      <c r="Q369" s="27" t="n"/>
      <c r="R369" s="27" t="n"/>
      <c r="S369" s="27" t="n"/>
      <c r="T369" s="27" t="n"/>
    </row>
    <row r="370">
      <c r="A370" s="27" t="n"/>
      <c r="B370" s="27" t="n"/>
      <c r="C370" s="27" t="n"/>
      <c r="D370" s="27" t="n"/>
      <c r="E370" s="28" t="n"/>
      <c r="F370" s="28" t="n"/>
      <c r="G370" s="27" t="n"/>
      <c r="H370" s="29">
        <f>IF(G370="Invoice",IF(ISNUMBER(F370),F370,""),IF(ISNUMBER(E370),E370,""))</f>
        <v/>
      </c>
      <c r="I370" s="30" t="n"/>
      <c r="J370" s="29">
        <f>IF(AND(ISNUMBER(H370),ISNUMBER(I370)),EDATE(H370,I370),"")</f>
        <v/>
      </c>
      <c r="K370" s="30" t="n"/>
      <c r="L370" s="29">
        <f>IF(AND(ISNUMBER(H370),ISNUMBER(K370)),EDATE(H370,K370),"")</f>
        <v/>
      </c>
      <c r="M370" s="29">
        <f>IF(COUNT(J370,L370)=0,"",IF(MIN(J370,L370)&gt;=TODAY(),MIN(J370,L370),MAX(J370,L370)))</f>
        <v/>
      </c>
      <c r="N370" s="31">
        <f>IF(ISNUMBER(M370),M370-TODAY(),"")</f>
        <v/>
      </c>
      <c r="O370" s="32">
        <f>IF(NOT(ISNUMBER(N370)),"",IF(OR(Q370="Taken",Q370="Declined"),"",IF(N370&lt;0,"Lapsed",IF(N370&lt;=7,7,IF(N370&lt;=30,30,IF(N370&lt;=60,60,IF(N370&lt;=90,90,"")))))))</f>
        <v/>
      </c>
      <c r="P370" s="27" t="n"/>
      <c r="Q370" s="27" t="n"/>
      <c r="R370" s="27" t="n"/>
      <c r="S370" s="27" t="n"/>
      <c r="T370" s="27" t="n"/>
    </row>
    <row r="371">
      <c r="A371" s="27" t="n"/>
      <c r="B371" s="27" t="n"/>
      <c r="C371" s="27" t="n"/>
      <c r="D371" s="27" t="n"/>
      <c r="E371" s="28" t="n"/>
      <c r="F371" s="28" t="n"/>
      <c r="G371" s="27" t="n"/>
      <c r="H371" s="29">
        <f>IF(G371="Invoice",IF(ISNUMBER(F371),F371,""),IF(ISNUMBER(E371),E371,""))</f>
        <v/>
      </c>
      <c r="I371" s="30" t="n"/>
      <c r="J371" s="29">
        <f>IF(AND(ISNUMBER(H371),ISNUMBER(I371)),EDATE(H371,I371),"")</f>
        <v/>
      </c>
      <c r="K371" s="30" t="n"/>
      <c r="L371" s="29">
        <f>IF(AND(ISNUMBER(H371),ISNUMBER(K371)),EDATE(H371,K371),"")</f>
        <v/>
      </c>
      <c r="M371" s="29">
        <f>IF(COUNT(J371,L371)=0,"",IF(MIN(J371,L371)&gt;=TODAY(),MIN(J371,L371),MAX(J371,L371)))</f>
        <v/>
      </c>
      <c r="N371" s="31">
        <f>IF(ISNUMBER(M371),M371-TODAY(),"")</f>
        <v/>
      </c>
      <c r="O371" s="32">
        <f>IF(NOT(ISNUMBER(N371)),"",IF(OR(Q371="Taken",Q371="Declined"),"",IF(N371&lt;0,"Lapsed",IF(N371&lt;=7,7,IF(N371&lt;=30,30,IF(N371&lt;=60,60,IF(N371&lt;=90,90,"")))))))</f>
        <v/>
      </c>
      <c r="P371" s="27" t="n"/>
      <c r="Q371" s="27" t="n"/>
      <c r="R371" s="27" t="n"/>
      <c r="S371" s="27" t="n"/>
      <c r="T371" s="27" t="n"/>
    </row>
    <row r="372">
      <c r="A372" s="27" t="n"/>
      <c r="B372" s="27" t="n"/>
      <c r="C372" s="27" t="n"/>
      <c r="D372" s="27" t="n"/>
      <c r="E372" s="28" t="n"/>
      <c r="F372" s="28" t="n"/>
      <c r="G372" s="27" t="n"/>
      <c r="H372" s="29">
        <f>IF(G372="Invoice",IF(ISNUMBER(F372),F372,""),IF(ISNUMBER(E372),E372,""))</f>
        <v/>
      </c>
      <c r="I372" s="30" t="n"/>
      <c r="J372" s="29">
        <f>IF(AND(ISNUMBER(H372),ISNUMBER(I372)),EDATE(H372,I372),"")</f>
        <v/>
      </c>
      <c r="K372" s="30" t="n"/>
      <c r="L372" s="29">
        <f>IF(AND(ISNUMBER(H372),ISNUMBER(K372)),EDATE(H372,K372),"")</f>
        <v/>
      </c>
      <c r="M372" s="29">
        <f>IF(COUNT(J372,L372)=0,"",IF(MIN(J372,L372)&gt;=TODAY(),MIN(J372,L372),MAX(J372,L372)))</f>
        <v/>
      </c>
      <c r="N372" s="31">
        <f>IF(ISNUMBER(M372),M372-TODAY(),"")</f>
        <v/>
      </c>
      <c r="O372" s="32">
        <f>IF(NOT(ISNUMBER(N372)),"",IF(OR(Q372="Taken",Q372="Declined"),"",IF(N372&lt;0,"Lapsed",IF(N372&lt;=7,7,IF(N372&lt;=30,30,IF(N372&lt;=60,60,IF(N372&lt;=90,90,"")))))))</f>
        <v/>
      </c>
      <c r="P372" s="27" t="n"/>
      <c r="Q372" s="27" t="n"/>
      <c r="R372" s="27" t="n"/>
      <c r="S372" s="27" t="n"/>
      <c r="T372" s="27" t="n"/>
    </row>
    <row r="373">
      <c r="A373" s="27" t="n"/>
      <c r="B373" s="27" t="n"/>
      <c r="C373" s="27" t="n"/>
      <c r="D373" s="27" t="n"/>
      <c r="E373" s="28" t="n"/>
      <c r="F373" s="28" t="n"/>
      <c r="G373" s="27" t="n"/>
      <c r="H373" s="29">
        <f>IF(G373="Invoice",IF(ISNUMBER(F373),F373,""),IF(ISNUMBER(E373),E373,""))</f>
        <v/>
      </c>
      <c r="I373" s="30" t="n"/>
      <c r="J373" s="29">
        <f>IF(AND(ISNUMBER(H373),ISNUMBER(I373)),EDATE(H373,I373),"")</f>
        <v/>
      </c>
      <c r="K373" s="30" t="n"/>
      <c r="L373" s="29">
        <f>IF(AND(ISNUMBER(H373),ISNUMBER(K373)),EDATE(H373,K373),"")</f>
        <v/>
      </c>
      <c r="M373" s="29">
        <f>IF(COUNT(J373,L373)=0,"",IF(MIN(J373,L373)&gt;=TODAY(),MIN(J373,L373),MAX(J373,L373)))</f>
        <v/>
      </c>
      <c r="N373" s="31">
        <f>IF(ISNUMBER(M373),M373-TODAY(),"")</f>
        <v/>
      </c>
      <c r="O373" s="32">
        <f>IF(NOT(ISNUMBER(N373)),"",IF(OR(Q373="Taken",Q373="Declined"),"",IF(N373&lt;0,"Lapsed",IF(N373&lt;=7,7,IF(N373&lt;=30,30,IF(N373&lt;=60,60,IF(N373&lt;=90,90,"")))))))</f>
        <v/>
      </c>
      <c r="P373" s="27" t="n"/>
      <c r="Q373" s="27" t="n"/>
      <c r="R373" s="27" t="n"/>
      <c r="S373" s="27" t="n"/>
      <c r="T373" s="27" t="n"/>
    </row>
    <row r="374">
      <c r="A374" s="27" t="n"/>
      <c r="B374" s="27" t="n"/>
      <c r="C374" s="27" t="n"/>
      <c r="D374" s="27" t="n"/>
      <c r="E374" s="28" t="n"/>
      <c r="F374" s="28" t="n"/>
      <c r="G374" s="27" t="n"/>
      <c r="H374" s="29">
        <f>IF(G374="Invoice",IF(ISNUMBER(F374),F374,""),IF(ISNUMBER(E374),E374,""))</f>
        <v/>
      </c>
      <c r="I374" s="30" t="n"/>
      <c r="J374" s="29">
        <f>IF(AND(ISNUMBER(H374),ISNUMBER(I374)),EDATE(H374,I374),"")</f>
        <v/>
      </c>
      <c r="K374" s="30" t="n"/>
      <c r="L374" s="29">
        <f>IF(AND(ISNUMBER(H374),ISNUMBER(K374)),EDATE(H374,K374),"")</f>
        <v/>
      </c>
      <c r="M374" s="29">
        <f>IF(COUNT(J374,L374)=0,"",IF(MIN(J374,L374)&gt;=TODAY(),MIN(J374,L374),MAX(J374,L374)))</f>
        <v/>
      </c>
      <c r="N374" s="31">
        <f>IF(ISNUMBER(M374),M374-TODAY(),"")</f>
        <v/>
      </c>
      <c r="O374" s="32">
        <f>IF(NOT(ISNUMBER(N374)),"",IF(OR(Q374="Taken",Q374="Declined"),"",IF(N374&lt;0,"Lapsed",IF(N374&lt;=7,7,IF(N374&lt;=30,30,IF(N374&lt;=60,60,IF(N374&lt;=90,90,"")))))))</f>
        <v/>
      </c>
      <c r="P374" s="27" t="n"/>
      <c r="Q374" s="27" t="n"/>
      <c r="R374" s="27" t="n"/>
      <c r="S374" s="27" t="n"/>
      <c r="T374" s="27" t="n"/>
    </row>
    <row r="375">
      <c r="A375" s="27" t="n"/>
      <c r="B375" s="27" t="n"/>
      <c r="C375" s="27" t="n"/>
      <c r="D375" s="27" t="n"/>
      <c r="E375" s="28" t="n"/>
      <c r="F375" s="28" t="n"/>
      <c r="G375" s="27" t="n"/>
      <c r="H375" s="29">
        <f>IF(G375="Invoice",IF(ISNUMBER(F375),F375,""),IF(ISNUMBER(E375),E375,""))</f>
        <v/>
      </c>
      <c r="I375" s="30" t="n"/>
      <c r="J375" s="29">
        <f>IF(AND(ISNUMBER(H375),ISNUMBER(I375)),EDATE(H375,I375),"")</f>
        <v/>
      </c>
      <c r="K375" s="30" t="n"/>
      <c r="L375" s="29">
        <f>IF(AND(ISNUMBER(H375),ISNUMBER(K375)),EDATE(H375,K375),"")</f>
        <v/>
      </c>
      <c r="M375" s="29">
        <f>IF(COUNT(J375,L375)=0,"",IF(MIN(J375,L375)&gt;=TODAY(),MIN(J375,L375),MAX(J375,L375)))</f>
        <v/>
      </c>
      <c r="N375" s="31">
        <f>IF(ISNUMBER(M375),M375-TODAY(),"")</f>
        <v/>
      </c>
      <c r="O375" s="32">
        <f>IF(NOT(ISNUMBER(N375)),"",IF(OR(Q375="Taken",Q375="Declined"),"",IF(N375&lt;0,"Lapsed",IF(N375&lt;=7,7,IF(N375&lt;=30,30,IF(N375&lt;=60,60,IF(N375&lt;=90,90,"")))))))</f>
        <v/>
      </c>
      <c r="P375" s="27" t="n"/>
      <c r="Q375" s="27" t="n"/>
      <c r="R375" s="27" t="n"/>
      <c r="S375" s="27" t="n"/>
      <c r="T375" s="27" t="n"/>
    </row>
    <row r="376">
      <c r="A376" s="27" t="n"/>
      <c r="B376" s="27" t="n"/>
      <c r="C376" s="27" t="n"/>
      <c r="D376" s="27" t="n"/>
      <c r="E376" s="28" t="n"/>
      <c r="F376" s="28" t="n"/>
      <c r="G376" s="27" t="n"/>
      <c r="H376" s="29">
        <f>IF(G376="Invoice",IF(ISNUMBER(F376),F376,""),IF(ISNUMBER(E376),E376,""))</f>
        <v/>
      </c>
      <c r="I376" s="30" t="n"/>
      <c r="J376" s="29">
        <f>IF(AND(ISNUMBER(H376),ISNUMBER(I376)),EDATE(H376,I376),"")</f>
        <v/>
      </c>
      <c r="K376" s="30" t="n"/>
      <c r="L376" s="29">
        <f>IF(AND(ISNUMBER(H376),ISNUMBER(K376)),EDATE(H376,K376),"")</f>
        <v/>
      </c>
      <c r="M376" s="29">
        <f>IF(COUNT(J376,L376)=0,"",IF(MIN(J376,L376)&gt;=TODAY(),MIN(J376,L376),MAX(J376,L376)))</f>
        <v/>
      </c>
      <c r="N376" s="31">
        <f>IF(ISNUMBER(M376),M376-TODAY(),"")</f>
        <v/>
      </c>
      <c r="O376" s="32">
        <f>IF(NOT(ISNUMBER(N376)),"",IF(OR(Q376="Taken",Q376="Declined"),"",IF(N376&lt;0,"Lapsed",IF(N376&lt;=7,7,IF(N376&lt;=30,30,IF(N376&lt;=60,60,IF(N376&lt;=90,90,"")))))))</f>
        <v/>
      </c>
      <c r="P376" s="27" t="n"/>
      <c r="Q376" s="27" t="n"/>
      <c r="R376" s="27" t="n"/>
      <c r="S376" s="27" t="n"/>
      <c r="T376" s="27" t="n"/>
    </row>
    <row r="377">
      <c r="A377" s="27" t="n"/>
      <c r="B377" s="27" t="n"/>
      <c r="C377" s="27" t="n"/>
      <c r="D377" s="27" t="n"/>
      <c r="E377" s="28" t="n"/>
      <c r="F377" s="28" t="n"/>
      <c r="G377" s="27" t="n"/>
      <c r="H377" s="29">
        <f>IF(G377="Invoice",IF(ISNUMBER(F377),F377,""),IF(ISNUMBER(E377),E377,""))</f>
        <v/>
      </c>
      <c r="I377" s="30" t="n"/>
      <c r="J377" s="29">
        <f>IF(AND(ISNUMBER(H377),ISNUMBER(I377)),EDATE(H377,I377),"")</f>
        <v/>
      </c>
      <c r="K377" s="30" t="n"/>
      <c r="L377" s="29">
        <f>IF(AND(ISNUMBER(H377),ISNUMBER(K377)),EDATE(H377,K377),"")</f>
        <v/>
      </c>
      <c r="M377" s="29">
        <f>IF(COUNT(J377,L377)=0,"",IF(MIN(J377,L377)&gt;=TODAY(),MIN(J377,L377),MAX(J377,L377)))</f>
        <v/>
      </c>
      <c r="N377" s="31">
        <f>IF(ISNUMBER(M377),M377-TODAY(),"")</f>
        <v/>
      </c>
      <c r="O377" s="32">
        <f>IF(NOT(ISNUMBER(N377)),"",IF(OR(Q377="Taken",Q377="Declined"),"",IF(N377&lt;0,"Lapsed",IF(N377&lt;=7,7,IF(N377&lt;=30,30,IF(N377&lt;=60,60,IF(N377&lt;=90,90,"")))))))</f>
        <v/>
      </c>
      <c r="P377" s="27" t="n"/>
      <c r="Q377" s="27" t="n"/>
      <c r="R377" s="27" t="n"/>
      <c r="S377" s="27" t="n"/>
      <c r="T377" s="27" t="n"/>
    </row>
    <row r="378">
      <c r="A378" s="27" t="n"/>
      <c r="B378" s="27" t="n"/>
      <c r="C378" s="27" t="n"/>
      <c r="D378" s="27" t="n"/>
      <c r="E378" s="28" t="n"/>
      <c r="F378" s="28" t="n"/>
      <c r="G378" s="27" t="n"/>
      <c r="H378" s="29">
        <f>IF(G378="Invoice",IF(ISNUMBER(F378),F378,""),IF(ISNUMBER(E378),E378,""))</f>
        <v/>
      </c>
      <c r="I378" s="30" t="n"/>
      <c r="J378" s="29">
        <f>IF(AND(ISNUMBER(H378),ISNUMBER(I378)),EDATE(H378,I378),"")</f>
        <v/>
      </c>
      <c r="K378" s="30" t="n"/>
      <c r="L378" s="29">
        <f>IF(AND(ISNUMBER(H378),ISNUMBER(K378)),EDATE(H378,K378),"")</f>
        <v/>
      </c>
      <c r="M378" s="29">
        <f>IF(COUNT(J378,L378)=0,"",IF(MIN(J378,L378)&gt;=TODAY(),MIN(J378,L378),MAX(J378,L378)))</f>
        <v/>
      </c>
      <c r="N378" s="31">
        <f>IF(ISNUMBER(M378),M378-TODAY(),"")</f>
        <v/>
      </c>
      <c r="O378" s="32">
        <f>IF(NOT(ISNUMBER(N378)),"",IF(OR(Q378="Taken",Q378="Declined"),"",IF(N378&lt;0,"Lapsed",IF(N378&lt;=7,7,IF(N378&lt;=30,30,IF(N378&lt;=60,60,IF(N378&lt;=90,90,"")))))))</f>
        <v/>
      </c>
      <c r="P378" s="27" t="n"/>
      <c r="Q378" s="27" t="n"/>
      <c r="R378" s="27" t="n"/>
      <c r="S378" s="27" t="n"/>
      <c r="T378" s="27" t="n"/>
    </row>
    <row r="379">
      <c r="A379" s="27" t="n"/>
      <c r="B379" s="27" t="n"/>
      <c r="C379" s="27" t="n"/>
      <c r="D379" s="27" t="n"/>
      <c r="E379" s="28" t="n"/>
      <c r="F379" s="28" t="n"/>
      <c r="G379" s="27" t="n"/>
      <c r="H379" s="29">
        <f>IF(G379="Invoice",IF(ISNUMBER(F379),F379,""),IF(ISNUMBER(E379),E379,""))</f>
        <v/>
      </c>
      <c r="I379" s="30" t="n"/>
      <c r="J379" s="29">
        <f>IF(AND(ISNUMBER(H379),ISNUMBER(I379)),EDATE(H379,I379),"")</f>
        <v/>
      </c>
      <c r="K379" s="30" t="n"/>
      <c r="L379" s="29">
        <f>IF(AND(ISNUMBER(H379),ISNUMBER(K379)),EDATE(H379,K379),"")</f>
        <v/>
      </c>
      <c r="M379" s="29">
        <f>IF(COUNT(J379,L379)=0,"",IF(MIN(J379,L379)&gt;=TODAY(),MIN(J379,L379),MAX(J379,L379)))</f>
        <v/>
      </c>
      <c r="N379" s="31">
        <f>IF(ISNUMBER(M379),M379-TODAY(),"")</f>
        <v/>
      </c>
      <c r="O379" s="32">
        <f>IF(NOT(ISNUMBER(N379)),"",IF(OR(Q379="Taken",Q379="Declined"),"",IF(N379&lt;0,"Lapsed",IF(N379&lt;=7,7,IF(N379&lt;=30,30,IF(N379&lt;=60,60,IF(N379&lt;=90,90,"")))))))</f>
        <v/>
      </c>
      <c r="P379" s="27" t="n"/>
      <c r="Q379" s="27" t="n"/>
      <c r="R379" s="27" t="n"/>
      <c r="S379" s="27" t="n"/>
      <c r="T379" s="27" t="n"/>
    </row>
    <row r="380">
      <c r="A380" s="27" t="n"/>
      <c r="B380" s="27" t="n"/>
      <c r="C380" s="27" t="n"/>
      <c r="D380" s="27" t="n"/>
      <c r="E380" s="28" t="n"/>
      <c r="F380" s="28" t="n"/>
      <c r="G380" s="27" t="n"/>
      <c r="H380" s="29">
        <f>IF(G380="Invoice",IF(ISNUMBER(F380),F380,""),IF(ISNUMBER(E380),E380,""))</f>
        <v/>
      </c>
      <c r="I380" s="30" t="n"/>
      <c r="J380" s="29">
        <f>IF(AND(ISNUMBER(H380),ISNUMBER(I380)),EDATE(H380,I380),"")</f>
        <v/>
      </c>
      <c r="K380" s="30" t="n"/>
      <c r="L380" s="29">
        <f>IF(AND(ISNUMBER(H380),ISNUMBER(K380)),EDATE(H380,K380),"")</f>
        <v/>
      </c>
      <c r="M380" s="29">
        <f>IF(COUNT(J380,L380)=0,"",IF(MIN(J380,L380)&gt;=TODAY(),MIN(J380,L380),MAX(J380,L380)))</f>
        <v/>
      </c>
      <c r="N380" s="31">
        <f>IF(ISNUMBER(M380),M380-TODAY(),"")</f>
        <v/>
      </c>
      <c r="O380" s="32">
        <f>IF(NOT(ISNUMBER(N380)),"",IF(OR(Q380="Taken",Q380="Declined"),"",IF(N380&lt;0,"Lapsed",IF(N380&lt;=7,7,IF(N380&lt;=30,30,IF(N380&lt;=60,60,IF(N380&lt;=90,90,"")))))))</f>
        <v/>
      </c>
      <c r="P380" s="27" t="n"/>
      <c r="Q380" s="27" t="n"/>
      <c r="R380" s="27" t="n"/>
      <c r="S380" s="27" t="n"/>
      <c r="T380" s="27" t="n"/>
    </row>
    <row r="381">
      <c r="A381" s="27" t="n"/>
      <c r="B381" s="27" t="n"/>
      <c r="C381" s="27" t="n"/>
      <c r="D381" s="27" t="n"/>
      <c r="E381" s="28" t="n"/>
      <c r="F381" s="28" t="n"/>
      <c r="G381" s="27" t="n"/>
      <c r="H381" s="29">
        <f>IF(G381="Invoice",IF(ISNUMBER(F381),F381,""),IF(ISNUMBER(E381),E381,""))</f>
        <v/>
      </c>
      <c r="I381" s="30" t="n"/>
      <c r="J381" s="29">
        <f>IF(AND(ISNUMBER(H381),ISNUMBER(I381)),EDATE(H381,I381),"")</f>
        <v/>
      </c>
      <c r="K381" s="30" t="n"/>
      <c r="L381" s="29">
        <f>IF(AND(ISNUMBER(H381),ISNUMBER(K381)),EDATE(H381,K381),"")</f>
        <v/>
      </c>
      <c r="M381" s="29">
        <f>IF(COUNT(J381,L381)=0,"",IF(MIN(J381,L381)&gt;=TODAY(),MIN(J381,L381),MAX(J381,L381)))</f>
        <v/>
      </c>
      <c r="N381" s="31">
        <f>IF(ISNUMBER(M381),M381-TODAY(),"")</f>
        <v/>
      </c>
      <c r="O381" s="32">
        <f>IF(NOT(ISNUMBER(N381)),"",IF(OR(Q381="Taken",Q381="Declined"),"",IF(N381&lt;0,"Lapsed",IF(N381&lt;=7,7,IF(N381&lt;=30,30,IF(N381&lt;=60,60,IF(N381&lt;=90,90,"")))))))</f>
        <v/>
      </c>
      <c r="P381" s="27" t="n"/>
      <c r="Q381" s="27" t="n"/>
      <c r="R381" s="27" t="n"/>
      <c r="S381" s="27" t="n"/>
      <c r="T381" s="27" t="n"/>
    </row>
    <row r="382">
      <c r="A382" s="27" t="n"/>
      <c r="B382" s="27" t="n"/>
      <c r="C382" s="27" t="n"/>
      <c r="D382" s="27" t="n"/>
      <c r="E382" s="28" t="n"/>
      <c r="F382" s="28" t="n"/>
      <c r="G382" s="27" t="n"/>
      <c r="H382" s="29">
        <f>IF(G382="Invoice",IF(ISNUMBER(F382),F382,""),IF(ISNUMBER(E382),E382,""))</f>
        <v/>
      </c>
      <c r="I382" s="30" t="n"/>
      <c r="J382" s="29">
        <f>IF(AND(ISNUMBER(H382),ISNUMBER(I382)),EDATE(H382,I382),"")</f>
        <v/>
      </c>
      <c r="K382" s="30" t="n"/>
      <c r="L382" s="29">
        <f>IF(AND(ISNUMBER(H382),ISNUMBER(K382)),EDATE(H382,K382),"")</f>
        <v/>
      </c>
      <c r="M382" s="29">
        <f>IF(COUNT(J382,L382)=0,"",IF(MIN(J382,L382)&gt;=TODAY(),MIN(J382,L382),MAX(J382,L382)))</f>
        <v/>
      </c>
      <c r="N382" s="31">
        <f>IF(ISNUMBER(M382),M382-TODAY(),"")</f>
        <v/>
      </c>
      <c r="O382" s="32">
        <f>IF(NOT(ISNUMBER(N382)),"",IF(OR(Q382="Taken",Q382="Declined"),"",IF(N382&lt;0,"Lapsed",IF(N382&lt;=7,7,IF(N382&lt;=30,30,IF(N382&lt;=60,60,IF(N382&lt;=90,90,"")))))))</f>
        <v/>
      </c>
      <c r="P382" s="27" t="n"/>
      <c r="Q382" s="27" t="n"/>
      <c r="R382" s="27" t="n"/>
      <c r="S382" s="27" t="n"/>
      <c r="T382" s="27" t="n"/>
    </row>
    <row r="383">
      <c r="A383" s="27" t="n"/>
      <c r="B383" s="27" t="n"/>
      <c r="C383" s="27" t="n"/>
      <c r="D383" s="27" t="n"/>
      <c r="E383" s="28" t="n"/>
      <c r="F383" s="28" t="n"/>
      <c r="G383" s="27" t="n"/>
      <c r="H383" s="29">
        <f>IF(G383="Invoice",IF(ISNUMBER(F383),F383,""),IF(ISNUMBER(E383),E383,""))</f>
        <v/>
      </c>
      <c r="I383" s="30" t="n"/>
      <c r="J383" s="29">
        <f>IF(AND(ISNUMBER(H383),ISNUMBER(I383)),EDATE(H383,I383),"")</f>
        <v/>
      </c>
      <c r="K383" s="30" t="n"/>
      <c r="L383" s="29">
        <f>IF(AND(ISNUMBER(H383),ISNUMBER(K383)),EDATE(H383,K383),"")</f>
        <v/>
      </c>
      <c r="M383" s="29">
        <f>IF(COUNT(J383,L383)=0,"",IF(MIN(J383,L383)&gt;=TODAY(),MIN(J383,L383),MAX(J383,L383)))</f>
        <v/>
      </c>
      <c r="N383" s="31">
        <f>IF(ISNUMBER(M383),M383-TODAY(),"")</f>
        <v/>
      </c>
      <c r="O383" s="32">
        <f>IF(NOT(ISNUMBER(N383)),"",IF(OR(Q383="Taken",Q383="Declined"),"",IF(N383&lt;0,"Lapsed",IF(N383&lt;=7,7,IF(N383&lt;=30,30,IF(N383&lt;=60,60,IF(N383&lt;=90,90,"")))))))</f>
        <v/>
      </c>
      <c r="P383" s="27" t="n"/>
      <c r="Q383" s="27" t="n"/>
      <c r="R383" s="27" t="n"/>
      <c r="S383" s="27" t="n"/>
      <c r="T383" s="27" t="n"/>
    </row>
    <row r="384">
      <c r="A384" s="27" t="n"/>
      <c r="B384" s="27" t="n"/>
      <c r="C384" s="27" t="n"/>
      <c r="D384" s="27" t="n"/>
      <c r="E384" s="28" t="n"/>
      <c r="F384" s="28" t="n"/>
      <c r="G384" s="27" t="n"/>
      <c r="H384" s="29">
        <f>IF(G384="Invoice",IF(ISNUMBER(F384),F384,""),IF(ISNUMBER(E384),E384,""))</f>
        <v/>
      </c>
      <c r="I384" s="30" t="n"/>
      <c r="J384" s="29">
        <f>IF(AND(ISNUMBER(H384),ISNUMBER(I384)),EDATE(H384,I384),"")</f>
        <v/>
      </c>
      <c r="K384" s="30" t="n"/>
      <c r="L384" s="29">
        <f>IF(AND(ISNUMBER(H384),ISNUMBER(K384)),EDATE(H384,K384),"")</f>
        <v/>
      </c>
      <c r="M384" s="29">
        <f>IF(COUNT(J384,L384)=0,"",IF(MIN(J384,L384)&gt;=TODAY(),MIN(J384,L384),MAX(J384,L384)))</f>
        <v/>
      </c>
      <c r="N384" s="31">
        <f>IF(ISNUMBER(M384),M384-TODAY(),"")</f>
        <v/>
      </c>
      <c r="O384" s="32">
        <f>IF(NOT(ISNUMBER(N384)),"",IF(OR(Q384="Taken",Q384="Declined"),"",IF(N384&lt;0,"Lapsed",IF(N384&lt;=7,7,IF(N384&lt;=30,30,IF(N384&lt;=60,60,IF(N384&lt;=90,90,"")))))))</f>
        <v/>
      </c>
      <c r="P384" s="27" t="n"/>
      <c r="Q384" s="27" t="n"/>
      <c r="R384" s="27" t="n"/>
      <c r="S384" s="27" t="n"/>
      <c r="T384" s="27" t="n"/>
    </row>
    <row r="385">
      <c r="A385" s="27" t="n"/>
      <c r="B385" s="27" t="n"/>
      <c r="C385" s="27" t="n"/>
      <c r="D385" s="27" t="n"/>
      <c r="E385" s="28" t="n"/>
      <c r="F385" s="28" t="n"/>
      <c r="G385" s="27" t="n"/>
      <c r="H385" s="29">
        <f>IF(G385="Invoice",IF(ISNUMBER(F385),F385,""),IF(ISNUMBER(E385),E385,""))</f>
        <v/>
      </c>
      <c r="I385" s="30" t="n"/>
      <c r="J385" s="29">
        <f>IF(AND(ISNUMBER(H385),ISNUMBER(I385)),EDATE(H385,I385),"")</f>
        <v/>
      </c>
      <c r="K385" s="30" t="n"/>
      <c r="L385" s="29">
        <f>IF(AND(ISNUMBER(H385),ISNUMBER(K385)),EDATE(H385,K385),"")</f>
        <v/>
      </c>
      <c r="M385" s="29">
        <f>IF(COUNT(J385,L385)=0,"",IF(MIN(J385,L385)&gt;=TODAY(),MIN(J385,L385),MAX(J385,L385)))</f>
        <v/>
      </c>
      <c r="N385" s="31">
        <f>IF(ISNUMBER(M385),M385-TODAY(),"")</f>
        <v/>
      </c>
      <c r="O385" s="32">
        <f>IF(NOT(ISNUMBER(N385)),"",IF(OR(Q385="Taken",Q385="Declined"),"",IF(N385&lt;0,"Lapsed",IF(N385&lt;=7,7,IF(N385&lt;=30,30,IF(N385&lt;=60,60,IF(N385&lt;=90,90,"")))))))</f>
        <v/>
      </c>
      <c r="P385" s="27" t="n"/>
      <c r="Q385" s="27" t="n"/>
      <c r="R385" s="27" t="n"/>
      <c r="S385" s="27" t="n"/>
      <c r="T385" s="27" t="n"/>
    </row>
    <row r="386">
      <c r="A386" s="27" t="n"/>
      <c r="B386" s="27" t="n"/>
      <c r="C386" s="27" t="n"/>
      <c r="D386" s="27" t="n"/>
      <c r="E386" s="28" t="n"/>
      <c r="F386" s="28" t="n"/>
      <c r="G386" s="27" t="n"/>
      <c r="H386" s="29">
        <f>IF(G386="Invoice",IF(ISNUMBER(F386),F386,""),IF(ISNUMBER(E386),E386,""))</f>
        <v/>
      </c>
      <c r="I386" s="30" t="n"/>
      <c r="J386" s="29">
        <f>IF(AND(ISNUMBER(H386),ISNUMBER(I386)),EDATE(H386,I386),"")</f>
        <v/>
      </c>
      <c r="K386" s="30" t="n"/>
      <c r="L386" s="29">
        <f>IF(AND(ISNUMBER(H386),ISNUMBER(K386)),EDATE(H386,K386),"")</f>
        <v/>
      </c>
      <c r="M386" s="29">
        <f>IF(COUNT(J386,L386)=0,"",IF(MIN(J386,L386)&gt;=TODAY(),MIN(J386,L386),MAX(J386,L386)))</f>
        <v/>
      </c>
      <c r="N386" s="31">
        <f>IF(ISNUMBER(M386),M386-TODAY(),"")</f>
        <v/>
      </c>
      <c r="O386" s="32">
        <f>IF(NOT(ISNUMBER(N386)),"",IF(OR(Q386="Taken",Q386="Declined"),"",IF(N386&lt;0,"Lapsed",IF(N386&lt;=7,7,IF(N386&lt;=30,30,IF(N386&lt;=60,60,IF(N386&lt;=90,90,"")))))))</f>
        <v/>
      </c>
      <c r="P386" s="27" t="n"/>
      <c r="Q386" s="27" t="n"/>
      <c r="R386" s="27" t="n"/>
      <c r="S386" s="27" t="n"/>
      <c r="T386" s="27" t="n"/>
    </row>
    <row r="387">
      <c r="A387" s="27" t="n"/>
      <c r="B387" s="27" t="n"/>
      <c r="C387" s="27" t="n"/>
      <c r="D387" s="27" t="n"/>
      <c r="E387" s="28" t="n"/>
      <c r="F387" s="28" t="n"/>
      <c r="G387" s="27" t="n"/>
      <c r="H387" s="29">
        <f>IF(G387="Invoice",IF(ISNUMBER(F387),F387,""),IF(ISNUMBER(E387),E387,""))</f>
        <v/>
      </c>
      <c r="I387" s="30" t="n"/>
      <c r="J387" s="29">
        <f>IF(AND(ISNUMBER(H387),ISNUMBER(I387)),EDATE(H387,I387),"")</f>
        <v/>
      </c>
      <c r="K387" s="30" t="n"/>
      <c r="L387" s="29">
        <f>IF(AND(ISNUMBER(H387),ISNUMBER(K387)),EDATE(H387,K387),"")</f>
        <v/>
      </c>
      <c r="M387" s="29">
        <f>IF(COUNT(J387,L387)=0,"",IF(MIN(J387,L387)&gt;=TODAY(),MIN(J387,L387),MAX(J387,L387)))</f>
        <v/>
      </c>
      <c r="N387" s="31">
        <f>IF(ISNUMBER(M387),M387-TODAY(),"")</f>
        <v/>
      </c>
      <c r="O387" s="32">
        <f>IF(NOT(ISNUMBER(N387)),"",IF(OR(Q387="Taken",Q387="Declined"),"",IF(N387&lt;0,"Lapsed",IF(N387&lt;=7,7,IF(N387&lt;=30,30,IF(N387&lt;=60,60,IF(N387&lt;=90,90,"")))))))</f>
        <v/>
      </c>
      <c r="P387" s="27" t="n"/>
      <c r="Q387" s="27" t="n"/>
      <c r="R387" s="27" t="n"/>
      <c r="S387" s="27" t="n"/>
      <c r="T387" s="27" t="n"/>
    </row>
    <row r="388">
      <c r="A388" s="27" t="n"/>
      <c r="B388" s="27" t="n"/>
      <c r="C388" s="27" t="n"/>
      <c r="D388" s="27" t="n"/>
      <c r="E388" s="28" t="n"/>
      <c r="F388" s="28" t="n"/>
      <c r="G388" s="27" t="n"/>
      <c r="H388" s="29">
        <f>IF(G388="Invoice",IF(ISNUMBER(F388),F388,""),IF(ISNUMBER(E388),E388,""))</f>
        <v/>
      </c>
      <c r="I388" s="30" t="n"/>
      <c r="J388" s="29">
        <f>IF(AND(ISNUMBER(H388),ISNUMBER(I388)),EDATE(H388,I388),"")</f>
        <v/>
      </c>
      <c r="K388" s="30" t="n"/>
      <c r="L388" s="29">
        <f>IF(AND(ISNUMBER(H388),ISNUMBER(K388)),EDATE(H388,K388),"")</f>
        <v/>
      </c>
      <c r="M388" s="29">
        <f>IF(COUNT(J388,L388)=0,"",IF(MIN(J388,L388)&gt;=TODAY(),MIN(J388,L388),MAX(J388,L388)))</f>
        <v/>
      </c>
      <c r="N388" s="31">
        <f>IF(ISNUMBER(M388),M388-TODAY(),"")</f>
        <v/>
      </c>
      <c r="O388" s="32">
        <f>IF(NOT(ISNUMBER(N388)),"",IF(OR(Q388="Taken",Q388="Declined"),"",IF(N388&lt;0,"Lapsed",IF(N388&lt;=7,7,IF(N388&lt;=30,30,IF(N388&lt;=60,60,IF(N388&lt;=90,90,"")))))))</f>
        <v/>
      </c>
      <c r="P388" s="27" t="n"/>
      <c r="Q388" s="27" t="n"/>
      <c r="R388" s="27" t="n"/>
      <c r="S388" s="27" t="n"/>
      <c r="T388" s="27" t="n"/>
    </row>
    <row r="389">
      <c r="A389" s="27" t="n"/>
      <c r="B389" s="27" t="n"/>
      <c r="C389" s="27" t="n"/>
      <c r="D389" s="27" t="n"/>
      <c r="E389" s="28" t="n"/>
      <c r="F389" s="28" t="n"/>
      <c r="G389" s="27" t="n"/>
      <c r="H389" s="29">
        <f>IF(G389="Invoice",IF(ISNUMBER(F389),F389,""),IF(ISNUMBER(E389),E389,""))</f>
        <v/>
      </c>
      <c r="I389" s="30" t="n"/>
      <c r="J389" s="29">
        <f>IF(AND(ISNUMBER(H389),ISNUMBER(I389)),EDATE(H389,I389),"")</f>
        <v/>
      </c>
      <c r="K389" s="30" t="n"/>
      <c r="L389" s="29">
        <f>IF(AND(ISNUMBER(H389),ISNUMBER(K389)),EDATE(H389,K389),"")</f>
        <v/>
      </c>
      <c r="M389" s="29">
        <f>IF(COUNT(J389,L389)=0,"",IF(MIN(J389,L389)&gt;=TODAY(),MIN(J389,L389),MAX(J389,L389)))</f>
        <v/>
      </c>
      <c r="N389" s="31">
        <f>IF(ISNUMBER(M389),M389-TODAY(),"")</f>
        <v/>
      </c>
      <c r="O389" s="32">
        <f>IF(NOT(ISNUMBER(N389)),"",IF(OR(Q389="Taken",Q389="Declined"),"",IF(N389&lt;0,"Lapsed",IF(N389&lt;=7,7,IF(N389&lt;=30,30,IF(N389&lt;=60,60,IF(N389&lt;=90,90,"")))))))</f>
        <v/>
      </c>
      <c r="P389" s="27" t="n"/>
      <c r="Q389" s="27" t="n"/>
      <c r="R389" s="27" t="n"/>
      <c r="S389" s="27" t="n"/>
      <c r="T389" s="27" t="n"/>
    </row>
    <row r="390">
      <c r="A390" s="27" t="n"/>
      <c r="B390" s="27" t="n"/>
      <c r="C390" s="27" t="n"/>
      <c r="D390" s="27" t="n"/>
      <c r="E390" s="28" t="n"/>
      <c r="F390" s="28" t="n"/>
      <c r="G390" s="27" t="n"/>
      <c r="H390" s="29">
        <f>IF(G390="Invoice",IF(ISNUMBER(F390),F390,""),IF(ISNUMBER(E390),E390,""))</f>
        <v/>
      </c>
      <c r="I390" s="30" t="n"/>
      <c r="J390" s="29">
        <f>IF(AND(ISNUMBER(H390),ISNUMBER(I390)),EDATE(H390,I390),"")</f>
        <v/>
      </c>
      <c r="K390" s="30" t="n"/>
      <c r="L390" s="29">
        <f>IF(AND(ISNUMBER(H390),ISNUMBER(K390)),EDATE(H390,K390),"")</f>
        <v/>
      </c>
      <c r="M390" s="29">
        <f>IF(COUNT(J390,L390)=0,"",IF(MIN(J390,L390)&gt;=TODAY(),MIN(J390,L390),MAX(J390,L390)))</f>
        <v/>
      </c>
      <c r="N390" s="31">
        <f>IF(ISNUMBER(M390),M390-TODAY(),"")</f>
        <v/>
      </c>
      <c r="O390" s="32">
        <f>IF(NOT(ISNUMBER(N390)),"",IF(OR(Q390="Taken",Q390="Declined"),"",IF(N390&lt;0,"Lapsed",IF(N390&lt;=7,7,IF(N390&lt;=30,30,IF(N390&lt;=60,60,IF(N390&lt;=90,90,"")))))))</f>
        <v/>
      </c>
      <c r="P390" s="27" t="n"/>
      <c r="Q390" s="27" t="n"/>
      <c r="R390" s="27" t="n"/>
      <c r="S390" s="27" t="n"/>
      <c r="T390" s="27" t="n"/>
    </row>
    <row r="391">
      <c r="A391" s="27" t="n"/>
      <c r="B391" s="27" t="n"/>
      <c r="C391" s="27" t="n"/>
      <c r="D391" s="27" t="n"/>
      <c r="E391" s="28" t="n"/>
      <c r="F391" s="28" t="n"/>
      <c r="G391" s="27" t="n"/>
      <c r="H391" s="29">
        <f>IF(G391="Invoice",IF(ISNUMBER(F391),F391,""),IF(ISNUMBER(E391),E391,""))</f>
        <v/>
      </c>
      <c r="I391" s="30" t="n"/>
      <c r="J391" s="29">
        <f>IF(AND(ISNUMBER(H391),ISNUMBER(I391)),EDATE(H391,I391),"")</f>
        <v/>
      </c>
      <c r="K391" s="30" t="n"/>
      <c r="L391" s="29">
        <f>IF(AND(ISNUMBER(H391),ISNUMBER(K391)),EDATE(H391,K391),"")</f>
        <v/>
      </c>
      <c r="M391" s="29">
        <f>IF(COUNT(J391,L391)=0,"",IF(MIN(J391,L391)&gt;=TODAY(),MIN(J391,L391),MAX(J391,L391)))</f>
        <v/>
      </c>
      <c r="N391" s="31">
        <f>IF(ISNUMBER(M391),M391-TODAY(),"")</f>
        <v/>
      </c>
      <c r="O391" s="32">
        <f>IF(NOT(ISNUMBER(N391)),"",IF(OR(Q391="Taken",Q391="Declined"),"",IF(N391&lt;0,"Lapsed",IF(N391&lt;=7,7,IF(N391&lt;=30,30,IF(N391&lt;=60,60,IF(N391&lt;=90,90,"")))))))</f>
        <v/>
      </c>
      <c r="P391" s="27" t="n"/>
      <c r="Q391" s="27" t="n"/>
      <c r="R391" s="27" t="n"/>
      <c r="S391" s="27" t="n"/>
      <c r="T391" s="27" t="n"/>
    </row>
    <row r="392">
      <c r="A392" s="27" t="n"/>
      <c r="B392" s="27" t="n"/>
      <c r="C392" s="27" t="n"/>
      <c r="D392" s="27" t="n"/>
      <c r="E392" s="28" t="n"/>
      <c r="F392" s="28" t="n"/>
      <c r="G392" s="27" t="n"/>
      <c r="H392" s="29">
        <f>IF(G392="Invoice",IF(ISNUMBER(F392),F392,""),IF(ISNUMBER(E392),E392,""))</f>
        <v/>
      </c>
      <c r="I392" s="30" t="n"/>
      <c r="J392" s="29">
        <f>IF(AND(ISNUMBER(H392),ISNUMBER(I392)),EDATE(H392,I392),"")</f>
        <v/>
      </c>
      <c r="K392" s="30" t="n"/>
      <c r="L392" s="29">
        <f>IF(AND(ISNUMBER(H392),ISNUMBER(K392)),EDATE(H392,K392),"")</f>
        <v/>
      </c>
      <c r="M392" s="29">
        <f>IF(COUNT(J392,L392)=0,"",IF(MIN(J392,L392)&gt;=TODAY(),MIN(J392,L392),MAX(J392,L392)))</f>
        <v/>
      </c>
      <c r="N392" s="31">
        <f>IF(ISNUMBER(M392),M392-TODAY(),"")</f>
        <v/>
      </c>
      <c r="O392" s="32">
        <f>IF(NOT(ISNUMBER(N392)),"",IF(OR(Q392="Taken",Q392="Declined"),"",IF(N392&lt;0,"Lapsed",IF(N392&lt;=7,7,IF(N392&lt;=30,30,IF(N392&lt;=60,60,IF(N392&lt;=90,90,"")))))))</f>
        <v/>
      </c>
      <c r="P392" s="27" t="n"/>
      <c r="Q392" s="27" t="n"/>
      <c r="R392" s="27" t="n"/>
      <c r="S392" s="27" t="n"/>
      <c r="T392" s="27" t="n"/>
    </row>
    <row r="393">
      <c r="A393" s="27" t="n"/>
      <c r="B393" s="27" t="n"/>
      <c r="C393" s="27" t="n"/>
      <c r="D393" s="27" t="n"/>
      <c r="E393" s="28" t="n"/>
      <c r="F393" s="28" t="n"/>
      <c r="G393" s="27" t="n"/>
      <c r="H393" s="29">
        <f>IF(G393="Invoice",IF(ISNUMBER(F393),F393,""),IF(ISNUMBER(E393),E393,""))</f>
        <v/>
      </c>
      <c r="I393" s="30" t="n"/>
      <c r="J393" s="29">
        <f>IF(AND(ISNUMBER(H393),ISNUMBER(I393)),EDATE(H393,I393),"")</f>
        <v/>
      </c>
      <c r="K393" s="30" t="n"/>
      <c r="L393" s="29">
        <f>IF(AND(ISNUMBER(H393),ISNUMBER(K393)),EDATE(H393,K393),"")</f>
        <v/>
      </c>
      <c r="M393" s="29">
        <f>IF(COUNT(J393,L393)=0,"",IF(MIN(J393,L393)&gt;=TODAY(),MIN(J393,L393),MAX(J393,L393)))</f>
        <v/>
      </c>
      <c r="N393" s="31">
        <f>IF(ISNUMBER(M393),M393-TODAY(),"")</f>
        <v/>
      </c>
      <c r="O393" s="32">
        <f>IF(NOT(ISNUMBER(N393)),"",IF(OR(Q393="Taken",Q393="Declined"),"",IF(N393&lt;0,"Lapsed",IF(N393&lt;=7,7,IF(N393&lt;=30,30,IF(N393&lt;=60,60,IF(N393&lt;=90,90,"")))))))</f>
        <v/>
      </c>
      <c r="P393" s="27" t="n"/>
      <c r="Q393" s="27" t="n"/>
      <c r="R393" s="27" t="n"/>
      <c r="S393" s="27" t="n"/>
      <c r="T393" s="27" t="n"/>
    </row>
    <row r="394">
      <c r="A394" s="27" t="n"/>
      <c r="B394" s="27" t="n"/>
      <c r="C394" s="27" t="n"/>
      <c r="D394" s="27" t="n"/>
      <c r="E394" s="28" t="n"/>
      <c r="F394" s="28" t="n"/>
      <c r="G394" s="27" t="n"/>
      <c r="H394" s="29">
        <f>IF(G394="Invoice",IF(ISNUMBER(F394),F394,""),IF(ISNUMBER(E394),E394,""))</f>
        <v/>
      </c>
      <c r="I394" s="30" t="n"/>
      <c r="J394" s="29">
        <f>IF(AND(ISNUMBER(H394),ISNUMBER(I394)),EDATE(H394,I394),"")</f>
        <v/>
      </c>
      <c r="K394" s="30" t="n"/>
      <c r="L394" s="29">
        <f>IF(AND(ISNUMBER(H394),ISNUMBER(K394)),EDATE(H394,K394),"")</f>
        <v/>
      </c>
      <c r="M394" s="29">
        <f>IF(COUNT(J394,L394)=0,"",IF(MIN(J394,L394)&gt;=TODAY(),MIN(J394,L394),MAX(J394,L394)))</f>
        <v/>
      </c>
      <c r="N394" s="31">
        <f>IF(ISNUMBER(M394),M394-TODAY(),"")</f>
        <v/>
      </c>
      <c r="O394" s="32">
        <f>IF(NOT(ISNUMBER(N394)),"",IF(OR(Q394="Taken",Q394="Declined"),"",IF(N394&lt;0,"Lapsed",IF(N394&lt;=7,7,IF(N394&lt;=30,30,IF(N394&lt;=60,60,IF(N394&lt;=90,90,"")))))))</f>
        <v/>
      </c>
      <c r="P394" s="27" t="n"/>
      <c r="Q394" s="27" t="n"/>
      <c r="R394" s="27" t="n"/>
      <c r="S394" s="27" t="n"/>
      <c r="T394" s="27" t="n"/>
    </row>
    <row r="395">
      <c r="A395" s="27" t="n"/>
      <c r="B395" s="27" t="n"/>
      <c r="C395" s="27" t="n"/>
      <c r="D395" s="27" t="n"/>
      <c r="E395" s="28" t="n"/>
      <c r="F395" s="28" t="n"/>
      <c r="G395" s="27" t="n"/>
      <c r="H395" s="29">
        <f>IF(G395="Invoice",IF(ISNUMBER(F395),F395,""),IF(ISNUMBER(E395),E395,""))</f>
        <v/>
      </c>
      <c r="I395" s="30" t="n"/>
      <c r="J395" s="29">
        <f>IF(AND(ISNUMBER(H395),ISNUMBER(I395)),EDATE(H395,I395),"")</f>
        <v/>
      </c>
      <c r="K395" s="30" t="n"/>
      <c r="L395" s="29">
        <f>IF(AND(ISNUMBER(H395),ISNUMBER(K395)),EDATE(H395,K395),"")</f>
        <v/>
      </c>
      <c r="M395" s="29">
        <f>IF(COUNT(J395,L395)=0,"",IF(MIN(J395,L395)&gt;=TODAY(),MIN(J395,L395),MAX(J395,L395)))</f>
        <v/>
      </c>
      <c r="N395" s="31">
        <f>IF(ISNUMBER(M395),M395-TODAY(),"")</f>
        <v/>
      </c>
      <c r="O395" s="32">
        <f>IF(NOT(ISNUMBER(N395)),"",IF(OR(Q395="Taken",Q395="Declined"),"",IF(N395&lt;0,"Lapsed",IF(N395&lt;=7,7,IF(N395&lt;=30,30,IF(N395&lt;=60,60,IF(N395&lt;=90,90,"")))))))</f>
        <v/>
      </c>
      <c r="P395" s="27" t="n"/>
      <c r="Q395" s="27" t="n"/>
      <c r="R395" s="27" t="n"/>
      <c r="S395" s="27" t="n"/>
      <c r="T395" s="27" t="n"/>
    </row>
    <row r="396">
      <c r="A396" s="27" t="n"/>
      <c r="B396" s="27" t="n"/>
      <c r="C396" s="27" t="n"/>
      <c r="D396" s="27" t="n"/>
      <c r="E396" s="28" t="n"/>
      <c r="F396" s="28" t="n"/>
      <c r="G396" s="27" t="n"/>
      <c r="H396" s="29">
        <f>IF(G396="Invoice",IF(ISNUMBER(F396),F396,""),IF(ISNUMBER(E396),E396,""))</f>
        <v/>
      </c>
      <c r="I396" s="30" t="n"/>
      <c r="J396" s="29">
        <f>IF(AND(ISNUMBER(H396),ISNUMBER(I396)),EDATE(H396,I396),"")</f>
        <v/>
      </c>
      <c r="K396" s="30" t="n"/>
      <c r="L396" s="29">
        <f>IF(AND(ISNUMBER(H396),ISNUMBER(K396)),EDATE(H396,K396),"")</f>
        <v/>
      </c>
      <c r="M396" s="29">
        <f>IF(COUNT(J396,L396)=0,"",IF(MIN(J396,L396)&gt;=TODAY(),MIN(J396,L396),MAX(J396,L396)))</f>
        <v/>
      </c>
      <c r="N396" s="31">
        <f>IF(ISNUMBER(M396),M396-TODAY(),"")</f>
        <v/>
      </c>
      <c r="O396" s="32">
        <f>IF(NOT(ISNUMBER(N396)),"",IF(OR(Q396="Taken",Q396="Declined"),"",IF(N396&lt;0,"Lapsed",IF(N396&lt;=7,7,IF(N396&lt;=30,30,IF(N396&lt;=60,60,IF(N396&lt;=90,90,"")))))))</f>
        <v/>
      </c>
      <c r="P396" s="27" t="n"/>
      <c r="Q396" s="27" t="n"/>
      <c r="R396" s="27" t="n"/>
      <c r="S396" s="27" t="n"/>
      <c r="T396" s="27" t="n"/>
    </row>
    <row r="397">
      <c r="A397" s="27" t="n"/>
      <c r="B397" s="27" t="n"/>
      <c r="C397" s="27" t="n"/>
      <c r="D397" s="27" t="n"/>
      <c r="E397" s="28" t="n"/>
      <c r="F397" s="28" t="n"/>
      <c r="G397" s="27" t="n"/>
      <c r="H397" s="29">
        <f>IF(G397="Invoice",IF(ISNUMBER(F397),F397,""),IF(ISNUMBER(E397),E397,""))</f>
        <v/>
      </c>
      <c r="I397" s="30" t="n"/>
      <c r="J397" s="29">
        <f>IF(AND(ISNUMBER(H397),ISNUMBER(I397)),EDATE(H397,I397),"")</f>
        <v/>
      </c>
      <c r="K397" s="30" t="n"/>
      <c r="L397" s="29">
        <f>IF(AND(ISNUMBER(H397),ISNUMBER(K397)),EDATE(H397,K397),"")</f>
        <v/>
      </c>
      <c r="M397" s="29">
        <f>IF(COUNT(J397,L397)=0,"",IF(MIN(J397,L397)&gt;=TODAY(),MIN(J397,L397),MAX(J397,L397)))</f>
        <v/>
      </c>
      <c r="N397" s="31">
        <f>IF(ISNUMBER(M397),M397-TODAY(),"")</f>
        <v/>
      </c>
      <c r="O397" s="32">
        <f>IF(NOT(ISNUMBER(N397)),"",IF(OR(Q397="Taken",Q397="Declined"),"",IF(N397&lt;0,"Lapsed",IF(N397&lt;=7,7,IF(N397&lt;=30,30,IF(N397&lt;=60,60,IF(N397&lt;=90,90,"")))))))</f>
        <v/>
      </c>
      <c r="P397" s="27" t="n"/>
      <c r="Q397" s="27" t="n"/>
      <c r="R397" s="27" t="n"/>
      <c r="S397" s="27" t="n"/>
      <c r="T397" s="27" t="n"/>
    </row>
    <row r="398">
      <c r="A398" s="27" t="n"/>
      <c r="B398" s="27" t="n"/>
      <c r="C398" s="27" t="n"/>
      <c r="D398" s="27" t="n"/>
      <c r="E398" s="28" t="n"/>
      <c r="F398" s="28" t="n"/>
      <c r="G398" s="27" t="n"/>
      <c r="H398" s="29">
        <f>IF(G398="Invoice",IF(ISNUMBER(F398),F398,""),IF(ISNUMBER(E398),E398,""))</f>
        <v/>
      </c>
      <c r="I398" s="30" t="n"/>
      <c r="J398" s="29">
        <f>IF(AND(ISNUMBER(H398),ISNUMBER(I398)),EDATE(H398,I398),"")</f>
        <v/>
      </c>
      <c r="K398" s="30" t="n"/>
      <c r="L398" s="29">
        <f>IF(AND(ISNUMBER(H398),ISNUMBER(K398)),EDATE(H398,K398),"")</f>
        <v/>
      </c>
      <c r="M398" s="29">
        <f>IF(COUNT(J398,L398)=0,"",IF(MIN(J398,L398)&gt;=TODAY(),MIN(J398,L398),MAX(J398,L398)))</f>
        <v/>
      </c>
      <c r="N398" s="31">
        <f>IF(ISNUMBER(M398),M398-TODAY(),"")</f>
        <v/>
      </c>
      <c r="O398" s="32">
        <f>IF(NOT(ISNUMBER(N398)),"",IF(OR(Q398="Taken",Q398="Declined"),"",IF(N398&lt;0,"Lapsed",IF(N398&lt;=7,7,IF(N398&lt;=30,30,IF(N398&lt;=60,60,IF(N398&lt;=90,90,"")))))))</f>
        <v/>
      </c>
      <c r="P398" s="27" t="n"/>
      <c r="Q398" s="27" t="n"/>
      <c r="R398" s="27" t="n"/>
      <c r="S398" s="27" t="n"/>
      <c r="T398" s="27" t="n"/>
    </row>
    <row r="399">
      <c r="A399" s="27" t="n"/>
      <c r="B399" s="27" t="n"/>
      <c r="C399" s="27" t="n"/>
      <c r="D399" s="27" t="n"/>
      <c r="E399" s="28" t="n"/>
      <c r="F399" s="28" t="n"/>
      <c r="G399" s="27" t="n"/>
      <c r="H399" s="29">
        <f>IF(G399="Invoice",IF(ISNUMBER(F399),F399,""),IF(ISNUMBER(E399),E399,""))</f>
        <v/>
      </c>
      <c r="I399" s="30" t="n"/>
      <c r="J399" s="29">
        <f>IF(AND(ISNUMBER(H399),ISNUMBER(I399)),EDATE(H399,I399),"")</f>
        <v/>
      </c>
      <c r="K399" s="30" t="n"/>
      <c r="L399" s="29">
        <f>IF(AND(ISNUMBER(H399),ISNUMBER(K399)),EDATE(H399,K399),"")</f>
        <v/>
      </c>
      <c r="M399" s="29">
        <f>IF(COUNT(J399,L399)=0,"",IF(MIN(J399,L399)&gt;=TODAY(),MIN(J399,L399),MAX(J399,L399)))</f>
        <v/>
      </c>
      <c r="N399" s="31">
        <f>IF(ISNUMBER(M399),M399-TODAY(),"")</f>
        <v/>
      </c>
      <c r="O399" s="32">
        <f>IF(NOT(ISNUMBER(N399)),"",IF(OR(Q399="Taken",Q399="Declined"),"",IF(N399&lt;0,"Lapsed",IF(N399&lt;=7,7,IF(N399&lt;=30,30,IF(N399&lt;=60,60,IF(N399&lt;=90,90,"")))))))</f>
        <v/>
      </c>
      <c r="P399" s="27" t="n"/>
      <c r="Q399" s="27" t="n"/>
      <c r="R399" s="27" t="n"/>
      <c r="S399" s="27" t="n"/>
      <c r="T399" s="27" t="n"/>
    </row>
    <row r="400">
      <c r="A400" s="27" t="n"/>
      <c r="B400" s="27" t="n"/>
      <c r="C400" s="27" t="n"/>
      <c r="D400" s="27" t="n"/>
      <c r="E400" s="28" t="n"/>
      <c r="F400" s="28" t="n"/>
      <c r="G400" s="27" t="n"/>
      <c r="H400" s="29">
        <f>IF(G400="Invoice",IF(ISNUMBER(F400),F400,""),IF(ISNUMBER(E400),E400,""))</f>
        <v/>
      </c>
      <c r="I400" s="30" t="n"/>
      <c r="J400" s="29">
        <f>IF(AND(ISNUMBER(H400),ISNUMBER(I400)),EDATE(H400,I400),"")</f>
        <v/>
      </c>
      <c r="K400" s="30" t="n"/>
      <c r="L400" s="29">
        <f>IF(AND(ISNUMBER(H400),ISNUMBER(K400)),EDATE(H400,K400),"")</f>
        <v/>
      </c>
      <c r="M400" s="29">
        <f>IF(COUNT(J400,L400)=0,"",IF(MIN(J400,L400)&gt;=TODAY(),MIN(J400,L400),MAX(J400,L400)))</f>
        <v/>
      </c>
      <c r="N400" s="31">
        <f>IF(ISNUMBER(M400),M400-TODAY(),"")</f>
        <v/>
      </c>
      <c r="O400" s="32">
        <f>IF(NOT(ISNUMBER(N400)),"",IF(OR(Q400="Taken",Q400="Declined"),"",IF(N400&lt;0,"Lapsed",IF(N400&lt;=7,7,IF(N400&lt;=30,30,IF(N400&lt;=60,60,IF(N400&lt;=90,90,"")))))))</f>
        <v/>
      </c>
      <c r="P400" s="27" t="n"/>
      <c r="Q400" s="27" t="n"/>
      <c r="R400" s="27" t="n"/>
      <c r="S400" s="27" t="n"/>
      <c r="T400" s="27" t="n"/>
    </row>
    <row r="401">
      <c r="A401" s="27" t="n"/>
      <c r="B401" s="27" t="n"/>
      <c r="C401" s="27" t="n"/>
      <c r="D401" s="27" t="n"/>
      <c r="E401" s="28" t="n"/>
      <c r="F401" s="28" t="n"/>
      <c r="G401" s="27" t="n"/>
      <c r="H401" s="29">
        <f>IF(G401="Invoice",IF(ISNUMBER(F401),F401,""),IF(ISNUMBER(E401),E401,""))</f>
        <v/>
      </c>
      <c r="I401" s="30" t="n"/>
      <c r="J401" s="29">
        <f>IF(AND(ISNUMBER(H401),ISNUMBER(I401)),EDATE(H401,I401),"")</f>
        <v/>
      </c>
      <c r="K401" s="30" t="n"/>
      <c r="L401" s="29">
        <f>IF(AND(ISNUMBER(H401),ISNUMBER(K401)),EDATE(H401,K401),"")</f>
        <v/>
      </c>
      <c r="M401" s="29">
        <f>IF(COUNT(J401,L401)=0,"",IF(MIN(J401,L401)&gt;=TODAY(),MIN(J401,L401),MAX(J401,L401)))</f>
        <v/>
      </c>
      <c r="N401" s="31">
        <f>IF(ISNUMBER(M401),M401-TODAY(),"")</f>
        <v/>
      </c>
      <c r="O401" s="32">
        <f>IF(NOT(ISNUMBER(N401)),"",IF(OR(Q401="Taken",Q401="Declined"),"",IF(N401&lt;0,"Lapsed",IF(N401&lt;=7,7,IF(N401&lt;=30,30,IF(N401&lt;=60,60,IF(N401&lt;=90,90,"")))))))</f>
        <v/>
      </c>
      <c r="P401" s="27" t="n"/>
      <c r="Q401" s="27" t="n"/>
      <c r="R401" s="27" t="n"/>
      <c r="S401" s="27" t="n"/>
      <c r="T401" s="27" t="n"/>
    </row>
    <row r="402">
      <c r="A402" s="27" t="n"/>
      <c r="B402" s="27" t="n"/>
      <c r="C402" s="27" t="n"/>
      <c r="D402" s="27" t="n"/>
      <c r="E402" s="28" t="n"/>
      <c r="F402" s="28" t="n"/>
      <c r="G402" s="27" t="n"/>
      <c r="H402" s="29">
        <f>IF(G402="Invoice",IF(ISNUMBER(F402),F402,""),IF(ISNUMBER(E402),E402,""))</f>
        <v/>
      </c>
      <c r="I402" s="30" t="n"/>
      <c r="J402" s="29">
        <f>IF(AND(ISNUMBER(H402),ISNUMBER(I402)),EDATE(H402,I402),"")</f>
        <v/>
      </c>
      <c r="K402" s="30" t="n"/>
      <c r="L402" s="29">
        <f>IF(AND(ISNUMBER(H402),ISNUMBER(K402)),EDATE(H402,K402),"")</f>
        <v/>
      </c>
      <c r="M402" s="29">
        <f>IF(COUNT(J402,L402)=0,"",IF(MIN(J402,L402)&gt;=TODAY(),MIN(J402,L402),MAX(J402,L402)))</f>
        <v/>
      </c>
      <c r="N402" s="31">
        <f>IF(ISNUMBER(M402),M402-TODAY(),"")</f>
        <v/>
      </c>
      <c r="O402" s="32">
        <f>IF(NOT(ISNUMBER(N402)),"",IF(OR(Q402="Taken",Q402="Declined"),"",IF(N402&lt;0,"Lapsed",IF(N402&lt;=7,7,IF(N402&lt;=30,30,IF(N402&lt;=60,60,IF(N402&lt;=90,90,"")))))))</f>
        <v/>
      </c>
      <c r="P402" s="27" t="n"/>
      <c r="Q402" s="27" t="n"/>
      <c r="R402" s="27" t="n"/>
      <c r="S402" s="27" t="n"/>
      <c r="T402" s="27" t="n"/>
    </row>
    <row r="403">
      <c r="A403" s="27" t="n"/>
      <c r="B403" s="27" t="n"/>
      <c r="C403" s="27" t="n"/>
      <c r="D403" s="27" t="n"/>
      <c r="E403" s="28" t="n"/>
      <c r="F403" s="28" t="n"/>
      <c r="G403" s="27" t="n"/>
      <c r="H403" s="29">
        <f>IF(G403="Invoice",IF(ISNUMBER(F403),F403,""),IF(ISNUMBER(E403),E403,""))</f>
        <v/>
      </c>
      <c r="I403" s="30" t="n"/>
      <c r="J403" s="29">
        <f>IF(AND(ISNUMBER(H403),ISNUMBER(I403)),EDATE(H403,I403),"")</f>
        <v/>
      </c>
      <c r="K403" s="30" t="n"/>
      <c r="L403" s="29">
        <f>IF(AND(ISNUMBER(H403),ISNUMBER(K403)),EDATE(H403,K403),"")</f>
        <v/>
      </c>
      <c r="M403" s="29">
        <f>IF(COUNT(J403,L403)=0,"",IF(MIN(J403,L403)&gt;=TODAY(),MIN(J403,L403),MAX(J403,L403)))</f>
        <v/>
      </c>
      <c r="N403" s="31">
        <f>IF(ISNUMBER(M403),M403-TODAY(),"")</f>
        <v/>
      </c>
      <c r="O403" s="32">
        <f>IF(NOT(ISNUMBER(N403)),"",IF(OR(Q403="Taken",Q403="Declined"),"",IF(N403&lt;0,"Lapsed",IF(N403&lt;=7,7,IF(N403&lt;=30,30,IF(N403&lt;=60,60,IF(N403&lt;=90,90,"")))))))</f>
        <v/>
      </c>
      <c r="P403" s="27" t="n"/>
      <c r="Q403" s="27" t="n"/>
      <c r="R403" s="27" t="n"/>
      <c r="S403" s="27" t="n"/>
      <c r="T403" s="27" t="n"/>
    </row>
    <row r="404">
      <c r="A404" s="27" t="n"/>
      <c r="B404" s="27" t="n"/>
      <c r="C404" s="27" t="n"/>
      <c r="D404" s="27" t="n"/>
      <c r="E404" s="28" t="n"/>
      <c r="F404" s="28" t="n"/>
      <c r="G404" s="27" t="n"/>
      <c r="H404" s="29">
        <f>IF(G404="Invoice",IF(ISNUMBER(F404),F404,""),IF(ISNUMBER(E404),E404,""))</f>
        <v/>
      </c>
      <c r="I404" s="30" t="n"/>
      <c r="J404" s="29">
        <f>IF(AND(ISNUMBER(H404),ISNUMBER(I404)),EDATE(H404,I404),"")</f>
        <v/>
      </c>
      <c r="K404" s="30" t="n"/>
      <c r="L404" s="29">
        <f>IF(AND(ISNUMBER(H404),ISNUMBER(K404)),EDATE(H404,K404),"")</f>
        <v/>
      </c>
      <c r="M404" s="29">
        <f>IF(COUNT(J404,L404)=0,"",IF(MIN(J404,L404)&gt;=TODAY(),MIN(J404,L404),MAX(J404,L404)))</f>
        <v/>
      </c>
      <c r="N404" s="31">
        <f>IF(ISNUMBER(M404),M404-TODAY(),"")</f>
        <v/>
      </c>
      <c r="O404" s="32">
        <f>IF(NOT(ISNUMBER(N404)),"",IF(OR(Q404="Taken",Q404="Declined"),"",IF(N404&lt;0,"Lapsed",IF(N404&lt;=7,7,IF(N404&lt;=30,30,IF(N404&lt;=60,60,IF(N404&lt;=90,90,"")))))))</f>
        <v/>
      </c>
      <c r="P404" s="27" t="n"/>
      <c r="Q404" s="27" t="n"/>
      <c r="R404" s="27" t="n"/>
      <c r="S404" s="27" t="n"/>
      <c r="T404" s="27" t="n"/>
    </row>
    <row r="405">
      <c r="A405" s="27" t="n"/>
      <c r="B405" s="27" t="n"/>
      <c r="C405" s="27" t="n"/>
      <c r="D405" s="27" t="n"/>
      <c r="E405" s="28" t="n"/>
      <c r="F405" s="28" t="n"/>
      <c r="G405" s="27" t="n"/>
      <c r="H405" s="29">
        <f>IF(G405="Invoice",IF(ISNUMBER(F405),F405,""),IF(ISNUMBER(E405),E405,""))</f>
        <v/>
      </c>
      <c r="I405" s="30" t="n"/>
      <c r="J405" s="29">
        <f>IF(AND(ISNUMBER(H405),ISNUMBER(I405)),EDATE(H405,I405),"")</f>
        <v/>
      </c>
      <c r="K405" s="30" t="n"/>
      <c r="L405" s="29">
        <f>IF(AND(ISNUMBER(H405),ISNUMBER(K405)),EDATE(H405,K405),"")</f>
        <v/>
      </c>
      <c r="M405" s="29">
        <f>IF(COUNT(J405,L405)=0,"",IF(MIN(J405,L405)&gt;=TODAY(),MIN(J405,L405),MAX(J405,L405)))</f>
        <v/>
      </c>
      <c r="N405" s="31">
        <f>IF(ISNUMBER(M405),M405-TODAY(),"")</f>
        <v/>
      </c>
      <c r="O405" s="32">
        <f>IF(NOT(ISNUMBER(N405)),"",IF(OR(Q405="Taken",Q405="Declined"),"",IF(N405&lt;0,"Lapsed",IF(N405&lt;=7,7,IF(N405&lt;=30,30,IF(N405&lt;=60,60,IF(N405&lt;=90,90,"")))))))</f>
        <v/>
      </c>
      <c r="P405" s="27" t="n"/>
      <c r="Q405" s="27" t="n"/>
      <c r="R405" s="27" t="n"/>
      <c r="S405" s="27" t="n"/>
      <c r="T405" s="27" t="n"/>
    </row>
    <row r="406">
      <c r="A406" s="27" t="n"/>
      <c r="B406" s="27" t="n"/>
      <c r="C406" s="27" t="n"/>
      <c r="D406" s="27" t="n"/>
      <c r="E406" s="28" t="n"/>
      <c r="F406" s="28" t="n"/>
      <c r="G406" s="27" t="n"/>
      <c r="H406" s="29">
        <f>IF(G406="Invoice",IF(ISNUMBER(F406),F406,""),IF(ISNUMBER(E406),E406,""))</f>
        <v/>
      </c>
      <c r="I406" s="30" t="n"/>
      <c r="J406" s="29">
        <f>IF(AND(ISNUMBER(H406),ISNUMBER(I406)),EDATE(H406,I406),"")</f>
        <v/>
      </c>
      <c r="K406" s="30" t="n"/>
      <c r="L406" s="29">
        <f>IF(AND(ISNUMBER(H406),ISNUMBER(K406)),EDATE(H406,K406),"")</f>
        <v/>
      </c>
      <c r="M406" s="29">
        <f>IF(COUNT(J406,L406)=0,"",IF(MIN(J406,L406)&gt;=TODAY(),MIN(J406,L406),MAX(J406,L406)))</f>
        <v/>
      </c>
      <c r="N406" s="31">
        <f>IF(ISNUMBER(M406),M406-TODAY(),"")</f>
        <v/>
      </c>
      <c r="O406" s="32">
        <f>IF(NOT(ISNUMBER(N406)),"",IF(OR(Q406="Taken",Q406="Declined"),"",IF(N406&lt;0,"Lapsed",IF(N406&lt;=7,7,IF(N406&lt;=30,30,IF(N406&lt;=60,60,IF(N406&lt;=90,90,"")))))))</f>
        <v/>
      </c>
      <c r="P406" s="27" t="n"/>
      <c r="Q406" s="27" t="n"/>
      <c r="R406" s="27" t="n"/>
      <c r="S406" s="27" t="n"/>
      <c r="T406" s="27" t="n"/>
    </row>
    <row r="407">
      <c r="A407" s="27" t="n"/>
      <c r="B407" s="27" t="n"/>
      <c r="C407" s="27" t="n"/>
      <c r="D407" s="27" t="n"/>
      <c r="E407" s="28" t="n"/>
      <c r="F407" s="28" t="n"/>
      <c r="G407" s="27" t="n"/>
      <c r="H407" s="29">
        <f>IF(G407="Invoice",IF(ISNUMBER(F407),F407,""),IF(ISNUMBER(E407),E407,""))</f>
        <v/>
      </c>
      <c r="I407" s="30" t="n"/>
      <c r="J407" s="29">
        <f>IF(AND(ISNUMBER(H407),ISNUMBER(I407)),EDATE(H407,I407),"")</f>
        <v/>
      </c>
      <c r="K407" s="30" t="n"/>
      <c r="L407" s="29">
        <f>IF(AND(ISNUMBER(H407),ISNUMBER(K407)),EDATE(H407,K407),"")</f>
        <v/>
      </c>
      <c r="M407" s="29">
        <f>IF(COUNT(J407,L407)=0,"",IF(MIN(J407,L407)&gt;=TODAY(),MIN(J407,L407),MAX(J407,L407)))</f>
        <v/>
      </c>
      <c r="N407" s="31">
        <f>IF(ISNUMBER(M407),M407-TODAY(),"")</f>
        <v/>
      </c>
      <c r="O407" s="32">
        <f>IF(NOT(ISNUMBER(N407)),"",IF(OR(Q407="Taken",Q407="Declined"),"",IF(N407&lt;0,"Lapsed",IF(N407&lt;=7,7,IF(N407&lt;=30,30,IF(N407&lt;=60,60,IF(N407&lt;=90,90,"")))))))</f>
        <v/>
      </c>
      <c r="P407" s="27" t="n"/>
      <c r="Q407" s="27" t="n"/>
      <c r="R407" s="27" t="n"/>
      <c r="S407" s="27" t="n"/>
      <c r="T407" s="27" t="n"/>
    </row>
    <row r="408">
      <c r="A408" s="27" t="n"/>
      <c r="B408" s="27" t="n"/>
      <c r="C408" s="27" t="n"/>
      <c r="D408" s="27" t="n"/>
      <c r="E408" s="28" t="n"/>
      <c r="F408" s="28" t="n"/>
      <c r="G408" s="27" t="n"/>
      <c r="H408" s="29">
        <f>IF(G408="Invoice",IF(ISNUMBER(F408),F408,""),IF(ISNUMBER(E408),E408,""))</f>
        <v/>
      </c>
      <c r="I408" s="30" t="n"/>
      <c r="J408" s="29">
        <f>IF(AND(ISNUMBER(H408),ISNUMBER(I408)),EDATE(H408,I408),"")</f>
        <v/>
      </c>
      <c r="K408" s="30" t="n"/>
      <c r="L408" s="29">
        <f>IF(AND(ISNUMBER(H408),ISNUMBER(K408)),EDATE(H408,K408),"")</f>
        <v/>
      </c>
      <c r="M408" s="29">
        <f>IF(COUNT(J408,L408)=0,"",IF(MIN(J408,L408)&gt;=TODAY(),MIN(J408,L408),MAX(J408,L408)))</f>
        <v/>
      </c>
      <c r="N408" s="31">
        <f>IF(ISNUMBER(M408),M408-TODAY(),"")</f>
        <v/>
      </c>
      <c r="O408" s="32">
        <f>IF(NOT(ISNUMBER(N408)),"",IF(OR(Q408="Taken",Q408="Declined"),"",IF(N408&lt;0,"Lapsed",IF(N408&lt;=7,7,IF(N408&lt;=30,30,IF(N408&lt;=60,60,IF(N408&lt;=90,90,"")))))))</f>
        <v/>
      </c>
      <c r="P408" s="27" t="n"/>
      <c r="Q408" s="27" t="n"/>
      <c r="R408" s="27" t="n"/>
      <c r="S408" s="27" t="n"/>
      <c r="T408" s="27" t="n"/>
    </row>
    <row r="409">
      <c r="A409" s="27" t="n"/>
      <c r="B409" s="27" t="n"/>
      <c r="C409" s="27" t="n"/>
      <c r="D409" s="27" t="n"/>
      <c r="E409" s="28" t="n"/>
      <c r="F409" s="28" t="n"/>
      <c r="G409" s="27" t="n"/>
      <c r="H409" s="29">
        <f>IF(G409="Invoice",IF(ISNUMBER(F409),F409,""),IF(ISNUMBER(E409),E409,""))</f>
        <v/>
      </c>
      <c r="I409" s="30" t="n"/>
      <c r="J409" s="29">
        <f>IF(AND(ISNUMBER(H409),ISNUMBER(I409)),EDATE(H409,I409),"")</f>
        <v/>
      </c>
      <c r="K409" s="30" t="n"/>
      <c r="L409" s="29">
        <f>IF(AND(ISNUMBER(H409),ISNUMBER(K409)),EDATE(H409,K409),"")</f>
        <v/>
      </c>
      <c r="M409" s="29">
        <f>IF(COUNT(J409,L409)=0,"",IF(MIN(J409,L409)&gt;=TODAY(),MIN(J409,L409),MAX(J409,L409)))</f>
        <v/>
      </c>
      <c r="N409" s="31">
        <f>IF(ISNUMBER(M409),M409-TODAY(),"")</f>
        <v/>
      </c>
      <c r="O409" s="32">
        <f>IF(NOT(ISNUMBER(N409)),"",IF(OR(Q409="Taken",Q409="Declined"),"",IF(N409&lt;0,"Lapsed",IF(N409&lt;=7,7,IF(N409&lt;=30,30,IF(N409&lt;=60,60,IF(N409&lt;=90,90,"")))))))</f>
        <v/>
      </c>
      <c r="P409" s="27" t="n"/>
      <c r="Q409" s="27" t="n"/>
      <c r="R409" s="27" t="n"/>
      <c r="S409" s="27" t="n"/>
      <c r="T409" s="27" t="n"/>
    </row>
    <row r="410">
      <c r="A410" s="27" t="n"/>
      <c r="B410" s="27" t="n"/>
      <c r="C410" s="27" t="n"/>
      <c r="D410" s="27" t="n"/>
      <c r="E410" s="28" t="n"/>
      <c r="F410" s="28" t="n"/>
      <c r="G410" s="27" t="n"/>
      <c r="H410" s="29">
        <f>IF(G410="Invoice",IF(ISNUMBER(F410),F410,""),IF(ISNUMBER(E410),E410,""))</f>
        <v/>
      </c>
      <c r="I410" s="30" t="n"/>
      <c r="J410" s="29">
        <f>IF(AND(ISNUMBER(H410),ISNUMBER(I410)),EDATE(H410,I410),"")</f>
        <v/>
      </c>
      <c r="K410" s="30" t="n"/>
      <c r="L410" s="29">
        <f>IF(AND(ISNUMBER(H410),ISNUMBER(K410)),EDATE(H410,K410),"")</f>
        <v/>
      </c>
      <c r="M410" s="29">
        <f>IF(COUNT(J410,L410)=0,"",IF(MIN(J410,L410)&gt;=TODAY(),MIN(J410,L410),MAX(J410,L410)))</f>
        <v/>
      </c>
      <c r="N410" s="31">
        <f>IF(ISNUMBER(M410),M410-TODAY(),"")</f>
        <v/>
      </c>
      <c r="O410" s="32">
        <f>IF(NOT(ISNUMBER(N410)),"",IF(OR(Q410="Taken",Q410="Declined"),"",IF(N410&lt;0,"Lapsed",IF(N410&lt;=7,7,IF(N410&lt;=30,30,IF(N410&lt;=60,60,IF(N410&lt;=90,90,"")))))))</f>
        <v/>
      </c>
      <c r="P410" s="27" t="n"/>
      <c r="Q410" s="27" t="n"/>
      <c r="R410" s="27" t="n"/>
      <c r="S410" s="27" t="n"/>
      <c r="T410" s="27" t="n"/>
    </row>
    <row r="411">
      <c r="A411" s="27" t="n"/>
      <c r="B411" s="27" t="n"/>
      <c r="C411" s="27" t="n"/>
      <c r="D411" s="27" t="n"/>
      <c r="E411" s="28" t="n"/>
      <c r="F411" s="28" t="n"/>
      <c r="G411" s="27" t="n"/>
      <c r="H411" s="29">
        <f>IF(G411="Invoice",IF(ISNUMBER(F411),F411,""),IF(ISNUMBER(E411),E411,""))</f>
        <v/>
      </c>
      <c r="I411" s="30" t="n"/>
      <c r="J411" s="29">
        <f>IF(AND(ISNUMBER(H411),ISNUMBER(I411)),EDATE(H411,I411),"")</f>
        <v/>
      </c>
      <c r="K411" s="30" t="n"/>
      <c r="L411" s="29">
        <f>IF(AND(ISNUMBER(H411),ISNUMBER(K411)),EDATE(H411,K411),"")</f>
        <v/>
      </c>
      <c r="M411" s="29">
        <f>IF(COUNT(J411,L411)=0,"",IF(MIN(J411,L411)&gt;=TODAY(),MIN(J411,L411),MAX(J411,L411)))</f>
        <v/>
      </c>
      <c r="N411" s="31">
        <f>IF(ISNUMBER(M411),M411-TODAY(),"")</f>
        <v/>
      </c>
      <c r="O411" s="32">
        <f>IF(NOT(ISNUMBER(N411)),"",IF(OR(Q411="Taken",Q411="Declined"),"",IF(N411&lt;0,"Lapsed",IF(N411&lt;=7,7,IF(N411&lt;=30,30,IF(N411&lt;=60,60,IF(N411&lt;=90,90,"")))))))</f>
        <v/>
      </c>
      <c r="P411" s="27" t="n"/>
      <c r="Q411" s="27" t="n"/>
      <c r="R411" s="27" t="n"/>
      <c r="S411" s="27" t="n"/>
      <c r="T411" s="27" t="n"/>
    </row>
    <row r="412">
      <c r="A412" s="27" t="n"/>
      <c r="B412" s="27" t="n"/>
      <c r="C412" s="27" t="n"/>
      <c r="D412" s="27" t="n"/>
      <c r="E412" s="28" t="n"/>
      <c r="F412" s="28" t="n"/>
      <c r="G412" s="27" t="n"/>
      <c r="H412" s="29">
        <f>IF(G412="Invoice",IF(ISNUMBER(F412),F412,""),IF(ISNUMBER(E412),E412,""))</f>
        <v/>
      </c>
      <c r="I412" s="30" t="n"/>
      <c r="J412" s="29">
        <f>IF(AND(ISNUMBER(H412),ISNUMBER(I412)),EDATE(H412,I412),"")</f>
        <v/>
      </c>
      <c r="K412" s="30" t="n"/>
      <c r="L412" s="29">
        <f>IF(AND(ISNUMBER(H412),ISNUMBER(K412)),EDATE(H412,K412),"")</f>
        <v/>
      </c>
      <c r="M412" s="29">
        <f>IF(COUNT(J412,L412)=0,"",IF(MIN(J412,L412)&gt;=TODAY(),MIN(J412,L412),MAX(J412,L412)))</f>
        <v/>
      </c>
      <c r="N412" s="31">
        <f>IF(ISNUMBER(M412),M412-TODAY(),"")</f>
        <v/>
      </c>
      <c r="O412" s="32">
        <f>IF(NOT(ISNUMBER(N412)),"",IF(OR(Q412="Taken",Q412="Declined"),"",IF(N412&lt;0,"Lapsed",IF(N412&lt;=7,7,IF(N412&lt;=30,30,IF(N412&lt;=60,60,IF(N412&lt;=90,90,"")))))))</f>
        <v/>
      </c>
      <c r="P412" s="27" t="n"/>
      <c r="Q412" s="27" t="n"/>
      <c r="R412" s="27" t="n"/>
      <c r="S412" s="27" t="n"/>
      <c r="T412" s="27" t="n"/>
    </row>
    <row r="413">
      <c r="A413" s="27" t="n"/>
      <c r="B413" s="27" t="n"/>
      <c r="C413" s="27" t="n"/>
      <c r="D413" s="27" t="n"/>
      <c r="E413" s="28" t="n"/>
      <c r="F413" s="28" t="n"/>
      <c r="G413" s="27" t="n"/>
      <c r="H413" s="29">
        <f>IF(G413="Invoice",IF(ISNUMBER(F413),F413,""),IF(ISNUMBER(E413),E413,""))</f>
        <v/>
      </c>
      <c r="I413" s="30" t="n"/>
      <c r="J413" s="29">
        <f>IF(AND(ISNUMBER(H413),ISNUMBER(I413)),EDATE(H413,I413),"")</f>
        <v/>
      </c>
      <c r="K413" s="30" t="n"/>
      <c r="L413" s="29">
        <f>IF(AND(ISNUMBER(H413),ISNUMBER(K413)),EDATE(H413,K413),"")</f>
        <v/>
      </c>
      <c r="M413" s="29">
        <f>IF(COUNT(J413,L413)=0,"",IF(MIN(J413,L413)&gt;=TODAY(),MIN(J413,L413),MAX(J413,L413)))</f>
        <v/>
      </c>
      <c r="N413" s="31">
        <f>IF(ISNUMBER(M413),M413-TODAY(),"")</f>
        <v/>
      </c>
      <c r="O413" s="32">
        <f>IF(NOT(ISNUMBER(N413)),"",IF(OR(Q413="Taken",Q413="Declined"),"",IF(N413&lt;0,"Lapsed",IF(N413&lt;=7,7,IF(N413&lt;=30,30,IF(N413&lt;=60,60,IF(N413&lt;=90,90,"")))))))</f>
        <v/>
      </c>
      <c r="P413" s="27" t="n"/>
      <c r="Q413" s="27" t="n"/>
      <c r="R413" s="27" t="n"/>
      <c r="S413" s="27" t="n"/>
      <c r="T413" s="27" t="n"/>
    </row>
    <row r="414">
      <c r="A414" s="27" t="n"/>
      <c r="B414" s="27" t="n"/>
      <c r="C414" s="27" t="n"/>
      <c r="D414" s="27" t="n"/>
      <c r="E414" s="28" t="n"/>
      <c r="F414" s="28" t="n"/>
      <c r="G414" s="27" t="n"/>
      <c r="H414" s="29">
        <f>IF(G414="Invoice",IF(ISNUMBER(F414),F414,""),IF(ISNUMBER(E414),E414,""))</f>
        <v/>
      </c>
      <c r="I414" s="30" t="n"/>
      <c r="J414" s="29">
        <f>IF(AND(ISNUMBER(H414),ISNUMBER(I414)),EDATE(H414,I414),"")</f>
        <v/>
      </c>
      <c r="K414" s="30" t="n"/>
      <c r="L414" s="29">
        <f>IF(AND(ISNUMBER(H414),ISNUMBER(K414)),EDATE(H414,K414),"")</f>
        <v/>
      </c>
      <c r="M414" s="29">
        <f>IF(COUNT(J414,L414)=0,"",IF(MIN(J414,L414)&gt;=TODAY(),MIN(J414,L414),MAX(J414,L414)))</f>
        <v/>
      </c>
      <c r="N414" s="31">
        <f>IF(ISNUMBER(M414),M414-TODAY(),"")</f>
        <v/>
      </c>
      <c r="O414" s="32">
        <f>IF(NOT(ISNUMBER(N414)),"",IF(OR(Q414="Taken",Q414="Declined"),"",IF(N414&lt;0,"Lapsed",IF(N414&lt;=7,7,IF(N414&lt;=30,30,IF(N414&lt;=60,60,IF(N414&lt;=90,90,"")))))))</f>
        <v/>
      </c>
      <c r="P414" s="27" t="n"/>
      <c r="Q414" s="27" t="n"/>
      <c r="R414" s="27" t="n"/>
      <c r="S414" s="27" t="n"/>
      <c r="T414" s="27" t="n"/>
    </row>
    <row r="415">
      <c r="A415" s="27" t="n"/>
      <c r="B415" s="27" t="n"/>
      <c r="C415" s="27" t="n"/>
      <c r="D415" s="27" t="n"/>
      <c r="E415" s="28" t="n"/>
      <c r="F415" s="28" t="n"/>
      <c r="G415" s="27" t="n"/>
      <c r="H415" s="29">
        <f>IF(G415="Invoice",IF(ISNUMBER(F415),F415,""),IF(ISNUMBER(E415),E415,""))</f>
        <v/>
      </c>
      <c r="I415" s="30" t="n"/>
      <c r="J415" s="29">
        <f>IF(AND(ISNUMBER(H415),ISNUMBER(I415)),EDATE(H415,I415),"")</f>
        <v/>
      </c>
      <c r="K415" s="30" t="n"/>
      <c r="L415" s="29">
        <f>IF(AND(ISNUMBER(H415),ISNUMBER(K415)),EDATE(H415,K415),"")</f>
        <v/>
      </c>
      <c r="M415" s="29">
        <f>IF(COUNT(J415,L415)=0,"",IF(MIN(J415,L415)&gt;=TODAY(),MIN(J415,L415),MAX(J415,L415)))</f>
        <v/>
      </c>
      <c r="N415" s="31">
        <f>IF(ISNUMBER(M415),M415-TODAY(),"")</f>
        <v/>
      </c>
      <c r="O415" s="32">
        <f>IF(NOT(ISNUMBER(N415)),"",IF(OR(Q415="Taken",Q415="Declined"),"",IF(N415&lt;0,"Lapsed",IF(N415&lt;=7,7,IF(N415&lt;=30,30,IF(N415&lt;=60,60,IF(N415&lt;=90,90,"")))))))</f>
        <v/>
      </c>
      <c r="P415" s="27" t="n"/>
      <c r="Q415" s="27" t="n"/>
      <c r="R415" s="27" t="n"/>
      <c r="S415" s="27" t="n"/>
      <c r="T415" s="27" t="n"/>
    </row>
    <row r="416">
      <c r="A416" s="27" t="n"/>
      <c r="B416" s="27" t="n"/>
      <c r="C416" s="27" t="n"/>
      <c r="D416" s="27" t="n"/>
      <c r="E416" s="28" t="n"/>
      <c r="F416" s="28" t="n"/>
      <c r="G416" s="27" t="n"/>
      <c r="H416" s="29">
        <f>IF(G416="Invoice",IF(ISNUMBER(F416),F416,""),IF(ISNUMBER(E416),E416,""))</f>
        <v/>
      </c>
      <c r="I416" s="30" t="n"/>
      <c r="J416" s="29">
        <f>IF(AND(ISNUMBER(H416),ISNUMBER(I416)),EDATE(H416,I416),"")</f>
        <v/>
      </c>
      <c r="K416" s="30" t="n"/>
      <c r="L416" s="29">
        <f>IF(AND(ISNUMBER(H416),ISNUMBER(K416)),EDATE(H416,K416),"")</f>
        <v/>
      </c>
      <c r="M416" s="29">
        <f>IF(COUNT(J416,L416)=0,"",IF(MIN(J416,L416)&gt;=TODAY(),MIN(J416,L416),MAX(J416,L416)))</f>
        <v/>
      </c>
      <c r="N416" s="31">
        <f>IF(ISNUMBER(M416),M416-TODAY(),"")</f>
        <v/>
      </c>
      <c r="O416" s="32">
        <f>IF(NOT(ISNUMBER(N416)),"",IF(OR(Q416="Taken",Q416="Declined"),"",IF(N416&lt;0,"Lapsed",IF(N416&lt;=7,7,IF(N416&lt;=30,30,IF(N416&lt;=60,60,IF(N416&lt;=90,90,"")))))))</f>
        <v/>
      </c>
      <c r="P416" s="27" t="n"/>
      <c r="Q416" s="27" t="n"/>
      <c r="R416" s="27" t="n"/>
      <c r="S416" s="27" t="n"/>
      <c r="T416" s="27" t="n"/>
    </row>
    <row r="417">
      <c r="A417" s="27" t="n"/>
      <c r="B417" s="27" t="n"/>
      <c r="C417" s="27" t="n"/>
      <c r="D417" s="27" t="n"/>
      <c r="E417" s="28" t="n"/>
      <c r="F417" s="28" t="n"/>
      <c r="G417" s="27" t="n"/>
      <c r="H417" s="29">
        <f>IF(G417="Invoice",IF(ISNUMBER(F417),F417,""),IF(ISNUMBER(E417),E417,""))</f>
        <v/>
      </c>
      <c r="I417" s="30" t="n"/>
      <c r="J417" s="29">
        <f>IF(AND(ISNUMBER(H417),ISNUMBER(I417)),EDATE(H417,I417),"")</f>
        <v/>
      </c>
      <c r="K417" s="30" t="n"/>
      <c r="L417" s="29">
        <f>IF(AND(ISNUMBER(H417),ISNUMBER(K417)),EDATE(H417,K417),"")</f>
        <v/>
      </c>
      <c r="M417" s="29">
        <f>IF(COUNT(J417,L417)=0,"",IF(MIN(J417,L417)&gt;=TODAY(),MIN(J417,L417),MAX(J417,L417)))</f>
        <v/>
      </c>
      <c r="N417" s="31">
        <f>IF(ISNUMBER(M417),M417-TODAY(),"")</f>
        <v/>
      </c>
      <c r="O417" s="32">
        <f>IF(NOT(ISNUMBER(N417)),"",IF(OR(Q417="Taken",Q417="Declined"),"",IF(N417&lt;0,"Lapsed",IF(N417&lt;=7,7,IF(N417&lt;=30,30,IF(N417&lt;=60,60,IF(N417&lt;=90,90,"")))))))</f>
        <v/>
      </c>
      <c r="P417" s="27" t="n"/>
      <c r="Q417" s="27" t="n"/>
      <c r="R417" s="27" t="n"/>
      <c r="S417" s="27" t="n"/>
      <c r="T417" s="27" t="n"/>
    </row>
    <row r="418">
      <c r="A418" s="27" t="n"/>
      <c r="B418" s="27" t="n"/>
      <c r="C418" s="27" t="n"/>
      <c r="D418" s="27" t="n"/>
      <c r="E418" s="28" t="n"/>
      <c r="F418" s="28" t="n"/>
      <c r="G418" s="27" t="n"/>
      <c r="H418" s="29">
        <f>IF(G418="Invoice",IF(ISNUMBER(F418),F418,""),IF(ISNUMBER(E418),E418,""))</f>
        <v/>
      </c>
      <c r="I418" s="30" t="n"/>
      <c r="J418" s="29">
        <f>IF(AND(ISNUMBER(H418),ISNUMBER(I418)),EDATE(H418,I418),"")</f>
        <v/>
      </c>
      <c r="K418" s="30" t="n"/>
      <c r="L418" s="29">
        <f>IF(AND(ISNUMBER(H418),ISNUMBER(K418)),EDATE(H418,K418),"")</f>
        <v/>
      </c>
      <c r="M418" s="29">
        <f>IF(COUNT(J418,L418)=0,"",IF(MIN(J418,L418)&gt;=TODAY(),MIN(J418,L418),MAX(J418,L418)))</f>
        <v/>
      </c>
      <c r="N418" s="31">
        <f>IF(ISNUMBER(M418),M418-TODAY(),"")</f>
        <v/>
      </c>
      <c r="O418" s="32">
        <f>IF(NOT(ISNUMBER(N418)),"",IF(OR(Q418="Taken",Q418="Declined"),"",IF(N418&lt;0,"Lapsed",IF(N418&lt;=7,7,IF(N418&lt;=30,30,IF(N418&lt;=60,60,IF(N418&lt;=90,90,"")))))))</f>
        <v/>
      </c>
      <c r="P418" s="27" t="n"/>
      <c r="Q418" s="27" t="n"/>
      <c r="R418" s="27" t="n"/>
      <c r="S418" s="27" t="n"/>
      <c r="T418" s="27" t="n"/>
    </row>
    <row r="419">
      <c r="A419" s="27" t="n"/>
      <c r="B419" s="27" t="n"/>
      <c r="C419" s="27" t="n"/>
      <c r="D419" s="27" t="n"/>
      <c r="E419" s="28" t="n"/>
      <c r="F419" s="28" t="n"/>
      <c r="G419" s="27" t="n"/>
      <c r="H419" s="29">
        <f>IF(G419="Invoice",IF(ISNUMBER(F419),F419,""),IF(ISNUMBER(E419),E419,""))</f>
        <v/>
      </c>
      <c r="I419" s="30" t="n"/>
      <c r="J419" s="29">
        <f>IF(AND(ISNUMBER(H419),ISNUMBER(I419)),EDATE(H419,I419),"")</f>
        <v/>
      </c>
      <c r="K419" s="30" t="n"/>
      <c r="L419" s="29">
        <f>IF(AND(ISNUMBER(H419),ISNUMBER(K419)),EDATE(H419,K419),"")</f>
        <v/>
      </c>
      <c r="M419" s="29">
        <f>IF(COUNT(J419,L419)=0,"",IF(MIN(J419,L419)&gt;=TODAY(),MIN(J419,L419),MAX(J419,L419)))</f>
        <v/>
      </c>
      <c r="N419" s="31">
        <f>IF(ISNUMBER(M419),M419-TODAY(),"")</f>
        <v/>
      </c>
      <c r="O419" s="32">
        <f>IF(NOT(ISNUMBER(N419)),"",IF(OR(Q419="Taken",Q419="Declined"),"",IF(N419&lt;0,"Lapsed",IF(N419&lt;=7,7,IF(N419&lt;=30,30,IF(N419&lt;=60,60,IF(N419&lt;=90,90,"")))))))</f>
        <v/>
      </c>
      <c r="P419" s="27" t="n"/>
      <c r="Q419" s="27" t="n"/>
      <c r="R419" s="27" t="n"/>
      <c r="S419" s="27" t="n"/>
      <c r="T419" s="27" t="n"/>
    </row>
    <row r="420">
      <c r="A420" s="27" t="n"/>
      <c r="B420" s="27" t="n"/>
      <c r="C420" s="27" t="n"/>
      <c r="D420" s="27" t="n"/>
      <c r="E420" s="28" t="n"/>
      <c r="F420" s="28" t="n"/>
      <c r="G420" s="27" t="n"/>
      <c r="H420" s="29">
        <f>IF(G420="Invoice",IF(ISNUMBER(F420),F420,""),IF(ISNUMBER(E420),E420,""))</f>
        <v/>
      </c>
      <c r="I420" s="30" t="n"/>
      <c r="J420" s="29">
        <f>IF(AND(ISNUMBER(H420),ISNUMBER(I420)),EDATE(H420,I420),"")</f>
        <v/>
      </c>
      <c r="K420" s="30" t="n"/>
      <c r="L420" s="29">
        <f>IF(AND(ISNUMBER(H420),ISNUMBER(K420)),EDATE(H420,K420),"")</f>
        <v/>
      </c>
      <c r="M420" s="29">
        <f>IF(COUNT(J420,L420)=0,"",IF(MIN(J420,L420)&gt;=TODAY(),MIN(J420,L420),MAX(J420,L420)))</f>
        <v/>
      </c>
      <c r="N420" s="31">
        <f>IF(ISNUMBER(M420),M420-TODAY(),"")</f>
        <v/>
      </c>
      <c r="O420" s="32">
        <f>IF(NOT(ISNUMBER(N420)),"",IF(OR(Q420="Taken",Q420="Declined"),"",IF(N420&lt;0,"Lapsed",IF(N420&lt;=7,7,IF(N420&lt;=30,30,IF(N420&lt;=60,60,IF(N420&lt;=90,90,"")))))))</f>
        <v/>
      </c>
      <c r="P420" s="27" t="n"/>
      <c r="Q420" s="27" t="n"/>
      <c r="R420" s="27" t="n"/>
      <c r="S420" s="27" t="n"/>
      <c r="T420" s="27" t="n"/>
    </row>
    <row r="421">
      <c r="A421" s="27" t="n"/>
      <c r="B421" s="27" t="n"/>
      <c r="C421" s="27" t="n"/>
      <c r="D421" s="27" t="n"/>
      <c r="E421" s="28" t="n"/>
      <c r="F421" s="28" t="n"/>
      <c r="G421" s="27" t="n"/>
      <c r="H421" s="29">
        <f>IF(G421="Invoice",IF(ISNUMBER(F421),F421,""),IF(ISNUMBER(E421),E421,""))</f>
        <v/>
      </c>
      <c r="I421" s="30" t="n"/>
      <c r="J421" s="29">
        <f>IF(AND(ISNUMBER(H421),ISNUMBER(I421)),EDATE(H421,I421),"")</f>
        <v/>
      </c>
      <c r="K421" s="30" t="n"/>
      <c r="L421" s="29">
        <f>IF(AND(ISNUMBER(H421),ISNUMBER(K421)),EDATE(H421,K421),"")</f>
        <v/>
      </c>
      <c r="M421" s="29">
        <f>IF(COUNT(J421,L421)=0,"",IF(MIN(J421,L421)&gt;=TODAY(),MIN(J421,L421),MAX(J421,L421)))</f>
        <v/>
      </c>
      <c r="N421" s="31">
        <f>IF(ISNUMBER(M421),M421-TODAY(),"")</f>
        <v/>
      </c>
      <c r="O421" s="32">
        <f>IF(NOT(ISNUMBER(N421)),"",IF(OR(Q421="Taken",Q421="Declined"),"",IF(N421&lt;0,"Lapsed",IF(N421&lt;=7,7,IF(N421&lt;=30,30,IF(N421&lt;=60,60,IF(N421&lt;=90,90,"")))))))</f>
        <v/>
      </c>
      <c r="P421" s="27" t="n"/>
      <c r="Q421" s="27" t="n"/>
      <c r="R421" s="27" t="n"/>
      <c r="S421" s="27" t="n"/>
      <c r="T421" s="27" t="n"/>
    </row>
    <row r="422">
      <c r="A422" s="27" t="n"/>
      <c r="B422" s="27" t="n"/>
      <c r="C422" s="27" t="n"/>
      <c r="D422" s="27" t="n"/>
      <c r="E422" s="28" t="n"/>
      <c r="F422" s="28" t="n"/>
      <c r="G422" s="27" t="n"/>
      <c r="H422" s="29">
        <f>IF(G422="Invoice",IF(ISNUMBER(F422),F422,""),IF(ISNUMBER(E422),E422,""))</f>
        <v/>
      </c>
      <c r="I422" s="30" t="n"/>
      <c r="J422" s="29">
        <f>IF(AND(ISNUMBER(H422),ISNUMBER(I422)),EDATE(H422,I422),"")</f>
        <v/>
      </c>
      <c r="K422" s="30" t="n"/>
      <c r="L422" s="29">
        <f>IF(AND(ISNUMBER(H422),ISNUMBER(K422)),EDATE(H422,K422),"")</f>
        <v/>
      </c>
      <c r="M422" s="29">
        <f>IF(COUNT(J422,L422)=0,"",IF(MIN(J422,L422)&gt;=TODAY(),MIN(J422,L422),MAX(J422,L422)))</f>
        <v/>
      </c>
      <c r="N422" s="31">
        <f>IF(ISNUMBER(M422),M422-TODAY(),"")</f>
        <v/>
      </c>
      <c r="O422" s="32">
        <f>IF(NOT(ISNUMBER(N422)),"",IF(OR(Q422="Taken",Q422="Declined"),"",IF(N422&lt;0,"Lapsed",IF(N422&lt;=7,7,IF(N422&lt;=30,30,IF(N422&lt;=60,60,IF(N422&lt;=90,90,"")))))))</f>
        <v/>
      </c>
      <c r="P422" s="27" t="n"/>
      <c r="Q422" s="27" t="n"/>
      <c r="R422" s="27" t="n"/>
      <c r="S422" s="27" t="n"/>
      <c r="T422" s="27" t="n"/>
    </row>
    <row r="423">
      <c r="A423" s="27" t="n"/>
      <c r="B423" s="27" t="n"/>
      <c r="C423" s="27" t="n"/>
      <c r="D423" s="27" t="n"/>
      <c r="E423" s="28" t="n"/>
      <c r="F423" s="28" t="n"/>
      <c r="G423" s="27" t="n"/>
      <c r="H423" s="29">
        <f>IF(G423="Invoice",IF(ISNUMBER(F423),F423,""),IF(ISNUMBER(E423),E423,""))</f>
        <v/>
      </c>
      <c r="I423" s="30" t="n"/>
      <c r="J423" s="29">
        <f>IF(AND(ISNUMBER(H423),ISNUMBER(I423)),EDATE(H423,I423),"")</f>
        <v/>
      </c>
      <c r="K423" s="30" t="n"/>
      <c r="L423" s="29">
        <f>IF(AND(ISNUMBER(H423),ISNUMBER(K423)),EDATE(H423,K423),"")</f>
        <v/>
      </c>
      <c r="M423" s="29">
        <f>IF(COUNT(J423,L423)=0,"",IF(MIN(J423,L423)&gt;=TODAY(),MIN(J423,L423),MAX(J423,L423)))</f>
        <v/>
      </c>
      <c r="N423" s="31">
        <f>IF(ISNUMBER(M423),M423-TODAY(),"")</f>
        <v/>
      </c>
      <c r="O423" s="32">
        <f>IF(NOT(ISNUMBER(N423)),"",IF(OR(Q423="Taken",Q423="Declined"),"",IF(N423&lt;0,"Lapsed",IF(N423&lt;=7,7,IF(N423&lt;=30,30,IF(N423&lt;=60,60,IF(N423&lt;=90,90,"")))))))</f>
        <v/>
      </c>
      <c r="P423" s="27" t="n"/>
      <c r="Q423" s="27" t="n"/>
      <c r="R423" s="27" t="n"/>
      <c r="S423" s="27" t="n"/>
      <c r="T423" s="27" t="n"/>
    </row>
    <row r="424">
      <c r="A424" s="27" t="n"/>
      <c r="B424" s="27" t="n"/>
      <c r="C424" s="27" t="n"/>
      <c r="D424" s="27" t="n"/>
      <c r="E424" s="28" t="n"/>
      <c r="F424" s="28" t="n"/>
      <c r="G424" s="27" t="n"/>
      <c r="H424" s="29">
        <f>IF(G424="Invoice",IF(ISNUMBER(F424),F424,""),IF(ISNUMBER(E424),E424,""))</f>
        <v/>
      </c>
      <c r="I424" s="30" t="n"/>
      <c r="J424" s="29">
        <f>IF(AND(ISNUMBER(H424),ISNUMBER(I424)),EDATE(H424,I424),"")</f>
        <v/>
      </c>
      <c r="K424" s="30" t="n"/>
      <c r="L424" s="29">
        <f>IF(AND(ISNUMBER(H424),ISNUMBER(K424)),EDATE(H424,K424),"")</f>
        <v/>
      </c>
      <c r="M424" s="29">
        <f>IF(COUNT(J424,L424)=0,"",IF(MIN(J424,L424)&gt;=TODAY(),MIN(J424,L424),MAX(J424,L424)))</f>
        <v/>
      </c>
      <c r="N424" s="31">
        <f>IF(ISNUMBER(M424),M424-TODAY(),"")</f>
        <v/>
      </c>
      <c r="O424" s="32">
        <f>IF(NOT(ISNUMBER(N424)),"",IF(OR(Q424="Taken",Q424="Declined"),"",IF(N424&lt;0,"Lapsed",IF(N424&lt;=7,7,IF(N424&lt;=30,30,IF(N424&lt;=60,60,IF(N424&lt;=90,90,"")))))))</f>
        <v/>
      </c>
      <c r="P424" s="27" t="n"/>
      <c r="Q424" s="27" t="n"/>
      <c r="R424" s="27" t="n"/>
      <c r="S424" s="27" t="n"/>
      <c r="T424" s="27" t="n"/>
    </row>
    <row r="425">
      <c r="A425" s="27" t="n"/>
      <c r="B425" s="27" t="n"/>
      <c r="C425" s="27" t="n"/>
      <c r="D425" s="27" t="n"/>
      <c r="E425" s="28" t="n"/>
      <c r="F425" s="28" t="n"/>
      <c r="G425" s="27" t="n"/>
      <c r="H425" s="29">
        <f>IF(G425="Invoice",IF(ISNUMBER(F425),F425,""),IF(ISNUMBER(E425),E425,""))</f>
        <v/>
      </c>
      <c r="I425" s="30" t="n"/>
      <c r="J425" s="29">
        <f>IF(AND(ISNUMBER(H425),ISNUMBER(I425)),EDATE(H425,I425),"")</f>
        <v/>
      </c>
      <c r="K425" s="30" t="n"/>
      <c r="L425" s="29">
        <f>IF(AND(ISNUMBER(H425),ISNUMBER(K425)),EDATE(H425,K425),"")</f>
        <v/>
      </c>
      <c r="M425" s="29">
        <f>IF(COUNT(J425,L425)=0,"",IF(MIN(J425,L425)&gt;=TODAY(),MIN(J425,L425),MAX(J425,L425)))</f>
        <v/>
      </c>
      <c r="N425" s="31">
        <f>IF(ISNUMBER(M425),M425-TODAY(),"")</f>
        <v/>
      </c>
      <c r="O425" s="32">
        <f>IF(NOT(ISNUMBER(N425)),"",IF(OR(Q425="Taken",Q425="Declined"),"",IF(N425&lt;0,"Lapsed",IF(N425&lt;=7,7,IF(N425&lt;=30,30,IF(N425&lt;=60,60,IF(N425&lt;=90,90,"")))))))</f>
        <v/>
      </c>
      <c r="P425" s="27" t="n"/>
      <c r="Q425" s="27" t="n"/>
      <c r="R425" s="27" t="n"/>
      <c r="S425" s="27" t="n"/>
      <c r="T425" s="27" t="n"/>
    </row>
    <row r="426">
      <c r="A426" s="27" t="n"/>
      <c r="B426" s="27" t="n"/>
      <c r="C426" s="27" t="n"/>
      <c r="D426" s="27" t="n"/>
      <c r="E426" s="28" t="n"/>
      <c r="F426" s="28" t="n"/>
      <c r="G426" s="27" t="n"/>
      <c r="H426" s="29">
        <f>IF(G426="Invoice",IF(ISNUMBER(F426),F426,""),IF(ISNUMBER(E426),E426,""))</f>
        <v/>
      </c>
      <c r="I426" s="30" t="n"/>
      <c r="J426" s="29">
        <f>IF(AND(ISNUMBER(H426),ISNUMBER(I426)),EDATE(H426,I426),"")</f>
        <v/>
      </c>
      <c r="K426" s="30" t="n"/>
      <c r="L426" s="29">
        <f>IF(AND(ISNUMBER(H426),ISNUMBER(K426)),EDATE(H426,K426),"")</f>
        <v/>
      </c>
      <c r="M426" s="29">
        <f>IF(COUNT(J426,L426)=0,"",IF(MIN(J426,L426)&gt;=TODAY(),MIN(J426,L426),MAX(J426,L426)))</f>
        <v/>
      </c>
      <c r="N426" s="31">
        <f>IF(ISNUMBER(M426),M426-TODAY(),"")</f>
        <v/>
      </c>
      <c r="O426" s="32">
        <f>IF(NOT(ISNUMBER(N426)),"",IF(OR(Q426="Taken",Q426="Declined"),"",IF(N426&lt;0,"Lapsed",IF(N426&lt;=7,7,IF(N426&lt;=30,30,IF(N426&lt;=60,60,IF(N426&lt;=90,90,"")))))))</f>
        <v/>
      </c>
      <c r="P426" s="27" t="n"/>
      <c r="Q426" s="27" t="n"/>
      <c r="R426" s="27" t="n"/>
      <c r="S426" s="27" t="n"/>
      <c r="T426" s="27" t="n"/>
    </row>
    <row r="427">
      <c r="A427" s="27" t="n"/>
      <c r="B427" s="27" t="n"/>
      <c r="C427" s="27" t="n"/>
      <c r="D427" s="27" t="n"/>
      <c r="E427" s="28" t="n"/>
      <c r="F427" s="28" t="n"/>
      <c r="G427" s="27" t="n"/>
      <c r="H427" s="29">
        <f>IF(G427="Invoice",IF(ISNUMBER(F427),F427,""),IF(ISNUMBER(E427),E427,""))</f>
        <v/>
      </c>
      <c r="I427" s="30" t="n"/>
      <c r="J427" s="29">
        <f>IF(AND(ISNUMBER(H427),ISNUMBER(I427)),EDATE(H427,I427),"")</f>
        <v/>
      </c>
      <c r="K427" s="30" t="n"/>
      <c r="L427" s="29">
        <f>IF(AND(ISNUMBER(H427),ISNUMBER(K427)),EDATE(H427,K427),"")</f>
        <v/>
      </c>
      <c r="M427" s="29">
        <f>IF(COUNT(J427,L427)=0,"",IF(MIN(J427,L427)&gt;=TODAY(),MIN(J427,L427),MAX(J427,L427)))</f>
        <v/>
      </c>
      <c r="N427" s="31">
        <f>IF(ISNUMBER(M427),M427-TODAY(),"")</f>
        <v/>
      </c>
      <c r="O427" s="32">
        <f>IF(NOT(ISNUMBER(N427)),"",IF(OR(Q427="Taken",Q427="Declined"),"",IF(N427&lt;0,"Lapsed",IF(N427&lt;=7,7,IF(N427&lt;=30,30,IF(N427&lt;=60,60,IF(N427&lt;=90,90,"")))))))</f>
        <v/>
      </c>
      <c r="P427" s="27" t="n"/>
      <c r="Q427" s="27" t="n"/>
      <c r="R427" s="27" t="n"/>
      <c r="S427" s="27" t="n"/>
      <c r="T427" s="27" t="n"/>
    </row>
    <row r="428">
      <c r="A428" s="27" t="n"/>
      <c r="B428" s="27" t="n"/>
      <c r="C428" s="27" t="n"/>
      <c r="D428" s="27" t="n"/>
      <c r="E428" s="28" t="n"/>
      <c r="F428" s="28" t="n"/>
      <c r="G428" s="27" t="n"/>
      <c r="H428" s="29">
        <f>IF(G428="Invoice",IF(ISNUMBER(F428),F428,""),IF(ISNUMBER(E428),E428,""))</f>
        <v/>
      </c>
      <c r="I428" s="30" t="n"/>
      <c r="J428" s="29">
        <f>IF(AND(ISNUMBER(H428),ISNUMBER(I428)),EDATE(H428,I428),"")</f>
        <v/>
      </c>
      <c r="K428" s="30" t="n"/>
      <c r="L428" s="29">
        <f>IF(AND(ISNUMBER(H428),ISNUMBER(K428)),EDATE(H428,K428),"")</f>
        <v/>
      </c>
      <c r="M428" s="29">
        <f>IF(COUNT(J428,L428)=0,"",IF(MIN(J428,L428)&gt;=TODAY(),MIN(J428,L428),MAX(J428,L428)))</f>
        <v/>
      </c>
      <c r="N428" s="31">
        <f>IF(ISNUMBER(M428),M428-TODAY(),"")</f>
        <v/>
      </c>
      <c r="O428" s="32">
        <f>IF(NOT(ISNUMBER(N428)),"",IF(OR(Q428="Taken",Q428="Declined"),"",IF(N428&lt;0,"Lapsed",IF(N428&lt;=7,7,IF(N428&lt;=30,30,IF(N428&lt;=60,60,IF(N428&lt;=90,90,"")))))))</f>
        <v/>
      </c>
      <c r="P428" s="27" t="n"/>
      <c r="Q428" s="27" t="n"/>
      <c r="R428" s="27" t="n"/>
      <c r="S428" s="27" t="n"/>
      <c r="T428" s="27" t="n"/>
    </row>
    <row r="429">
      <c r="A429" s="27" t="n"/>
      <c r="B429" s="27" t="n"/>
      <c r="C429" s="27" t="n"/>
      <c r="D429" s="27" t="n"/>
      <c r="E429" s="28" t="n"/>
      <c r="F429" s="28" t="n"/>
      <c r="G429" s="27" t="n"/>
      <c r="H429" s="29">
        <f>IF(G429="Invoice",IF(ISNUMBER(F429),F429,""),IF(ISNUMBER(E429),E429,""))</f>
        <v/>
      </c>
      <c r="I429" s="30" t="n"/>
      <c r="J429" s="29">
        <f>IF(AND(ISNUMBER(H429),ISNUMBER(I429)),EDATE(H429,I429),"")</f>
        <v/>
      </c>
      <c r="K429" s="30" t="n"/>
      <c r="L429" s="29">
        <f>IF(AND(ISNUMBER(H429),ISNUMBER(K429)),EDATE(H429,K429),"")</f>
        <v/>
      </c>
      <c r="M429" s="29">
        <f>IF(COUNT(J429,L429)=0,"",IF(MIN(J429,L429)&gt;=TODAY(),MIN(J429,L429),MAX(J429,L429)))</f>
        <v/>
      </c>
      <c r="N429" s="31">
        <f>IF(ISNUMBER(M429),M429-TODAY(),"")</f>
        <v/>
      </c>
      <c r="O429" s="32">
        <f>IF(NOT(ISNUMBER(N429)),"",IF(OR(Q429="Taken",Q429="Declined"),"",IF(N429&lt;0,"Lapsed",IF(N429&lt;=7,7,IF(N429&lt;=30,30,IF(N429&lt;=60,60,IF(N429&lt;=90,90,"")))))))</f>
        <v/>
      </c>
      <c r="P429" s="27" t="n"/>
      <c r="Q429" s="27" t="n"/>
      <c r="R429" s="27" t="n"/>
      <c r="S429" s="27" t="n"/>
      <c r="T429" s="27" t="n"/>
    </row>
    <row r="430">
      <c r="A430" s="27" t="n"/>
      <c r="B430" s="27" t="n"/>
      <c r="C430" s="27" t="n"/>
      <c r="D430" s="27" t="n"/>
      <c r="E430" s="28" t="n"/>
      <c r="F430" s="28" t="n"/>
      <c r="G430" s="27" t="n"/>
      <c r="H430" s="29">
        <f>IF(G430="Invoice",IF(ISNUMBER(F430),F430,""),IF(ISNUMBER(E430),E430,""))</f>
        <v/>
      </c>
      <c r="I430" s="30" t="n"/>
      <c r="J430" s="29">
        <f>IF(AND(ISNUMBER(H430),ISNUMBER(I430)),EDATE(H430,I430),"")</f>
        <v/>
      </c>
      <c r="K430" s="30" t="n"/>
      <c r="L430" s="29">
        <f>IF(AND(ISNUMBER(H430),ISNUMBER(K430)),EDATE(H430,K430),"")</f>
        <v/>
      </c>
      <c r="M430" s="29">
        <f>IF(COUNT(J430,L430)=0,"",IF(MIN(J430,L430)&gt;=TODAY(),MIN(J430,L430),MAX(J430,L430)))</f>
        <v/>
      </c>
      <c r="N430" s="31">
        <f>IF(ISNUMBER(M430),M430-TODAY(),"")</f>
        <v/>
      </c>
      <c r="O430" s="32">
        <f>IF(NOT(ISNUMBER(N430)),"",IF(OR(Q430="Taken",Q430="Declined"),"",IF(N430&lt;0,"Lapsed",IF(N430&lt;=7,7,IF(N430&lt;=30,30,IF(N430&lt;=60,60,IF(N430&lt;=90,90,"")))))))</f>
        <v/>
      </c>
      <c r="P430" s="27" t="n"/>
      <c r="Q430" s="27" t="n"/>
      <c r="R430" s="27" t="n"/>
      <c r="S430" s="27" t="n"/>
      <c r="T430" s="27" t="n"/>
    </row>
    <row r="431">
      <c r="A431" s="27" t="n"/>
      <c r="B431" s="27" t="n"/>
      <c r="C431" s="27" t="n"/>
      <c r="D431" s="27" t="n"/>
      <c r="E431" s="28" t="n"/>
      <c r="F431" s="28" t="n"/>
      <c r="G431" s="27" t="n"/>
      <c r="H431" s="29">
        <f>IF(G431="Invoice",IF(ISNUMBER(F431),F431,""),IF(ISNUMBER(E431),E431,""))</f>
        <v/>
      </c>
      <c r="I431" s="30" t="n"/>
      <c r="J431" s="29">
        <f>IF(AND(ISNUMBER(H431),ISNUMBER(I431)),EDATE(H431,I431),"")</f>
        <v/>
      </c>
      <c r="K431" s="30" t="n"/>
      <c r="L431" s="29">
        <f>IF(AND(ISNUMBER(H431),ISNUMBER(K431)),EDATE(H431,K431),"")</f>
        <v/>
      </c>
      <c r="M431" s="29">
        <f>IF(COUNT(J431,L431)=0,"",IF(MIN(J431,L431)&gt;=TODAY(),MIN(J431,L431),MAX(J431,L431)))</f>
        <v/>
      </c>
      <c r="N431" s="31">
        <f>IF(ISNUMBER(M431),M431-TODAY(),"")</f>
        <v/>
      </c>
      <c r="O431" s="32">
        <f>IF(NOT(ISNUMBER(N431)),"",IF(OR(Q431="Taken",Q431="Declined"),"",IF(N431&lt;0,"Lapsed",IF(N431&lt;=7,7,IF(N431&lt;=30,30,IF(N431&lt;=60,60,IF(N431&lt;=90,90,"")))))))</f>
        <v/>
      </c>
      <c r="P431" s="27" t="n"/>
      <c r="Q431" s="27" t="n"/>
      <c r="R431" s="27" t="n"/>
      <c r="S431" s="27" t="n"/>
      <c r="T431" s="27" t="n"/>
    </row>
    <row r="432">
      <c r="A432" s="27" t="n"/>
      <c r="B432" s="27" t="n"/>
      <c r="C432" s="27" t="n"/>
      <c r="D432" s="27" t="n"/>
      <c r="E432" s="28" t="n"/>
      <c r="F432" s="28" t="n"/>
      <c r="G432" s="27" t="n"/>
      <c r="H432" s="29">
        <f>IF(G432="Invoice",IF(ISNUMBER(F432),F432,""),IF(ISNUMBER(E432),E432,""))</f>
        <v/>
      </c>
      <c r="I432" s="30" t="n"/>
      <c r="J432" s="29">
        <f>IF(AND(ISNUMBER(H432),ISNUMBER(I432)),EDATE(H432,I432),"")</f>
        <v/>
      </c>
      <c r="K432" s="30" t="n"/>
      <c r="L432" s="29">
        <f>IF(AND(ISNUMBER(H432),ISNUMBER(K432)),EDATE(H432,K432),"")</f>
        <v/>
      </c>
      <c r="M432" s="29">
        <f>IF(COUNT(J432,L432)=0,"",IF(MIN(J432,L432)&gt;=TODAY(),MIN(J432,L432),MAX(J432,L432)))</f>
        <v/>
      </c>
      <c r="N432" s="31">
        <f>IF(ISNUMBER(M432),M432-TODAY(),"")</f>
        <v/>
      </c>
      <c r="O432" s="32">
        <f>IF(NOT(ISNUMBER(N432)),"",IF(OR(Q432="Taken",Q432="Declined"),"",IF(N432&lt;0,"Lapsed",IF(N432&lt;=7,7,IF(N432&lt;=30,30,IF(N432&lt;=60,60,IF(N432&lt;=90,90,"")))))))</f>
        <v/>
      </c>
      <c r="P432" s="27" t="n"/>
      <c r="Q432" s="27" t="n"/>
      <c r="R432" s="27" t="n"/>
      <c r="S432" s="27" t="n"/>
      <c r="T432" s="27" t="n"/>
    </row>
    <row r="433">
      <c r="A433" s="27" t="n"/>
      <c r="B433" s="27" t="n"/>
      <c r="C433" s="27" t="n"/>
      <c r="D433" s="27" t="n"/>
      <c r="E433" s="28" t="n"/>
      <c r="F433" s="28" t="n"/>
      <c r="G433" s="27" t="n"/>
      <c r="H433" s="29">
        <f>IF(G433="Invoice",IF(ISNUMBER(F433),F433,""),IF(ISNUMBER(E433),E433,""))</f>
        <v/>
      </c>
      <c r="I433" s="30" t="n"/>
      <c r="J433" s="29">
        <f>IF(AND(ISNUMBER(H433),ISNUMBER(I433)),EDATE(H433,I433),"")</f>
        <v/>
      </c>
      <c r="K433" s="30" t="n"/>
      <c r="L433" s="29">
        <f>IF(AND(ISNUMBER(H433),ISNUMBER(K433)),EDATE(H433,K433),"")</f>
        <v/>
      </c>
      <c r="M433" s="29">
        <f>IF(COUNT(J433,L433)=0,"",IF(MIN(J433,L433)&gt;=TODAY(),MIN(J433,L433),MAX(J433,L433)))</f>
        <v/>
      </c>
      <c r="N433" s="31">
        <f>IF(ISNUMBER(M433),M433-TODAY(),"")</f>
        <v/>
      </c>
      <c r="O433" s="32">
        <f>IF(NOT(ISNUMBER(N433)),"",IF(OR(Q433="Taken",Q433="Declined"),"",IF(N433&lt;0,"Lapsed",IF(N433&lt;=7,7,IF(N433&lt;=30,30,IF(N433&lt;=60,60,IF(N433&lt;=90,90,"")))))))</f>
        <v/>
      </c>
      <c r="P433" s="27" t="n"/>
      <c r="Q433" s="27" t="n"/>
      <c r="R433" s="27" t="n"/>
      <c r="S433" s="27" t="n"/>
      <c r="T433" s="27" t="n"/>
    </row>
    <row r="434">
      <c r="A434" s="27" t="n"/>
      <c r="B434" s="27" t="n"/>
      <c r="C434" s="27" t="n"/>
      <c r="D434" s="27" t="n"/>
      <c r="E434" s="28" t="n"/>
      <c r="F434" s="28" t="n"/>
      <c r="G434" s="27" t="n"/>
      <c r="H434" s="29">
        <f>IF(G434="Invoice",IF(ISNUMBER(F434),F434,""),IF(ISNUMBER(E434),E434,""))</f>
        <v/>
      </c>
      <c r="I434" s="30" t="n"/>
      <c r="J434" s="29">
        <f>IF(AND(ISNUMBER(H434),ISNUMBER(I434)),EDATE(H434,I434),"")</f>
        <v/>
      </c>
      <c r="K434" s="30" t="n"/>
      <c r="L434" s="29">
        <f>IF(AND(ISNUMBER(H434),ISNUMBER(K434)),EDATE(H434,K434),"")</f>
        <v/>
      </c>
      <c r="M434" s="29">
        <f>IF(COUNT(J434,L434)=0,"",IF(MIN(J434,L434)&gt;=TODAY(),MIN(J434,L434),MAX(J434,L434)))</f>
        <v/>
      </c>
      <c r="N434" s="31">
        <f>IF(ISNUMBER(M434),M434-TODAY(),"")</f>
        <v/>
      </c>
      <c r="O434" s="32">
        <f>IF(NOT(ISNUMBER(N434)),"",IF(OR(Q434="Taken",Q434="Declined"),"",IF(N434&lt;0,"Lapsed",IF(N434&lt;=7,7,IF(N434&lt;=30,30,IF(N434&lt;=60,60,IF(N434&lt;=90,90,"")))))))</f>
        <v/>
      </c>
      <c r="P434" s="27" t="n"/>
      <c r="Q434" s="27" t="n"/>
      <c r="R434" s="27" t="n"/>
      <c r="S434" s="27" t="n"/>
      <c r="T434" s="27" t="n"/>
    </row>
    <row r="435">
      <c r="A435" s="27" t="n"/>
      <c r="B435" s="27" t="n"/>
      <c r="C435" s="27" t="n"/>
      <c r="D435" s="27" t="n"/>
      <c r="E435" s="28" t="n"/>
      <c r="F435" s="28" t="n"/>
      <c r="G435" s="27" t="n"/>
      <c r="H435" s="29">
        <f>IF(G435="Invoice",IF(ISNUMBER(F435),F435,""),IF(ISNUMBER(E435),E435,""))</f>
        <v/>
      </c>
      <c r="I435" s="30" t="n"/>
      <c r="J435" s="29">
        <f>IF(AND(ISNUMBER(H435),ISNUMBER(I435)),EDATE(H435,I435),"")</f>
        <v/>
      </c>
      <c r="K435" s="30" t="n"/>
      <c r="L435" s="29">
        <f>IF(AND(ISNUMBER(H435),ISNUMBER(K435)),EDATE(H435,K435),"")</f>
        <v/>
      </c>
      <c r="M435" s="29">
        <f>IF(COUNT(J435,L435)=0,"",IF(MIN(J435,L435)&gt;=TODAY(),MIN(J435,L435),MAX(J435,L435)))</f>
        <v/>
      </c>
      <c r="N435" s="31">
        <f>IF(ISNUMBER(M435),M435-TODAY(),"")</f>
        <v/>
      </c>
      <c r="O435" s="32">
        <f>IF(NOT(ISNUMBER(N435)),"",IF(OR(Q435="Taken",Q435="Declined"),"",IF(N435&lt;0,"Lapsed",IF(N435&lt;=7,7,IF(N435&lt;=30,30,IF(N435&lt;=60,60,IF(N435&lt;=90,90,"")))))))</f>
        <v/>
      </c>
      <c r="P435" s="27" t="n"/>
      <c r="Q435" s="27" t="n"/>
      <c r="R435" s="27" t="n"/>
      <c r="S435" s="27" t="n"/>
      <c r="T435" s="27" t="n"/>
    </row>
    <row r="436">
      <c r="A436" s="27" t="n"/>
      <c r="B436" s="27" t="n"/>
      <c r="C436" s="27" t="n"/>
      <c r="D436" s="27" t="n"/>
      <c r="E436" s="28" t="n"/>
      <c r="F436" s="28" t="n"/>
      <c r="G436" s="27" t="n"/>
      <c r="H436" s="29">
        <f>IF(G436="Invoice",IF(ISNUMBER(F436),F436,""),IF(ISNUMBER(E436),E436,""))</f>
        <v/>
      </c>
      <c r="I436" s="30" t="n"/>
      <c r="J436" s="29">
        <f>IF(AND(ISNUMBER(H436),ISNUMBER(I436)),EDATE(H436,I436),"")</f>
        <v/>
      </c>
      <c r="K436" s="30" t="n"/>
      <c r="L436" s="29">
        <f>IF(AND(ISNUMBER(H436),ISNUMBER(K436)),EDATE(H436,K436),"")</f>
        <v/>
      </c>
      <c r="M436" s="29">
        <f>IF(COUNT(J436,L436)=0,"",IF(MIN(J436,L436)&gt;=TODAY(),MIN(J436,L436),MAX(J436,L436)))</f>
        <v/>
      </c>
      <c r="N436" s="31">
        <f>IF(ISNUMBER(M436),M436-TODAY(),"")</f>
        <v/>
      </c>
      <c r="O436" s="32">
        <f>IF(NOT(ISNUMBER(N436)),"",IF(OR(Q436="Taken",Q436="Declined"),"",IF(N436&lt;0,"Lapsed",IF(N436&lt;=7,7,IF(N436&lt;=30,30,IF(N436&lt;=60,60,IF(N436&lt;=90,90,"")))))))</f>
        <v/>
      </c>
      <c r="P436" s="27" t="n"/>
      <c r="Q436" s="27" t="n"/>
      <c r="R436" s="27" t="n"/>
      <c r="S436" s="27" t="n"/>
      <c r="T436" s="27" t="n"/>
    </row>
    <row r="437">
      <c r="A437" s="27" t="n"/>
      <c r="B437" s="27" t="n"/>
      <c r="C437" s="27" t="n"/>
      <c r="D437" s="27" t="n"/>
      <c r="E437" s="28" t="n"/>
      <c r="F437" s="28" t="n"/>
      <c r="G437" s="27" t="n"/>
      <c r="H437" s="29">
        <f>IF(G437="Invoice",IF(ISNUMBER(F437),F437,""),IF(ISNUMBER(E437),E437,""))</f>
        <v/>
      </c>
      <c r="I437" s="30" t="n"/>
      <c r="J437" s="29">
        <f>IF(AND(ISNUMBER(H437),ISNUMBER(I437)),EDATE(H437,I437),"")</f>
        <v/>
      </c>
      <c r="K437" s="30" t="n"/>
      <c r="L437" s="29">
        <f>IF(AND(ISNUMBER(H437),ISNUMBER(K437)),EDATE(H437,K437),"")</f>
        <v/>
      </c>
      <c r="M437" s="29">
        <f>IF(COUNT(J437,L437)=0,"",IF(MIN(J437,L437)&gt;=TODAY(),MIN(J437,L437),MAX(J437,L437)))</f>
        <v/>
      </c>
      <c r="N437" s="31">
        <f>IF(ISNUMBER(M437),M437-TODAY(),"")</f>
        <v/>
      </c>
      <c r="O437" s="32">
        <f>IF(NOT(ISNUMBER(N437)),"",IF(OR(Q437="Taken",Q437="Declined"),"",IF(N437&lt;0,"Lapsed",IF(N437&lt;=7,7,IF(N437&lt;=30,30,IF(N437&lt;=60,60,IF(N437&lt;=90,90,"")))))))</f>
        <v/>
      </c>
      <c r="P437" s="27" t="n"/>
      <c r="Q437" s="27" t="n"/>
      <c r="R437" s="27" t="n"/>
      <c r="S437" s="27" t="n"/>
      <c r="T437" s="27" t="n"/>
    </row>
    <row r="438">
      <c r="A438" s="27" t="n"/>
      <c r="B438" s="27" t="n"/>
      <c r="C438" s="27" t="n"/>
      <c r="D438" s="27" t="n"/>
      <c r="E438" s="28" t="n"/>
      <c r="F438" s="28" t="n"/>
      <c r="G438" s="27" t="n"/>
      <c r="H438" s="29">
        <f>IF(G438="Invoice",IF(ISNUMBER(F438),F438,""),IF(ISNUMBER(E438),E438,""))</f>
        <v/>
      </c>
      <c r="I438" s="30" t="n"/>
      <c r="J438" s="29">
        <f>IF(AND(ISNUMBER(H438),ISNUMBER(I438)),EDATE(H438,I438),"")</f>
        <v/>
      </c>
      <c r="K438" s="30" t="n"/>
      <c r="L438" s="29">
        <f>IF(AND(ISNUMBER(H438),ISNUMBER(K438)),EDATE(H438,K438),"")</f>
        <v/>
      </c>
      <c r="M438" s="29">
        <f>IF(COUNT(J438,L438)=0,"",IF(MIN(J438,L438)&gt;=TODAY(),MIN(J438,L438),MAX(J438,L438)))</f>
        <v/>
      </c>
      <c r="N438" s="31">
        <f>IF(ISNUMBER(M438),M438-TODAY(),"")</f>
        <v/>
      </c>
      <c r="O438" s="32">
        <f>IF(NOT(ISNUMBER(N438)),"",IF(OR(Q438="Taken",Q438="Declined"),"",IF(N438&lt;0,"Lapsed",IF(N438&lt;=7,7,IF(N438&lt;=30,30,IF(N438&lt;=60,60,IF(N438&lt;=90,90,"")))))))</f>
        <v/>
      </c>
      <c r="P438" s="27" t="n"/>
      <c r="Q438" s="27" t="n"/>
      <c r="R438" s="27" t="n"/>
      <c r="S438" s="27" t="n"/>
      <c r="T438" s="27" t="n"/>
    </row>
    <row r="439">
      <c r="A439" s="27" t="n"/>
      <c r="B439" s="27" t="n"/>
      <c r="C439" s="27" t="n"/>
      <c r="D439" s="27" t="n"/>
      <c r="E439" s="28" t="n"/>
      <c r="F439" s="28" t="n"/>
      <c r="G439" s="27" t="n"/>
      <c r="H439" s="29">
        <f>IF(G439="Invoice",IF(ISNUMBER(F439),F439,""),IF(ISNUMBER(E439),E439,""))</f>
        <v/>
      </c>
      <c r="I439" s="30" t="n"/>
      <c r="J439" s="29">
        <f>IF(AND(ISNUMBER(H439),ISNUMBER(I439)),EDATE(H439,I439),"")</f>
        <v/>
      </c>
      <c r="K439" s="30" t="n"/>
      <c r="L439" s="29">
        <f>IF(AND(ISNUMBER(H439),ISNUMBER(K439)),EDATE(H439,K439),"")</f>
        <v/>
      </c>
      <c r="M439" s="29">
        <f>IF(COUNT(J439,L439)=0,"",IF(MIN(J439,L439)&gt;=TODAY(),MIN(J439,L439),MAX(J439,L439)))</f>
        <v/>
      </c>
      <c r="N439" s="31">
        <f>IF(ISNUMBER(M439),M439-TODAY(),"")</f>
        <v/>
      </c>
      <c r="O439" s="32">
        <f>IF(NOT(ISNUMBER(N439)),"",IF(OR(Q439="Taken",Q439="Declined"),"",IF(N439&lt;0,"Lapsed",IF(N439&lt;=7,7,IF(N439&lt;=30,30,IF(N439&lt;=60,60,IF(N439&lt;=90,90,"")))))))</f>
        <v/>
      </c>
      <c r="P439" s="27" t="n"/>
      <c r="Q439" s="27" t="n"/>
      <c r="R439" s="27" t="n"/>
      <c r="S439" s="27" t="n"/>
      <c r="T439" s="27" t="n"/>
    </row>
    <row r="440">
      <c r="A440" s="27" t="n"/>
      <c r="B440" s="27" t="n"/>
      <c r="C440" s="27" t="n"/>
      <c r="D440" s="27" t="n"/>
      <c r="E440" s="28" t="n"/>
      <c r="F440" s="28" t="n"/>
      <c r="G440" s="27" t="n"/>
      <c r="H440" s="29">
        <f>IF(G440="Invoice",IF(ISNUMBER(F440),F440,""),IF(ISNUMBER(E440),E440,""))</f>
        <v/>
      </c>
      <c r="I440" s="30" t="n"/>
      <c r="J440" s="29">
        <f>IF(AND(ISNUMBER(H440),ISNUMBER(I440)),EDATE(H440,I440),"")</f>
        <v/>
      </c>
      <c r="K440" s="30" t="n"/>
      <c r="L440" s="29">
        <f>IF(AND(ISNUMBER(H440),ISNUMBER(K440)),EDATE(H440,K440),"")</f>
        <v/>
      </c>
      <c r="M440" s="29">
        <f>IF(COUNT(J440,L440)=0,"",IF(MIN(J440,L440)&gt;=TODAY(),MIN(J440,L440),MAX(J440,L440)))</f>
        <v/>
      </c>
      <c r="N440" s="31">
        <f>IF(ISNUMBER(M440),M440-TODAY(),"")</f>
        <v/>
      </c>
      <c r="O440" s="32">
        <f>IF(NOT(ISNUMBER(N440)),"",IF(OR(Q440="Taken",Q440="Declined"),"",IF(N440&lt;0,"Lapsed",IF(N440&lt;=7,7,IF(N440&lt;=30,30,IF(N440&lt;=60,60,IF(N440&lt;=90,90,"")))))))</f>
        <v/>
      </c>
      <c r="P440" s="27" t="n"/>
      <c r="Q440" s="27" t="n"/>
      <c r="R440" s="27" t="n"/>
      <c r="S440" s="27" t="n"/>
      <c r="T440" s="27" t="n"/>
    </row>
    <row r="441">
      <c r="A441" s="27" t="n"/>
      <c r="B441" s="27" t="n"/>
      <c r="C441" s="27" t="n"/>
      <c r="D441" s="27" t="n"/>
      <c r="E441" s="28" t="n"/>
      <c r="F441" s="28" t="n"/>
      <c r="G441" s="27" t="n"/>
      <c r="H441" s="29">
        <f>IF(G441="Invoice",IF(ISNUMBER(F441),F441,""),IF(ISNUMBER(E441),E441,""))</f>
        <v/>
      </c>
      <c r="I441" s="30" t="n"/>
      <c r="J441" s="29">
        <f>IF(AND(ISNUMBER(H441),ISNUMBER(I441)),EDATE(H441,I441),"")</f>
        <v/>
      </c>
      <c r="K441" s="30" t="n"/>
      <c r="L441" s="29">
        <f>IF(AND(ISNUMBER(H441),ISNUMBER(K441)),EDATE(H441,K441),"")</f>
        <v/>
      </c>
      <c r="M441" s="29">
        <f>IF(COUNT(J441,L441)=0,"",IF(MIN(J441,L441)&gt;=TODAY(),MIN(J441,L441),MAX(J441,L441)))</f>
        <v/>
      </c>
      <c r="N441" s="31">
        <f>IF(ISNUMBER(M441),M441-TODAY(),"")</f>
        <v/>
      </c>
      <c r="O441" s="32">
        <f>IF(NOT(ISNUMBER(N441)),"",IF(OR(Q441="Taken",Q441="Declined"),"",IF(N441&lt;0,"Lapsed",IF(N441&lt;=7,7,IF(N441&lt;=30,30,IF(N441&lt;=60,60,IF(N441&lt;=90,90,"")))))))</f>
        <v/>
      </c>
      <c r="P441" s="27" t="n"/>
      <c r="Q441" s="27" t="n"/>
      <c r="R441" s="27" t="n"/>
      <c r="S441" s="27" t="n"/>
      <c r="T441" s="27" t="n"/>
    </row>
    <row r="442">
      <c r="A442" s="27" t="n"/>
      <c r="B442" s="27" t="n"/>
      <c r="C442" s="27" t="n"/>
      <c r="D442" s="27" t="n"/>
      <c r="E442" s="28" t="n"/>
      <c r="F442" s="28" t="n"/>
      <c r="G442" s="27" t="n"/>
      <c r="H442" s="29">
        <f>IF(G442="Invoice",IF(ISNUMBER(F442),F442,""),IF(ISNUMBER(E442),E442,""))</f>
        <v/>
      </c>
      <c r="I442" s="30" t="n"/>
      <c r="J442" s="29">
        <f>IF(AND(ISNUMBER(H442),ISNUMBER(I442)),EDATE(H442,I442),"")</f>
        <v/>
      </c>
      <c r="K442" s="30" t="n"/>
      <c r="L442" s="29">
        <f>IF(AND(ISNUMBER(H442),ISNUMBER(K442)),EDATE(H442,K442),"")</f>
        <v/>
      </c>
      <c r="M442" s="29">
        <f>IF(COUNT(J442,L442)=0,"",IF(MIN(J442,L442)&gt;=TODAY(),MIN(J442,L442),MAX(J442,L442)))</f>
        <v/>
      </c>
      <c r="N442" s="31">
        <f>IF(ISNUMBER(M442),M442-TODAY(),"")</f>
        <v/>
      </c>
      <c r="O442" s="32">
        <f>IF(NOT(ISNUMBER(N442)),"",IF(OR(Q442="Taken",Q442="Declined"),"",IF(N442&lt;0,"Lapsed",IF(N442&lt;=7,7,IF(N442&lt;=30,30,IF(N442&lt;=60,60,IF(N442&lt;=90,90,"")))))))</f>
        <v/>
      </c>
      <c r="P442" s="27" t="n"/>
      <c r="Q442" s="27" t="n"/>
      <c r="R442" s="27" t="n"/>
      <c r="S442" s="27" t="n"/>
      <c r="T442" s="27" t="n"/>
    </row>
    <row r="443">
      <c r="A443" s="27" t="n"/>
      <c r="B443" s="27" t="n"/>
      <c r="C443" s="27" t="n"/>
      <c r="D443" s="27" t="n"/>
      <c r="E443" s="28" t="n"/>
      <c r="F443" s="28" t="n"/>
      <c r="G443" s="27" t="n"/>
      <c r="H443" s="29">
        <f>IF(G443="Invoice",IF(ISNUMBER(F443),F443,""),IF(ISNUMBER(E443),E443,""))</f>
        <v/>
      </c>
      <c r="I443" s="30" t="n"/>
      <c r="J443" s="29">
        <f>IF(AND(ISNUMBER(H443),ISNUMBER(I443)),EDATE(H443,I443),"")</f>
        <v/>
      </c>
      <c r="K443" s="30" t="n"/>
      <c r="L443" s="29">
        <f>IF(AND(ISNUMBER(H443),ISNUMBER(K443)),EDATE(H443,K443),"")</f>
        <v/>
      </c>
      <c r="M443" s="29">
        <f>IF(COUNT(J443,L443)=0,"",IF(MIN(J443,L443)&gt;=TODAY(),MIN(J443,L443),MAX(J443,L443)))</f>
        <v/>
      </c>
      <c r="N443" s="31">
        <f>IF(ISNUMBER(M443),M443-TODAY(),"")</f>
        <v/>
      </c>
      <c r="O443" s="32">
        <f>IF(NOT(ISNUMBER(N443)),"",IF(OR(Q443="Taken",Q443="Declined"),"",IF(N443&lt;0,"Lapsed",IF(N443&lt;=7,7,IF(N443&lt;=30,30,IF(N443&lt;=60,60,IF(N443&lt;=90,90,"")))))))</f>
        <v/>
      </c>
      <c r="P443" s="27" t="n"/>
      <c r="Q443" s="27" t="n"/>
      <c r="R443" s="27" t="n"/>
      <c r="S443" s="27" t="n"/>
      <c r="T443" s="27" t="n"/>
    </row>
    <row r="444">
      <c r="A444" s="27" t="n"/>
      <c r="B444" s="27" t="n"/>
      <c r="C444" s="27" t="n"/>
      <c r="D444" s="27" t="n"/>
      <c r="E444" s="28" t="n"/>
      <c r="F444" s="28" t="n"/>
      <c r="G444" s="27" t="n"/>
      <c r="H444" s="29">
        <f>IF(G444="Invoice",IF(ISNUMBER(F444),F444,""),IF(ISNUMBER(E444),E444,""))</f>
        <v/>
      </c>
      <c r="I444" s="30" t="n"/>
      <c r="J444" s="29">
        <f>IF(AND(ISNUMBER(H444),ISNUMBER(I444)),EDATE(H444,I444),"")</f>
        <v/>
      </c>
      <c r="K444" s="30" t="n"/>
      <c r="L444" s="29">
        <f>IF(AND(ISNUMBER(H444),ISNUMBER(K444)),EDATE(H444,K444),"")</f>
        <v/>
      </c>
      <c r="M444" s="29">
        <f>IF(COUNT(J444,L444)=0,"",IF(MIN(J444,L444)&gt;=TODAY(),MIN(J444,L444),MAX(J444,L444)))</f>
        <v/>
      </c>
      <c r="N444" s="31">
        <f>IF(ISNUMBER(M444),M444-TODAY(),"")</f>
        <v/>
      </c>
      <c r="O444" s="32">
        <f>IF(NOT(ISNUMBER(N444)),"",IF(OR(Q444="Taken",Q444="Declined"),"",IF(N444&lt;0,"Lapsed",IF(N444&lt;=7,7,IF(N444&lt;=30,30,IF(N444&lt;=60,60,IF(N444&lt;=90,90,"")))))))</f>
        <v/>
      </c>
      <c r="P444" s="27" t="n"/>
      <c r="Q444" s="27" t="n"/>
      <c r="R444" s="27" t="n"/>
      <c r="S444" s="27" t="n"/>
      <c r="T444" s="27" t="n"/>
    </row>
    <row r="445">
      <c r="A445" s="27" t="n"/>
      <c r="B445" s="27" t="n"/>
      <c r="C445" s="27" t="n"/>
      <c r="D445" s="27" t="n"/>
      <c r="E445" s="28" t="n"/>
      <c r="F445" s="28" t="n"/>
      <c r="G445" s="27" t="n"/>
      <c r="H445" s="29">
        <f>IF(G445="Invoice",IF(ISNUMBER(F445),F445,""),IF(ISNUMBER(E445),E445,""))</f>
        <v/>
      </c>
      <c r="I445" s="30" t="n"/>
      <c r="J445" s="29">
        <f>IF(AND(ISNUMBER(H445),ISNUMBER(I445)),EDATE(H445,I445),"")</f>
        <v/>
      </c>
      <c r="K445" s="30" t="n"/>
      <c r="L445" s="29">
        <f>IF(AND(ISNUMBER(H445),ISNUMBER(K445)),EDATE(H445,K445),"")</f>
        <v/>
      </c>
      <c r="M445" s="29">
        <f>IF(COUNT(J445,L445)=0,"",IF(MIN(J445,L445)&gt;=TODAY(),MIN(J445,L445),MAX(J445,L445)))</f>
        <v/>
      </c>
      <c r="N445" s="31">
        <f>IF(ISNUMBER(M445),M445-TODAY(),"")</f>
        <v/>
      </c>
      <c r="O445" s="32">
        <f>IF(NOT(ISNUMBER(N445)),"",IF(OR(Q445="Taken",Q445="Declined"),"",IF(N445&lt;0,"Lapsed",IF(N445&lt;=7,7,IF(N445&lt;=30,30,IF(N445&lt;=60,60,IF(N445&lt;=90,90,"")))))))</f>
        <v/>
      </c>
      <c r="P445" s="27" t="n"/>
      <c r="Q445" s="27" t="n"/>
      <c r="R445" s="27" t="n"/>
      <c r="S445" s="27" t="n"/>
      <c r="T445" s="27" t="n"/>
    </row>
    <row r="446">
      <c r="A446" s="27" t="n"/>
      <c r="B446" s="27" t="n"/>
      <c r="C446" s="27" t="n"/>
      <c r="D446" s="27" t="n"/>
      <c r="E446" s="28" t="n"/>
      <c r="F446" s="28" t="n"/>
      <c r="G446" s="27" t="n"/>
      <c r="H446" s="29">
        <f>IF(G446="Invoice",IF(ISNUMBER(F446),F446,""),IF(ISNUMBER(E446),E446,""))</f>
        <v/>
      </c>
      <c r="I446" s="30" t="n"/>
      <c r="J446" s="29">
        <f>IF(AND(ISNUMBER(H446),ISNUMBER(I446)),EDATE(H446,I446),"")</f>
        <v/>
      </c>
      <c r="K446" s="30" t="n"/>
      <c r="L446" s="29">
        <f>IF(AND(ISNUMBER(H446),ISNUMBER(K446)),EDATE(H446,K446),"")</f>
        <v/>
      </c>
      <c r="M446" s="29">
        <f>IF(COUNT(J446,L446)=0,"",IF(MIN(J446,L446)&gt;=TODAY(),MIN(J446,L446),MAX(J446,L446)))</f>
        <v/>
      </c>
      <c r="N446" s="31">
        <f>IF(ISNUMBER(M446),M446-TODAY(),"")</f>
        <v/>
      </c>
      <c r="O446" s="32">
        <f>IF(NOT(ISNUMBER(N446)),"",IF(OR(Q446="Taken",Q446="Declined"),"",IF(N446&lt;0,"Lapsed",IF(N446&lt;=7,7,IF(N446&lt;=30,30,IF(N446&lt;=60,60,IF(N446&lt;=90,90,"")))))))</f>
        <v/>
      </c>
      <c r="P446" s="27" t="n"/>
      <c r="Q446" s="27" t="n"/>
      <c r="R446" s="27" t="n"/>
      <c r="S446" s="27" t="n"/>
      <c r="T446" s="27" t="n"/>
    </row>
    <row r="447">
      <c r="A447" s="27" t="n"/>
      <c r="B447" s="27" t="n"/>
      <c r="C447" s="27" t="n"/>
      <c r="D447" s="27" t="n"/>
      <c r="E447" s="28" t="n"/>
      <c r="F447" s="28" t="n"/>
      <c r="G447" s="27" t="n"/>
      <c r="H447" s="29">
        <f>IF(G447="Invoice",IF(ISNUMBER(F447),F447,""),IF(ISNUMBER(E447),E447,""))</f>
        <v/>
      </c>
      <c r="I447" s="30" t="n"/>
      <c r="J447" s="29">
        <f>IF(AND(ISNUMBER(H447),ISNUMBER(I447)),EDATE(H447,I447),"")</f>
        <v/>
      </c>
      <c r="K447" s="30" t="n"/>
      <c r="L447" s="29">
        <f>IF(AND(ISNUMBER(H447),ISNUMBER(K447)),EDATE(H447,K447),"")</f>
        <v/>
      </c>
      <c r="M447" s="29">
        <f>IF(COUNT(J447,L447)=0,"",IF(MIN(J447,L447)&gt;=TODAY(),MIN(J447,L447),MAX(J447,L447)))</f>
        <v/>
      </c>
      <c r="N447" s="31">
        <f>IF(ISNUMBER(M447),M447-TODAY(),"")</f>
        <v/>
      </c>
      <c r="O447" s="32">
        <f>IF(NOT(ISNUMBER(N447)),"",IF(OR(Q447="Taken",Q447="Declined"),"",IF(N447&lt;0,"Lapsed",IF(N447&lt;=7,7,IF(N447&lt;=30,30,IF(N447&lt;=60,60,IF(N447&lt;=90,90,"")))))))</f>
        <v/>
      </c>
      <c r="P447" s="27" t="n"/>
      <c r="Q447" s="27" t="n"/>
      <c r="R447" s="27" t="n"/>
      <c r="S447" s="27" t="n"/>
      <c r="T447" s="27" t="n"/>
    </row>
    <row r="448">
      <c r="A448" s="27" t="n"/>
      <c r="B448" s="27" t="n"/>
      <c r="C448" s="27" t="n"/>
      <c r="D448" s="27" t="n"/>
      <c r="E448" s="28" t="n"/>
      <c r="F448" s="28" t="n"/>
      <c r="G448" s="27" t="n"/>
      <c r="H448" s="29">
        <f>IF(G448="Invoice",IF(ISNUMBER(F448),F448,""),IF(ISNUMBER(E448),E448,""))</f>
        <v/>
      </c>
      <c r="I448" s="30" t="n"/>
      <c r="J448" s="29">
        <f>IF(AND(ISNUMBER(H448),ISNUMBER(I448)),EDATE(H448,I448),"")</f>
        <v/>
      </c>
      <c r="K448" s="30" t="n"/>
      <c r="L448" s="29">
        <f>IF(AND(ISNUMBER(H448),ISNUMBER(K448)),EDATE(H448,K448),"")</f>
        <v/>
      </c>
      <c r="M448" s="29">
        <f>IF(COUNT(J448,L448)=0,"",IF(MIN(J448,L448)&gt;=TODAY(),MIN(J448,L448),MAX(J448,L448)))</f>
        <v/>
      </c>
      <c r="N448" s="31">
        <f>IF(ISNUMBER(M448),M448-TODAY(),"")</f>
        <v/>
      </c>
      <c r="O448" s="32">
        <f>IF(NOT(ISNUMBER(N448)),"",IF(OR(Q448="Taken",Q448="Declined"),"",IF(N448&lt;0,"Lapsed",IF(N448&lt;=7,7,IF(N448&lt;=30,30,IF(N448&lt;=60,60,IF(N448&lt;=90,90,"")))))))</f>
        <v/>
      </c>
      <c r="P448" s="27" t="n"/>
      <c r="Q448" s="27" t="n"/>
      <c r="R448" s="27" t="n"/>
      <c r="S448" s="27" t="n"/>
      <c r="T448" s="27" t="n"/>
    </row>
    <row r="449">
      <c r="A449" s="27" t="n"/>
      <c r="B449" s="27" t="n"/>
      <c r="C449" s="27" t="n"/>
      <c r="D449" s="27" t="n"/>
      <c r="E449" s="28" t="n"/>
      <c r="F449" s="28" t="n"/>
      <c r="G449" s="27" t="n"/>
      <c r="H449" s="29">
        <f>IF(G449="Invoice",IF(ISNUMBER(F449),F449,""),IF(ISNUMBER(E449),E449,""))</f>
        <v/>
      </c>
      <c r="I449" s="30" t="n"/>
      <c r="J449" s="29">
        <f>IF(AND(ISNUMBER(H449),ISNUMBER(I449)),EDATE(H449,I449),"")</f>
        <v/>
      </c>
      <c r="K449" s="30" t="n"/>
      <c r="L449" s="29">
        <f>IF(AND(ISNUMBER(H449),ISNUMBER(K449)),EDATE(H449,K449),"")</f>
        <v/>
      </c>
      <c r="M449" s="29">
        <f>IF(COUNT(J449,L449)=0,"",IF(MIN(J449,L449)&gt;=TODAY(),MIN(J449,L449),MAX(J449,L449)))</f>
        <v/>
      </c>
      <c r="N449" s="31">
        <f>IF(ISNUMBER(M449),M449-TODAY(),"")</f>
        <v/>
      </c>
      <c r="O449" s="32">
        <f>IF(NOT(ISNUMBER(N449)),"",IF(OR(Q449="Taken",Q449="Declined"),"",IF(N449&lt;0,"Lapsed",IF(N449&lt;=7,7,IF(N449&lt;=30,30,IF(N449&lt;=60,60,IF(N449&lt;=90,90,"")))))))</f>
        <v/>
      </c>
      <c r="P449" s="27" t="n"/>
      <c r="Q449" s="27" t="n"/>
      <c r="R449" s="27" t="n"/>
      <c r="S449" s="27" t="n"/>
      <c r="T449" s="27" t="n"/>
    </row>
    <row r="450">
      <c r="A450" s="27" t="n"/>
      <c r="B450" s="27" t="n"/>
      <c r="C450" s="27" t="n"/>
      <c r="D450" s="27" t="n"/>
      <c r="E450" s="28" t="n"/>
      <c r="F450" s="28" t="n"/>
      <c r="G450" s="27" t="n"/>
      <c r="H450" s="29">
        <f>IF(G450="Invoice",IF(ISNUMBER(F450),F450,""),IF(ISNUMBER(E450),E450,""))</f>
        <v/>
      </c>
      <c r="I450" s="30" t="n"/>
      <c r="J450" s="29">
        <f>IF(AND(ISNUMBER(H450),ISNUMBER(I450)),EDATE(H450,I450),"")</f>
        <v/>
      </c>
      <c r="K450" s="30" t="n"/>
      <c r="L450" s="29">
        <f>IF(AND(ISNUMBER(H450),ISNUMBER(K450)),EDATE(H450,K450),"")</f>
        <v/>
      </c>
      <c r="M450" s="29">
        <f>IF(COUNT(J450,L450)=0,"",IF(MIN(J450,L450)&gt;=TODAY(),MIN(J450,L450),MAX(J450,L450)))</f>
        <v/>
      </c>
      <c r="N450" s="31">
        <f>IF(ISNUMBER(M450),M450-TODAY(),"")</f>
        <v/>
      </c>
      <c r="O450" s="32">
        <f>IF(NOT(ISNUMBER(N450)),"",IF(OR(Q450="Taken",Q450="Declined"),"",IF(N450&lt;0,"Lapsed",IF(N450&lt;=7,7,IF(N450&lt;=30,30,IF(N450&lt;=60,60,IF(N450&lt;=90,90,"")))))))</f>
        <v/>
      </c>
      <c r="P450" s="27" t="n"/>
      <c r="Q450" s="27" t="n"/>
      <c r="R450" s="27" t="n"/>
      <c r="S450" s="27" t="n"/>
      <c r="T450" s="27" t="n"/>
    </row>
    <row r="451">
      <c r="A451" s="27" t="n"/>
      <c r="B451" s="27" t="n"/>
      <c r="C451" s="27" t="n"/>
      <c r="D451" s="27" t="n"/>
      <c r="E451" s="28" t="n"/>
      <c r="F451" s="28" t="n"/>
      <c r="G451" s="27" t="n"/>
      <c r="H451" s="29">
        <f>IF(G451="Invoice",IF(ISNUMBER(F451),F451,""),IF(ISNUMBER(E451),E451,""))</f>
        <v/>
      </c>
      <c r="I451" s="30" t="n"/>
      <c r="J451" s="29">
        <f>IF(AND(ISNUMBER(H451),ISNUMBER(I451)),EDATE(H451,I451),"")</f>
        <v/>
      </c>
      <c r="K451" s="30" t="n"/>
      <c r="L451" s="29">
        <f>IF(AND(ISNUMBER(H451),ISNUMBER(K451)),EDATE(H451,K451),"")</f>
        <v/>
      </c>
      <c r="M451" s="29">
        <f>IF(COUNT(J451,L451)=0,"",IF(MIN(J451,L451)&gt;=TODAY(),MIN(J451,L451),MAX(J451,L451)))</f>
        <v/>
      </c>
      <c r="N451" s="31">
        <f>IF(ISNUMBER(M451),M451-TODAY(),"")</f>
        <v/>
      </c>
      <c r="O451" s="32">
        <f>IF(NOT(ISNUMBER(N451)),"",IF(OR(Q451="Taken",Q451="Declined"),"",IF(N451&lt;0,"Lapsed",IF(N451&lt;=7,7,IF(N451&lt;=30,30,IF(N451&lt;=60,60,IF(N451&lt;=90,90,"")))))))</f>
        <v/>
      </c>
      <c r="P451" s="27" t="n"/>
      <c r="Q451" s="27" t="n"/>
      <c r="R451" s="27" t="n"/>
      <c r="S451" s="27" t="n"/>
      <c r="T451" s="27" t="n"/>
    </row>
    <row r="452">
      <c r="A452" s="27" t="n"/>
      <c r="B452" s="27" t="n"/>
      <c r="C452" s="27" t="n"/>
      <c r="D452" s="27" t="n"/>
      <c r="E452" s="28" t="n"/>
      <c r="F452" s="28" t="n"/>
      <c r="G452" s="27" t="n"/>
      <c r="H452" s="29">
        <f>IF(G452="Invoice",IF(ISNUMBER(F452),F452,""),IF(ISNUMBER(E452),E452,""))</f>
        <v/>
      </c>
      <c r="I452" s="30" t="n"/>
      <c r="J452" s="29">
        <f>IF(AND(ISNUMBER(H452),ISNUMBER(I452)),EDATE(H452,I452),"")</f>
        <v/>
      </c>
      <c r="K452" s="30" t="n"/>
      <c r="L452" s="29">
        <f>IF(AND(ISNUMBER(H452),ISNUMBER(K452)),EDATE(H452,K452),"")</f>
        <v/>
      </c>
      <c r="M452" s="29">
        <f>IF(COUNT(J452,L452)=0,"",IF(MIN(J452,L452)&gt;=TODAY(),MIN(J452,L452),MAX(J452,L452)))</f>
        <v/>
      </c>
      <c r="N452" s="31">
        <f>IF(ISNUMBER(M452),M452-TODAY(),"")</f>
        <v/>
      </c>
      <c r="O452" s="32">
        <f>IF(NOT(ISNUMBER(N452)),"",IF(OR(Q452="Taken",Q452="Declined"),"",IF(N452&lt;0,"Lapsed",IF(N452&lt;=7,7,IF(N452&lt;=30,30,IF(N452&lt;=60,60,IF(N452&lt;=90,90,"")))))))</f>
        <v/>
      </c>
      <c r="P452" s="27" t="n"/>
      <c r="Q452" s="27" t="n"/>
      <c r="R452" s="27" t="n"/>
      <c r="S452" s="27" t="n"/>
      <c r="T452" s="27" t="n"/>
    </row>
    <row r="453">
      <c r="A453" s="27" t="n"/>
      <c r="B453" s="27" t="n"/>
      <c r="C453" s="27" t="n"/>
      <c r="D453" s="27" t="n"/>
      <c r="E453" s="28" t="n"/>
      <c r="F453" s="28" t="n"/>
      <c r="G453" s="27" t="n"/>
      <c r="H453" s="29">
        <f>IF(G453="Invoice",IF(ISNUMBER(F453),F453,""),IF(ISNUMBER(E453),E453,""))</f>
        <v/>
      </c>
      <c r="I453" s="30" t="n"/>
      <c r="J453" s="29">
        <f>IF(AND(ISNUMBER(H453),ISNUMBER(I453)),EDATE(H453,I453),"")</f>
        <v/>
      </c>
      <c r="K453" s="30" t="n"/>
      <c r="L453" s="29">
        <f>IF(AND(ISNUMBER(H453),ISNUMBER(K453)),EDATE(H453,K453),"")</f>
        <v/>
      </c>
      <c r="M453" s="29">
        <f>IF(COUNT(J453,L453)=0,"",IF(MIN(J453,L453)&gt;=TODAY(),MIN(J453,L453),MAX(J453,L453)))</f>
        <v/>
      </c>
      <c r="N453" s="31">
        <f>IF(ISNUMBER(M453),M453-TODAY(),"")</f>
        <v/>
      </c>
      <c r="O453" s="32">
        <f>IF(NOT(ISNUMBER(N453)),"",IF(OR(Q453="Taken",Q453="Declined"),"",IF(N453&lt;0,"Lapsed",IF(N453&lt;=7,7,IF(N453&lt;=30,30,IF(N453&lt;=60,60,IF(N453&lt;=90,90,"")))))))</f>
        <v/>
      </c>
      <c r="P453" s="27" t="n"/>
      <c r="Q453" s="27" t="n"/>
      <c r="R453" s="27" t="n"/>
      <c r="S453" s="27" t="n"/>
      <c r="T453" s="27" t="n"/>
    </row>
    <row r="454">
      <c r="A454" s="27" t="n"/>
      <c r="B454" s="27" t="n"/>
      <c r="C454" s="27" t="n"/>
      <c r="D454" s="27" t="n"/>
      <c r="E454" s="28" t="n"/>
      <c r="F454" s="28" t="n"/>
      <c r="G454" s="27" t="n"/>
      <c r="H454" s="29">
        <f>IF(G454="Invoice",IF(ISNUMBER(F454),F454,""),IF(ISNUMBER(E454),E454,""))</f>
        <v/>
      </c>
      <c r="I454" s="30" t="n"/>
      <c r="J454" s="29">
        <f>IF(AND(ISNUMBER(H454),ISNUMBER(I454)),EDATE(H454,I454),"")</f>
        <v/>
      </c>
      <c r="K454" s="30" t="n"/>
      <c r="L454" s="29">
        <f>IF(AND(ISNUMBER(H454),ISNUMBER(K454)),EDATE(H454,K454),"")</f>
        <v/>
      </c>
      <c r="M454" s="29">
        <f>IF(COUNT(J454,L454)=0,"",IF(MIN(J454,L454)&gt;=TODAY(),MIN(J454,L454),MAX(J454,L454)))</f>
        <v/>
      </c>
      <c r="N454" s="31">
        <f>IF(ISNUMBER(M454),M454-TODAY(),"")</f>
        <v/>
      </c>
      <c r="O454" s="32">
        <f>IF(NOT(ISNUMBER(N454)),"",IF(OR(Q454="Taken",Q454="Declined"),"",IF(N454&lt;0,"Lapsed",IF(N454&lt;=7,7,IF(N454&lt;=30,30,IF(N454&lt;=60,60,IF(N454&lt;=90,90,"")))))))</f>
        <v/>
      </c>
      <c r="P454" s="27" t="n"/>
      <c r="Q454" s="27" t="n"/>
      <c r="R454" s="27" t="n"/>
      <c r="S454" s="27" t="n"/>
      <c r="T454" s="27" t="n"/>
    </row>
    <row r="455">
      <c r="A455" s="27" t="n"/>
      <c r="B455" s="27" t="n"/>
      <c r="C455" s="27" t="n"/>
      <c r="D455" s="27" t="n"/>
      <c r="E455" s="28" t="n"/>
      <c r="F455" s="28" t="n"/>
      <c r="G455" s="27" t="n"/>
      <c r="H455" s="29">
        <f>IF(G455="Invoice",IF(ISNUMBER(F455),F455,""),IF(ISNUMBER(E455),E455,""))</f>
        <v/>
      </c>
      <c r="I455" s="30" t="n"/>
      <c r="J455" s="29">
        <f>IF(AND(ISNUMBER(H455),ISNUMBER(I455)),EDATE(H455,I455),"")</f>
        <v/>
      </c>
      <c r="K455" s="30" t="n"/>
      <c r="L455" s="29">
        <f>IF(AND(ISNUMBER(H455),ISNUMBER(K455)),EDATE(H455,K455),"")</f>
        <v/>
      </c>
      <c r="M455" s="29">
        <f>IF(COUNT(J455,L455)=0,"",IF(MIN(J455,L455)&gt;=TODAY(),MIN(J455,L455),MAX(J455,L455)))</f>
        <v/>
      </c>
      <c r="N455" s="31">
        <f>IF(ISNUMBER(M455),M455-TODAY(),"")</f>
        <v/>
      </c>
      <c r="O455" s="32">
        <f>IF(NOT(ISNUMBER(N455)),"",IF(OR(Q455="Taken",Q455="Declined"),"",IF(N455&lt;0,"Lapsed",IF(N455&lt;=7,7,IF(N455&lt;=30,30,IF(N455&lt;=60,60,IF(N455&lt;=90,90,"")))))))</f>
        <v/>
      </c>
      <c r="P455" s="27" t="n"/>
      <c r="Q455" s="27" t="n"/>
      <c r="R455" s="27" t="n"/>
      <c r="S455" s="27" t="n"/>
      <c r="T455" s="27" t="n"/>
    </row>
    <row r="456">
      <c r="A456" s="27" t="n"/>
      <c r="B456" s="27" t="n"/>
      <c r="C456" s="27" t="n"/>
      <c r="D456" s="27" t="n"/>
      <c r="E456" s="28" t="n"/>
      <c r="F456" s="28" t="n"/>
      <c r="G456" s="27" t="n"/>
      <c r="H456" s="29">
        <f>IF(G456="Invoice",IF(ISNUMBER(F456),F456,""),IF(ISNUMBER(E456),E456,""))</f>
        <v/>
      </c>
      <c r="I456" s="30" t="n"/>
      <c r="J456" s="29">
        <f>IF(AND(ISNUMBER(H456),ISNUMBER(I456)),EDATE(H456,I456),"")</f>
        <v/>
      </c>
      <c r="K456" s="30" t="n"/>
      <c r="L456" s="29">
        <f>IF(AND(ISNUMBER(H456),ISNUMBER(K456)),EDATE(H456,K456),"")</f>
        <v/>
      </c>
      <c r="M456" s="29">
        <f>IF(COUNT(J456,L456)=0,"",IF(MIN(J456,L456)&gt;=TODAY(),MIN(J456,L456),MAX(J456,L456)))</f>
        <v/>
      </c>
      <c r="N456" s="31">
        <f>IF(ISNUMBER(M456),M456-TODAY(),"")</f>
        <v/>
      </c>
      <c r="O456" s="32">
        <f>IF(NOT(ISNUMBER(N456)),"",IF(OR(Q456="Taken",Q456="Declined"),"",IF(N456&lt;0,"Lapsed",IF(N456&lt;=7,7,IF(N456&lt;=30,30,IF(N456&lt;=60,60,IF(N456&lt;=90,90,"")))))))</f>
        <v/>
      </c>
      <c r="P456" s="27" t="n"/>
      <c r="Q456" s="27" t="n"/>
      <c r="R456" s="27" t="n"/>
      <c r="S456" s="27" t="n"/>
      <c r="T456" s="27" t="n"/>
    </row>
    <row r="457">
      <c r="A457" s="27" t="n"/>
      <c r="B457" s="27" t="n"/>
      <c r="C457" s="27" t="n"/>
      <c r="D457" s="27" t="n"/>
      <c r="E457" s="28" t="n"/>
      <c r="F457" s="28" t="n"/>
      <c r="G457" s="27" t="n"/>
      <c r="H457" s="29">
        <f>IF(G457="Invoice",IF(ISNUMBER(F457),F457,""),IF(ISNUMBER(E457),E457,""))</f>
        <v/>
      </c>
      <c r="I457" s="30" t="n"/>
      <c r="J457" s="29">
        <f>IF(AND(ISNUMBER(H457),ISNUMBER(I457)),EDATE(H457,I457),"")</f>
        <v/>
      </c>
      <c r="K457" s="30" t="n"/>
      <c r="L457" s="29">
        <f>IF(AND(ISNUMBER(H457),ISNUMBER(K457)),EDATE(H457,K457),"")</f>
        <v/>
      </c>
      <c r="M457" s="29">
        <f>IF(COUNT(J457,L457)=0,"",IF(MIN(J457,L457)&gt;=TODAY(),MIN(J457,L457),MAX(J457,L457)))</f>
        <v/>
      </c>
      <c r="N457" s="31">
        <f>IF(ISNUMBER(M457),M457-TODAY(),"")</f>
        <v/>
      </c>
      <c r="O457" s="32">
        <f>IF(NOT(ISNUMBER(N457)),"",IF(OR(Q457="Taken",Q457="Declined"),"",IF(N457&lt;0,"Lapsed",IF(N457&lt;=7,7,IF(N457&lt;=30,30,IF(N457&lt;=60,60,IF(N457&lt;=90,90,"")))))))</f>
        <v/>
      </c>
      <c r="P457" s="27" t="n"/>
      <c r="Q457" s="27" t="n"/>
      <c r="R457" s="27" t="n"/>
      <c r="S457" s="27" t="n"/>
      <c r="T457" s="27" t="n"/>
    </row>
    <row r="458">
      <c r="A458" s="27" t="n"/>
      <c r="B458" s="27" t="n"/>
      <c r="C458" s="27" t="n"/>
      <c r="D458" s="27" t="n"/>
      <c r="E458" s="28" t="n"/>
      <c r="F458" s="28" t="n"/>
      <c r="G458" s="27" t="n"/>
      <c r="H458" s="29">
        <f>IF(G458="Invoice",IF(ISNUMBER(F458),F458,""),IF(ISNUMBER(E458),E458,""))</f>
        <v/>
      </c>
      <c r="I458" s="30" t="n"/>
      <c r="J458" s="29">
        <f>IF(AND(ISNUMBER(H458),ISNUMBER(I458)),EDATE(H458,I458),"")</f>
        <v/>
      </c>
      <c r="K458" s="30" t="n"/>
      <c r="L458" s="29">
        <f>IF(AND(ISNUMBER(H458),ISNUMBER(K458)),EDATE(H458,K458),"")</f>
        <v/>
      </c>
      <c r="M458" s="29">
        <f>IF(COUNT(J458,L458)=0,"",IF(MIN(J458,L458)&gt;=TODAY(),MIN(J458,L458),MAX(J458,L458)))</f>
        <v/>
      </c>
      <c r="N458" s="31">
        <f>IF(ISNUMBER(M458),M458-TODAY(),"")</f>
        <v/>
      </c>
      <c r="O458" s="32">
        <f>IF(NOT(ISNUMBER(N458)),"",IF(OR(Q458="Taken",Q458="Declined"),"",IF(N458&lt;0,"Lapsed",IF(N458&lt;=7,7,IF(N458&lt;=30,30,IF(N458&lt;=60,60,IF(N458&lt;=90,90,"")))))))</f>
        <v/>
      </c>
      <c r="P458" s="27" t="n"/>
      <c r="Q458" s="27" t="n"/>
      <c r="R458" s="27" t="n"/>
      <c r="S458" s="27" t="n"/>
      <c r="T458" s="27" t="n"/>
    </row>
    <row r="459">
      <c r="A459" s="27" t="n"/>
      <c r="B459" s="27" t="n"/>
      <c r="C459" s="27" t="n"/>
      <c r="D459" s="27" t="n"/>
      <c r="E459" s="28" t="n"/>
      <c r="F459" s="28" t="n"/>
      <c r="G459" s="27" t="n"/>
      <c r="H459" s="29">
        <f>IF(G459="Invoice",IF(ISNUMBER(F459),F459,""),IF(ISNUMBER(E459),E459,""))</f>
        <v/>
      </c>
      <c r="I459" s="30" t="n"/>
      <c r="J459" s="29">
        <f>IF(AND(ISNUMBER(H459),ISNUMBER(I459)),EDATE(H459,I459),"")</f>
        <v/>
      </c>
      <c r="K459" s="30" t="n"/>
      <c r="L459" s="29">
        <f>IF(AND(ISNUMBER(H459),ISNUMBER(K459)),EDATE(H459,K459),"")</f>
        <v/>
      </c>
      <c r="M459" s="29">
        <f>IF(COUNT(J459,L459)=0,"",IF(MIN(J459,L459)&gt;=TODAY(),MIN(J459,L459),MAX(J459,L459)))</f>
        <v/>
      </c>
      <c r="N459" s="31">
        <f>IF(ISNUMBER(M459),M459-TODAY(),"")</f>
        <v/>
      </c>
      <c r="O459" s="32">
        <f>IF(NOT(ISNUMBER(N459)),"",IF(OR(Q459="Taken",Q459="Declined"),"",IF(N459&lt;0,"Lapsed",IF(N459&lt;=7,7,IF(N459&lt;=30,30,IF(N459&lt;=60,60,IF(N459&lt;=90,90,"")))))))</f>
        <v/>
      </c>
      <c r="P459" s="27" t="n"/>
      <c r="Q459" s="27" t="n"/>
      <c r="R459" s="27" t="n"/>
      <c r="S459" s="27" t="n"/>
      <c r="T459" s="27" t="n"/>
    </row>
    <row r="460">
      <c r="A460" s="27" t="n"/>
      <c r="B460" s="27" t="n"/>
      <c r="C460" s="27" t="n"/>
      <c r="D460" s="27" t="n"/>
      <c r="E460" s="28" t="n"/>
      <c r="F460" s="28" t="n"/>
      <c r="G460" s="27" t="n"/>
      <c r="H460" s="29">
        <f>IF(G460="Invoice",IF(ISNUMBER(F460),F460,""),IF(ISNUMBER(E460),E460,""))</f>
        <v/>
      </c>
      <c r="I460" s="30" t="n"/>
      <c r="J460" s="29">
        <f>IF(AND(ISNUMBER(H460),ISNUMBER(I460)),EDATE(H460,I460),"")</f>
        <v/>
      </c>
      <c r="K460" s="30" t="n"/>
      <c r="L460" s="29">
        <f>IF(AND(ISNUMBER(H460),ISNUMBER(K460)),EDATE(H460,K460),"")</f>
        <v/>
      </c>
      <c r="M460" s="29">
        <f>IF(COUNT(J460,L460)=0,"",IF(MIN(J460,L460)&gt;=TODAY(),MIN(J460,L460),MAX(J460,L460)))</f>
        <v/>
      </c>
      <c r="N460" s="31">
        <f>IF(ISNUMBER(M460),M460-TODAY(),"")</f>
        <v/>
      </c>
      <c r="O460" s="32">
        <f>IF(NOT(ISNUMBER(N460)),"",IF(OR(Q460="Taken",Q460="Declined"),"",IF(N460&lt;0,"Lapsed",IF(N460&lt;=7,7,IF(N460&lt;=30,30,IF(N460&lt;=60,60,IF(N460&lt;=90,90,"")))))))</f>
        <v/>
      </c>
      <c r="P460" s="27" t="n"/>
      <c r="Q460" s="27" t="n"/>
      <c r="R460" s="27" t="n"/>
      <c r="S460" s="27" t="n"/>
      <c r="T460" s="27" t="n"/>
    </row>
    <row r="461">
      <c r="A461" s="27" t="n"/>
      <c r="B461" s="27" t="n"/>
      <c r="C461" s="27" t="n"/>
      <c r="D461" s="27" t="n"/>
      <c r="E461" s="28" t="n"/>
      <c r="F461" s="28" t="n"/>
      <c r="G461" s="27" t="n"/>
      <c r="H461" s="29">
        <f>IF(G461="Invoice",IF(ISNUMBER(F461),F461,""),IF(ISNUMBER(E461),E461,""))</f>
        <v/>
      </c>
      <c r="I461" s="30" t="n"/>
      <c r="J461" s="29">
        <f>IF(AND(ISNUMBER(H461),ISNUMBER(I461)),EDATE(H461,I461),"")</f>
        <v/>
      </c>
      <c r="K461" s="30" t="n"/>
      <c r="L461" s="29">
        <f>IF(AND(ISNUMBER(H461),ISNUMBER(K461)),EDATE(H461,K461),"")</f>
        <v/>
      </c>
      <c r="M461" s="29">
        <f>IF(COUNT(J461,L461)=0,"",IF(MIN(J461,L461)&gt;=TODAY(),MIN(J461,L461),MAX(J461,L461)))</f>
        <v/>
      </c>
      <c r="N461" s="31">
        <f>IF(ISNUMBER(M461),M461-TODAY(),"")</f>
        <v/>
      </c>
      <c r="O461" s="32">
        <f>IF(NOT(ISNUMBER(N461)),"",IF(OR(Q461="Taken",Q461="Declined"),"",IF(N461&lt;0,"Lapsed",IF(N461&lt;=7,7,IF(N461&lt;=30,30,IF(N461&lt;=60,60,IF(N461&lt;=90,90,"")))))))</f>
        <v/>
      </c>
      <c r="P461" s="27" t="n"/>
      <c r="Q461" s="27" t="n"/>
      <c r="R461" s="27" t="n"/>
      <c r="S461" s="27" t="n"/>
      <c r="T461" s="27" t="n"/>
    </row>
    <row r="462">
      <c r="A462" s="27" t="n"/>
      <c r="B462" s="27" t="n"/>
      <c r="C462" s="27" t="n"/>
      <c r="D462" s="27" t="n"/>
      <c r="E462" s="28" t="n"/>
      <c r="F462" s="28" t="n"/>
      <c r="G462" s="27" t="n"/>
      <c r="H462" s="29">
        <f>IF(G462="Invoice",IF(ISNUMBER(F462),F462,""),IF(ISNUMBER(E462),E462,""))</f>
        <v/>
      </c>
      <c r="I462" s="30" t="n"/>
      <c r="J462" s="29">
        <f>IF(AND(ISNUMBER(H462),ISNUMBER(I462)),EDATE(H462,I462),"")</f>
        <v/>
      </c>
      <c r="K462" s="30" t="n"/>
      <c r="L462" s="29">
        <f>IF(AND(ISNUMBER(H462),ISNUMBER(K462)),EDATE(H462,K462),"")</f>
        <v/>
      </c>
      <c r="M462" s="29">
        <f>IF(COUNT(J462,L462)=0,"",IF(MIN(J462,L462)&gt;=TODAY(),MIN(J462,L462),MAX(J462,L462)))</f>
        <v/>
      </c>
      <c r="N462" s="31">
        <f>IF(ISNUMBER(M462),M462-TODAY(),"")</f>
        <v/>
      </c>
      <c r="O462" s="32">
        <f>IF(NOT(ISNUMBER(N462)),"",IF(OR(Q462="Taken",Q462="Declined"),"",IF(N462&lt;0,"Lapsed",IF(N462&lt;=7,7,IF(N462&lt;=30,30,IF(N462&lt;=60,60,IF(N462&lt;=90,90,"")))))))</f>
        <v/>
      </c>
      <c r="P462" s="27" t="n"/>
      <c r="Q462" s="27" t="n"/>
      <c r="R462" s="27" t="n"/>
      <c r="S462" s="27" t="n"/>
      <c r="T462" s="27" t="n"/>
    </row>
    <row r="463">
      <c r="A463" s="27" t="n"/>
      <c r="B463" s="27" t="n"/>
      <c r="C463" s="27" t="n"/>
      <c r="D463" s="27" t="n"/>
      <c r="E463" s="28" t="n"/>
      <c r="F463" s="28" t="n"/>
      <c r="G463" s="27" t="n"/>
      <c r="H463" s="29">
        <f>IF(G463="Invoice",IF(ISNUMBER(F463),F463,""),IF(ISNUMBER(E463),E463,""))</f>
        <v/>
      </c>
      <c r="I463" s="30" t="n"/>
      <c r="J463" s="29">
        <f>IF(AND(ISNUMBER(H463),ISNUMBER(I463)),EDATE(H463,I463),"")</f>
        <v/>
      </c>
      <c r="K463" s="30" t="n"/>
      <c r="L463" s="29">
        <f>IF(AND(ISNUMBER(H463),ISNUMBER(K463)),EDATE(H463,K463),"")</f>
        <v/>
      </c>
      <c r="M463" s="29">
        <f>IF(COUNT(J463,L463)=0,"",IF(MIN(J463,L463)&gt;=TODAY(),MIN(J463,L463),MAX(J463,L463)))</f>
        <v/>
      </c>
      <c r="N463" s="31">
        <f>IF(ISNUMBER(M463),M463-TODAY(),"")</f>
        <v/>
      </c>
      <c r="O463" s="32">
        <f>IF(NOT(ISNUMBER(N463)),"",IF(OR(Q463="Taken",Q463="Declined"),"",IF(N463&lt;0,"Lapsed",IF(N463&lt;=7,7,IF(N463&lt;=30,30,IF(N463&lt;=60,60,IF(N463&lt;=90,90,"")))))))</f>
        <v/>
      </c>
      <c r="P463" s="27" t="n"/>
      <c r="Q463" s="27" t="n"/>
      <c r="R463" s="27" t="n"/>
      <c r="S463" s="27" t="n"/>
      <c r="T463" s="27" t="n"/>
    </row>
    <row r="464">
      <c r="A464" s="27" t="n"/>
      <c r="B464" s="27" t="n"/>
      <c r="C464" s="27" t="n"/>
      <c r="D464" s="27" t="n"/>
      <c r="E464" s="28" t="n"/>
      <c r="F464" s="28" t="n"/>
      <c r="G464" s="27" t="n"/>
      <c r="H464" s="29">
        <f>IF(G464="Invoice",IF(ISNUMBER(F464),F464,""),IF(ISNUMBER(E464),E464,""))</f>
        <v/>
      </c>
      <c r="I464" s="30" t="n"/>
      <c r="J464" s="29">
        <f>IF(AND(ISNUMBER(H464),ISNUMBER(I464)),EDATE(H464,I464),"")</f>
        <v/>
      </c>
      <c r="K464" s="30" t="n"/>
      <c r="L464" s="29">
        <f>IF(AND(ISNUMBER(H464),ISNUMBER(K464)),EDATE(H464,K464),"")</f>
        <v/>
      </c>
      <c r="M464" s="29">
        <f>IF(COUNT(J464,L464)=0,"",IF(MIN(J464,L464)&gt;=TODAY(),MIN(J464,L464),MAX(J464,L464)))</f>
        <v/>
      </c>
      <c r="N464" s="31">
        <f>IF(ISNUMBER(M464),M464-TODAY(),"")</f>
        <v/>
      </c>
      <c r="O464" s="32">
        <f>IF(NOT(ISNUMBER(N464)),"",IF(OR(Q464="Taken",Q464="Declined"),"",IF(N464&lt;0,"Lapsed",IF(N464&lt;=7,7,IF(N464&lt;=30,30,IF(N464&lt;=60,60,IF(N464&lt;=90,90,"")))))))</f>
        <v/>
      </c>
      <c r="P464" s="27" t="n"/>
      <c r="Q464" s="27" t="n"/>
      <c r="R464" s="27" t="n"/>
      <c r="S464" s="27" t="n"/>
      <c r="T464" s="27" t="n"/>
    </row>
    <row r="465">
      <c r="A465" s="27" t="n"/>
      <c r="B465" s="27" t="n"/>
      <c r="C465" s="27" t="n"/>
      <c r="D465" s="27" t="n"/>
      <c r="E465" s="28" t="n"/>
      <c r="F465" s="28" t="n"/>
      <c r="G465" s="27" t="n"/>
      <c r="H465" s="29">
        <f>IF(G465="Invoice",IF(ISNUMBER(F465),F465,""),IF(ISNUMBER(E465),E465,""))</f>
        <v/>
      </c>
      <c r="I465" s="30" t="n"/>
      <c r="J465" s="29">
        <f>IF(AND(ISNUMBER(H465),ISNUMBER(I465)),EDATE(H465,I465),"")</f>
        <v/>
      </c>
      <c r="K465" s="30" t="n"/>
      <c r="L465" s="29">
        <f>IF(AND(ISNUMBER(H465),ISNUMBER(K465)),EDATE(H465,K465),"")</f>
        <v/>
      </c>
      <c r="M465" s="29">
        <f>IF(COUNT(J465,L465)=0,"",IF(MIN(J465,L465)&gt;=TODAY(),MIN(J465,L465),MAX(J465,L465)))</f>
        <v/>
      </c>
      <c r="N465" s="31">
        <f>IF(ISNUMBER(M465),M465-TODAY(),"")</f>
        <v/>
      </c>
      <c r="O465" s="32">
        <f>IF(NOT(ISNUMBER(N465)),"",IF(OR(Q465="Taken",Q465="Declined"),"",IF(N465&lt;0,"Lapsed",IF(N465&lt;=7,7,IF(N465&lt;=30,30,IF(N465&lt;=60,60,IF(N465&lt;=90,90,"")))))))</f>
        <v/>
      </c>
      <c r="P465" s="27" t="n"/>
      <c r="Q465" s="27" t="n"/>
      <c r="R465" s="27" t="n"/>
      <c r="S465" s="27" t="n"/>
      <c r="T465" s="27" t="n"/>
    </row>
    <row r="466">
      <c r="A466" s="27" t="n"/>
      <c r="B466" s="27" t="n"/>
      <c r="C466" s="27" t="n"/>
      <c r="D466" s="27" t="n"/>
      <c r="E466" s="28" t="n"/>
      <c r="F466" s="28" t="n"/>
      <c r="G466" s="27" t="n"/>
      <c r="H466" s="29">
        <f>IF(G466="Invoice",IF(ISNUMBER(F466),F466,""),IF(ISNUMBER(E466),E466,""))</f>
        <v/>
      </c>
      <c r="I466" s="30" t="n"/>
      <c r="J466" s="29">
        <f>IF(AND(ISNUMBER(H466),ISNUMBER(I466)),EDATE(H466,I466),"")</f>
        <v/>
      </c>
      <c r="K466" s="30" t="n"/>
      <c r="L466" s="29">
        <f>IF(AND(ISNUMBER(H466),ISNUMBER(K466)),EDATE(H466,K466),"")</f>
        <v/>
      </c>
      <c r="M466" s="29">
        <f>IF(COUNT(J466,L466)=0,"",IF(MIN(J466,L466)&gt;=TODAY(),MIN(J466,L466),MAX(J466,L466)))</f>
        <v/>
      </c>
      <c r="N466" s="31">
        <f>IF(ISNUMBER(M466),M466-TODAY(),"")</f>
        <v/>
      </c>
      <c r="O466" s="32">
        <f>IF(NOT(ISNUMBER(N466)),"",IF(OR(Q466="Taken",Q466="Declined"),"",IF(N466&lt;0,"Lapsed",IF(N466&lt;=7,7,IF(N466&lt;=30,30,IF(N466&lt;=60,60,IF(N466&lt;=90,90,"")))))))</f>
        <v/>
      </c>
      <c r="P466" s="27" t="n"/>
      <c r="Q466" s="27" t="n"/>
      <c r="R466" s="27" t="n"/>
      <c r="S466" s="27" t="n"/>
      <c r="T466" s="27" t="n"/>
    </row>
    <row r="467">
      <c r="A467" s="27" t="n"/>
      <c r="B467" s="27" t="n"/>
      <c r="C467" s="27" t="n"/>
      <c r="D467" s="27" t="n"/>
      <c r="E467" s="28" t="n"/>
      <c r="F467" s="28" t="n"/>
      <c r="G467" s="27" t="n"/>
      <c r="H467" s="29">
        <f>IF(G467="Invoice",IF(ISNUMBER(F467),F467,""),IF(ISNUMBER(E467),E467,""))</f>
        <v/>
      </c>
      <c r="I467" s="30" t="n"/>
      <c r="J467" s="29">
        <f>IF(AND(ISNUMBER(H467),ISNUMBER(I467)),EDATE(H467,I467),"")</f>
        <v/>
      </c>
      <c r="K467" s="30" t="n"/>
      <c r="L467" s="29">
        <f>IF(AND(ISNUMBER(H467),ISNUMBER(K467)),EDATE(H467,K467),"")</f>
        <v/>
      </c>
      <c r="M467" s="29">
        <f>IF(COUNT(J467,L467)=0,"",IF(MIN(J467,L467)&gt;=TODAY(),MIN(J467,L467),MAX(J467,L467)))</f>
        <v/>
      </c>
      <c r="N467" s="31">
        <f>IF(ISNUMBER(M467),M467-TODAY(),"")</f>
        <v/>
      </c>
      <c r="O467" s="32">
        <f>IF(NOT(ISNUMBER(N467)),"",IF(OR(Q467="Taken",Q467="Declined"),"",IF(N467&lt;0,"Lapsed",IF(N467&lt;=7,7,IF(N467&lt;=30,30,IF(N467&lt;=60,60,IF(N467&lt;=90,90,"")))))))</f>
        <v/>
      </c>
      <c r="P467" s="27" t="n"/>
      <c r="Q467" s="27" t="n"/>
      <c r="R467" s="27" t="n"/>
      <c r="S467" s="27" t="n"/>
      <c r="T467" s="27" t="n"/>
    </row>
    <row r="468">
      <c r="A468" s="27" t="n"/>
      <c r="B468" s="27" t="n"/>
      <c r="C468" s="27" t="n"/>
      <c r="D468" s="27" t="n"/>
      <c r="E468" s="28" t="n"/>
      <c r="F468" s="28" t="n"/>
      <c r="G468" s="27" t="n"/>
      <c r="H468" s="29">
        <f>IF(G468="Invoice",IF(ISNUMBER(F468),F468,""),IF(ISNUMBER(E468),E468,""))</f>
        <v/>
      </c>
      <c r="I468" s="30" t="n"/>
      <c r="J468" s="29">
        <f>IF(AND(ISNUMBER(H468),ISNUMBER(I468)),EDATE(H468,I468),"")</f>
        <v/>
      </c>
      <c r="K468" s="30" t="n"/>
      <c r="L468" s="29">
        <f>IF(AND(ISNUMBER(H468),ISNUMBER(K468)),EDATE(H468,K468),"")</f>
        <v/>
      </c>
      <c r="M468" s="29">
        <f>IF(COUNT(J468,L468)=0,"",IF(MIN(J468,L468)&gt;=TODAY(),MIN(J468,L468),MAX(J468,L468)))</f>
        <v/>
      </c>
      <c r="N468" s="31">
        <f>IF(ISNUMBER(M468),M468-TODAY(),"")</f>
        <v/>
      </c>
      <c r="O468" s="32">
        <f>IF(NOT(ISNUMBER(N468)),"",IF(OR(Q468="Taken",Q468="Declined"),"",IF(N468&lt;0,"Lapsed",IF(N468&lt;=7,7,IF(N468&lt;=30,30,IF(N468&lt;=60,60,IF(N468&lt;=90,90,"")))))))</f>
        <v/>
      </c>
      <c r="P468" s="27" t="n"/>
      <c r="Q468" s="27" t="n"/>
      <c r="R468" s="27" t="n"/>
      <c r="S468" s="27" t="n"/>
      <c r="T468" s="27" t="n"/>
    </row>
    <row r="469">
      <c r="A469" s="27" t="n"/>
      <c r="B469" s="27" t="n"/>
      <c r="C469" s="27" t="n"/>
      <c r="D469" s="27" t="n"/>
      <c r="E469" s="28" t="n"/>
      <c r="F469" s="28" t="n"/>
      <c r="G469" s="27" t="n"/>
      <c r="H469" s="29">
        <f>IF(G469="Invoice",IF(ISNUMBER(F469),F469,""),IF(ISNUMBER(E469),E469,""))</f>
        <v/>
      </c>
      <c r="I469" s="30" t="n"/>
      <c r="J469" s="29">
        <f>IF(AND(ISNUMBER(H469),ISNUMBER(I469)),EDATE(H469,I469),"")</f>
        <v/>
      </c>
      <c r="K469" s="30" t="n"/>
      <c r="L469" s="29">
        <f>IF(AND(ISNUMBER(H469),ISNUMBER(K469)),EDATE(H469,K469),"")</f>
        <v/>
      </c>
      <c r="M469" s="29">
        <f>IF(COUNT(J469,L469)=0,"",IF(MIN(J469,L469)&gt;=TODAY(),MIN(J469,L469),MAX(J469,L469)))</f>
        <v/>
      </c>
      <c r="N469" s="31">
        <f>IF(ISNUMBER(M469),M469-TODAY(),"")</f>
        <v/>
      </c>
      <c r="O469" s="32">
        <f>IF(NOT(ISNUMBER(N469)),"",IF(OR(Q469="Taken",Q469="Declined"),"",IF(N469&lt;0,"Lapsed",IF(N469&lt;=7,7,IF(N469&lt;=30,30,IF(N469&lt;=60,60,IF(N469&lt;=90,90,"")))))))</f>
        <v/>
      </c>
      <c r="P469" s="27" t="n"/>
      <c r="Q469" s="27" t="n"/>
      <c r="R469" s="27" t="n"/>
      <c r="S469" s="27" t="n"/>
      <c r="T469" s="27" t="n"/>
    </row>
    <row r="470">
      <c r="A470" s="27" t="n"/>
      <c r="B470" s="27" t="n"/>
      <c r="C470" s="27" t="n"/>
      <c r="D470" s="27" t="n"/>
      <c r="E470" s="28" t="n"/>
      <c r="F470" s="28" t="n"/>
      <c r="G470" s="27" t="n"/>
      <c r="H470" s="29">
        <f>IF(G470="Invoice",IF(ISNUMBER(F470),F470,""),IF(ISNUMBER(E470),E470,""))</f>
        <v/>
      </c>
      <c r="I470" s="30" t="n"/>
      <c r="J470" s="29">
        <f>IF(AND(ISNUMBER(H470),ISNUMBER(I470)),EDATE(H470,I470),"")</f>
        <v/>
      </c>
      <c r="K470" s="30" t="n"/>
      <c r="L470" s="29">
        <f>IF(AND(ISNUMBER(H470),ISNUMBER(K470)),EDATE(H470,K470),"")</f>
        <v/>
      </c>
      <c r="M470" s="29">
        <f>IF(COUNT(J470,L470)=0,"",IF(MIN(J470,L470)&gt;=TODAY(),MIN(J470,L470),MAX(J470,L470)))</f>
        <v/>
      </c>
      <c r="N470" s="31">
        <f>IF(ISNUMBER(M470),M470-TODAY(),"")</f>
        <v/>
      </c>
      <c r="O470" s="32">
        <f>IF(NOT(ISNUMBER(N470)),"",IF(OR(Q470="Taken",Q470="Declined"),"",IF(N470&lt;0,"Lapsed",IF(N470&lt;=7,7,IF(N470&lt;=30,30,IF(N470&lt;=60,60,IF(N470&lt;=90,90,"")))))))</f>
        <v/>
      </c>
      <c r="P470" s="27" t="n"/>
      <c r="Q470" s="27" t="n"/>
      <c r="R470" s="27" t="n"/>
      <c r="S470" s="27" t="n"/>
      <c r="T470" s="27" t="n"/>
    </row>
    <row r="471">
      <c r="A471" s="27" t="n"/>
      <c r="B471" s="27" t="n"/>
      <c r="C471" s="27" t="n"/>
      <c r="D471" s="27" t="n"/>
      <c r="E471" s="28" t="n"/>
      <c r="F471" s="28" t="n"/>
      <c r="G471" s="27" t="n"/>
      <c r="H471" s="29">
        <f>IF(G471="Invoice",IF(ISNUMBER(F471),F471,""),IF(ISNUMBER(E471),E471,""))</f>
        <v/>
      </c>
      <c r="I471" s="30" t="n"/>
      <c r="J471" s="29">
        <f>IF(AND(ISNUMBER(H471),ISNUMBER(I471)),EDATE(H471,I471),"")</f>
        <v/>
      </c>
      <c r="K471" s="30" t="n"/>
      <c r="L471" s="29">
        <f>IF(AND(ISNUMBER(H471),ISNUMBER(K471)),EDATE(H471,K471),"")</f>
        <v/>
      </c>
      <c r="M471" s="29">
        <f>IF(COUNT(J471,L471)=0,"",IF(MIN(J471,L471)&gt;=TODAY(),MIN(J471,L471),MAX(J471,L471)))</f>
        <v/>
      </c>
      <c r="N471" s="31">
        <f>IF(ISNUMBER(M471),M471-TODAY(),"")</f>
        <v/>
      </c>
      <c r="O471" s="32">
        <f>IF(NOT(ISNUMBER(N471)),"",IF(OR(Q471="Taken",Q471="Declined"),"",IF(N471&lt;0,"Lapsed",IF(N471&lt;=7,7,IF(N471&lt;=30,30,IF(N471&lt;=60,60,IF(N471&lt;=90,90,"")))))))</f>
        <v/>
      </c>
      <c r="P471" s="27" t="n"/>
      <c r="Q471" s="27" t="n"/>
      <c r="R471" s="27" t="n"/>
      <c r="S471" s="27" t="n"/>
      <c r="T471" s="27" t="n"/>
    </row>
    <row r="472">
      <c r="A472" s="27" t="n"/>
      <c r="B472" s="27" t="n"/>
      <c r="C472" s="27" t="n"/>
      <c r="D472" s="27" t="n"/>
      <c r="E472" s="28" t="n"/>
      <c r="F472" s="28" t="n"/>
      <c r="G472" s="27" t="n"/>
      <c r="H472" s="29">
        <f>IF(G472="Invoice",IF(ISNUMBER(F472),F472,""),IF(ISNUMBER(E472),E472,""))</f>
        <v/>
      </c>
      <c r="I472" s="30" t="n"/>
      <c r="J472" s="29">
        <f>IF(AND(ISNUMBER(H472),ISNUMBER(I472)),EDATE(H472,I472),"")</f>
        <v/>
      </c>
      <c r="K472" s="30" t="n"/>
      <c r="L472" s="29">
        <f>IF(AND(ISNUMBER(H472),ISNUMBER(K472)),EDATE(H472,K472),"")</f>
        <v/>
      </c>
      <c r="M472" s="29">
        <f>IF(COUNT(J472,L472)=0,"",IF(MIN(J472,L472)&gt;=TODAY(),MIN(J472,L472),MAX(J472,L472)))</f>
        <v/>
      </c>
      <c r="N472" s="31">
        <f>IF(ISNUMBER(M472),M472-TODAY(),"")</f>
        <v/>
      </c>
      <c r="O472" s="32">
        <f>IF(NOT(ISNUMBER(N472)),"",IF(OR(Q472="Taken",Q472="Declined"),"",IF(N472&lt;0,"Lapsed",IF(N472&lt;=7,7,IF(N472&lt;=30,30,IF(N472&lt;=60,60,IF(N472&lt;=90,90,"")))))))</f>
        <v/>
      </c>
      <c r="P472" s="27" t="n"/>
      <c r="Q472" s="27" t="n"/>
      <c r="R472" s="27" t="n"/>
      <c r="S472" s="27" t="n"/>
      <c r="T472" s="27" t="n"/>
    </row>
    <row r="473">
      <c r="A473" s="27" t="n"/>
      <c r="B473" s="27" t="n"/>
      <c r="C473" s="27" t="n"/>
      <c r="D473" s="27" t="n"/>
      <c r="E473" s="28" t="n"/>
      <c r="F473" s="28" t="n"/>
      <c r="G473" s="27" t="n"/>
      <c r="H473" s="29">
        <f>IF(G473="Invoice",IF(ISNUMBER(F473),F473,""),IF(ISNUMBER(E473),E473,""))</f>
        <v/>
      </c>
      <c r="I473" s="30" t="n"/>
      <c r="J473" s="29">
        <f>IF(AND(ISNUMBER(H473),ISNUMBER(I473)),EDATE(H473,I473),"")</f>
        <v/>
      </c>
      <c r="K473" s="30" t="n"/>
      <c r="L473" s="29">
        <f>IF(AND(ISNUMBER(H473),ISNUMBER(K473)),EDATE(H473,K473),"")</f>
        <v/>
      </c>
      <c r="M473" s="29">
        <f>IF(COUNT(J473,L473)=0,"",IF(MIN(J473,L473)&gt;=TODAY(),MIN(J473,L473),MAX(J473,L473)))</f>
        <v/>
      </c>
      <c r="N473" s="31">
        <f>IF(ISNUMBER(M473),M473-TODAY(),"")</f>
        <v/>
      </c>
      <c r="O473" s="32">
        <f>IF(NOT(ISNUMBER(N473)),"",IF(OR(Q473="Taken",Q473="Declined"),"",IF(N473&lt;0,"Lapsed",IF(N473&lt;=7,7,IF(N473&lt;=30,30,IF(N473&lt;=60,60,IF(N473&lt;=90,90,"")))))))</f>
        <v/>
      </c>
      <c r="P473" s="27" t="n"/>
      <c r="Q473" s="27" t="n"/>
      <c r="R473" s="27" t="n"/>
      <c r="S473" s="27" t="n"/>
      <c r="T473" s="27" t="n"/>
    </row>
    <row r="474">
      <c r="A474" s="27" t="n"/>
      <c r="B474" s="27" t="n"/>
      <c r="C474" s="27" t="n"/>
      <c r="D474" s="27" t="n"/>
      <c r="E474" s="28" t="n"/>
      <c r="F474" s="28" t="n"/>
      <c r="G474" s="27" t="n"/>
      <c r="H474" s="29">
        <f>IF(G474="Invoice",IF(ISNUMBER(F474),F474,""),IF(ISNUMBER(E474),E474,""))</f>
        <v/>
      </c>
      <c r="I474" s="30" t="n"/>
      <c r="J474" s="29">
        <f>IF(AND(ISNUMBER(H474),ISNUMBER(I474)),EDATE(H474,I474),"")</f>
        <v/>
      </c>
      <c r="K474" s="30" t="n"/>
      <c r="L474" s="29">
        <f>IF(AND(ISNUMBER(H474),ISNUMBER(K474)),EDATE(H474,K474),"")</f>
        <v/>
      </c>
      <c r="M474" s="29">
        <f>IF(COUNT(J474,L474)=0,"",IF(MIN(J474,L474)&gt;=TODAY(),MIN(J474,L474),MAX(J474,L474)))</f>
        <v/>
      </c>
      <c r="N474" s="31">
        <f>IF(ISNUMBER(M474),M474-TODAY(),"")</f>
        <v/>
      </c>
      <c r="O474" s="32">
        <f>IF(NOT(ISNUMBER(N474)),"",IF(OR(Q474="Taken",Q474="Declined"),"",IF(N474&lt;0,"Lapsed",IF(N474&lt;=7,7,IF(N474&lt;=30,30,IF(N474&lt;=60,60,IF(N474&lt;=90,90,"")))))))</f>
        <v/>
      </c>
      <c r="P474" s="27" t="n"/>
      <c r="Q474" s="27" t="n"/>
      <c r="R474" s="27" t="n"/>
      <c r="S474" s="27" t="n"/>
      <c r="T474" s="27" t="n"/>
    </row>
    <row r="475">
      <c r="A475" s="27" t="n"/>
      <c r="B475" s="27" t="n"/>
      <c r="C475" s="27" t="n"/>
      <c r="D475" s="27" t="n"/>
      <c r="E475" s="28" t="n"/>
      <c r="F475" s="28" t="n"/>
      <c r="G475" s="27" t="n"/>
      <c r="H475" s="29">
        <f>IF(G475="Invoice",IF(ISNUMBER(F475),F475,""),IF(ISNUMBER(E475),E475,""))</f>
        <v/>
      </c>
      <c r="I475" s="30" t="n"/>
      <c r="J475" s="29">
        <f>IF(AND(ISNUMBER(H475),ISNUMBER(I475)),EDATE(H475,I475),"")</f>
        <v/>
      </c>
      <c r="K475" s="30" t="n"/>
      <c r="L475" s="29">
        <f>IF(AND(ISNUMBER(H475),ISNUMBER(K475)),EDATE(H475,K475),"")</f>
        <v/>
      </c>
      <c r="M475" s="29">
        <f>IF(COUNT(J475,L475)=0,"",IF(MIN(J475,L475)&gt;=TODAY(),MIN(J475,L475),MAX(J475,L475)))</f>
        <v/>
      </c>
      <c r="N475" s="31">
        <f>IF(ISNUMBER(M475),M475-TODAY(),"")</f>
        <v/>
      </c>
      <c r="O475" s="32">
        <f>IF(NOT(ISNUMBER(N475)),"",IF(OR(Q475="Taken",Q475="Declined"),"",IF(N475&lt;0,"Lapsed",IF(N475&lt;=7,7,IF(N475&lt;=30,30,IF(N475&lt;=60,60,IF(N475&lt;=90,90,"")))))))</f>
        <v/>
      </c>
      <c r="P475" s="27" t="n"/>
      <c r="Q475" s="27" t="n"/>
      <c r="R475" s="27" t="n"/>
      <c r="S475" s="27" t="n"/>
      <c r="T475" s="27" t="n"/>
    </row>
    <row r="476">
      <c r="A476" s="27" t="n"/>
      <c r="B476" s="27" t="n"/>
      <c r="C476" s="27" t="n"/>
      <c r="D476" s="27" t="n"/>
      <c r="E476" s="28" t="n"/>
      <c r="F476" s="28" t="n"/>
      <c r="G476" s="27" t="n"/>
      <c r="H476" s="29">
        <f>IF(G476="Invoice",IF(ISNUMBER(F476),F476,""),IF(ISNUMBER(E476),E476,""))</f>
        <v/>
      </c>
      <c r="I476" s="30" t="n"/>
      <c r="J476" s="29">
        <f>IF(AND(ISNUMBER(H476),ISNUMBER(I476)),EDATE(H476,I476),"")</f>
        <v/>
      </c>
      <c r="K476" s="30" t="n"/>
      <c r="L476" s="29">
        <f>IF(AND(ISNUMBER(H476),ISNUMBER(K476)),EDATE(H476,K476),"")</f>
        <v/>
      </c>
      <c r="M476" s="29">
        <f>IF(COUNT(J476,L476)=0,"",IF(MIN(J476,L476)&gt;=TODAY(),MIN(J476,L476),MAX(J476,L476)))</f>
        <v/>
      </c>
      <c r="N476" s="31">
        <f>IF(ISNUMBER(M476),M476-TODAY(),"")</f>
        <v/>
      </c>
      <c r="O476" s="32">
        <f>IF(NOT(ISNUMBER(N476)),"",IF(OR(Q476="Taken",Q476="Declined"),"",IF(N476&lt;0,"Lapsed",IF(N476&lt;=7,7,IF(N476&lt;=30,30,IF(N476&lt;=60,60,IF(N476&lt;=90,90,"")))))))</f>
        <v/>
      </c>
      <c r="P476" s="27" t="n"/>
      <c r="Q476" s="27" t="n"/>
      <c r="R476" s="27" t="n"/>
      <c r="S476" s="27" t="n"/>
      <c r="T476" s="27" t="n"/>
    </row>
    <row r="477">
      <c r="A477" s="27" t="n"/>
      <c r="B477" s="27" t="n"/>
      <c r="C477" s="27" t="n"/>
      <c r="D477" s="27" t="n"/>
      <c r="E477" s="28" t="n"/>
      <c r="F477" s="28" t="n"/>
      <c r="G477" s="27" t="n"/>
      <c r="H477" s="29">
        <f>IF(G477="Invoice",IF(ISNUMBER(F477),F477,""),IF(ISNUMBER(E477),E477,""))</f>
        <v/>
      </c>
      <c r="I477" s="30" t="n"/>
      <c r="J477" s="29">
        <f>IF(AND(ISNUMBER(H477),ISNUMBER(I477)),EDATE(H477,I477),"")</f>
        <v/>
      </c>
      <c r="K477" s="30" t="n"/>
      <c r="L477" s="29">
        <f>IF(AND(ISNUMBER(H477),ISNUMBER(K477)),EDATE(H477,K477),"")</f>
        <v/>
      </c>
      <c r="M477" s="29">
        <f>IF(COUNT(J477,L477)=0,"",IF(MIN(J477,L477)&gt;=TODAY(),MIN(J477,L477),MAX(J477,L477)))</f>
        <v/>
      </c>
      <c r="N477" s="31">
        <f>IF(ISNUMBER(M477),M477-TODAY(),"")</f>
        <v/>
      </c>
      <c r="O477" s="32">
        <f>IF(NOT(ISNUMBER(N477)),"",IF(OR(Q477="Taken",Q477="Declined"),"",IF(N477&lt;0,"Lapsed",IF(N477&lt;=7,7,IF(N477&lt;=30,30,IF(N477&lt;=60,60,IF(N477&lt;=90,90,"")))))))</f>
        <v/>
      </c>
      <c r="P477" s="27" t="n"/>
      <c r="Q477" s="27" t="n"/>
      <c r="R477" s="27" t="n"/>
      <c r="S477" s="27" t="n"/>
      <c r="T477" s="27" t="n"/>
    </row>
    <row r="478">
      <c r="A478" s="27" t="n"/>
      <c r="B478" s="27" t="n"/>
      <c r="C478" s="27" t="n"/>
      <c r="D478" s="27" t="n"/>
      <c r="E478" s="28" t="n"/>
      <c r="F478" s="28" t="n"/>
      <c r="G478" s="27" t="n"/>
      <c r="H478" s="29">
        <f>IF(G478="Invoice",IF(ISNUMBER(F478),F478,""),IF(ISNUMBER(E478),E478,""))</f>
        <v/>
      </c>
      <c r="I478" s="30" t="n"/>
      <c r="J478" s="29">
        <f>IF(AND(ISNUMBER(H478),ISNUMBER(I478)),EDATE(H478,I478),"")</f>
        <v/>
      </c>
      <c r="K478" s="30" t="n"/>
      <c r="L478" s="29">
        <f>IF(AND(ISNUMBER(H478),ISNUMBER(K478)),EDATE(H478,K478),"")</f>
        <v/>
      </c>
      <c r="M478" s="29">
        <f>IF(COUNT(J478,L478)=0,"",IF(MIN(J478,L478)&gt;=TODAY(),MIN(J478,L478),MAX(J478,L478)))</f>
        <v/>
      </c>
      <c r="N478" s="31">
        <f>IF(ISNUMBER(M478),M478-TODAY(),"")</f>
        <v/>
      </c>
      <c r="O478" s="32">
        <f>IF(NOT(ISNUMBER(N478)),"",IF(OR(Q478="Taken",Q478="Declined"),"",IF(N478&lt;0,"Lapsed",IF(N478&lt;=7,7,IF(N478&lt;=30,30,IF(N478&lt;=60,60,IF(N478&lt;=90,90,"")))))))</f>
        <v/>
      </c>
      <c r="P478" s="27" t="n"/>
      <c r="Q478" s="27" t="n"/>
      <c r="R478" s="27" t="n"/>
      <c r="S478" s="27" t="n"/>
      <c r="T478" s="27" t="n"/>
    </row>
    <row r="479">
      <c r="A479" s="27" t="n"/>
      <c r="B479" s="27" t="n"/>
      <c r="C479" s="27" t="n"/>
      <c r="D479" s="27" t="n"/>
      <c r="E479" s="28" t="n"/>
      <c r="F479" s="28" t="n"/>
      <c r="G479" s="27" t="n"/>
      <c r="H479" s="29">
        <f>IF(G479="Invoice",IF(ISNUMBER(F479),F479,""),IF(ISNUMBER(E479),E479,""))</f>
        <v/>
      </c>
      <c r="I479" s="30" t="n"/>
      <c r="J479" s="29">
        <f>IF(AND(ISNUMBER(H479),ISNUMBER(I479)),EDATE(H479,I479),"")</f>
        <v/>
      </c>
      <c r="K479" s="30" t="n"/>
      <c r="L479" s="29">
        <f>IF(AND(ISNUMBER(H479),ISNUMBER(K479)),EDATE(H479,K479),"")</f>
        <v/>
      </c>
      <c r="M479" s="29">
        <f>IF(COUNT(J479,L479)=0,"",IF(MIN(J479,L479)&gt;=TODAY(),MIN(J479,L479),MAX(J479,L479)))</f>
        <v/>
      </c>
      <c r="N479" s="31">
        <f>IF(ISNUMBER(M479),M479-TODAY(),"")</f>
        <v/>
      </c>
      <c r="O479" s="32">
        <f>IF(NOT(ISNUMBER(N479)),"",IF(OR(Q479="Taken",Q479="Declined"),"",IF(N479&lt;0,"Lapsed",IF(N479&lt;=7,7,IF(N479&lt;=30,30,IF(N479&lt;=60,60,IF(N479&lt;=90,90,"")))))))</f>
        <v/>
      </c>
      <c r="P479" s="27" t="n"/>
      <c r="Q479" s="27" t="n"/>
      <c r="R479" s="27" t="n"/>
      <c r="S479" s="27" t="n"/>
      <c r="T479" s="27" t="n"/>
    </row>
    <row r="480">
      <c r="A480" s="27" t="n"/>
      <c r="B480" s="27" t="n"/>
      <c r="C480" s="27" t="n"/>
      <c r="D480" s="27" t="n"/>
      <c r="E480" s="28" t="n"/>
      <c r="F480" s="28" t="n"/>
      <c r="G480" s="27" t="n"/>
      <c r="H480" s="29">
        <f>IF(G480="Invoice",IF(ISNUMBER(F480),F480,""),IF(ISNUMBER(E480),E480,""))</f>
        <v/>
      </c>
      <c r="I480" s="30" t="n"/>
      <c r="J480" s="29">
        <f>IF(AND(ISNUMBER(H480),ISNUMBER(I480)),EDATE(H480,I480),"")</f>
        <v/>
      </c>
      <c r="K480" s="30" t="n"/>
      <c r="L480" s="29">
        <f>IF(AND(ISNUMBER(H480),ISNUMBER(K480)),EDATE(H480,K480),"")</f>
        <v/>
      </c>
      <c r="M480" s="29">
        <f>IF(COUNT(J480,L480)=0,"",IF(MIN(J480,L480)&gt;=TODAY(),MIN(J480,L480),MAX(J480,L480)))</f>
        <v/>
      </c>
      <c r="N480" s="31">
        <f>IF(ISNUMBER(M480),M480-TODAY(),"")</f>
        <v/>
      </c>
      <c r="O480" s="32">
        <f>IF(NOT(ISNUMBER(N480)),"",IF(OR(Q480="Taken",Q480="Declined"),"",IF(N480&lt;0,"Lapsed",IF(N480&lt;=7,7,IF(N480&lt;=30,30,IF(N480&lt;=60,60,IF(N480&lt;=90,90,"")))))))</f>
        <v/>
      </c>
      <c r="P480" s="27" t="n"/>
      <c r="Q480" s="27" t="n"/>
      <c r="R480" s="27" t="n"/>
      <c r="S480" s="27" t="n"/>
      <c r="T480" s="27" t="n"/>
    </row>
    <row r="481">
      <c r="A481" s="27" t="n"/>
      <c r="B481" s="27" t="n"/>
      <c r="C481" s="27" t="n"/>
      <c r="D481" s="27" t="n"/>
      <c r="E481" s="28" t="n"/>
      <c r="F481" s="28" t="n"/>
      <c r="G481" s="27" t="n"/>
      <c r="H481" s="29">
        <f>IF(G481="Invoice",IF(ISNUMBER(F481),F481,""),IF(ISNUMBER(E481),E481,""))</f>
        <v/>
      </c>
      <c r="I481" s="30" t="n"/>
      <c r="J481" s="29">
        <f>IF(AND(ISNUMBER(H481),ISNUMBER(I481)),EDATE(H481,I481),"")</f>
        <v/>
      </c>
      <c r="K481" s="30" t="n"/>
      <c r="L481" s="29">
        <f>IF(AND(ISNUMBER(H481),ISNUMBER(K481)),EDATE(H481,K481),"")</f>
        <v/>
      </c>
      <c r="M481" s="29">
        <f>IF(COUNT(J481,L481)=0,"",IF(MIN(J481,L481)&gt;=TODAY(),MIN(J481,L481),MAX(J481,L481)))</f>
        <v/>
      </c>
      <c r="N481" s="31">
        <f>IF(ISNUMBER(M481),M481-TODAY(),"")</f>
        <v/>
      </c>
      <c r="O481" s="32">
        <f>IF(NOT(ISNUMBER(N481)),"",IF(OR(Q481="Taken",Q481="Declined"),"",IF(N481&lt;0,"Lapsed",IF(N481&lt;=7,7,IF(N481&lt;=30,30,IF(N481&lt;=60,60,IF(N481&lt;=90,90,"")))))))</f>
        <v/>
      </c>
      <c r="P481" s="27" t="n"/>
      <c r="Q481" s="27" t="n"/>
      <c r="R481" s="27" t="n"/>
      <c r="S481" s="27" t="n"/>
      <c r="T481" s="27" t="n"/>
    </row>
    <row r="482">
      <c r="A482" s="27" t="n"/>
      <c r="B482" s="27" t="n"/>
      <c r="C482" s="27" t="n"/>
      <c r="D482" s="27" t="n"/>
      <c r="E482" s="28" t="n"/>
      <c r="F482" s="28" t="n"/>
      <c r="G482" s="27" t="n"/>
      <c r="H482" s="29">
        <f>IF(G482="Invoice",IF(ISNUMBER(F482),F482,""),IF(ISNUMBER(E482),E482,""))</f>
        <v/>
      </c>
      <c r="I482" s="30" t="n"/>
      <c r="J482" s="29">
        <f>IF(AND(ISNUMBER(H482),ISNUMBER(I482)),EDATE(H482,I482),"")</f>
        <v/>
      </c>
      <c r="K482" s="30" t="n"/>
      <c r="L482" s="29">
        <f>IF(AND(ISNUMBER(H482),ISNUMBER(K482)),EDATE(H482,K482),"")</f>
        <v/>
      </c>
      <c r="M482" s="29">
        <f>IF(COUNT(J482,L482)=0,"",IF(MIN(J482,L482)&gt;=TODAY(),MIN(J482,L482),MAX(J482,L482)))</f>
        <v/>
      </c>
      <c r="N482" s="31">
        <f>IF(ISNUMBER(M482),M482-TODAY(),"")</f>
        <v/>
      </c>
      <c r="O482" s="32">
        <f>IF(NOT(ISNUMBER(N482)),"",IF(OR(Q482="Taken",Q482="Declined"),"",IF(N482&lt;0,"Lapsed",IF(N482&lt;=7,7,IF(N482&lt;=30,30,IF(N482&lt;=60,60,IF(N482&lt;=90,90,"")))))))</f>
        <v/>
      </c>
      <c r="P482" s="27" t="n"/>
      <c r="Q482" s="27" t="n"/>
      <c r="R482" s="27" t="n"/>
      <c r="S482" s="27" t="n"/>
      <c r="T482" s="27" t="n"/>
    </row>
    <row r="483">
      <c r="A483" s="27" t="n"/>
      <c r="B483" s="27" t="n"/>
      <c r="C483" s="27" t="n"/>
      <c r="D483" s="27" t="n"/>
      <c r="E483" s="28" t="n"/>
      <c r="F483" s="28" t="n"/>
      <c r="G483" s="27" t="n"/>
      <c r="H483" s="29">
        <f>IF(G483="Invoice",IF(ISNUMBER(F483),F483,""),IF(ISNUMBER(E483),E483,""))</f>
        <v/>
      </c>
      <c r="I483" s="30" t="n"/>
      <c r="J483" s="29">
        <f>IF(AND(ISNUMBER(H483),ISNUMBER(I483)),EDATE(H483,I483),"")</f>
        <v/>
      </c>
      <c r="K483" s="30" t="n"/>
      <c r="L483" s="29">
        <f>IF(AND(ISNUMBER(H483),ISNUMBER(K483)),EDATE(H483,K483),"")</f>
        <v/>
      </c>
      <c r="M483" s="29">
        <f>IF(COUNT(J483,L483)=0,"",IF(MIN(J483,L483)&gt;=TODAY(),MIN(J483,L483),MAX(J483,L483)))</f>
        <v/>
      </c>
      <c r="N483" s="31">
        <f>IF(ISNUMBER(M483),M483-TODAY(),"")</f>
        <v/>
      </c>
      <c r="O483" s="32">
        <f>IF(NOT(ISNUMBER(N483)),"",IF(OR(Q483="Taken",Q483="Declined"),"",IF(N483&lt;0,"Lapsed",IF(N483&lt;=7,7,IF(N483&lt;=30,30,IF(N483&lt;=60,60,IF(N483&lt;=90,90,"")))))))</f>
        <v/>
      </c>
      <c r="P483" s="27" t="n"/>
      <c r="Q483" s="27" t="n"/>
      <c r="R483" s="27" t="n"/>
      <c r="S483" s="27" t="n"/>
      <c r="T483" s="27" t="n"/>
    </row>
    <row r="484">
      <c r="A484" s="27" t="n"/>
      <c r="B484" s="27" t="n"/>
      <c r="C484" s="27" t="n"/>
      <c r="D484" s="27" t="n"/>
      <c r="E484" s="28" t="n"/>
      <c r="F484" s="28" t="n"/>
      <c r="G484" s="27" t="n"/>
      <c r="H484" s="29">
        <f>IF(G484="Invoice",IF(ISNUMBER(F484),F484,""),IF(ISNUMBER(E484),E484,""))</f>
        <v/>
      </c>
      <c r="I484" s="30" t="n"/>
      <c r="J484" s="29">
        <f>IF(AND(ISNUMBER(H484),ISNUMBER(I484)),EDATE(H484,I484),"")</f>
        <v/>
      </c>
      <c r="K484" s="30" t="n"/>
      <c r="L484" s="29">
        <f>IF(AND(ISNUMBER(H484),ISNUMBER(K484)),EDATE(H484,K484),"")</f>
        <v/>
      </c>
      <c r="M484" s="29">
        <f>IF(COUNT(J484,L484)=0,"",IF(MIN(J484,L484)&gt;=TODAY(),MIN(J484,L484),MAX(J484,L484)))</f>
        <v/>
      </c>
      <c r="N484" s="31">
        <f>IF(ISNUMBER(M484),M484-TODAY(),"")</f>
        <v/>
      </c>
      <c r="O484" s="32">
        <f>IF(NOT(ISNUMBER(N484)),"",IF(OR(Q484="Taken",Q484="Declined"),"",IF(N484&lt;0,"Lapsed",IF(N484&lt;=7,7,IF(N484&lt;=30,30,IF(N484&lt;=60,60,IF(N484&lt;=90,90,"")))))))</f>
        <v/>
      </c>
      <c r="P484" s="27" t="n"/>
      <c r="Q484" s="27" t="n"/>
      <c r="R484" s="27" t="n"/>
      <c r="S484" s="27" t="n"/>
      <c r="T484" s="27" t="n"/>
    </row>
    <row r="485">
      <c r="A485" s="27" t="n"/>
      <c r="B485" s="27" t="n"/>
      <c r="C485" s="27" t="n"/>
      <c r="D485" s="27" t="n"/>
      <c r="E485" s="28" t="n"/>
      <c r="F485" s="28" t="n"/>
      <c r="G485" s="27" t="n"/>
      <c r="H485" s="29">
        <f>IF(G485="Invoice",IF(ISNUMBER(F485),F485,""),IF(ISNUMBER(E485),E485,""))</f>
        <v/>
      </c>
      <c r="I485" s="30" t="n"/>
      <c r="J485" s="29">
        <f>IF(AND(ISNUMBER(H485),ISNUMBER(I485)),EDATE(H485,I485),"")</f>
        <v/>
      </c>
      <c r="K485" s="30" t="n"/>
      <c r="L485" s="29">
        <f>IF(AND(ISNUMBER(H485),ISNUMBER(K485)),EDATE(H485,K485),"")</f>
        <v/>
      </c>
      <c r="M485" s="29">
        <f>IF(COUNT(J485,L485)=0,"",IF(MIN(J485,L485)&gt;=TODAY(),MIN(J485,L485),MAX(J485,L485)))</f>
        <v/>
      </c>
      <c r="N485" s="31">
        <f>IF(ISNUMBER(M485),M485-TODAY(),"")</f>
        <v/>
      </c>
      <c r="O485" s="32">
        <f>IF(NOT(ISNUMBER(N485)),"",IF(OR(Q485="Taken",Q485="Declined"),"",IF(N485&lt;0,"Lapsed",IF(N485&lt;=7,7,IF(N485&lt;=30,30,IF(N485&lt;=60,60,IF(N485&lt;=90,90,"")))))))</f>
        <v/>
      </c>
      <c r="P485" s="27" t="n"/>
      <c r="Q485" s="27" t="n"/>
      <c r="R485" s="27" t="n"/>
      <c r="S485" s="27" t="n"/>
      <c r="T485" s="27" t="n"/>
    </row>
    <row r="486">
      <c r="A486" s="27" t="n"/>
      <c r="B486" s="27" t="n"/>
      <c r="C486" s="27" t="n"/>
      <c r="D486" s="27" t="n"/>
      <c r="E486" s="28" t="n"/>
      <c r="F486" s="28" t="n"/>
      <c r="G486" s="27" t="n"/>
      <c r="H486" s="29">
        <f>IF(G486="Invoice",IF(ISNUMBER(F486),F486,""),IF(ISNUMBER(E486),E486,""))</f>
        <v/>
      </c>
      <c r="I486" s="30" t="n"/>
      <c r="J486" s="29">
        <f>IF(AND(ISNUMBER(H486),ISNUMBER(I486)),EDATE(H486,I486),"")</f>
        <v/>
      </c>
      <c r="K486" s="30" t="n"/>
      <c r="L486" s="29">
        <f>IF(AND(ISNUMBER(H486),ISNUMBER(K486)),EDATE(H486,K486),"")</f>
        <v/>
      </c>
      <c r="M486" s="29">
        <f>IF(COUNT(J486,L486)=0,"",IF(MIN(J486,L486)&gt;=TODAY(),MIN(J486,L486),MAX(J486,L486)))</f>
        <v/>
      </c>
      <c r="N486" s="31">
        <f>IF(ISNUMBER(M486),M486-TODAY(),"")</f>
        <v/>
      </c>
      <c r="O486" s="32">
        <f>IF(NOT(ISNUMBER(N486)),"",IF(OR(Q486="Taken",Q486="Declined"),"",IF(N486&lt;0,"Lapsed",IF(N486&lt;=7,7,IF(N486&lt;=30,30,IF(N486&lt;=60,60,IF(N486&lt;=90,90,"")))))))</f>
        <v/>
      </c>
      <c r="P486" s="27" t="n"/>
      <c r="Q486" s="27" t="n"/>
      <c r="R486" s="27" t="n"/>
      <c r="S486" s="27" t="n"/>
      <c r="T486" s="27" t="n"/>
    </row>
    <row r="487">
      <c r="A487" s="27" t="n"/>
      <c r="B487" s="27" t="n"/>
      <c r="C487" s="27" t="n"/>
      <c r="D487" s="27" t="n"/>
      <c r="E487" s="28" t="n"/>
      <c r="F487" s="28" t="n"/>
      <c r="G487" s="27" t="n"/>
      <c r="H487" s="29">
        <f>IF(G487="Invoice",IF(ISNUMBER(F487),F487,""),IF(ISNUMBER(E487),E487,""))</f>
        <v/>
      </c>
      <c r="I487" s="30" t="n"/>
      <c r="J487" s="29">
        <f>IF(AND(ISNUMBER(H487),ISNUMBER(I487)),EDATE(H487,I487),"")</f>
        <v/>
      </c>
      <c r="K487" s="30" t="n"/>
      <c r="L487" s="29">
        <f>IF(AND(ISNUMBER(H487),ISNUMBER(K487)),EDATE(H487,K487),"")</f>
        <v/>
      </c>
      <c r="M487" s="29">
        <f>IF(COUNT(J487,L487)=0,"",IF(MIN(J487,L487)&gt;=TODAY(),MIN(J487,L487),MAX(J487,L487)))</f>
        <v/>
      </c>
      <c r="N487" s="31">
        <f>IF(ISNUMBER(M487),M487-TODAY(),"")</f>
        <v/>
      </c>
      <c r="O487" s="32">
        <f>IF(NOT(ISNUMBER(N487)),"",IF(OR(Q487="Taken",Q487="Declined"),"",IF(N487&lt;0,"Lapsed",IF(N487&lt;=7,7,IF(N487&lt;=30,30,IF(N487&lt;=60,60,IF(N487&lt;=90,90,"")))))))</f>
        <v/>
      </c>
      <c r="P487" s="27" t="n"/>
      <c r="Q487" s="27" t="n"/>
      <c r="R487" s="27" t="n"/>
      <c r="S487" s="27" t="n"/>
      <c r="T487" s="27" t="n"/>
    </row>
    <row r="488">
      <c r="A488" s="27" t="n"/>
      <c r="B488" s="27" t="n"/>
      <c r="C488" s="27" t="n"/>
      <c r="D488" s="27" t="n"/>
      <c r="E488" s="28" t="n"/>
      <c r="F488" s="28" t="n"/>
      <c r="G488" s="27" t="n"/>
      <c r="H488" s="29">
        <f>IF(G488="Invoice",IF(ISNUMBER(F488),F488,""),IF(ISNUMBER(E488),E488,""))</f>
        <v/>
      </c>
      <c r="I488" s="30" t="n"/>
      <c r="J488" s="29">
        <f>IF(AND(ISNUMBER(H488),ISNUMBER(I488)),EDATE(H488,I488),"")</f>
        <v/>
      </c>
      <c r="K488" s="30" t="n"/>
      <c r="L488" s="29">
        <f>IF(AND(ISNUMBER(H488),ISNUMBER(K488)),EDATE(H488,K488),"")</f>
        <v/>
      </c>
      <c r="M488" s="29">
        <f>IF(COUNT(J488,L488)=0,"",IF(MIN(J488,L488)&gt;=TODAY(),MIN(J488,L488),MAX(J488,L488)))</f>
        <v/>
      </c>
      <c r="N488" s="31">
        <f>IF(ISNUMBER(M488),M488-TODAY(),"")</f>
        <v/>
      </c>
      <c r="O488" s="32">
        <f>IF(NOT(ISNUMBER(N488)),"",IF(OR(Q488="Taken",Q488="Declined"),"",IF(N488&lt;0,"Lapsed",IF(N488&lt;=7,7,IF(N488&lt;=30,30,IF(N488&lt;=60,60,IF(N488&lt;=90,90,"")))))))</f>
        <v/>
      </c>
      <c r="P488" s="27" t="n"/>
      <c r="Q488" s="27" t="n"/>
      <c r="R488" s="27" t="n"/>
      <c r="S488" s="27" t="n"/>
      <c r="T488" s="27" t="n"/>
    </row>
    <row r="489">
      <c r="A489" s="27" t="n"/>
      <c r="B489" s="27" t="n"/>
      <c r="C489" s="27" t="n"/>
      <c r="D489" s="27" t="n"/>
      <c r="E489" s="28" t="n"/>
      <c r="F489" s="28" t="n"/>
      <c r="G489" s="27" t="n"/>
      <c r="H489" s="29">
        <f>IF(G489="Invoice",IF(ISNUMBER(F489),F489,""),IF(ISNUMBER(E489),E489,""))</f>
        <v/>
      </c>
      <c r="I489" s="30" t="n"/>
      <c r="J489" s="29">
        <f>IF(AND(ISNUMBER(H489),ISNUMBER(I489)),EDATE(H489,I489),"")</f>
        <v/>
      </c>
      <c r="K489" s="30" t="n"/>
      <c r="L489" s="29">
        <f>IF(AND(ISNUMBER(H489),ISNUMBER(K489)),EDATE(H489,K489),"")</f>
        <v/>
      </c>
      <c r="M489" s="29">
        <f>IF(COUNT(J489,L489)=0,"",IF(MIN(J489,L489)&gt;=TODAY(),MIN(J489,L489),MAX(J489,L489)))</f>
        <v/>
      </c>
      <c r="N489" s="31">
        <f>IF(ISNUMBER(M489),M489-TODAY(),"")</f>
        <v/>
      </c>
      <c r="O489" s="32">
        <f>IF(NOT(ISNUMBER(N489)),"",IF(OR(Q489="Taken",Q489="Declined"),"",IF(N489&lt;0,"Lapsed",IF(N489&lt;=7,7,IF(N489&lt;=30,30,IF(N489&lt;=60,60,IF(N489&lt;=90,90,"")))))))</f>
        <v/>
      </c>
      <c r="P489" s="27" t="n"/>
      <c r="Q489" s="27" t="n"/>
      <c r="R489" s="27" t="n"/>
      <c r="S489" s="27" t="n"/>
      <c r="T489" s="27" t="n"/>
    </row>
    <row r="490">
      <c r="A490" s="27" t="n"/>
      <c r="B490" s="27" t="n"/>
      <c r="C490" s="27" t="n"/>
      <c r="D490" s="27" t="n"/>
      <c r="E490" s="28" t="n"/>
      <c r="F490" s="28" t="n"/>
      <c r="G490" s="27" t="n"/>
      <c r="H490" s="29">
        <f>IF(G490="Invoice",IF(ISNUMBER(F490),F490,""),IF(ISNUMBER(E490),E490,""))</f>
        <v/>
      </c>
      <c r="I490" s="30" t="n"/>
      <c r="J490" s="29">
        <f>IF(AND(ISNUMBER(H490),ISNUMBER(I490)),EDATE(H490,I490),"")</f>
        <v/>
      </c>
      <c r="K490" s="30" t="n"/>
      <c r="L490" s="29">
        <f>IF(AND(ISNUMBER(H490),ISNUMBER(K490)),EDATE(H490,K490),"")</f>
        <v/>
      </c>
      <c r="M490" s="29">
        <f>IF(COUNT(J490,L490)=0,"",IF(MIN(J490,L490)&gt;=TODAY(),MIN(J490,L490),MAX(J490,L490)))</f>
        <v/>
      </c>
      <c r="N490" s="31">
        <f>IF(ISNUMBER(M490),M490-TODAY(),"")</f>
        <v/>
      </c>
      <c r="O490" s="32">
        <f>IF(NOT(ISNUMBER(N490)),"",IF(OR(Q490="Taken",Q490="Declined"),"",IF(N490&lt;0,"Lapsed",IF(N490&lt;=7,7,IF(N490&lt;=30,30,IF(N490&lt;=60,60,IF(N490&lt;=90,90,"")))))))</f>
        <v/>
      </c>
      <c r="P490" s="27" t="n"/>
      <c r="Q490" s="27" t="n"/>
      <c r="R490" s="27" t="n"/>
      <c r="S490" s="27" t="n"/>
      <c r="T490" s="27" t="n"/>
    </row>
    <row r="491">
      <c r="A491" s="27" t="n"/>
      <c r="B491" s="27" t="n"/>
      <c r="C491" s="27" t="n"/>
      <c r="D491" s="27" t="n"/>
      <c r="E491" s="28" t="n"/>
      <c r="F491" s="28" t="n"/>
      <c r="G491" s="27" t="n"/>
      <c r="H491" s="29">
        <f>IF(G491="Invoice",IF(ISNUMBER(F491),F491,""),IF(ISNUMBER(E491),E491,""))</f>
        <v/>
      </c>
      <c r="I491" s="30" t="n"/>
      <c r="J491" s="29">
        <f>IF(AND(ISNUMBER(H491),ISNUMBER(I491)),EDATE(H491,I491),"")</f>
        <v/>
      </c>
      <c r="K491" s="30" t="n"/>
      <c r="L491" s="29">
        <f>IF(AND(ISNUMBER(H491),ISNUMBER(K491)),EDATE(H491,K491),"")</f>
        <v/>
      </c>
      <c r="M491" s="29">
        <f>IF(COUNT(J491,L491)=0,"",IF(MIN(J491,L491)&gt;=TODAY(),MIN(J491,L491),MAX(J491,L491)))</f>
        <v/>
      </c>
      <c r="N491" s="31">
        <f>IF(ISNUMBER(M491),M491-TODAY(),"")</f>
        <v/>
      </c>
      <c r="O491" s="32">
        <f>IF(NOT(ISNUMBER(N491)),"",IF(OR(Q491="Taken",Q491="Declined"),"",IF(N491&lt;0,"Lapsed",IF(N491&lt;=7,7,IF(N491&lt;=30,30,IF(N491&lt;=60,60,IF(N491&lt;=90,90,"")))))))</f>
        <v/>
      </c>
      <c r="P491" s="27" t="n"/>
      <c r="Q491" s="27" t="n"/>
      <c r="R491" s="27" t="n"/>
      <c r="S491" s="27" t="n"/>
      <c r="T491" s="27" t="n"/>
    </row>
    <row r="492">
      <c r="A492" s="27" t="n"/>
      <c r="B492" s="27" t="n"/>
      <c r="C492" s="27" t="n"/>
      <c r="D492" s="27" t="n"/>
      <c r="E492" s="28" t="n"/>
      <c r="F492" s="28" t="n"/>
      <c r="G492" s="27" t="n"/>
      <c r="H492" s="29">
        <f>IF(G492="Invoice",IF(ISNUMBER(F492),F492,""),IF(ISNUMBER(E492),E492,""))</f>
        <v/>
      </c>
      <c r="I492" s="30" t="n"/>
      <c r="J492" s="29">
        <f>IF(AND(ISNUMBER(H492),ISNUMBER(I492)),EDATE(H492,I492),"")</f>
        <v/>
      </c>
      <c r="K492" s="30" t="n"/>
      <c r="L492" s="29">
        <f>IF(AND(ISNUMBER(H492),ISNUMBER(K492)),EDATE(H492,K492),"")</f>
        <v/>
      </c>
      <c r="M492" s="29">
        <f>IF(COUNT(J492,L492)=0,"",IF(MIN(J492,L492)&gt;=TODAY(),MIN(J492,L492),MAX(J492,L492)))</f>
        <v/>
      </c>
      <c r="N492" s="31">
        <f>IF(ISNUMBER(M492),M492-TODAY(),"")</f>
        <v/>
      </c>
      <c r="O492" s="32">
        <f>IF(NOT(ISNUMBER(N492)),"",IF(OR(Q492="Taken",Q492="Declined"),"",IF(N492&lt;0,"Lapsed",IF(N492&lt;=7,7,IF(N492&lt;=30,30,IF(N492&lt;=60,60,IF(N492&lt;=90,90,"")))))))</f>
        <v/>
      </c>
      <c r="P492" s="27" t="n"/>
      <c r="Q492" s="27" t="n"/>
      <c r="R492" s="27" t="n"/>
      <c r="S492" s="27" t="n"/>
      <c r="T492" s="27" t="n"/>
    </row>
    <row r="493">
      <c r="A493" s="27" t="n"/>
      <c r="B493" s="27" t="n"/>
      <c r="C493" s="27" t="n"/>
      <c r="D493" s="27" t="n"/>
      <c r="E493" s="28" t="n"/>
      <c r="F493" s="28" t="n"/>
      <c r="G493" s="27" t="n"/>
      <c r="H493" s="29">
        <f>IF(G493="Invoice",IF(ISNUMBER(F493),F493,""),IF(ISNUMBER(E493),E493,""))</f>
        <v/>
      </c>
      <c r="I493" s="30" t="n"/>
      <c r="J493" s="29">
        <f>IF(AND(ISNUMBER(H493),ISNUMBER(I493)),EDATE(H493,I493),"")</f>
        <v/>
      </c>
      <c r="K493" s="30" t="n"/>
      <c r="L493" s="29">
        <f>IF(AND(ISNUMBER(H493),ISNUMBER(K493)),EDATE(H493,K493),"")</f>
        <v/>
      </c>
      <c r="M493" s="29">
        <f>IF(COUNT(J493,L493)=0,"",IF(MIN(J493,L493)&gt;=TODAY(),MIN(J493,L493),MAX(J493,L493)))</f>
        <v/>
      </c>
      <c r="N493" s="31">
        <f>IF(ISNUMBER(M493),M493-TODAY(),"")</f>
        <v/>
      </c>
      <c r="O493" s="32">
        <f>IF(NOT(ISNUMBER(N493)),"",IF(OR(Q493="Taken",Q493="Declined"),"",IF(N493&lt;0,"Lapsed",IF(N493&lt;=7,7,IF(N493&lt;=30,30,IF(N493&lt;=60,60,IF(N493&lt;=90,90,"")))))))</f>
        <v/>
      </c>
      <c r="P493" s="27" t="n"/>
      <c r="Q493" s="27" t="n"/>
      <c r="R493" s="27" t="n"/>
      <c r="S493" s="27" t="n"/>
      <c r="T493" s="27" t="n"/>
    </row>
    <row r="494">
      <c r="A494" s="27" t="n"/>
      <c r="B494" s="27" t="n"/>
      <c r="C494" s="27" t="n"/>
      <c r="D494" s="27" t="n"/>
      <c r="E494" s="28" t="n"/>
      <c r="F494" s="28" t="n"/>
      <c r="G494" s="27" t="n"/>
      <c r="H494" s="29">
        <f>IF(G494="Invoice",IF(ISNUMBER(F494),F494,""),IF(ISNUMBER(E494),E494,""))</f>
        <v/>
      </c>
      <c r="I494" s="30" t="n"/>
      <c r="J494" s="29">
        <f>IF(AND(ISNUMBER(H494),ISNUMBER(I494)),EDATE(H494,I494),"")</f>
        <v/>
      </c>
      <c r="K494" s="30" t="n"/>
      <c r="L494" s="29">
        <f>IF(AND(ISNUMBER(H494),ISNUMBER(K494)),EDATE(H494,K494),"")</f>
        <v/>
      </c>
      <c r="M494" s="29">
        <f>IF(COUNT(J494,L494)=0,"",IF(MIN(J494,L494)&gt;=TODAY(),MIN(J494,L494),MAX(J494,L494)))</f>
        <v/>
      </c>
      <c r="N494" s="31">
        <f>IF(ISNUMBER(M494),M494-TODAY(),"")</f>
        <v/>
      </c>
      <c r="O494" s="32">
        <f>IF(NOT(ISNUMBER(N494)),"",IF(OR(Q494="Taken",Q494="Declined"),"",IF(N494&lt;0,"Lapsed",IF(N494&lt;=7,7,IF(N494&lt;=30,30,IF(N494&lt;=60,60,IF(N494&lt;=90,90,"")))))))</f>
        <v/>
      </c>
      <c r="P494" s="27" t="n"/>
      <c r="Q494" s="27" t="n"/>
      <c r="R494" s="27" t="n"/>
      <c r="S494" s="27" t="n"/>
      <c r="T494" s="27" t="n"/>
    </row>
    <row r="495">
      <c r="A495" s="27" t="n"/>
      <c r="B495" s="27" t="n"/>
      <c r="C495" s="27" t="n"/>
      <c r="D495" s="27" t="n"/>
      <c r="E495" s="28" t="n"/>
      <c r="F495" s="28" t="n"/>
      <c r="G495" s="27" t="n"/>
      <c r="H495" s="29">
        <f>IF(G495="Invoice",IF(ISNUMBER(F495),F495,""),IF(ISNUMBER(E495),E495,""))</f>
        <v/>
      </c>
      <c r="I495" s="30" t="n"/>
      <c r="J495" s="29">
        <f>IF(AND(ISNUMBER(H495),ISNUMBER(I495)),EDATE(H495,I495),"")</f>
        <v/>
      </c>
      <c r="K495" s="30" t="n"/>
      <c r="L495" s="29">
        <f>IF(AND(ISNUMBER(H495),ISNUMBER(K495)),EDATE(H495,K495),"")</f>
        <v/>
      </c>
      <c r="M495" s="29">
        <f>IF(COUNT(J495,L495)=0,"",IF(MIN(J495,L495)&gt;=TODAY(),MIN(J495,L495),MAX(J495,L495)))</f>
        <v/>
      </c>
      <c r="N495" s="31">
        <f>IF(ISNUMBER(M495),M495-TODAY(),"")</f>
        <v/>
      </c>
      <c r="O495" s="32">
        <f>IF(NOT(ISNUMBER(N495)),"",IF(OR(Q495="Taken",Q495="Declined"),"",IF(N495&lt;0,"Lapsed",IF(N495&lt;=7,7,IF(N495&lt;=30,30,IF(N495&lt;=60,60,IF(N495&lt;=90,90,"")))))))</f>
        <v/>
      </c>
      <c r="P495" s="27" t="n"/>
      <c r="Q495" s="27" t="n"/>
      <c r="R495" s="27" t="n"/>
      <c r="S495" s="27" t="n"/>
      <c r="T495" s="27" t="n"/>
    </row>
    <row r="496">
      <c r="A496" s="27" t="n"/>
      <c r="B496" s="27" t="n"/>
      <c r="C496" s="27" t="n"/>
      <c r="D496" s="27" t="n"/>
      <c r="E496" s="28" t="n"/>
      <c r="F496" s="28" t="n"/>
      <c r="G496" s="27" t="n"/>
      <c r="H496" s="29">
        <f>IF(G496="Invoice",IF(ISNUMBER(F496),F496,""),IF(ISNUMBER(E496),E496,""))</f>
        <v/>
      </c>
      <c r="I496" s="30" t="n"/>
      <c r="J496" s="29">
        <f>IF(AND(ISNUMBER(H496),ISNUMBER(I496)),EDATE(H496,I496),"")</f>
        <v/>
      </c>
      <c r="K496" s="30" t="n"/>
      <c r="L496" s="29">
        <f>IF(AND(ISNUMBER(H496),ISNUMBER(K496)),EDATE(H496,K496),"")</f>
        <v/>
      </c>
      <c r="M496" s="29">
        <f>IF(COUNT(J496,L496)=0,"",IF(MIN(J496,L496)&gt;=TODAY(),MIN(J496,L496),MAX(J496,L496)))</f>
        <v/>
      </c>
      <c r="N496" s="31">
        <f>IF(ISNUMBER(M496),M496-TODAY(),"")</f>
        <v/>
      </c>
      <c r="O496" s="32">
        <f>IF(NOT(ISNUMBER(N496)),"",IF(OR(Q496="Taken",Q496="Declined"),"",IF(N496&lt;0,"Lapsed",IF(N496&lt;=7,7,IF(N496&lt;=30,30,IF(N496&lt;=60,60,IF(N496&lt;=90,90,"")))))))</f>
        <v/>
      </c>
      <c r="P496" s="27" t="n"/>
      <c r="Q496" s="27" t="n"/>
      <c r="R496" s="27" t="n"/>
      <c r="S496" s="27" t="n"/>
      <c r="T496" s="27" t="n"/>
    </row>
    <row r="497">
      <c r="A497" s="27" t="n"/>
      <c r="B497" s="27" t="n"/>
      <c r="C497" s="27" t="n"/>
      <c r="D497" s="27" t="n"/>
      <c r="E497" s="28" t="n"/>
      <c r="F497" s="28" t="n"/>
      <c r="G497" s="27" t="n"/>
      <c r="H497" s="29">
        <f>IF(G497="Invoice",IF(ISNUMBER(F497),F497,""),IF(ISNUMBER(E497),E497,""))</f>
        <v/>
      </c>
      <c r="I497" s="30" t="n"/>
      <c r="J497" s="29">
        <f>IF(AND(ISNUMBER(H497),ISNUMBER(I497)),EDATE(H497,I497),"")</f>
        <v/>
      </c>
      <c r="K497" s="30" t="n"/>
      <c r="L497" s="29">
        <f>IF(AND(ISNUMBER(H497),ISNUMBER(K497)),EDATE(H497,K497),"")</f>
        <v/>
      </c>
      <c r="M497" s="29">
        <f>IF(COUNT(J497,L497)=0,"",IF(MIN(J497,L497)&gt;=TODAY(),MIN(J497,L497),MAX(J497,L497)))</f>
        <v/>
      </c>
      <c r="N497" s="31">
        <f>IF(ISNUMBER(M497),M497-TODAY(),"")</f>
        <v/>
      </c>
      <c r="O497" s="32">
        <f>IF(NOT(ISNUMBER(N497)),"",IF(OR(Q497="Taken",Q497="Declined"),"",IF(N497&lt;0,"Lapsed",IF(N497&lt;=7,7,IF(N497&lt;=30,30,IF(N497&lt;=60,60,IF(N497&lt;=90,90,"")))))))</f>
        <v/>
      </c>
      <c r="P497" s="27" t="n"/>
      <c r="Q497" s="27" t="n"/>
      <c r="R497" s="27" t="n"/>
      <c r="S497" s="27" t="n"/>
      <c r="T497" s="27" t="n"/>
    </row>
    <row r="498">
      <c r="A498" s="27" t="n"/>
      <c r="B498" s="27" t="n"/>
      <c r="C498" s="27" t="n"/>
      <c r="D498" s="27" t="n"/>
      <c r="E498" s="28" t="n"/>
      <c r="F498" s="28" t="n"/>
      <c r="G498" s="27" t="n"/>
      <c r="H498" s="29">
        <f>IF(G498="Invoice",IF(ISNUMBER(F498),F498,""),IF(ISNUMBER(E498),E498,""))</f>
        <v/>
      </c>
      <c r="I498" s="30" t="n"/>
      <c r="J498" s="29">
        <f>IF(AND(ISNUMBER(H498),ISNUMBER(I498)),EDATE(H498,I498),"")</f>
        <v/>
      </c>
      <c r="K498" s="30" t="n"/>
      <c r="L498" s="29">
        <f>IF(AND(ISNUMBER(H498),ISNUMBER(K498)),EDATE(H498,K498),"")</f>
        <v/>
      </c>
      <c r="M498" s="29">
        <f>IF(COUNT(J498,L498)=0,"",IF(MIN(J498,L498)&gt;=TODAY(),MIN(J498,L498),MAX(J498,L498)))</f>
        <v/>
      </c>
      <c r="N498" s="31">
        <f>IF(ISNUMBER(M498),M498-TODAY(),"")</f>
        <v/>
      </c>
      <c r="O498" s="32">
        <f>IF(NOT(ISNUMBER(N498)),"",IF(OR(Q498="Taken",Q498="Declined"),"",IF(N498&lt;0,"Lapsed",IF(N498&lt;=7,7,IF(N498&lt;=30,30,IF(N498&lt;=60,60,IF(N498&lt;=90,90,"")))))))</f>
        <v/>
      </c>
      <c r="P498" s="27" t="n"/>
      <c r="Q498" s="27" t="n"/>
      <c r="R498" s="27" t="n"/>
      <c r="S498" s="27" t="n"/>
      <c r="T498" s="27" t="n"/>
    </row>
    <row r="499">
      <c r="A499" s="27" t="n"/>
      <c r="B499" s="27" t="n"/>
      <c r="C499" s="27" t="n"/>
      <c r="D499" s="27" t="n"/>
      <c r="E499" s="28" t="n"/>
      <c r="F499" s="28" t="n"/>
      <c r="G499" s="27" t="n"/>
      <c r="H499" s="29">
        <f>IF(G499="Invoice",IF(ISNUMBER(F499),F499,""),IF(ISNUMBER(E499),E499,""))</f>
        <v/>
      </c>
      <c r="I499" s="30" t="n"/>
      <c r="J499" s="29">
        <f>IF(AND(ISNUMBER(H499),ISNUMBER(I499)),EDATE(H499,I499),"")</f>
        <v/>
      </c>
      <c r="K499" s="30" t="n"/>
      <c r="L499" s="29">
        <f>IF(AND(ISNUMBER(H499),ISNUMBER(K499)),EDATE(H499,K499),"")</f>
        <v/>
      </c>
      <c r="M499" s="29">
        <f>IF(COUNT(J499,L499)=0,"",IF(MIN(J499,L499)&gt;=TODAY(),MIN(J499,L499),MAX(J499,L499)))</f>
        <v/>
      </c>
      <c r="N499" s="31">
        <f>IF(ISNUMBER(M499),M499-TODAY(),"")</f>
        <v/>
      </c>
      <c r="O499" s="32">
        <f>IF(NOT(ISNUMBER(N499)),"",IF(OR(Q499="Taken",Q499="Declined"),"",IF(N499&lt;0,"Lapsed",IF(N499&lt;=7,7,IF(N499&lt;=30,30,IF(N499&lt;=60,60,IF(N499&lt;=90,90,"")))))))</f>
        <v/>
      </c>
      <c r="P499" s="27" t="n"/>
      <c r="Q499" s="27" t="n"/>
      <c r="R499" s="27" t="n"/>
      <c r="S499" s="27" t="n"/>
      <c r="T499" s="27" t="n"/>
    </row>
    <row r="500">
      <c r="A500" s="27" t="n"/>
      <c r="B500" s="27" t="n"/>
      <c r="C500" s="27" t="n"/>
      <c r="D500" s="27" t="n"/>
      <c r="E500" s="28" t="n"/>
      <c r="F500" s="28" t="n"/>
      <c r="G500" s="27" t="n"/>
      <c r="H500" s="29">
        <f>IF(G500="Invoice",IF(ISNUMBER(F500),F500,""),IF(ISNUMBER(E500),E500,""))</f>
        <v/>
      </c>
      <c r="I500" s="30" t="n"/>
      <c r="J500" s="29">
        <f>IF(AND(ISNUMBER(H500),ISNUMBER(I500)),EDATE(H500,I500),"")</f>
        <v/>
      </c>
      <c r="K500" s="30" t="n"/>
      <c r="L500" s="29">
        <f>IF(AND(ISNUMBER(H500),ISNUMBER(K500)),EDATE(H500,K500),"")</f>
        <v/>
      </c>
      <c r="M500" s="29">
        <f>IF(COUNT(J500,L500)=0,"",IF(MIN(J500,L500)&gt;=TODAY(),MIN(J500,L500),MAX(J500,L500)))</f>
        <v/>
      </c>
      <c r="N500" s="31">
        <f>IF(ISNUMBER(M500),M500-TODAY(),"")</f>
        <v/>
      </c>
      <c r="O500" s="32">
        <f>IF(NOT(ISNUMBER(N500)),"",IF(OR(Q500="Taken",Q500="Declined"),"",IF(N500&lt;0,"Lapsed",IF(N500&lt;=7,7,IF(N500&lt;=30,30,IF(N500&lt;=60,60,IF(N500&lt;=90,90,"")))))))</f>
        <v/>
      </c>
      <c r="P500" s="27" t="n"/>
      <c r="Q500" s="27" t="n"/>
      <c r="R500" s="27" t="n"/>
      <c r="S500" s="27" t="n"/>
      <c r="T500" s="27" t="n"/>
    </row>
    <row r="501">
      <c r="A501" s="27" t="n"/>
      <c r="B501" s="27" t="n"/>
      <c r="C501" s="27" t="n"/>
      <c r="D501" s="27" t="n"/>
      <c r="E501" s="28" t="n"/>
      <c r="F501" s="28" t="n"/>
      <c r="G501" s="27" t="n"/>
      <c r="H501" s="29">
        <f>IF(G501="Invoice",IF(ISNUMBER(F501),F501,""),IF(ISNUMBER(E501),E501,""))</f>
        <v/>
      </c>
      <c r="I501" s="30" t="n"/>
      <c r="J501" s="29">
        <f>IF(AND(ISNUMBER(H501),ISNUMBER(I501)),EDATE(H501,I501),"")</f>
        <v/>
      </c>
      <c r="K501" s="30" t="n"/>
      <c r="L501" s="29">
        <f>IF(AND(ISNUMBER(H501),ISNUMBER(K501)),EDATE(H501,K501),"")</f>
        <v/>
      </c>
      <c r="M501" s="29">
        <f>IF(COUNT(J501,L501)=0,"",IF(MIN(J501,L501)&gt;=TODAY(),MIN(J501,L501),MAX(J501,L501)))</f>
        <v/>
      </c>
      <c r="N501" s="31">
        <f>IF(ISNUMBER(M501),M501-TODAY(),"")</f>
        <v/>
      </c>
      <c r="O501" s="32">
        <f>IF(NOT(ISNUMBER(N501)),"",IF(OR(Q501="Taken",Q501="Declined"),"",IF(N501&lt;0,"Lapsed",IF(N501&lt;=7,7,IF(N501&lt;=30,30,IF(N501&lt;=60,60,IF(N501&lt;=90,90,"")))))))</f>
        <v/>
      </c>
      <c r="P501" s="27" t="n"/>
      <c r="Q501" s="27" t="n"/>
      <c r="R501" s="27" t="n"/>
      <c r="S501" s="27" t="n"/>
      <c r="T501" s="27" t="n"/>
    </row>
    <row r="502">
      <c r="A502" s="27" t="n"/>
      <c r="B502" s="27" t="n"/>
      <c r="C502" s="27" t="n"/>
      <c r="D502" s="27" t="n"/>
      <c r="E502" s="28" t="n"/>
      <c r="F502" s="28" t="n"/>
      <c r="G502" s="27" t="n"/>
      <c r="H502" s="29">
        <f>IF(G502="Invoice",IF(ISNUMBER(F502),F502,""),IF(ISNUMBER(E502),E502,""))</f>
        <v/>
      </c>
      <c r="I502" s="30" t="n"/>
      <c r="J502" s="29">
        <f>IF(AND(ISNUMBER(H502),ISNUMBER(I502)),EDATE(H502,I502),"")</f>
        <v/>
      </c>
      <c r="K502" s="30" t="n"/>
      <c r="L502" s="29">
        <f>IF(AND(ISNUMBER(H502),ISNUMBER(K502)),EDATE(H502,K502),"")</f>
        <v/>
      </c>
      <c r="M502" s="29">
        <f>IF(COUNT(J502,L502)=0,"",IF(MIN(J502,L502)&gt;=TODAY(),MIN(J502,L502),MAX(J502,L502)))</f>
        <v/>
      </c>
      <c r="N502" s="31">
        <f>IF(ISNUMBER(M502),M502-TODAY(),"")</f>
        <v/>
      </c>
      <c r="O502" s="32">
        <f>IF(NOT(ISNUMBER(N502)),"",IF(OR(Q502="Taken",Q502="Declined"),"",IF(N502&lt;0,"Lapsed",IF(N502&lt;=7,7,IF(N502&lt;=30,30,IF(N502&lt;=60,60,IF(N502&lt;=90,90,"")))))))</f>
        <v/>
      </c>
      <c r="P502" s="27" t="n"/>
      <c r="Q502" s="27" t="n"/>
      <c r="R502" s="27" t="n"/>
      <c r="S502" s="27" t="n"/>
      <c r="T502" s="27" t="n"/>
    </row>
    <row r="503">
      <c r="A503" s="27" t="n"/>
      <c r="B503" s="27" t="n"/>
      <c r="C503" s="27" t="n"/>
      <c r="D503" s="27" t="n"/>
      <c r="E503" s="28" t="n"/>
      <c r="F503" s="28" t="n"/>
      <c r="G503" s="27" t="n"/>
      <c r="H503" s="29">
        <f>IF(G503="Invoice",IF(ISNUMBER(F503),F503,""),IF(ISNUMBER(E503),E503,""))</f>
        <v/>
      </c>
      <c r="I503" s="30" t="n"/>
      <c r="J503" s="29">
        <f>IF(AND(ISNUMBER(H503),ISNUMBER(I503)),EDATE(H503,I503),"")</f>
        <v/>
      </c>
      <c r="K503" s="30" t="n"/>
      <c r="L503" s="29">
        <f>IF(AND(ISNUMBER(H503),ISNUMBER(K503)),EDATE(H503,K503),"")</f>
        <v/>
      </c>
      <c r="M503" s="29">
        <f>IF(COUNT(J503,L503)=0,"",IF(MIN(J503,L503)&gt;=TODAY(),MIN(J503,L503),MAX(J503,L503)))</f>
        <v/>
      </c>
      <c r="N503" s="31">
        <f>IF(ISNUMBER(M503),M503-TODAY(),"")</f>
        <v/>
      </c>
      <c r="O503" s="32">
        <f>IF(NOT(ISNUMBER(N503)),"",IF(OR(Q503="Taken",Q503="Declined"),"",IF(N503&lt;0,"Lapsed",IF(N503&lt;=7,7,IF(N503&lt;=30,30,IF(N503&lt;=60,60,IF(N503&lt;=90,90,"")))))))</f>
        <v/>
      </c>
      <c r="P503" s="27" t="n"/>
      <c r="Q503" s="27" t="n"/>
      <c r="R503" s="27" t="n"/>
      <c r="S503" s="27" t="n"/>
      <c r="T503" s="27" t="n"/>
    </row>
  </sheetData>
  <conditionalFormatting sqref="M4:M503 N4:N503">
    <cfRule type="expression" priority="1" dxfId="0" stopIfTrue="1">
      <formula>AND(ISNUMBER($N4),$N4&lt;0)</formula>
    </cfRule>
    <cfRule type="expression" priority="2" dxfId="1" stopIfTrue="1">
      <formula>AND(ISNUMBER($N4),$N4&lt;=30)</formula>
    </cfRule>
    <cfRule type="expression" priority="3" dxfId="2" stopIfTrue="1">
      <formula>AND(ISNUMBER($N4),$N4&lt;=90)</formula>
    </cfRule>
    <cfRule type="expression" priority="4" dxfId="3" stopIfTrue="1">
      <formula>ISNUMBER($N4)</formula>
    </cfRule>
  </conditionalFormatting>
  <conditionalFormatting sqref="A4:T503">
    <cfRule type="expression" priority="5" dxfId="0" stopIfTrue="1">
      <formula>AND(ISNUMBER($N4),$N4&gt;=0,$N4&lt;=30,$Q4&lt;&gt;"Taken",$Q4&lt;&gt;"Declined")</formula>
    </cfRule>
    <cfRule type="expression" priority="6" dxfId="4" stopIfTrue="1">
      <formula>AND($O4&lt;&gt;"",$O4&amp;""&lt;&gt;$P4&amp;"")</formula>
    </cfRule>
    <cfRule type="expression" priority="7" dxfId="5" stopIfTrue="1">
      <formula>$Q4="Taken"</formula>
    </cfRule>
  </conditionalFormatting>
  <conditionalFormatting sqref="A4:A503 B4:B503 C4:C503 D4:D503 E4:E503 F4:F503 G4:G503 I4:I503 K4:K503 P4:P503 Q4:Q503 R4:R503 S4:S503 T4:T503">
    <cfRule type="expression" priority="8" dxfId="6">
      <formula>LEFT($A4,9)="Example –"</formula>
    </cfRule>
    <cfRule type="expression" priority="9" dxfId="7">
      <formula>MOD(ROW(),2)=0</formula>
    </cfRule>
  </conditionalFormatting>
  <dataValidations count="7">
    <dataValidation sqref="E4:E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F4:F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G4:G503" showDropDown="0" showInputMessage="0" showErrorMessage="1" allowBlank="1" errorTitle="Start rule" error="Pick one of: Install, Invoice." type="list" errorStyle="stop">
      <formula1>"Install,Invoice"</formula1>
    </dataValidation>
    <dataValidation sqref="I4:I503" showDropDown="0" showInputMessage="0" showErrorMessage="1" allowBlank="1" errorTitle="Number expected" error="Type a number (no currency symbol)." type="decimal" errorStyle="warning" operator="greaterThanOrEqual">
      <formula1>0</formula1>
    </dataValidation>
    <dataValidation sqref="K4:K503" showDropDown="0" showInputMessage="0" showErrorMessage="1" allowBlank="1" errorTitle="Number expected" error="Type a number (no currency symbol)." type="decimal" errorStyle="warning" operator="greaterThanOrEqual">
      <formula1>0</formula1>
    </dataValidation>
    <dataValidation sqref="P4:P503" showDropDown="0" showInputMessage="0" showErrorMessage="1" allowBlank="1" errorTitle="Last touch sent" error="Pick one of: 90, 60, 30, 7." type="list" errorStyle="stop">
      <formula1>"90,60,30,7"</formula1>
    </dataValidation>
    <dataValidation sqref="Q4:Q503" showDropDown="0" showInputMessage="0" showErrorMessage="1" allowBlank="1" errorTitle="Status" error="Pick one of: Offer due, Offered, Taken, Declined." type="list" errorStyle="stop">
      <formula1>"Offer due,Offered,Taken,Declined"</formula1>
    </dataValidation>
  </dataValidation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7CD9AE"/>
    <outlinePr summaryBelow="1" summaryRight="1"/>
    <pageSetUpPr fitToPage="1"/>
  </sheetPr>
  <dimension ref="A1:Y503"/>
  <sheetViews>
    <sheetView showGridLines="0" tabSelected="0" zoomScale="100"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22" customWidth="1" min="3" max="3"/>
    <col width="14" customWidth="1" min="4" max="4"/>
    <col width="13" customWidth="1" min="5" max="5"/>
    <col width="13" customWidth="1" min="6" max="6"/>
    <col width="10" customWidth="1" min="7" max="7"/>
    <col width="13" customWidth="1" min="8" max="8"/>
    <col width="9" customWidth="1" min="9" max="9"/>
    <col width="13" customWidth="1" min="10" max="10"/>
    <col width="9" customWidth="1" min="11" max="11"/>
    <col width="13" customWidth="1" min="12" max="12"/>
    <col width="13" customWidth="1" min="13" max="13"/>
    <col width="9" customWidth="1" min="14" max="14"/>
    <col width="10" customWidth="1" min="15" max="15"/>
    <col width="13" customWidth="1" min="16" max="16"/>
    <col width="14" customWidth="1" min="17" max="17"/>
    <col width="22" customWidth="1" min="18" max="18"/>
    <col width="24" customWidth="1" min="19" max="19"/>
    <col width="24" customWidth="1" min="20" max="20"/>
    <col width="10" customWidth="1" min="21" max="21"/>
    <col width="10" customWidth="1" min="22" max="22"/>
    <col width="14" customWidth="1" min="23" max="23"/>
    <col width="26" customWidth="1" min="24" max="24"/>
    <col width="36" customWidth="1" min="25" max="25"/>
  </cols>
  <sheetData>
    <row r="1" ht="24" customHeight="1">
      <c r="A1" s="24" t="inlineStr">
        <is>
          <t>My equipment: check and claim before cover ends (one row per machine)</t>
        </is>
      </c>
    </row>
    <row r="2" ht="16" customHeight="1">
      <c r="A2" s="3" t="inlineStr">
        <is>
          <t>Type in the white columns. Shaded columns are calculated, so leave them alone. Rows starting "Example –" are samples: delete them (or type over them) when you add your own.</t>
        </is>
      </c>
    </row>
    <row r="3" ht="32" customHeight="1">
      <c r="A3" s="25" t="inlineStr">
        <is>
          <t>Asset</t>
        </is>
      </c>
      <c r="B3" s="25" t="inlineStr">
        <is>
          <t>Category</t>
        </is>
      </c>
      <c r="C3" s="25" t="inlineStr">
        <is>
          <t>Model</t>
        </is>
      </c>
      <c r="D3" s="25" t="inlineStr">
        <is>
          <t>Serial number</t>
        </is>
      </c>
      <c r="E3" s="25" t="inlineStr">
        <is>
          <t>Install date</t>
        </is>
      </c>
      <c r="F3" s="25" t="inlineStr">
        <is>
          <t>Invoice date</t>
        </is>
      </c>
      <c r="G3" s="25" t="inlineStr">
        <is>
          <t>Start rule</t>
        </is>
      </c>
      <c r="H3" s="26" t="inlineStr">
        <is>
          <t>Warranty start</t>
        </is>
      </c>
      <c r="I3" s="25" t="inlineStr">
        <is>
          <t>Parts months</t>
        </is>
      </c>
      <c r="J3" s="26" t="inlineStr">
        <is>
          <t>Parts end</t>
        </is>
      </c>
      <c r="K3" s="25" t="inlineStr">
        <is>
          <t>Labor months</t>
        </is>
      </c>
      <c r="L3" s="26" t="inlineStr">
        <is>
          <t>Labor end</t>
        </is>
      </c>
      <c r="M3" s="26" t="inlineStr">
        <is>
          <t>Next end</t>
        </is>
      </c>
      <c r="N3" s="26" t="inlineStr">
        <is>
          <t>Days left</t>
        </is>
      </c>
      <c r="O3" s="25" t="inlineStr">
        <is>
          <t>Check window (days)</t>
        </is>
      </c>
      <c r="P3" s="26" t="inlineStr">
        <is>
          <t>Check-by date</t>
        </is>
      </c>
      <c r="Q3" s="25" t="inlineStr">
        <is>
          <t>Claim status</t>
        </is>
      </c>
      <c r="R3" s="25" t="inlineStr">
        <is>
          <t>Supplier / claims contact</t>
        </is>
      </c>
      <c r="S3" s="25" t="inlineStr">
        <is>
          <t>Claims email</t>
        </is>
      </c>
      <c r="T3" s="25" t="inlineStr">
        <is>
          <t>Owner email</t>
        </is>
      </c>
      <c r="U3" s="25" t="inlineStr">
        <is>
          <t>Registered?</t>
        </is>
      </c>
      <c r="V3" s="25" t="inlineStr">
        <is>
          <t>Proof on file?</t>
        </is>
      </c>
      <c r="W3" s="25" t="inlineStr">
        <is>
          <t>Claim / ticket ref</t>
        </is>
      </c>
      <c r="X3" s="25" t="inlineStr">
        <is>
          <t>Document link</t>
        </is>
      </c>
      <c r="Y3" s="25" t="inlineStr">
        <is>
          <t>Notes</t>
        </is>
      </c>
    </row>
    <row r="4">
      <c r="A4" s="27" t="inlineStr">
        <is>
          <t>Example – Office copier, 2nd floor</t>
        </is>
      </c>
      <c r="B4" s="27" t="inlineStr">
        <is>
          <t>Office &amp; IT</t>
        </is>
      </c>
      <c r="C4" s="27" t="inlineStr">
        <is>
          <t>Multifunction copier (example)</t>
        </is>
      </c>
      <c r="D4" s="27" t="inlineStr">
        <is>
          <t>MC-88213</t>
        </is>
      </c>
      <c r="E4" s="28" t="n">
        <v>45981</v>
      </c>
      <c r="F4" s="28" t="n">
        <v>45967</v>
      </c>
      <c r="G4" s="27" t="inlineStr">
        <is>
          <t>Install</t>
        </is>
      </c>
      <c r="H4" s="29">
        <f>IF(G4="Invoice",IF(ISNUMBER(F4),F4,""),IF(ISNUMBER(E4),E4,""))</f>
        <v/>
      </c>
      <c r="I4" s="30" t="n">
        <v>12</v>
      </c>
      <c r="J4" s="29">
        <f>IF(AND(ISNUMBER(H4),ISNUMBER(I4)),EDATE(H4,I4),"")</f>
        <v/>
      </c>
      <c r="K4" s="30" t="n">
        <v>12</v>
      </c>
      <c r="L4" s="29">
        <f>IF(AND(ISNUMBER(H4),ISNUMBER(K4)),EDATE(H4,K4),"")</f>
        <v/>
      </c>
      <c r="M4" s="29">
        <f>IF(COUNT(J4,L4)=0,"",IF(MIN(J4,L4)&gt;=TODAY(),MIN(J4,L4),MAX(J4,L4)))</f>
        <v/>
      </c>
      <c r="N4" s="31">
        <f>IF(ISNUMBER(M4),M4-TODAY(),"")</f>
        <v/>
      </c>
      <c r="O4" s="30" t="n">
        <v>60</v>
      </c>
      <c r="P4" s="29">
        <f>IF(ISNUMBER(M4),M4-IF(ISNUMBER(O4),O4,60),"")</f>
        <v/>
      </c>
      <c r="Q4" s="27" t="inlineStr">
        <is>
          <t>Check due</t>
        </is>
      </c>
      <c r="R4" s="27" t="inlineStr">
        <is>
          <t>Example Office Supplies</t>
        </is>
      </c>
      <c r="S4" s="27" t="inlineStr">
        <is>
          <t>service@example.com</t>
        </is>
      </c>
      <c r="T4" s="27" t="inlineStr">
        <is>
          <t>alex@example.com</t>
        </is>
      </c>
      <c r="U4" s="27" t="inlineStr">
        <is>
          <t>Yes</t>
        </is>
      </c>
      <c r="V4" s="27" t="inlineStr">
        <is>
          <t>Yes</t>
        </is>
      </c>
      <c r="W4" s="27" t="n"/>
      <c r="X4" s="27" t="n"/>
      <c r="Y4" s="27" t="inlineStr">
        <is>
          <t>Weekly paper jams: report before cover ends</t>
        </is>
      </c>
    </row>
    <row r="5">
      <c r="A5" s="27" t="inlineStr">
        <is>
          <t>Example – Air compressor, workshop</t>
        </is>
      </c>
      <c r="B5" s="27" t="inlineStr">
        <is>
          <t>Production</t>
        </is>
      </c>
      <c r="C5" s="27" t="inlineStr">
        <is>
          <t>Screw compressor (example)</t>
        </is>
      </c>
      <c r="D5" s="27" t="inlineStr">
        <is>
          <t>AC-40517</t>
        </is>
      </c>
      <c r="E5" s="28" t="n">
        <v>45590</v>
      </c>
      <c r="F5" s="28" t="n">
        <v>45590</v>
      </c>
      <c r="G5" s="27" t="inlineStr">
        <is>
          <t>Invoice</t>
        </is>
      </c>
      <c r="H5" s="29">
        <f>IF(G5="Invoice",IF(ISNUMBER(F5),F5,""),IF(ISNUMBER(E5),E5,""))</f>
        <v/>
      </c>
      <c r="I5" s="30" t="n">
        <v>24</v>
      </c>
      <c r="J5" s="29">
        <f>IF(AND(ISNUMBER(H5),ISNUMBER(I5)),EDATE(H5,I5),"")</f>
        <v/>
      </c>
      <c r="K5" s="30" t="n">
        <v>24</v>
      </c>
      <c r="L5" s="29">
        <f>IF(AND(ISNUMBER(H5),ISNUMBER(K5)),EDATE(H5,K5),"")</f>
        <v/>
      </c>
      <c r="M5" s="29">
        <f>IF(COUNT(J5,L5)=0,"",IF(MIN(J5,L5)&gt;=TODAY(),MIN(J5,L5),MAX(J5,L5)))</f>
        <v/>
      </c>
      <c r="N5" s="31">
        <f>IF(ISNUMBER(M5),M5-TODAY(),"")</f>
        <v/>
      </c>
      <c r="O5" s="30" t="n">
        <v>60</v>
      </c>
      <c r="P5" s="29">
        <f>IF(ISNUMBER(M5),M5-IF(ISNUMBER(O5),O5,60),"")</f>
        <v/>
      </c>
      <c r="Q5" s="27" t="inlineStr">
        <is>
          <t>Claim open</t>
        </is>
      </c>
      <c r="R5" s="27" t="inlineStr">
        <is>
          <t>Example Compressors</t>
        </is>
      </c>
      <c r="S5" s="27" t="inlineStr">
        <is>
          <t>claims@example.com</t>
        </is>
      </c>
      <c r="T5" s="27" t="inlineStr">
        <is>
          <t>jo@example.com</t>
        </is>
      </c>
      <c r="U5" s="27" t="inlineStr">
        <is>
          <t>Yes</t>
        </is>
      </c>
      <c r="V5" s="27" t="inlineStr">
        <is>
          <t>Yes</t>
        </is>
      </c>
      <c r="W5" s="27" t="inlineStr">
        <is>
          <t>WC-2291</t>
        </is>
      </c>
      <c r="X5" s="27" t="n"/>
      <c r="Y5" s="27" t="inlineStr">
        <is>
          <t>Oil leak reported; engineer visit booked</t>
        </is>
      </c>
    </row>
    <row r="6">
      <c r="A6" s="27" t="inlineStr">
        <is>
          <t>Example – Delivery van tail-lift</t>
        </is>
      </c>
      <c r="B6" s="27" t="inlineStr">
        <is>
          <t>Vehicles</t>
        </is>
      </c>
      <c r="C6" s="27" t="inlineStr">
        <is>
          <t>Tail-lift (example)</t>
        </is>
      </c>
      <c r="D6" s="27" t="inlineStr">
        <is>
          <t>TL-11204</t>
        </is>
      </c>
      <c r="E6" s="28" t="n">
        <v>45748</v>
      </c>
      <c r="F6" s="28" t="n">
        <v>45741</v>
      </c>
      <c r="G6" s="27" t="inlineStr">
        <is>
          <t>Install</t>
        </is>
      </c>
      <c r="H6" s="29">
        <f>IF(G6="Invoice",IF(ISNUMBER(F6),F6,""),IF(ISNUMBER(E6),E6,""))</f>
        <v/>
      </c>
      <c r="I6" s="30" t="n">
        <v>18</v>
      </c>
      <c r="J6" s="29">
        <f>IF(AND(ISNUMBER(H6),ISNUMBER(I6)),EDATE(H6,I6),"")</f>
        <v/>
      </c>
      <c r="K6" s="30" t="n">
        <v>18</v>
      </c>
      <c r="L6" s="29">
        <f>IF(AND(ISNUMBER(H6),ISNUMBER(K6)),EDATE(H6,K6),"")</f>
        <v/>
      </c>
      <c r="M6" s="29">
        <f>IF(COUNT(J6,L6)=0,"",IF(MIN(J6,L6)&gt;=TODAY(),MIN(J6,L6),MAX(J6,L6)))</f>
        <v/>
      </c>
      <c r="N6" s="31">
        <f>IF(ISNUMBER(M6),M6-TODAY(),"")</f>
        <v/>
      </c>
      <c r="O6" s="30" t="n">
        <v>45</v>
      </c>
      <c r="P6" s="29">
        <f>IF(ISNUMBER(M6),M6-IF(ISNUMBER(O6),O6,60),"")</f>
        <v/>
      </c>
      <c r="Q6" s="27" t="inlineStr">
        <is>
          <t>Claim settled</t>
        </is>
      </c>
      <c r="R6" s="27" t="inlineStr">
        <is>
          <t>Example Lift Services</t>
        </is>
      </c>
      <c r="S6" s="27" t="inlineStr">
        <is>
          <t>claims@example.com</t>
        </is>
      </c>
      <c r="T6" s="27" t="inlineStr">
        <is>
          <t>chris@example.com</t>
        </is>
      </c>
      <c r="U6" s="27" t="inlineStr">
        <is>
          <t>Not needed</t>
        </is>
      </c>
      <c r="V6" s="27" t="inlineStr">
        <is>
          <t>Yes</t>
        </is>
      </c>
      <c r="W6" s="27" t="inlineStr">
        <is>
          <t>TL-0457</t>
        </is>
      </c>
      <c r="X6" s="27" t="n"/>
      <c r="Y6" s="27" t="inlineStr">
        <is>
          <t>Hydraulic seal replaced under warranty</t>
        </is>
      </c>
    </row>
    <row r="7">
      <c r="A7" s="27" t="inlineStr">
        <is>
          <t>Example – File server, comms room</t>
        </is>
      </c>
      <c r="B7" s="27" t="inlineStr">
        <is>
          <t>Office &amp; IT</t>
        </is>
      </c>
      <c r="C7" s="27" t="inlineStr">
        <is>
          <t>Rack server (example)</t>
        </is>
      </c>
      <c r="D7" s="27" t="inlineStr">
        <is>
          <t>SV-50991</t>
        </is>
      </c>
      <c r="E7" s="28" t="n">
        <v>45306</v>
      </c>
      <c r="F7" s="28" t="n">
        <v>45299</v>
      </c>
      <c r="G7" s="27" t="inlineStr">
        <is>
          <t>Install</t>
        </is>
      </c>
      <c r="H7" s="29">
        <f>IF(G7="Invoice",IF(ISNUMBER(F7),F7,""),IF(ISNUMBER(E7),E7,""))</f>
        <v/>
      </c>
      <c r="I7" s="30" t="n">
        <v>36</v>
      </c>
      <c r="J7" s="29">
        <f>IF(AND(ISNUMBER(H7),ISNUMBER(I7)),EDATE(H7,I7),"")</f>
        <v/>
      </c>
      <c r="K7" s="30" t="n">
        <v>36</v>
      </c>
      <c r="L7" s="29">
        <f>IF(AND(ISNUMBER(H7),ISNUMBER(K7)),EDATE(H7,K7),"")</f>
        <v/>
      </c>
      <c r="M7" s="29">
        <f>IF(COUNT(J7,L7)=0,"",IF(MIN(J7,L7)&gt;=TODAY(),MIN(J7,L7),MAX(J7,L7)))</f>
        <v/>
      </c>
      <c r="N7" s="31">
        <f>IF(ISNUMBER(M7),M7-TODAY(),"")</f>
        <v/>
      </c>
      <c r="O7" s="30" t="n">
        <v>60</v>
      </c>
      <c r="P7" s="29">
        <f>IF(ISNUMBER(M7),M7-IF(ISNUMBER(O7),O7,60),"")</f>
        <v/>
      </c>
      <c r="Q7" s="27" t="n"/>
      <c r="R7" s="27" t="inlineStr">
        <is>
          <t>Example IT Reseller</t>
        </is>
      </c>
      <c r="S7" s="27" t="inlineStr">
        <is>
          <t>support@example.com</t>
        </is>
      </c>
      <c r="T7" s="27" t="inlineStr">
        <is>
          <t>chris@example.com</t>
        </is>
      </c>
      <c r="U7" s="27" t="inlineStr">
        <is>
          <t>Yes</t>
        </is>
      </c>
      <c r="V7" s="27" t="inlineStr">
        <is>
          <t>Yes</t>
        </is>
      </c>
      <c r="W7" s="27" t="n"/>
      <c r="X7" s="27" t="n"/>
      <c r="Y7" s="27" t="n"/>
    </row>
    <row r="8">
      <c r="A8" s="27" t="inlineStr">
        <is>
          <t>Example – Commercial dishwasher</t>
        </is>
      </c>
      <c r="B8" s="27" t="inlineStr">
        <is>
          <t>Kitchen</t>
        </is>
      </c>
      <c r="C8" s="27" t="inlineStr">
        <is>
          <t>Pass-through dishwasher (example)</t>
        </is>
      </c>
      <c r="D8" s="27" t="inlineStr">
        <is>
          <t>DW-73360</t>
        </is>
      </c>
      <c r="E8" s="28" t="n">
        <v>46001</v>
      </c>
      <c r="F8" s="28" t="n">
        <v>45992</v>
      </c>
      <c r="G8" s="27" t="inlineStr">
        <is>
          <t>Install</t>
        </is>
      </c>
      <c r="H8" s="29">
        <f>IF(G8="Invoice",IF(ISNUMBER(F8),F8,""),IF(ISNUMBER(E8),E8,""))</f>
        <v/>
      </c>
      <c r="I8" s="30" t="n">
        <v>12</v>
      </c>
      <c r="J8" s="29">
        <f>IF(AND(ISNUMBER(H8),ISNUMBER(I8)),EDATE(H8,I8),"")</f>
        <v/>
      </c>
      <c r="K8" s="30" t="n">
        <v>24</v>
      </c>
      <c r="L8" s="29">
        <f>IF(AND(ISNUMBER(H8),ISNUMBER(K8)),EDATE(H8,K8),"")</f>
        <v/>
      </c>
      <c r="M8" s="29">
        <f>IF(COUNT(J8,L8)=0,"",IF(MIN(J8,L8)&gt;=TODAY(),MIN(J8,L8),MAX(J8,L8)))</f>
        <v/>
      </c>
      <c r="N8" s="31">
        <f>IF(ISNUMBER(M8),M8-TODAY(),"")</f>
        <v/>
      </c>
      <c r="O8" s="30" t="n">
        <v>60</v>
      </c>
      <c r="P8" s="29">
        <f>IF(ISNUMBER(M8),M8-IF(ISNUMBER(O8),O8,60),"")</f>
        <v/>
      </c>
      <c r="Q8" s="27" t="inlineStr">
        <is>
          <t>No claim needed</t>
        </is>
      </c>
      <c r="R8" s="27" t="inlineStr">
        <is>
          <t>Example Catering Equipment</t>
        </is>
      </c>
      <c r="S8" s="27" t="inlineStr">
        <is>
          <t>service@example.com</t>
        </is>
      </c>
      <c r="T8" s="27" t="inlineStr">
        <is>
          <t>jo@example.com</t>
        </is>
      </c>
      <c r="U8" s="27" t="inlineStr">
        <is>
          <t>Yes</t>
        </is>
      </c>
      <c r="V8" s="27" t="inlineStr">
        <is>
          <t>No</t>
        </is>
      </c>
      <c r="W8" s="27" t="n"/>
      <c r="X8" s="27" t="n"/>
      <c r="Y8" s="27" t="inlineStr">
        <is>
          <t>Checked: no faults. File the invoice.</t>
        </is>
      </c>
    </row>
    <row r="9">
      <c r="A9" s="27" t="n"/>
      <c r="B9" s="27" t="n"/>
      <c r="C9" s="27" t="n"/>
      <c r="D9" s="27" t="n"/>
      <c r="E9" s="28" t="n"/>
      <c r="F9" s="28" t="n"/>
      <c r="G9" s="27" t="n"/>
      <c r="H9" s="29">
        <f>IF(G9="Invoice",IF(ISNUMBER(F9),F9,""),IF(ISNUMBER(E9),E9,""))</f>
        <v/>
      </c>
      <c r="I9" s="30" t="n"/>
      <c r="J9" s="29">
        <f>IF(AND(ISNUMBER(H9),ISNUMBER(I9)),EDATE(H9,I9),"")</f>
        <v/>
      </c>
      <c r="K9" s="30" t="n"/>
      <c r="L9" s="29">
        <f>IF(AND(ISNUMBER(H9),ISNUMBER(K9)),EDATE(H9,K9),"")</f>
        <v/>
      </c>
      <c r="M9" s="29">
        <f>IF(COUNT(J9,L9)=0,"",IF(MIN(J9,L9)&gt;=TODAY(),MIN(J9,L9),MAX(J9,L9)))</f>
        <v/>
      </c>
      <c r="N9" s="31">
        <f>IF(ISNUMBER(M9),M9-TODAY(),"")</f>
        <v/>
      </c>
      <c r="O9" s="30" t="n"/>
      <c r="P9" s="29">
        <f>IF(ISNUMBER(M9),M9-IF(ISNUMBER(O9),O9,60),"")</f>
        <v/>
      </c>
      <c r="Q9" s="27" t="n"/>
      <c r="R9" s="27" t="n"/>
      <c r="S9" s="27" t="n"/>
      <c r="T9" s="27" t="n"/>
      <c r="U9" s="27" t="n"/>
      <c r="V9" s="27" t="n"/>
      <c r="W9" s="27" t="n"/>
      <c r="X9" s="27" t="n"/>
      <c r="Y9" s="27" t="n"/>
    </row>
    <row r="10">
      <c r="A10" s="27" t="n"/>
      <c r="B10" s="27" t="n"/>
      <c r="C10" s="27" t="n"/>
      <c r="D10" s="27" t="n"/>
      <c r="E10" s="28" t="n"/>
      <c r="F10" s="28" t="n"/>
      <c r="G10" s="27" t="n"/>
      <c r="H10" s="29">
        <f>IF(G10="Invoice",IF(ISNUMBER(F10),F10,""),IF(ISNUMBER(E10),E10,""))</f>
        <v/>
      </c>
      <c r="I10" s="30" t="n"/>
      <c r="J10" s="29">
        <f>IF(AND(ISNUMBER(H10),ISNUMBER(I10)),EDATE(H10,I10),"")</f>
        <v/>
      </c>
      <c r="K10" s="30" t="n"/>
      <c r="L10" s="29">
        <f>IF(AND(ISNUMBER(H10),ISNUMBER(K10)),EDATE(H10,K10),"")</f>
        <v/>
      </c>
      <c r="M10" s="29">
        <f>IF(COUNT(J10,L10)=0,"",IF(MIN(J10,L10)&gt;=TODAY(),MIN(J10,L10),MAX(J10,L10)))</f>
        <v/>
      </c>
      <c r="N10" s="31">
        <f>IF(ISNUMBER(M10),M10-TODAY(),"")</f>
        <v/>
      </c>
      <c r="O10" s="30" t="n"/>
      <c r="P10" s="29">
        <f>IF(ISNUMBER(M10),M10-IF(ISNUMBER(O10),O10,60),"")</f>
        <v/>
      </c>
      <c r="Q10" s="27" t="n"/>
      <c r="R10" s="27" t="n"/>
      <c r="S10" s="27" t="n"/>
      <c r="T10" s="27" t="n"/>
      <c r="U10" s="27" t="n"/>
      <c r="V10" s="27" t="n"/>
      <c r="W10" s="27" t="n"/>
      <c r="X10" s="27" t="n"/>
      <c r="Y10" s="27" t="n"/>
    </row>
    <row r="11">
      <c r="A11" s="27" t="n"/>
      <c r="B11" s="27" t="n"/>
      <c r="C11" s="27" t="n"/>
      <c r="D11" s="27" t="n"/>
      <c r="E11" s="28" t="n"/>
      <c r="F11" s="28" t="n"/>
      <c r="G11" s="27" t="n"/>
      <c r="H11" s="29">
        <f>IF(G11="Invoice",IF(ISNUMBER(F11),F11,""),IF(ISNUMBER(E11),E11,""))</f>
        <v/>
      </c>
      <c r="I11" s="30" t="n"/>
      <c r="J11" s="29">
        <f>IF(AND(ISNUMBER(H11),ISNUMBER(I11)),EDATE(H11,I11),"")</f>
        <v/>
      </c>
      <c r="K11" s="30" t="n"/>
      <c r="L11" s="29">
        <f>IF(AND(ISNUMBER(H11),ISNUMBER(K11)),EDATE(H11,K11),"")</f>
        <v/>
      </c>
      <c r="M11" s="29">
        <f>IF(COUNT(J11,L11)=0,"",IF(MIN(J11,L11)&gt;=TODAY(),MIN(J11,L11),MAX(J11,L11)))</f>
        <v/>
      </c>
      <c r="N11" s="31">
        <f>IF(ISNUMBER(M11),M11-TODAY(),"")</f>
        <v/>
      </c>
      <c r="O11" s="30" t="n"/>
      <c r="P11" s="29">
        <f>IF(ISNUMBER(M11),M11-IF(ISNUMBER(O11),O11,60),"")</f>
        <v/>
      </c>
      <c r="Q11" s="27" t="n"/>
      <c r="R11" s="27" t="n"/>
      <c r="S11" s="27" t="n"/>
      <c r="T11" s="27" t="n"/>
      <c r="U11" s="27" t="n"/>
      <c r="V11" s="27" t="n"/>
      <c r="W11" s="27" t="n"/>
      <c r="X11" s="27" t="n"/>
      <c r="Y11" s="27" t="n"/>
    </row>
    <row r="12">
      <c r="A12" s="27" t="n"/>
      <c r="B12" s="27" t="n"/>
      <c r="C12" s="27" t="n"/>
      <c r="D12" s="27" t="n"/>
      <c r="E12" s="28" t="n"/>
      <c r="F12" s="28" t="n"/>
      <c r="G12" s="27" t="n"/>
      <c r="H12" s="29">
        <f>IF(G12="Invoice",IF(ISNUMBER(F12),F12,""),IF(ISNUMBER(E12),E12,""))</f>
        <v/>
      </c>
      <c r="I12" s="30" t="n"/>
      <c r="J12" s="29">
        <f>IF(AND(ISNUMBER(H12),ISNUMBER(I12)),EDATE(H12,I12),"")</f>
        <v/>
      </c>
      <c r="K12" s="30" t="n"/>
      <c r="L12" s="29">
        <f>IF(AND(ISNUMBER(H12),ISNUMBER(K12)),EDATE(H12,K12),"")</f>
        <v/>
      </c>
      <c r="M12" s="29">
        <f>IF(COUNT(J12,L12)=0,"",IF(MIN(J12,L12)&gt;=TODAY(),MIN(J12,L12),MAX(J12,L12)))</f>
        <v/>
      </c>
      <c r="N12" s="31">
        <f>IF(ISNUMBER(M12),M12-TODAY(),"")</f>
        <v/>
      </c>
      <c r="O12" s="30" t="n"/>
      <c r="P12" s="29">
        <f>IF(ISNUMBER(M12),M12-IF(ISNUMBER(O12),O12,60),"")</f>
        <v/>
      </c>
      <c r="Q12" s="27" t="n"/>
      <c r="R12" s="27" t="n"/>
      <c r="S12" s="27" t="n"/>
      <c r="T12" s="27" t="n"/>
      <c r="U12" s="27" t="n"/>
      <c r="V12" s="27" t="n"/>
      <c r="W12" s="27" t="n"/>
      <c r="X12" s="27" t="n"/>
      <c r="Y12" s="27" t="n"/>
    </row>
    <row r="13">
      <c r="A13" s="27" t="n"/>
      <c r="B13" s="27" t="n"/>
      <c r="C13" s="27" t="n"/>
      <c r="D13" s="27" t="n"/>
      <c r="E13" s="28" t="n"/>
      <c r="F13" s="28" t="n"/>
      <c r="G13" s="27" t="n"/>
      <c r="H13" s="29">
        <f>IF(G13="Invoice",IF(ISNUMBER(F13),F13,""),IF(ISNUMBER(E13),E13,""))</f>
        <v/>
      </c>
      <c r="I13" s="30" t="n"/>
      <c r="J13" s="29">
        <f>IF(AND(ISNUMBER(H13),ISNUMBER(I13)),EDATE(H13,I13),"")</f>
        <v/>
      </c>
      <c r="K13" s="30" t="n"/>
      <c r="L13" s="29">
        <f>IF(AND(ISNUMBER(H13),ISNUMBER(K13)),EDATE(H13,K13),"")</f>
        <v/>
      </c>
      <c r="M13" s="29">
        <f>IF(COUNT(J13,L13)=0,"",IF(MIN(J13,L13)&gt;=TODAY(),MIN(J13,L13),MAX(J13,L13)))</f>
        <v/>
      </c>
      <c r="N13" s="31">
        <f>IF(ISNUMBER(M13),M13-TODAY(),"")</f>
        <v/>
      </c>
      <c r="O13" s="30" t="n"/>
      <c r="P13" s="29">
        <f>IF(ISNUMBER(M13),M13-IF(ISNUMBER(O13),O13,60),"")</f>
        <v/>
      </c>
      <c r="Q13" s="27" t="n"/>
      <c r="R13" s="27" t="n"/>
      <c r="S13" s="27" t="n"/>
      <c r="T13" s="27" t="n"/>
      <c r="U13" s="27" t="n"/>
      <c r="V13" s="27" t="n"/>
      <c r="W13" s="27" t="n"/>
      <c r="X13" s="27" t="n"/>
      <c r="Y13" s="27" t="n"/>
    </row>
    <row r="14">
      <c r="A14" s="27" t="n"/>
      <c r="B14" s="27" t="n"/>
      <c r="C14" s="27" t="n"/>
      <c r="D14" s="27" t="n"/>
      <c r="E14" s="28" t="n"/>
      <c r="F14" s="28" t="n"/>
      <c r="G14" s="27" t="n"/>
      <c r="H14" s="29">
        <f>IF(G14="Invoice",IF(ISNUMBER(F14),F14,""),IF(ISNUMBER(E14),E14,""))</f>
        <v/>
      </c>
      <c r="I14" s="30" t="n"/>
      <c r="J14" s="29">
        <f>IF(AND(ISNUMBER(H14),ISNUMBER(I14)),EDATE(H14,I14),"")</f>
        <v/>
      </c>
      <c r="K14" s="30" t="n"/>
      <c r="L14" s="29">
        <f>IF(AND(ISNUMBER(H14),ISNUMBER(K14)),EDATE(H14,K14),"")</f>
        <v/>
      </c>
      <c r="M14" s="29">
        <f>IF(COUNT(J14,L14)=0,"",IF(MIN(J14,L14)&gt;=TODAY(),MIN(J14,L14),MAX(J14,L14)))</f>
        <v/>
      </c>
      <c r="N14" s="31">
        <f>IF(ISNUMBER(M14),M14-TODAY(),"")</f>
        <v/>
      </c>
      <c r="O14" s="30" t="n"/>
      <c r="P14" s="29">
        <f>IF(ISNUMBER(M14),M14-IF(ISNUMBER(O14),O14,60),"")</f>
        <v/>
      </c>
      <c r="Q14" s="27" t="n"/>
      <c r="R14" s="27" t="n"/>
      <c r="S14" s="27" t="n"/>
      <c r="T14" s="27" t="n"/>
      <c r="U14" s="27" t="n"/>
      <c r="V14" s="27" t="n"/>
      <c r="W14" s="27" t="n"/>
      <c r="X14" s="27" t="n"/>
      <c r="Y14" s="27" t="n"/>
    </row>
    <row r="15">
      <c r="A15" s="27" t="n"/>
      <c r="B15" s="27" t="n"/>
      <c r="C15" s="27" t="n"/>
      <c r="D15" s="27" t="n"/>
      <c r="E15" s="28" t="n"/>
      <c r="F15" s="28" t="n"/>
      <c r="G15" s="27" t="n"/>
      <c r="H15" s="29">
        <f>IF(G15="Invoice",IF(ISNUMBER(F15),F15,""),IF(ISNUMBER(E15),E15,""))</f>
        <v/>
      </c>
      <c r="I15" s="30" t="n"/>
      <c r="J15" s="29">
        <f>IF(AND(ISNUMBER(H15),ISNUMBER(I15)),EDATE(H15,I15),"")</f>
        <v/>
      </c>
      <c r="K15" s="30" t="n"/>
      <c r="L15" s="29">
        <f>IF(AND(ISNUMBER(H15),ISNUMBER(K15)),EDATE(H15,K15),"")</f>
        <v/>
      </c>
      <c r="M15" s="29">
        <f>IF(COUNT(J15,L15)=0,"",IF(MIN(J15,L15)&gt;=TODAY(),MIN(J15,L15),MAX(J15,L15)))</f>
        <v/>
      </c>
      <c r="N15" s="31">
        <f>IF(ISNUMBER(M15),M15-TODAY(),"")</f>
        <v/>
      </c>
      <c r="O15" s="30" t="n"/>
      <c r="P15" s="29">
        <f>IF(ISNUMBER(M15),M15-IF(ISNUMBER(O15),O15,60),"")</f>
        <v/>
      </c>
      <c r="Q15" s="27" t="n"/>
      <c r="R15" s="27" t="n"/>
      <c r="S15" s="27" t="n"/>
      <c r="T15" s="27" t="n"/>
      <c r="U15" s="27" t="n"/>
      <c r="V15" s="27" t="n"/>
      <c r="W15" s="27" t="n"/>
      <c r="X15" s="27" t="n"/>
      <c r="Y15" s="27" t="n"/>
    </row>
    <row r="16">
      <c r="A16" s="27" t="n"/>
      <c r="B16" s="27" t="n"/>
      <c r="C16" s="27" t="n"/>
      <c r="D16" s="27" t="n"/>
      <c r="E16" s="28" t="n"/>
      <c r="F16" s="28" t="n"/>
      <c r="G16" s="27" t="n"/>
      <c r="H16" s="29">
        <f>IF(G16="Invoice",IF(ISNUMBER(F16),F16,""),IF(ISNUMBER(E16),E16,""))</f>
        <v/>
      </c>
      <c r="I16" s="30" t="n"/>
      <c r="J16" s="29">
        <f>IF(AND(ISNUMBER(H16),ISNUMBER(I16)),EDATE(H16,I16),"")</f>
        <v/>
      </c>
      <c r="K16" s="30" t="n"/>
      <c r="L16" s="29">
        <f>IF(AND(ISNUMBER(H16),ISNUMBER(K16)),EDATE(H16,K16),"")</f>
        <v/>
      </c>
      <c r="M16" s="29">
        <f>IF(COUNT(J16,L16)=0,"",IF(MIN(J16,L16)&gt;=TODAY(),MIN(J16,L16),MAX(J16,L16)))</f>
        <v/>
      </c>
      <c r="N16" s="31">
        <f>IF(ISNUMBER(M16),M16-TODAY(),"")</f>
        <v/>
      </c>
      <c r="O16" s="30" t="n"/>
      <c r="P16" s="29">
        <f>IF(ISNUMBER(M16),M16-IF(ISNUMBER(O16),O16,60),"")</f>
        <v/>
      </c>
      <c r="Q16" s="27" t="n"/>
      <c r="R16" s="27" t="n"/>
      <c r="S16" s="27" t="n"/>
      <c r="T16" s="27" t="n"/>
      <c r="U16" s="27" t="n"/>
      <c r="V16" s="27" t="n"/>
      <c r="W16" s="27" t="n"/>
      <c r="X16" s="27" t="n"/>
      <c r="Y16" s="27" t="n"/>
    </row>
    <row r="17">
      <c r="A17" s="27" t="n"/>
      <c r="B17" s="27" t="n"/>
      <c r="C17" s="27" t="n"/>
      <c r="D17" s="27" t="n"/>
      <c r="E17" s="28" t="n"/>
      <c r="F17" s="28" t="n"/>
      <c r="G17" s="27" t="n"/>
      <c r="H17" s="29">
        <f>IF(G17="Invoice",IF(ISNUMBER(F17),F17,""),IF(ISNUMBER(E17),E17,""))</f>
        <v/>
      </c>
      <c r="I17" s="30" t="n"/>
      <c r="J17" s="29">
        <f>IF(AND(ISNUMBER(H17),ISNUMBER(I17)),EDATE(H17,I17),"")</f>
        <v/>
      </c>
      <c r="K17" s="30" t="n"/>
      <c r="L17" s="29">
        <f>IF(AND(ISNUMBER(H17),ISNUMBER(K17)),EDATE(H17,K17),"")</f>
        <v/>
      </c>
      <c r="M17" s="29">
        <f>IF(COUNT(J17,L17)=0,"",IF(MIN(J17,L17)&gt;=TODAY(),MIN(J17,L17),MAX(J17,L17)))</f>
        <v/>
      </c>
      <c r="N17" s="31">
        <f>IF(ISNUMBER(M17),M17-TODAY(),"")</f>
        <v/>
      </c>
      <c r="O17" s="30" t="n"/>
      <c r="P17" s="29">
        <f>IF(ISNUMBER(M17),M17-IF(ISNUMBER(O17),O17,60),"")</f>
        <v/>
      </c>
      <c r="Q17" s="27" t="n"/>
      <c r="R17" s="27" t="n"/>
      <c r="S17" s="27" t="n"/>
      <c r="T17" s="27" t="n"/>
      <c r="U17" s="27" t="n"/>
      <c r="V17" s="27" t="n"/>
      <c r="W17" s="27" t="n"/>
      <c r="X17" s="27" t="n"/>
      <c r="Y17" s="27" t="n"/>
    </row>
    <row r="18">
      <c r="A18" s="27" t="n"/>
      <c r="B18" s="27" t="n"/>
      <c r="C18" s="27" t="n"/>
      <c r="D18" s="27" t="n"/>
      <c r="E18" s="28" t="n"/>
      <c r="F18" s="28" t="n"/>
      <c r="G18" s="27" t="n"/>
      <c r="H18" s="29">
        <f>IF(G18="Invoice",IF(ISNUMBER(F18),F18,""),IF(ISNUMBER(E18),E18,""))</f>
        <v/>
      </c>
      <c r="I18" s="30" t="n"/>
      <c r="J18" s="29">
        <f>IF(AND(ISNUMBER(H18),ISNUMBER(I18)),EDATE(H18,I18),"")</f>
        <v/>
      </c>
      <c r="K18" s="30" t="n"/>
      <c r="L18" s="29">
        <f>IF(AND(ISNUMBER(H18),ISNUMBER(K18)),EDATE(H18,K18),"")</f>
        <v/>
      </c>
      <c r="M18" s="29">
        <f>IF(COUNT(J18,L18)=0,"",IF(MIN(J18,L18)&gt;=TODAY(),MIN(J18,L18),MAX(J18,L18)))</f>
        <v/>
      </c>
      <c r="N18" s="31">
        <f>IF(ISNUMBER(M18),M18-TODAY(),"")</f>
        <v/>
      </c>
      <c r="O18" s="30" t="n"/>
      <c r="P18" s="29">
        <f>IF(ISNUMBER(M18),M18-IF(ISNUMBER(O18),O18,60),"")</f>
        <v/>
      </c>
      <c r="Q18" s="27" t="n"/>
      <c r="R18" s="27" t="n"/>
      <c r="S18" s="27" t="n"/>
      <c r="T18" s="27" t="n"/>
      <c r="U18" s="27" t="n"/>
      <c r="V18" s="27" t="n"/>
      <c r="W18" s="27" t="n"/>
      <c r="X18" s="27" t="n"/>
      <c r="Y18" s="27" t="n"/>
    </row>
    <row r="19">
      <c r="A19" s="27" t="n"/>
      <c r="B19" s="27" t="n"/>
      <c r="C19" s="27" t="n"/>
      <c r="D19" s="27" t="n"/>
      <c r="E19" s="28" t="n"/>
      <c r="F19" s="28" t="n"/>
      <c r="G19" s="27" t="n"/>
      <c r="H19" s="29">
        <f>IF(G19="Invoice",IF(ISNUMBER(F19),F19,""),IF(ISNUMBER(E19),E19,""))</f>
        <v/>
      </c>
      <c r="I19" s="30" t="n"/>
      <c r="J19" s="29">
        <f>IF(AND(ISNUMBER(H19),ISNUMBER(I19)),EDATE(H19,I19),"")</f>
        <v/>
      </c>
      <c r="K19" s="30" t="n"/>
      <c r="L19" s="29">
        <f>IF(AND(ISNUMBER(H19),ISNUMBER(K19)),EDATE(H19,K19),"")</f>
        <v/>
      </c>
      <c r="M19" s="29">
        <f>IF(COUNT(J19,L19)=0,"",IF(MIN(J19,L19)&gt;=TODAY(),MIN(J19,L19),MAX(J19,L19)))</f>
        <v/>
      </c>
      <c r="N19" s="31">
        <f>IF(ISNUMBER(M19),M19-TODAY(),"")</f>
        <v/>
      </c>
      <c r="O19" s="30" t="n"/>
      <c r="P19" s="29">
        <f>IF(ISNUMBER(M19),M19-IF(ISNUMBER(O19),O19,60),"")</f>
        <v/>
      </c>
      <c r="Q19" s="27" t="n"/>
      <c r="R19" s="27" t="n"/>
      <c r="S19" s="27" t="n"/>
      <c r="T19" s="27" t="n"/>
      <c r="U19" s="27" t="n"/>
      <c r="V19" s="27" t="n"/>
      <c r="W19" s="27" t="n"/>
      <c r="X19" s="27" t="n"/>
      <c r="Y19" s="27" t="n"/>
    </row>
    <row r="20">
      <c r="A20" s="27" t="n"/>
      <c r="B20" s="27" t="n"/>
      <c r="C20" s="27" t="n"/>
      <c r="D20" s="27" t="n"/>
      <c r="E20" s="28" t="n"/>
      <c r="F20" s="28" t="n"/>
      <c r="G20" s="27" t="n"/>
      <c r="H20" s="29">
        <f>IF(G20="Invoice",IF(ISNUMBER(F20),F20,""),IF(ISNUMBER(E20),E20,""))</f>
        <v/>
      </c>
      <c r="I20" s="30" t="n"/>
      <c r="J20" s="29">
        <f>IF(AND(ISNUMBER(H20),ISNUMBER(I20)),EDATE(H20,I20),"")</f>
        <v/>
      </c>
      <c r="K20" s="30" t="n"/>
      <c r="L20" s="29">
        <f>IF(AND(ISNUMBER(H20),ISNUMBER(K20)),EDATE(H20,K20),"")</f>
        <v/>
      </c>
      <c r="M20" s="29">
        <f>IF(COUNT(J20,L20)=0,"",IF(MIN(J20,L20)&gt;=TODAY(),MIN(J20,L20),MAX(J20,L20)))</f>
        <v/>
      </c>
      <c r="N20" s="31">
        <f>IF(ISNUMBER(M20),M20-TODAY(),"")</f>
        <v/>
      </c>
      <c r="O20" s="30" t="n"/>
      <c r="P20" s="29">
        <f>IF(ISNUMBER(M20),M20-IF(ISNUMBER(O20),O20,60),"")</f>
        <v/>
      </c>
      <c r="Q20" s="27" t="n"/>
      <c r="R20" s="27" t="n"/>
      <c r="S20" s="27" t="n"/>
      <c r="T20" s="27" t="n"/>
      <c r="U20" s="27" t="n"/>
      <c r="V20" s="27" t="n"/>
      <c r="W20" s="27" t="n"/>
      <c r="X20" s="27" t="n"/>
      <c r="Y20" s="27" t="n"/>
    </row>
    <row r="21">
      <c r="A21" s="27" t="n"/>
      <c r="B21" s="27" t="n"/>
      <c r="C21" s="27" t="n"/>
      <c r="D21" s="27" t="n"/>
      <c r="E21" s="28" t="n"/>
      <c r="F21" s="28" t="n"/>
      <c r="G21" s="27" t="n"/>
      <c r="H21" s="29">
        <f>IF(G21="Invoice",IF(ISNUMBER(F21),F21,""),IF(ISNUMBER(E21),E21,""))</f>
        <v/>
      </c>
      <c r="I21" s="30" t="n"/>
      <c r="J21" s="29">
        <f>IF(AND(ISNUMBER(H21),ISNUMBER(I21)),EDATE(H21,I21),"")</f>
        <v/>
      </c>
      <c r="K21" s="30" t="n"/>
      <c r="L21" s="29">
        <f>IF(AND(ISNUMBER(H21),ISNUMBER(K21)),EDATE(H21,K21),"")</f>
        <v/>
      </c>
      <c r="M21" s="29">
        <f>IF(COUNT(J21,L21)=0,"",IF(MIN(J21,L21)&gt;=TODAY(),MIN(J21,L21),MAX(J21,L21)))</f>
        <v/>
      </c>
      <c r="N21" s="31">
        <f>IF(ISNUMBER(M21),M21-TODAY(),"")</f>
        <v/>
      </c>
      <c r="O21" s="30" t="n"/>
      <c r="P21" s="29">
        <f>IF(ISNUMBER(M21),M21-IF(ISNUMBER(O21),O21,60),"")</f>
        <v/>
      </c>
      <c r="Q21" s="27" t="n"/>
      <c r="R21" s="27" t="n"/>
      <c r="S21" s="27" t="n"/>
      <c r="T21" s="27" t="n"/>
      <c r="U21" s="27" t="n"/>
      <c r="V21" s="27" t="n"/>
      <c r="W21" s="27" t="n"/>
      <c r="X21" s="27" t="n"/>
      <c r="Y21" s="27" t="n"/>
    </row>
    <row r="22">
      <c r="A22" s="27" t="n"/>
      <c r="B22" s="27" t="n"/>
      <c r="C22" s="27" t="n"/>
      <c r="D22" s="27" t="n"/>
      <c r="E22" s="28" t="n"/>
      <c r="F22" s="28" t="n"/>
      <c r="G22" s="27" t="n"/>
      <c r="H22" s="29">
        <f>IF(G22="Invoice",IF(ISNUMBER(F22),F22,""),IF(ISNUMBER(E22),E22,""))</f>
        <v/>
      </c>
      <c r="I22" s="30" t="n"/>
      <c r="J22" s="29">
        <f>IF(AND(ISNUMBER(H22),ISNUMBER(I22)),EDATE(H22,I22),"")</f>
        <v/>
      </c>
      <c r="K22" s="30" t="n"/>
      <c r="L22" s="29">
        <f>IF(AND(ISNUMBER(H22),ISNUMBER(K22)),EDATE(H22,K22),"")</f>
        <v/>
      </c>
      <c r="M22" s="29">
        <f>IF(COUNT(J22,L22)=0,"",IF(MIN(J22,L22)&gt;=TODAY(),MIN(J22,L22),MAX(J22,L22)))</f>
        <v/>
      </c>
      <c r="N22" s="31">
        <f>IF(ISNUMBER(M22),M22-TODAY(),"")</f>
        <v/>
      </c>
      <c r="O22" s="30" t="n"/>
      <c r="P22" s="29">
        <f>IF(ISNUMBER(M22),M22-IF(ISNUMBER(O22),O22,60),"")</f>
        <v/>
      </c>
      <c r="Q22" s="27" t="n"/>
      <c r="R22" s="27" t="n"/>
      <c r="S22" s="27" t="n"/>
      <c r="T22" s="27" t="n"/>
      <c r="U22" s="27" t="n"/>
      <c r="V22" s="27" t="n"/>
      <c r="W22" s="27" t="n"/>
      <c r="X22" s="27" t="n"/>
      <c r="Y22" s="27" t="n"/>
    </row>
    <row r="23">
      <c r="A23" s="27" t="n"/>
      <c r="B23" s="27" t="n"/>
      <c r="C23" s="27" t="n"/>
      <c r="D23" s="27" t="n"/>
      <c r="E23" s="28" t="n"/>
      <c r="F23" s="28" t="n"/>
      <c r="G23" s="27" t="n"/>
      <c r="H23" s="29">
        <f>IF(G23="Invoice",IF(ISNUMBER(F23),F23,""),IF(ISNUMBER(E23),E23,""))</f>
        <v/>
      </c>
      <c r="I23" s="30" t="n"/>
      <c r="J23" s="29">
        <f>IF(AND(ISNUMBER(H23),ISNUMBER(I23)),EDATE(H23,I23),"")</f>
        <v/>
      </c>
      <c r="K23" s="30" t="n"/>
      <c r="L23" s="29">
        <f>IF(AND(ISNUMBER(H23),ISNUMBER(K23)),EDATE(H23,K23),"")</f>
        <v/>
      </c>
      <c r="M23" s="29">
        <f>IF(COUNT(J23,L23)=0,"",IF(MIN(J23,L23)&gt;=TODAY(),MIN(J23,L23),MAX(J23,L23)))</f>
        <v/>
      </c>
      <c r="N23" s="31">
        <f>IF(ISNUMBER(M23),M23-TODAY(),"")</f>
        <v/>
      </c>
      <c r="O23" s="30" t="n"/>
      <c r="P23" s="29">
        <f>IF(ISNUMBER(M23),M23-IF(ISNUMBER(O23),O23,60),"")</f>
        <v/>
      </c>
      <c r="Q23" s="27" t="n"/>
      <c r="R23" s="27" t="n"/>
      <c r="S23" s="27" t="n"/>
      <c r="T23" s="27" t="n"/>
      <c r="U23" s="27" t="n"/>
      <c r="V23" s="27" t="n"/>
      <c r="W23" s="27" t="n"/>
      <c r="X23" s="27" t="n"/>
      <c r="Y23" s="27" t="n"/>
    </row>
    <row r="24">
      <c r="A24" s="27" t="n"/>
      <c r="B24" s="27" t="n"/>
      <c r="C24" s="27" t="n"/>
      <c r="D24" s="27" t="n"/>
      <c r="E24" s="28" t="n"/>
      <c r="F24" s="28" t="n"/>
      <c r="G24" s="27" t="n"/>
      <c r="H24" s="29">
        <f>IF(G24="Invoice",IF(ISNUMBER(F24),F24,""),IF(ISNUMBER(E24),E24,""))</f>
        <v/>
      </c>
      <c r="I24" s="30" t="n"/>
      <c r="J24" s="29">
        <f>IF(AND(ISNUMBER(H24),ISNUMBER(I24)),EDATE(H24,I24),"")</f>
        <v/>
      </c>
      <c r="K24" s="30" t="n"/>
      <c r="L24" s="29">
        <f>IF(AND(ISNUMBER(H24),ISNUMBER(K24)),EDATE(H24,K24),"")</f>
        <v/>
      </c>
      <c r="M24" s="29">
        <f>IF(COUNT(J24,L24)=0,"",IF(MIN(J24,L24)&gt;=TODAY(),MIN(J24,L24),MAX(J24,L24)))</f>
        <v/>
      </c>
      <c r="N24" s="31">
        <f>IF(ISNUMBER(M24),M24-TODAY(),"")</f>
        <v/>
      </c>
      <c r="O24" s="30" t="n"/>
      <c r="P24" s="29">
        <f>IF(ISNUMBER(M24),M24-IF(ISNUMBER(O24),O24,60),"")</f>
        <v/>
      </c>
      <c r="Q24" s="27" t="n"/>
      <c r="R24" s="27" t="n"/>
      <c r="S24" s="27" t="n"/>
      <c r="T24" s="27" t="n"/>
      <c r="U24" s="27" t="n"/>
      <c r="V24" s="27" t="n"/>
      <c r="W24" s="27" t="n"/>
      <c r="X24" s="27" t="n"/>
      <c r="Y24" s="27" t="n"/>
    </row>
    <row r="25">
      <c r="A25" s="27" t="n"/>
      <c r="B25" s="27" t="n"/>
      <c r="C25" s="27" t="n"/>
      <c r="D25" s="27" t="n"/>
      <c r="E25" s="28" t="n"/>
      <c r="F25" s="28" t="n"/>
      <c r="G25" s="27" t="n"/>
      <c r="H25" s="29">
        <f>IF(G25="Invoice",IF(ISNUMBER(F25),F25,""),IF(ISNUMBER(E25),E25,""))</f>
        <v/>
      </c>
      <c r="I25" s="30" t="n"/>
      <c r="J25" s="29">
        <f>IF(AND(ISNUMBER(H25),ISNUMBER(I25)),EDATE(H25,I25),"")</f>
        <v/>
      </c>
      <c r="K25" s="30" t="n"/>
      <c r="L25" s="29">
        <f>IF(AND(ISNUMBER(H25),ISNUMBER(K25)),EDATE(H25,K25),"")</f>
        <v/>
      </c>
      <c r="M25" s="29">
        <f>IF(COUNT(J25,L25)=0,"",IF(MIN(J25,L25)&gt;=TODAY(),MIN(J25,L25),MAX(J25,L25)))</f>
        <v/>
      </c>
      <c r="N25" s="31">
        <f>IF(ISNUMBER(M25),M25-TODAY(),"")</f>
        <v/>
      </c>
      <c r="O25" s="30" t="n"/>
      <c r="P25" s="29">
        <f>IF(ISNUMBER(M25),M25-IF(ISNUMBER(O25),O25,60),"")</f>
        <v/>
      </c>
      <c r="Q25" s="27" t="n"/>
      <c r="R25" s="27" t="n"/>
      <c r="S25" s="27" t="n"/>
      <c r="T25" s="27" t="n"/>
      <c r="U25" s="27" t="n"/>
      <c r="V25" s="27" t="n"/>
      <c r="W25" s="27" t="n"/>
      <c r="X25" s="27" t="n"/>
      <c r="Y25" s="27" t="n"/>
    </row>
    <row r="26">
      <c r="A26" s="27" t="n"/>
      <c r="B26" s="27" t="n"/>
      <c r="C26" s="27" t="n"/>
      <c r="D26" s="27" t="n"/>
      <c r="E26" s="28" t="n"/>
      <c r="F26" s="28" t="n"/>
      <c r="G26" s="27" t="n"/>
      <c r="H26" s="29">
        <f>IF(G26="Invoice",IF(ISNUMBER(F26),F26,""),IF(ISNUMBER(E26),E26,""))</f>
        <v/>
      </c>
      <c r="I26" s="30" t="n"/>
      <c r="J26" s="29">
        <f>IF(AND(ISNUMBER(H26),ISNUMBER(I26)),EDATE(H26,I26),"")</f>
        <v/>
      </c>
      <c r="K26" s="30" t="n"/>
      <c r="L26" s="29">
        <f>IF(AND(ISNUMBER(H26),ISNUMBER(K26)),EDATE(H26,K26),"")</f>
        <v/>
      </c>
      <c r="M26" s="29">
        <f>IF(COUNT(J26,L26)=0,"",IF(MIN(J26,L26)&gt;=TODAY(),MIN(J26,L26),MAX(J26,L26)))</f>
        <v/>
      </c>
      <c r="N26" s="31">
        <f>IF(ISNUMBER(M26),M26-TODAY(),"")</f>
        <v/>
      </c>
      <c r="O26" s="30" t="n"/>
      <c r="P26" s="29">
        <f>IF(ISNUMBER(M26),M26-IF(ISNUMBER(O26),O26,60),"")</f>
        <v/>
      </c>
      <c r="Q26" s="27" t="n"/>
      <c r="R26" s="27" t="n"/>
      <c r="S26" s="27" t="n"/>
      <c r="T26" s="27" t="n"/>
      <c r="U26" s="27" t="n"/>
      <c r="V26" s="27" t="n"/>
      <c r="W26" s="27" t="n"/>
      <c r="X26" s="27" t="n"/>
      <c r="Y26" s="27" t="n"/>
    </row>
    <row r="27">
      <c r="A27" s="27" t="n"/>
      <c r="B27" s="27" t="n"/>
      <c r="C27" s="27" t="n"/>
      <c r="D27" s="27" t="n"/>
      <c r="E27" s="28" t="n"/>
      <c r="F27" s="28" t="n"/>
      <c r="G27" s="27" t="n"/>
      <c r="H27" s="29">
        <f>IF(G27="Invoice",IF(ISNUMBER(F27),F27,""),IF(ISNUMBER(E27),E27,""))</f>
        <v/>
      </c>
      <c r="I27" s="30" t="n"/>
      <c r="J27" s="29">
        <f>IF(AND(ISNUMBER(H27),ISNUMBER(I27)),EDATE(H27,I27),"")</f>
        <v/>
      </c>
      <c r="K27" s="30" t="n"/>
      <c r="L27" s="29">
        <f>IF(AND(ISNUMBER(H27),ISNUMBER(K27)),EDATE(H27,K27),"")</f>
        <v/>
      </c>
      <c r="M27" s="29">
        <f>IF(COUNT(J27,L27)=0,"",IF(MIN(J27,L27)&gt;=TODAY(),MIN(J27,L27),MAX(J27,L27)))</f>
        <v/>
      </c>
      <c r="N27" s="31">
        <f>IF(ISNUMBER(M27),M27-TODAY(),"")</f>
        <v/>
      </c>
      <c r="O27" s="30" t="n"/>
      <c r="P27" s="29">
        <f>IF(ISNUMBER(M27),M27-IF(ISNUMBER(O27),O27,60),"")</f>
        <v/>
      </c>
      <c r="Q27" s="27" t="n"/>
      <c r="R27" s="27" t="n"/>
      <c r="S27" s="27" t="n"/>
      <c r="T27" s="27" t="n"/>
      <c r="U27" s="27" t="n"/>
      <c r="V27" s="27" t="n"/>
      <c r="W27" s="27" t="n"/>
      <c r="X27" s="27" t="n"/>
      <c r="Y27" s="27" t="n"/>
    </row>
    <row r="28">
      <c r="A28" s="27" t="n"/>
      <c r="B28" s="27" t="n"/>
      <c r="C28" s="27" t="n"/>
      <c r="D28" s="27" t="n"/>
      <c r="E28" s="28" t="n"/>
      <c r="F28" s="28" t="n"/>
      <c r="G28" s="27" t="n"/>
      <c r="H28" s="29">
        <f>IF(G28="Invoice",IF(ISNUMBER(F28),F28,""),IF(ISNUMBER(E28),E28,""))</f>
        <v/>
      </c>
      <c r="I28" s="30" t="n"/>
      <c r="J28" s="29">
        <f>IF(AND(ISNUMBER(H28),ISNUMBER(I28)),EDATE(H28,I28),"")</f>
        <v/>
      </c>
      <c r="K28" s="30" t="n"/>
      <c r="L28" s="29">
        <f>IF(AND(ISNUMBER(H28),ISNUMBER(K28)),EDATE(H28,K28),"")</f>
        <v/>
      </c>
      <c r="M28" s="29">
        <f>IF(COUNT(J28,L28)=0,"",IF(MIN(J28,L28)&gt;=TODAY(),MIN(J28,L28),MAX(J28,L28)))</f>
        <v/>
      </c>
      <c r="N28" s="31">
        <f>IF(ISNUMBER(M28),M28-TODAY(),"")</f>
        <v/>
      </c>
      <c r="O28" s="30" t="n"/>
      <c r="P28" s="29">
        <f>IF(ISNUMBER(M28),M28-IF(ISNUMBER(O28),O28,60),"")</f>
        <v/>
      </c>
      <c r="Q28" s="27" t="n"/>
      <c r="R28" s="27" t="n"/>
      <c r="S28" s="27" t="n"/>
      <c r="T28" s="27" t="n"/>
      <c r="U28" s="27" t="n"/>
      <c r="V28" s="27" t="n"/>
      <c r="W28" s="27" t="n"/>
      <c r="X28" s="27" t="n"/>
      <c r="Y28" s="27" t="n"/>
    </row>
    <row r="29">
      <c r="A29" s="27" t="n"/>
      <c r="B29" s="27" t="n"/>
      <c r="C29" s="27" t="n"/>
      <c r="D29" s="27" t="n"/>
      <c r="E29" s="28" t="n"/>
      <c r="F29" s="28" t="n"/>
      <c r="G29" s="27" t="n"/>
      <c r="H29" s="29">
        <f>IF(G29="Invoice",IF(ISNUMBER(F29),F29,""),IF(ISNUMBER(E29),E29,""))</f>
        <v/>
      </c>
      <c r="I29" s="30" t="n"/>
      <c r="J29" s="29">
        <f>IF(AND(ISNUMBER(H29),ISNUMBER(I29)),EDATE(H29,I29),"")</f>
        <v/>
      </c>
      <c r="K29" s="30" t="n"/>
      <c r="L29" s="29">
        <f>IF(AND(ISNUMBER(H29),ISNUMBER(K29)),EDATE(H29,K29),"")</f>
        <v/>
      </c>
      <c r="M29" s="29">
        <f>IF(COUNT(J29,L29)=0,"",IF(MIN(J29,L29)&gt;=TODAY(),MIN(J29,L29),MAX(J29,L29)))</f>
        <v/>
      </c>
      <c r="N29" s="31">
        <f>IF(ISNUMBER(M29),M29-TODAY(),"")</f>
        <v/>
      </c>
      <c r="O29" s="30" t="n"/>
      <c r="P29" s="29">
        <f>IF(ISNUMBER(M29),M29-IF(ISNUMBER(O29),O29,60),"")</f>
        <v/>
      </c>
      <c r="Q29" s="27" t="n"/>
      <c r="R29" s="27" t="n"/>
      <c r="S29" s="27" t="n"/>
      <c r="T29" s="27" t="n"/>
      <c r="U29" s="27" t="n"/>
      <c r="V29" s="27" t="n"/>
      <c r="W29" s="27" t="n"/>
      <c r="X29" s="27" t="n"/>
      <c r="Y29" s="27" t="n"/>
    </row>
    <row r="30">
      <c r="A30" s="27" t="n"/>
      <c r="B30" s="27" t="n"/>
      <c r="C30" s="27" t="n"/>
      <c r="D30" s="27" t="n"/>
      <c r="E30" s="28" t="n"/>
      <c r="F30" s="28" t="n"/>
      <c r="G30" s="27" t="n"/>
      <c r="H30" s="29">
        <f>IF(G30="Invoice",IF(ISNUMBER(F30),F30,""),IF(ISNUMBER(E30),E30,""))</f>
        <v/>
      </c>
      <c r="I30" s="30" t="n"/>
      <c r="J30" s="29">
        <f>IF(AND(ISNUMBER(H30),ISNUMBER(I30)),EDATE(H30,I30),"")</f>
        <v/>
      </c>
      <c r="K30" s="30" t="n"/>
      <c r="L30" s="29">
        <f>IF(AND(ISNUMBER(H30),ISNUMBER(K30)),EDATE(H30,K30),"")</f>
        <v/>
      </c>
      <c r="M30" s="29">
        <f>IF(COUNT(J30,L30)=0,"",IF(MIN(J30,L30)&gt;=TODAY(),MIN(J30,L30),MAX(J30,L30)))</f>
        <v/>
      </c>
      <c r="N30" s="31">
        <f>IF(ISNUMBER(M30),M30-TODAY(),"")</f>
        <v/>
      </c>
      <c r="O30" s="30" t="n"/>
      <c r="P30" s="29">
        <f>IF(ISNUMBER(M30),M30-IF(ISNUMBER(O30),O30,60),"")</f>
        <v/>
      </c>
      <c r="Q30" s="27" t="n"/>
      <c r="R30" s="27" t="n"/>
      <c r="S30" s="27" t="n"/>
      <c r="T30" s="27" t="n"/>
      <c r="U30" s="27" t="n"/>
      <c r="V30" s="27" t="n"/>
      <c r="W30" s="27" t="n"/>
      <c r="X30" s="27" t="n"/>
      <c r="Y30" s="27" t="n"/>
    </row>
    <row r="31">
      <c r="A31" s="27" t="n"/>
      <c r="B31" s="27" t="n"/>
      <c r="C31" s="27" t="n"/>
      <c r="D31" s="27" t="n"/>
      <c r="E31" s="28" t="n"/>
      <c r="F31" s="28" t="n"/>
      <c r="G31" s="27" t="n"/>
      <c r="H31" s="29">
        <f>IF(G31="Invoice",IF(ISNUMBER(F31),F31,""),IF(ISNUMBER(E31),E31,""))</f>
        <v/>
      </c>
      <c r="I31" s="30" t="n"/>
      <c r="J31" s="29">
        <f>IF(AND(ISNUMBER(H31),ISNUMBER(I31)),EDATE(H31,I31),"")</f>
        <v/>
      </c>
      <c r="K31" s="30" t="n"/>
      <c r="L31" s="29">
        <f>IF(AND(ISNUMBER(H31),ISNUMBER(K31)),EDATE(H31,K31),"")</f>
        <v/>
      </c>
      <c r="M31" s="29">
        <f>IF(COUNT(J31,L31)=0,"",IF(MIN(J31,L31)&gt;=TODAY(),MIN(J31,L31),MAX(J31,L31)))</f>
        <v/>
      </c>
      <c r="N31" s="31">
        <f>IF(ISNUMBER(M31),M31-TODAY(),"")</f>
        <v/>
      </c>
      <c r="O31" s="30" t="n"/>
      <c r="P31" s="29">
        <f>IF(ISNUMBER(M31),M31-IF(ISNUMBER(O31),O31,60),"")</f>
        <v/>
      </c>
      <c r="Q31" s="27" t="n"/>
      <c r="R31" s="27" t="n"/>
      <c r="S31" s="27" t="n"/>
      <c r="T31" s="27" t="n"/>
      <c r="U31" s="27" t="n"/>
      <c r="V31" s="27" t="n"/>
      <c r="W31" s="27" t="n"/>
      <c r="X31" s="27" t="n"/>
      <c r="Y31" s="27" t="n"/>
    </row>
    <row r="32">
      <c r="A32" s="27" t="n"/>
      <c r="B32" s="27" t="n"/>
      <c r="C32" s="27" t="n"/>
      <c r="D32" s="27" t="n"/>
      <c r="E32" s="28" t="n"/>
      <c r="F32" s="28" t="n"/>
      <c r="G32" s="27" t="n"/>
      <c r="H32" s="29">
        <f>IF(G32="Invoice",IF(ISNUMBER(F32),F32,""),IF(ISNUMBER(E32),E32,""))</f>
        <v/>
      </c>
      <c r="I32" s="30" t="n"/>
      <c r="J32" s="29">
        <f>IF(AND(ISNUMBER(H32),ISNUMBER(I32)),EDATE(H32,I32),"")</f>
        <v/>
      </c>
      <c r="K32" s="30" t="n"/>
      <c r="L32" s="29">
        <f>IF(AND(ISNUMBER(H32),ISNUMBER(K32)),EDATE(H32,K32),"")</f>
        <v/>
      </c>
      <c r="M32" s="29">
        <f>IF(COUNT(J32,L32)=0,"",IF(MIN(J32,L32)&gt;=TODAY(),MIN(J32,L32),MAX(J32,L32)))</f>
        <v/>
      </c>
      <c r="N32" s="31">
        <f>IF(ISNUMBER(M32),M32-TODAY(),"")</f>
        <v/>
      </c>
      <c r="O32" s="30" t="n"/>
      <c r="P32" s="29">
        <f>IF(ISNUMBER(M32),M32-IF(ISNUMBER(O32),O32,60),"")</f>
        <v/>
      </c>
      <c r="Q32" s="27" t="n"/>
      <c r="R32" s="27" t="n"/>
      <c r="S32" s="27" t="n"/>
      <c r="T32" s="27" t="n"/>
      <c r="U32" s="27" t="n"/>
      <c r="V32" s="27" t="n"/>
      <c r="W32" s="27" t="n"/>
      <c r="X32" s="27" t="n"/>
      <c r="Y32" s="27" t="n"/>
    </row>
    <row r="33">
      <c r="A33" s="27" t="n"/>
      <c r="B33" s="27" t="n"/>
      <c r="C33" s="27" t="n"/>
      <c r="D33" s="27" t="n"/>
      <c r="E33" s="28" t="n"/>
      <c r="F33" s="28" t="n"/>
      <c r="G33" s="27" t="n"/>
      <c r="H33" s="29">
        <f>IF(G33="Invoice",IF(ISNUMBER(F33),F33,""),IF(ISNUMBER(E33),E33,""))</f>
        <v/>
      </c>
      <c r="I33" s="30" t="n"/>
      <c r="J33" s="29">
        <f>IF(AND(ISNUMBER(H33),ISNUMBER(I33)),EDATE(H33,I33),"")</f>
        <v/>
      </c>
      <c r="K33" s="30" t="n"/>
      <c r="L33" s="29">
        <f>IF(AND(ISNUMBER(H33),ISNUMBER(K33)),EDATE(H33,K33),"")</f>
        <v/>
      </c>
      <c r="M33" s="29">
        <f>IF(COUNT(J33,L33)=0,"",IF(MIN(J33,L33)&gt;=TODAY(),MIN(J33,L33),MAX(J33,L33)))</f>
        <v/>
      </c>
      <c r="N33" s="31">
        <f>IF(ISNUMBER(M33),M33-TODAY(),"")</f>
        <v/>
      </c>
      <c r="O33" s="30" t="n"/>
      <c r="P33" s="29">
        <f>IF(ISNUMBER(M33),M33-IF(ISNUMBER(O33),O33,60),"")</f>
        <v/>
      </c>
      <c r="Q33" s="27" t="n"/>
      <c r="R33" s="27" t="n"/>
      <c r="S33" s="27" t="n"/>
      <c r="T33" s="27" t="n"/>
      <c r="U33" s="27" t="n"/>
      <c r="V33" s="27" t="n"/>
      <c r="W33" s="27" t="n"/>
      <c r="X33" s="27" t="n"/>
      <c r="Y33" s="27" t="n"/>
    </row>
    <row r="34">
      <c r="A34" s="27" t="n"/>
      <c r="B34" s="27" t="n"/>
      <c r="C34" s="27" t="n"/>
      <c r="D34" s="27" t="n"/>
      <c r="E34" s="28" t="n"/>
      <c r="F34" s="28" t="n"/>
      <c r="G34" s="27" t="n"/>
      <c r="H34" s="29">
        <f>IF(G34="Invoice",IF(ISNUMBER(F34),F34,""),IF(ISNUMBER(E34),E34,""))</f>
        <v/>
      </c>
      <c r="I34" s="30" t="n"/>
      <c r="J34" s="29">
        <f>IF(AND(ISNUMBER(H34),ISNUMBER(I34)),EDATE(H34,I34),"")</f>
        <v/>
      </c>
      <c r="K34" s="30" t="n"/>
      <c r="L34" s="29">
        <f>IF(AND(ISNUMBER(H34),ISNUMBER(K34)),EDATE(H34,K34),"")</f>
        <v/>
      </c>
      <c r="M34" s="29">
        <f>IF(COUNT(J34,L34)=0,"",IF(MIN(J34,L34)&gt;=TODAY(),MIN(J34,L34),MAX(J34,L34)))</f>
        <v/>
      </c>
      <c r="N34" s="31">
        <f>IF(ISNUMBER(M34),M34-TODAY(),"")</f>
        <v/>
      </c>
      <c r="O34" s="30" t="n"/>
      <c r="P34" s="29">
        <f>IF(ISNUMBER(M34),M34-IF(ISNUMBER(O34),O34,60),"")</f>
        <v/>
      </c>
      <c r="Q34" s="27" t="n"/>
      <c r="R34" s="27" t="n"/>
      <c r="S34" s="27" t="n"/>
      <c r="T34" s="27" t="n"/>
      <c r="U34" s="27" t="n"/>
      <c r="V34" s="27" t="n"/>
      <c r="W34" s="27" t="n"/>
      <c r="X34" s="27" t="n"/>
      <c r="Y34" s="27" t="n"/>
    </row>
    <row r="35">
      <c r="A35" s="27" t="n"/>
      <c r="B35" s="27" t="n"/>
      <c r="C35" s="27" t="n"/>
      <c r="D35" s="27" t="n"/>
      <c r="E35" s="28" t="n"/>
      <c r="F35" s="28" t="n"/>
      <c r="G35" s="27" t="n"/>
      <c r="H35" s="29">
        <f>IF(G35="Invoice",IF(ISNUMBER(F35),F35,""),IF(ISNUMBER(E35),E35,""))</f>
        <v/>
      </c>
      <c r="I35" s="30" t="n"/>
      <c r="J35" s="29">
        <f>IF(AND(ISNUMBER(H35),ISNUMBER(I35)),EDATE(H35,I35),"")</f>
        <v/>
      </c>
      <c r="K35" s="30" t="n"/>
      <c r="L35" s="29">
        <f>IF(AND(ISNUMBER(H35),ISNUMBER(K35)),EDATE(H35,K35),"")</f>
        <v/>
      </c>
      <c r="M35" s="29">
        <f>IF(COUNT(J35,L35)=0,"",IF(MIN(J35,L35)&gt;=TODAY(),MIN(J35,L35),MAX(J35,L35)))</f>
        <v/>
      </c>
      <c r="N35" s="31">
        <f>IF(ISNUMBER(M35),M35-TODAY(),"")</f>
        <v/>
      </c>
      <c r="O35" s="30" t="n"/>
      <c r="P35" s="29">
        <f>IF(ISNUMBER(M35),M35-IF(ISNUMBER(O35),O35,60),"")</f>
        <v/>
      </c>
      <c r="Q35" s="27" t="n"/>
      <c r="R35" s="27" t="n"/>
      <c r="S35" s="27" t="n"/>
      <c r="T35" s="27" t="n"/>
      <c r="U35" s="27" t="n"/>
      <c r="V35" s="27" t="n"/>
      <c r="W35" s="27" t="n"/>
      <c r="X35" s="27" t="n"/>
      <c r="Y35" s="27" t="n"/>
    </row>
    <row r="36">
      <c r="A36" s="27" t="n"/>
      <c r="B36" s="27" t="n"/>
      <c r="C36" s="27" t="n"/>
      <c r="D36" s="27" t="n"/>
      <c r="E36" s="28" t="n"/>
      <c r="F36" s="28" t="n"/>
      <c r="G36" s="27" t="n"/>
      <c r="H36" s="29">
        <f>IF(G36="Invoice",IF(ISNUMBER(F36),F36,""),IF(ISNUMBER(E36),E36,""))</f>
        <v/>
      </c>
      <c r="I36" s="30" t="n"/>
      <c r="J36" s="29">
        <f>IF(AND(ISNUMBER(H36),ISNUMBER(I36)),EDATE(H36,I36),"")</f>
        <v/>
      </c>
      <c r="K36" s="30" t="n"/>
      <c r="L36" s="29">
        <f>IF(AND(ISNUMBER(H36),ISNUMBER(K36)),EDATE(H36,K36),"")</f>
        <v/>
      </c>
      <c r="M36" s="29">
        <f>IF(COUNT(J36,L36)=0,"",IF(MIN(J36,L36)&gt;=TODAY(),MIN(J36,L36),MAX(J36,L36)))</f>
        <v/>
      </c>
      <c r="N36" s="31">
        <f>IF(ISNUMBER(M36),M36-TODAY(),"")</f>
        <v/>
      </c>
      <c r="O36" s="30" t="n"/>
      <c r="P36" s="29">
        <f>IF(ISNUMBER(M36),M36-IF(ISNUMBER(O36),O36,60),"")</f>
        <v/>
      </c>
      <c r="Q36" s="27" t="n"/>
      <c r="R36" s="27" t="n"/>
      <c r="S36" s="27" t="n"/>
      <c r="T36" s="27" t="n"/>
      <c r="U36" s="27" t="n"/>
      <c r="V36" s="27" t="n"/>
      <c r="W36" s="27" t="n"/>
      <c r="X36" s="27" t="n"/>
      <c r="Y36" s="27" t="n"/>
    </row>
    <row r="37">
      <c r="A37" s="27" t="n"/>
      <c r="B37" s="27" t="n"/>
      <c r="C37" s="27" t="n"/>
      <c r="D37" s="27" t="n"/>
      <c r="E37" s="28" t="n"/>
      <c r="F37" s="28" t="n"/>
      <c r="G37" s="27" t="n"/>
      <c r="H37" s="29">
        <f>IF(G37="Invoice",IF(ISNUMBER(F37),F37,""),IF(ISNUMBER(E37),E37,""))</f>
        <v/>
      </c>
      <c r="I37" s="30" t="n"/>
      <c r="J37" s="29">
        <f>IF(AND(ISNUMBER(H37),ISNUMBER(I37)),EDATE(H37,I37),"")</f>
        <v/>
      </c>
      <c r="K37" s="30" t="n"/>
      <c r="L37" s="29">
        <f>IF(AND(ISNUMBER(H37),ISNUMBER(K37)),EDATE(H37,K37),"")</f>
        <v/>
      </c>
      <c r="M37" s="29">
        <f>IF(COUNT(J37,L37)=0,"",IF(MIN(J37,L37)&gt;=TODAY(),MIN(J37,L37),MAX(J37,L37)))</f>
        <v/>
      </c>
      <c r="N37" s="31">
        <f>IF(ISNUMBER(M37),M37-TODAY(),"")</f>
        <v/>
      </c>
      <c r="O37" s="30" t="n"/>
      <c r="P37" s="29">
        <f>IF(ISNUMBER(M37),M37-IF(ISNUMBER(O37),O37,60),"")</f>
        <v/>
      </c>
      <c r="Q37" s="27" t="n"/>
      <c r="R37" s="27" t="n"/>
      <c r="S37" s="27" t="n"/>
      <c r="T37" s="27" t="n"/>
      <c r="U37" s="27" t="n"/>
      <c r="V37" s="27" t="n"/>
      <c r="W37" s="27" t="n"/>
      <c r="X37" s="27" t="n"/>
      <c r="Y37" s="27" t="n"/>
    </row>
    <row r="38">
      <c r="A38" s="27" t="n"/>
      <c r="B38" s="27" t="n"/>
      <c r="C38" s="27" t="n"/>
      <c r="D38" s="27" t="n"/>
      <c r="E38" s="28" t="n"/>
      <c r="F38" s="28" t="n"/>
      <c r="G38" s="27" t="n"/>
      <c r="H38" s="29">
        <f>IF(G38="Invoice",IF(ISNUMBER(F38),F38,""),IF(ISNUMBER(E38),E38,""))</f>
        <v/>
      </c>
      <c r="I38" s="30" t="n"/>
      <c r="J38" s="29">
        <f>IF(AND(ISNUMBER(H38),ISNUMBER(I38)),EDATE(H38,I38),"")</f>
        <v/>
      </c>
      <c r="K38" s="30" t="n"/>
      <c r="L38" s="29">
        <f>IF(AND(ISNUMBER(H38),ISNUMBER(K38)),EDATE(H38,K38),"")</f>
        <v/>
      </c>
      <c r="M38" s="29">
        <f>IF(COUNT(J38,L38)=0,"",IF(MIN(J38,L38)&gt;=TODAY(),MIN(J38,L38),MAX(J38,L38)))</f>
        <v/>
      </c>
      <c r="N38" s="31">
        <f>IF(ISNUMBER(M38),M38-TODAY(),"")</f>
        <v/>
      </c>
      <c r="O38" s="30" t="n"/>
      <c r="P38" s="29">
        <f>IF(ISNUMBER(M38),M38-IF(ISNUMBER(O38),O38,60),"")</f>
        <v/>
      </c>
      <c r="Q38" s="27" t="n"/>
      <c r="R38" s="27" t="n"/>
      <c r="S38" s="27" t="n"/>
      <c r="T38" s="27" t="n"/>
      <c r="U38" s="27" t="n"/>
      <c r="V38" s="27" t="n"/>
      <c r="W38" s="27" t="n"/>
      <c r="X38" s="27" t="n"/>
      <c r="Y38" s="27" t="n"/>
    </row>
    <row r="39">
      <c r="A39" s="27" t="n"/>
      <c r="B39" s="27" t="n"/>
      <c r="C39" s="27" t="n"/>
      <c r="D39" s="27" t="n"/>
      <c r="E39" s="28" t="n"/>
      <c r="F39" s="28" t="n"/>
      <c r="G39" s="27" t="n"/>
      <c r="H39" s="29">
        <f>IF(G39="Invoice",IF(ISNUMBER(F39),F39,""),IF(ISNUMBER(E39),E39,""))</f>
        <v/>
      </c>
      <c r="I39" s="30" t="n"/>
      <c r="J39" s="29">
        <f>IF(AND(ISNUMBER(H39),ISNUMBER(I39)),EDATE(H39,I39),"")</f>
        <v/>
      </c>
      <c r="K39" s="30" t="n"/>
      <c r="L39" s="29">
        <f>IF(AND(ISNUMBER(H39),ISNUMBER(K39)),EDATE(H39,K39),"")</f>
        <v/>
      </c>
      <c r="M39" s="29">
        <f>IF(COUNT(J39,L39)=0,"",IF(MIN(J39,L39)&gt;=TODAY(),MIN(J39,L39),MAX(J39,L39)))</f>
        <v/>
      </c>
      <c r="N39" s="31">
        <f>IF(ISNUMBER(M39),M39-TODAY(),"")</f>
        <v/>
      </c>
      <c r="O39" s="30" t="n"/>
      <c r="P39" s="29">
        <f>IF(ISNUMBER(M39),M39-IF(ISNUMBER(O39),O39,60),"")</f>
        <v/>
      </c>
      <c r="Q39" s="27" t="n"/>
      <c r="R39" s="27" t="n"/>
      <c r="S39" s="27" t="n"/>
      <c r="T39" s="27" t="n"/>
      <c r="U39" s="27" t="n"/>
      <c r="V39" s="27" t="n"/>
      <c r="W39" s="27" t="n"/>
      <c r="X39" s="27" t="n"/>
      <c r="Y39" s="27" t="n"/>
    </row>
    <row r="40">
      <c r="A40" s="27" t="n"/>
      <c r="B40" s="27" t="n"/>
      <c r="C40" s="27" t="n"/>
      <c r="D40" s="27" t="n"/>
      <c r="E40" s="28" t="n"/>
      <c r="F40" s="28" t="n"/>
      <c r="G40" s="27" t="n"/>
      <c r="H40" s="29">
        <f>IF(G40="Invoice",IF(ISNUMBER(F40),F40,""),IF(ISNUMBER(E40),E40,""))</f>
        <v/>
      </c>
      <c r="I40" s="30" t="n"/>
      <c r="J40" s="29">
        <f>IF(AND(ISNUMBER(H40),ISNUMBER(I40)),EDATE(H40,I40),"")</f>
        <v/>
      </c>
      <c r="K40" s="30" t="n"/>
      <c r="L40" s="29">
        <f>IF(AND(ISNUMBER(H40),ISNUMBER(K40)),EDATE(H40,K40),"")</f>
        <v/>
      </c>
      <c r="M40" s="29">
        <f>IF(COUNT(J40,L40)=0,"",IF(MIN(J40,L40)&gt;=TODAY(),MIN(J40,L40),MAX(J40,L40)))</f>
        <v/>
      </c>
      <c r="N40" s="31">
        <f>IF(ISNUMBER(M40),M40-TODAY(),"")</f>
        <v/>
      </c>
      <c r="O40" s="30" t="n"/>
      <c r="P40" s="29">
        <f>IF(ISNUMBER(M40),M40-IF(ISNUMBER(O40),O40,60),"")</f>
        <v/>
      </c>
      <c r="Q40" s="27" t="n"/>
      <c r="R40" s="27" t="n"/>
      <c r="S40" s="27" t="n"/>
      <c r="T40" s="27" t="n"/>
      <c r="U40" s="27" t="n"/>
      <c r="V40" s="27" t="n"/>
      <c r="W40" s="27" t="n"/>
      <c r="X40" s="27" t="n"/>
      <c r="Y40" s="27" t="n"/>
    </row>
    <row r="41">
      <c r="A41" s="27" t="n"/>
      <c r="B41" s="27" t="n"/>
      <c r="C41" s="27" t="n"/>
      <c r="D41" s="27" t="n"/>
      <c r="E41" s="28" t="n"/>
      <c r="F41" s="28" t="n"/>
      <c r="G41" s="27" t="n"/>
      <c r="H41" s="29">
        <f>IF(G41="Invoice",IF(ISNUMBER(F41),F41,""),IF(ISNUMBER(E41),E41,""))</f>
        <v/>
      </c>
      <c r="I41" s="30" t="n"/>
      <c r="J41" s="29">
        <f>IF(AND(ISNUMBER(H41),ISNUMBER(I41)),EDATE(H41,I41),"")</f>
        <v/>
      </c>
      <c r="K41" s="30" t="n"/>
      <c r="L41" s="29">
        <f>IF(AND(ISNUMBER(H41),ISNUMBER(K41)),EDATE(H41,K41),"")</f>
        <v/>
      </c>
      <c r="M41" s="29">
        <f>IF(COUNT(J41,L41)=0,"",IF(MIN(J41,L41)&gt;=TODAY(),MIN(J41,L41),MAX(J41,L41)))</f>
        <v/>
      </c>
      <c r="N41" s="31">
        <f>IF(ISNUMBER(M41),M41-TODAY(),"")</f>
        <v/>
      </c>
      <c r="O41" s="30" t="n"/>
      <c r="P41" s="29">
        <f>IF(ISNUMBER(M41),M41-IF(ISNUMBER(O41),O41,60),"")</f>
        <v/>
      </c>
      <c r="Q41" s="27" t="n"/>
      <c r="R41" s="27" t="n"/>
      <c r="S41" s="27" t="n"/>
      <c r="T41" s="27" t="n"/>
      <c r="U41" s="27" t="n"/>
      <c r="V41" s="27" t="n"/>
      <c r="W41" s="27" t="n"/>
      <c r="X41" s="27" t="n"/>
      <c r="Y41" s="27" t="n"/>
    </row>
    <row r="42">
      <c r="A42" s="27" t="n"/>
      <c r="B42" s="27" t="n"/>
      <c r="C42" s="27" t="n"/>
      <c r="D42" s="27" t="n"/>
      <c r="E42" s="28" t="n"/>
      <c r="F42" s="28" t="n"/>
      <c r="G42" s="27" t="n"/>
      <c r="H42" s="29">
        <f>IF(G42="Invoice",IF(ISNUMBER(F42),F42,""),IF(ISNUMBER(E42),E42,""))</f>
        <v/>
      </c>
      <c r="I42" s="30" t="n"/>
      <c r="J42" s="29">
        <f>IF(AND(ISNUMBER(H42),ISNUMBER(I42)),EDATE(H42,I42),"")</f>
        <v/>
      </c>
      <c r="K42" s="30" t="n"/>
      <c r="L42" s="29">
        <f>IF(AND(ISNUMBER(H42),ISNUMBER(K42)),EDATE(H42,K42),"")</f>
        <v/>
      </c>
      <c r="M42" s="29">
        <f>IF(COUNT(J42,L42)=0,"",IF(MIN(J42,L42)&gt;=TODAY(),MIN(J42,L42),MAX(J42,L42)))</f>
        <v/>
      </c>
      <c r="N42" s="31">
        <f>IF(ISNUMBER(M42),M42-TODAY(),"")</f>
        <v/>
      </c>
      <c r="O42" s="30" t="n"/>
      <c r="P42" s="29">
        <f>IF(ISNUMBER(M42),M42-IF(ISNUMBER(O42),O42,60),"")</f>
        <v/>
      </c>
      <c r="Q42" s="27" t="n"/>
      <c r="R42" s="27" t="n"/>
      <c r="S42" s="27" t="n"/>
      <c r="T42" s="27" t="n"/>
      <c r="U42" s="27" t="n"/>
      <c r="V42" s="27" t="n"/>
      <c r="W42" s="27" t="n"/>
      <c r="X42" s="27" t="n"/>
      <c r="Y42" s="27" t="n"/>
    </row>
    <row r="43">
      <c r="A43" s="27" t="n"/>
      <c r="B43" s="27" t="n"/>
      <c r="C43" s="27" t="n"/>
      <c r="D43" s="27" t="n"/>
      <c r="E43" s="28" t="n"/>
      <c r="F43" s="28" t="n"/>
      <c r="G43" s="27" t="n"/>
      <c r="H43" s="29">
        <f>IF(G43="Invoice",IF(ISNUMBER(F43),F43,""),IF(ISNUMBER(E43),E43,""))</f>
        <v/>
      </c>
      <c r="I43" s="30" t="n"/>
      <c r="J43" s="29">
        <f>IF(AND(ISNUMBER(H43),ISNUMBER(I43)),EDATE(H43,I43),"")</f>
        <v/>
      </c>
      <c r="K43" s="30" t="n"/>
      <c r="L43" s="29">
        <f>IF(AND(ISNUMBER(H43),ISNUMBER(K43)),EDATE(H43,K43),"")</f>
        <v/>
      </c>
      <c r="M43" s="29">
        <f>IF(COUNT(J43,L43)=0,"",IF(MIN(J43,L43)&gt;=TODAY(),MIN(J43,L43),MAX(J43,L43)))</f>
        <v/>
      </c>
      <c r="N43" s="31">
        <f>IF(ISNUMBER(M43),M43-TODAY(),"")</f>
        <v/>
      </c>
      <c r="O43" s="30" t="n"/>
      <c r="P43" s="29">
        <f>IF(ISNUMBER(M43),M43-IF(ISNUMBER(O43),O43,60),"")</f>
        <v/>
      </c>
      <c r="Q43" s="27" t="n"/>
      <c r="R43" s="27" t="n"/>
      <c r="S43" s="27" t="n"/>
      <c r="T43" s="27" t="n"/>
      <c r="U43" s="27" t="n"/>
      <c r="V43" s="27" t="n"/>
      <c r="W43" s="27" t="n"/>
      <c r="X43" s="27" t="n"/>
      <c r="Y43" s="27" t="n"/>
    </row>
    <row r="44">
      <c r="A44" s="27" t="n"/>
      <c r="B44" s="27" t="n"/>
      <c r="C44" s="27" t="n"/>
      <c r="D44" s="27" t="n"/>
      <c r="E44" s="28" t="n"/>
      <c r="F44" s="28" t="n"/>
      <c r="G44" s="27" t="n"/>
      <c r="H44" s="29">
        <f>IF(G44="Invoice",IF(ISNUMBER(F44),F44,""),IF(ISNUMBER(E44),E44,""))</f>
        <v/>
      </c>
      <c r="I44" s="30" t="n"/>
      <c r="J44" s="29">
        <f>IF(AND(ISNUMBER(H44),ISNUMBER(I44)),EDATE(H44,I44),"")</f>
        <v/>
      </c>
      <c r="K44" s="30" t="n"/>
      <c r="L44" s="29">
        <f>IF(AND(ISNUMBER(H44),ISNUMBER(K44)),EDATE(H44,K44),"")</f>
        <v/>
      </c>
      <c r="M44" s="29">
        <f>IF(COUNT(J44,L44)=0,"",IF(MIN(J44,L44)&gt;=TODAY(),MIN(J44,L44),MAX(J44,L44)))</f>
        <v/>
      </c>
      <c r="N44" s="31">
        <f>IF(ISNUMBER(M44),M44-TODAY(),"")</f>
        <v/>
      </c>
      <c r="O44" s="30" t="n"/>
      <c r="P44" s="29">
        <f>IF(ISNUMBER(M44),M44-IF(ISNUMBER(O44),O44,60),"")</f>
        <v/>
      </c>
      <c r="Q44" s="27" t="n"/>
      <c r="R44" s="27" t="n"/>
      <c r="S44" s="27" t="n"/>
      <c r="T44" s="27" t="n"/>
      <c r="U44" s="27" t="n"/>
      <c r="V44" s="27" t="n"/>
      <c r="W44" s="27" t="n"/>
      <c r="X44" s="27" t="n"/>
      <c r="Y44" s="27" t="n"/>
    </row>
    <row r="45">
      <c r="A45" s="27" t="n"/>
      <c r="B45" s="27" t="n"/>
      <c r="C45" s="27" t="n"/>
      <c r="D45" s="27" t="n"/>
      <c r="E45" s="28" t="n"/>
      <c r="F45" s="28" t="n"/>
      <c r="G45" s="27" t="n"/>
      <c r="H45" s="29">
        <f>IF(G45="Invoice",IF(ISNUMBER(F45),F45,""),IF(ISNUMBER(E45),E45,""))</f>
        <v/>
      </c>
      <c r="I45" s="30" t="n"/>
      <c r="J45" s="29">
        <f>IF(AND(ISNUMBER(H45),ISNUMBER(I45)),EDATE(H45,I45),"")</f>
        <v/>
      </c>
      <c r="K45" s="30" t="n"/>
      <c r="L45" s="29">
        <f>IF(AND(ISNUMBER(H45),ISNUMBER(K45)),EDATE(H45,K45),"")</f>
        <v/>
      </c>
      <c r="M45" s="29">
        <f>IF(COUNT(J45,L45)=0,"",IF(MIN(J45,L45)&gt;=TODAY(),MIN(J45,L45),MAX(J45,L45)))</f>
        <v/>
      </c>
      <c r="N45" s="31">
        <f>IF(ISNUMBER(M45),M45-TODAY(),"")</f>
        <v/>
      </c>
      <c r="O45" s="30" t="n"/>
      <c r="P45" s="29">
        <f>IF(ISNUMBER(M45),M45-IF(ISNUMBER(O45),O45,60),"")</f>
        <v/>
      </c>
      <c r="Q45" s="27" t="n"/>
      <c r="R45" s="27" t="n"/>
      <c r="S45" s="27" t="n"/>
      <c r="T45" s="27" t="n"/>
      <c r="U45" s="27" t="n"/>
      <c r="V45" s="27" t="n"/>
      <c r="W45" s="27" t="n"/>
      <c r="X45" s="27" t="n"/>
      <c r="Y45" s="27" t="n"/>
    </row>
    <row r="46">
      <c r="A46" s="27" t="n"/>
      <c r="B46" s="27" t="n"/>
      <c r="C46" s="27" t="n"/>
      <c r="D46" s="27" t="n"/>
      <c r="E46" s="28" t="n"/>
      <c r="F46" s="28" t="n"/>
      <c r="G46" s="27" t="n"/>
      <c r="H46" s="29">
        <f>IF(G46="Invoice",IF(ISNUMBER(F46),F46,""),IF(ISNUMBER(E46),E46,""))</f>
        <v/>
      </c>
      <c r="I46" s="30" t="n"/>
      <c r="J46" s="29">
        <f>IF(AND(ISNUMBER(H46),ISNUMBER(I46)),EDATE(H46,I46),"")</f>
        <v/>
      </c>
      <c r="K46" s="30" t="n"/>
      <c r="L46" s="29">
        <f>IF(AND(ISNUMBER(H46),ISNUMBER(K46)),EDATE(H46,K46),"")</f>
        <v/>
      </c>
      <c r="M46" s="29">
        <f>IF(COUNT(J46,L46)=0,"",IF(MIN(J46,L46)&gt;=TODAY(),MIN(J46,L46),MAX(J46,L46)))</f>
        <v/>
      </c>
      <c r="N46" s="31">
        <f>IF(ISNUMBER(M46),M46-TODAY(),"")</f>
        <v/>
      </c>
      <c r="O46" s="30" t="n"/>
      <c r="P46" s="29">
        <f>IF(ISNUMBER(M46),M46-IF(ISNUMBER(O46),O46,60),"")</f>
        <v/>
      </c>
      <c r="Q46" s="27" t="n"/>
      <c r="R46" s="27" t="n"/>
      <c r="S46" s="27" t="n"/>
      <c r="T46" s="27" t="n"/>
      <c r="U46" s="27" t="n"/>
      <c r="V46" s="27" t="n"/>
      <c r="W46" s="27" t="n"/>
      <c r="X46" s="27" t="n"/>
      <c r="Y46" s="27" t="n"/>
    </row>
    <row r="47">
      <c r="A47" s="27" t="n"/>
      <c r="B47" s="27" t="n"/>
      <c r="C47" s="27" t="n"/>
      <c r="D47" s="27" t="n"/>
      <c r="E47" s="28" t="n"/>
      <c r="F47" s="28" t="n"/>
      <c r="G47" s="27" t="n"/>
      <c r="H47" s="29">
        <f>IF(G47="Invoice",IF(ISNUMBER(F47),F47,""),IF(ISNUMBER(E47),E47,""))</f>
        <v/>
      </c>
      <c r="I47" s="30" t="n"/>
      <c r="J47" s="29">
        <f>IF(AND(ISNUMBER(H47),ISNUMBER(I47)),EDATE(H47,I47),"")</f>
        <v/>
      </c>
      <c r="K47" s="30" t="n"/>
      <c r="L47" s="29">
        <f>IF(AND(ISNUMBER(H47),ISNUMBER(K47)),EDATE(H47,K47),"")</f>
        <v/>
      </c>
      <c r="M47" s="29">
        <f>IF(COUNT(J47,L47)=0,"",IF(MIN(J47,L47)&gt;=TODAY(),MIN(J47,L47),MAX(J47,L47)))</f>
        <v/>
      </c>
      <c r="N47" s="31">
        <f>IF(ISNUMBER(M47),M47-TODAY(),"")</f>
        <v/>
      </c>
      <c r="O47" s="30" t="n"/>
      <c r="P47" s="29">
        <f>IF(ISNUMBER(M47),M47-IF(ISNUMBER(O47),O47,60),"")</f>
        <v/>
      </c>
      <c r="Q47" s="27" t="n"/>
      <c r="R47" s="27" t="n"/>
      <c r="S47" s="27" t="n"/>
      <c r="T47" s="27" t="n"/>
      <c r="U47" s="27" t="n"/>
      <c r="V47" s="27" t="n"/>
      <c r="W47" s="27" t="n"/>
      <c r="X47" s="27" t="n"/>
      <c r="Y47" s="27" t="n"/>
    </row>
    <row r="48">
      <c r="A48" s="27" t="n"/>
      <c r="B48" s="27" t="n"/>
      <c r="C48" s="27" t="n"/>
      <c r="D48" s="27" t="n"/>
      <c r="E48" s="28" t="n"/>
      <c r="F48" s="28" t="n"/>
      <c r="G48" s="27" t="n"/>
      <c r="H48" s="29">
        <f>IF(G48="Invoice",IF(ISNUMBER(F48),F48,""),IF(ISNUMBER(E48),E48,""))</f>
        <v/>
      </c>
      <c r="I48" s="30" t="n"/>
      <c r="J48" s="29">
        <f>IF(AND(ISNUMBER(H48),ISNUMBER(I48)),EDATE(H48,I48),"")</f>
        <v/>
      </c>
      <c r="K48" s="30" t="n"/>
      <c r="L48" s="29">
        <f>IF(AND(ISNUMBER(H48),ISNUMBER(K48)),EDATE(H48,K48),"")</f>
        <v/>
      </c>
      <c r="M48" s="29">
        <f>IF(COUNT(J48,L48)=0,"",IF(MIN(J48,L48)&gt;=TODAY(),MIN(J48,L48),MAX(J48,L48)))</f>
        <v/>
      </c>
      <c r="N48" s="31">
        <f>IF(ISNUMBER(M48),M48-TODAY(),"")</f>
        <v/>
      </c>
      <c r="O48" s="30" t="n"/>
      <c r="P48" s="29">
        <f>IF(ISNUMBER(M48),M48-IF(ISNUMBER(O48),O48,60),"")</f>
        <v/>
      </c>
      <c r="Q48" s="27" t="n"/>
      <c r="R48" s="27" t="n"/>
      <c r="S48" s="27" t="n"/>
      <c r="T48" s="27" t="n"/>
      <c r="U48" s="27" t="n"/>
      <c r="V48" s="27" t="n"/>
      <c r="W48" s="27" t="n"/>
      <c r="X48" s="27" t="n"/>
      <c r="Y48" s="27" t="n"/>
    </row>
    <row r="49">
      <c r="A49" s="27" t="n"/>
      <c r="B49" s="27" t="n"/>
      <c r="C49" s="27" t="n"/>
      <c r="D49" s="27" t="n"/>
      <c r="E49" s="28" t="n"/>
      <c r="F49" s="28" t="n"/>
      <c r="G49" s="27" t="n"/>
      <c r="H49" s="29">
        <f>IF(G49="Invoice",IF(ISNUMBER(F49),F49,""),IF(ISNUMBER(E49),E49,""))</f>
        <v/>
      </c>
      <c r="I49" s="30" t="n"/>
      <c r="J49" s="29">
        <f>IF(AND(ISNUMBER(H49),ISNUMBER(I49)),EDATE(H49,I49),"")</f>
        <v/>
      </c>
      <c r="K49" s="30" t="n"/>
      <c r="L49" s="29">
        <f>IF(AND(ISNUMBER(H49),ISNUMBER(K49)),EDATE(H49,K49),"")</f>
        <v/>
      </c>
      <c r="M49" s="29">
        <f>IF(COUNT(J49,L49)=0,"",IF(MIN(J49,L49)&gt;=TODAY(),MIN(J49,L49),MAX(J49,L49)))</f>
        <v/>
      </c>
      <c r="N49" s="31">
        <f>IF(ISNUMBER(M49),M49-TODAY(),"")</f>
        <v/>
      </c>
      <c r="O49" s="30" t="n"/>
      <c r="P49" s="29">
        <f>IF(ISNUMBER(M49),M49-IF(ISNUMBER(O49),O49,60),"")</f>
        <v/>
      </c>
      <c r="Q49" s="27" t="n"/>
      <c r="R49" s="27" t="n"/>
      <c r="S49" s="27" t="n"/>
      <c r="T49" s="27" t="n"/>
      <c r="U49" s="27" t="n"/>
      <c r="V49" s="27" t="n"/>
      <c r="W49" s="27" t="n"/>
      <c r="X49" s="27" t="n"/>
      <c r="Y49" s="27" t="n"/>
    </row>
    <row r="50">
      <c r="A50" s="27" t="n"/>
      <c r="B50" s="27" t="n"/>
      <c r="C50" s="27" t="n"/>
      <c r="D50" s="27" t="n"/>
      <c r="E50" s="28" t="n"/>
      <c r="F50" s="28" t="n"/>
      <c r="G50" s="27" t="n"/>
      <c r="H50" s="29">
        <f>IF(G50="Invoice",IF(ISNUMBER(F50),F50,""),IF(ISNUMBER(E50),E50,""))</f>
        <v/>
      </c>
      <c r="I50" s="30" t="n"/>
      <c r="J50" s="29">
        <f>IF(AND(ISNUMBER(H50),ISNUMBER(I50)),EDATE(H50,I50),"")</f>
        <v/>
      </c>
      <c r="K50" s="30" t="n"/>
      <c r="L50" s="29">
        <f>IF(AND(ISNUMBER(H50),ISNUMBER(K50)),EDATE(H50,K50),"")</f>
        <v/>
      </c>
      <c r="M50" s="29">
        <f>IF(COUNT(J50,L50)=0,"",IF(MIN(J50,L50)&gt;=TODAY(),MIN(J50,L50),MAX(J50,L50)))</f>
        <v/>
      </c>
      <c r="N50" s="31">
        <f>IF(ISNUMBER(M50),M50-TODAY(),"")</f>
        <v/>
      </c>
      <c r="O50" s="30" t="n"/>
      <c r="P50" s="29">
        <f>IF(ISNUMBER(M50),M50-IF(ISNUMBER(O50),O50,60),"")</f>
        <v/>
      </c>
      <c r="Q50" s="27" t="n"/>
      <c r="R50" s="27" t="n"/>
      <c r="S50" s="27" t="n"/>
      <c r="T50" s="27" t="n"/>
      <c r="U50" s="27" t="n"/>
      <c r="V50" s="27" t="n"/>
      <c r="W50" s="27" t="n"/>
      <c r="X50" s="27" t="n"/>
      <c r="Y50" s="27" t="n"/>
    </row>
    <row r="51">
      <c r="A51" s="27" t="n"/>
      <c r="B51" s="27" t="n"/>
      <c r="C51" s="27" t="n"/>
      <c r="D51" s="27" t="n"/>
      <c r="E51" s="28" t="n"/>
      <c r="F51" s="28" t="n"/>
      <c r="G51" s="27" t="n"/>
      <c r="H51" s="29">
        <f>IF(G51="Invoice",IF(ISNUMBER(F51),F51,""),IF(ISNUMBER(E51),E51,""))</f>
        <v/>
      </c>
      <c r="I51" s="30" t="n"/>
      <c r="J51" s="29">
        <f>IF(AND(ISNUMBER(H51),ISNUMBER(I51)),EDATE(H51,I51),"")</f>
        <v/>
      </c>
      <c r="K51" s="30" t="n"/>
      <c r="L51" s="29">
        <f>IF(AND(ISNUMBER(H51),ISNUMBER(K51)),EDATE(H51,K51),"")</f>
        <v/>
      </c>
      <c r="M51" s="29">
        <f>IF(COUNT(J51,L51)=0,"",IF(MIN(J51,L51)&gt;=TODAY(),MIN(J51,L51),MAX(J51,L51)))</f>
        <v/>
      </c>
      <c r="N51" s="31">
        <f>IF(ISNUMBER(M51),M51-TODAY(),"")</f>
        <v/>
      </c>
      <c r="O51" s="30" t="n"/>
      <c r="P51" s="29">
        <f>IF(ISNUMBER(M51),M51-IF(ISNUMBER(O51),O51,60),"")</f>
        <v/>
      </c>
      <c r="Q51" s="27" t="n"/>
      <c r="R51" s="27" t="n"/>
      <c r="S51" s="27" t="n"/>
      <c r="T51" s="27" t="n"/>
      <c r="U51" s="27" t="n"/>
      <c r="V51" s="27" t="n"/>
      <c r="W51" s="27" t="n"/>
      <c r="X51" s="27" t="n"/>
      <c r="Y51" s="27" t="n"/>
    </row>
    <row r="52">
      <c r="A52" s="27" t="n"/>
      <c r="B52" s="27" t="n"/>
      <c r="C52" s="27" t="n"/>
      <c r="D52" s="27" t="n"/>
      <c r="E52" s="28" t="n"/>
      <c r="F52" s="28" t="n"/>
      <c r="G52" s="27" t="n"/>
      <c r="H52" s="29">
        <f>IF(G52="Invoice",IF(ISNUMBER(F52),F52,""),IF(ISNUMBER(E52),E52,""))</f>
        <v/>
      </c>
      <c r="I52" s="30" t="n"/>
      <c r="J52" s="29">
        <f>IF(AND(ISNUMBER(H52),ISNUMBER(I52)),EDATE(H52,I52),"")</f>
        <v/>
      </c>
      <c r="K52" s="30" t="n"/>
      <c r="L52" s="29">
        <f>IF(AND(ISNUMBER(H52),ISNUMBER(K52)),EDATE(H52,K52),"")</f>
        <v/>
      </c>
      <c r="M52" s="29">
        <f>IF(COUNT(J52,L52)=0,"",IF(MIN(J52,L52)&gt;=TODAY(),MIN(J52,L52),MAX(J52,L52)))</f>
        <v/>
      </c>
      <c r="N52" s="31">
        <f>IF(ISNUMBER(M52),M52-TODAY(),"")</f>
        <v/>
      </c>
      <c r="O52" s="30" t="n"/>
      <c r="P52" s="29">
        <f>IF(ISNUMBER(M52),M52-IF(ISNUMBER(O52),O52,60),"")</f>
        <v/>
      </c>
      <c r="Q52" s="27" t="n"/>
      <c r="R52" s="27" t="n"/>
      <c r="S52" s="27" t="n"/>
      <c r="T52" s="27" t="n"/>
      <c r="U52" s="27" t="n"/>
      <c r="V52" s="27" t="n"/>
      <c r="W52" s="27" t="n"/>
      <c r="X52" s="27" t="n"/>
      <c r="Y52" s="27" t="n"/>
    </row>
    <row r="53">
      <c r="A53" s="27" t="n"/>
      <c r="B53" s="27" t="n"/>
      <c r="C53" s="27" t="n"/>
      <c r="D53" s="27" t="n"/>
      <c r="E53" s="28" t="n"/>
      <c r="F53" s="28" t="n"/>
      <c r="G53" s="27" t="n"/>
      <c r="H53" s="29">
        <f>IF(G53="Invoice",IF(ISNUMBER(F53),F53,""),IF(ISNUMBER(E53),E53,""))</f>
        <v/>
      </c>
      <c r="I53" s="30" t="n"/>
      <c r="J53" s="29">
        <f>IF(AND(ISNUMBER(H53),ISNUMBER(I53)),EDATE(H53,I53),"")</f>
        <v/>
      </c>
      <c r="K53" s="30" t="n"/>
      <c r="L53" s="29">
        <f>IF(AND(ISNUMBER(H53),ISNUMBER(K53)),EDATE(H53,K53),"")</f>
        <v/>
      </c>
      <c r="M53" s="29">
        <f>IF(COUNT(J53,L53)=0,"",IF(MIN(J53,L53)&gt;=TODAY(),MIN(J53,L53),MAX(J53,L53)))</f>
        <v/>
      </c>
      <c r="N53" s="31">
        <f>IF(ISNUMBER(M53),M53-TODAY(),"")</f>
        <v/>
      </c>
      <c r="O53" s="30" t="n"/>
      <c r="P53" s="29">
        <f>IF(ISNUMBER(M53),M53-IF(ISNUMBER(O53),O53,60),"")</f>
        <v/>
      </c>
      <c r="Q53" s="27" t="n"/>
      <c r="R53" s="27" t="n"/>
      <c r="S53" s="27" t="n"/>
      <c r="T53" s="27" t="n"/>
      <c r="U53" s="27" t="n"/>
      <c r="V53" s="27" t="n"/>
      <c r="W53" s="27" t="n"/>
      <c r="X53" s="27" t="n"/>
      <c r="Y53" s="27" t="n"/>
    </row>
    <row r="54">
      <c r="A54" s="27" t="n"/>
      <c r="B54" s="27" t="n"/>
      <c r="C54" s="27" t="n"/>
      <c r="D54" s="27" t="n"/>
      <c r="E54" s="28" t="n"/>
      <c r="F54" s="28" t="n"/>
      <c r="G54" s="27" t="n"/>
      <c r="H54" s="29">
        <f>IF(G54="Invoice",IF(ISNUMBER(F54),F54,""),IF(ISNUMBER(E54),E54,""))</f>
        <v/>
      </c>
      <c r="I54" s="30" t="n"/>
      <c r="J54" s="29">
        <f>IF(AND(ISNUMBER(H54),ISNUMBER(I54)),EDATE(H54,I54),"")</f>
        <v/>
      </c>
      <c r="K54" s="30" t="n"/>
      <c r="L54" s="29">
        <f>IF(AND(ISNUMBER(H54),ISNUMBER(K54)),EDATE(H54,K54),"")</f>
        <v/>
      </c>
      <c r="M54" s="29">
        <f>IF(COUNT(J54,L54)=0,"",IF(MIN(J54,L54)&gt;=TODAY(),MIN(J54,L54),MAX(J54,L54)))</f>
        <v/>
      </c>
      <c r="N54" s="31">
        <f>IF(ISNUMBER(M54),M54-TODAY(),"")</f>
        <v/>
      </c>
      <c r="O54" s="30" t="n"/>
      <c r="P54" s="29">
        <f>IF(ISNUMBER(M54),M54-IF(ISNUMBER(O54),O54,60),"")</f>
        <v/>
      </c>
      <c r="Q54" s="27" t="n"/>
      <c r="R54" s="27" t="n"/>
      <c r="S54" s="27" t="n"/>
      <c r="T54" s="27" t="n"/>
      <c r="U54" s="27" t="n"/>
      <c r="V54" s="27" t="n"/>
      <c r="W54" s="27" t="n"/>
      <c r="X54" s="27" t="n"/>
      <c r="Y54" s="27" t="n"/>
    </row>
    <row r="55">
      <c r="A55" s="27" t="n"/>
      <c r="B55" s="27" t="n"/>
      <c r="C55" s="27" t="n"/>
      <c r="D55" s="27" t="n"/>
      <c r="E55" s="28" t="n"/>
      <c r="F55" s="28" t="n"/>
      <c r="G55" s="27" t="n"/>
      <c r="H55" s="29">
        <f>IF(G55="Invoice",IF(ISNUMBER(F55),F55,""),IF(ISNUMBER(E55),E55,""))</f>
        <v/>
      </c>
      <c r="I55" s="30" t="n"/>
      <c r="J55" s="29">
        <f>IF(AND(ISNUMBER(H55),ISNUMBER(I55)),EDATE(H55,I55),"")</f>
        <v/>
      </c>
      <c r="K55" s="30" t="n"/>
      <c r="L55" s="29">
        <f>IF(AND(ISNUMBER(H55),ISNUMBER(K55)),EDATE(H55,K55),"")</f>
        <v/>
      </c>
      <c r="M55" s="29">
        <f>IF(COUNT(J55,L55)=0,"",IF(MIN(J55,L55)&gt;=TODAY(),MIN(J55,L55),MAX(J55,L55)))</f>
        <v/>
      </c>
      <c r="N55" s="31">
        <f>IF(ISNUMBER(M55),M55-TODAY(),"")</f>
        <v/>
      </c>
      <c r="O55" s="30" t="n"/>
      <c r="P55" s="29">
        <f>IF(ISNUMBER(M55),M55-IF(ISNUMBER(O55),O55,60),"")</f>
        <v/>
      </c>
      <c r="Q55" s="27" t="n"/>
      <c r="R55" s="27" t="n"/>
      <c r="S55" s="27" t="n"/>
      <c r="T55" s="27" t="n"/>
      <c r="U55" s="27" t="n"/>
      <c r="V55" s="27" t="n"/>
      <c r="W55" s="27" t="n"/>
      <c r="X55" s="27" t="n"/>
      <c r="Y55" s="27" t="n"/>
    </row>
    <row r="56">
      <c r="A56" s="27" t="n"/>
      <c r="B56" s="27" t="n"/>
      <c r="C56" s="27" t="n"/>
      <c r="D56" s="27" t="n"/>
      <c r="E56" s="28" t="n"/>
      <c r="F56" s="28" t="n"/>
      <c r="G56" s="27" t="n"/>
      <c r="H56" s="29">
        <f>IF(G56="Invoice",IF(ISNUMBER(F56),F56,""),IF(ISNUMBER(E56),E56,""))</f>
        <v/>
      </c>
      <c r="I56" s="30" t="n"/>
      <c r="J56" s="29">
        <f>IF(AND(ISNUMBER(H56),ISNUMBER(I56)),EDATE(H56,I56),"")</f>
        <v/>
      </c>
      <c r="K56" s="30" t="n"/>
      <c r="L56" s="29">
        <f>IF(AND(ISNUMBER(H56),ISNUMBER(K56)),EDATE(H56,K56),"")</f>
        <v/>
      </c>
      <c r="M56" s="29">
        <f>IF(COUNT(J56,L56)=0,"",IF(MIN(J56,L56)&gt;=TODAY(),MIN(J56,L56),MAX(J56,L56)))</f>
        <v/>
      </c>
      <c r="N56" s="31">
        <f>IF(ISNUMBER(M56),M56-TODAY(),"")</f>
        <v/>
      </c>
      <c r="O56" s="30" t="n"/>
      <c r="P56" s="29">
        <f>IF(ISNUMBER(M56),M56-IF(ISNUMBER(O56),O56,60),"")</f>
        <v/>
      </c>
      <c r="Q56" s="27" t="n"/>
      <c r="R56" s="27" t="n"/>
      <c r="S56" s="27" t="n"/>
      <c r="T56" s="27" t="n"/>
      <c r="U56" s="27" t="n"/>
      <c r="V56" s="27" t="n"/>
      <c r="W56" s="27" t="n"/>
      <c r="X56" s="27" t="n"/>
      <c r="Y56" s="27" t="n"/>
    </row>
    <row r="57">
      <c r="A57" s="27" t="n"/>
      <c r="B57" s="27" t="n"/>
      <c r="C57" s="27" t="n"/>
      <c r="D57" s="27" t="n"/>
      <c r="E57" s="28" t="n"/>
      <c r="F57" s="28" t="n"/>
      <c r="G57" s="27" t="n"/>
      <c r="H57" s="29">
        <f>IF(G57="Invoice",IF(ISNUMBER(F57),F57,""),IF(ISNUMBER(E57),E57,""))</f>
        <v/>
      </c>
      <c r="I57" s="30" t="n"/>
      <c r="J57" s="29">
        <f>IF(AND(ISNUMBER(H57),ISNUMBER(I57)),EDATE(H57,I57),"")</f>
        <v/>
      </c>
      <c r="K57" s="30" t="n"/>
      <c r="L57" s="29">
        <f>IF(AND(ISNUMBER(H57),ISNUMBER(K57)),EDATE(H57,K57),"")</f>
        <v/>
      </c>
      <c r="M57" s="29">
        <f>IF(COUNT(J57,L57)=0,"",IF(MIN(J57,L57)&gt;=TODAY(),MIN(J57,L57),MAX(J57,L57)))</f>
        <v/>
      </c>
      <c r="N57" s="31">
        <f>IF(ISNUMBER(M57),M57-TODAY(),"")</f>
        <v/>
      </c>
      <c r="O57" s="30" t="n"/>
      <c r="P57" s="29">
        <f>IF(ISNUMBER(M57),M57-IF(ISNUMBER(O57),O57,60),"")</f>
        <v/>
      </c>
      <c r="Q57" s="27" t="n"/>
      <c r="R57" s="27" t="n"/>
      <c r="S57" s="27" t="n"/>
      <c r="T57" s="27" t="n"/>
      <c r="U57" s="27" t="n"/>
      <c r="V57" s="27" t="n"/>
      <c r="W57" s="27" t="n"/>
      <c r="X57" s="27" t="n"/>
      <c r="Y57" s="27" t="n"/>
    </row>
    <row r="58">
      <c r="A58" s="27" t="n"/>
      <c r="B58" s="27" t="n"/>
      <c r="C58" s="27" t="n"/>
      <c r="D58" s="27" t="n"/>
      <c r="E58" s="28" t="n"/>
      <c r="F58" s="28" t="n"/>
      <c r="G58" s="27" t="n"/>
      <c r="H58" s="29">
        <f>IF(G58="Invoice",IF(ISNUMBER(F58),F58,""),IF(ISNUMBER(E58),E58,""))</f>
        <v/>
      </c>
      <c r="I58" s="30" t="n"/>
      <c r="J58" s="29">
        <f>IF(AND(ISNUMBER(H58),ISNUMBER(I58)),EDATE(H58,I58),"")</f>
        <v/>
      </c>
      <c r="K58" s="30" t="n"/>
      <c r="L58" s="29">
        <f>IF(AND(ISNUMBER(H58),ISNUMBER(K58)),EDATE(H58,K58),"")</f>
        <v/>
      </c>
      <c r="M58" s="29">
        <f>IF(COUNT(J58,L58)=0,"",IF(MIN(J58,L58)&gt;=TODAY(),MIN(J58,L58),MAX(J58,L58)))</f>
        <v/>
      </c>
      <c r="N58" s="31">
        <f>IF(ISNUMBER(M58),M58-TODAY(),"")</f>
        <v/>
      </c>
      <c r="O58" s="30" t="n"/>
      <c r="P58" s="29">
        <f>IF(ISNUMBER(M58),M58-IF(ISNUMBER(O58),O58,60),"")</f>
        <v/>
      </c>
      <c r="Q58" s="27" t="n"/>
      <c r="R58" s="27" t="n"/>
      <c r="S58" s="27" t="n"/>
      <c r="T58" s="27" t="n"/>
      <c r="U58" s="27" t="n"/>
      <c r="V58" s="27" t="n"/>
      <c r="W58" s="27" t="n"/>
      <c r="X58" s="27" t="n"/>
      <c r="Y58" s="27" t="n"/>
    </row>
    <row r="59">
      <c r="A59" s="27" t="n"/>
      <c r="B59" s="27" t="n"/>
      <c r="C59" s="27" t="n"/>
      <c r="D59" s="27" t="n"/>
      <c r="E59" s="28" t="n"/>
      <c r="F59" s="28" t="n"/>
      <c r="G59" s="27" t="n"/>
      <c r="H59" s="29">
        <f>IF(G59="Invoice",IF(ISNUMBER(F59),F59,""),IF(ISNUMBER(E59),E59,""))</f>
        <v/>
      </c>
      <c r="I59" s="30" t="n"/>
      <c r="J59" s="29">
        <f>IF(AND(ISNUMBER(H59),ISNUMBER(I59)),EDATE(H59,I59),"")</f>
        <v/>
      </c>
      <c r="K59" s="30" t="n"/>
      <c r="L59" s="29">
        <f>IF(AND(ISNUMBER(H59),ISNUMBER(K59)),EDATE(H59,K59),"")</f>
        <v/>
      </c>
      <c r="M59" s="29">
        <f>IF(COUNT(J59,L59)=0,"",IF(MIN(J59,L59)&gt;=TODAY(),MIN(J59,L59),MAX(J59,L59)))</f>
        <v/>
      </c>
      <c r="N59" s="31">
        <f>IF(ISNUMBER(M59),M59-TODAY(),"")</f>
        <v/>
      </c>
      <c r="O59" s="30" t="n"/>
      <c r="P59" s="29">
        <f>IF(ISNUMBER(M59),M59-IF(ISNUMBER(O59),O59,60),"")</f>
        <v/>
      </c>
      <c r="Q59" s="27" t="n"/>
      <c r="R59" s="27" t="n"/>
      <c r="S59" s="27" t="n"/>
      <c r="T59" s="27" t="n"/>
      <c r="U59" s="27" t="n"/>
      <c r="V59" s="27" t="n"/>
      <c r="W59" s="27" t="n"/>
      <c r="X59" s="27" t="n"/>
      <c r="Y59" s="27" t="n"/>
    </row>
    <row r="60">
      <c r="A60" s="27" t="n"/>
      <c r="B60" s="27" t="n"/>
      <c r="C60" s="27" t="n"/>
      <c r="D60" s="27" t="n"/>
      <c r="E60" s="28" t="n"/>
      <c r="F60" s="28" t="n"/>
      <c r="G60" s="27" t="n"/>
      <c r="H60" s="29">
        <f>IF(G60="Invoice",IF(ISNUMBER(F60),F60,""),IF(ISNUMBER(E60),E60,""))</f>
        <v/>
      </c>
      <c r="I60" s="30" t="n"/>
      <c r="J60" s="29">
        <f>IF(AND(ISNUMBER(H60),ISNUMBER(I60)),EDATE(H60,I60),"")</f>
        <v/>
      </c>
      <c r="K60" s="30" t="n"/>
      <c r="L60" s="29">
        <f>IF(AND(ISNUMBER(H60),ISNUMBER(K60)),EDATE(H60,K60),"")</f>
        <v/>
      </c>
      <c r="M60" s="29">
        <f>IF(COUNT(J60,L60)=0,"",IF(MIN(J60,L60)&gt;=TODAY(),MIN(J60,L60),MAX(J60,L60)))</f>
        <v/>
      </c>
      <c r="N60" s="31">
        <f>IF(ISNUMBER(M60),M60-TODAY(),"")</f>
        <v/>
      </c>
      <c r="O60" s="30" t="n"/>
      <c r="P60" s="29">
        <f>IF(ISNUMBER(M60),M60-IF(ISNUMBER(O60),O60,60),"")</f>
        <v/>
      </c>
      <c r="Q60" s="27" t="n"/>
      <c r="R60" s="27" t="n"/>
      <c r="S60" s="27" t="n"/>
      <c r="T60" s="27" t="n"/>
      <c r="U60" s="27" t="n"/>
      <c r="V60" s="27" t="n"/>
      <c r="W60" s="27" t="n"/>
      <c r="X60" s="27" t="n"/>
      <c r="Y60" s="27" t="n"/>
    </row>
    <row r="61">
      <c r="A61" s="27" t="n"/>
      <c r="B61" s="27" t="n"/>
      <c r="C61" s="27" t="n"/>
      <c r="D61" s="27" t="n"/>
      <c r="E61" s="28" t="n"/>
      <c r="F61" s="28" t="n"/>
      <c r="G61" s="27" t="n"/>
      <c r="H61" s="29">
        <f>IF(G61="Invoice",IF(ISNUMBER(F61),F61,""),IF(ISNUMBER(E61),E61,""))</f>
        <v/>
      </c>
      <c r="I61" s="30" t="n"/>
      <c r="J61" s="29">
        <f>IF(AND(ISNUMBER(H61),ISNUMBER(I61)),EDATE(H61,I61),"")</f>
        <v/>
      </c>
      <c r="K61" s="30" t="n"/>
      <c r="L61" s="29">
        <f>IF(AND(ISNUMBER(H61),ISNUMBER(K61)),EDATE(H61,K61),"")</f>
        <v/>
      </c>
      <c r="M61" s="29">
        <f>IF(COUNT(J61,L61)=0,"",IF(MIN(J61,L61)&gt;=TODAY(),MIN(J61,L61),MAX(J61,L61)))</f>
        <v/>
      </c>
      <c r="N61" s="31">
        <f>IF(ISNUMBER(M61),M61-TODAY(),"")</f>
        <v/>
      </c>
      <c r="O61" s="30" t="n"/>
      <c r="P61" s="29">
        <f>IF(ISNUMBER(M61),M61-IF(ISNUMBER(O61),O61,60),"")</f>
        <v/>
      </c>
      <c r="Q61" s="27" t="n"/>
      <c r="R61" s="27" t="n"/>
      <c r="S61" s="27" t="n"/>
      <c r="T61" s="27" t="n"/>
      <c r="U61" s="27" t="n"/>
      <c r="V61" s="27" t="n"/>
      <c r="W61" s="27" t="n"/>
      <c r="X61" s="27" t="n"/>
      <c r="Y61" s="27" t="n"/>
    </row>
    <row r="62">
      <c r="A62" s="27" t="n"/>
      <c r="B62" s="27" t="n"/>
      <c r="C62" s="27" t="n"/>
      <c r="D62" s="27" t="n"/>
      <c r="E62" s="28" t="n"/>
      <c r="F62" s="28" t="n"/>
      <c r="G62" s="27" t="n"/>
      <c r="H62" s="29">
        <f>IF(G62="Invoice",IF(ISNUMBER(F62),F62,""),IF(ISNUMBER(E62),E62,""))</f>
        <v/>
      </c>
      <c r="I62" s="30" t="n"/>
      <c r="J62" s="29">
        <f>IF(AND(ISNUMBER(H62),ISNUMBER(I62)),EDATE(H62,I62),"")</f>
        <v/>
      </c>
      <c r="K62" s="30" t="n"/>
      <c r="L62" s="29">
        <f>IF(AND(ISNUMBER(H62),ISNUMBER(K62)),EDATE(H62,K62),"")</f>
        <v/>
      </c>
      <c r="M62" s="29">
        <f>IF(COUNT(J62,L62)=0,"",IF(MIN(J62,L62)&gt;=TODAY(),MIN(J62,L62),MAX(J62,L62)))</f>
        <v/>
      </c>
      <c r="N62" s="31">
        <f>IF(ISNUMBER(M62),M62-TODAY(),"")</f>
        <v/>
      </c>
      <c r="O62" s="30" t="n"/>
      <c r="P62" s="29">
        <f>IF(ISNUMBER(M62),M62-IF(ISNUMBER(O62),O62,60),"")</f>
        <v/>
      </c>
      <c r="Q62" s="27" t="n"/>
      <c r="R62" s="27" t="n"/>
      <c r="S62" s="27" t="n"/>
      <c r="T62" s="27" t="n"/>
      <c r="U62" s="27" t="n"/>
      <c r="V62" s="27" t="n"/>
      <c r="W62" s="27" t="n"/>
      <c r="X62" s="27" t="n"/>
      <c r="Y62" s="27" t="n"/>
    </row>
    <row r="63">
      <c r="A63" s="27" t="n"/>
      <c r="B63" s="27" t="n"/>
      <c r="C63" s="27" t="n"/>
      <c r="D63" s="27" t="n"/>
      <c r="E63" s="28" t="n"/>
      <c r="F63" s="28" t="n"/>
      <c r="G63" s="27" t="n"/>
      <c r="H63" s="29">
        <f>IF(G63="Invoice",IF(ISNUMBER(F63),F63,""),IF(ISNUMBER(E63),E63,""))</f>
        <v/>
      </c>
      <c r="I63" s="30" t="n"/>
      <c r="J63" s="29">
        <f>IF(AND(ISNUMBER(H63),ISNUMBER(I63)),EDATE(H63,I63),"")</f>
        <v/>
      </c>
      <c r="K63" s="30" t="n"/>
      <c r="L63" s="29">
        <f>IF(AND(ISNUMBER(H63),ISNUMBER(K63)),EDATE(H63,K63),"")</f>
        <v/>
      </c>
      <c r="M63" s="29">
        <f>IF(COUNT(J63,L63)=0,"",IF(MIN(J63,L63)&gt;=TODAY(),MIN(J63,L63),MAX(J63,L63)))</f>
        <v/>
      </c>
      <c r="N63" s="31">
        <f>IF(ISNUMBER(M63),M63-TODAY(),"")</f>
        <v/>
      </c>
      <c r="O63" s="30" t="n"/>
      <c r="P63" s="29">
        <f>IF(ISNUMBER(M63),M63-IF(ISNUMBER(O63),O63,60),"")</f>
        <v/>
      </c>
      <c r="Q63" s="27" t="n"/>
      <c r="R63" s="27" t="n"/>
      <c r="S63" s="27" t="n"/>
      <c r="T63" s="27" t="n"/>
      <c r="U63" s="27" t="n"/>
      <c r="V63" s="27" t="n"/>
      <c r="W63" s="27" t="n"/>
      <c r="X63" s="27" t="n"/>
      <c r="Y63" s="27" t="n"/>
    </row>
    <row r="64">
      <c r="A64" s="27" t="n"/>
      <c r="B64" s="27" t="n"/>
      <c r="C64" s="27" t="n"/>
      <c r="D64" s="27" t="n"/>
      <c r="E64" s="28" t="n"/>
      <c r="F64" s="28" t="n"/>
      <c r="G64" s="27" t="n"/>
      <c r="H64" s="29">
        <f>IF(G64="Invoice",IF(ISNUMBER(F64),F64,""),IF(ISNUMBER(E64),E64,""))</f>
        <v/>
      </c>
      <c r="I64" s="30" t="n"/>
      <c r="J64" s="29">
        <f>IF(AND(ISNUMBER(H64),ISNUMBER(I64)),EDATE(H64,I64),"")</f>
        <v/>
      </c>
      <c r="K64" s="30" t="n"/>
      <c r="L64" s="29">
        <f>IF(AND(ISNUMBER(H64),ISNUMBER(K64)),EDATE(H64,K64),"")</f>
        <v/>
      </c>
      <c r="M64" s="29">
        <f>IF(COUNT(J64,L64)=0,"",IF(MIN(J64,L64)&gt;=TODAY(),MIN(J64,L64),MAX(J64,L64)))</f>
        <v/>
      </c>
      <c r="N64" s="31">
        <f>IF(ISNUMBER(M64),M64-TODAY(),"")</f>
        <v/>
      </c>
      <c r="O64" s="30" t="n"/>
      <c r="P64" s="29">
        <f>IF(ISNUMBER(M64),M64-IF(ISNUMBER(O64),O64,60),"")</f>
        <v/>
      </c>
      <c r="Q64" s="27" t="n"/>
      <c r="R64" s="27" t="n"/>
      <c r="S64" s="27" t="n"/>
      <c r="T64" s="27" t="n"/>
      <c r="U64" s="27" t="n"/>
      <c r="V64" s="27" t="n"/>
      <c r="W64" s="27" t="n"/>
      <c r="X64" s="27" t="n"/>
      <c r="Y64" s="27" t="n"/>
    </row>
    <row r="65">
      <c r="A65" s="27" t="n"/>
      <c r="B65" s="27" t="n"/>
      <c r="C65" s="27" t="n"/>
      <c r="D65" s="27" t="n"/>
      <c r="E65" s="28" t="n"/>
      <c r="F65" s="28" t="n"/>
      <c r="G65" s="27" t="n"/>
      <c r="H65" s="29">
        <f>IF(G65="Invoice",IF(ISNUMBER(F65),F65,""),IF(ISNUMBER(E65),E65,""))</f>
        <v/>
      </c>
      <c r="I65" s="30" t="n"/>
      <c r="J65" s="29">
        <f>IF(AND(ISNUMBER(H65),ISNUMBER(I65)),EDATE(H65,I65),"")</f>
        <v/>
      </c>
      <c r="K65" s="30" t="n"/>
      <c r="L65" s="29">
        <f>IF(AND(ISNUMBER(H65),ISNUMBER(K65)),EDATE(H65,K65),"")</f>
        <v/>
      </c>
      <c r="M65" s="29">
        <f>IF(COUNT(J65,L65)=0,"",IF(MIN(J65,L65)&gt;=TODAY(),MIN(J65,L65),MAX(J65,L65)))</f>
        <v/>
      </c>
      <c r="N65" s="31">
        <f>IF(ISNUMBER(M65),M65-TODAY(),"")</f>
        <v/>
      </c>
      <c r="O65" s="30" t="n"/>
      <c r="P65" s="29">
        <f>IF(ISNUMBER(M65),M65-IF(ISNUMBER(O65),O65,60),"")</f>
        <v/>
      </c>
      <c r="Q65" s="27" t="n"/>
      <c r="R65" s="27" t="n"/>
      <c r="S65" s="27" t="n"/>
      <c r="T65" s="27" t="n"/>
      <c r="U65" s="27" t="n"/>
      <c r="V65" s="27" t="n"/>
      <c r="W65" s="27" t="n"/>
      <c r="X65" s="27" t="n"/>
      <c r="Y65" s="27" t="n"/>
    </row>
    <row r="66">
      <c r="A66" s="27" t="n"/>
      <c r="B66" s="27" t="n"/>
      <c r="C66" s="27" t="n"/>
      <c r="D66" s="27" t="n"/>
      <c r="E66" s="28" t="n"/>
      <c r="F66" s="28" t="n"/>
      <c r="G66" s="27" t="n"/>
      <c r="H66" s="29">
        <f>IF(G66="Invoice",IF(ISNUMBER(F66),F66,""),IF(ISNUMBER(E66),E66,""))</f>
        <v/>
      </c>
      <c r="I66" s="30" t="n"/>
      <c r="J66" s="29">
        <f>IF(AND(ISNUMBER(H66),ISNUMBER(I66)),EDATE(H66,I66),"")</f>
        <v/>
      </c>
      <c r="K66" s="30" t="n"/>
      <c r="L66" s="29">
        <f>IF(AND(ISNUMBER(H66),ISNUMBER(K66)),EDATE(H66,K66),"")</f>
        <v/>
      </c>
      <c r="M66" s="29">
        <f>IF(COUNT(J66,L66)=0,"",IF(MIN(J66,L66)&gt;=TODAY(),MIN(J66,L66),MAX(J66,L66)))</f>
        <v/>
      </c>
      <c r="N66" s="31">
        <f>IF(ISNUMBER(M66),M66-TODAY(),"")</f>
        <v/>
      </c>
      <c r="O66" s="30" t="n"/>
      <c r="P66" s="29">
        <f>IF(ISNUMBER(M66),M66-IF(ISNUMBER(O66),O66,60),"")</f>
        <v/>
      </c>
      <c r="Q66" s="27" t="n"/>
      <c r="R66" s="27" t="n"/>
      <c r="S66" s="27" t="n"/>
      <c r="T66" s="27" t="n"/>
      <c r="U66" s="27" t="n"/>
      <c r="V66" s="27" t="n"/>
      <c r="W66" s="27" t="n"/>
      <c r="X66" s="27" t="n"/>
      <c r="Y66" s="27" t="n"/>
    </row>
    <row r="67">
      <c r="A67" s="27" t="n"/>
      <c r="B67" s="27" t="n"/>
      <c r="C67" s="27" t="n"/>
      <c r="D67" s="27" t="n"/>
      <c r="E67" s="28" t="n"/>
      <c r="F67" s="28" t="n"/>
      <c r="G67" s="27" t="n"/>
      <c r="H67" s="29">
        <f>IF(G67="Invoice",IF(ISNUMBER(F67),F67,""),IF(ISNUMBER(E67),E67,""))</f>
        <v/>
      </c>
      <c r="I67" s="30" t="n"/>
      <c r="J67" s="29">
        <f>IF(AND(ISNUMBER(H67),ISNUMBER(I67)),EDATE(H67,I67),"")</f>
        <v/>
      </c>
      <c r="K67" s="30" t="n"/>
      <c r="L67" s="29">
        <f>IF(AND(ISNUMBER(H67),ISNUMBER(K67)),EDATE(H67,K67),"")</f>
        <v/>
      </c>
      <c r="M67" s="29">
        <f>IF(COUNT(J67,L67)=0,"",IF(MIN(J67,L67)&gt;=TODAY(),MIN(J67,L67),MAX(J67,L67)))</f>
        <v/>
      </c>
      <c r="N67" s="31">
        <f>IF(ISNUMBER(M67),M67-TODAY(),"")</f>
        <v/>
      </c>
      <c r="O67" s="30" t="n"/>
      <c r="P67" s="29">
        <f>IF(ISNUMBER(M67),M67-IF(ISNUMBER(O67),O67,60),"")</f>
        <v/>
      </c>
      <c r="Q67" s="27" t="n"/>
      <c r="R67" s="27" t="n"/>
      <c r="S67" s="27" t="n"/>
      <c r="T67" s="27" t="n"/>
      <c r="U67" s="27" t="n"/>
      <c r="V67" s="27" t="n"/>
      <c r="W67" s="27" t="n"/>
      <c r="X67" s="27" t="n"/>
      <c r="Y67" s="27" t="n"/>
    </row>
    <row r="68">
      <c r="A68" s="27" t="n"/>
      <c r="B68" s="27" t="n"/>
      <c r="C68" s="27" t="n"/>
      <c r="D68" s="27" t="n"/>
      <c r="E68" s="28" t="n"/>
      <c r="F68" s="28" t="n"/>
      <c r="G68" s="27" t="n"/>
      <c r="H68" s="29">
        <f>IF(G68="Invoice",IF(ISNUMBER(F68),F68,""),IF(ISNUMBER(E68),E68,""))</f>
        <v/>
      </c>
      <c r="I68" s="30" t="n"/>
      <c r="J68" s="29">
        <f>IF(AND(ISNUMBER(H68),ISNUMBER(I68)),EDATE(H68,I68),"")</f>
        <v/>
      </c>
      <c r="K68" s="30" t="n"/>
      <c r="L68" s="29">
        <f>IF(AND(ISNUMBER(H68),ISNUMBER(K68)),EDATE(H68,K68),"")</f>
        <v/>
      </c>
      <c r="M68" s="29">
        <f>IF(COUNT(J68,L68)=0,"",IF(MIN(J68,L68)&gt;=TODAY(),MIN(J68,L68),MAX(J68,L68)))</f>
        <v/>
      </c>
      <c r="N68" s="31">
        <f>IF(ISNUMBER(M68),M68-TODAY(),"")</f>
        <v/>
      </c>
      <c r="O68" s="30" t="n"/>
      <c r="P68" s="29">
        <f>IF(ISNUMBER(M68),M68-IF(ISNUMBER(O68),O68,60),"")</f>
        <v/>
      </c>
      <c r="Q68" s="27" t="n"/>
      <c r="R68" s="27" t="n"/>
      <c r="S68" s="27" t="n"/>
      <c r="T68" s="27" t="n"/>
      <c r="U68" s="27" t="n"/>
      <c r="V68" s="27" t="n"/>
      <c r="W68" s="27" t="n"/>
      <c r="X68" s="27" t="n"/>
      <c r="Y68" s="27" t="n"/>
    </row>
    <row r="69">
      <c r="A69" s="27" t="n"/>
      <c r="B69" s="27" t="n"/>
      <c r="C69" s="27" t="n"/>
      <c r="D69" s="27" t="n"/>
      <c r="E69" s="28" t="n"/>
      <c r="F69" s="28" t="n"/>
      <c r="G69" s="27" t="n"/>
      <c r="H69" s="29">
        <f>IF(G69="Invoice",IF(ISNUMBER(F69),F69,""),IF(ISNUMBER(E69),E69,""))</f>
        <v/>
      </c>
      <c r="I69" s="30" t="n"/>
      <c r="J69" s="29">
        <f>IF(AND(ISNUMBER(H69),ISNUMBER(I69)),EDATE(H69,I69),"")</f>
        <v/>
      </c>
      <c r="K69" s="30" t="n"/>
      <c r="L69" s="29">
        <f>IF(AND(ISNUMBER(H69),ISNUMBER(K69)),EDATE(H69,K69),"")</f>
        <v/>
      </c>
      <c r="M69" s="29">
        <f>IF(COUNT(J69,L69)=0,"",IF(MIN(J69,L69)&gt;=TODAY(),MIN(J69,L69),MAX(J69,L69)))</f>
        <v/>
      </c>
      <c r="N69" s="31">
        <f>IF(ISNUMBER(M69),M69-TODAY(),"")</f>
        <v/>
      </c>
      <c r="O69" s="30" t="n"/>
      <c r="P69" s="29">
        <f>IF(ISNUMBER(M69),M69-IF(ISNUMBER(O69),O69,60),"")</f>
        <v/>
      </c>
      <c r="Q69" s="27" t="n"/>
      <c r="R69" s="27" t="n"/>
      <c r="S69" s="27" t="n"/>
      <c r="T69" s="27" t="n"/>
      <c r="U69" s="27" t="n"/>
      <c r="V69" s="27" t="n"/>
      <c r="W69" s="27" t="n"/>
      <c r="X69" s="27" t="n"/>
      <c r="Y69" s="27" t="n"/>
    </row>
    <row r="70">
      <c r="A70" s="27" t="n"/>
      <c r="B70" s="27" t="n"/>
      <c r="C70" s="27" t="n"/>
      <c r="D70" s="27" t="n"/>
      <c r="E70" s="28" t="n"/>
      <c r="F70" s="28" t="n"/>
      <c r="G70" s="27" t="n"/>
      <c r="H70" s="29">
        <f>IF(G70="Invoice",IF(ISNUMBER(F70),F70,""),IF(ISNUMBER(E70),E70,""))</f>
        <v/>
      </c>
      <c r="I70" s="30" t="n"/>
      <c r="J70" s="29">
        <f>IF(AND(ISNUMBER(H70),ISNUMBER(I70)),EDATE(H70,I70),"")</f>
        <v/>
      </c>
      <c r="K70" s="30" t="n"/>
      <c r="L70" s="29">
        <f>IF(AND(ISNUMBER(H70),ISNUMBER(K70)),EDATE(H70,K70),"")</f>
        <v/>
      </c>
      <c r="M70" s="29">
        <f>IF(COUNT(J70,L70)=0,"",IF(MIN(J70,L70)&gt;=TODAY(),MIN(J70,L70),MAX(J70,L70)))</f>
        <v/>
      </c>
      <c r="N70" s="31">
        <f>IF(ISNUMBER(M70),M70-TODAY(),"")</f>
        <v/>
      </c>
      <c r="O70" s="30" t="n"/>
      <c r="P70" s="29">
        <f>IF(ISNUMBER(M70),M70-IF(ISNUMBER(O70),O70,60),"")</f>
        <v/>
      </c>
      <c r="Q70" s="27" t="n"/>
      <c r="R70" s="27" t="n"/>
      <c r="S70" s="27" t="n"/>
      <c r="T70" s="27" t="n"/>
      <c r="U70" s="27" t="n"/>
      <c r="V70" s="27" t="n"/>
      <c r="W70" s="27" t="n"/>
      <c r="X70" s="27" t="n"/>
      <c r="Y70" s="27" t="n"/>
    </row>
    <row r="71">
      <c r="A71" s="27" t="n"/>
      <c r="B71" s="27" t="n"/>
      <c r="C71" s="27" t="n"/>
      <c r="D71" s="27" t="n"/>
      <c r="E71" s="28" t="n"/>
      <c r="F71" s="28" t="n"/>
      <c r="G71" s="27" t="n"/>
      <c r="H71" s="29">
        <f>IF(G71="Invoice",IF(ISNUMBER(F71),F71,""),IF(ISNUMBER(E71),E71,""))</f>
        <v/>
      </c>
      <c r="I71" s="30" t="n"/>
      <c r="J71" s="29">
        <f>IF(AND(ISNUMBER(H71),ISNUMBER(I71)),EDATE(H71,I71),"")</f>
        <v/>
      </c>
      <c r="K71" s="30" t="n"/>
      <c r="L71" s="29">
        <f>IF(AND(ISNUMBER(H71),ISNUMBER(K71)),EDATE(H71,K71),"")</f>
        <v/>
      </c>
      <c r="M71" s="29">
        <f>IF(COUNT(J71,L71)=0,"",IF(MIN(J71,L71)&gt;=TODAY(),MIN(J71,L71),MAX(J71,L71)))</f>
        <v/>
      </c>
      <c r="N71" s="31">
        <f>IF(ISNUMBER(M71),M71-TODAY(),"")</f>
        <v/>
      </c>
      <c r="O71" s="30" t="n"/>
      <c r="P71" s="29">
        <f>IF(ISNUMBER(M71),M71-IF(ISNUMBER(O71),O71,60),"")</f>
        <v/>
      </c>
      <c r="Q71" s="27" t="n"/>
      <c r="R71" s="27" t="n"/>
      <c r="S71" s="27" t="n"/>
      <c r="T71" s="27" t="n"/>
      <c r="U71" s="27" t="n"/>
      <c r="V71" s="27" t="n"/>
      <c r="W71" s="27" t="n"/>
      <c r="X71" s="27" t="n"/>
      <c r="Y71" s="27" t="n"/>
    </row>
    <row r="72">
      <c r="A72" s="27" t="n"/>
      <c r="B72" s="27" t="n"/>
      <c r="C72" s="27" t="n"/>
      <c r="D72" s="27" t="n"/>
      <c r="E72" s="28" t="n"/>
      <c r="F72" s="28" t="n"/>
      <c r="G72" s="27" t="n"/>
      <c r="H72" s="29">
        <f>IF(G72="Invoice",IF(ISNUMBER(F72),F72,""),IF(ISNUMBER(E72),E72,""))</f>
        <v/>
      </c>
      <c r="I72" s="30" t="n"/>
      <c r="J72" s="29">
        <f>IF(AND(ISNUMBER(H72),ISNUMBER(I72)),EDATE(H72,I72),"")</f>
        <v/>
      </c>
      <c r="K72" s="30" t="n"/>
      <c r="L72" s="29">
        <f>IF(AND(ISNUMBER(H72),ISNUMBER(K72)),EDATE(H72,K72),"")</f>
        <v/>
      </c>
      <c r="M72" s="29">
        <f>IF(COUNT(J72,L72)=0,"",IF(MIN(J72,L72)&gt;=TODAY(),MIN(J72,L72),MAX(J72,L72)))</f>
        <v/>
      </c>
      <c r="N72" s="31">
        <f>IF(ISNUMBER(M72),M72-TODAY(),"")</f>
        <v/>
      </c>
      <c r="O72" s="30" t="n"/>
      <c r="P72" s="29">
        <f>IF(ISNUMBER(M72),M72-IF(ISNUMBER(O72),O72,60),"")</f>
        <v/>
      </c>
      <c r="Q72" s="27" t="n"/>
      <c r="R72" s="27" t="n"/>
      <c r="S72" s="27" t="n"/>
      <c r="T72" s="27" t="n"/>
      <c r="U72" s="27" t="n"/>
      <c r="V72" s="27" t="n"/>
      <c r="W72" s="27" t="n"/>
      <c r="X72" s="27" t="n"/>
      <c r="Y72" s="27" t="n"/>
    </row>
    <row r="73">
      <c r="A73" s="27" t="n"/>
      <c r="B73" s="27" t="n"/>
      <c r="C73" s="27" t="n"/>
      <c r="D73" s="27" t="n"/>
      <c r="E73" s="28" t="n"/>
      <c r="F73" s="28" t="n"/>
      <c r="G73" s="27" t="n"/>
      <c r="H73" s="29">
        <f>IF(G73="Invoice",IF(ISNUMBER(F73),F73,""),IF(ISNUMBER(E73),E73,""))</f>
        <v/>
      </c>
      <c r="I73" s="30" t="n"/>
      <c r="J73" s="29">
        <f>IF(AND(ISNUMBER(H73),ISNUMBER(I73)),EDATE(H73,I73),"")</f>
        <v/>
      </c>
      <c r="K73" s="30" t="n"/>
      <c r="L73" s="29">
        <f>IF(AND(ISNUMBER(H73),ISNUMBER(K73)),EDATE(H73,K73),"")</f>
        <v/>
      </c>
      <c r="M73" s="29">
        <f>IF(COUNT(J73,L73)=0,"",IF(MIN(J73,L73)&gt;=TODAY(),MIN(J73,L73),MAX(J73,L73)))</f>
        <v/>
      </c>
      <c r="N73" s="31">
        <f>IF(ISNUMBER(M73),M73-TODAY(),"")</f>
        <v/>
      </c>
      <c r="O73" s="30" t="n"/>
      <c r="P73" s="29">
        <f>IF(ISNUMBER(M73),M73-IF(ISNUMBER(O73),O73,60),"")</f>
        <v/>
      </c>
      <c r="Q73" s="27" t="n"/>
      <c r="R73" s="27" t="n"/>
      <c r="S73" s="27" t="n"/>
      <c r="T73" s="27" t="n"/>
      <c r="U73" s="27" t="n"/>
      <c r="V73" s="27" t="n"/>
      <c r="W73" s="27" t="n"/>
      <c r="X73" s="27" t="n"/>
      <c r="Y73" s="27" t="n"/>
    </row>
    <row r="74">
      <c r="A74" s="27" t="n"/>
      <c r="B74" s="27" t="n"/>
      <c r="C74" s="27" t="n"/>
      <c r="D74" s="27" t="n"/>
      <c r="E74" s="28" t="n"/>
      <c r="F74" s="28" t="n"/>
      <c r="G74" s="27" t="n"/>
      <c r="H74" s="29">
        <f>IF(G74="Invoice",IF(ISNUMBER(F74),F74,""),IF(ISNUMBER(E74),E74,""))</f>
        <v/>
      </c>
      <c r="I74" s="30" t="n"/>
      <c r="J74" s="29">
        <f>IF(AND(ISNUMBER(H74),ISNUMBER(I74)),EDATE(H74,I74),"")</f>
        <v/>
      </c>
      <c r="K74" s="30" t="n"/>
      <c r="L74" s="29">
        <f>IF(AND(ISNUMBER(H74),ISNUMBER(K74)),EDATE(H74,K74),"")</f>
        <v/>
      </c>
      <c r="M74" s="29">
        <f>IF(COUNT(J74,L74)=0,"",IF(MIN(J74,L74)&gt;=TODAY(),MIN(J74,L74),MAX(J74,L74)))</f>
        <v/>
      </c>
      <c r="N74" s="31">
        <f>IF(ISNUMBER(M74),M74-TODAY(),"")</f>
        <v/>
      </c>
      <c r="O74" s="30" t="n"/>
      <c r="P74" s="29">
        <f>IF(ISNUMBER(M74),M74-IF(ISNUMBER(O74),O74,60),"")</f>
        <v/>
      </c>
      <c r="Q74" s="27" t="n"/>
      <c r="R74" s="27" t="n"/>
      <c r="S74" s="27" t="n"/>
      <c r="T74" s="27" t="n"/>
      <c r="U74" s="27" t="n"/>
      <c r="V74" s="27" t="n"/>
      <c r="W74" s="27" t="n"/>
      <c r="X74" s="27" t="n"/>
      <c r="Y74" s="27" t="n"/>
    </row>
    <row r="75">
      <c r="A75" s="27" t="n"/>
      <c r="B75" s="27" t="n"/>
      <c r="C75" s="27" t="n"/>
      <c r="D75" s="27" t="n"/>
      <c r="E75" s="28" t="n"/>
      <c r="F75" s="28" t="n"/>
      <c r="G75" s="27" t="n"/>
      <c r="H75" s="29">
        <f>IF(G75="Invoice",IF(ISNUMBER(F75),F75,""),IF(ISNUMBER(E75),E75,""))</f>
        <v/>
      </c>
      <c r="I75" s="30" t="n"/>
      <c r="J75" s="29">
        <f>IF(AND(ISNUMBER(H75),ISNUMBER(I75)),EDATE(H75,I75),"")</f>
        <v/>
      </c>
      <c r="K75" s="30" t="n"/>
      <c r="L75" s="29">
        <f>IF(AND(ISNUMBER(H75),ISNUMBER(K75)),EDATE(H75,K75),"")</f>
        <v/>
      </c>
      <c r="M75" s="29">
        <f>IF(COUNT(J75,L75)=0,"",IF(MIN(J75,L75)&gt;=TODAY(),MIN(J75,L75),MAX(J75,L75)))</f>
        <v/>
      </c>
      <c r="N75" s="31">
        <f>IF(ISNUMBER(M75),M75-TODAY(),"")</f>
        <v/>
      </c>
      <c r="O75" s="30" t="n"/>
      <c r="P75" s="29">
        <f>IF(ISNUMBER(M75),M75-IF(ISNUMBER(O75),O75,60),"")</f>
        <v/>
      </c>
      <c r="Q75" s="27" t="n"/>
      <c r="R75" s="27" t="n"/>
      <c r="S75" s="27" t="n"/>
      <c r="T75" s="27" t="n"/>
      <c r="U75" s="27" t="n"/>
      <c r="V75" s="27" t="n"/>
      <c r="W75" s="27" t="n"/>
      <c r="X75" s="27" t="n"/>
      <c r="Y75" s="27" t="n"/>
    </row>
    <row r="76">
      <c r="A76" s="27" t="n"/>
      <c r="B76" s="27" t="n"/>
      <c r="C76" s="27" t="n"/>
      <c r="D76" s="27" t="n"/>
      <c r="E76" s="28" t="n"/>
      <c r="F76" s="28" t="n"/>
      <c r="G76" s="27" t="n"/>
      <c r="H76" s="29">
        <f>IF(G76="Invoice",IF(ISNUMBER(F76),F76,""),IF(ISNUMBER(E76),E76,""))</f>
        <v/>
      </c>
      <c r="I76" s="30" t="n"/>
      <c r="J76" s="29">
        <f>IF(AND(ISNUMBER(H76),ISNUMBER(I76)),EDATE(H76,I76),"")</f>
        <v/>
      </c>
      <c r="K76" s="30" t="n"/>
      <c r="L76" s="29">
        <f>IF(AND(ISNUMBER(H76),ISNUMBER(K76)),EDATE(H76,K76),"")</f>
        <v/>
      </c>
      <c r="M76" s="29">
        <f>IF(COUNT(J76,L76)=0,"",IF(MIN(J76,L76)&gt;=TODAY(),MIN(J76,L76),MAX(J76,L76)))</f>
        <v/>
      </c>
      <c r="N76" s="31">
        <f>IF(ISNUMBER(M76),M76-TODAY(),"")</f>
        <v/>
      </c>
      <c r="O76" s="30" t="n"/>
      <c r="P76" s="29">
        <f>IF(ISNUMBER(M76),M76-IF(ISNUMBER(O76),O76,60),"")</f>
        <v/>
      </c>
      <c r="Q76" s="27" t="n"/>
      <c r="R76" s="27" t="n"/>
      <c r="S76" s="27" t="n"/>
      <c r="T76" s="27" t="n"/>
      <c r="U76" s="27" t="n"/>
      <c r="V76" s="27" t="n"/>
      <c r="W76" s="27" t="n"/>
      <c r="X76" s="27" t="n"/>
      <c r="Y76" s="27" t="n"/>
    </row>
    <row r="77">
      <c r="A77" s="27" t="n"/>
      <c r="B77" s="27" t="n"/>
      <c r="C77" s="27" t="n"/>
      <c r="D77" s="27" t="n"/>
      <c r="E77" s="28" t="n"/>
      <c r="F77" s="28" t="n"/>
      <c r="G77" s="27" t="n"/>
      <c r="H77" s="29">
        <f>IF(G77="Invoice",IF(ISNUMBER(F77),F77,""),IF(ISNUMBER(E77),E77,""))</f>
        <v/>
      </c>
      <c r="I77" s="30" t="n"/>
      <c r="J77" s="29">
        <f>IF(AND(ISNUMBER(H77),ISNUMBER(I77)),EDATE(H77,I77),"")</f>
        <v/>
      </c>
      <c r="K77" s="30" t="n"/>
      <c r="L77" s="29">
        <f>IF(AND(ISNUMBER(H77),ISNUMBER(K77)),EDATE(H77,K77),"")</f>
        <v/>
      </c>
      <c r="M77" s="29">
        <f>IF(COUNT(J77,L77)=0,"",IF(MIN(J77,L77)&gt;=TODAY(),MIN(J77,L77),MAX(J77,L77)))</f>
        <v/>
      </c>
      <c r="N77" s="31">
        <f>IF(ISNUMBER(M77),M77-TODAY(),"")</f>
        <v/>
      </c>
      <c r="O77" s="30" t="n"/>
      <c r="P77" s="29">
        <f>IF(ISNUMBER(M77),M77-IF(ISNUMBER(O77),O77,60),"")</f>
        <v/>
      </c>
      <c r="Q77" s="27" t="n"/>
      <c r="R77" s="27" t="n"/>
      <c r="S77" s="27" t="n"/>
      <c r="T77" s="27" t="n"/>
      <c r="U77" s="27" t="n"/>
      <c r="V77" s="27" t="n"/>
      <c r="W77" s="27" t="n"/>
      <c r="X77" s="27" t="n"/>
      <c r="Y77" s="27" t="n"/>
    </row>
    <row r="78">
      <c r="A78" s="27" t="n"/>
      <c r="B78" s="27" t="n"/>
      <c r="C78" s="27" t="n"/>
      <c r="D78" s="27" t="n"/>
      <c r="E78" s="28" t="n"/>
      <c r="F78" s="28" t="n"/>
      <c r="G78" s="27" t="n"/>
      <c r="H78" s="29">
        <f>IF(G78="Invoice",IF(ISNUMBER(F78),F78,""),IF(ISNUMBER(E78),E78,""))</f>
        <v/>
      </c>
      <c r="I78" s="30" t="n"/>
      <c r="J78" s="29">
        <f>IF(AND(ISNUMBER(H78),ISNUMBER(I78)),EDATE(H78,I78),"")</f>
        <v/>
      </c>
      <c r="K78" s="30" t="n"/>
      <c r="L78" s="29">
        <f>IF(AND(ISNUMBER(H78),ISNUMBER(K78)),EDATE(H78,K78),"")</f>
        <v/>
      </c>
      <c r="M78" s="29">
        <f>IF(COUNT(J78,L78)=0,"",IF(MIN(J78,L78)&gt;=TODAY(),MIN(J78,L78),MAX(J78,L78)))</f>
        <v/>
      </c>
      <c r="N78" s="31">
        <f>IF(ISNUMBER(M78),M78-TODAY(),"")</f>
        <v/>
      </c>
      <c r="O78" s="30" t="n"/>
      <c r="P78" s="29">
        <f>IF(ISNUMBER(M78),M78-IF(ISNUMBER(O78),O78,60),"")</f>
        <v/>
      </c>
      <c r="Q78" s="27" t="n"/>
      <c r="R78" s="27" t="n"/>
      <c r="S78" s="27" t="n"/>
      <c r="T78" s="27" t="n"/>
      <c r="U78" s="27" t="n"/>
      <c r="V78" s="27" t="n"/>
      <c r="W78" s="27" t="n"/>
      <c r="X78" s="27" t="n"/>
      <c r="Y78" s="27" t="n"/>
    </row>
    <row r="79">
      <c r="A79" s="27" t="n"/>
      <c r="B79" s="27" t="n"/>
      <c r="C79" s="27" t="n"/>
      <c r="D79" s="27" t="n"/>
      <c r="E79" s="28" t="n"/>
      <c r="F79" s="28" t="n"/>
      <c r="G79" s="27" t="n"/>
      <c r="H79" s="29">
        <f>IF(G79="Invoice",IF(ISNUMBER(F79),F79,""),IF(ISNUMBER(E79),E79,""))</f>
        <v/>
      </c>
      <c r="I79" s="30" t="n"/>
      <c r="J79" s="29">
        <f>IF(AND(ISNUMBER(H79),ISNUMBER(I79)),EDATE(H79,I79),"")</f>
        <v/>
      </c>
      <c r="K79" s="30" t="n"/>
      <c r="L79" s="29">
        <f>IF(AND(ISNUMBER(H79),ISNUMBER(K79)),EDATE(H79,K79),"")</f>
        <v/>
      </c>
      <c r="M79" s="29">
        <f>IF(COUNT(J79,L79)=0,"",IF(MIN(J79,L79)&gt;=TODAY(),MIN(J79,L79),MAX(J79,L79)))</f>
        <v/>
      </c>
      <c r="N79" s="31">
        <f>IF(ISNUMBER(M79),M79-TODAY(),"")</f>
        <v/>
      </c>
      <c r="O79" s="30" t="n"/>
      <c r="P79" s="29">
        <f>IF(ISNUMBER(M79),M79-IF(ISNUMBER(O79),O79,60),"")</f>
        <v/>
      </c>
      <c r="Q79" s="27" t="n"/>
      <c r="R79" s="27" t="n"/>
      <c r="S79" s="27" t="n"/>
      <c r="T79" s="27" t="n"/>
      <c r="U79" s="27" t="n"/>
      <c r="V79" s="27" t="n"/>
      <c r="W79" s="27" t="n"/>
      <c r="X79" s="27" t="n"/>
      <c r="Y79" s="27" t="n"/>
    </row>
    <row r="80">
      <c r="A80" s="27" t="n"/>
      <c r="B80" s="27" t="n"/>
      <c r="C80" s="27" t="n"/>
      <c r="D80" s="27" t="n"/>
      <c r="E80" s="28" t="n"/>
      <c r="F80" s="28" t="n"/>
      <c r="G80" s="27" t="n"/>
      <c r="H80" s="29">
        <f>IF(G80="Invoice",IF(ISNUMBER(F80),F80,""),IF(ISNUMBER(E80),E80,""))</f>
        <v/>
      </c>
      <c r="I80" s="30" t="n"/>
      <c r="J80" s="29">
        <f>IF(AND(ISNUMBER(H80),ISNUMBER(I80)),EDATE(H80,I80),"")</f>
        <v/>
      </c>
      <c r="K80" s="30" t="n"/>
      <c r="L80" s="29">
        <f>IF(AND(ISNUMBER(H80),ISNUMBER(K80)),EDATE(H80,K80),"")</f>
        <v/>
      </c>
      <c r="M80" s="29">
        <f>IF(COUNT(J80,L80)=0,"",IF(MIN(J80,L80)&gt;=TODAY(),MIN(J80,L80),MAX(J80,L80)))</f>
        <v/>
      </c>
      <c r="N80" s="31">
        <f>IF(ISNUMBER(M80),M80-TODAY(),"")</f>
        <v/>
      </c>
      <c r="O80" s="30" t="n"/>
      <c r="P80" s="29">
        <f>IF(ISNUMBER(M80),M80-IF(ISNUMBER(O80),O80,60),"")</f>
        <v/>
      </c>
      <c r="Q80" s="27" t="n"/>
      <c r="R80" s="27" t="n"/>
      <c r="S80" s="27" t="n"/>
      <c r="T80" s="27" t="n"/>
      <c r="U80" s="27" t="n"/>
      <c r="V80" s="27" t="n"/>
      <c r="W80" s="27" t="n"/>
      <c r="X80" s="27" t="n"/>
      <c r="Y80" s="27" t="n"/>
    </row>
    <row r="81">
      <c r="A81" s="27" t="n"/>
      <c r="B81" s="27" t="n"/>
      <c r="C81" s="27" t="n"/>
      <c r="D81" s="27" t="n"/>
      <c r="E81" s="28" t="n"/>
      <c r="F81" s="28" t="n"/>
      <c r="G81" s="27" t="n"/>
      <c r="H81" s="29">
        <f>IF(G81="Invoice",IF(ISNUMBER(F81),F81,""),IF(ISNUMBER(E81),E81,""))</f>
        <v/>
      </c>
      <c r="I81" s="30" t="n"/>
      <c r="J81" s="29">
        <f>IF(AND(ISNUMBER(H81),ISNUMBER(I81)),EDATE(H81,I81),"")</f>
        <v/>
      </c>
      <c r="K81" s="30" t="n"/>
      <c r="L81" s="29">
        <f>IF(AND(ISNUMBER(H81),ISNUMBER(K81)),EDATE(H81,K81),"")</f>
        <v/>
      </c>
      <c r="M81" s="29">
        <f>IF(COUNT(J81,L81)=0,"",IF(MIN(J81,L81)&gt;=TODAY(),MIN(J81,L81),MAX(J81,L81)))</f>
        <v/>
      </c>
      <c r="N81" s="31">
        <f>IF(ISNUMBER(M81),M81-TODAY(),"")</f>
        <v/>
      </c>
      <c r="O81" s="30" t="n"/>
      <c r="P81" s="29">
        <f>IF(ISNUMBER(M81),M81-IF(ISNUMBER(O81),O81,60),"")</f>
        <v/>
      </c>
      <c r="Q81" s="27" t="n"/>
      <c r="R81" s="27" t="n"/>
      <c r="S81" s="27" t="n"/>
      <c r="T81" s="27" t="n"/>
      <c r="U81" s="27" t="n"/>
      <c r="V81" s="27" t="n"/>
      <c r="W81" s="27" t="n"/>
      <c r="X81" s="27" t="n"/>
      <c r="Y81" s="27" t="n"/>
    </row>
    <row r="82">
      <c r="A82" s="27" t="n"/>
      <c r="B82" s="27" t="n"/>
      <c r="C82" s="27" t="n"/>
      <c r="D82" s="27" t="n"/>
      <c r="E82" s="28" t="n"/>
      <c r="F82" s="28" t="n"/>
      <c r="G82" s="27" t="n"/>
      <c r="H82" s="29">
        <f>IF(G82="Invoice",IF(ISNUMBER(F82),F82,""),IF(ISNUMBER(E82),E82,""))</f>
        <v/>
      </c>
      <c r="I82" s="30" t="n"/>
      <c r="J82" s="29">
        <f>IF(AND(ISNUMBER(H82),ISNUMBER(I82)),EDATE(H82,I82),"")</f>
        <v/>
      </c>
      <c r="K82" s="30" t="n"/>
      <c r="L82" s="29">
        <f>IF(AND(ISNUMBER(H82),ISNUMBER(K82)),EDATE(H82,K82),"")</f>
        <v/>
      </c>
      <c r="M82" s="29">
        <f>IF(COUNT(J82,L82)=0,"",IF(MIN(J82,L82)&gt;=TODAY(),MIN(J82,L82),MAX(J82,L82)))</f>
        <v/>
      </c>
      <c r="N82" s="31">
        <f>IF(ISNUMBER(M82),M82-TODAY(),"")</f>
        <v/>
      </c>
      <c r="O82" s="30" t="n"/>
      <c r="P82" s="29">
        <f>IF(ISNUMBER(M82),M82-IF(ISNUMBER(O82),O82,60),"")</f>
        <v/>
      </c>
      <c r="Q82" s="27" t="n"/>
      <c r="R82" s="27" t="n"/>
      <c r="S82" s="27" t="n"/>
      <c r="T82" s="27" t="n"/>
      <c r="U82" s="27" t="n"/>
      <c r="V82" s="27" t="n"/>
      <c r="W82" s="27" t="n"/>
      <c r="X82" s="27" t="n"/>
      <c r="Y82" s="27" t="n"/>
    </row>
    <row r="83">
      <c r="A83" s="27" t="n"/>
      <c r="B83" s="27" t="n"/>
      <c r="C83" s="27" t="n"/>
      <c r="D83" s="27" t="n"/>
      <c r="E83" s="28" t="n"/>
      <c r="F83" s="28" t="n"/>
      <c r="G83" s="27" t="n"/>
      <c r="H83" s="29">
        <f>IF(G83="Invoice",IF(ISNUMBER(F83),F83,""),IF(ISNUMBER(E83),E83,""))</f>
        <v/>
      </c>
      <c r="I83" s="30" t="n"/>
      <c r="J83" s="29">
        <f>IF(AND(ISNUMBER(H83),ISNUMBER(I83)),EDATE(H83,I83),"")</f>
        <v/>
      </c>
      <c r="K83" s="30" t="n"/>
      <c r="L83" s="29">
        <f>IF(AND(ISNUMBER(H83),ISNUMBER(K83)),EDATE(H83,K83),"")</f>
        <v/>
      </c>
      <c r="M83" s="29">
        <f>IF(COUNT(J83,L83)=0,"",IF(MIN(J83,L83)&gt;=TODAY(),MIN(J83,L83),MAX(J83,L83)))</f>
        <v/>
      </c>
      <c r="N83" s="31">
        <f>IF(ISNUMBER(M83),M83-TODAY(),"")</f>
        <v/>
      </c>
      <c r="O83" s="30" t="n"/>
      <c r="P83" s="29">
        <f>IF(ISNUMBER(M83),M83-IF(ISNUMBER(O83),O83,60),"")</f>
        <v/>
      </c>
      <c r="Q83" s="27" t="n"/>
      <c r="R83" s="27" t="n"/>
      <c r="S83" s="27" t="n"/>
      <c r="T83" s="27" t="n"/>
      <c r="U83" s="27" t="n"/>
      <c r="V83" s="27" t="n"/>
      <c r="W83" s="27" t="n"/>
      <c r="X83" s="27" t="n"/>
      <c r="Y83" s="27" t="n"/>
    </row>
    <row r="84">
      <c r="A84" s="27" t="n"/>
      <c r="B84" s="27" t="n"/>
      <c r="C84" s="27" t="n"/>
      <c r="D84" s="27" t="n"/>
      <c r="E84" s="28" t="n"/>
      <c r="F84" s="28" t="n"/>
      <c r="G84" s="27" t="n"/>
      <c r="H84" s="29">
        <f>IF(G84="Invoice",IF(ISNUMBER(F84),F84,""),IF(ISNUMBER(E84),E84,""))</f>
        <v/>
      </c>
      <c r="I84" s="30" t="n"/>
      <c r="J84" s="29">
        <f>IF(AND(ISNUMBER(H84),ISNUMBER(I84)),EDATE(H84,I84),"")</f>
        <v/>
      </c>
      <c r="K84" s="30" t="n"/>
      <c r="L84" s="29">
        <f>IF(AND(ISNUMBER(H84),ISNUMBER(K84)),EDATE(H84,K84),"")</f>
        <v/>
      </c>
      <c r="M84" s="29">
        <f>IF(COUNT(J84,L84)=0,"",IF(MIN(J84,L84)&gt;=TODAY(),MIN(J84,L84),MAX(J84,L84)))</f>
        <v/>
      </c>
      <c r="N84" s="31">
        <f>IF(ISNUMBER(M84),M84-TODAY(),"")</f>
        <v/>
      </c>
      <c r="O84" s="30" t="n"/>
      <c r="P84" s="29">
        <f>IF(ISNUMBER(M84),M84-IF(ISNUMBER(O84),O84,60),"")</f>
        <v/>
      </c>
      <c r="Q84" s="27" t="n"/>
      <c r="R84" s="27" t="n"/>
      <c r="S84" s="27" t="n"/>
      <c r="T84" s="27" t="n"/>
      <c r="U84" s="27" t="n"/>
      <c r="V84" s="27" t="n"/>
      <c r="W84" s="27" t="n"/>
      <c r="X84" s="27" t="n"/>
      <c r="Y84" s="27" t="n"/>
    </row>
    <row r="85">
      <c r="A85" s="27" t="n"/>
      <c r="B85" s="27" t="n"/>
      <c r="C85" s="27" t="n"/>
      <c r="D85" s="27" t="n"/>
      <c r="E85" s="28" t="n"/>
      <c r="F85" s="28" t="n"/>
      <c r="G85" s="27" t="n"/>
      <c r="H85" s="29">
        <f>IF(G85="Invoice",IF(ISNUMBER(F85),F85,""),IF(ISNUMBER(E85),E85,""))</f>
        <v/>
      </c>
      <c r="I85" s="30" t="n"/>
      <c r="J85" s="29">
        <f>IF(AND(ISNUMBER(H85),ISNUMBER(I85)),EDATE(H85,I85),"")</f>
        <v/>
      </c>
      <c r="K85" s="30" t="n"/>
      <c r="L85" s="29">
        <f>IF(AND(ISNUMBER(H85),ISNUMBER(K85)),EDATE(H85,K85),"")</f>
        <v/>
      </c>
      <c r="M85" s="29">
        <f>IF(COUNT(J85,L85)=0,"",IF(MIN(J85,L85)&gt;=TODAY(),MIN(J85,L85),MAX(J85,L85)))</f>
        <v/>
      </c>
      <c r="N85" s="31">
        <f>IF(ISNUMBER(M85),M85-TODAY(),"")</f>
        <v/>
      </c>
      <c r="O85" s="30" t="n"/>
      <c r="P85" s="29">
        <f>IF(ISNUMBER(M85),M85-IF(ISNUMBER(O85),O85,60),"")</f>
        <v/>
      </c>
      <c r="Q85" s="27" t="n"/>
      <c r="R85" s="27" t="n"/>
      <c r="S85" s="27" t="n"/>
      <c r="T85" s="27" t="n"/>
      <c r="U85" s="27" t="n"/>
      <c r="V85" s="27" t="n"/>
      <c r="W85" s="27" t="n"/>
      <c r="X85" s="27" t="n"/>
      <c r="Y85" s="27" t="n"/>
    </row>
    <row r="86">
      <c r="A86" s="27" t="n"/>
      <c r="B86" s="27" t="n"/>
      <c r="C86" s="27" t="n"/>
      <c r="D86" s="27" t="n"/>
      <c r="E86" s="28" t="n"/>
      <c r="F86" s="28" t="n"/>
      <c r="G86" s="27" t="n"/>
      <c r="H86" s="29">
        <f>IF(G86="Invoice",IF(ISNUMBER(F86),F86,""),IF(ISNUMBER(E86),E86,""))</f>
        <v/>
      </c>
      <c r="I86" s="30" t="n"/>
      <c r="J86" s="29">
        <f>IF(AND(ISNUMBER(H86),ISNUMBER(I86)),EDATE(H86,I86),"")</f>
        <v/>
      </c>
      <c r="K86" s="30" t="n"/>
      <c r="L86" s="29">
        <f>IF(AND(ISNUMBER(H86),ISNUMBER(K86)),EDATE(H86,K86),"")</f>
        <v/>
      </c>
      <c r="M86" s="29">
        <f>IF(COUNT(J86,L86)=0,"",IF(MIN(J86,L86)&gt;=TODAY(),MIN(J86,L86),MAX(J86,L86)))</f>
        <v/>
      </c>
      <c r="N86" s="31">
        <f>IF(ISNUMBER(M86),M86-TODAY(),"")</f>
        <v/>
      </c>
      <c r="O86" s="30" t="n"/>
      <c r="P86" s="29">
        <f>IF(ISNUMBER(M86),M86-IF(ISNUMBER(O86),O86,60),"")</f>
        <v/>
      </c>
      <c r="Q86" s="27" t="n"/>
      <c r="R86" s="27" t="n"/>
      <c r="S86" s="27" t="n"/>
      <c r="T86" s="27" t="n"/>
      <c r="U86" s="27" t="n"/>
      <c r="V86" s="27" t="n"/>
      <c r="W86" s="27" t="n"/>
      <c r="X86" s="27" t="n"/>
      <c r="Y86" s="27" t="n"/>
    </row>
    <row r="87">
      <c r="A87" s="27" t="n"/>
      <c r="B87" s="27" t="n"/>
      <c r="C87" s="27" t="n"/>
      <c r="D87" s="27" t="n"/>
      <c r="E87" s="28" t="n"/>
      <c r="F87" s="28" t="n"/>
      <c r="G87" s="27" t="n"/>
      <c r="H87" s="29">
        <f>IF(G87="Invoice",IF(ISNUMBER(F87),F87,""),IF(ISNUMBER(E87),E87,""))</f>
        <v/>
      </c>
      <c r="I87" s="30" t="n"/>
      <c r="J87" s="29">
        <f>IF(AND(ISNUMBER(H87),ISNUMBER(I87)),EDATE(H87,I87),"")</f>
        <v/>
      </c>
      <c r="K87" s="30" t="n"/>
      <c r="L87" s="29">
        <f>IF(AND(ISNUMBER(H87),ISNUMBER(K87)),EDATE(H87,K87),"")</f>
        <v/>
      </c>
      <c r="M87" s="29">
        <f>IF(COUNT(J87,L87)=0,"",IF(MIN(J87,L87)&gt;=TODAY(),MIN(J87,L87),MAX(J87,L87)))</f>
        <v/>
      </c>
      <c r="N87" s="31">
        <f>IF(ISNUMBER(M87),M87-TODAY(),"")</f>
        <v/>
      </c>
      <c r="O87" s="30" t="n"/>
      <c r="P87" s="29">
        <f>IF(ISNUMBER(M87),M87-IF(ISNUMBER(O87),O87,60),"")</f>
        <v/>
      </c>
      <c r="Q87" s="27" t="n"/>
      <c r="R87" s="27" t="n"/>
      <c r="S87" s="27" t="n"/>
      <c r="T87" s="27" t="n"/>
      <c r="U87" s="27" t="n"/>
      <c r="V87" s="27" t="n"/>
      <c r="W87" s="27" t="n"/>
      <c r="X87" s="27" t="n"/>
      <c r="Y87" s="27" t="n"/>
    </row>
    <row r="88">
      <c r="A88" s="27" t="n"/>
      <c r="B88" s="27" t="n"/>
      <c r="C88" s="27" t="n"/>
      <c r="D88" s="27" t="n"/>
      <c r="E88" s="28" t="n"/>
      <c r="F88" s="28" t="n"/>
      <c r="G88" s="27" t="n"/>
      <c r="H88" s="29">
        <f>IF(G88="Invoice",IF(ISNUMBER(F88),F88,""),IF(ISNUMBER(E88),E88,""))</f>
        <v/>
      </c>
      <c r="I88" s="30" t="n"/>
      <c r="J88" s="29">
        <f>IF(AND(ISNUMBER(H88),ISNUMBER(I88)),EDATE(H88,I88),"")</f>
        <v/>
      </c>
      <c r="K88" s="30" t="n"/>
      <c r="L88" s="29">
        <f>IF(AND(ISNUMBER(H88),ISNUMBER(K88)),EDATE(H88,K88),"")</f>
        <v/>
      </c>
      <c r="M88" s="29">
        <f>IF(COUNT(J88,L88)=0,"",IF(MIN(J88,L88)&gt;=TODAY(),MIN(J88,L88),MAX(J88,L88)))</f>
        <v/>
      </c>
      <c r="N88" s="31">
        <f>IF(ISNUMBER(M88),M88-TODAY(),"")</f>
        <v/>
      </c>
      <c r="O88" s="30" t="n"/>
      <c r="P88" s="29">
        <f>IF(ISNUMBER(M88),M88-IF(ISNUMBER(O88),O88,60),"")</f>
        <v/>
      </c>
      <c r="Q88" s="27" t="n"/>
      <c r="R88" s="27" t="n"/>
      <c r="S88" s="27" t="n"/>
      <c r="T88" s="27" t="n"/>
      <c r="U88" s="27" t="n"/>
      <c r="V88" s="27" t="n"/>
      <c r="W88" s="27" t="n"/>
      <c r="X88" s="27" t="n"/>
      <c r="Y88" s="27" t="n"/>
    </row>
    <row r="89">
      <c r="A89" s="27" t="n"/>
      <c r="B89" s="27" t="n"/>
      <c r="C89" s="27" t="n"/>
      <c r="D89" s="27" t="n"/>
      <c r="E89" s="28" t="n"/>
      <c r="F89" s="28" t="n"/>
      <c r="G89" s="27" t="n"/>
      <c r="H89" s="29">
        <f>IF(G89="Invoice",IF(ISNUMBER(F89),F89,""),IF(ISNUMBER(E89),E89,""))</f>
        <v/>
      </c>
      <c r="I89" s="30" t="n"/>
      <c r="J89" s="29">
        <f>IF(AND(ISNUMBER(H89),ISNUMBER(I89)),EDATE(H89,I89),"")</f>
        <v/>
      </c>
      <c r="K89" s="30" t="n"/>
      <c r="L89" s="29">
        <f>IF(AND(ISNUMBER(H89),ISNUMBER(K89)),EDATE(H89,K89),"")</f>
        <v/>
      </c>
      <c r="M89" s="29">
        <f>IF(COUNT(J89,L89)=0,"",IF(MIN(J89,L89)&gt;=TODAY(),MIN(J89,L89),MAX(J89,L89)))</f>
        <v/>
      </c>
      <c r="N89" s="31">
        <f>IF(ISNUMBER(M89),M89-TODAY(),"")</f>
        <v/>
      </c>
      <c r="O89" s="30" t="n"/>
      <c r="P89" s="29">
        <f>IF(ISNUMBER(M89),M89-IF(ISNUMBER(O89),O89,60),"")</f>
        <v/>
      </c>
      <c r="Q89" s="27" t="n"/>
      <c r="R89" s="27" t="n"/>
      <c r="S89" s="27" t="n"/>
      <c r="T89" s="27" t="n"/>
      <c r="U89" s="27" t="n"/>
      <c r="V89" s="27" t="n"/>
      <c r="W89" s="27" t="n"/>
      <c r="X89" s="27" t="n"/>
      <c r="Y89" s="27" t="n"/>
    </row>
    <row r="90">
      <c r="A90" s="27" t="n"/>
      <c r="B90" s="27" t="n"/>
      <c r="C90" s="27" t="n"/>
      <c r="D90" s="27" t="n"/>
      <c r="E90" s="28" t="n"/>
      <c r="F90" s="28" t="n"/>
      <c r="G90" s="27" t="n"/>
      <c r="H90" s="29">
        <f>IF(G90="Invoice",IF(ISNUMBER(F90),F90,""),IF(ISNUMBER(E90),E90,""))</f>
        <v/>
      </c>
      <c r="I90" s="30" t="n"/>
      <c r="J90" s="29">
        <f>IF(AND(ISNUMBER(H90),ISNUMBER(I90)),EDATE(H90,I90),"")</f>
        <v/>
      </c>
      <c r="K90" s="30" t="n"/>
      <c r="L90" s="29">
        <f>IF(AND(ISNUMBER(H90),ISNUMBER(K90)),EDATE(H90,K90),"")</f>
        <v/>
      </c>
      <c r="M90" s="29">
        <f>IF(COUNT(J90,L90)=0,"",IF(MIN(J90,L90)&gt;=TODAY(),MIN(J90,L90),MAX(J90,L90)))</f>
        <v/>
      </c>
      <c r="N90" s="31">
        <f>IF(ISNUMBER(M90),M90-TODAY(),"")</f>
        <v/>
      </c>
      <c r="O90" s="30" t="n"/>
      <c r="P90" s="29">
        <f>IF(ISNUMBER(M90),M90-IF(ISNUMBER(O90),O90,60),"")</f>
        <v/>
      </c>
      <c r="Q90" s="27" t="n"/>
      <c r="R90" s="27" t="n"/>
      <c r="S90" s="27" t="n"/>
      <c r="T90" s="27" t="n"/>
      <c r="U90" s="27" t="n"/>
      <c r="V90" s="27" t="n"/>
      <c r="W90" s="27" t="n"/>
      <c r="X90" s="27" t="n"/>
      <c r="Y90" s="27" t="n"/>
    </row>
    <row r="91">
      <c r="A91" s="27" t="n"/>
      <c r="B91" s="27" t="n"/>
      <c r="C91" s="27" t="n"/>
      <c r="D91" s="27" t="n"/>
      <c r="E91" s="28" t="n"/>
      <c r="F91" s="28" t="n"/>
      <c r="G91" s="27" t="n"/>
      <c r="H91" s="29">
        <f>IF(G91="Invoice",IF(ISNUMBER(F91),F91,""),IF(ISNUMBER(E91),E91,""))</f>
        <v/>
      </c>
      <c r="I91" s="30" t="n"/>
      <c r="J91" s="29">
        <f>IF(AND(ISNUMBER(H91),ISNUMBER(I91)),EDATE(H91,I91),"")</f>
        <v/>
      </c>
      <c r="K91" s="30" t="n"/>
      <c r="L91" s="29">
        <f>IF(AND(ISNUMBER(H91),ISNUMBER(K91)),EDATE(H91,K91),"")</f>
        <v/>
      </c>
      <c r="M91" s="29">
        <f>IF(COUNT(J91,L91)=0,"",IF(MIN(J91,L91)&gt;=TODAY(),MIN(J91,L91),MAX(J91,L91)))</f>
        <v/>
      </c>
      <c r="N91" s="31">
        <f>IF(ISNUMBER(M91),M91-TODAY(),"")</f>
        <v/>
      </c>
      <c r="O91" s="30" t="n"/>
      <c r="P91" s="29">
        <f>IF(ISNUMBER(M91),M91-IF(ISNUMBER(O91),O91,60),"")</f>
        <v/>
      </c>
      <c r="Q91" s="27" t="n"/>
      <c r="R91" s="27" t="n"/>
      <c r="S91" s="27" t="n"/>
      <c r="T91" s="27" t="n"/>
      <c r="U91" s="27" t="n"/>
      <c r="V91" s="27" t="n"/>
      <c r="W91" s="27" t="n"/>
      <c r="X91" s="27" t="n"/>
      <c r="Y91" s="27" t="n"/>
    </row>
    <row r="92">
      <c r="A92" s="27" t="n"/>
      <c r="B92" s="27" t="n"/>
      <c r="C92" s="27" t="n"/>
      <c r="D92" s="27" t="n"/>
      <c r="E92" s="28" t="n"/>
      <c r="F92" s="28" t="n"/>
      <c r="G92" s="27" t="n"/>
      <c r="H92" s="29">
        <f>IF(G92="Invoice",IF(ISNUMBER(F92),F92,""),IF(ISNUMBER(E92),E92,""))</f>
        <v/>
      </c>
      <c r="I92" s="30" t="n"/>
      <c r="J92" s="29">
        <f>IF(AND(ISNUMBER(H92),ISNUMBER(I92)),EDATE(H92,I92),"")</f>
        <v/>
      </c>
      <c r="K92" s="30" t="n"/>
      <c r="L92" s="29">
        <f>IF(AND(ISNUMBER(H92),ISNUMBER(K92)),EDATE(H92,K92),"")</f>
        <v/>
      </c>
      <c r="M92" s="29">
        <f>IF(COUNT(J92,L92)=0,"",IF(MIN(J92,L92)&gt;=TODAY(),MIN(J92,L92),MAX(J92,L92)))</f>
        <v/>
      </c>
      <c r="N92" s="31">
        <f>IF(ISNUMBER(M92),M92-TODAY(),"")</f>
        <v/>
      </c>
      <c r="O92" s="30" t="n"/>
      <c r="P92" s="29">
        <f>IF(ISNUMBER(M92),M92-IF(ISNUMBER(O92),O92,60),"")</f>
        <v/>
      </c>
      <c r="Q92" s="27" t="n"/>
      <c r="R92" s="27" t="n"/>
      <c r="S92" s="27" t="n"/>
      <c r="T92" s="27" t="n"/>
      <c r="U92" s="27" t="n"/>
      <c r="V92" s="27" t="n"/>
      <c r="W92" s="27" t="n"/>
      <c r="X92" s="27" t="n"/>
      <c r="Y92" s="27" t="n"/>
    </row>
    <row r="93">
      <c r="A93" s="27" t="n"/>
      <c r="B93" s="27" t="n"/>
      <c r="C93" s="27" t="n"/>
      <c r="D93" s="27" t="n"/>
      <c r="E93" s="28" t="n"/>
      <c r="F93" s="28" t="n"/>
      <c r="G93" s="27" t="n"/>
      <c r="H93" s="29">
        <f>IF(G93="Invoice",IF(ISNUMBER(F93),F93,""),IF(ISNUMBER(E93),E93,""))</f>
        <v/>
      </c>
      <c r="I93" s="30" t="n"/>
      <c r="J93" s="29">
        <f>IF(AND(ISNUMBER(H93),ISNUMBER(I93)),EDATE(H93,I93),"")</f>
        <v/>
      </c>
      <c r="K93" s="30" t="n"/>
      <c r="L93" s="29">
        <f>IF(AND(ISNUMBER(H93),ISNUMBER(K93)),EDATE(H93,K93),"")</f>
        <v/>
      </c>
      <c r="M93" s="29">
        <f>IF(COUNT(J93,L93)=0,"",IF(MIN(J93,L93)&gt;=TODAY(),MIN(J93,L93),MAX(J93,L93)))</f>
        <v/>
      </c>
      <c r="N93" s="31">
        <f>IF(ISNUMBER(M93),M93-TODAY(),"")</f>
        <v/>
      </c>
      <c r="O93" s="30" t="n"/>
      <c r="P93" s="29">
        <f>IF(ISNUMBER(M93),M93-IF(ISNUMBER(O93),O93,60),"")</f>
        <v/>
      </c>
      <c r="Q93" s="27" t="n"/>
      <c r="R93" s="27" t="n"/>
      <c r="S93" s="27" t="n"/>
      <c r="T93" s="27" t="n"/>
      <c r="U93" s="27" t="n"/>
      <c r="V93" s="27" t="n"/>
      <c r="W93" s="27" t="n"/>
      <c r="X93" s="27" t="n"/>
      <c r="Y93" s="27" t="n"/>
    </row>
    <row r="94">
      <c r="A94" s="27" t="n"/>
      <c r="B94" s="27" t="n"/>
      <c r="C94" s="27" t="n"/>
      <c r="D94" s="27" t="n"/>
      <c r="E94" s="28" t="n"/>
      <c r="F94" s="28" t="n"/>
      <c r="G94" s="27" t="n"/>
      <c r="H94" s="29">
        <f>IF(G94="Invoice",IF(ISNUMBER(F94),F94,""),IF(ISNUMBER(E94),E94,""))</f>
        <v/>
      </c>
      <c r="I94" s="30" t="n"/>
      <c r="J94" s="29">
        <f>IF(AND(ISNUMBER(H94),ISNUMBER(I94)),EDATE(H94,I94),"")</f>
        <v/>
      </c>
      <c r="K94" s="30" t="n"/>
      <c r="L94" s="29">
        <f>IF(AND(ISNUMBER(H94),ISNUMBER(K94)),EDATE(H94,K94),"")</f>
        <v/>
      </c>
      <c r="M94" s="29">
        <f>IF(COUNT(J94,L94)=0,"",IF(MIN(J94,L94)&gt;=TODAY(),MIN(J94,L94),MAX(J94,L94)))</f>
        <v/>
      </c>
      <c r="N94" s="31">
        <f>IF(ISNUMBER(M94),M94-TODAY(),"")</f>
        <v/>
      </c>
      <c r="O94" s="30" t="n"/>
      <c r="P94" s="29">
        <f>IF(ISNUMBER(M94),M94-IF(ISNUMBER(O94),O94,60),"")</f>
        <v/>
      </c>
      <c r="Q94" s="27" t="n"/>
      <c r="R94" s="27" t="n"/>
      <c r="S94" s="27" t="n"/>
      <c r="T94" s="27" t="n"/>
      <c r="U94" s="27" t="n"/>
      <c r="V94" s="27" t="n"/>
      <c r="W94" s="27" t="n"/>
      <c r="X94" s="27" t="n"/>
      <c r="Y94" s="27" t="n"/>
    </row>
    <row r="95">
      <c r="A95" s="27" t="n"/>
      <c r="B95" s="27" t="n"/>
      <c r="C95" s="27" t="n"/>
      <c r="D95" s="27" t="n"/>
      <c r="E95" s="28" t="n"/>
      <c r="F95" s="28" t="n"/>
      <c r="G95" s="27" t="n"/>
      <c r="H95" s="29">
        <f>IF(G95="Invoice",IF(ISNUMBER(F95),F95,""),IF(ISNUMBER(E95),E95,""))</f>
        <v/>
      </c>
      <c r="I95" s="30" t="n"/>
      <c r="J95" s="29">
        <f>IF(AND(ISNUMBER(H95),ISNUMBER(I95)),EDATE(H95,I95),"")</f>
        <v/>
      </c>
      <c r="K95" s="30" t="n"/>
      <c r="L95" s="29">
        <f>IF(AND(ISNUMBER(H95),ISNUMBER(K95)),EDATE(H95,K95),"")</f>
        <v/>
      </c>
      <c r="M95" s="29">
        <f>IF(COUNT(J95,L95)=0,"",IF(MIN(J95,L95)&gt;=TODAY(),MIN(J95,L95),MAX(J95,L95)))</f>
        <v/>
      </c>
      <c r="N95" s="31">
        <f>IF(ISNUMBER(M95),M95-TODAY(),"")</f>
        <v/>
      </c>
      <c r="O95" s="30" t="n"/>
      <c r="P95" s="29">
        <f>IF(ISNUMBER(M95),M95-IF(ISNUMBER(O95),O95,60),"")</f>
        <v/>
      </c>
      <c r="Q95" s="27" t="n"/>
      <c r="R95" s="27" t="n"/>
      <c r="S95" s="27" t="n"/>
      <c r="T95" s="27" t="n"/>
      <c r="U95" s="27" t="n"/>
      <c r="V95" s="27" t="n"/>
      <c r="W95" s="27" t="n"/>
      <c r="X95" s="27" t="n"/>
      <c r="Y95" s="27" t="n"/>
    </row>
    <row r="96">
      <c r="A96" s="27" t="n"/>
      <c r="B96" s="27" t="n"/>
      <c r="C96" s="27" t="n"/>
      <c r="D96" s="27" t="n"/>
      <c r="E96" s="28" t="n"/>
      <c r="F96" s="28" t="n"/>
      <c r="G96" s="27" t="n"/>
      <c r="H96" s="29">
        <f>IF(G96="Invoice",IF(ISNUMBER(F96),F96,""),IF(ISNUMBER(E96),E96,""))</f>
        <v/>
      </c>
      <c r="I96" s="30" t="n"/>
      <c r="J96" s="29">
        <f>IF(AND(ISNUMBER(H96),ISNUMBER(I96)),EDATE(H96,I96),"")</f>
        <v/>
      </c>
      <c r="K96" s="30" t="n"/>
      <c r="L96" s="29">
        <f>IF(AND(ISNUMBER(H96),ISNUMBER(K96)),EDATE(H96,K96),"")</f>
        <v/>
      </c>
      <c r="M96" s="29">
        <f>IF(COUNT(J96,L96)=0,"",IF(MIN(J96,L96)&gt;=TODAY(),MIN(J96,L96),MAX(J96,L96)))</f>
        <v/>
      </c>
      <c r="N96" s="31">
        <f>IF(ISNUMBER(M96),M96-TODAY(),"")</f>
        <v/>
      </c>
      <c r="O96" s="30" t="n"/>
      <c r="P96" s="29">
        <f>IF(ISNUMBER(M96),M96-IF(ISNUMBER(O96),O96,60),"")</f>
        <v/>
      </c>
      <c r="Q96" s="27" t="n"/>
      <c r="R96" s="27" t="n"/>
      <c r="S96" s="27" t="n"/>
      <c r="T96" s="27" t="n"/>
      <c r="U96" s="27" t="n"/>
      <c r="V96" s="27" t="n"/>
      <c r="W96" s="27" t="n"/>
      <c r="X96" s="27" t="n"/>
      <c r="Y96" s="27" t="n"/>
    </row>
    <row r="97">
      <c r="A97" s="27" t="n"/>
      <c r="B97" s="27" t="n"/>
      <c r="C97" s="27" t="n"/>
      <c r="D97" s="27" t="n"/>
      <c r="E97" s="28" t="n"/>
      <c r="F97" s="28" t="n"/>
      <c r="G97" s="27" t="n"/>
      <c r="H97" s="29">
        <f>IF(G97="Invoice",IF(ISNUMBER(F97),F97,""),IF(ISNUMBER(E97),E97,""))</f>
        <v/>
      </c>
      <c r="I97" s="30" t="n"/>
      <c r="J97" s="29">
        <f>IF(AND(ISNUMBER(H97),ISNUMBER(I97)),EDATE(H97,I97),"")</f>
        <v/>
      </c>
      <c r="K97" s="30" t="n"/>
      <c r="L97" s="29">
        <f>IF(AND(ISNUMBER(H97),ISNUMBER(K97)),EDATE(H97,K97),"")</f>
        <v/>
      </c>
      <c r="M97" s="29">
        <f>IF(COUNT(J97,L97)=0,"",IF(MIN(J97,L97)&gt;=TODAY(),MIN(J97,L97),MAX(J97,L97)))</f>
        <v/>
      </c>
      <c r="N97" s="31">
        <f>IF(ISNUMBER(M97),M97-TODAY(),"")</f>
        <v/>
      </c>
      <c r="O97" s="30" t="n"/>
      <c r="P97" s="29">
        <f>IF(ISNUMBER(M97),M97-IF(ISNUMBER(O97),O97,60),"")</f>
        <v/>
      </c>
      <c r="Q97" s="27" t="n"/>
      <c r="R97" s="27" t="n"/>
      <c r="S97" s="27" t="n"/>
      <c r="T97" s="27" t="n"/>
      <c r="U97" s="27" t="n"/>
      <c r="V97" s="27" t="n"/>
      <c r="W97" s="27" t="n"/>
      <c r="X97" s="27" t="n"/>
      <c r="Y97" s="27" t="n"/>
    </row>
    <row r="98">
      <c r="A98" s="27" t="n"/>
      <c r="B98" s="27" t="n"/>
      <c r="C98" s="27" t="n"/>
      <c r="D98" s="27" t="n"/>
      <c r="E98" s="28" t="n"/>
      <c r="F98" s="28" t="n"/>
      <c r="G98" s="27" t="n"/>
      <c r="H98" s="29">
        <f>IF(G98="Invoice",IF(ISNUMBER(F98),F98,""),IF(ISNUMBER(E98),E98,""))</f>
        <v/>
      </c>
      <c r="I98" s="30" t="n"/>
      <c r="J98" s="29">
        <f>IF(AND(ISNUMBER(H98),ISNUMBER(I98)),EDATE(H98,I98),"")</f>
        <v/>
      </c>
      <c r="K98" s="30" t="n"/>
      <c r="L98" s="29">
        <f>IF(AND(ISNUMBER(H98),ISNUMBER(K98)),EDATE(H98,K98),"")</f>
        <v/>
      </c>
      <c r="M98" s="29">
        <f>IF(COUNT(J98,L98)=0,"",IF(MIN(J98,L98)&gt;=TODAY(),MIN(J98,L98),MAX(J98,L98)))</f>
        <v/>
      </c>
      <c r="N98" s="31">
        <f>IF(ISNUMBER(M98),M98-TODAY(),"")</f>
        <v/>
      </c>
      <c r="O98" s="30" t="n"/>
      <c r="P98" s="29">
        <f>IF(ISNUMBER(M98),M98-IF(ISNUMBER(O98),O98,60),"")</f>
        <v/>
      </c>
      <c r="Q98" s="27" t="n"/>
      <c r="R98" s="27" t="n"/>
      <c r="S98" s="27" t="n"/>
      <c r="T98" s="27" t="n"/>
      <c r="U98" s="27" t="n"/>
      <c r="V98" s="27" t="n"/>
      <c r="W98" s="27" t="n"/>
      <c r="X98" s="27" t="n"/>
      <c r="Y98" s="27" t="n"/>
    </row>
    <row r="99">
      <c r="A99" s="27" t="n"/>
      <c r="B99" s="27" t="n"/>
      <c r="C99" s="27" t="n"/>
      <c r="D99" s="27" t="n"/>
      <c r="E99" s="28" t="n"/>
      <c r="F99" s="28" t="n"/>
      <c r="G99" s="27" t="n"/>
      <c r="H99" s="29">
        <f>IF(G99="Invoice",IF(ISNUMBER(F99),F99,""),IF(ISNUMBER(E99),E99,""))</f>
        <v/>
      </c>
      <c r="I99" s="30" t="n"/>
      <c r="J99" s="29">
        <f>IF(AND(ISNUMBER(H99),ISNUMBER(I99)),EDATE(H99,I99),"")</f>
        <v/>
      </c>
      <c r="K99" s="30" t="n"/>
      <c r="L99" s="29">
        <f>IF(AND(ISNUMBER(H99),ISNUMBER(K99)),EDATE(H99,K99),"")</f>
        <v/>
      </c>
      <c r="M99" s="29">
        <f>IF(COUNT(J99,L99)=0,"",IF(MIN(J99,L99)&gt;=TODAY(),MIN(J99,L99),MAX(J99,L99)))</f>
        <v/>
      </c>
      <c r="N99" s="31">
        <f>IF(ISNUMBER(M99),M99-TODAY(),"")</f>
        <v/>
      </c>
      <c r="O99" s="30" t="n"/>
      <c r="P99" s="29">
        <f>IF(ISNUMBER(M99),M99-IF(ISNUMBER(O99),O99,60),"")</f>
        <v/>
      </c>
      <c r="Q99" s="27" t="n"/>
      <c r="R99" s="27" t="n"/>
      <c r="S99" s="27" t="n"/>
      <c r="T99" s="27" t="n"/>
      <c r="U99" s="27" t="n"/>
      <c r="V99" s="27" t="n"/>
      <c r="W99" s="27" t="n"/>
      <c r="X99" s="27" t="n"/>
      <c r="Y99" s="27" t="n"/>
    </row>
    <row r="100">
      <c r="A100" s="27" t="n"/>
      <c r="B100" s="27" t="n"/>
      <c r="C100" s="27" t="n"/>
      <c r="D100" s="27" t="n"/>
      <c r="E100" s="28" t="n"/>
      <c r="F100" s="28" t="n"/>
      <c r="G100" s="27" t="n"/>
      <c r="H100" s="29">
        <f>IF(G100="Invoice",IF(ISNUMBER(F100),F100,""),IF(ISNUMBER(E100),E100,""))</f>
        <v/>
      </c>
      <c r="I100" s="30" t="n"/>
      <c r="J100" s="29">
        <f>IF(AND(ISNUMBER(H100),ISNUMBER(I100)),EDATE(H100,I100),"")</f>
        <v/>
      </c>
      <c r="K100" s="30" t="n"/>
      <c r="L100" s="29">
        <f>IF(AND(ISNUMBER(H100),ISNUMBER(K100)),EDATE(H100,K100),"")</f>
        <v/>
      </c>
      <c r="M100" s="29">
        <f>IF(COUNT(J100,L100)=0,"",IF(MIN(J100,L100)&gt;=TODAY(),MIN(J100,L100),MAX(J100,L100)))</f>
        <v/>
      </c>
      <c r="N100" s="31">
        <f>IF(ISNUMBER(M100),M100-TODAY(),"")</f>
        <v/>
      </c>
      <c r="O100" s="30" t="n"/>
      <c r="P100" s="29">
        <f>IF(ISNUMBER(M100),M100-IF(ISNUMBER(O100),O100,60),"")</f>
        <v/>
      </c>
      <c r="Q100" s="27" t="n"/>
      <c r="R100" s="27" t="n"/>
      <c r="S100" s="27" t="n"/>
      <c r="T100" s="27" t="n"/>
      <c r="U100" s="27" t="n"/>
      <c r="V100" s="27" t="n"/>
      <c r="W100" s="27" t="n"/>
      <c r="X100" s="27" t="n"/>
      <c r="Y100" s="27" t="n"/>
    </row>
    <row r="101">
      <c r="A101" s="27" t="n"/>
      <c r="B101" s="27" t="n"/>
      <c r="C101" s="27" t="n"/>
      <c r="D101" s="27" t="n"/>
      <c r="E101" s="28" t="n"/>
      <c r="F101" s="28" t="n"/>
      <c r="G101" s="27" t="n"/>
      <c r="H101" s="29">
        <f>IF(G101="Invoice",IF(ISNUMBER(F101),F101,""),IF(ISNUMBER(E101),E101,""))</f>
        <v/>
      </c>
      <c r="I101" s="30" t="n"/>
      <c r="J101" s="29">
        <f>IF(AND(ISNUMBER(H101),ISNUMBER(I101)),EDATE(H101,I101),"")</f>
        <v/>
      </c>
      <c r="K101" s="30" t="n"/>
      <c r="L101" s="29">
        <f>IF(AND(ISNUMBER(H101),ISNUMBER(K101)),EDATE(H101,K101),"")</f>
        <v/>
      </c>
      <c r="M101" s="29">
        <f>IF(COUNT(J101,L101)=0,"",IF(MIN(J101,L101)&gt;=TODAY(),MIN(J101,L101),MAX(J101,L101)))</f>
        <v/>
      </c>
      <c r="N101" s="31">
        <f>IF(ISNUMBER(M101),M101-TODAY(),"")</f>
        <v/>
      </c>
      <c r="O101" s="30" t="n"/>
      <c r="P101" s="29">
        <f>IF(ISNUMBER(M101),M101-IF(ISNUMBER(O101),O101,60),"")</f>
        <v/>
      </c>
      <c r="Q101" s="27" t="n"/>
      <c r="R101" s="27" t="n"/>
      <c r="S101" s="27" t="n"/>
      <c r="T101" s="27" t="n"/>
      <c r="U101" s="27" t="n"/>
      <c r="V101" s="27" t="n"/>
      <c r="W101" s="27" t="n"/>
      <c r="X101" s="27" t="n"/>
      <c r="Y101" s="27" t="n"/>
    </row>
    <row r="102">
      <c r="A102" s="27" t="n"/>
      <c r="B102" s="27" t="n"/>
      <c r="C102" s="27" t="n"/>
      <c r="D102" s="27" t="n"/>
      <c r="E102" s="28" t="n"/>
      <c r="F102" s="28" t="n"/>
      <c r="G102" s="27" t="n"/>
      <c r="H102" s="29">
        <f>IF(G102="Invoice",IF(ISNUMBER(F102),F102,""),IF(ISNUMBER(E102),E102,""))</f>
        <v/>
      </c>
      <c r="I102" s="30" t="n"/>
      <c r="J102" s="29">
        <f>IF(AND(ISNUMBER(H102),ISNUMBER(I102)),EDATE(H102,I102),"")</f>
        <v/>
      </c>
      <c r="K102" s="30" t="n"/>
      <c r="L102" s="29">
        <f>IF(AND(ISNUMBER(H102),ISNUMBER(K102)),EDATE(H102,K102),"")</f>
        <v/>
      </c>
      <c r="M102" s="29">
        <f>IF(COUNT(J102,L102)=0,"",IF(MIN(J102,L102)&gt;=TODAY(),MIN(J102,L102),MAX(J102,L102)))</f>
        <v/>
      </c>
      <c r="N102" s="31">
        <f>IF(ISNUMBER(M102),M102-TODAY(),"")</f>
        <v/>
      </c>
      <c r="O102" s="30" t="n"/>
      <c r="P102" s="29">
        <f>IF(ISNUMBER(M102),M102-IF(ISNUMBER(O102),O102,60),"")</f>
        <v/>
      </c>
      <c r="Q102" s="27" t="n"/>
      <c r="R102" s="27" t="n"/>
      <c r="S102" s="27" t="n"/>
      <c r="T102" s="27" t="n"/>
      <c r="U102" s="27" t="n"/>
      <c r="V102" s="27" t="n"/>
      <c r="W102" s="27" t="n"/>
      <c r="X102" s="27" t="n"/>
      <c r="Y102" s="27" t="n"/>
    </row>
    <row r="103">
      <c r="A103" s="27" t="n"/>
      <c r="B103" s="27" t="n"/>
      <c r="C103" s="27" t="n"/>
      <c r="D103" s="27" t="n"/>
      <c r="E103" s="28" t="n"/>
      <c r="F103" s="28" t="n"/>
      <c r="G103" s="27" t="n"/>
      <c r="H103" s="29">
        <f>IF(G103="Invoice",IF(ISNUMBER(F103),F103,""),IF(ISNUMBER(E103),E103,""))</f>
        <v/>
      </c>
      <c r="I103" s="30" t="n"/>
      <c r="J103" s="29">
        <f>IF(AND(ISNUMBER(H103),ISNUMBER(I103)),EDATE(H103,I103),"")</f>
        <v/>
      </c>
      <c r="K103" s="30" t="n"/>
      <c r="L103" s="29">
        <f>IF(AND(ISNUMBER(H103),ISNUMBER(K103)),EDATE(H103,K103),"")</f>
        <v/>
      </c>
      <c r="M103" s="29">
        <f>IF(COUNT(J103,L103)=0,"",IF(MIN(J103,L103)&gt;=TODAY(),MIN(J103,L103),MAX(J103,L103)))</f>
        <v/>
      </c>
      <c r="N103" s="31">
        <f>IF(ISNUMBER(M103),M103-TODAY(),"")</f>
        <v/>
      </c>
      <c r="O103" s="30" t="n"/>
      <c r="P103" s="29">
        <f>IF(ISNUMBER(M103),M103-IF(ISNUMBER(O103),O103,60),"")</f>
        <v/>
      </c>
      <c r="Q103" s="27" t="n"/>
      <c r="R103" s="27" t="n"/>
      <c r="S103" s="27" t="n"/>
      <c r="T103" s="27" t="n"/>
      <c r="U103" s="27" t="n"/>
      <c r="V103" s="27" t="n"/>
      <c r="W103" s="27" t="n"/>
      <c r="X103" s="27" t="n"/>
      <c r="Y103" s="27" t="n"/>
    </row>
    <row r="104">
      <c r="A104" s="27" t="n"/>
      <c r="B104" s="27" t="n"/>
      <c r="C104" s="27" t="n"/>
      <c r="D104" s="27" t="n"/>
      <c r="E104" s="28" t="n"/>
      <c r="F104" s="28" t="n"/>
      <c r="G104" s="27" t="n"/>
      <c r="H104" s="29">
        <f>IF(G104="Invoice",IF(ISNUMBER(F104),F104,""),IF(ISNUMBER(E104),E104,""))</f>
        <v/>
      </c>
      <c r="I104" s="30" t="n"/>
      <c r="J104" s="29">
        <f>IF(AND(ISNUMBER(H104),ISNUMBER(I104)),EDATE(H104,I104),"")</f>
        <v/>
      </c>
      <c r="K104" s="30" t="n"/>
      <c r="L104" s="29">
        <f>IF(AND(ISNUMBER(H104),ISNUMBER(K104)),EDATE(H104,K104),"")</f>
        <v/>
      </c>
      <c r="M104" s="29">
        <f>IF(COUNT(J104,L104)=0,"",IF(MIN(J104,L104)&gt;=TODAY(),MIN(J104,L104),MAX(J104,L104)))</f>
        <v/>
      </c>
      <c r="N104" s="31">
        <f>IF(ISNUMBER(M104),M104-TODAY(),"")</f>
        <v/>
      </c>
      <c r="O104" s="30" t="n"/>
      <c r="P104" s="29">
        <f>IF(ISNUMBER(M104),M104-IF(ISNUMBER(O104),O104,60),"")</f>
        <v/>
      </c>
      <c r="Q104" s="27" t="n"/>
      <c r="R104" s="27" t="n"/>
      <c r="S104" s="27" t="n"/>
      <c r="T104" s="27" t="n"/>
      <c r="U104" s="27" t="n"/>
      <c r="V104" s="27" t="n"/>
      <c r="W104" s="27" t="n"/>
      <c r="X104" s="27" t="n"/>
      <c r="Y104" s="27" t="n"/>
    </row>
    <row r="105">
      <c r="A105" s="27" t="n"/>
      <c r="B105" s="27" t="n"/>
      <c r="C105" s="27" t="n"/>
      <c r="D105" s="27" t="n"/>
      <c r="E105" s="28" t="n"/>
      <c r="F105" s="28" t="n"/>
      <c r="G105" s="27" t="n"/>
      <c r="H105" s="29">
        <f>IF(G105="Invoice",IF(ISNUMBER(F105),F105,""),IF(ISNUMBER(E105),E105,""))</f>
        <v/>
      </c>
      <c r="I105" s="30" t="n"/>
      <c r="J105" s="29">
        <f>IF(AND(ISNUMBER(H105),ISNUMBER(I105)),EDATE(H105,I105),"")</f>
        <v/>
      </c>
      <c r="K105" s="30" t="n"/>
      <c r="L105" s="29">
        <f>IF(AND(ISNUMBER(H105),ISNUMBER(K105)),EDATE(H105,K105),"")</f>
        <v/>
      </c>
      <c r="M105" s="29">
        <f>IF(COUNT(J105,L105)=0,"",IF(MIN(J105,L105)&gt;=TODAY(),MIN(J105,L105),MAX(J105,L105)))</f>
        <v/>
      </c>
      <c r="N105" s="31">
        <f>IF(ISNUMBER(M105),M105-TODAY(),"")</f>
        <v/>
      </c>
      <c r="O105" s="30" t="n"/>
      <c r="P105" s="29">
        <f>IF(ISNUMBER(M105),M105-IF(ISNUMBER(O105),O105,60),"")</f>
        <v/>
      </c>
      <c r="Q105" s="27" t="n"/>
      <c r="R105" s="27" t="n"/>
      <c r="S105" s="27" t="n"/>
      <c r="T105" s="27" t="n"/>
      <c r="U105" s="27" t="n"/>
      <c r="V105" s="27" t="n"/>
      <c r="W105" s="27" t="n"/>
      <c r="X105" s="27" t="n"/>
      <c r="Y105" s="27" t="n"/>
    </row>
    <row r="106">
      <c r="A106" s="27" t="n"/>
      <c r="B106" s="27" t="n"/>
      <c r="C106" s="27" t="n"/>
      <c r="D106" s="27" t="n"/>
      <c r="E106" s="28" t="n"/>
      <c r="F106" s="28" t="n"/>
      <c r="G106" s="27" t="n"/>
      <c r="H106" s="29">
        <f>IF(G106="Invoice",IF(ISNUMBER(F106),F106,""),IF(ISNUMBER(E106),E106,""))</f>
        <v/>
      </c>
      <c r="I106" s="30" t="n"/>
      <c r="J106" s="29">
        <f>IF(AND(ISNUMBER(H106),ISNUMBER(I106)),EDATE(H106,I106),"")</f>
        <v/>
      </c>
      <c r="K106" s="30" t="n"/>
      <c r="L106" s="29">
        <f>IF(AND(ISNUMBER(H106),ISNUMBER(K106)),EDATE(H106,K106),"")</f>
        <v/>
      </c>
      <c r="M106" s="29">
        <f>IF(COUNT(J106,L106)=0,"",IF(MIN(J106,L106)&gt;=TODAY(),MIN(J106,L106),MAX(J106,L106)))</f>
        <v/>
      </c>
      <c r="N106" s="31">
        <f>IF(ISNUMBER(M106),M106-TODAY(),"")</f>
        <v/>
      </c>
      <c r="O106" s="30" t="n"/>
      <c r="P106" s="29">
        <f>IF(ISNUMBER(M106),M106-IF(ISNUMBER(O106),O106,60),"")</f>
        <v/>
      </c>
      <c r="Q106" s="27" t="n"/>
      <c r="R106" s="27" t="n"/>
      <c r="S106" s="27" t="n"/>
      <c r="T106" s="27" t="n"/>
      <c r="U106" s="27" t="n"/>
      <c r="V106" s="27" t="n"/>
      <c r="W106" s="27" t="n"/>
      <c r="X106" s="27" t="n"/>
      <c r="Y106" s="27" t="n"/>
    </row>
    <row r="107">
      <c r="A107" s="27" t="n"/>
      <c r="B107" s="27" t="n"/>
      <c r="C107" s="27" t="n"/>
      <c r="D107" s="27" t="n"/>
      <c r="E107" s="28" t="n"/>
      <c r="F107" s="28" t="n"/>
      <c r="G107" s="27" t="n"/>
      <c r="H107" s="29">
        <f>IF(G107="Invoice",IF(ISNUMBER(F107),F107,""),IF(ISNUMBER(E107),E107,""))</f>
        <v/>
      </c>
      <c r="I107" s="30" t="n"/>
      <c r="J107" s="29">
        <f>IF(AND(ISNUMBER(H107),ISNUMBER(I107)),EDATE(H107,I107),"")</f>
        <v/>
      </c>
      <c r="K107" s="30" t="n"/>
      <c r="L107" s="29">
        <f>IF(AND(ISNUMBER(H107),ISNUMBER(K107)),EDATE(H107,K107),"")</f>
        <v/>
      </c>
      <c r="M107" s="29">
        <f>IF(COUNT(J107,L107)=0,"",IF(MIN(J107,L107)&gt;=TODAY(),MIN(J107,L107),MAX(J107,L107)))</f>
        <v/>
      </c>
      <c r="N107" s="31">
        <f>IF(ISNUMBER(M107),M107-TODAY(),"")</f>
        <v/>
      </c>
      <c r="O107" s="30" t="n"/>
      <c r="P107" s="29">
        <f>IF(ISNUMBER(M107),M107-IF(ISNUMBER(O107),O107,60),"")</f>
        <v/>
      </c>
      <c r="Q107" s="27" t="n"/>
      <c r="R107" s="27" t="n"/>
      <c r="S107" s="27" t="n"/>
      <c r="T107" s="27" t="n"/>
      <c r="U107" s="27" t="n"/>
      <c r="V107" s="27" t="n"/>
      <c r="W107" s="27" t="n"/>
      <c r="X107" s="27" t="n"/>
      <c r="Y107" s="27" t="n"/>
    </row>
    <row r="108">
      <c r="A108" s="27" t="n"/>
      <c r="B108" s="27" t="n"/>
      <c r="C108" s="27" t="n"/>
      <c r="D108" s="27" t="n"/>
      <c r="E108" s="28" t="n"/>
      <c r="F108" s="28" t="n"/>
      <c r="G108" s="27" t="n"/>
      <c r="H108" s="29">
        <f>IF(G108="Invoice",IF(ISNUMBER(F108),F108,""),IF(ISNUMBER(E108),E108,""))</f>
        <v/>
      </c>
      <c r="I108" s="30" t="n"/>
      <c r="J108" s="29">
        <f>IF(AND(ISNUMBER(H108),ISNUMBER(I108)),EDATE(H108,I108),"")</f>
        <v/>
      </c>
      <c r="K108" s="30" t="n"/>
      <c r="L108" s="29">
        <f>IF(AND(ISNUMBER(H108),ISNUMBER(K108)),EDATE(H108,K108),"")</f>
        <v/>
      </c>
      <c r="M108" s="29">
        <f>IF(COUNT(J108,L108)=0,"",IF(MIN(J108,L108)&gt;=TODAY(),MIN(J108,L108),MAX(J108,L108)))</f>
        <v/>
      </c>
      <c r="N108" s="31">
        <f>IF(ISNUMBER(M108),M108-TODAY(),"")</f>
        <v/>
      </c>
      <c r="O108" s="30" t="n"/>
      <c r="P108" s="29">
        <f>IF(ISNUMBER(M108),M108-IF(ISNUMBER(O108),O108,60),"")</f>
        <v/>
      </c>
      <c r="Q108" s="27" t="n"/>
      <c r="R108" s="27" t="n"/>
      <c r="S108" s="27" t="n"/>
      <c r="T108" s="27" t="n"/>
      <c r="U108" s="27" t="n"/>
      <c r="V108" s="27" t="n"/>
      <c r="W108" s="27" t="n"/>
      <c r="X108" s="27" t="n"/>
      <c r="Y108" s="27" t="n"/>
    </row>
    <row r="109">
      <c r="A109" s="27" t="n"/>
      <c r="B109" s="27" t="n"/>
      <c r="C109" s="27" t="n"/>
      <c r="D109" s="27" t="n"/>
      <c r="E109" s="28" t="n"/>
      <c r="F109" s="28" t="n"/>
      <c r="G109" s="27" t="n"/>
      <c r="H109" s="29">
        <f>IF(G109="Invoice",IF(ISNUMBER(F109),F109,""),IF(ISNUMBER(E109),E109,""))</f>
        <v/>
      </c>
      <c r="I109" s="30" t="n"/>
      <c r="J109" s="29">
        <f>IF(AND(ISNUMBER(H109),ISNUMBER(I109)),EDATE(H109,I109),"")</f>
        <v/>
      </c>
      <c r="K109" s="30" t="n"/>
      <c r="L109" s="29">
        <f>IF(AND(ISNUMBER(H109),ISNUMBER(K109)),EDATE(H109,K109),"")</f>
        <v/>
      </c>
      <c r="M109" s="29">
        <f>IF(COUNT(J109,L109)=0,"",IF(MIN(J109,L109)&gt;=TODAY(),MIN(J109,L109),MAX(J109,L109)))</f>
        <v/>
      </c>
      <c r="N109" s="31">
        <f>IF(ISNUMBER(M109),M109-TODAY(),"")</f>
        <v/>
      </c>
      <c r="O109" s="30" t="n"/>
      <c r="P109" s="29">
        <f>IF(ISNUMBER(M109),M109-IF(ISNUMBER(O109),O109,60),"")</f>
        <v/>
      </c>
      <c r="Q109" s="27" t="n"/>
      <c r="R109" s="27" t="n"/>
      <c r="S109" s="27" t="n"/>
      <c r="T109" s="27" t="n"/>
      <c r="U109" s="27" t="n"/>
      <c r="V109" s="27" t="n"/>
      <c r="W109" s="27" t="n"/>
      <c r="X109" s="27" t="n"/>
      <c r="Y109" s="27" t="n"/>
    </row>
    <row r="110">
      <c r="A110" s="27" t="n"/>
      <c r="B110" s="27" t="n"/>
      <c r="C110" s="27" t="n"/>
      <c r="D110" s="27" t="n"/>
      <c r="E110" s="28" t="n"/>
      <c r="F110" s="28" t="n"/>
      <c r="G110" s="27" t="n"/>
      <c r="H110" s="29">
        <f>IF(G110="Invoice",IF(ISNUMBER(F110),F110,""),IF(ISNUMBER(E110),E110,""))</f>
        <v/>
      </c>
      <c r="I110" s="30" t="n"/>
      <c r="J110" s="29">
        <f>IF(AND(ISNUMBER(H110),ISNUMBER(I110)),EDATE(H110,I110),"")</f>
        <v/>
      </c>
      <c r="K110" s="30" t="n"/>
      <c r="L110" s="29">
        <f>IF(AND(ISNUMBER(H110),ISNUMBER(K110)),EDATE(H110,K110),"")</f>
        <v/>
      </c>
      <c r="M110" s="29">
        <f>IF(COUNT(J110,L110)=0,"",IF(MIN(J110,L110)&gt;=TODAY(),MIN(J110,L110),MAX(J110,L110)))</f>
        <v/>
      </c>
      <c r="N110" s="31">
        <f>IF(ISNUMBER(M110),M110-TODAY(),"")</f>
        <v/>
      </c>
      <c r="O110" s="30" t="n"/>
      <c r="P110" s="29">
        <f>IF(ISNUMBER(M110),M110-IF(ISNUMBER(O110),O110,60),"")</f>
        <v/>
      </c>
      <c r="Q110" s="27" t="n"/>
      <c r="R110" s="27" t="n"/>
      <c r="S110" s="27" t="n"/>
      <c r="T110" s="27" t="n"/>
      <c r="U110" s="27" t="n"/>
      <c r="V110" s="27" t="n"/>
      <c r="W110" s="27" t="n"/>
      <c r="X110" s="27" t="n"/>
      <c r="Y110" s="27" t="n"/>
    </row>
    <row r="111">
      <c r="A111" s="27" t="n"/>
      <c r="B111" s="27" t="n"/>
      <c r="C111" s="27" t="n"/>
      <c r="D111" s="27" t="n"/>
      <c r="E111" s="28" t="n"/>
      <c r="F111" s="28" t="n"/>
      <c r="G111" s="27" t="n"/>
      <c r="H111" s="29">
        <f>IF(G111="Invoice",IF(ISNUMBER(F111),F111,""),IF(ISNUMBER(E111),E111,""))</f>
        <v/>
      </c>
      <c r="I111" s="30" t="n"/>
      <c r="J111" s="29">
        <f>IF(AND(ISNUMBER(H111),ISNUMBER(I111)),EDATE(H111,I111),"")</f>
        <v/>
      </c>
      <c r="K111" s="30" t="n"/>
      <c r="L111" s="29">
        <f>IF(AND(ISNUMBER(H111),ISNUMBER(K111)),EDATE(H111,K111),"")</f>
        <v/>
      </c>
      <c r="M111" s="29">
        <f>IF(COUNT(J111,L111)=0,"",IF(MIN(J111,L111)&gt;=TODAY(),MIN(J111,L111),MAX(J111,L111)))</f>
        <v/>
      </c>
      <c r="N111" s="31">
        <f>IF(ISNUMBER(M111),M111-TODAY(),"")</f>
        <v/>
      </c>
      <c r="O111" s="30" t="n"/>
      <c r="P111" s="29">
        <f>IF(ISNUMBER(M111),M111-IF(ISNUMBER(O111),O111,60),"")</f>
        <v/>
      </c>
      <c r="Q111" s="27" t="n"/>
      <c r="R111" s="27" t="n"/>
      <c r="S111" s="27" t="n"/>
      <c r="T111" s="27" t="n"/>
      <c r="U111" s="27" t="n"/>
      <c r="V111" s="27" t="n"/>
      <c r="W111" s="27" t="n"/>
      <c r="X111" s="27" t="n"/>
      <c r="Y111" s="27" t="n"/>
    </row>
    <row r="112">
      <c r="A112" s="27" t="n"/>
      <c r="B112" s="27" t="n"/>
      <c r="C112" s="27" t="n"/>
      <c r="D112" s="27" t="n"/>
      <c r="E112" s="28" t="n"/>
      <c r="F112" s="28" t="n"/>
      <c r="G112" s="27" t="n"/>
      <c r="H112" s="29">
        <f>IF(G112="Invoice",IF(ISNUMBER(F112),F112,""),IF(ISNUMBER(E112),E112,""))</f>
        <v/>
      </c>
      <c r="I112" s="30" t="n"/>
      <c r="J112" s="29">
        <f>IF(AND(ISNUMBER(H112),ISNUMBER(I112)),EDATE(H112,I112),"")</f>
        <v/>
      </c>
      <c r="K112" s="30" t="n"/>
      <c r="L112" s="29">
        <f>IF(AND(ISNUMBER(H112),ISNUMBER(K112)),EDATE(H112,K112),"")</f>
        <v/>
      </c>
      <c r="M112" s="29">
        <f>IF(COUNT(J112,L112)=0,"",IF(MIN(J112,L112)&gt;=TODAY(),MIN(J112,L112),MAX(J112,L112)))</f>
        <v/>
      </c>
      <c r="N112" s="31">
        <f>IF(ISNUMBER(M112),M112-TODAY(),"")</f>
        <v/>
      </c>
      <c r="O112" s="30" t="n"/>
      <c r="P112" s="29">
        <f>IF(ISNUMBER(M112),M112-IF(ISNUMBER(O112),O112,60),"")</f>
        <v/>
      </c>
      <c r="Q112" s="27" t="n"/>
      <c r="R112" s="27" t="n"/>
      <c r="S112" s="27" t="n"/>
      <c r="T112" s="27" t="n"/>
      <c r="U112" s="27" t="n"/>
      <c r="V112" s="27" t="n"/>
      <c r="W112" s="27" t="n"/>
      <c r="X112" s="27" t="n"/>
      <c r="Y112" s="27" t="n"/>
    </row>
    <row r="113">
      <c r="A113" s="27" t="n"/>
      <c r="B113" s="27" t="n"/>
      <c r="C113" s="27" t="n"/>
      <c r="D113" s="27" t="n"/>
      <c r="E113" s="28" t="n"/>
      <c r="F113" s="28" t="n"/>
      <c r="G113" s="27" t="n"/>
      <c r="H113" s="29">
        <f>IF(G113="Invoice",IF(ISNUMBER(F113),F113,""),IF(ISNUMBER(E113),E113,""))</f>
        <v/>
      </c>
      <c r="I113" s="30" t="n"/>
      <c r="J113" s="29">
        <f>IF(AND(ISNUMBER(H113),ISNUMBER(I113)),EDATE(H113,I113),"")</f>
        <v/>
      </c>
      <c r="K113" s="30" t="n"/>
      <c r="L113" s="29">
        <f>IF(AND(ISNUMBER(H113),ISNUMBER(K113)),EDATE(H113,K113),"")</f>
        <v/>
      </c>
      <c r="M113" s="29">
        <f>IF(COUNT(J113,L113)=0,"",IF(MIN(J113,L113)&gt;=TODAY(),MIN(J113,L113),MAX(J113,L113)))</f>
        <v/>
      </c>
      <c r="N113" s="31">
        <f>IF(ISNUMBER(M113),M113-TODAY(),"")</f>
        <v/>
      </c>
      <c r="O113" s="30" t="n"/>
      <c r="P113" s="29">
        <f>IF(ISNUMBER(M113),M113-IF(ISNUMBER(O113),O113,60),"")</f>
        <v/>
      </c>
      <c r="Q113" s="27" t="n"/>
      <c r="R113" s="27" t="n"/>
      <c r="S113" s="27" t="n"/>
      <c r="T113" s="27" t="n"/>
      <c r="U113" s="27" t="n"/>
      <c r="V113" s="27" t="n"/>
      <c r="W113" s="27" t="n"/>
      <c r="X113" s="27" t="n"/>
      <c r="Y113" s="27" t="n"/>
    </row>
    <row r="114">
      <c r="A114" s="27" t="n"/>
      <c r="B114" s="27" t="n"/>
      <c r="C114" s="27" t="n"/>
      <c r="D114" s="27" t="n"/>
      <c r="E114" s="28" t="n"/>
      <c r="F114" s="28" t="n"/>
      <c r="G114" s="27" t="n"/>
      <c r="H114" s="29">
        <f>IF(G114="Invoice",IF(ISNUMBER(F114),F114,""),IF(ISNUMBER(E114),E114,""))</f>
        <v/>
      </c>
      <c r="I114" s="30" t="n"/>
      <c r="J114" s="29">
        <f>IF(AND(ISNUMBER(H114),ISNUMBER(I114)),EDATE(H114,I114),"")</f>
        <v/>
      </c>
      <c r="K114" s="30" t="n"/>
      <c r="L114" s="29">
        <f>IF(AND(ISNUMBER(H114),ISNUMBER(K114)),EDATE(H114,K114),"")</f>
        <v/>
      </c>
      <c r="M114" s="29">
        <f>IF(COUNT(J114,L114)=0,"",IF(MIN(J114,L114)&gt;=TODAY(),MIN(J114,L114),MAX(J114,L114)))</f>
        <v/>
      </c>
      <c r="N114" s="31">
        <f>IF(ISNUMBER(M114),M114-TODAY(),"")</f>
        <v/>
      </c>
      <c r="O114" s="30" t="n"/>
      <c r="P114" s="29">
        <f>IF(ISNUMBER(M114),M114-IF(ISNUMBER(O114),O114,60),"")</f>
        <v/>
      </c>
      <c r="Q114" s="27" t="n"/>
      <c r="R114" s="27" t="n"/>
      <c r="S114" s="27" t="n"/>
      <c r="T114" s="27" t="n"/>
      <c r="U114" s="27" t="n"/>
      <c r="V114" s="27" t="n"/>
      <c r="W114" s="27" t="n"/>
      <c r="X114" s="27" t="n"/>
      <c r="Y114" s="27" t="n"/>
    </row>
    <row r="115">
      <c r="A115" s="27" t="n"/>
      <c r="B115" s="27" t="n"/>
      <c r="C115" s="27" t="n"/>
      <c r="D115" s="27" t="n"/>
      <c r="E115" s="28" t="n"/>
      <c r="F115" s="28" t="n"/>
      <c r="G115" s="27" t="n"/>
      <c r="H115" s="29">
        <f>IF(G115="Invoice",IF(ISNUMBER(F115),F115,""),IF(ISNUMBER(E115),E115,""))</f>
        <v/>
      </c>
      <c r="I115" s="30" t="n"/>
      <c r="J115" s="29">
        <f>IF(AND(ISNUMBER(H115),ISNUMBER(I115)),EDATE(H115,I115),"")</f>
        <v/>
      </c>
      <c r="K115" s="30" t="n"/>
      <c r="L115" s="29">
        <f>IF(AND(ISNUMBER(H115),ISNUMBER(K115)),EDATE(H115,K115),"")</f>
        <v/>
      </c>
      <c r="M115" s="29">
        <f>IF(COUNT(J115,L115)=0,"",IF(MIN(J115,L115)&gt;=TODAY(),MIN(J115,L115),MAX(J115,L115)))</f>
        <v/>
      </c>
      <c r="N115" s="31">
        <f>IF(ISNUMBER(M115),M115-TODAY(),"")</f>
        <v/>
      </c>
      <c r="O115" s="30" t="n"/>
      <c r="P115" s="29">
        <f>IF(ISNUMBER(M115),M115-IF(ISNUMBER(O115),O115,60),"")</f>
        <v/>
      </c>
      <c r="Q115" s="27" t="n"/>
      <c r="R115" s="27" t="n"/>
      <c r="S115" s="27" t="n"/>
      <c r="T115" s="27" t="n"/>
      <c r="U115" s="27" t="n"/>
      <c r="V115" s="27" t="n"/>
      <c r="W115" s="27" t="n"/>
      <c r="X115" s="27" t="n"/>
      <c r="Y115" s="27" t="n"/>
    </row>
    <row r="116">
      <c r="A116" s="27" t="n"/>
      <c r="B116" s="27" t="n"/>
      <c r="C116" s="27" t="n"/>
      <c r="D116" s="27" t="n"/>
      <c r="E116" s="28" t="n"/>
      <c r="F116" s="28" t="n"/>
      <c r="G116" s="27" t="n"/>
      <c r="H116" s="29">
        <f>IF(G116="Invoice",IF(ISNUMBER(F116),F116,""),IF(ISNUMBER(E116),E116,""))</f>
        <v/>
      </c>
      <c r="I116" s="30" t="n"/>
      <c r="J116" s="29">
        <f>IF(AND(ISNUMBER(H116),ISNUMBER(I116)),EDATE(H116,I116),"")</f>
        <v/>
      </c>
      <c r="K116" s="30" t="n"/>
      <c r="L116" s="29">
        <f>IF(AND(ISNUMBER(H116),ISNUMBER(K116)),EDATE(H116,K116),"")</f>
        <v/>
      </c>
      <c r="M116" s="29">
        <f>IF(COUNT(J116,L116)=0,"",IF(MIN(J116,L116)&gt;=TODAY(),MIN(J116,L116),MAX(J116,L116)))</f>
        <v/>
      </c>
      <c r="N116" s="31">
        <f>IF(ISNUMBER(M116),M116-TODAY(),"")</f>
        <v/>
      </c>
      <c r="O116" s="30" t="n"/>
      <c r="P116" s="29">
        <f>IF(ISNUMBER(M116),M116-IF(ISNUMBER(O116),O116,60),"")</f>
        <v/>
      </c>
      <c r="Q116" s="27" t="n"/>
      <c r="R116" s="27" t="n"/>
      <c r="S116" s="27" t="n"/>
      <c r="T116" s="27" t="n"/>
      <c r="U116" s="27" t="n"/>
      <c r="V116" s="27" t="n"/>
      <c r="W116" s="27" t="n"/>
      <c r="X116" s="27" t="n"/>
      <c r="Y116" s="27" t="n"/>
    </row>
    <row r="117">
      <c r="A117" s="27" t="n"/>
      <c r="B117" s="27" t="n"/>
      <c r="C117" s="27" t="n"/>
      <c r="D117" s="27" t="n"/>
      <c r="E117" s="28" t="n"/>
      <c r="F117" s="28" t="n"/>
      <c r="G117" s="27" t="n"/>
      <c r="H117" s="29">
        <f>IF(G117="Invoice",IF(ISNUMBER(F117),F117,""),IF(ISNUMBER(E117),E117,""))</f>
        <v/>
      </c>
      <c r="I117" s="30" t="n"/>
      <c r="J117" s="29">
        <f>IF(AND(ISNUMBER(H117),ISNUMBER(I117)),EDATE(H117,I117),"")</f>
        <v/>
      </c>
      <c r="K117" s="30" t="n"/>
      <c r="L117" s="29">
        <f>IF(AND(ISNUMBER(H117),ISNUMBER(K117)),EDATE(H117,K117),"")</f>
        <v/>
      </c>
      <c r="M117" s="29">
        <f>IF(COUNT(J117,L117)=0,"",IF(MIN(J117,L117)&gt;=TODAY(),MIN(J117,L117),MAX(J117,L117)))</f>
        <v/>
      </c>
      <c r="N117" s="31">
        <f>IF(ISNUMBER(M117),M117-TODAY(),"")</f>
        <v/>
      </c>
      <c r="O117" s="30" t="n"/>
      <c r="P117" s="29">
        <f>IF(ISNUMBER(M117),M117-IF(ISNUMBER(O117),O117,60),"")</f>
        <v/>
      </c>
      <c r="Q117" s="27" t="n"/>
      <c r="R117" s="27" t="n"/>
      <c r="S117" s="27" t="n"/>
      <c r="T117" s="27" t="n"/>
      <c r="U117" s="27" t="n"/>
      <c r="V117" s="27" t="n"/>
      <c r="W117" s="27" t="n"/>
      <c r="X117" s="27" t="n"/>
      <c r="Y117" s="27" t="n"/>
    </row>
    <row r="118">
      <c r="A118" s="27" t="n"/>
      <c r="B118" s="27" t="n"/>
      <c r="C118" s="27" t="n"/>
      <c r="D118" s="27" t="n"/>
      <c r="E118" s="28" t="n"/>
      <c r="F118" s="28" t="n"/>
      <c r="G118" s="27" t="n"/>
      <c r="H118" s="29">
        <f>IF(G118="Invoice",IF(ISNUMBER(F118),F118,""),IF(ISNUMBER(E118),E118,""))</f>
        <v/>
      </c>
      <c r="I118" s="30" t="n"/>
      <c r="J118" s="29">
        <f>IF(AND(ISNUMBER(H118),ISNUMBER(I118)),EDATE(H118,I118),"")</f>
        <v/>
      </c>
      <c r="K118" s="30" t="n"/>
      <c r="L118" s="29">
        <f>IF(AND(ISNUMBER(H118),ISNUMBER(K118)),EDATE(H118,K118),"")</f>
        <v/>
      </c>
      <c r="M118" s="29">
        <f>IF(COUNT(J118,L118)=0,"",IF(MIN(J118,L118)&gt;=TODAY(),MIN(J118,L118),MAX(J118,L118)))</f>
        <v/>
      </c>
      <c r="N118" s="31">
        <f>IF(ISNUMBER(M118),M118-TODAY(),"")</f>
        <v/>
      </c>
      <c r="O118" s="30" t="n"/>
      <c r="P118" s="29">
        <f>IF(ISNUMBER(M118),M118-IF(ISNUMBER(O118),O118,60),"")</f>
        <v/>
      </c>
      <c r="Q118" s="27" t="n"/>
      <c r="R118" s="27" t="n"/>
      <c r="S118" s="27" t="n"/>
      <c r="T118" s="27" t="n"/>
      <c r="U118" s="27" t="n"/>
      <c r="V118" s="27" t="n"/>
      <c r="W118" s="27" t="n"/>
      <c r="X118" s="27" t="n"/>
      <c r="Y118" s="27" t="n"/>
    </row>
    <row r="119">
      <c r="A119" s="27" t="n"/>
      <c r="B119" s="27" t="n"/>
      <c r="C119" s="27" t="n"/>
      <c r="D119" s="27" t="n"/>
      <c r="E119" s="28" t="n"/>
      <c r="F119" s="28" t="n"/>
      <c r="G119" s="27" t="n"/>
      <c r="H119" s="29">
        <f>IF(G119="Invoice",IF(ISNUMBER(F119),F119,""),IF(ISNUMBER(E119),E119,""))</f>
        <v/>
      </c>
      <c r="I119" s="30" t="n"/>
      <c r="J119" s="29">
        <f>IF(AND(ISNUMBER(H119),ISNUMBER(I119)),EDATE(H119,I119),"")</f>
        <v/>
      </c>
      <c r="K119" s="30" t="n"/>
      <c r="L119" s="29">
        <f>IF(AND(ISNUMBER(H119),ISNUMBER(K119)),EDATE(H119,K119),"")</f>
        <v/>
      </c>
      <c r="M119" s="29">
        <f>IF(COUNT(J119,L119)=0,"",IF(MIN(J119,L119)&gt;=TODAY(),MIN(J119,L119),MAX(J119,L119)))</f>
        <v/>
      </c>
      <c r="N119" s="31">
        <f>IF(ISNUMBER(M119),M119-TODAY(),"")</f>
        <v/>
      </c>
      <c r="O119" s="30" t="n"/>
      <c r="P119" s="29">
        <f>IF(ISNUMBER(M119),M119-IF(ISNUMBER(O119),O119,60),"")</f>
        <v/>
      </c>
      <c r="Q119" s="27" t="n"/>
      <c r="R119" s="27" t="n"/>
      <c r="S119" s="27" t="n"/>
      <c r="T119" s="27" t="n"/>
      <c r="U119" s="27" t="n"/>
      <c r="V119" s="27" t="n"/>
      <c r="W119" s="27" t="n"/>
      <c r="X119" s="27" t="n"/>
      <c r="Y119" s="27" t="n"/>
    </row>
    <row r="120">
      <c r="A120" s="27" t="n"/>
      <c r="B120" s="27" t="n"/>
      <c r="C120" s="27" t="n"/>
      <c r="D120" s="27" t="n"/>
      <c r="E120" s="28" t="n"/>
      <c r="F120" s="28" t="n"/>
      <c r="G120" s="27" t="n"/>
      <c r="H120" s="29">
        <f>IF(G120="Invoice",IF(ISNUMBER(F120),F120,""),IF(ISNUMBER(E120),E120,""))</f>
        <v/>
      </c>
      <c r="I120" s="30" t="n"/>
      <c r="J120" s="29">
        <f>IF(AND(ISNUMBER(H120),ISNUMBER(I120)),EDATE(H120,I120),"")</f>
        <v/>
      </c>
      <c r="K120" s="30" t="n"/>
      <c r="L120" s="29">
        <f>IF(AND(ISNUMBER(H120),ISNUMBER(K120)),EDATE(H120,K120),"")</f>
        <v/>
      </c>
      <c r="M120" s="29">
        <f>IF(COUNT(J120,L120)=0,"",IF(MIN(J120,L120)&gt;=TODAY(),MIN(J120,L120),MAX(J120,L120)))</f>
        <v/>
      </c>
      <c r="N120" s="31">
        <f>IF(ISNUMBER(M120),M120-TODAY(),"")</f>
        <v/>
      </c>
      <c r="O120" s="30" t="n"/>
      <c r="P120" s="29">
        <f>IF(ISNUMBER(M120),M120-IF(ISNUMBER(O120),O120,60),"")</f>
        <v/>
      </c>
      <c r="Q120" s="27" t="n"/>
      <c r="R120" s="27" t="n"/>
      <c r="S120" s="27" t="n"/>
      <c r="T120" s="27" t="n"/>
      <c r="U120" s="27" t="n"/>
      <c r="V120" s="27" t="n"/>
      <c r="W120" s="27" t="n"/>
      <c r="X120" s="27" t="n"/>
      <c r="Y120" s="27" t="n"/>
    </row>
    <row r="121">
      <c r="A121" s="27" t="n"/>
      <c r="B121" s="27" t="n"/>
      <c r="C121" s="27" t="n"/>
      <c r="D121" s="27" t="n"/>
      <c r="E121" s="28" t="n"/>
      <c r="F121" s="28" t="n"/>
      <c r="G121" s="27" t="n"/>
      <c r="H121" s="29">
        <f>IF(G121="Invoice",IF(ISNUMBER(F121),F121,""),IF(ISNUMBER(E121),E121,""))</f>
        <v/>
      </c>
      <c r="I121" s="30" t="n"/>
      <c r="J121" s="29">
        <f>IF(AND(ISNUMBER(H121),ISNUMBER(I121)),EDATE(H121,I121),"")</f>
        <v/>
      </c>
      <c r="K121" s="30" t="n"/>
      <c r="L121" s="29">
        <f>IF(AND(ISNUMBER(H121),ISNUMBER(K121)),EDATE(H121,K121),"")</f>
        <v/>
      </c>
      <c r="M121" s="29">
        <f>IF(COUNT(J121,L121)=0,"",IF(MIN(J121,L121)&gt;=TODAY(),MIN(J121,L121),MAX(J121,L121)))</f>
        <v/>
      </c>
      <c r="N121" s="31">
        <f>IF(ISNUMBER(M121),M121-TODAY(),"")</f>
        <v/>
      </c>
      <c r="O121" s="30" t="n"/>
      <c r="P121" s="29">
        <f>IF(ISNUMBER(M121),M121-IF(ISNUMBER(O121),O121,60),"")</f>
        <v/>
      </c>
      <c r="Q121" s="27" t="n"/>
      <c r="R121" s="27" t="n"/>
      <c r="S121" s="27" t="n"/>
      <c r="T121" s="27" t="n"/>
      <c r="U121" s="27" t="n"/>
      <c r="V121" s="27" t="n"/>
      <c r="W121" s="27" t="n"/>
      <c r="X121" s="27" t="n"/>
      <c r="Y121" s="27" t="n"/>
    </row>
    <row r="122">
      <c r="A122" s="27" t="n"/>
      <c r="B122" s="27" t="n"/>
      <c r="C122" s="27" t="n"/>
      <c r="D122" s="27" t="n"/>
      <c r="E122" s="28" t="n"/>
      <c r="F122" s="28" t="n"/>
      <c r="G122" s="27" t="n"/>
      <c r="H122" s="29">
        <f>IF(G122="Invoice",IF(ISNUMBER(F122),F122,""),IF(ISNUMBER(E122),E122,""))</f>
        <v/>
      </c>
      <c r="I122" s="30" t="n"/>
      <c r="J122" s="29">
        <f>IF(AND(ISNUMBER(H122),ISNUMBER(I122)),EDATE(H122,I122),"")</f>
        <v/>
      </c>
      <c r="K122" s="30" t="n"/>
      <c r="L122" s="29">
        <f>IF(AND(ISNUMBER(H122),ISNUMBER(K122)),EDATE(H122,K122),"")</f>
        <v/>
      </c>
      <c r="M122" s="29">
        <f>IF(COUNT(J122,L122)=0,"",IF(MIN(J122,L122)&gt;=TODAY(),MIN(J122,L122),MAX(J122,L122)))</f>
        <v/>
      </c>
      <c r="N122" s="31">
        <f>IF(ISNUMBER(M122),M122-TODAY(),"")</f>
        <v/>
      </c>
      <c r="O122" s="30" t="n"/>
      <c r="P122" s="29">
        <f>IF(ISNUMBER(M122),M122-IF(ISNUMBER(O122),O122,60),"")</f>
        <v/>
      </c>
      <c r="Q122" s="27" t="n"/>
      <c r="R122" s="27" t="n"/>
      <c r="S122" s="27" t="n"/>
      <c r="T122" s="27" t="n"/>
      <c r="U122" s="27" t="n"/>
      <c r="V122" s="27" t="n"/>
      <c r="W122" s="27" t="n"/>
      <c r="X122" s="27" t="n"/>
      <c r="Y122" s="27" t="n"/>
    </row>
    <row r="123">
      <c r="A123" s="27" t="n"/>
      <c r="B123" s="27" t="n"/>
      <c r="C123" s="27" t="n"/>
      <c r="D123" s="27" t="n"/>
      <c r="E123" s="28" t="n"/>
      <c r="F123" s="28" t="n"/>
      <c r="G123" s="27" t="n"/>
      <c r="H123" s="29">
        <f>IF(G123="Invoice",IF(ISNUMBER(F123),F123,""),IF(ISNUMBER(E123),E123,""))</f>
        <v/>
      </c>
      <c r="I123" s="30" t="n"/>
      <c r="J123" s="29">
        <f>IF(AND(ISNUMBER(H123),ISNUMBER(I123)),EDATE(H123,I123),"")</f>
        <v/>
      </c>
      <c r="K123" s="30" t="n"/>
      <c r="L123" s="29">
        <f>IF(AND(ISNUMBER(H123),ISNUMBER(K123)),EDATE(H123,K123),"")</f>
        <v/>
      </c>
      <c r="M123" s="29">
        <f>IF(COUNT(J123,L123)=0,"",IF(MIN(J123,L123)&gt;=TODAY(),MIN(J123,L123),MAX(J123,L123)))</f>
        <v/>
      </c>
      <c r="N123" s="31">
        <f>IF(ISNUMBER(M123),M123-TODAY(),"")</f>
        <v/>
      </c>
      <c r="O123" s="30" t="n"/>
      <c r="P123" s="29">
        <f>IF(ISNUMBER(M123),M123-IF(ISNUMBER(O123),O123,60),"")</f>
        <v/>
      </c>
      <c r="Q123" s="27" t="n"/>
      <c r="R123" s="27" t="n"/>
      <c r="S123" s="27" t="n"/>
      <c r="T123" s="27" t="n"/>
      <c r="U123" s="27" t="n"/>
      <c r="V123" s="27" t="n"/>
      <c r="W123" s="27" t="n"/>
      <c r="X123" s="27" t="n"/>
      <c r="Y123" s="27" t="n"/>
    </row>
    <row r="124">
      <c r="A124" s="27" t="n"/>
      <c r="B124" s="27" t="n"/>
      <c r="C124" s="27" t="n"/>
      <c r="D124" s="27" t="n"/>
      <c r="E124" s="28" t="n"/>
      <c r="F124" s="28" t="n"/>
      <c r="G124" s="27" t="n"/>
      <c r="H124" s="29">
        <f>IF(G124="Invoice",IF(ISNUMBER(F124),F124,""),IF(ISNUMBER(E124),E124,""))</f>
        <v/>
      </c>
      <c r="I124" s="30" t="n"/>
      <c r="J124" s="29">
        <f>IF(AND(ISNUMBER(H124),ISNUMBER(I124)),EDATE(H124,I124),"")</f>
        <v/>
      </c>
      <c r="K124" s="30" t="n"/>
      <c r="L124" s="29">
        <f>IF(AND(ISNUMBER(H124),ISNUMBER(K124)),EDATE(H124,K124),"")</f>
        <v/>
      </c>
      <c r="M124" s="29">
        <f>IF(COUNT(J124,L124)=0,"",IF(MIN(J124,L124)&gt;=TODAY(),MIN(J124,L124),MAX(J124,L124)))</f>
        <v/>
      </c>
      <c r="N124" s="31">
        <f>IF(ISNUMBER(M124),M124-TODAY(),"")</f>
        <v/>
      </c>
      <c r="O124" s="30" t="n"/>
      <c r="P124" s="29">
        <f>IF(ISNUMBER(M124),M124-IF(ISNUMBER(O124),O124,60),"")</f>
        <v/>
      </c>
      <c r="Q124" s="27" t="n"/>
      <c r="R124" s="27" t="n"/>
      <c r="S124" s="27" t="n"/>
      <c r="T124" s="27" t="n"/>
      <c r="U124" s="27" t="n"/>
      <c r="V124" s="27" t="n"/>
      <c r="W124" s="27" t="n"/>
      <c r="X124" s="27" t="n"/>
      <c r="Y124" s="27" t="n"/>
    </row>
    <row r="125">
      <c r="A125" s="27" t="n"/>
      <c r="B125" s="27" t="n"/>
      <c r="C125" s="27" t="n"/>
      <c r="D125" s="27" t="n"/>
      <c r="E125" s="28" t="n"/>
      <c r="F125" s="28" t="n"/>
      <c r="G125" s="27" t="n"/>
      <c r="H125" s="29">
        <f>IF(G125="Invoice",IF(ISNUMBER(F125),F125,""),IF(ISNUMBER(E125),E125,""))</f>
        <v/>
      </c>
      <c r="I125" s="30" t="n"/>
      <c r="J125" s="29">
        <f>IF(AND(ISNUMBER(H125),ISNUMBER(I125)),EDATE(H125,I125),"")</f>
        <v/>
      </c>
      <c r="K125" s="30" t="n"/>
      <c r="L125" s="29">
        <f>IF(AND(ISNUMBER(H125),ISNUMBER(K125)),EDATE(H125,K125),"")</f>
        <v/>
      </c>
      <c r="M125" s="29">
        <f>IF(COUNT(J125,L125)=0,"",IF(MIN(J125,L125)&gt;=TODAY(),MIN(J125,L125),MAX(J125,L125)))</f>
        <v/>
      </c>
      <c r="N125" s="31">
        <f>IF(ISNUMBER(M125),M125-TODAY(),"")</f>
        <v/>
      </c>
      <c r="O125" s="30" t="n"/>
      <c r="P125" s="29">
        <f>IF(ISNUMBER(M125),M125-IF(ISNUMBER(O125),O125,60),"")</f>
        <v/>
      </c>
      <c r="Q125" s="27" t="n"/>
      <c r="R125" s="27" t="n"/>
      <c r="S125" s="27" t="n"/>
      <c r="T125" s="27" t="n"/>
      <c r="U125" s="27" t="n"/>
      <c r="V125" s="27" t="n"/>
      <c r="W125" s="27" t="n"/>
      <c r="X125" s="27" t="n"/>
      <c r="Y125" s="27" t="n"/>
    </row>
    <row r="126">
      <c r="A126" s="27" t="n"/>
      <c r="B126" s="27" t="n"/>
      <c r="C126" s="27" t="n"/>
      <c r="D126" s="27" t="n"/>
      <c r="E126" s="28" t="n"/>
      <c r="F126" s="28" t="n"/>
      <c r="G126" s="27" t="n"/>
      <c r="H126" s="29">
        <f>IF(G126="Invoice",IF(ISNUMBER(F126),F126,""),IF(ISNUMBER(E126),E126,""))</f>
        <v/>
      </c>
      <c r="I126" s="30" t="n"/>
      <c r="J126" s="29">
        <f>IF(AND(ISNUMBER(H126),ISNUMBER(I126)),EDATE(H126,I126),"")</f>
        <v/>
      </c>
      <c r="K126" s="30" t="n"/>
      <c r="L126" s="29">
        <f>IF(AND(ISNUMBER(H126),ISNUMBER(K126)),EDATE(H126,K126),"")</f>
        <v/>
      </c>
      <c r="M126" s="29">
        <f>IF(COUNT(J126,L126)=0,"",IF(MIN(J126,L126)&gt;=TODAY(),MIN(J126,L126),MAX(J126,L126)))</f>
        <v/>
      </c>
      <c r="N126" s="31">
        <f>IF(ISNUMBER(M126),M126-TODAY(),"")</f>
        <v/>
      </c>
      <c r="O126" s="30" t="n"/>
      <c r="P126" s="29">
        <f>IF(ISNUMBER(M126),M126-IF(ISNUMBER(O126),O126,60),"")</f>
        <v/>
      </c>
      <c r="Q126" s="27" t="n"/>
      <c r="R126" s="27" t="n"/>
      <c r="S126" s="27" t="n"/>
      <c r="T126" s="27" t="n"/>
      <c r="U126" s="27" t="n"/>
      <c r="V126" s="27" t="n"/>
      <c r="W126" s="27" t="n"/>
      <c r="X126" s="27" t="n"/>
      <c r="Y126" s="27" t="n"/>
    </row>
    <row r="127">
      <c r="A127" s="27" t="n"/>
      <c r="B127" s="27" t="n"/>
      <c r="C127" s="27" t="n"/>
      <c r="D127" s="27" t="n"/>
      <c r="E127" s="28" t="n"/>
      <c r="F127" s="28" t="n"/>
      <c r="G127" s="27" t="n"/>
      <c r="H127" s="29">
        <f>IF(G127="Invoice",IF(ISNUMBER(F127),F127,""),IF(ISNUMBER(E127),E127,""))</f>
        <v/>
      </c>
      <c r="I127" s="30" t="n"/>
      <c r="J127" s="29">
        <f>IF(AND(ISNUMBER(H127),ISNUMBER(I127)),EDATE(H127,I127),"")</f>
        <v/>
      </c>
      <c r="K127" s="30" t="n"/>
      <c r="L127" s="29">
        <f>IF(AND(ISNUMBER(H127),ISNUMBER(K127)),EDATE(H127,K127),"")</f>
        <v/>
      </c>
      <c r="M127" s="29">
        <f>IF(COUNT(J127,L127)=0,"",IF(MIN(J127,L127)&gt;=TODAY(),MIN(J127,L127),MAX(J127,L127)))</f>
        <v/>
      </c>
      <c r="N127" s="31">
        <f>IF(ISNUMBER(M127),M127-TODAY(),"")</f>
        <v/>
      </c>
      <c r="O127" s="30" t="n"/>
      <c r="P127" s="29">
        <f>IF(ISNUMBER(M127),M127-IF(ISNUMBER(O127),O127,60),"")</f>
        <v/>
      </c>
      <c r="Q127" s="27" t="n"/>
      <c r="R127" s="27" t="n"/>
      <c r="S127" s="27" t="n"/>
      <c r="T127" s="27" t="n"/>
      <c r="U127" s="27" t="n"/>
      <c r="V127" s="27" t="n"/>
      <c r="W127" s="27" t="n"/>
      <c r="X127" s="27" t="n"/>
      <c r="Y127" s="27" t="n"/>
    </row>
    <row r="128">
      <c r="A128" s="27" t="n"/>
      <c r="B128" s="27" t="n"/>
      <c r="C128" s="27" t="n"/>
      <c r="D128" s="27" t="n"/>
      <c r="E128" s="28" t="n"/>
      <c r="F128" s="28" t="n"/>
      <c r="G128" s="27" t="n"/>
      <c r="H128" s="29">
        <f>IF(G128="Invoice",IF(ISNUMBER(F128),F128,""),IF(ISNUMBER(E128),E128,""))</f>
        <v/>
      </c>
      <c r="I128" s="30" t="n"/>
      <c r="J128" s="29">
        <f>IF(AND(ISNUMBER(H128),ISNUMBER(I128)),EDATE(H128,I128),"")</f>
        <v/>
      </c>
      <c r="K128" s="30" t="n"/>
      <c r="L128" s="29">
        <f>IF(AND(ISNUMBER(H128),ISNUMBER(K128)),EDATE(H128,K128),"")</f>
        <v/>
      </c>
      <c r="M128" s="29">
        <f>IF(COUNT(J128,L128)=0,"",IF(MIN(J128,L128)&gt;=TODAY(),MIN(J128,L128),MAX(J128,L128)))</f>
        <v/>
      </c>
      <c r="N128" s="31">
        <f>IF(ISNUMBER(M128),M128-TODAY(),"")</f>
        <v/>
      </c>
      <c r="O128" s="30" t="n"/>
      <c r="P128" s="29">
        <f>IF(ISNUMBER(M128),M128-IF(ISNUMBER(O128),O128,60),"")</f>
        <v/>
      </c>
      <c r="Q128" s="27" t="n"/>
      <c r="R128" s="27" t="n"/>
      <c r="S128" s="27" t="n"/>
      <c r="T128" s="27" t="n"/>
      <c r="U128" s="27" t="n"/>
      <c r="V128" s="27" t="n"/>
      <c r="W128" s="27" t="n"/>
      <c r="X128" s="27" t="n"/>
      <c r="Y128" s="27" t="n"/>
    </row>
    <row r="129">
      <c r="A129" s="27" t="n"/>
      <c r="B129" s="27" t="n"/>
      <c r="C129" s="27" t="n"/>
      <c r="D129" s="27" t="n"/>
      <c r="E129" s="28" t="n"/>
      <c r="F129" s="28" t="n"/>
      <c r="G129" s="27" t="n"/>
      <c r="H129" s="29">
        <f>IF(G129="Invoice",IF(ISNUMBER(F129),F129,""),IF(ISNUMBER(E129),E129,""))</f>
        <v/>
      </c>
      <c r="I129" s="30" t="n"/>
      <c r="J129" s="29">
        <f>IF(AND(ISNUMBER(H129),ISNUMBER(I129)),EDATE(H129,I129),"")</f>
        <v/>
      </c>
      <c r="K129" s="30" t="n"/>
      <c r="L129" s="29">
        <f>IF(AND(ISNUMBER(H129),ISNUMBER(K129)),EDATE(H129,K129),"")</f>
        <v/>
      </c>
      <c r="M129" s="29">
        <f>IF(COUNT(J129,L129)=0,"",IF(MIN(J129,L129)&gt;=TODAY(),MIN(J129,L129),MAX(J129,L129)))</f>
        <v/>
      </c>
      <c r="N129" s="31">
        <f>IF(ISNUMBER(M129),M129-TODAY(),"")</f>
        <v/>
      </c>
      <c r="O129" s="30" t="n"/>
      <c r="P129" s="29">
        <f>IF(ISNUMBER(M129),M129-IF(ISNUMBER(O129),O129,60),"")</f>
        <v/>
      </c>
      <c r="Q129" s="27" t="n"/>
      <c r="R129" s="27" t="n"/>
      <c r="S129" s="27" t="n"/>
      <c r="T129" s="27" t="n"/>
      <c r="U129" s="27" t="n"/>
      <c r="V129" s="27" t="n"/>
      <c r="W129" s="27" t="n"/>
      <c r="X129" s="27" t="n"/>
      <c r="Y129" s="27" t="n"/>
    </row>
    <row r="130">
      <c r="A130" s="27" t="n"/>
      <c r="B130" s="27" t="n"/>
      <c r="C130" s="27" t="n"/>
      <c r="D130" s="27" t="n"/>
      <c r="E130" s="28" t="n"/>
      <c r="F130" s="28" t="n"/>
      <c r="G130" s="27" t="n"/>
      <c r="H130" s="29">
        <f>IF(G130="Invoice",IF(ISNUMBER(F130),F130,""),IF(ISNUMBER(E130),E130,""))</f>
        <v/>
      </c>
      <c r="I130" s="30" t="n"/>
      <c r="J130" s="29">
        <f>IF(AND(ISNUMBER(H130),ISNUMBER(I130)),EDATE(H130,I130),"")</f>
        <v/>
      </c>
      <c r="K130" s="30" t="n"/>
      <c r="L130" s="29">
        <f>IF(AND(ISNUMBER(H130),ISNUMBER(K130)),EDATE(H130,K130),"")</f>
        <v/>
      </c>
      <c r="M130" s="29">
        <f>IF(COUNT(J130,L130)=0,"",IF(MIN(J130,L130)&gt;=TODAY(),MIN(J130,L130),MAX(J130,L130)))</f>
        <v/>
      </c>
      <c r="N130" s="31">
        <f>IF(ISNUMBER(M130),M130-TODAY(),"")</f>
        <v/>
      </c>
      <c r="O130" s="30" t="n"/>
      <c r="P130" s="29">
        <f>IF(ISNUMBER(M130),M130-IF(ISNUMBER(O130),O130,60),"")</f>
        <v/>
      </c>
      <c r="Q130" s="27" t="n"/>
      <c r="R130" s="27" t="n"/>
      <c r="S130" s="27" t="n"/>
      <c r="T130" s="27" t="n"/>
      <c r="U130" s="27" t="n"/>
      <c r="V130" s="27" t="n"/>
      <c r="W130" s="27" t="n"/>
      <c r="X130" s="27" t="n"/>
      <c r="Y130" s="27" t="n"/>
    </row>
    <row r="131">
      <c r="A131" s="27" t="n"/>
      <c r="B131" s="27" t="n"/>
      <c r="C131" s="27" t="n"/>
      <c r="D131" s="27" t="n"/>
      <c r="E131" s="28" t="n"/>
      <c r="F131" s="28" t="n"/>
      <c r="G131" s="27" t="n"/>
      <c r="H131" s="29">
        <f>IF(G131="Invoice",IF(ISNUMBER(F131),F131,""),IF(ISNUMBER(E131),E131,""))</f>
        <v/>
      </c>
      <c r="I131" s="30" t="n"/>
      <c r="J131" s="29">
        <f>IF(AND(ISNUMBER(H131),ISNUMBER(I131)),EDATE(H131,I131),"")</f>
        <v/>
      </c>
      <c r="K131" s="30" t="n"/>
      <c r="L131" s="29">
        <f>IF(AND(ISNUMBER(H131),ISNUMBER(K131)),EDATE(H131,K131),"")</f>
        <v/>
      </c>
      <c r="M131" s="29">
        <f>IF(COUNT(J131,L131)=0,"",IF(MIN(J131,L131)&gt;=TODAY(),MIN(J131,L131),MAX(J131,L131)))</f>
        <v/>
      </c>
      <c r="N131" s="31">
        <f>IF(ISNUMBER(M131),M131-TODAY(),"")</f>
        <v/>
      </c>
      <c r="O131" s="30" t="n"/>
      <c r="P131" s="29">
        <f>IF(ISNUMBER(M131),M131-IF(ISNUMBER(O131),O131,60),"")</f>
        <v/>
      </c>
      <c r="Q131" s="27" t="n"/>
      <c r="R131" s="27" t="n"/>
      <c r="S131" s="27" t="n"/>
      <c r="T131" s="27" t="n"/>
      <c r="U131" s="27" t="n"/>
      <c r="V131" s="27" t="n"/>
      <c r="W131" s="27" t="n"/>
      <c r="X131" s="27" t="n"/>
      <c r="Y131" s="27" t="n"/>
    </row>
    <row r="132">
      <c r="A132" s="27" t="n"/>
      <c r="B132" s="27" t="n"/>
      <c r="C132" s="27" t="n"/>
      <c r="D132" s="27" t="n"/>
      <c r="E132" s="28" t="n"/>
      <c r="F132" s="28" t="n"/>
      <c r="G132" s="27" t="n"/>
      <c r="H132" s="29">
        <f>IF(G132="Invoice",IF(ISNUMBER(F132),F132,""),IF(ISNUMBER(E132),E132,""))</f>
        <v/>
      </c>
      <c r="I132" s="30" t="n"/>
      <c r="J132" s="29">
        <f>IF(AND(ISNUMBER(H132),ISNUMBER(I132)),EDATE(H132,I132),"")</f>
        <v/>
      </c>
      <c r="K132" s="30" t="n"/>
      <c r="L132" s="29">
        <f>IF(AND(ISNUMBER(H132),ISNUMBER(K132)),EDATE(H132,K132),"")</f>
        <v/>
      </c>
      <c r="M132" s="29">
        <f>IF(COUNT(J132,L132)=0,"",IF(MIN(J132,L132)&gt;=TODAY(),MIN(J132,L132),MAX(J132,L132)))</f>
        <v/>
      </c>
      <c r="N132" s="31">
        <f>IF(ISNUMBER(M132),M132-TODAY(),"")</f>
        <v/>
      </c>
      <c r="O132" s="30" t="n"/>
      <c r="P132" s="29">
        <f>IF(ISNUMBER(M132),M132-IF(ISNUMBER(O132),O132,60),"")</f>
        <v/>
      </c>
      <c r="Q132" s="27" t="n"/>
      <c r="R132" s="27" t="n"/>
      <c r="S132" s="27" t="n"/>
      <c r="T132" s="27" t="n"/>
      <c r="U132" s="27" t="n"/>
      <c r="V132" s="27" t="n"/>
      <c r="W132" s="27" t="n"/>
      <c r="X132" s="27" t="n"/>
      <c r="Y132" s="27" t="n"/>
    </row>
    <row r="133">
      <c r="A133" s="27" t="n"/>
      <c r="B133" s="27" t="n"/>
      <c r="C133" s="27" t="n"/>
      <c r="D133" s="27" t="n"/>
      <c r="E133" s="28" t="n"/>
      <c r="F133" s="28" t="n"/>
      <c r="G133" s="27" t="n"/>
      <c r="H133" s="29">
        <f>IF(G133="Invoice",IF(ISNUMBER(F133),F133,""),IF(ISNUMBER(E133),E133,""))</f>
        <v/>
      </c>
      <c r="I133" s="30" t="n"/>
      <c r="J133" s="29">
        <f>IF(AND(ISNUMBER(H133),ISNUMBER(I133)),EDATE(H133,I133),"")</f>
        <v/>
      </c>
      <c r="K133" s="30" t="n"/>
      <c r="L133" s="29">
        <f>IF(AND(ISNUMBER(H133),ISNUMBER(K133)),EDATE(H133,K133),"")</f>
        <v/>
      </c>
      <c r="M133" s="29">
        <f>IF(COUNT(J133,L133)=0,"",IF(MIN(J133,L133)&gt;=TODAY(),MIN(J133,L133),MAX(J133,L133)))</f>
        <v/>
      </c>
      <c r="N133" s="31">
        <f>IF(ISNUMBER(M133),M133-TODAY(),"")</f>
        <v/>
      </c>
      <c r="O133" s="30" t="n"/>
      <c r="P133" s="29">
        <f>IF(ISNUMBER(M133),M133-IF(ISNUMBER(O133),O133,60),"")</f>
        <v/>
      </c>
      <c r="Q133" s="27" t="n"/>
      <c r="R133" s="27" t="n"/>
      <c r="S133" s="27" t="n"/>
      <c r="T133" s="27" t="n"/>
      <c r="U133" s="27" t="n"/>
      <c r="V133" s="27" t="n"/>
      <c r="W133" s="27" t="n"/>
      <c r="X133" s="27" t="n"/>
      <c r="Y133" s="27" t="n"/>
    </row>
    <row r="134">
      <c r="A134" s="27" t="n"/>
      <c r="B134" s="27" t="n"/>
      <c r="C134" s="27" t="n"/>
      <c r="D134" s="27" t="n"/>
      <c r="E134" s="28" t="n"/>
      <c r="F134" s="28" t="n"/>
      <c r="G134" s="27" t="n"/>
      <c r="H134" s="29">
        <f>IF(G134="Invoice",IF(ISNUMBER(F134),F134,""),IF(ISNUMBER(E134),E134,""))</f>
        <v/>
      </c>
      <c r="I134" s="30" t="n"/>
      <c r="J134" s="29">
        <f>IF(AND(ISNUMBER(H134),ISNUMBER(I134)),EDATE(H134,I134),"")</f>
        <v/>
      </c>
      <c r="K134" s="30" t="n"/>
      <c r="L134" s="29">
        <f>IF(AND(ISNUMBER(H134),ISNUMBER(K134)),EDATE(H134,K134),"")</f>
        <v/>
      </c>
      <c r="M134" s="29">
        <f>IF(COUNT(J134,L134)=0,"",IF(MIN(J134,L134)&gt;=TODAY(),MIN(J134,L134),MAX(J134,L134)))</f>
        <v/>
      </c>
      <c r="N134" s="31">
        <f>IF(ISNUMBER(M134),M134-TODAY(),"")</f>
        <v/>
      </c>
      <c r="O134" s="30" t="n"/>
      <c r="P134" s="29">
        <f>IF(ISNUMBER(M134),M134-IF(ISNUMBER(O134),O134,60),"")</f>
        <v/>
      </c>
      <c r="Q134" s="27" t="n"/>
      <c r="R134" s="27" t="n"/>
      <c r="S134" s="27" t="n"/>
      <c r="T134" s="27" t="n"/>
      <c r="U134" s="27" t="n"/>
      <c r="V134" s="27" t="n"/>
      <c r="W134" s="27" t="n"/>
      <c r="X134" s="27" t="n"/>
      <c r="Y134" s="27" t="n"/>
    </row>
    <row r="135">
      <c r="A135" s="27" t="n"/>
      <c r="B135" s="27" t="n"/>
      <c r="C135" s="27" t="n"/>
      <c r="D135" s="27" t="n"/>
      <c r="E135" s="28" t="n"/>
      <c r="F135" s="28" t="n"/>
      <c r="G135" s="27" t="n"/>
      <c r="H135" s="29">
        <f>IF(G135="Invoice",IF(ISNUMBER(F135),F135,""),IF(ISNUMBER(E135),E135,""))</f>
        <v/>
      </c>
      <c r="I135" s="30" t="n"/>
      <c r="J135" s="29">
        <f>IF(AND(ISNUMBER(H135),ISNUMBER(I135)),EDATE(H135,I135),"")</f>
        <v/>
      </c>
      <c r="K135" s="30" t="n"/>
      <c r="L135" s="29">
        <f>IF(AND(ISNUMBER(H135),ISNUMBER(K135)),EDATE(H135,K135),"")</f>
        <v/>
      </c>
      <c r="M135" s="29">
        <f>IF(COUNT(J135,L135)=0,"",IF(MIN(J135,L135)&gt;=TODAY(),MIN(J135,L135),MAX(J135,L135)))</f>
        <v/>
      </c>
      <c r="N135" s="31">
        <f>IF(ISNUMBER(M135),M135-TODAY(),"")</f>
        <v/>
      </c>
      <c r="O135" s="30" t="n"/>
      <c r="P135" s="29">
        <f>IF(ISNUMBER(M135),M135-IF(ISNUMBER(O135),O135,60),"")</f>
        <v/>
      </c>
      <c r="Q135" s="27" t="n"/>
      <c r="R135" s="27" t="n"/>
      <c r="S135" s="27" t="n"/>
      <c r="T135" s="27" t="n"/>
      <c r="U135" s="27" t="n"/>
      <c r="V135" s="27" t="n"/>
      <c r="W135" s="27" t="n"/>
      <c r="X135" s="27" t="n"/>
      <c r="Y135" s="27" t="n"/>
    </row>
    <row r="136">
      <c r="A136" s="27" t="n"/>
      <c r="B136" s="27" t="n"/>
      <c r="C136" s="27" t="n"/>
      <c r="D136" s="27" t="n"/>
      <c r="E136" s="28" t="n"/>
      <c r="F136" s="28" t="n"/>
      <c r="G136" s="27" t="n"/>
      <c r="H136" s="29">
        <f>IF(G136="Invoice",IF(ISNUMBER(F136),F136,""),IF(ISNUMBER(E136),E136,""))</f>
        <v/>
      </c>
      <c r="I136" s="30" t="n"/>
      <c r="J136" s="29">
        <f>IF(AND(ISNUMBER(H136),ISNUMBER(I136)),EDATE(H136,I136),"")</f>
        <v/>
      </c>
      <c r="K136" s="30" t="n"/>
      <c r="L136" s="29">
        <f>IF(AND(ISNUMBER(H136),ISNUMBER(K136)),EDATE(H136,K136),"")</f>
        <v/>
      </c>
      <c r="M136" s="29">
        <f>IF(COUNT(J136,L136)=0,"",IF(MIN(J136,L136)&gt;=TODAY(),MIN(J136,L136),MAX(J136,L136)))</f>
        <v/>
      </c>
      <c r="N136" s="31">
        <f>IF(ISNUMBER(M136),M136-TODAY(),"")</f>
        <v/>
      </c>
      <c r="O136" s="30" t="n"/>
      <c r="P136" s="29">
        <f>IF(ISNUMBER(M136),M136-IF(ISNUMBER(O136),O136,60),"")</f>
        <v/>
      </c>
      <c r="Q136" s="27" t="n"/>
      <c r="R136" s="27" t="n"/>
      <c r="S136" s="27" t="n"/>
      <c r="T136" s="27" t="n"/>
      <c r="U136" s="27" t="n"/>
      <c r="V136" s="27" t="n"/>
      <c r="W136" s="27" t="n"/>
      <c r="X136" s="27" t="n"/>
      <c r="Y136" s="27" t="n"/>
    </row>
    <row r="137">
      <c r="A137" s="27" t="n"/>
      <c r="B137" s="27" t="n"/>
      <c r="C137" s="27" t="n"/>
      <c r="D137" s="27" t="n"/>
      <c r="E137" s="28" t="n"/>
      <c r="F137" s="28" t="n"/>
      <c r="G137" s="27" t="n"/>
      <c r="H137" s="29">
        <f>IF(G137="Invoice",IF(ISNUMBER(F137),F137,""),IF(ISNUMBER(E137),E137,""))</f>
        <v/>
      </c>
      <c r="I137" s="30" t="n"/>
      <c r="J137" s="29">
        <f>IF(AND(ISNUMBER(H137),ISNUMBER(I137)),EDATE(H137,I137),"")</f>
        <v/>
      </c>
      <c r="K137" s="30" t="n"/>
      <c r="L137" s="29">
        <f>IF(AND(ISNUMBER(H137),ISNUMBER(K137)),EDATE(H137,K137),"")</f>
        <v/>
      </c>
      <c r="M137" s="29">
        <f>IF(COUNT(J137,L137)=0,"",IF(MIN(J137,L137)&gt;=TODAY(),MIN(J137,L137),MAX(J137,L137)))</f>
        <v/>
      </c>
      <c r="N137" s="31">
        <f>IF(ISNUMBER(M137),M137-TODAY(),"")</f>
        <v/>
      </c>
      <c r="O137" s="30" t="n"/>
      <c r="P137" s="29">
        <f>IF(ISNUMBER(M137),M137-IF(ISNUMBER(O137),O137,60),"")</f>
        <v/>
      </c>
      <c r="Q137" s="27" t="n"/>
      <c r="R137" s="27" t="n"/>
      <c r="S137" s="27" t="n"/>
      <c r="T137" s="27" t="n"/>
      <c r="U137" s="27" t="n"/>
      <c r="V137" s="27" t="n"/>
      <c r="W137" s="27" t="n"/>
      <c r="X137" s="27" t="n"/>
      <c r="Y137" s="27" t="n"/>
    </row>
    <row r="138">
      <c r="A138" s="27" t="n"/>
      <c r="B138" s="27" t="n"/>
      <c r="C138" s="27" t="n"/>
      <c r="D138" s="27" t="n"/>
      <c r="E138" s="28" t="n"/>
      <c r="F138" s="28" t="n"/>
      <c r="G138" s="27" t="n"/>
      <c r="H138" s="29">
        <f>IF(G138="Invoice",IF(ISNUMBER(F138),F138,""),IF(ISNUMBER(E138),E138,""))</f>
        <v/>
      </c>
      <c r="I138" s="30" t="n"/>
      <c r="J138" s="29">
        <f>IF(AND(ISNUMBER(H138),ISNUMBER(I138)),EDATE(H138,I138),"")</f>
        <v/>
      </c>
      <c r="K138" s="30" t="n"/>
      <c r="L138" s="29">
        <f>IF(AND(ISNUMBER(H138),ISNUMBER(K138)),EDATE(H138,K138),"")</f>
        <v/>
      </c>
      <c r="M138" s="29">
        <f>IF(COUNT(J138,L138)=0,"",IF(MIN(J138,L138)&gt;=TODAY(),MIN(J138,L138),MAX(J138,L138)))</f>
        <v/>
      </c>
      <c r="N138" s="31">
        <f>IF(ISNUMBER(M138),M138-TODAY(),"")</f>
        <v/>
      </c>
      <c r="O138" s="30" t="n"/>
      <c r="P138" s="29">
        <f>IF(ISNUMBER(M138),M138-IF(ISNUMBER(O138),O138,60),"")</f>
        <v/>
      </c>
      <c r="Q138" s="27" t="n"/>
      <c r="R138" s="27" t="n"/>
      <c r="S138" s="27" t="n"/>
      <c r="T138" s="27" t="n"/>
      <c r="U138" s="27" t="n"/>
      <c r="V138" s="27" t="n"/>
      <c r="W138" s="27" t="n"/>
      <c r="X138" s="27" t="n"/>
      <c r="Y138" s="27" t="n"/>
    </row>
    <row r="139">
      <c r="A139" s="27" t="n"/>
      <c r="B139" s="27" t="n"/>
      <c r="C139" s="27" t="n"/>
      <c r="D139" s="27" t="n"/>
      <c r="E139" s="28" t="n"/>
      <c r="F139" s="28" t="n"/>
      <c r="G139" s="27" t="n"/>
      <c r="H139" s="29">
        <f>IF(G139="Invoice",IF(ISNUMBER(F139),F139,""),IF(ISNUMBER(E139),E139,""))</f>
        <v/>
      </c>
      <c r="I139" s="30" t="n"/>
      <c r="J139" s="29">
        <f>IF(AND(ISNUMBER(H139),ISNUMBER(I139)),EDATE(H139,I139),"")</f>
        <v/>
      </c>
      <c r="K139" s="30" t="n"/>
      <c r="L139" s="29">
        <f>IF(AND(ISNUMBER(H139),ISNUMBER(K139)),EDATE(H139,K139),"")</f>
        <v/>
      </c>
      <c r="M139" s="29">
        <f>IF(COUNT(J139,L139)=0,"",IF(MIN(J139,L139)&gt;=TODAY(),MIN(J139,L139),MAX(J139,L139)))</f>
        <v/>
      </c>
      <c r="N139" s="31">
        <f>IF(ISNUMBER(M139),M139-TODAY(),"")</f>
        <v/>
      </c>
      <c r="O139" s="30" t="n"/>
      <c r="P139" s="29">
        <f>IF(ISNUMBER(M139),M139-IF(ISNUMBER(O139),O139,60),"")</f>
        <v/>
      </c>
      <c r="Q139" s="27" t="n"/>
      <c r="R139" s="27" t="n"/>
      <c r="S139" s="27" t="n"/>
      <c r="T139" s="27" t="n"/>
      <c r="U139" s="27" t="n"/>
      <c r="V139" s="27" t="n"/>
      <c r="W139" s="27" t="n"/>
      <c r="X139" s="27" t="n"/>
      <c r="Y139" s="27" t="n"/>
    </row>
    <row r="140">
      <c r="A140" s="27" t="n"/>
      <c r="B140" s="27" t="n"/>
      <c r="C140" s="27" t="n"/>
      <c r="D140" s="27" t="n"/>
      <c r="E140" s="28" t="n"/>
      <c r="F140" s="28" t="n"/>
      <c r="G140" s="27" t="n"/>
      <c r="H140" s="29">
        <f>IF(G140="Invoice",IF(ISNUMBER(F140),F140,""),IF(ISNUMBER(E140),E140,""))</f>
        <v/>
      </c>
      <c r="I140" s="30" t="n"/>
      <c r="J140" s="29">
        <f>IF(AND(ISNUMBER(H140),ISNUMBER(I140)),EDATE(H140,I140),"")</f>
        <v/>
      </c>
      <c r="K140" s="30" t="n"/>
      <c r="L140" s="29">
        <f>IF(AND(ISNUMBER(H140),ISNUMBER(K140)),EDATE(H140,K140),"")</f>
        <v/>
      </c>
      <c r="M140" s="29">
        <f>IF(COUNT(J140,L140)=0,"",IF(MIN(J140,L140)&gt;=TODAY(),MIN(J140,L140),MAX(J140,L140)))</f>
        <v/>
      </c>
      <c r="N140" s="31">
        <f>IF(ISNUMBER(M140),M140-TODAY(),"")</f>
        <v/>
      </c>
      <c r="O140" s="30" t="n"/>
      <c r="P140" s="29">
        <f>IF(ISNUMBER(M140),M140-IF(ISNUMBER(O140),O140,60),"")</f>
        <v/>
      </c>
      <c r="Q140" s="27" t="n"/>
      <c r="R140" s="27" t="n"/>
      <c r="S140" s="27" t="n"/>
      <c r="T140" s="27" t="n"/>
      <c r="U140" s="27" t="n"/>
      <c r="V140" s="27" t="n"/>
      <c r="W140" s="27" t="n"/>
      <c r="X140" s="27" t="n"/>
      <c r="Y140" s="27" t="n"/>
    </row>
    <row r="141">
      <c r="A141" s="27" t="n"/>
      <c r="B141" s="27" t="n"/>
      <c r="C141" s="27" t="n"/>
      <c r="D141" s="27" t="n"/>
      <c r="E141" s="28" t="n"/>
      <c r="F141" s="28" t="n"/>
      <c r="G141" s="27" t="n"/>
      <c r="H141" s="29">
        <f>IF(G141="Invoice",IF(ISNUMBER(F141),F141,""),IF(ISNUMBER(E141),E141,""))</f>
        <v/>
      </c>
      <c r="I141" s="30" t="n"/>
      <c r="J141" s="29">
        <f>IF(AND(ISNUMBER(H141),ISNUMBER(I141)),EDATE(H141,I141),"")</f>
        <v/>
      </c>
      <c r="K141" s="30" t="n"/>
      <c r="L141" s="29">
        <f>IF(AND(ISNUMBER(H141),ISNUMBER(K141)),EDATE(H141,K141),"")</f>
        <v/>
      </c>
      <c r="M141" s="29">
        <f>IF(COUNT(J141,L141)=0,"",IF(MIN(J141,L141)&gt;=TODAY(),MIN(J141,L141),MAX(J141,L141)))</f>
        <v/>
      </c>
      <c r="N141" s="31">
        <f>IF(ISNUMBER(M141),M141-TODAY(),"")</f>
        <v/>
      </c>
      <c r="O141" s="30" t="n"/>
      <c r="P141" s="29">
        <f>IF(ISNUMBER(M141),M141-IF(ISNUMBER(O141),O141,60),"")</f>
        <v/>
      </c>
      <c r="Q141" s="27" t="n"/>
      <c r="R141" s="27" t="n"/>
      <c r="S141" s="27" t="n"/>
      <c r="T141" s="27" t="n"/>
      <c r="U141" s="27" t="n"/>
      <c r="V141" s="27" t="n"/>
      <c r="W141" s="27" t="n"/>
      <c r="X141" s="27" t="n"/>
      <c r="Y141" s="27" t="n"/>
    </row>
    <row r="142">
      <c r="A142" s="27" t="n"/>
      <c r="B142" s="27" t="n"/>
      <c r="C142" s="27" t="n"/>
      <c r="D142" s="27" t="n"/>
      <c r="E142" s="28" t="n"/>
      <c r="F142" s="28" t="n"/>
      <c r="G142" s="27" t="n"/>
      <c r="H142" s="29">
        <f>IF(G142="Invoice",IF(ISNUMBER(F142),F142,""),IF(ISNUMBER(E142),E142,""))</f>
        <v/>
      </c>
      <c r="I142" s="30" t="n"/>
      <c r="J142" s="29">
        <f>IF(AND(ISNUMBER(H142),ISNUMBER(I142)),EDATE(H142,I142),"")</f>
        <v/>
      </c>
      <c r="K142" s="30" t="n"/>
      <c r="L142" s="29">
        <f>IF(AND(ISNUMBER(H142),ISNUMBER(K142)),EDATE(H142,K142),"")</f>
        <v/>
      </c>
      <c r="M142" s="29">
        <f>IF(COUNT(J142,L142)=0,"",IF(MIN(J142,L142)&gt;=TODAY(),MIN(J142,L142),MAX(J142,L142)))</f>
        <v/>
      </c>
      <c r="N142" s="31">
        <f>IF(ISNUMBER(M142),M142-TODAY(),"")</f>
        <v/>
      </c>
      <c r="O142" s="30" t="n"/>
      <c r="P142" s="29">
        <f>IF(ISNUMBER(M142),M142-IF(ISNUMBER(O142),O142,60),"")</f>
        <v/>
      </c>
      <c r="Q142" s="27" t="n"/>
      <c r="R142" s="27" t="n"/>
      <c r="S142" s="27" t="n"/>
      <c r="T142" s="27" t="n"/>
      <c r="U142" s="27" t="n"/>
      <c r="V142" s="27" t="n"/>
      <c r="W142" s="27" t="n"/>
      <c r="X142" s="27" t="n"/>
      <c r="Y142" s="27" t="n"/>
    </row>
    <row r="143">
      <c r="A143" s="27" t="n"/>
      <c r="B143" s="27" t="n"/>
      <c r="C143" s="27" t="n"/>
      <c r="D143" s="27" t="n"/>
      <c r="E143" s="28" t="n"/>
      <c r="F143" s="28" t="n"/>
      <c r="G143" s="27" t="n"/>
      <c r="H143" s="29">
        <f>IF(G143="Invoice",IF(ISNUMBER(F143),F143,""),IF(ISNUMBER(E143),E143,""))</f>
        <v/>
      </c>
      <c r="I143" s="30" t="n"/>
      <c r="J143" s="29">
        <f>IF(AND(ISNUMBER(H143),ISNUMBER(I143)),EDATE(H143,I143),"")</f>
        <v/>
      </c>
      <c r="K143" s="30" t="n"/>
      <c r="L143" s="29">
        <f>IF(AND(ISNUMBER(H143),ISNUMBER(K143)),EDATE(H143,K143),"")</f>
        <v/>
      </c>
      <c r="M143" s="29">
        <f>IF(COUNT(J143,L143)=0,"",IF(MIN(J143,L143)&gt;=TODAY(),MIN(J143,L143),MAX(J143,L143)))</f>
        <v/>
      </c>
      <c r="N143" s="31">
        <f>IF(ISNUMBER(M143),M143-TODAY(),"")</f>
        <v/>
      </c>
      <c r="O143" s="30" t="n"/>
      <c r="P143" s="29">
        <f>IF(ISNUMBER(M143),M143-IF(ISNUMBER(O143),O143,60),"")</f>
        <v/>
      </c>
      <c r="Q143" s="27" t="n"/>
      <c r="R143" s="27" t="n"/>
      <c r="S143" s="27" t="n"/>
      <c r="T143" s="27" t="n"/>
      <c r="U143" s="27" t="n"/>
      <c r="V143" s="27" t="n"/>
      <c r="W143" s="27" t="n"/>
      <c r="X143" s="27" t="n"/>
      <c r="Y143" s="27" t="n"/>
    </row>
    <row r="144">
      <c r="A144" s="27" t="n"/>
      <c r="B144" s="27" t="n"/>
      <c r="C144" s="27" t="n"/>
      <c r="D144" s="27" t="n"/>
      <c r="E144" s="28" t="n"/>
      <c r="F144" s="28" t="n"/>
      <c r="G144" s="27" t="n"/>
      <c r="H144" s="29">
        <f>IF(G144="Invoice",IF(ISNUMBER(F144),F144,""),IF(ISNUMBER(E144),E144,""))</f>
        <v/>
      </c>
      <c r="I144" s="30" t="n"/>
      <c r="J144" s="29">
        <f>IF(AND(ISNUMBER(H144),ISNUMBER(I144)),EDATE(H144,I144),"")</f>
        <v/>
      </c>
      <c r="K144" s="30" t="n"/>
      <c r="L144" s="29">
        <f>IF(AND(ISNUMBER(H144),ISNUMBER(K144)),EDATE(H144,K144),"")</f>
        <v/>
      </c>
      <c r="M144" s="29">
        <f>IF(COUNT(J144,L144)=0,"",IF(MIN(J144,L144)&gt;=TODAY(),MIN(J144,L144),MAX(J144,L144)))</f>
        <v/>
      </c>
      <c r="N144" s="31">
        <f>IF(ISNUMBER(M144),M144-TODAY(),"")</f>
        <v/>
      </c>
      <c r="O144" s="30" t="n"/>
      <c r="P144" s="29">
        <f>IF(ISNUMBER(M144),M144-IF(ISNUMBER(O144),O144,60),"")</f>
        <v/>
      </c>
      <c r="Q144" s="27" t="n"/>
      <c r="R144" s="27" t="n"/>
      <c r="S144" s="27" t="n"/>
      <c r="T144" s="27" t="n"/>
      <c r="U144" s="27" t="n"/>
      <c r="V144" s="27" t="n"/>
      <c r="W144" s="27" t="n"/>
      <c r="X144" s="27" t="n"/>
      <c r="Y144" s="27" t="n"/>
    </row>
    <row r="145">
      <c r="A145" s="27" t="n"/>
      <c r="B145" s="27" t="n"/>
      <c r="C145" s="27" t="n"/>
      <c r="D145" s="27" t="n"/>
      <c r="E145" s="28" t="n"/>
      <c r="F145" s="28" t="n"/>
      <c r="G145" s="27" t="n"/>
      <c r="H145" s="29">
        <f>IF(G145="Invoice",IF(ISNUMBER(F145),F145,""),IF(ISNUMBER(E145),E145,""))</f>
        <v/>
      </c>
      <c r="I145" s="30" t="n"/>
      <c r="J145" s="29">
        <f>IF(AND(ISNUMBER(H145),ISNUMBER(I145)),EDATE(H145,I145),"")</f>
        <v/>
      </c>
      <c r="K145" s="30" t="n"/>
      <c r="L145" s="29">
        <f>IF(AND(ISNUMBER(H145),ISNUMBER(K145)),EDATE(H145,K145),"")</f>
        <v/>
      </c>
      <c r="M145" s="29">
        <f>IF(COUNT(J145,L145)=0,"",IF(MIN(J145,L145)&gt;=TODAY(),MIN(J145,L145),MAX(J145,L145)))</f>
        <v/>
      </c>
      <c r="N145" s="31">
        <f>IF(ISNUMBER(M145),M145-TODAY(),"")</f>
        <v/>
      </c>
      <c r="O145" s="30" t="n"/>
      <c r="P145" s="29">
        <f>IF(ISNUMBER(M145),M145-IF(ISNUMBER(O145),O145,60),"")</f>
        <v/>
      </c>
      <c r="Q145" s="27" t="n"/>
      <c r="R145" s="27" t="n"/>
      <c r="S145" s="27" t="n"/>
      <c r="T145" s="27" t="n"/>
      <c r="U145" s="27" t="n"/>
      <c r="V145" s="27" t="n"/>
      <c r="W145" s="27" t="n"/>
      <c r="X145" s="27" t="n"/>
      <c r="Y145" s="27" t="n"/>
    </row>
    <row r="146">
      <c r="A146" s="27" t="n"/>
      <c r="B146" s="27" t="n"/>
      <c r="C146" s="27" t="n"/>
      <c r="D146" s="27" t="n"/>
      <c r="E146" s="28" t="n"/>
      <c r="F146" s="28" t="n"/>
      <c r="G146" s="27" t="n"/>
      <c r="H146" s="29">
        <f>IF(G146="Invoice",IF(ISNUMBER(F146),F146,""),IF(ISNUMBER(E146),E146,""))</f>
        <v/>
      </c>
      <c r="I146" s="30" t="n"/>
      <c r="J146" s="29">
        <f>IF(AND(ISNUMBER(H146),ISNUMBER(I146)),EDATE(H146,I146),"")</f>
        <v/>
      </c>
      <c r="K146" s="30" t="n"/>
      <c r="L146" s="29">
        <f>IF(AND(ISNUMBER(H146),ISNUMBER(K146)),EDATE(H146,K146),"")</f>
        <v/>
      </c>
      <c r="M146" s="29">
        <f>IF(COUNT(J146,L146)=0,"",IF(MIN(J146,L146)&gt;=TODAY(),MIN(J146,L146),MAX(J146,L146)))</f>
        <v/>
      </c>
      <c r="N146" s="31">
        <f>IF(ISNUMBER(M146),M146-TODAY(),"")</f>
        <v/>
      </c>
      <c r="O146" s="30" t="n"/>
      <c r="P146" s="29">
        <f>IF(ISNUMBER(M146),M146-IF(ISNUMBER(O146),O146,60),"")</f>
        <v/>
      </c>
      <c r="Q146" s="27" t="n"/>
      <c r="R146" s="27" t="n"/>
      <c r="S146" s="27" t="n"/>
      <c r="T146" s="27" t="n"/>
      <c r="U146" s="27" t="n"/>
      <c r="V146" s="27" t="n"/>
      <c r="W146" s="27" t="n"/>
      <c r="X146" s="27" t="n"/>
      <c r="Y146" s="27" t="n"/>
    </row>
    <row r="147">
      <c r="A147" s="27" t="n"/>
      <c r="B147" s="27" t="n"/>
      <c r="C147" s="27" t="n"/>
      <c r="D147" s="27" t="n"/>
      <c r="E147" s="28" t="n"/>
      <c r="F147" s="28" t="n"/>
      <c r="G147" s="27" t="n"/>
      <c r="H147" s="29">
        <f>IF(G147="Invoice",IF(ISNUMBER(F147),F147,""),IF(ISNUMBER(E147),E147,""))</f>
        <v/>
      </c>
      <c r="I147" s="30" t="n"/>
      <c r="J147" s="29">
        <f>IF(AND(ISNUMBER(H147),ISNUMBER(I147)),EDATE(H147,I147),"")</f>
        <v/>
      </c>
      <c r="K147" s="30" t="n"/>
      <c r="L147" s="29">
        <f>IF(AND(ISNUMBER(H147),ISNUMBER(K147)),EDATE(H147,K147),"")</f>
        <v/>
      </c>
      <c r="M147" s="29">
        <f>IF(COUNT(J147,L147)=0,"",IF(MIN(J147,L147)&gt;=TODAY(),MIN(J147,L147),MAX(J147,L147)))</f>
        <v/>
      </c>
      <c r="N147" s="31">
        <f>IF(ISNUMBER(M147),M147-TODAY(),"")</f>
        <v/>
      </c>
      <c r="O147" s="30" t="n"/>
      <c r="P147" s="29">
        <f>IF(ISNUMBER(M147),M147-IF(ISNUMBER(O147),O147,60),"")</f>
        <v/>
      </c>
      <c r="Q147" s="27" t="n"/>
      <c r="R147" s="27" t="n"/>
      <c r="S147" s="27" t="n"/>
      <c r="T147" s="27" t="n"/>
      <c r="U147" s="27" t="n"/>
      <c r="V147" s="27" t="n"/>
      <c r="W147" s="27" t="n"/>
      <c r="X147" s="27" t="n"/>
      <c r="Y147" s="27" t="n"/>
    </row>
    <row r="148">
      <c r="A148" s="27" t="n"/>
      <c r="B148" s="27" t="n"/>
      <c r="C148" s="27" t="n"/>
      <c r="D148" s="27" t="n"/>
      <c r="E148" s="28" t="n"/>
      <c r="F148" s="28" t="n"/>
      <c r="G148" s="27" t="n"/>
      <c r="H148" s="29">
        <f>IF(G148="Invoice",IF(ISNUMBER(F148),F148,""),IF(ISNUMBER(E148),E148,""))</f>
        <v/>
      </c>
      <c r="I148" s="30" t="n"/>
      <c r="J148" s="29">
        <f>IF(AND(ISNUMBER(H148),ISNUMBER(I148)),EDATE(H148,I148),"")</f>
        <v/>
      </c>
      <c r="K148" s="30" t="n"/>
      <c r="L148" s="29">
        <f>IF(AND(ISNUMBER(H148),ISNUMBER(K148)),EDATE(H148,K148),"")</f>
        <v/>
      </c>
      <c r="M148" s="29">
        <f>IF(COUNT(J148,L148)=0,"",IF(MIN(J148,L148)&gt;=TODAY(),MIN(J148,L148),MAX(J148,L148)))</f>
        <v/>
      </c>
      <c r="N148" s="31">
        <f>IF(ISNUMBER(M148),M148-TODAY(),"")</f>
        <v/>
      </c>
      <c r="O148" s="30" t="n"/>
      <c r="P148" s="29">
        <f>IF(ISNUMBER(M148),M148-IF(ISNUMBER(O148),O148,60),"")</f>
        <v/>
      </c>
      <c r="Q148" s="27" t="n"/>
      <c r="R148" s="27" t="n"/>
      <c r="S148" s="27" t="n"/>
      <c r="T148" s="27" t="n"/>
      <c r="U148" s="27" t="n"/>
      <c r="V148" s="27" t="n"/>
      <c r="W148" s="27" t="n"/>
      <c r="X148" s="27" t="n"/>
      <c r="Y148" s="27" t="n"/>
    </row>
    <row r="149">
      <c r="A149" s="27" t="n"/>
      <c r="B149" s="27" t="n"/>
      <c r="C149" s="27" t="n"/>
      <c r="D149" s="27" t="n"/>
      <c r="E149" s="28" t="n"/>
      <c r="F149" s="28" t="n"/>
      <c r="G149" s="27" t="n"/>
      <c r="H149" s="29">
        <f>IF(G149="Invoice",IF(ISNUMBER(F149),F149,""),IF(ISNUMBER(E149),E149,""))</f>
        <v/>
      </c>
      <c r="I149" s="30" t="n"/>
      <c r="J149" s="29">
        <f>IF(AND(ISNUMBER(H149),ISNUMBER(I149)),EDATE(H149,I149),"")</f>
        <v/>
      </c>
      <c r="K149" s="30" t="n"/>
      <c r="L149" s="29">
        <f>IF(AND(ISNUMBER(H149),ISNUMBER(K149)),EDATE(H149,K149),"")</f>
        <v/>
      </c>
      <c r="M149" s="29">
        <f>IF(COUNT(J149,L149)=0,"",IF(MIN(J149,L149)&gt;=TODAY(),MIN(J149,L149),MAX(J149,L149)))</f>
        <v/>
      </c>
      <c r="N149" s="31">
        <f>IF(ISNUMBER(M149),M149-TODAY(),"")</f>
        <v/>
      </c>
      <c r="O149" s="30" t="n"/>
      <c r="P149" s="29">
        <f>IF(ISNUMBER(M149),M149-IF(ISNUMBER(O149),O149,60),"")</f>
        <v/>
      </c>
      <c r="Q149" s="27" t="n"/>
      <c r="R149" s="27" t="n"/>
      <c r="S149" s="27" t="n"/>
      <c r="T149" s="27" t="n"/>
      <c r="U149" s="27" t="n"/>
      <c r="V149" s="27" t="n"/>
      <c r="W149" s="27" t="n"/>
      <c r="X149" s="27" t="n"/>
      <c r="Y149" s="27" t="n"/>
    </row>
    <row r="150">
      <c r="A150" s="27" t="n"/>
      <c r="B150" s="27" t="n"/>
      <c r="C150" s="27" t="n"/>
      <c r="D150" s="27" t="n"/>
      <c r="E150" s="28" t="n"/>
      <c r="F150" s="28" t="n"/>
      <c r="G150" s="27" t="n"/>
      <c r="H150" s="29">
        <f>IF(G150="Invoice",IF(ISNUMBER(F150),F150,""),IF(ISNUMBER(E150),E150,""))</f>
        <v/>
      </c>
      <c r="I150" s="30" t="n"/>
      <c r="J150" s="29">
        <f>IF(AND(ISNUMBER(H150),ISNUMBER(I150)),EDATE(H150,I150),"")</f>
        <v/>
      </c>
      <c r="K150" s="30" t="n"/>
      <c r="L150" s="29">
        <f>IF(AND(ISNUMBER(H150),ISNUMBER(K150)),EDATE(H150,K150),"")</f>
        <v/>
      </c>
      <c r="M150" s="29">
        <f>IF(COUNT(J150,L150)=0,"",IF(MIN(J150,L150)&gt;=TODAY(),MIN(J150,L150),MAX(J150,L150)))</f>
        <v/>
      </c>
      <c r="N150" s="31">
        <f>IF(ISNUMBER(M150),M150-TODAY(),"")</f>
        <v/>
      </c>
      <c r="O150" s="30" t="n"/>
      <c r="P150" s="29">
        <f>IF(ISNUMBER(M150),M150-IF(ISNUMBER(O150),O150,60),"")</f>
        <v/>
      </c>
      <c r="Q150" s="27" t="n"/>
      <c r="R150" s="27" t="n"/>
      <c r="S150" s="27" t="n"/>
      <c r="T150" s="27" t="n"/>
      <c r="U150" s="27" t="n"/>
      <c r="V150" s="27" t="n"/>
      <c r="W150" s="27" t="n"/>
      <c r="X150" s="27" t="n"/>
      <c r="Y150" s="27" t="n"/>
    </row>
    <row r="151">
      <c r="A151" s="27" t="n"/>
      <c r="B151" s="27" t="n"/>
      <c r="C151" s="27" t="n"/>
      <c r="D151" s="27" t="n"/>
      <c r="E151" s="28" t="n"/>
      <c r="F151" s="28" t="n"/>
      <c r="G151" s="27" t="n"/>
      <c r="H151" s="29">
        <f>IF(G151="Invoice",IF(ISNUMBER(F151),F151,""),IF(ISNUMBER(E151),E151,""))</f>
        <v/>
      </c>
      <c r="I151" s="30" t="n"/>
      <c r="J151" s="29">
        <f>IF(AND(ISNUMBER(H151),ISNUMBER(I151)),EDATE(H151,I151),"")</f>
        <v/>
      </c>
      <c r="K151" s="30" t="n"/>
      <c r="L151" s="29">
        <f>IF(AND(ISNUMBER(H151),ISNUMBER(K151)),EDATE(H151,K151),"")</f>
        <v/>
      </c>
      <c r="M151" s="29">
        <f>IF(COUNT(J151,L151)=0,"",IF(MIN(J151,L151)&gt;=TODAY(),MIN(J151,L151),MAX(J151,L151)))</f>
        <v/>
      </c>
      <c r="N151" s="31">
        <f>IF(ISNUMBER(M151),M151-TODAY(),"")</f>
        <v/>
      </c>
      <c r="O151" s="30" t="n"/>
      <c r="P151" s="29">
        <f>IF(ISNUMBER(M151),M151-IF(ISNUMBER(O151),O151,60),"")</f>
        <v/>
      </c>
      <c r="Q151" s="27" t="n"/>
      <c r="R151" s="27" t="n"/>
      <c r="S151" s="27" t="n"/>
      <c r="T151" s="27" t="n"/>
      <c r="U151" s="27" t="n"/>
      <c r="V151" s="27" t="n"/>
      <c r="W151" s="27" t="n"/>
      <c r="X151" s="27" t="n"/>
      <c r="Y151" s="27" t="n"/>
    </row>
    <row r="152">
      <c r="A152" s="27" t="n"/>
      <c r="B152" s="27" t="n"/>
      <c r="C152" s="27" t="n"/>
      <c r="D152" s="27" t="n"/>
      <c r="E152" s="28" t="n"/>
      <c r="F152" s="28" t="n"/>
      <c r="G152" s="27" t="n"/>
      <c r="H152" s="29">
        <f>IF(G152="Invoice",IF(ISNUMBER(F152),F152,""),IF(ISNUMBER(E152),E152,""))</f>
        <v/>
      </c>
      <c r="I152" s="30" t="n"/>
      <c r="J152" s="29">
        <f>IF(AND(ISNUMBER(H152),ISNUMBER(I152)),EDATE(H152,I152),"")</f>
        <v/>
      </c>
      <c r="K152" s="30" t="n"/>
      <c r="L152" s="29">
        <f>IF(AND(ISNUMBER(H152),ISNUMBER(K152)),EDATE(H152,K152),"")</f>
        <v/>
      </c>
      <c r="M152" s="29">
        <f>IF(COUNT(J152,L152)=0,"",IF(MIN(J152,L152)&gt;=TODAY(),MIN(J152,L152),MAX(J152,L152)))</f>
        <v/>
      </c>
      <c r="N152" s="31">
        <f>IF(ISNUMBER(M152),M152-TODAY(),"")</f>
        <v/>
      </c>
      <c r="O152" s="30" t="n"/>
      <c r="P152" s="29">
        <f>IF(ISNUMBER(M152),M152-IF(ISNUMBER(O152),O152,60),"")</f>
        <v/>
      </c>
      <c r="Q152" s="27" t="n"/>
      <c r="R152" s="27" t="n"/>
      <c r="S152" s="27" t="n"/>
      <c r="T152" s="27" t="n"/>
      <c r="U152" s="27" t="n"/>
      <c r="V152" s="27" t="n"/>
      <c r="W152" s="27" t="n"/>
      <c r="X152" s="27" t="n"/>
      <c r="Y152" s="27" t="n"/>
    </row>
    <row r="153">
      <c r="A153" s="27" t="n"/>
      <c r="B153" s="27" t="n"/>
      <c r="C153" s="27" t="n"/>
      <c r="D153" s="27" t="n"/>
      <c r="E153" s="28" t="n"/>
      <c r="F153" s="28" t="n"/>
      <c r="G153" s="27" t="n"/>
      <c r="H153" s="29">
        <f>IF(G153="Invoice",IF(ISNUMBER(F153),F153,""),IF(ISNUMBER(E153),E153,""))</f>
        <v/>
      </c>
      <c r="I153" s="30" t="n"/>
      <c r="J153" s="29">
        <f>IF(AND(ISNUMBER(H153),ISNUMBER(I153)),EDATE(H153,I153),"")</f>
        <v/>
      </c>
      <c r="K153" s="30" t="n"/>
      <c r="L153" s="29">
        <f>IF(AND(ISNUMBER(H153),ISNUMBER(K153)),EDATE(H153,K153),"")</f>
        <v/>
      </c>
      <c r="M153" s="29">
        <f>IF(COUNT(J153,L153)=0,"",IF(MIN(J153,L153)&gt;=TODAY(),MIN(J153,L153),MAX(J153,L153)))</f>
        <v/>
      </c>
      <c r="N153" s="31">
        <f>IF(ISNUMBER(M153),M153-TODAY(),"")</f>
        <v/>
      </c>
      <c r="O153" s="30" t="n"/>
      <c r="P153" s="29">
        <f>IF(ISNUMBER(M153),M153-IF(ISNUMBER(O153),O153,60),"")</f>
        <v/>
      </c>
      <c r="Q153" s="27" t="n"/>
      <c r="R153" s="27" t="n"/>
      <c r="S153" s="27" t="n"/>
      <c r="T153" s="27" t="n"/>
      <c r="U153" s="27" t="n"/>
      <c r="V153" s="27" t="n"/>
      <c r="W153" s="27" t="n"/>
      <c r="X153" s="27" t="n"/>
      <c r="Y153" s="27" t="n"/>
    </row>
    <row r="154">
      <c r="A154" s="27" t="n"/>
      <c r="B154" s="27" t="n"/>
      <c r="C154" s="27" t="n"/>
      <c r="D154" s="27" t="n"/>
      <c r="E154" s="28" t="n"/>
      <c r="F154" s="28" t="n"/>
      <c r="G154" s="27" t="n"/>
      <c r="H154" s="29">
        <f>IF(G154="Invoice",IF(ISNUMBER(F154),F154,""),IF(ISNUMBER(E154),E154,""))</f>
        <v/>
      </c>
      <c r="I154" s="30" t="n"/>
      <c r="J154" s="29">
        <f>IF(AND(ISNUMBER(H154),ISNUMBER(I154)),EDATE(H154,I154),"")</f>
        <v/>
      </c>
      <c r="K154" s="30" t="n"/>
      <c r="L154" s="29">
        <f>IF(AND(ISNUMBER(H154),ISNUMBER(K154)),EDATE(H154,K154),"")</f>
        <v/>
      </c>
      <c r="M154" s="29">
        <f>IF(COUNT(J154,L154)=0,"",IF(MIN(J154,L154)&gt;=TODAY(),MIN(J154,L154),MAX(J154,L154)))</f>
        <v/>
      </c>
      <c r="N154" s="31">
        <f>IF(ISNUMBER(M154),M154-TODAY(),"")</f>
        <v/>
      </c>
      <c r="O154" s="30" t="n"/>
      <c r="P154" s="29">
        <f>IF(ISNUMBER(M154),M154-IF(ISNUMBER(O154),O154,60),"")</f>
        <v/>
      </c>
      <c r="Q154" s="27" t="n"/>
      <c r="R154" s="27" t="n"/>
      <c r="S154" s="27" t="n"/>
      <c r="T154" s="27" t="n"/>
      <c r="U154" s="27" t="n"/>
      <c r="V154" s="27" t="n"/>
      <c r="W154" s="27" t="n"/>
      <c r="X154" s="27" t="n"/>
      <c r="Y154" s="27" t="n"/>
    </row>
    <row r="155">
      <c r="A155" s="27" t="n"/>
      <c r="B155" s="27" t="n"/>
      <c r="C155" s="27" t="n"/>
      <c r="D155" s="27" t="n"/>
      <c r="E155" s="28" t="n"/>
      <c r="F155" s="28" t="n"/>
      <c r="G155" s="27" t="n"/>
      <c r="H155" s="29">
        <f>IF(G155="Invoice",IF(ISNUMBER(F155),F155,""),IF(ISNUMBER(E155),E155,""))</f>
        <v/>
      </c>
      <c r="I155" s="30" t="n"/>
      <c r="J155" s="29">
        <f>IF(AND(ISNUMBER(H155),ISNUMBER(I155)),EDATE(H155,I155),"")</f>
        <v/>
      </c>
      <c r="K155" s="30" t="n"/>
      <c r="L155" s="29">
        <f>IF(AND(ISNUMBER(H155),ISNUMBER(K155)),EDATE(H155,K155),"")</f>
        <v/>
      </c>
      <c r="M155" s="29">
        <f>IF(COUNT(J155,L155)=0,"",IF(MIN(J155,L155)&gt;=TODAY(),MIN(J155,L155),MAX(J155,L155)))</f>
        <v/>
      </c>
      <c r="N155" s="31">
        <f>IF(ISNUMBER(M155),M155-TODAY(),"")</f>
        <v/>
      </c>
      <c r="O155" s="30" t="n"/>
      <c r="P155" s="29">
        <f>IF(ISNUMBER(M155),M155-IF(ISNUMBER(O155),O155,60),"")</f>
        <v/>
      </c>
      <c r="Q155" s="27" t="n"/>
      <c r="R155" s="27" t="n"/>
      <c r="S155" s="27" t="n"/>
      <c r="T155" s="27" t="n"/>
      <c r="U155" s="27" t="n"/>
      <c r="V155" s="27" t="n"/>
      <c r="W155" s="27" t="n"/>
      <c r="X155" s="27" t="n"/>
      <c r="Y155" s="27" t="n"/>
    </row>
    <row r="156">
      <c r="A156" s="27" t="n"/>
      <c r="B156" s="27" t="n"/>
      <c r="C156" s="27" t="n"/>
      <c r="D156" s="27" t="n"/>
      <c r="E156" s="28" t="n"/>
      <c r="F156" s="28" t="n"/>
      <c r="G156" s="27" t="n"/>
      <c r="H156" s="29">
        <f>IF(G156="Invoice",IF(ISNUMBER(F156),F156,""),IF(ISNUMBER(E156),E156,""))</f>
        <v/>
      </c>
      <c r="I156" s="30" t="n"/>
      <c r="J156" s="29">
        <f>IF(AND(ISNUMBER(H156),ISNUMBER(I156)),EDATE(H156,I156),"")</f>
        <v/>
      </c>
      <c r="K156" s="30" t="n"/>
      <c r="L156" s="29">
        <f>IF(AND(ISNUMBER(H156),ISNUMBER(K156)),EDATE(H156,K156),"")</f>
        <v/>
      </c>
      <c r="M156" s="29">
        <f>IF(COUNT(J156,L156)=0,"",IF(MIN(J156,L156)&gt;=TODAY(),MIN(J156,L156),MAX(J156,L156)))</f>
        <v/>
      </c>
      <c r="N156" s="31">
        <f>IF(ISNUMBER(M156),M156-TODAY(),"")</f>
        <v/>
      </c>
      <c r="O156" s="30" t="n"/>
      <c r="P156" s="29">
        <f>IF(ISNUMBER(M156),M156-IF(ISNUMBER(O156),O156,60),"")</f>
        <v/>
      </c>
      <c r="Q156" s="27" t="n"/>
      <c r="R156" s="27" t="n"/>
      <c r="S156" s="27" t="n"/>
      <c r="T156" s="27" t="n"/>
      <c r="U156" s="27" t="n"/>
      <c r="V156" s="27" t="n"/>
      <c r="W156" s="27" t="n"/>
      <c r="X156" s="27" t="n"/>
      <c r="Y156" s="27" t="n"/>
    </row>
    <row r="157">
      <c r="A157" s="27" t="n"/>
      <c r="B157" s="27" t="n"/>
      <c r="C157" s="27" t="n"/>
      <c r="D157" s="27" t="n"/>
      <c r="E157" s="28" t="n"/>
      <c r="F157" s="28" t="n"/>
      <c r="G157" s="27" t="n"/>
      <c r="H157" s="29">
        <f>IF(G157="Invoice",IF(ISNUMBER(F157),F157,""),IF(ISNUMBER(E157),E157,""))</f>
        <v/>
      </c>
      <c r="I157" s="30" t="n"/>
      <c r="J157" s="29">
        <f>IF(AND(ISNUMBER(H157),ISNUMBER(I157)),EDATE(H157,I157),"")</f>
        <v/>
      </c>
      <c r="K157" s="30" t="n"/>
      <c r="L157" s="29">
        <f>IF(AND(ISNUMBER(H157),ISNUMBER(K157)),EDATE(H157,K157),"")</f>
        <v/>
      </c>
      <c r="M157" s="29">
        <f>IF(COUNT(J157,L157)=0,"",IF(MIN(J157,L157)&gt;=TODAY(),MIN(J157,L157),MAX(J157,L157)))</f>
        <v/>
      </c>
      <c r="N157" s="31">
        <f>IF(ISNUMBER(M157),M157-TODAY(),"")</f>
        <v/>
      </c>
      <c r="O157" s="30" t="n"/>
      <c r="P157" s="29">
        <f>IF(ISNUMBER(M157),M157-IF(ISNUMBER(O157),O157,60),"")</f>
        <v/>
      </c>
      <c r="Q157" s="27" t="n"/>
      <c r="R157" s="27" t="n"/>
      <c r="S157" s="27" t="n"/>
      <c r="T157" s="27" t="n"/>
      <c r="U157" s="27" t="n"/>
      <c r="V157" s="27" t="n"/>
      <c r="W157" s="27" t="n"/>
      <c r="X157" s="27" t="n"/>
      <c r="Y157" s="27" t="n"/>
    </row>
    <row r="158">
      <c r="A158" s="27" t="n"/>
      <c r="B158" s="27" t="n"/>
      <c r="C158" s="27" t="n"/>
      <c r="D158" s="27" t="n"/>
      <c r="E158" s="28" t="n"/>
      <c r="F158" s="28" t="n"/>
      <c r="G158" s="27" t="n"/>
      <c r="H158" s="29">
        <f>IF(G158="Invoice",IF(ISNUMBER(F158),F158,""),IF(ISNUMBER(E158),E158,""))</f>
        <v/>
      </c>
      <c r="I158" s="30" t="n"/>
      <c r="J158" s="29">
        <f>IF(AND(ISNUMBER(H158),ISNUMBER(I158)),EDATE(H158,I158),"")</f>
        <v/>
      </c>
      <c r="K158" s="30" t="n"/>
      <c r="L158" s="29">
        <f>IF(AND(ISNUMBER(H158),ISNUMBER(K158)),EDATE(H158,K158),"")</f>
        <v/>
      </c>
      <c r="M158" s="29">
        <f>IF(COUNT(J158,L158)=0,"",IF(MIN(J158,L158)&gt;=TODAY(),MIN(J158,L158),MAX(J158,L158)))</f>
        <v/>
      </c>
      <c r="N158" s="31">
        <f>IF(ISNUMBER(M158),M158-TODAY(),"")</f>
        <v/>
      </c>
      <c r="O158" s="30" t="n"/>
      <c r="P158" s="29">
        <f>IF(ISNUMBER(M158),M158-IF(ISNUMBER(O158),O158,60),"")</f>
        <v/>
      </c>
      <c r="Q158" s="27" t="n"/>
      <c r="R158" s="27" t="n"/>
      <c r="S158" s="27" t="n"/>
      <c r="T158" s="27" t="n"/>
      <c r="U158" s="27" t="n"/>
      <c r="V158" s="27" t="n"/>
      <c r="W158" s="27" t="n"/>
      <c r="X158" s="27" t="n"/>
      <c r="Y158" s="27" t="n"/>
    </row>
    <row r="159">
      <c r="A159" s="27" t="n"/>
      <c r="B159" s="27" t="n"/>
      <c r="C159" s="27" t="n"/>
      <c r="D159" s="27" t="n"/>
      <c r="E159" s="28" t="n"/>
      <c r="F159" s="28" t="n"/>
      <c r="G159" s="27" t="n"/>
      <c r="H159" s="29">
        <f>IF(G159="Invoice",IF(ISNUMBER(F159),F159,""),IF(ISNUMBER(E159),E159,""))</f>
        <v/>
      </c>
      <c r="I159" s="30" t="n"/>
      <c r="J159" s="29">
        <f>IF(AND(ISNUMBER(H159),ISNUMBER(I159)),EDATE(H159,I159),"")</f>
        <v/>
      </c>
      <c r="K159" s="30" t="n"/>
      <c r="L159" s="29">
        <f>IF(AND(ISNUMBER(H159),ISNUMBER(K159)),EDATE(H159,K159),"")</f>
        <v/>
      </c>
      <c r="M159" s="29">
        <f>IF(COUNT(J159,L159)=0,"",IF(MIN(J159,L159)&gt;=TODAY(),MIN(J159,L159),MAX(J159,L159)))</f>
        <v/>
      </c>
      <c r="N159" s="31">
        <f>IF(ISNUMBER(M159),M159-TODAY(),"")</f>
        <v/>
      </c>
      <c r="O159" s="30" t="n"/>
      <c r="P159" s="29">
        <f>IF(ISNUMBER(M159),M159-IF(ISNUMBER(O159),O159,60),"")</f>
        <v/>
      </c>
      <c r="Q159" s="27" t="n"/>
      <c r="R159" s="27" t="n"/>
      <c r="S159" s="27" t="n"/>
      <c r="T159" s="27" t="n"/>
      <c r="U159" s="27" t="n"/>
      <c r="V159" s="27" t="n"/>
      <c r="W159" s="27" t="n"/>
      <c r="X159" s="27" t="n"/>
      <c r="Y159" s="27" t="n"/>
    </row>
    <row r="160">
      <c r="A160" s="27" t="n"/>
      <c r="B160" s="27" t="n"/>
      <c r="C160" s="27" t="n"/>
      <c r="D160" s="27" t="n"/>
      <c r="E160" s="28" t="n"/>
      <c r="F160" s="28" t="n"/>
      <c r="G160" s="27" t="n"/>
      <c r="H160" s="29">
        <f>IF(G160="Invoice",IF(ISNUMBER(F160),F160,""),IF(ISNUMBER(E160),E160,""))</f>
        <v/>
      </c>
      <c r="I160" s="30" t="n"/>
      <c r="J160" s="29">
        <f>IF(AND(ISNUMBER(H160),ISNUMBER(I160)),EDATE(H160,I160),"")</f>
        <v/>
      </c>
      <c r="K160" s="30" t="n"/>
      <c r="L160" s="29">
        <f>IF(AND(ISNUMBER(H160),ISNUMBER(K160)),EDATE(H160,K160),"")</f>
        <v/>
      </c>
      <c r="M160" s="29">
        <f>IF(COUNT(J160,L160)=0,"",IF(MIN(J160,L160)&gt;=TODAY(),MIN(J160,L160),MAX(J160,L160)))</f>
        <v/>
      </c>
      <c r="N160" s="31">
        <f>IF(ISNUMBER(M160),M160-TODAY(),"")</f>
        <v/>
      </c>
      <c r="O160" s="30" t="n"/>
      <c r="P160" s="29">
        <f>IF(ISNUMBER(M160),M160-IF(ISNUMBER(O160),O160,60),"")</f>
        <v/>
      </c>
      <c r="Q160" s="27" t="n"/>
      <c r="R160" s="27" t="n"/>
      <c r="S160" s="27" t="n"/>
      <c r="T160" s="27" t="n"/>
      <c r="U160" s="27" t="n"/>
      <c r="V160" s="27" t="n"/>
      <c r="W160" s="27" t="n"/>
      <c r="X160" s="27" t="n"/>
      <c r="Y160" s="27" t="n"/>
    </row>
    <row r="161">
      <c r="A161" s="27" t="n"/>
      <c r="B161" s="27" t="n"/>
      <c r="C161" s="27" t="n"/>
      <c r="D161" s="27" t="n"/>
      <c r="E161" s="28" t="n"/>
      <c r="F161" s="28" t="n"/>
      <c r="G161" s="27" t="n"/>
      <c r="H161" s="29">
        <f>IF(G161="Invoice",IF(ISNUMBER(F161),F161,""),IF(ISNUMBER(E161),E161,""))</f>
        <v/>
      </c>
      <c r="I161" s="30" t="n"/>
      <c r="J161" s="29">
        <f>IF(AND(ISNUMBER(H161),ISNUMBER(I161)),EDATE(H161,I161),"")</f>
        <v/>
      </c>
      <c r="K161" s="30" t="n"/>
      <c r="L161" s="29">
        <f>IF(AND(ISNUMBER(H161),ISNUMBER(K161)),EDATE(H161,K161),"")</f>
        <v/>
      </c>
      <c r="M161" s="29">
        <f>IF(COUNT(J161,L161)=0,"",IF(MIN(J161,L161)&gt;=TODAY(),MIN(J161,L161),MAX(J161,L161)))</f>
        <v/>
      </c>
      <c r="N161" s="31">
        <f>IF(ISNUMBER(M161),M161-TODAY(),"")</f>
        <v/>
      </c>
      <c r="O161" s="30" t="n"/>
      <c r="P161" s="29">
        <f>IF(ISNUMBER(M161),M161-IF(ISNUMBER(O161),O161,60),"")</f>
        <v/>
      </c>
      <c r="Q161" s="27" t="n"/>
      <c r="R161" s="27" t="n"/>
      <c r="S161" s="27" t="n"/>
      <c r="T161" s="27" t="n"/>
      <c r="U161" s="27" t="n"/>
      <c r="V161" s="27" t="n"/>
      <c r="W161" s="27" t="n"/>
      <c r="X161" s="27" t="n"/>
      <c r="Y161" s="27" t="n"/>
    </row>
    <row r="162">
      <c r="A162" s="27" t="n"/>
      <c r="B162" s="27" t="n"/>
      <c r="C162" s="27" t="n"/>
      <c r="D162" s="27" t="n"/>
      <c r="E162" s="28" t="n"/>
      <c r="F162" s="28" t="n"/>
      <c r="G162" s="27" t="n"/>
      <c r="H162" s="29">
        <f>IF(G162="Invoice",IF(ISNUMBER(F162),F162,""),IF(ISNUMBER(E162),E162,""))</f>
        <v/>
      </c>
      <c r="I162" s="30" t="n"/>
      <c r="J162" s="29">
        <f>IF(AND(ISNUMBER(H162),ISNUMBER(I162)),EDATE(H162,I162),"")</f>
        <v/>
      </c>
      <c r="K162" s="30" t="n"/>
      <c r="L162" s="29">
        <f>IF(AND(ISNUMBER(H162),ISNUMBER(K162)),EDATE(H162,K162),"")</f>
        <v/>
      </c>
      <c r="M162" s="29">
        <f>IF(COUNT(J162,L162)=0,"",IF(MIN(J162,L162)&gt;=TODAY(),MIN(J162,L162),MAX(J162,L162)))</f>
        <v/>
      </c>
      <c r="N162" s="31">
        <f>IF(ISNUMBER(M162),M162-TODAY(),"")</f>
        <v/>
      </c>
      <c r="O162" s="30" t="n"/>
      <c r="P162" s="29">
        <f>IF(ISNUMBER(M162),M162-IF(ISNUMBER(O162),O162,60),"")</f>
        <v/>
      </c>
      <c r="Q162" s="27" t="n"/>
      <c r="R162" s="27" t="n"/>
      <c r="S162" s="27" t="n"/>
      <c r="T162" s="27" t="n"/>
      <c r="U162" s="27" t="n"/>
      <c r="V162" s="27" t="n"/>
      <c r="W162" s="27" t="n"/>
      <c r="X162" s="27" t="n"/>
      <c r="Y162" s="27" t="n"/>
    </row>
    <row r="163">
      <c r="A163" s="27" t="n"/>
      <c r="B163" s="27" t="n"/>
      <c r="C163" s="27" t="n"/>
      <c r="D163" s="27" t="n"/>
      <c r="E163" s="28" t="n"/>
      <c r="F163" s="28" t="n"/>
      <c r="G163" s="27" t="n"/>
      <c r="H163" s="29">
        <f>IF(G163="Invoice",IF(ISNUMBER(F163),F163,""),IF(ISNUMBER(E163),E163,""))</f>
        <v/>
      </c>
      <c r="I163" s="30" t="n"/>
      <c r="J163" s="29">
        <f>IF(AND(ISNUMBER(H163),ISNUMBER(I163)),EDATE(H163,I163),"")</f>
        <v/>
      </c>
      <c r="K163" s="30" t="n"/>
      <c r="L163" s="29">
        <f>IF(AND(ISNUMBER(H163),ISNUMBER(K163)),EDATE(H163,K163),"")</f>
        <v/>
      </c>
      <c r="M163" s="29">
        <f>IF(COUNT(J163,L163)=0,"",IF(MIN(J163,L163)&gt;=TODAY(),MIN(J163,L163),MAX(J163,L163)))</f>
        <v/>
      </c>
      <c r="N163" s="31">
        <f>IF(ISNUMBER(M163),M163-TODAY(),"")</f>
        <v/>
      </c>
      <c r="O163" s="30" t="n"/>
      <c r="P163" s="29">
        <f>IF(ISNUMBER(M163),M163-IF(ISNUMBER(O163),O163,60),"")</f>
        <v/>
      </c>
      <c r="Q163" s="27" t="n"/>
      <c r="R163" s="27" t="n"/>
      <c r="S163" s="27" t="n"/>
      <c r="T163" s="27" t="n"/>
      <c r="U163" s="27" t="n"/>
      <c r="V163" s="27" t="n"/>
      <c r="W163" s="27" t="n"/>
      <c r="X163" s="27" t="n"/>
      <c r="Y163" s="27" t="n"/>
    </row>
    <row r="164">
      <c r="A164" s="27" t="n"/>
      <c r="B164" s="27" t="n"/>
      <c r="C164" s="27" t="n"/>
      <c r="D164" s="27" t="n"/>
      <c r="E164" s="28" t="n"/>
      <c r="F164" s="28" t="n"/>
      <c r="G164" s="27" t="n"/>
      <c r="H164" s="29">
        <f>IF(G164="Invoice",IF(ISNUMBER(F164),F164,""),IF(ISNUMBER(E164),E164,""))</f>
        <v/>
      </c>
      <c r="I164" s="30" t="n"/>
      <c r="J164" s="29">
        <f>IF(AND(ISNUMBER(H164),ISNUMBER(I164)),EDATE(H164,I164),"")</f>
        <v/>
      </c>
      <c r="K164" s="30" t="n"/>
      <c r="L164" s="29">
        <f>IF(AND(ISNUMBER(H164),ISNUMBER(K164)),EDATE(H164,K164),"")</f>
        <v/>
      </c>
      <c r="M164" s="29">
        <f>IF(COUNT(J164,L164)=0,"",IF(MIN(J164,L164)&gt;=TODAY(),MIN(J164,L164),MAX(J164,L164)))</f>
        <v/>
      </c>
      <c r="N164" s="31">
        <f>IF(ISNUMBER(M164),M164-TODAY(),"")</f>
        <v/>
      </c>
      <c r="O164" s="30" t="n"/>
      <c r="P164" s="29">
        <f>IF(ISNUMBER(M164),M164-IF(ISNUMBER(O164),O164,60),"")</f>
        <v/>
      </c>
      <c r="Q164" s="27" t="n"/>
      <c r="R164" s="27" t="n"/>
      <c r="S164" s="27" t="n"/>
      <c r="T164" s="27" t="n"/>
      <c r="U164" s="27" t="n"/>
      <c r="V164" s="27" t="n"/>
      <c r="W164" s="27" t="n"/>
      <c r="X164" s="27" t="n"/>
      <c r="Y164" s="27" t="n"/>
    </row>
    <row r="165">
      <c r="A165" s="27" t="n"/>
      <c r="B165" s="27" t="n"/>
      <c r="C165" s="27" t="n"/>
      <c r="D165" s="27" t="n"/>
      <c r="E165" s="28" t="n"/>
      <c r="F165" s="28" t="n"/>
      <c r="G165" s="27" t="n"/>
      <c r="H165" s="29">
        <f>IF(G165="Invoice",IF(ISNUMBER(F165),F165,""),IF(ISNUMBER(E165),E165,""))</f>
        <v/>
      </c>
      <c r="I165" s="30" t="n"/>
      <c r="J165" s="29">
        <f>IF(AND(ISNUMBER(H165),ISNUMBER(I165)),EDATE(H165,I165),"")</f>
        <v/>
      </c>
      <c r="K165" s="30" t="n"/>
      <c r="L165" s="29">
        <f>IF(AND(ISNUMBER(H165),ISNUMBER(K165)),EDATE(H165,K165),"")</f>
        <v/>
      </c>
      <c r="M165" s="29">
        <f>IF(COUNT(J165,L165)=0,"",IF(MIN(J165,L165)&gt;=TODAY(),MIN(J165,L165),MAX(J165,L165)))</f>
        <v/>
      </c>
      <c r="N165" s="31">
        <f>IF(ISNUMBER(M165),M165-TODAY(),"")</f>
        <v/>
      </c>
      <c r="O165" s="30" t="n"/>
      <c r="P165" s="29">
        <f>IF(ISNUMBER(M165),M165-IF(ISNUMBER(O165),O165,60),"")</f>
        <v/>
      </c>
      <c r="Q165" s="27" t="n"/>
      <c r="R165" s="27" t="n"/>
      <c r="S165" s="27" t="n"/>
      <c r="T165" s="27" t="n"/>
      <c r="U165" s="27" t="n"/>
      <c r="V165" s="27" t="n"/>
      <c r="W165" s="27" t="n"/>
      <c r="X165" s="27" t="n"/>
      <c r="Y165" s="27" t="n"/>
    </row>
    <row r="166">
      <c r="A166" s="27" t="n"/>
      <c r="B166" s="27" t="n"/>
      <c r="C166" s="27" t="n"/>
      <c r="D166" s="27" t="n"/>
      <c r="E166" s="28" t="n"/>
      <c r="F166" s="28" t="n"/>
      <c r="G166" s="27" t="n"/>
      <c r="H166" s="29">
        <f>IF(G166="Invoice",IF(ISNUMBER(F166),F166,""),IF(ISNUMBER(E166),E166,""))</f>
        <v/>
      </c>
      <c r="I166" s="30" t="n"/>
      <c r="J166" s="29">
        <f>IF(AND(ISNUMBER(H166),ISNUMBER(I166)),EDATE(H166,I166),"")</f>
        <v/>
      </c>
      <c r="K166" s="30" t="n"/>
      <c r="L166" s="29">
        <f>IF(AND(ISNUMBER(H166),ISNUMBER(K166)),EDATE(H166,K166),"")</f>
        <v/>
      </c>
      <c r="M166" s="29">
        <f>IF(COUNT(J166,L166)=0,"",IF(MIN(J166,L166)&gt;=TODAY(),MIN(J166,L166),MAX(J166,L166)))</f>
        <v/>
      </c>
      <c r="N166" s="31">
        <f>IF(ISNUMBER(M166),M166-TODAY(),"")</f>
        <v/>
      </c>
      <c r="O166" s="30" t="n"/>
      <c r="P166" s="29">
        <f>IF(ISNUMBER(M166),M166-IF(ISNUMBER(O166),O166,60),"")</f>
        <v/>
      </c>
      <c r="Q166" s="27" t="n"/>
      <c r="R166" s="27" t="n"/>
      <c r="S166" s="27" t="n"/>
      <c r="T166" s="27" t="n"/>
      <c r="U166" s="27" t="n"/>
      <c r="V166" s="27" t="n"/>
      <c r="W166" s="27" t="n"/>
      <c r="X166" s="27" t="n"/>
      <c r="Y166" s="27" t="n"/>
    </row>
    <row r="167">
      <c r="A167" s="27" t="n"/>
      <c r="B167" s="27" t="n"/>
      <c r="C167" s="27" t="n"/>
      <c r="D167" s="27" t="n"/>
      <c r="E167" s="28" t="n"/>
      <c r="F167" s="28" t="n"/>
      <c r="G167" s="27" t="n"/>
      <c r="H167" s="29">
        <f>IF(G167="Invoice",IF(ISNUMBER(F167),F167,""),IF(ISNUMBER(E167),E167,""))</f>
        <v/>
      </c>
      <c r="I167" s="30" t="n"/>
      <c r="J167" s="29">
        <f>IF(AND(ISNUMBER(H167),ISNUMBER(I167)),EDATE(H167,I167),"")</f>
        <v/>
      </c>
      <c r="K167" s="30" t="n"/>
      <c r="L167" s="29">
        <f>IF(AND(ISNUMBER(H167),ISNUMBER(K167)),EDATE(H167,K167),"")</f>
        <v/>
      </c>
      <c r="M167" s="29">
        <f>IF(COUNT(J167,L167)=0,"",IF(MIN(J167,L167)&gt;=TODAY(),MIN(J167,L167),MAX(J167,L167)))</f>
        <v/>
      </c>
      <c r="N167" s="31">
        <f>IF(ISNUMBER(M167),M167-TODAY(),"")</f>
        <v/>
      </c>
      <c r="O167" s="30" t="n"/>
      <c r="P167" s="29">
        <f>IF(ISNUMBER(M167),M167-IF(ISNUMBER(O167),O167,60),"")</f>
        <v/>
      </c>
      <c r="Q167" s="27" t="n"/>
      <c r="R167" s="27" t="n"/>
      <c r="S167" s="27" t="n"/>
      <c r="T167" s="27" t="n"/>
      <c r="U167" s="27" t="n"/>
      <c r="V167" s="27" t="n"/>
      <c r="W167" s="27" t="n"/>
      <c r="X167" s="27" t="n"/>
      <c r="Y167" s="27" t="n"/>
    </row>
    <row r="168">
      <c r="A168" s="27" t="n"/>
      <c r="B168" s="27" t="n"/>
      <c r="C168" s="27" t="n"/>
      <c r="D168" s="27" t="n"/>
      <c r="E168" s="28" t="n"/>
      <c r="F168" s="28" t="n"/>
      <c r="G168" s="27" t="n"/>
      <c r="H168" s="29">
        <f>IF(G168="Invoice",IF(ISNUMBER(F168),F168,""),IF(ISNUMBER(E168),E168,""))</f>
        <v/>
      </c>
      <c r="I168" s="30" t="n"/>
      <c r="J168" s="29">
        <f>IF(AND(ISNUMBER(H168),ISNUMBER(I168)),EDATE(H168,I168),"")</f>
        <v/>
      </c>
      <c r="K168" s="30" t="n"/>
      <c r="L168" s="29">
        <f>IF(AND(ISNUMBER(H168),ISNUMBER(K168)),EDATE(H168,K168),"")</f>
        <v/>
      </c>
      <c r="M168" s="29">
        <f>IF(COUNT(J168,L168)=0,"",IF(MIN(J168,L168)&gt;=TODAY(),MIN(J168,L168),MAX(J168,L168)))</f>
        <v/>
      </c>
      <c r="N168" s="31">
        <f>IF(ISNUMBER(M168),M168-TODAY(),"")</f>
        <v/>
      </c>
      <c r="O168" s="30" t="n"/>
      <c r="P168" s="29">
        <f>IF(ISNUMBER(M168),M168-IF(ISNUMBER(O168),O168,60),"")</f>
        <v/>
      </c>
      <c r="Q168" s="27" t="n"/>
      <c r="R168" s="27" t="n"/>
      <c r="S168" s="27" t="n"/>
      <c r="T168" s="27" t="n"/>
      <c r="U168" s="27" t="n"/>
      <c r="V168" s="27" t="n"/>
      <c r="W168" s="27" t="n"/>
      <c r="X168" s="27" t="n"/>
      <c r="Y168" s="27" t="n"/>
    </row>
    <row r="169">
      <c r="A169" s="27" t="n"/>
      <c r="B169" s="27" t="n"/>
      <c r="C169" s="27" t="n"/>
      <c r="D169" s="27" t="n"/>
      <c r="E169" s="28" t="n"/>
      <c r="F169" s="28" t="n"/>
      <c r="G169" s="27" t="n"/>
      <c r="H169" s="29">
        <f>IF(G169="Invoice",IF(ISNUMBER(F169),F169,""),IF(ISNUMBER(E169),E169,""))</f>
        <v/>
      </c>
      <c r="I169" s="30" t="n"/>
      <c r="J169" s="29">
        <f>IF(AND(ISNUMBER(H169),ISNUMBER(I169)),EDATE(H169,I169),"")</f>
        <v/>
      </c>
      <c r="K169" s="30" t="n"/>
      <c r="L169" s="29">
        <f>IF(AND(ISNUMBER(H169),ISNUMBER(K169)),EDATE(H169,K169),"")</f>
        <v/>
      </c>
      <c r="M169" s="29">
        <f>IF(COUNT(J169,L169)=0,"",IF(MIN(J169,L169)&gt;=TODAY(),MIN(J169,L169),MAX(J169,L169)))</f>
        <v/>
      </c>
      <c r="N169" s="31">
        <f>IF(ISNUMBER(M169),M169-TODAY(),"")</f>
        <v/>
      </c>
      <c r="O169" s="30" t="n"/>
      <c r="P169" s="29">
        <f>IF(ISNUMBER(M169),M169-IF(ISNUMBER(O169),O169,60),"")</f>
        <v/>
      </c>
      <c r="Q169" s="27" t="n"/>
      <c r="R169" s="27" t="n"/>
      <c r="S169" s="27" t="n"/>
      <c r="T169" s="27" t="n"/>
      <c r="U169" s="27" t="n"/>
      <c r="V169" s="27" t="n"/>
      <c r="W169" s="27" t="n"/>
      <c r="X169" s="27" t="n"/>
      <c r="Y169" s="27" t="n"/>
    </row>
    <row r="170">
      <c r="A170" s="27" t="n"/>
      <c r="B170" s="27" t="n"/>
      <c r="C170" s="27" t="n"/>
      <c r="D170" s="27" t="n"/>
      <c r="E170" s="28" t="n"/>
      <c r="F170" s="28" t="n"/>
      <c r="G170" s="27" t="n"/>
      <c r="H170" s="29">
        <f>IF(G170="Invoice",IF(ISNUMBER(F170),F170,""),IF(ISNUMBER(E170),E170,""))</f>
        <v/>
      </c>
      <c r="I170" s="30" t="n"/>
      <c r="J170" s="29">
        <f>IF(AND(ISNUMBER(H170),ISNUMBER(I170)),EDATE(H170,I170),"")</f>
        <v/>
      </c>
      <c r="K170" s="30" t="n"/>
      <c r="L170" s="29">
        <f>IF(AND(ISNUMBER(H170),ISNUMBER(K170)),EDATE(H170,K170),"")</f>
        <v/>
      </c>
      <c r="M170" s="29">
        <f>IF(COUNT(J170,L170)=0,"",IF(MIN(J170,L170)&gt;=TODAY(),MIN(J170,L170),MAX(J170,L170)))</f>
        <v/>
      </c>
      <c r="N170" s="31">
        <f>IF(ISNUMBER(M170),M170-TODAY(),"")</f>
        <v/>
      </c>
      <c r="O170" s="30" t="n"/>
      <c r="P170" s="29">
        <f>IF(ISNUMBER(M170),M170-IF(ISNUMBER(O170),O170,60),"")</f>
        <v/>
      </c>
      <c r="Q170" s="27" t="n"/>
      <c r="R170" s="27" t="n"/>
      <c r="S170" s="27" t="n"/>
      <c r="T170" s="27" t="n"/>
      <c r="U170" s="27" t="n"/>
      <c r="V170" s="27" t="n"/>
      <c r="W170" s="27" t="n"/>
      <c r="X170" s="27" t="n"/>
      <c r="Y170" s="27" t="n"/>
    </row>
    <row r="171">
      <c r="A171" s="27" t="n"/>
      <c r="B171" s="27" t="n"/>
      <c r="C171" s="27" t="n"/>
      <c r="D171" s="27" t="n"/>
      <c r="E171" s="28" t="n"/>
      <c r="F171" s="28" t="n"/>
      <c r="G171" s="27" t="n"/>
      <c r="H171" s="29">
        <f>IF(G171="Invoice",IF(ISNUMBER(F171),F171,""),IF(ISNUMBER(E171),E171,""))</f>
        <v/>
      </c>
      <c r="I171" s="30" t="n"/>
      <c r="J171" s="29">
        <f>IF(AND(ISNUMBER(H171),ISNUMBER(I171)),EDATE(H171,I171),"")</f>
        <v/>
      </c>
      <c r="K171" s="30" t="n"/>
      <c r="L171" s="29">
        <f>IF(AND(ISNUMBER(H171),ISNUMBER(K171)),EDATE(H171,K171),"")</f>
        <v/>
      </c>
      <c r="M171" s="29">
        <f>IF(COUNT(J171,L171)=0,"",IF(MIN(J171,L171)&gt;=TODAY(),MIN(J171,L171),MAX(J171,L171)))</f>
        <v/>
      </c>
      <c r="N171" s="31">
        <f>IF(ISNUMBER(M171),M171-TODAY(),"")</f>
        <v/>
      </c>
      <c r="O171" s="30" t="n"/>
      <c r="P171" s="29">
        <f>IF(ISNUMBER(M171),M171-IF(ISNUMBER(O171),O171,60),"")</f>
        <v/>
      </c>
      <c r="Q171" s="27" t="n"/>
      <c r="R171" s="27" t="n"/>
      <c r="S171" s="27" t="n"/>
      <c r="T171" s="27" t="n"/>
      <c r="U171" s="27" t="n"/>
      <c r="V171" s="27" t="n"/>
      <c r="W171" s="27" t="n"/>
      <c r="X171" s="27" t="n"/>
      <c r="Y171" s="27" t="n"/>
    </row>
    <row r="172">
      <c r="A172" s="27" t="n"/>
      <c r="B172" s="27" t="n"/>
      <c r="C172" s="27" t="n"/>
      <c r="D172" s="27" t="n"/>
      <c r="E172" s="28" t="n"/>
      <c r="F172" s="28" t="n"/>
      <c r="G172" s="27" t="n"/>
      <c r="H172" s="29">
        <f>IF(G172="Invoice",IF(ISNUMBER(F172),F172,""),IF(ISNUMBER(E172),E172,""))</f>
        <v/>
      </c>
      <c r="I172" s="30" t="n"/>
      <c r="J172" s="29">
        <f>IF(AND(ISNUMBER(H172),ISNUMBER(I172)),EDATE(H172,I172),"")</f>
        <v/>
      </c>
      <c r="K172" s="30" t="n"/>
      <c r="L172" s="29">
        <f>IF(AND(ISNUMBER(H172),ISNUMBER(K172)),EDATE(H172,K172),"")</f>
        <v/>
      </c>
      <c r="M172" s="29">
        <f>IF(COUNT(J172,L172)=0,"",IF(MIN(J172,L172)&gt;=TODAY(),MIN(J172,L172),MAX(J172,L172)))</f>
        <v/>
      </c>
      <c r="N172" s="31">
        <f>IF(ISNUMBER(M172),M172-TODAY(),"")</f>
        <v/>
      </c>
      <c r="O172" s="30" t="n"/>
      <c r="P172" s="29">
        <f>IF(ISNUMBER(M172),M172-IF(ISNUMBER(O172),O172,60),"")</f>
        <v/>
      </c>
      <c r="Q172" s="27" t="n"/>
      <c r="R172" s="27" t="n"/>
      <c r="S172" s="27" t="n"/>
      <c r="T172" s="27" t="n"/>
      <c r="U172" s="27" t="n"/>
      <c r="V172" s="27" t="n"/>
      <c r="W172" s="27" t="n"/>
      <c r="X172" s="27" t="n"/>
      <c r="Y172" s="27" t="n"/>
    </row>
    <row r="173">
      <c r="A173" s="27" t="n"/>
      <c r="B173" s="27" t="n"/>
      <c r="C173" s="27" t="n"/>
      <c r="D173" s="27" t="n"/>
      <c r="E173" s="28" t="n"/>
      <c r="F173" s="28" t="n"/>
      <c r="G173" s="27" t="n"/>
      <c r="H173" s="29">
        <f>IF(G173="Invoice",IF(ISNUMBER(F173),F173,""),IF(ISNUMBER(E173),E173,""))</f>
        <v/>
      </c>
      <c r="I173" s="30" t="n"/>
      <c r="J173" s="29">
        <f>IF(AND(ISNUMBER(H173),ISNUMBER(I173)),EDATE(H173,I173),"")</f>
        <v/>
      </c>
      <c r="K173" s="30" t="n"/>
      <c r="L173" s="29">
        <f>IF(AND(ISNUMBER(H173),ISNUMBER(K173)),EDATE(H173,K173),"")</f>
        <v/>
      </c>
      <c r="M173" s="29">
        <f>IF(COUNT(J173,L173)=0,"",IF(MIN(J173,L173)&gt;=TODAY(),MIN(J173,L173),MAX(J173,L173)))</f>
        <v/>
      </c>
      <c r="N173" s="31">
        <f>IF(ISNUMBER(M173),M173-TODAY(),"")</f>
        <v/>
      </c>
      <c r="O173" s="30" t="n"/>
      <c r="P173" s="29">
        <f>IF(ISNUMBER(M173),M173-IF(ISNUMBER(O173),O173,60),"")</f>
        <v/>
      </c>
      <c r="Q173" s="27" t="n"/>
      <c r="R173" s="27" t="n"/>
      <c r="S173" s="27" t="n"/>
      <c r="T173" s="27" t="n"/>
      <c r="U173" s="27" t="n"/>
      <c r="V173" s="27" t="n"/>
      <c r="W173" s="27" t="n"/>
      <c r="X173" s="27" t="n"/>
      <c r="Y173" s="27" t="n"/>
    </row>
    <row r="174">
      <c r="A174" s="27" t="n"/>
      <c r="B174" s="27" t="n"/>
      <c r="C174" s="27" t="n"/>
      <c r="D174" s="27" t="n"/>
      <c r="E174" s="28" t="n"/>
      <c r="F174" s="28" t="n"/>
      <c r="G174" s="27" t="n"/>
      <c r="H174" s="29">
        <f>IF(G174="Invoice",IF(ISNUMBER(F174),F174,""),IF(ISNUMBER(E174),E174,""))</f>
        <v/>
      </c>
      <c r="I174" s="30" t="n"/>
      <c r="J174" s="29">
        <f>IF(AND(ISNUMBER(H174),ISNUMBER(I174)),EDATE(H174,I174),"")</f>
        <v/>
      </c>
      <c r="K174" s="30" t="n"/>
      <c r="L174" s="29">
        <f>IF(AND(ISNUMBER(H174),ISNUMBER(K174)),EDATE(H174,K174),"")</f>
        <v/>
      </c>
      <c r="M174" s="29">
        <f>IF(COUNT(J174,L174)=0,"",IF(MIN(J174,L174)&gt;=TODAY(),MIN(J174,L174),MAX(J174,L174)))</f>
        <v/>
      </c>
      <c r="N174" s="31">
        <f>IF(ISNUMBER(M174),M174-TODAY(),"")</f>
        <v/>
      </c>
      <c r="O174" s="30" t="n"/>
      <c r="P174" s="29">
        <f>IF(ISNUMBER(M174),M174-IF(ISNUMBER(O174),O174,60),"")</f>
        <v/>
      </c>
      <c r="Q174" s="27" t="n"/>
      <c r="R174" s="27" t="n"/>
      <c r="S174" s="27" t="n"/>
      <c r="T174" s="27" t="n"/>
      <c r="U174" s="27" t="n"/>
      <c r="V174" s="27" t="n"/>
      <c r="W174" s="27" t="n"/>
      <c r="X174" s="27" t="n"/>
      <c r="Y174" s="27" t="n"/>
    </row>
    <row r="175">
      <c r="A175" s="27" t="n"/>
      <c r="B175" s="27" t="n"/>
      <c r="C175" s="27" t="n"/>
      <c r="D175" s="27" t="n"/>
      <c r="E175" s="28" t="n"/>
      <c r="F175" s="28" t="n"/>
      <c r="G175" s="27" t="n"/>
      <c r="H175" s="29">
        <f>IF(G175="Invoice",IF(ISNUMBER(F175),F175,""),IF(ISNUMBER(E175),E175,""))</f>
        <v/>
      </c>
      <c r="I175" s="30" t="n"/>
      <c r="J175" s="29">
        <f>IF(AND(ISNUMBER(H175),ISNUMBER(I175)),EDATE(H175,I175),"")</f>
        <v/>
      </c>
      <c r="K175" s="30" t="n"/>
      <c r="L175" s="29">
        <f>IF(AND(ISNUMBER(H175),ISNUMBER(K175)),EDATE(H175,K175),"")</f>
        <v/>
      </c>
      <c r="M175" s="29">
        <f>IF(COUNT(J175,L175)=0,"",IF(MIN(J175,L175)&gt;=TODAY(),MIN(J175,L175),MAX(J175,L175)))</f>
        <v/>
      </c>
      <c r="N175" s="31">
        <f>IF(ISNUMBER(M175),M175-TODAY(),"")</f>
        <v/>
      </c>
      <c r="O175" s="30" t="n"/>
      <c r="P175" s="29">
        <f>IF(ISNUMBER(M175),M175-IF(ISNUMBER(O175),O175,60),"")</f>
        <v/>
      </c>
      <c r="Q175" s="27" t="n"/>
      <c r="R175" s="27" t="n"/>
      <c r="S175" s="27" t="n"/>
      <c r="T175" s="27" t="n"/>
      <c r="U175" s="27" t="n"/>
      <c r="V175" s="27" t="n"/>
      <c r="W175" s="27" t="n"/>
      <c r="X175" s="27" t="n"/>
      <c r="Y175" s="27" t="n"/>
    </row>
    <row r="176">
      <c r="A176" s="27" t="n"/>
      <c r="B176" s="27" t="n"/>
      <c r="C176" s="27" t="n"/>
      <c r="D176" s="27" t="n"/>
      <c r="E176" s="28" t="n"/>
      <c r="F176" s="28" t="n"/>
      <c r="G176" s="27" t="n"/>
      <c r="H176" s="29">
        <f>IF(G176="Invoice",IF(ISNUMBER(F176),F176,""),IF(ISNUMBER(E176),E176,""))</f>
        <v/>
      </c>
      <c r="I176" s="30" t="n"/>
      <c r="J176" s="29">
        <f>IF(AND(ISNUMBER(H176),ISNUMBER(I176)),EDATE(H176,I176),"")</f>
        <v/>
      </c>
      <c r="K176" s="30" t="n"/>
      <c r="L176" s="29">
        <f>IF(AND(ISNUMBER(H176),ISNUMBER(K176)),EDATE(H176,K176),"")</f>
        <v/>
      </c>
      <c r="M176" s="29">
        <f>IF(COUNT(J176,L176)=0,"",IF(MIN(J176,L176)&gt;=TODAY(),MIN(J176,L176),MAX(J176,L176)))</f>
        <v/>
      </c>
      <c r="N176" s="31">
        <f>IF(ISNUMBER(M176),M176-TODAY(),"")</f>
        <v/>
      </c>
      <c r="O176" s="30" t="n"/>
      <c r="P176" s="29">
        <f>IF(ISNUMBER(M176),M176-IF(ISNUMBER(O176),O176,60),"")</f>
        <v/>
      </c>
      <c r="Q176" s="27" t="n"/>
      <c r="R176" s="27" t="n"/>
      <c r="S176" s="27" t="n"/>
      <c r="T176" s="27" t="n"/>
      <c r="U176" s="27" t="n"/>
      <c r="V176" s="27" t="n"/>
      <c r="W176" s="27" t="n"/>
      <c r="X176" s="27" t="n"/>
      <c r="Y176" s="27" t="n"/>
    </row>
    <row r="177">
      <c r="A177" s="27" t="n"/>
      <c r="B177" s="27" t="n"/>
      <c r="C177" s="27" t="n"/>
      <c r="D177" s="27" t="n"/>
      <c r="E177" s="28" t="n"/>
      <c r="F177" s="28" t="n"/>
      <c r="G177" s="27" t="n"/>
      <c r="H177" s="29">
        <f>IF(G177="Invoice",IF(ISNUMBER(F177),F177,""),IF(ISNUMBER(E177),E177,""))</f>
        <v/>
      </c>
      <c r="I177" s="30" t="n"/>
      <c r="J177" s="29">
        <f>IF(AND(ISNUMBER(H177),ISNUMBER(I177)),EDATE(H177,I177),"")</f>
        <v/>
      </c>
      <c r="K177" s="30" t="n"/>
      <c r="L177" s="29">
        <f>IF(AND(ISNUMBER(H177),ISNUMBER(K177)),EDATE(H177,K177),"")</f>
        <v/>
      </c>
      <c r="M177" s="29">
        <f>IF(COUNT(J177,L177)=0,"",IF(MIN(J177,L177)&gt;=TODAY(),MIN(J177,L177),MAX(J177,L177)))</f>
        <v/>
      </c>
      <c r="N177" s="31">
        <f>IF(ISNUMBER(M177),M177-TODAY(),"")</f>
        <v/>
      </c>
      <c r="O177" s="30" t="n"/>
      <c r="P177" s="29">
        <f>IF(ISNUMBER(M177),M177-IF(ISNUMBER(O177),O177,60),"")</f>
        <v/>
      </c>
      <c r="Q177" s="27" t="n"/>
      <c r="R177" s="27" t="n"/>
      <c r="S177" s="27" t="n"/>
      <c r="T177" s="27" t="n"/>
      <c r="U177" s="27" t="n"/>
      <c r="V177" s="27" t="n"/>
      <c r="W177" s="27" t="n"/>
      <c r="X177" s="27" t="n"/>
      <c r="Y177" s="27" t="n"/>
    </row>
    <row r="178">
      <c r="A178" s="27" t="n"/>
      <c r="B178" s="27" t="n"/>
      <c r="C178" s="27" t="n"/>
      <c r="D178" s="27" t="n"/>
      <c r="E178" s="28" t="n"/>
      <c r="F178" s="28" t="n"/>
      <c r="G178" s="27" t="n"/>
      <c r="H178" s="29">
        <f>IF(G178="Invoice",IF(ISNUMBER(F178),F178,""),IF(ISNUMBER(E178),E178,""))</f>
        <v/>
      </c>
      <c r="I178" s="30" t="n"/>
      <c r="J178" s="29">
        <f>IF(AND(ISNUMBER(H178),ISNUMBER(I178)),EDATE(H178,I178),"")</f>
        <v/>
      </c>
      <c r="K178" s="30" t="n"/>
      <c r="L178" s="29">
        <f>IF(AND(ISNUMBER(H178),ISNUMBER(K178)),EDATE(H178,K178),"")</f>
        <v/>
      </c>
      <c r="M178" s="29">
        <f>IF(COUNT(J178,L178)=0,"",IF(MIN(J178,L178)&gt;=TODAY(),MIN(J178,L178),MAX(J178,L178)))</f>
        <v/>
      </c>
      <c r="N178" s="31">
        <f>IF(ISNUMBER(M178),M178-TODAY(),"")</f>
        <v/>
      </c>
      <c r="O178" s="30" t="n"/>
      <c r="P178" s="29">
        <f>IF(ISNUMBER(M178),M178-IF(ISNUMBER(O178),O178,60),"")</f>
        <v/>
      </c>
      <c r="Q178" s="27" t="n"/>
      <c r="R178" s="27" t="n"/>
      <c r="S178" s="27" t="n"/>
      <c r="T178" s="27" t="n"/>
      <c r="U178" s="27" t="n"/>
      <c r="V178" s="27" t="n"/>
      <c r="W178" s="27" t="n"/>
      <c r="X178" s="27" t="n"/>
      <c r="Y178" s="27" t="n"/>
    </row>
    <row r="179">
      <c r="A179" s="27" t="n"/>
      <c r="B179" s="27" t="n"/>
      <c r="C179" s="27" t="n"/>
      <c r="D179" s="27" t="n"/>
      <c r="E179" s="28" t="n"/>
      <c r="F179" s="28" t="n"/>
      <c r="G179" s="27" t="n"/>
      <c r="H179" s="29">
        <f>IF(G179="Invoice",IF(ISNUMBER(F179),F179,""),IF(ISNUMBER(E179),E179,""))</f>
        <v/>
      </c>
      <c r="I179" s="30" t="n"/>
      <c r="J179" s="29">
        <f>IF(AND(ISNUMBER(H179),ISNUMBER(I179)),EDATE(H179,I179),"")</f>
        <v/>
      </c>
      <c r="K179" s="30" t="n"/>
      <c r="L179" s="29">
        <f>IF(AND(ISNUMBER(H179),ISNUMBER(K179)),EDATE(H179,K179),"")</f>
        <v/>
      </c>
      <c r="M179" s="29">
        <f>IF(COUNT(J179,L179)=0,"",IF(MIN(J179,L179)&gt;=TODAY(),MIN(J179,L179),MAX(J179,L179)))</f>
        <v/>
      </c>
      <c r="N179" s="31">
        <f>IF(ISNUMBER(M179),M179-TODAY(),"")</f>
        <v/>
      </c>
      <c r="O179" s="30" t="n"/>
      <c r="P179" s="29">
        <f>IF(ISNUMBER(M179),M179-IF(ISNUMBER(O179),O179,60),"")</f>
        <v/>
      </c>
      <c r="Q179" s="27" t="n"/>
      <c r="R179" s="27" t="n"/>
      <c r="S179" s="27" t="n"/>
      <c r="T179" s="27" t="n"/>
      <c r="U179" s="27" t="n"/>
      <c r="V179" s="27" t="n"/>
      <c r="W179" s="27" t="n"/>
      <c r="X179" s="27" t="n"/>
      <c r="Y179" s="27" t="n"/>
    </row>
    <row r="180">
      <c r="A180" s="27" t="n"/>
      <c r="B180" s="27" t="n"/>
      <c r="C180" s="27" t="n"/>
      <c r="D180" s="27" t="n"/>
      <c r="E180" s="28" t="n"/>
      <c r="F180" s="28" t="n"/>
      <c r="G180" s="27" t="n"/>
      <c r="H180" s="29">
        <f>IF(G180="Invoice",IF(ISNUMBER(F180),F180,""),IF(ISNUMBER(E180),E180,""))</f>
        <v/>
      </c>
      <c r="I180" s="30" t="n"/>
      <c r="J180" s="29">
        <f>IF(AND(ISNUMBER(H180),ISNUMBER(I180)),EDATE(H180,I180),"")</f>
        <v/>
      </c>
      <c r="K180" s="30" t="n"/>
      <c r="L180" s="29">
        <f>IF(AND(ISNUMBER(H180),ISNUMBER(K180)),EDATE(H180,K180),"")</f>
        <v/>
      </c>
      <c r="M180" s="29">
        <f>IF(COUNT(J180,L180)=0,"",IF(MIN(J180,L180)&gt;=TODAY(),MIN(J180,L180),MAX(J180,L180)))</f>
        <v/>
      </c>
      <c r="N180" s="31">
        <f>IF(ISNUMBER(M180),M180-TODAY(),"")</f>
        <v/>
      </c>
      <c r="O180" s="30" t="n"/>
      <c r="P180" s="29">
        <f>IF(ISNUMBER(M180),M180-IF(ISNUMBER(O180),O180,60),"")</f>
        <v/>
      </c>
      <c r="Q180" s="27" t="n"/>
      <c r="R180" s="27" t="n"/>
      <c r="S180" s="27" t="n"/>
      <c r="T180" s="27" t="n"/>
      <c r="U180" s="27" t="n"/>
      <c r="V180" s="27" t="n"/>
      <c r="W180" s="27" t="n"/>
      <c r="X180" s="27" t="n"/>
      <c r="Y180" s="27" t="n"/>
    </row>
    <row r="181">
      <c r="A181" s="27" t="n"/>
      <c r="B181" s="27" t="n"/>
      <c r="C181" s="27" t="n"/>
      <c r="D181" s="27" t="n"/>
      <c r="E181" s="28" t="n"/>
      <c r="F181" s="28" t="n"/>
      <c r="G181" s="27" t="n"/>
      <c r="H181" s="29">
        <f>IF(G181="Invoice",IF(ISNUMBER(F181),F181,""),IF(ISNUMBER(E181),E181,""))</f>
        <v/>
      </c>
      <c r="I181" s="30" t="n"/>
      <c r="J181" s="29">
        <f>IF(AND(ISNUMBER(H181),ISNUMBER(I181)),EDATE(H181,I181),"")</f>
        <v/>
      </c>
      <c r="K181" s="30" t="n"/>
      <c r="L181" s="29">
        <f>IF(AND(ISNUMBER(H181),ISNUMBER(K181)),EDATE(H181,K181),"")</f>
        <v/>
      </c>
      <c r="M181" s="29">
        <f>IF(COUNT(J181,L181)=0,"",IF(MIN(J181,L181)&gt;=TODAY(),MIN(J181,L181),MAX(J181,L181)))</f>
        <v/>
      </c>
      <c r="N181" s="31">
        <f>IF(ISNUMBER(M181),M181-TODAY(),"")</f>
        <v/>
      </c>
      <c r="O181" s="30" t="n"/>
      <c r="P181" s="29">
        <f>IF(ISNUMBER(M181),M181-IF(ISNUMBER(O181),O181,60),"")</f>
        <v/>
      </c>
      <c r="Q181" s="27" t="n"/>
      <c r="R181" s="27" t="n"/>
      <c r="S181" s="27" t="n"/>
      <c r="T181" s="27" t="n"/>
      <c r="U181" s="27" t="n"/>
      <c r="V181" s="27" t="n"/>
      <c r="W181" s="27" t="n"/>
      <c r="X181" s="27" t="n"/>
      <c r="Y181" s="27" t="n"/>
    </row>
    <row r="182">
      <c r="A182" s="27" t="n"/>
      <c r="B182" s="27" t="n"/>
      <c r="C182" s="27" t="n"/>
      <c r="D182" s="27" t="n"/>
      <c r="E182" s="28" t="n"/>
      <c r="F182" s="28" t="n"/>
      <c r="G182" s="27" t="n"/>
      <c r="H182" s="29">
        <f>IF(G182="Invoice",IF(ISNUMBER(F182),F182,""),IF(ISNUMBER(E182),E182,""))</f>
        <v/>
      </c>
      <c r="I182" s="30" t="n"/>
      <c r="J182" s="29">
        <f>IF(AND(ISNUMBER(H182),ISNUMBER(I182)),EDATE(H182,I182),"")</f>
        <v/>
      </c>
      <c r="K182" s="30" t="n"/>
      <c r="L182" s="29">
        <f>IF(AND(ISNUMBER(H182),ISNUMBER(K182)),EDATE(H182,K182),"")</f>
        <v/>
      </c>
      <c r="M182" s="29">
        <f>IF(COUNT(J182,L182)=0,"",IF(MIN(J182,L182)&gt;=TODAY(),MIN(J182,L182),MAX(J182,L182)))</f>
        <v/>
      </c>
      <c r="N182" s="31">
        <f>IF(ISNUMBER(M182),M182-TODAY(),"")</f>
        <v/>
      </c>
      <c r="O182" s="30" t="n"/>
      <c r="P182" s="29">
        <f>IF(ISNUMBER(M182),M182-IF(ISNUMBER(O182),O182,60),"")</f>
        <v/>
      </c>
      <c r="Q182" s="27" t="n"/>
      <c r="R182" s="27" t="n"/>
      <c r="S182" s="27" t="n"/>
      <c r="T182" s="27" t="n"/>
      <c r="U182" s="27" t="n"/>
      <c r="V182" s="27" t="n"/>
      <c r="W182" s="27" t="n"/>
      <c r="X182" s="27" t="n"/>
      <c r="Y182" s="27" t="n"/>
    </row>
    <row r="183">
      <c r="A183" s="27" t="n"/>
      <c r="B183" s="27" t="n"/>
      <c r="C183" s="27" t="n"/>
      <c r="D183" s="27" t="n"/>
      <c r="E183" s="28" t="n"/>
      <c r="F183" s="28" t="n"/>
      <c r="G183" s="27" t="n"/>
      <c r="H183" s="29">
        <f>IF(G183="Invoice",IF(ISNUMBER(F183),F183,""),IF(ISNUMBER(E183),E183,""))</f>
        <v/>
      </c>
      <c r="I183" s="30" t="n"/>
      <c r="J183" s="29">
        <f>IF(AND(ISNUMBER(H183),ISNUMBER(I183)),EDATE(H183,I183),"")</f>
        <v/>
      </c>
      <c r="K183" s="30" t="n"/>
      <c r="L183" s="29">
        <f>IF(AND(ISNUMBER(H183),ISNUMBER(K183)),EDATE(H183,K183),"")</f>
        <v/>
      </c>
      <c r="M183" s="29">
        <f>IF(COUNT(J183,L183)=0,"",IF(MIN(J183,L183)&gt;=TODAY(),MIN(J183,L183),MAX(J183,L183)))</f>
        <v/>
      </c>
      <c r="N183" s="31">
        <f>IF(ISNUMBER(M183),M183-TODAY(),"")</f>
        <v/>
      </c>
      <c r="O183" s="30" t="n"/>
      <c r="P183" s="29">
        <f>IF(ISNUMBER(M183),M183-IF(ISNUMBER(O183),O183,60),"")</f>
        <v/>
      </c>
      <c r="Q183" s="27" t="n"/>
      <c r="R183" s="27" t="n"/>
      <c r="S183" s="27" t="n"/>
      <c r="T183" s="27" t="n"/>
      <c r="U183" s="27" t="n"/>
      <c r="V183" s="27" t="n"/>
      <c r="W183" s="27" t="n"/>
      <c r="X183" s="27" t="n"/>
      <c r="Y183" s="27" t="n"/>
    </row>
    <row r="184">
      <c r="A184" s="27" t="n"/>
      <c r="B184" s="27" t="n"/>
      <c r="C184" s="27" t="n"/>
      <c r="D184" s="27" t="n"/>
      <c r="E184" s="28" t="n"/>
      <c r="F184" s="28" t="n"/>
      <c r="G184" s="27" t="n"/>
      <c r="H184" s="29">
        <f>IF(G184="Invoice",IF(ISNUMBER(F184),F184,""),IF(ISNUMBER(E184),E184,""))</f>
        <v/>
      </c>
      <c r="I184" s="30" t="n"/>
      <c r="J184" s="29">
        <f>IF(AND(ISNUMBER(H184),ISNUMBER(I184)),EDATE(H184,I184),"")</f>
        <v/>
      </c>
      <c r="K184" s="30" t="n"/>
      <c r="L184" s="29">
        <f>IF(AND(ISNUMBER(H184),ISNUMBER(K184)),EDATE(H184,K184),"")</f>
        <v/>
      </c>
      <c r="M184" s="29">
        <f>IF(COUNT(J184,L184)=0,"",IF(MIN(J184,L184)&gt;=TODAY(),MIN(J184,L184),MAX(J184,L184)))</f>
        <v/>
      </c>
      <c r="N184" s="31">
        <f>IF(ISNUMBER(M184),M184-TODAY(),"")</f>
        <v/>
      </c>
      <c r="O184" s="30" t="n"/>
      <c r="P184" s="29">
        <f>IF(ISNUMBER(M184),M184-IF(ISNUMBER(O184),O184,60),"")</f>
        <v/>
      </c>
      <c r="Q184" s="27" t="n"/>
      <c r="R184" s="27" t="n"/>
      <c r="S184" s="27" t="n"/>
      <c r="T184" s="27" t="n"/>
      <c r="U184" s="27" t="n"/>
      <c r="V184" s="27" t="n"/>
      <c r="W184" s="27" t="n"/>
      <c r="X184" s="27" t="n"/>
      <c r="Y184" s="27" t="n"/>
    </row>
    <row r="185">
      <c r="A185" s="27" t="n"/>
      <c r="B185" s="27" t="n"/>
      <c r="C185" s="27" t="n"/>
      <c r="D185" s="27" t="n"/>
      <c r="E185" s="28" t="n"/>
      <c r="F185" s="28" t="n"/>
      <c r="G185" s="27" t="n"/>
      <c r="H185" s="29">
        <f>IF(G185="Invoice",IF(ISNUMBER(F185),F185,""),IF(ISNUMBER(E185),E185,""))</f>
        <v/>
      </c>
      <c r="I185" s="30" t="n"/>
      <c r="J185" s="29">
        <f>IF(AND(ISNUMBER(H185),ISNUMBER(I185)),EDATE(H185,I185),"")</f>
        <v/>
      </c>
      <c r="K185" s="30" t="n"/>
      <c r="L185" s="29">
        <f>IF(AND(ISNUMBER(H185),ISNUMBER(K185)),EDATE(H185,K185),"")</f>
        <v/>
      </c>
      <c r="M185" s="29">
        <f>IF(COUNT(J185,L185)=0,"",IF(MIN(J185,L185)&gt;=TODAY(),MIN(J185,L185),MAX(J185,L185)))</f>
        <v/>
      </c>
      <c r="N185" s="31">
        <f>IF(ISNUMBER(M185),M185-TODAY(),"")</f>
        <v/>
      </c>
      <c r="O185" s="30" t="n"/>
      <c r="P185" s="29">
        <f>IF(ISNUMBER(M185),M185-IF(ISNUMBER(O185),O185,60),"")</f>
        <v/>
      </c>
      <c r="Q185" s="27" t="n"/>
      <c r="R185" s="27" t="n"/>
      <c r="S185" s="27" t="n"/>
      <c r="T185" s="27" t="n"/>
      <c r="U185" s="27" t="n"/>
      <c r="V185" s="27" t="n"/>
      <c r="W185" s="27" t="n"/>
      <c r="X185" s="27" t="n"/>
      <c r="Y185" s="27" t="n"/>
    </row>
    <row r="186">
      <c r="A186" s="27" t="n"/>
      <c r="B186" s="27" t="n"/>
      <c r="C186" s="27" t="n"/>
      <c r="D186" s="27" t="n"/>
      <c r="E186" s="28" t="n"/>
      <c r="F186" s="28" t="n"/>
      <c r="G186" s="27" t="n"/>
      <c r="H186" s="29">
        <f>IF(G186="Invoice",IF(ISNUMBER(F186),F186,""),IF(ISNUMBER(E186),E186,""))</f>
        <v/>
      </c>
      <c r="I186" s="30" t="n"/>
      <c r="J186" s="29">
        <f>IF(AND(ISNUMBER(H186),ISNUMBER(I186)),EDATE(H186,I186),"")</f>
        <v/>
      </c>
      <c r="K186" s="30" t="n"/>
      <c r="L186" s="29">
        <f>IF(AND(ISNUMBER(H186),ISNUMBER(K186)),EDATE(H186,K186),"")</f>
        <v/>
      </c>
      <c r="M186" s="29">
        <f>IF(COUNT(J186,L186)=0,"",IF(MIN(J186,L186)&gt;=TODAY(),MIN(J186,L186),MAX(J186,L186)))</f>
        <v/>
      </c>
      <c r="N186" s="31">
        <f>IF(ISNUMBER(M186),M186-TODAY(),"")</f>
        <v/>
      </c>
      <c r="O186" s="30" t="n"/>
      <c r="P186" s="29">
        <f>IF(ISNUMBER(M186),M186-IF(ISNUMBER(O186),O186,60),"")</f>
        <v/>
      </c>
      <c r="Q186" s="27" t="n"/>
      <c r="R186" s="27" t="n"/>
      <c r="S186" s="27" t="n"/>
      <c r="T186" s="27" t="n"/>
      <c r="U186" s="27" t="n"/>
      <c r="V186" s="27" t="n"/>
      <c r="W186" s="27" t="n"/>
      <c r="X186" s="27" t="n"/>
      <c r="Y186" s="27" t="n"/>
    </row>
    <row r="187">
      <c r="A187" s="27" t="n"/>
      <c r="B187" s="27" t="n"/>
      <c r="C187" s="27" t="n"/>
      <c r="D187" s="27" t="n"/>
      <c r="E187" s="28" t="n"/>
      <c r="F187" s="28" t="n"/>
      <c r="G187" s="27" t="n"/>
      <c r="H187" s="29">
        <f>IF(G187="Invoice",IF(ISNUMBER(F187),F187,""),IF(ISNUMBER(E187),E187,""))</f>
        <v/>
      </c>
      <c r="I187" s="30" t="n"/>
      <c r="J187" s="29">
        <f>IF(AND(ISNUMBER(H187),ISNUMBER(I187)),EDATE(H187,I187),"")</f>
        <v/>
      </c>
      <c r="K187" s="30" t="n"/>
      <c r="L187" s="29">
        <f>IF(AND(ISNUMBER(H187),ISNUMBER(K187)),EDATE(H187,K187),"")</f>
        <v/>
      </c>
      <c r="M187" s="29">
        <f>IF(COUNT(J187,L187)=0,"",IF(MIN(J187,L187)&gt;=TODAY(),MIN(J187,L187),MAX(J187,L187)))</f>
        <v/>
      </c>
      <c r="N187" s="31">
        <f>IF(ISNUMBER(M187),M187-TODAY(),"")</f>
        <v/>
      </c>
      <c r="O187" s="30" t="n"/>
      <c r="P187" s="29">
        <f>IF(ISNUMBER(M187),M187-IF(ISNUMBER(O187),O187,60),"")</f>
        <v/>
      </c>
      <c r="Q187" s="27" t="n"/>
      <c r="R187" s="27" t="n"/>
      <c r="S187" s="27" t="n"/>
      <c r="T187" s="27" t="n"/>
      <c r="U187" s="27" t="n"/>
      <c r="V187" s="27" t="n"/>
      <c r="W187" s="27" t="n"/>
      <c r="X187" s="27" t="n"/>
      <c r="Y187" s="27" t="n"/>
    </row>
    <row r="188">
      <c r="A188" s="27" t="n"/>
      <c r="B188" s="27" t="n"/>
      <c r="C188" s="27" t="n"/>
      <c r="D188" s="27" t="n"/>
      <c r="E188" s="28" t="n"/>
      <c r="F188" s="28" t="n"/>
      <c r="G188" s="27" t="n"/>
      <c r="H188" s="29">
        <f>IF(G188="Invoice",IF(ISNUMBER(F188),F188,""),IF(ISNUMBER(E188),E188,""))</f>
        <v/>
      </c>
      <c r="I188" s="30" t="n"/>
      <c r="J188" s="29">
        <f>IF(AND(ISNUMBER(H188),ISNUMBER(I188)),EDATE(H188,I188),"")</f>
        <v/>
      </c>
      <c r="K188" s="30" t="n"/>
      <c r="L188" s="29">
        <f>IF(AND(ISNUMBER(H188),ISNUMBER(K188)),EDATE(H188,K188),"")</f>
        <v/>
      </c>
      <c r="M188" s="29">
        <f>IF(COUNT(J188,L188)=0,"",IF(MIN(J188,L188)&gt;=TODAY(),MIN(J188,L188),MAX(J188,L188)))</f>
        <v/>
      </c>
      <c r="N188" s="31">
        <f>IF(ISNUMBER(M188),M188-TODAY(),"")</f>
        <v/>
      </c>
      <c r="O188" s="30" t="n"/>
      <c r="P188" s="29">
        <f>IF(ISNUMBER(M188),M188-IF(ISNUMBER(O188),O188,60),"")</f>
        <v/>
      </c>
      <c r="Q188" s="27" t="n"/>
      <c r="R188" s="27" t="n"/>
      <c r="S188" s="27" t="n"/>
      <c r="T188" s="27" t="n"/>
      <c r="U188" s="27" t="n"/>
      <c r="V188" s="27" t="n"/>
      <c r="W188" s="27" t="n"/>
      <c r="X188" s="27" t="n"/>
      <c r="Y188" s="27" t="n"/>
    </row>
    <row r="189">
      <c r="A189" s="27" t="n"/>
      <c r="B189" s="27" t="n"/>
      <c r="C189" s="27" t="n"/>
      <c r="D189" s="27" t="n"/>
      <c r="E189" s="28" t="n"/>
      <c r="F189" s="28" t="n"/>
      <c r="G189" s="27" t="n"/>
      <c r="H189" s="29">
        <f>IF(G189="Invoice",IF(ISNUMBER(F189),F189,""),IF(ISNUMBER(E189),E189,""))</f>
        <v/>
      </c>
      <c r="I189" s="30" t="n"/>
      <c r="J189" s="29">
        <f>IF(AND(ISNUMBER(H189),ISNUMBER(I189)),EDATE(H189,I189),"")</f>
        <v/>
      </c>
      <c r="K189" s="30" t="n"/>
      <c r="L189" s="29">
        <f>IF(AND(ISNUMBER(H189),ISNUMBER(K189)),EDATE(H189,K189),"")</f>
        <v/>
      </c>
      <c r="M189" s="29">
        <f>IF(COUNT(J189,L189)=0,"",IF(MIN(J189,L189)&gt;=TODAY(),MIN(J189,L189),MAX(J189,L189)))</f>
        <v/>
      </c>
      <c r="N189" s="31">
        <f>IF(ISNUMBER(M189),M189-TODAY(),"")</f>
        <v/>
      </c>
      <c r="O189" s="30" t="n"/>
      <c r="P189" s="29">
        <f>IF(ISNUMBER(M189),M189-IF(ISNUMBER(O189),O189,60),"")</f>
        <v/>
      </c>
      <c r="Q189" s="27" t="n"/>
      <c r="R189" s="27" t="n"/>
      <c r="S189" s="27" t="n"/>
      <c r="T189" s="27" t="n"/>
      <c r="U189" s="27" t="n"/>
      <c r="V189" s="27" t="n"/>
      <c r="W189" s="27" t="n"/>
      <c r="X189" s="27" t="n"/>
      <c r="Y189" s="27" t="n"/>
    </row>
    <row r="190">
      <c r="A190" s="27" t="n"/>
      <c r="B190" s="27" t="n"/>
      <c r="C190" s="27" t="n"/>
      <c r="D190" s="27" t="n"/>
      <c r="E190" s="28" t="n"/>
      <c r="F190" s="28" t="n"/>
      <c r="G190" s="27" t="n"/>
      <c r="H190" s="29">
        <f>IF(G190="Invoice",IF(ISNUMBER(F190),F190,""),IF(ISNUMBER(E190),E190,""))</f>
        <v/>
      </c>
      <c r="I190" s="30" t="n"/>
      <c r="J190" s="29">
        <f>IF(AND(ISNUMBER(H190),ISNUMBER(I190)),EDATE(H190,I190),"")</f>
        <v/>
      </c>
      <c r="K190" s="30" t="n"/>
      <c r="L190" s="29">
        <f>IF(AND(ISNUMBER(H190),ISNUMBER(K190)),EDATE(H190,K190),"")</f>
        <v/>
      </c>
      <c r="M190" s="29">
        <f>IF(COUNT(J190,L190)=0,"",IF(MIN(J190,L190)&gt;=TODAY(),MIN(J190,L190),MAX(J190,L190)))</f>
        <v/>
      </c>
      <c r="N190" s="31">
        <f>IF(ISNUMBER(M190),M190-TODAY(),"")</f>
        <v/>
      </c>
      <c r="O190" s="30" t="n"/>
      <c r="P190" s="29">
        <f>IF(ISNUMBER(M190),M190-IF(ISNUMBER(O190),O190,60),"")</f>
        <v/>
      </c>
      <c r="Q190" s="27" t="n"/>
      <c r="R190" s="27" t="n"/>
      <c r="S190" s="27" t="n"/>
      <c r="T190" s="27" t="n"/>
      <c r="U190" s="27" t="n"/>
      <c r="V190" s="27" t="n"/>
      <c r="W190" s="27" t="n"/>
      <c r="X190" s="27" t="n"/>
      <c r="Y190" s="27" t="n"/>
    </row>
    <row r="191">
      <c r="A191" s="27" t="n"/>
      <c r="B191" s="27" t="n"/>
      <c r="C191" s="27" t="n"/>
      <c r="D191" s="27" t="n"/>
      <c r="E191" s="28" t="n"/>
      <c r="F191" s="28" t="n"/>
      <c r="G191" s="27" t="n"/>
      <c r="H191" s="29">
        <f>IF(G191="Invoice",IF(ISNUMBER(F191),F191,""),IF(ISNUMBER(E191),E191,""))</f>
        <v/>
      </c>
      <c r="I191" s="30" t="n"/>
      <c r="J191" s="29">
        <f>IF(AND(ISNUMBER(H191),ISNUMBER(I191)),EDATE(H191,I191),"")</f>
        <v/>
      </c>
      <c r="K191" s="30" t="n"/>
      <c r="L191" s="29">
        <f>IF(AND(ISNUMBER(H191),ISNUMBER(K191)),EDATE(H191,K191),"")</f>
        <v/>
      </c>
      <c r="M191" s="29">
        <f>IF(COUNT(J191,L191)=0,"",IF(MIN(J191,L191)&gt;=TODAY(),MIN(J191,L191),MAX(J191,L191)))</f>
        <v/>
      </c>
      <c r="N191" s="31">
        <f>IF(ISNUMBER(M191),M191-TODAY(),"")</f>
        <v/>
      </c>
      <c r="O191" s="30" t="n"/>
      <c r="P191" s="29">
        <f>IF(ISNUMBER(M191),M191-IF(ISNUMBER(O191),O191,60),"")</f>
        <v/>
      </c>
      <c r="Q191" s="27" t="n"/>
      <c r="R191" s="27" t="n"/>
      <c r="S191" s="27" t="n"/>
      <c r="T191" s="27" t="n"/>
      <c r="U191" s="27" t="n"/>
      <c r="V191" s="27" t="n"/>
      <c r="W191" s="27" t="n"/>
      <c r="X191" s="27" t="n"/>
      <c r="Y191" s="27" t="n"/>
    </row>
    <row r="192">
      <c r="A192" s="27" t="n"/>
      <c r="B192" s="27" t="n"/>
      <c r="C192" s="27" t="n"/>
      <c r="D192" s="27" t="n"/>
      <c r="E192" s="28" t="n"/>
      <c r="F192" s="28" t="n"/>
      <c r="G192" s="27" t="n"/>
      <c r="H192" s="29">
        <f>IF(G192="Invoice",IF(ISNUMBER(F192),F192,""),IF(ISNUMBER(E192),E192,""))</f>
        <v/>
      </c>
      <c r="I192" s="30" t="n"/>
      <c r="J192" s="29">
        <f>IF(AND(ISNUMBER(H192),ISNUMBER(I192)),EDATE(H192,I192),"")</f>
        <v/>
      </c>
      <c r="K192" s="30" t="n"/>
      <c r="L192" s="29">
        <f>IF(AND(ISNUMBER(H192),ISNUMBER(K192)),EDATE(H192,K192),"")</f>
        <v/>
      </c>
      <c r="M192" s="29">
        <f>IF(COUNT(J192,L192)=0,"",IF(MIN(J192,L192)&gt;=TODAY(),MIN(J192,L192),MAX(J192,L192)))</f>
        <v/>
      </c>
      <c r="N192" s="31">
        <f>IF(ISNUMBER(M192),M192-TODAY(),"")</f>
        <v/>
      </c>
      <c r="O192" s="30" t="n"/>
      <c r="P192" s="29">
        <f>IF(ISNUMBER(M192),M192-IF(ISNUMBER(O192),O192,60),"")</f>
        <v/>
      </c>
      <c r="Q192" s="27" t="n"/>
      <c r="R192" s="27" t="n"/>
      <c r="S192" s="27" t="n"/>
      <c r="T192" s="27" t="n"/>
      <c r="U192" s="27" t="n"/>
      <c r="V192" s="27" t="n"/>
      <c r="W192" s="27" t="n"/>
      <c r="X192" s="27" t="n"/>
      <c r="Y192" s="27" t="n"/>
    </row>
    <row r="193">
      <c r="A193" s="27" t="n"/>
      <c r="B193" s="27" t="n"/>
      <c r="C193" s="27" t="n"/>
      <c r="D193" s="27" t="n"/>
      <c r="E193" s="28" t="n"/>
      <c r="F193" s="28" t="n"/>
      <c r="G193" s="27" t="n"/>
      <c r="H193" s="29">
        <f>IF(G193="Invoice",IF(ISNUMBER(F193),F193,""),IF(ISNUMBER(E193),E193,""))</f>
        <v/>
      </c>
      <c r="I193" s="30" t="n"/>
      <c r="J193" s="29">
        <f>IF(AND(ISNUMBER(H193),ISNUMBER(I193)),EDATE(H193,I193),"")</f>
        <v/>
      </c>
      <c r="K193" s="30" t="n"/>
      <c r="L193" s="29">
        <f>IF(AND(ISNUMBER(H193),ISNUMBER(K193)),EDATE(H193,K193),"")</f>
        <v/>
      </c>
      <c r="M193" s="29">
        <f>IF(COUNT(J193,L193)=0,"",IF(MIN(J193,L193)&gt;=TODAY(),MIN(J193,L193),MAX(J193,L193)))</f>
        <v/>
      </c>
      <c r="N193" s="31">
        <f>IF(ISNUMBER(M193),M193-TODAY(),"")</f>
        <v/>
      </c>
      <c r="O193" s="30" t="n"/>
      <c r="P193" s="29">
        <f>IF(ISNUMBER(M193),M193-IF(ISNUMBER(O193),O193,60),"")</f>
        <v/>
      </c>
      <c r="Q193" s="27" t="n"/>
      <c r="R193" s="27" t="n"/>
      <c r="S193" s="27" t="n"/>
      <c r="T193" s="27" t="n"/>
      <c r="U193" s="27" t="n"/>
      <c r="V193" s="27" t="n"/>
      <c r="W193" s="27" t="n"/>
      <c r="X193" s="27" t="n"/>
      <c r="Y193" s="27" t="n"/>
    </row>
    <row r="194">
      <c r="A194" s="27" t="n"/>
      <c r="B194" s="27" t="n"/>
      <c r="C194" s="27" t="n"/>
      <c r="D194" s="27" t="n"/>
      <c r="E194" s="28" t="n"/>
      <c r="F194" s="28" t="n"/>
      <c r="G194" s="27" t="n"/>
      <c r="H194" s="29">
        <f>IF(G194="Invoice",IF(ISNUMBER(F194),F194,""),IF(ISNUMBER(E194),E194,""))</f>
        <v/>
      </c>
      <c r="I194" s="30" t="n"/>
      <c r="J194" s="29">
        <f>IF(AND(ISNUMBER(H194),ISNUMBER(I194)),EDATE(H194,I194),"")</f>
        <v/>
      </c>
      <c r="K194" s="30" t="n"/>
      <c r="L194" s="29">
        <f>IF(AND(ISNUMBER(H194),ISNUMBER(K194)),EDATE(H194,K194),"")</f>
        <v/>
      </c>
      <c r="M194" s="29">
        <f>IF(COUNT(J194,L194)=0,"",IF(MIN(J194,L194)&gt;=TODAY(),MIN(J194,L194),MAX(J194,L194)))</f>
        <v/>
      </c>
      <c r="N194" s="31">
        <f>IF(ISNUMBER(M194),M194-TODAY(),"")</f>
        <v/>
      </c>
      <c r="O194" s="30" t="n"/>
      <c r="P194" s="29">
        <f>IF(ISNUMBER(M194),M194-IF(ISNUMBER(O194),O194,60),"")</f>
        <v/>
      </c>
      <c r="Q194" s="27" t="n"/>
      <c r="R194" s="27" t="n"/>
      <c r="S194" s="27" t="n"/>
      <c r="T194" s="27" t="n"/>
      <c r="U194" s="27" t="n"/>
      <c r="V194" s="27" t="n"/>
      <c r="W194" s="27" t="n"/>
      <c r="X194" s="27" t="n"/>
      <c r="Y194" s="27" t="n"/>
    </row>
    <row r="195">
      <c r="A195" s="27" t="n"/>
      <c r="B195" s="27" t="n"/>
      <c r="C195" s="27" t="n"/>
      <c r="D195" s="27" t="n"/>
      <c r="E195" s="28" t="n"/>
      <c r="F195" s="28" t="n"/>
      <c r="G195" s="27" t="n"/>
      <c r="H195" s="29">
        <f>IF(G195="Invoice",IF(ISNUMBER(F195),F195,""),IF(ISNUMBER(E195),E195,""))</f>
        <v/>
      </c>
      <c r="I195" s="30" t="n"/>
      <c r="J195" s="29">
        <f>IF(AND(ISNUMBER(H195),ISNUMBER(I195)),EDATE(H195,I195),"")</f>
        <v/>
      </c>
      <c r="K195" s="30" t="n"/>
      <c r="L195" s="29">
        <f>IF(AND(ISNUMBER(H195),ISNUMBER(K195)),EDATE(H195,K195),"")</f>
        <v/>
      </c>
      <c r="M195" s="29">
        <f>IF(COUNT(J195,L195)=0,"",IF(MIN(J195,L195)&gt;=TODAY(),MIN(J195,L195),MAX(J195,L195)))</f>
        <v/>
      </c>
      <c r="N195" s="31">
        <f>IF(ISNUMBER(M195),M195-TODAY(),"")</f>
        <v/>
      </c>
      <c r="O195" s="30" t="n"/>
      <c r="P195" s="29">
        <f>IF(ISNUMBER(M195),M195-IF(ISNUMBER(O195),O195,60),"")</f>
        <v/>
      </c>
      <c r="Q195" s="27" t="n"/>
      <c r="R195" s="27" t="n"/>
      <c r="S195" s="27" t="n"/>
      <c r="T195" s="27" t="n"/>
      <c r="U195" s="27" t="n"/>
      <c r="V195" s="27" t="n"/>
      <c r="W195" s="27" t="n"/>
      <c r="X195" s="27" t="n"/>
      <c r="Y195" s="27" t="n"/>
    </row>
    <row r="196">
      <c r="A196" s="27" t="n"/>
      <c r="B196" s="27" t="n"/>
      <c r="C196" s="27" t="n"/>
      <c r="D196" s="27" t="n"/>
      <c r="E196" s="28" t="n"/>
      <c r="F196" s="28" t="n"/>
      <c r="G196" s="27" t="n"/>
      <c r="H196" s="29">
        <f>IF(G196="Invoice",IF(ISNUMBER(F196),F196,""),IF(ISNUMBER(E196),E196,""))</f>
        <v/>
      </c>
      <c r="I196" s="30" t="n"/>
      <c r="J196" s="29">
        <f>IF(AND(ISNUMBER(H196),ISNUMBER(I196)),EDATE(H196,I196),"")</f>
        <v/>
      </c>
      <c r="K196" s="30" t="n"/>
      <c r="L196" s="29">
        <f>IF(AND(ISNUMBER(H196),ISNUMBER(K196)),EDATE(H196,K196),"")</f>
        <v/>
      </c>
      <c r="M196" s="29">
        <f>IF(COUNT(J196,L196)=0,"",IF(MIN(J196,L196)&gt;=TODAY(),MIN(J196,L196),MAX(J196,L196)))</f>
        <v/>
      </c>
      <c r="N196" s="31">
        <f>IF(ISNUMBER(M196),M196-TODAY(),"")</f>
        <v/>
      </c>
      <c r="O196" s="30" t="n"/>
      <c r="P196" s="29">
        <f>IF(ISNUMBER(M196),M196-IF(ISNUMBER(O196),O196,60),"")</f>
        <v/>
      </c>
      <c r="Q196" s="27" t="n"/>
      <c r="R196" s="27" t="n"/>
      <c r="S196" s="27" t="n"/>
      <c r="T196" s="27" t="n"/>
      <c r="U196" s="27" t="n"/>
      <c r="V196" s="27" t="n"/>
      <c r="W196" s="27" t="n"/>
      <c r="X196" s="27" t="n"/>
      <c r="Y196" s="27" t="n"/>
    </row>
    <row r="197">
      <c r="A197" s="27" t="n"/>
      <c r="B197" s="27" t="n"/>
      <c r="C197" s="27" t="n"/>
      <c r="D197" s="27" t="n"/>
      <c r="E197" s="28" t="n"/>
      <c r="F197" s="28" t="n"/>
      <c r="G197" s="27" t="n"/>
      <c r="H197" s="29">
        <f>IF(G197="Invoice",IF(ISNUMBER(F197),F197,""),IF(ISNUMBER(E197),E197,""))</f>
        <v/>
      </c>
      <c r="I197" s="30" t="n"/>
      <c r="J197" s="29">
        <f>IF(AND(ISNUMBER(H197),ISNUMBER(I197)),EDATE(H197,I197),"")</f>
        <v/>
      </c>
      <c r="K197" s="30" t="n"/>
      <c r="L197" s="29">
        <f>IF(AND(ISNUMBER(H197),ISNUMBER(K197)),EDATE(H197,K197),"")</f>
        <v/>
      </c>
      <c r="M197" s="29">
        <f>IF(COUNT(J197,L197)=0,"",IF(MIN(J197,L197)&gt;=TODAY(),MIN(J197,L197),MAX(J197,L197)))</f>
        <v/>
      </c>
      <c r="N197" s="31">
        <f>IF(ISNUMBER(M197),M197-TODAY(),"")</f>
        <v/>
      </c>
      <c r="O197" s="30" t="n"/>
      <c r="P197" s="29">
        <f>IF(ISNUMBER(M197),M197-IF(ISNUMBER(O197),O197,60),"")</f>
        <v/>
      </c>
      <c r="Q197" s="27" t="n"/>
      <c r="R197" s="27" t="n"/>
      <c r="S197" s="27" t="n"/>
      <c r="T197" s="27" t="n"/>
      <c r="U197" s="27" t="n"/>
      <c r="V197" s="27" t="n"/>
      <c r="W197" s="27" t="n"/>
      <c r="X197" s="27" t="n"/>
      <c r="Y197" s="27" t="n"/>
    </row>
    <row r="198">
      <c r="A198" s="27" t="n"/>
      <c r="B198" s="27" t="n"/>
      <c r="C198" s="27" t="n"/>
      <c r="D198" s="27" t="n"/>
      <c r="E198" s="28" t="n"/>
      <c r="F198" s="28" t="n"/>
      <c r="G198" s="27" t="n"/>
      <c r="H198" s="29">
        <f>IF(G198="Invoice",IF(ISNUMBER(F198),F198,""),IF(ISNUMBER(E198),E198,""))</f>
        <v/>
      </c>
      <c r="I198" s="30" t="n"/>
      <c r="J198" s="29">
        <f>IF(AND(ISNUMBER(H198),ISNUMBER(I198)),EDATE(H198,I198),"")</f>
        <v/>
      </c>
      <c r="K198" s="30" t="n"/>
      <c r="L198" s="29">
        <f>IF(AND(ISNUMBER(H198),ISNUMBER(K198)),EDATE(H198,K198),"")</f>
        <v/>
      </c>
      <c r="M198" s="29">
        <f>IF(COUNT(J198,L198)=0,"",IF(MIN(J198,L198)&gt;=TODAY(),MIN(J198,L198),MAX(J198,L198)))</f>
        <v/>
      </c>
      <c r="N198" s="31">
        <f>IF(ISNUMBER(M198),M198-TODAY(),"")</f>
        <v/>
      </c>
      <c r="O198" s="30" t="n"/>
      <c r="P198" s="29">
        <f>IF(ISNUMBER(M198),M198-IF(ISNUMBER(O198),O198,60),"")</f>
        <v/>
      </c>
      <c r="Q198" s="27" t="n"/>
      <c r="R198" s="27" t="n"/>
      <c r="S198" s="27" t="n"/>
      <c r="T198" s="27" t="n"/>
      <c r="U198" s="27" t="n"/>
      <c r="V198" s="27" t="n"/>
      <c r="W198" s="27" t="n"/>
      <c r="X198" s="27" t="n"/>
      <c r="Y198" s="27" t="n"/>
    </row>
    <row r="199">
      <c r="A199" s="27" t="n"/>
      <c r="B199" s="27" t="n"/>
      <c r="C199" s="27" t="n"/>
      <c r="D199" s="27" t="n"/>
      <c r="E199" s="28" t="n"/>
      <c r="F199" s="28" t="n"/>
      <c r="G199" s="27" t="n"/>
      <c r="H199" s="29">
        <f>IF(G199="Invoice",IF(ISNUMBER(F199),F199,""),IF(ISNUMBER(E199),E199,""))</f>
        <v/>
      </c>
      <c r="I199" s="30" t="n"/>
      <c r="J199" s="29">
        <f>IF(AND(ISNUMBER(H199),ISNUMBER(I199)),EDATE(H199,I199),"")</f>
        <v/>
      </c>
      <c r="K199" s="30" t="n"/>
      <c r="L199" s="29">
        <f>IF(AND(ISNUMBER(H199),ISNUMBER(K199)),EDATE(H199,K199),"")</f>
        <v/>
      </c>
      <c r="M199" s="29">
        <f>IF(COUNT(J199,L199)=0,"",IF(MIN(J199,L199)&gt;=TODAY(),MIN(J199,L199),MAX(J199,L199)))</f>
        <v/>
      </c>
      <c r="N199" s="31">
        <f>IF(ISNUMBER(M199),M199-TODAY(),"")</f>
        <v/>
      </c>
      <c r="O199" s="30" t="n"/>
      <c r="P199" s="29">
        <f>IF(ISNUMBER(M199),M199-IF(ISNUMBER(O199),O199,60),"")</f>
        <v/>
      </c>
      <c r="Q199" s="27" t="n"/>
      <c r="R199" s="27" t="n"/>
      <c r="S199" s="27" t="n"/>
      <c r="T199" s="27" t="n"/>
      <c r="U199" s="27" t="n"/>
      <c r="V199" s="27" t="n"/>
      <c r="W199" s="27" t="n"/>
      <c r="X199" s="27" t="n"/>
      <c r="Y199" s="27" t="n"/>
    </row>
    <row r="200">
      <c r="A200" s="27" t="n"/>
      <c r="B200" s="27" t="n"/>
      <c r="C200" s="27" t="n"/>
      <c r="D200" s="27" t="n"/>
      <c r="E200" s="28" t="n"/>
      <c r="F200" s="28" t="n"/>
      <c r="G200" s="27" t="n"/>
      <c r="H200" s="29">
        <f>IF(G200="Invoice",IF(ISNUMBER(F200),F200,""),IF(ISNUMBER(E200),E200,""))</f>
        <v/>
      </c>
      <c r="I200" s="30" t="n"/>
      <c r="J200" s="29">
        <f>IF(AND(ISNUMBER(H200),ISNUMBER(I200)),EDATE(H200,I200),"")</f>
        <v/>
      </c>
      <c r="K200" s="30" t="n"/>
      <c r="L200" s="29">
        <f>IF(AND(ISNUMBER(H200),ISNUMBER(K200)),EDATE(H200,K200),"")</f>
        <v/>
      </c>
      <c r="M200" s="29">
        <f>IF(COUNT(J200,L200)=0,"",IF(MIN(J200,L200)&gt;=TODAY(),MIN(J200,L200),MAX(J200,L200)))</f>
        <v/>
      </c>
      <c r="N200" s="31">
        <f>IF(ISNUMBER(M200),M200-TODAY(),"")</f>
        <v/>
      </c>
      <c r="O200" s="30" t="n"/>
      <c r="P200" s="29">
        <f>IF(ISNUMBER(M200),M200-IF(ISNUMBER(O200),O200,60),"")</f>
        <v/>
      </c>
      <c r="Q200" s="27" t="n"/>
      <c r="R200" s="27" t="n"/>
      <c r="S200" s="27" t="n"/>
      <c r="T200" s="27" t="n"/>
      <c r="U200" s="27" t="n"/>
      <c r="V200" s="27" t="n"/>
      <c r="W200" s="27" t="n"/>
      <c r="X200" s="27" t="n"/>
      <c r="Y200" s="27" t="n"/>
    </row>
    <row r="201">
      <c r="A201" s="27" t="n"/>
      <c r="B201" s="27" t="n"/>
      <c r="C201" s="27" t="n"/>
      <c r="D201" s="27" t="n"/>
      <c r="E201" s="28" t="n"/>
      <c r="F201" s="28" t="n"/>
      <c r="G201" s="27" t="n"/>
      <c r="H201" s="29">
        <f>IF(G201="Invoice",IF(ISNUMBER(F201),F201,""),IF(ISNUMBER(E201),E201,""))</f>
        <v/>
      </c>
      <c r="I201" s="30" t="n"/>
      <c r="J201" s="29">
        <f>IF(AND(ISNUMBER(H201),ISNUMBER(I201)),EDATE(H201,I201),"")</f>
        <v/>
      </c>
      <c r="K201" s="30" t="n"/>
      <c r="L201" s="29">
        <f>IF(AND(ISNUMBER(H201),ISNUMBER(K201)),EDATE(H201,K201),"")</f>
        <v/>
      </c>
      <c r="M201" s="29">
        <f>IF(COUNT(J201,L201)=0,"",IF(MIN(J201,L201)&gt;=TODAY(),MIN(J201,L201),MAX(J201,L201)))</f>
        <v/>
      </c>
      <c r="N201" s="31">
        <f>IF(ISNUMBER(M201),M201-TODAY(),"")</f>
        <v/>
      </c>
      <c r="O201" s="30" t="n"/>
      <c r="P201" s="29">
        <f>IF(ISNUMBER(M201),M201-IF(ISNUMBER(O201),O201,60),"")</f>
        <v/>
      </c>
      <c r="Q201" s="27" t="n"/>
      <c r="R201" s="27" t="n"/>
      <c r="S201" s="27" t="n"/>
      <c r="T201" s="27" t="n"/>
      <c r="U201" s="27" t="n"/>
      <c r="V201" s="27" t="n"/>
      <c r="W201" s="27" t="n"/>
      <c r="X201" s="27" t="n"/>
      <c r="Y201" s="27" t="n"/>
    </row>
    <row r="202">
      <c r="A202" s="27" t="n"/>
      <c r="B202" s="27" t="n"/>
      <c r="C202" s="27" t="n"/>
      <c r="D202" s="27" t="n"/>
      <c r="E202" s="28" t="n"/>
      <c r="F202" s="28" t="n"/>
      <c r="G202" s="27" t="n"/>
      <c r="H202" s="29">
        <f>IF(G202="Invoice",IF(ISNUMBER(F202),F202,""),IF(ISNUMBER(E202),E202,""))</f>
        <v/>
      </c>
      <c r="I202" s="30" t="n"/>
      <c r="J202" s="29">
        <f>IF(AND(ISNUMBER(H202),ISNUMBER(I202)),EDATE(H202,I202),"")</f>
        <v/>
      </c>
      <c r="K202" s="30" t="n"/>
      <c r="L202" s="29">
        <f>IF(AND(ISNUMBER(H202),ISNUMBER(K202)),EDATE(H202,K202),"")</f>
        <v/>
      </c>
      <c r="M202" s="29">
        <f>IF(COUNT(J202,L202)=0,"",IF(MIN(J202,L202)&gt;=TODAY(),MIN(J202,L202),MAX(J202,L202)))</f>
        <v/>
      </c>
      <c r="N202" s="31">
        <f>IF(ISNUMBER(M202),M202-TODAY(),"")</f>
        <v/>
      </c>
      <c r="O202" s="30" t="n"/>
      <c r="P202" s="29">
        <f>IF(ISNUMBER(M202),M202-IF(ISNUMBER(O202),O202,60),"")</f>
        <v/>
      </c>
      <c r="Q202" s="27" t="n"/>
      <c r="R202" s="27" t="n"/>
      <c r="S202" s="27" t="n"/>
      <c r="T202" s="27" t="n"/>
      <c r="U202" s="27" t="n"/>
      <c r="V202" s="27" t="n"/>
      <c r="W202" s="27" t="n"/>
      <c r="X202" s="27" t="n"/>
      <c r="Y202" s="27" t="n"/>
    </row>
    <row r="203">
      <c r="A203" s="27" t="n"/>
      <c r="B203" s="27" t="n"/>
      <c r="C203" s="27" t="n"/>
      <c r="D203" s="27" t="n"/>
      <c r="E203" s="28" t="n"/>
      <c r="F203" s="28" t="n"/>
      <c r="G203" s="27" t="n"/>
      <c r="H203" s="29">
        <f>IF(G203="Invoice",IF(ISNUMBER(F203),F203,""),IF(ISNUMBER(E203),E203,""))</f>
        <v/>
      </c>
      <c r="I203" s="30" t="n"/>
      <c r="J203" s="29">
        <f>IF(AND(ISNUMBER(H203),ISNUMBER(I203)),EDATE(H203,I203),"")</f>
        <v/>
      </c>
      <c r="K203" s="30" t="n"/>
      <c r="L203" s="29">
        <f>IF(AND(ISNUMBER(H203),ISNUMBER(K203)),EDATE(H203,K203),"")</f>
        <v/>
      </c>
      <c r="M203" s="29">
        <f>IF(COUNT(J203,L203)=0,"",IF(MIN(J203,L203)&gt;=TODAY(),MIN(J203,L203),MAX(J203,L203)))</f>
        <v/>
      </c>
      <c r="N203" s="31">
        <f>IF(ISNUMBER(M203),M203-TODAY(),"")</f>
        <v/>
      </c>
      <c r="O203" s="30" t="n"/>
      <c r="P203" s="29">
        <f>IF(ISNUMBER(M203),M203-IF(ISNUMBER(O203),O203,60),"")</f>
        <v/>
      </c>
      <c r="Q203" s="27" t="n"/>
      <c r="R203" s="27" t="n"/>
      <c r="S203" s="27" t="n"/>
      <c r="T203" s="27" t="n"/>
      <c r="U203" s="27" t="n"/>
      <c r="V203" s="27" t="n"/>
      <c r="W203" s="27" t="n"/>
      <c r="X203" s="27" t="n"/>
      <c r="Y203" s="27" t="n"/>
    </row>
    <row r="204">
      <c r="A204" s="27" t="n"/>
      <c r="B204" s="27" t="n"/>
      <c r="C204" s="27" t="n"/>
      <c r="D204" s="27" t="n"/>
      <c r="E204" s="28" t="n"/>
      <c r="F204" s="28" t="n"/>
      <c r="G204" s="27" t="n"/>
      <c r="H204" s="29">
        <f>IF(G204="Invoice",IF(ISNUMBER(F204),F204,""),IF(ISNUMBER(E204),E204,""))</f>
        <v/>
      </c>
      <c r="I204" s="30" t="n"/>
      <c r="J204" s="29">
        <f>IF(AND(ISNUMBER(H204),ISNUMBER(I204)),EDATE(H204,I204),"")</f>
        <v/>
      </c>
      <c r="K204" s="30" t="n"/>
      <c r="L204" s="29">
        <f>IF(AND(ISNUMBER(H204),ISNUMBER(K204)),EDATE(H204,K204),"")</f>
        <v/>
      </c>
      <c r="M204" s="29">
        <f>IF(COUNT(J204,L204)=0,"",IF(MIN(J204,L204)&gt;=TODAY(),MIN(J204,L204),MAX(J204,L204)))</f>
        <v/>
      </c>
      <c r="N204" s="31">
        <f>IF(ISNUMBER(M204),M204-TODAY(),"")</f>
        <v/>
      </c>
      <c r="O204" s="30" t="n"/>
      <c r="P204" s="29">
        <f>IF(ISNUMBER(M204),M204-IF(ISNUMBER(O204),O204,60),"")</f>
        <v/>
      </c>
      <c r="Q204" s="27" t="n"/>
      <c r="R204" s="27" t="n"/>
      <c r="S204" s="27" t="n"/>
      <c r="T204" s="27" t="n"/>
      <c r="U204" s="27" t="n"/>
      <c r="V204" s="27" t="n"/>
      <c r="W204" s="27" t="n"/>
      <c r="X204" s="27" t="n"/>
      <c r="Y204" s="27" t="n"/>
    </row>
    <row r="205">
      <c r="A205" s="27" t="n"/>
      <c r="B205" s="27" t="n"/>
      <c r="C205" s="27" t="n"/>
      <c r="D205" s="27" t="n"/>
      <c r="E205" s="28" t="n"/>
      <c r="F205" s="28" t="n"/>
      <c r="G205" s="27" t="n"/>
      <c r="H205" s="29">
        <f>IF(G205="Invoice",IF(ISNUMBER(F205),F205,""),IF(ISNUMBER(E205),E205,""))</f>
        <v/>
      </c>
      <c r="I205" s="30" t="n"/>
      <c r="J205" s="29">
        <f>IF(AND(ISNUMBER(H205),ISNUMBER(I205)),EDATE(H205,I205),"")</f>
        <v/>
      </c>
      <c r="K205" s="30" t="n"/>
      <c r="L205" s="29">
        <f>IF(AND(ISNUMBER(H205),ISNUMBER(K205)),EDATE(H205,K205),"")</f>
        <v/>
      </c>
      <c r="M205" s="29">
        <f>IF(COUNT(J205,L205)=0,"",IF(MIN(J205,L205)&gt;=TODAY(),MIN(J205,L205),MAX(J205,L205)))</f>
        <v/>
      </c>
      <c r="N205" s="31">
        <f>IF(ISNUMBER(M205),M205-TODAY(),"")</f>
        <v/>
      </c>
      <c r="O205" s="30" t="n"/>
      <c r="P205" s="29">
        <f>IF(ISNUMBER(M205),M205-IF(ISNUMBER(O205),O205,60),"")</f>
        <v/>
      </c>
      <c r="Q205" s="27" t="n"/>
      <c r="R205" s="27" t="n"/>
      <c r="S205" s="27" t="n"/>
      <c r="T205" s="27" t="n"/>
      <c r="U205" s="27" t="n"/>
      <c r="V205" s="27" t="n"/>
      <c r="W205" s="27" t="n"/>
      <c r="X205" s="27" t="n"/>
      <c r="Y205" s="27" t="n"/>
    </row>
    <row r="206">
      <c r="A206" s="27" t="n"/>
      <c r="B206" s="27" t="n"/>
      <c r="C206" s="27" t="n"/>
      <c r="D206" s="27" t="n"/>
      <c r="E206" s="28" t="n"/>
      <c r="F206" s="28" t="n"/>
      <c r="G206" s="27" t="n"/>
      <c r="H206" s="29">
        <f>IF(G206="Invoice",IF(ISNUMBER(F206),F206,""),IF(ISNUMBER(E206),E206,""))</f>
        <v/>
      </c>
      <c r="I206" s="30" t="n"/>
      <c r="J206" s="29">
        <f>IF(AND(ISNUMBER(H206),ISNUMBER(I206)),EDATE(H206,I206),"")</f>
        <v/>
      </c>
      <c r="K206" s="30" t="n"/>
      <c r="L206" s="29">
        <f>IF(AND(ISNUMBER(H206),ISNUMBER(K206)),EDATE(H206,K206),"")</f>
        <v/>
      </c>
      <c r="M206" s="29">
        <f>IF(COUNT(J206,L206)=0,"",IF(MIN(J206,L206)&gt;=TODAY(),MIN(J206,L206),MAX(J206,L206)))</f>
        <v/>
      </c>
      <c r="N206" s="31">
        <f>IF(ISNUMBER(M206),M206-TODAY(),"")</f>
        <v/>
      </c>
      <c r="O206" s="30" t="n"/>
      <c r="P206" s="29">
        <f>IF(ISNUMBER(M206),M206-IF(ISNUMBER(O206),O206,60),"")</f>
        <v/>
      </c>
      <c r="Q206" s="27" t="n"/>
      <c r="R206" s="27" t="n"/>
      <c r="S206" s="27" t="n"/>
      <c r="T206" s="27" t="n"/>
      <c r="U206" s="27" t="n"/>
      <c r="V206" s="27" t="n"/>
      <c r="W206" s="27" t="n"/>
      <c r="X206" s="27" t="n"/>
      <c r="Y206" s="27" t="n"/>
    </row>
    <row r="207">
      <c r="A207" s="27" t="n"/>
      <c r="B207" s="27" t="n"/>
      <c r="C207" s="27" t="n"/>
      <c r="D207" s="27" t="n"/>
      <c r="E207" s="28" t="n"/>
      <c r="F207" s="28" t="n"/>
      <c r="G207" s="27" t="n"/>
      <c r="H207" s="29">
        <f>IF(G207="Invoice",IF(ISNUMBER(F207),F207,""),IF(ISNUMBER(E207),E207,""))</f>
        <v/>
      </c>
      <c r="I207" s="30" t="n"/>
      <c r="J207" s="29">
        <f>IF(AND(ISNUMBER(H207),ISNUMBER(I207)),EDATE(H207,I207),"")</f>
        <v/>
      </c>
      <c r="K207" s="30" t="n"/>
      <c r="L207" s="29">
        <f>IF(AND(ISNUMBER(H207),ISNUMBER(K207)),EDATE(H207,K207),"")</f>
        <v/>
      </c>
      <c r="M207" s="29">
        <f>IF(COUNT(J207,L207)=0,"",IF(MIN(J207,L207)&gt;=TODAY(),MIN(J207,L207),MAX(J207,L207)))</f>
        <v/>
      </c>
      <c r="N207" s="31">
        <f>IF(ISNUMBER(M207),M207-TODAY(),"")</f>
        <v/>
      </c>
      <c r="O207" s="30" t="n"/>
      <c r="P207" s="29">
        <f>IF(ISNUMBER(M207),M207-IF(ISNUMBER(O207),O207,60),"")</f>
        <v/>
      </c>
      <c r="Q207" s="27" t="n"/>
      <c r="R207" s="27" t="n"/>
      <c r="S207" s="27" t="n"/>
      <c r="T207" s="27" t="n"/>
      <c r="U207" s="27" t="n"/>
      <c r="V207" s="27" t="n"/>
      <c r="W207" s="27" t="n"/>
      <c r="X207" s="27" t="n"/>
      <c r="Y207" s="27" t="n"/>
    </row>
    <row r="208">
      <c r="A208" s="27" t="n"/>
      <c r="B208" s="27" t="n"/>
      <c r="C208" s="27" t="n"/>
      <c r="D208" s="27" t="n"/>
      <c r="E208" s="28" t="n"/>
      <c r="F208" s="28" t="n"/>
      <c r="G208" s="27" t="n"/>
      <c r="H208" s="29">
        <f>IF(G208="Invoice",IF(ISNUMBER(F208),F208,""),IF(ISNUMBER(E208),E208,""))</f>
        <v/>
      </c>
      <c r="I208" s="30" t="n"/>
      <c r="J208" s="29">
        <f>IF(AND(ISNUMBER(H208),ISNUMBER(I208)),EDATE(H208,I208),"")</f>
        <v/>
      </c>
      <c r="K208" s="30" t="n"/>
      <c r="L208" s="29">
        <f>IF(AND(ISNUMBER(H208),ISNUMBER(K208)),EDATE(H208,K208),"")</f>
        <v/>
      </c>
      <c r="M208" s="29">
        <f>IF(COUNT(J208,L208)=0,"",IF(MIN(J208,L208)&gt;=TODAY(),MIN(J208,L208),MAX(J208,L208)))</f>
        <v/>
      </c>
      <c r="N208" s="31">
        <f>IF(ISNUMBER(M208),M208-TODAY(),"")</f>
        <v/>
      </c>
      <c r="O208" s="30" t="n"/>
      <c r="P208" s="29">
        <f>IF(ISNUMBER(M208),M208-IF(ISNUMBER(O208),O208,60),"")</f>
        <v/>
      </c>
      <c r="Q208" s="27" t="n"/>
      <c r="R208" s="27" t="n"/>
      <c r="S208" s="27" t="n"/>
      <c r="T208" s="27" t="n"/>
      <c r="U208" s="27" t="n"/>
      <c r="V208" s="27" t="n"/>
      <c r="W208" s="27" t="n"/>
      <c r="X208" s="27" t="n"/>
      <c r="Y208" s="27" t="n"/>
    </row>
    <row r="209">
      <c r="A209" s="27" t="n"/>
      <c r="B209" s="27" t="n"/>
      <c r="C209" s="27" t="n"/>
      <c r="D209" s="27" t="n"/>
      <c r="E209" s="28" t="n"/>
      <c r="F209" s="28" t="n"/>
      <c r="G209" s="27" t="n"/>
      <c r="H209" s="29">
        <f>IF(G209="Invoice",IF(ISNUMBER(F209),F209,""),IF(ISNUMBER(E209),E209,""))</f>
        <v/>
      </c>
      <c r="I209" s="30" t="n"/>
      <c r="J209" s="29">
        <f>IF(AND(ISNUMBER(H209),ISNUMBER(I209)),EDATE(H209,I209),"")</f>
        <v/>
      </c>
      <c r="K209" s="30" t="n"/>
      <c r="L209" s="29">
        <f>IF(AND(ISNUMBER(H209),ISNUMBER(K209)),EDATE(H209,K209),"")</f>
        <v/>
      </c>
      <c r="M209" s="29">
        <f>IF(COUNT(J209,L209)=0,"",IF(MIN(J209,L209)&gt;=TODAY(),MIN(J209,L209),MAX(J209,L209)))</f>
        <v/>
      </c>
      <c r="N209" s="31">
        <f>IF(ISNUMBER(M209),M209-TODAY(),"")</f>
        <v/>
      </c>
      <c r="O209" s="30" t="n"/>
      <c r="P209" s="29">
        <f>IF(ISNUMBER(M209),M209-IF(ISNUMBER(O209),O209,60),"")</f>
        <v/>
      </c>
      <c r="Q209" s="27" t="n"/>
      <c r="R209" s="27" t="n"/>
      <c r="S209" s="27" t="n"/>
      <c r="T209" s="27" t="n"/>
      <c r="U209" s="27" t="n"/>
      <c r="V209" s="27" t="n"/>
      <c r="W209" s="27" t="n"/>
      <c r="X209" s="27" t="n"/>
      <c r="Y209" s="27" t="n"/>
    </row>
    <row r="210">
      <c r="A210" s="27" t="n"/>
      <c r="B210" s="27" t="n"/>
      <c r="C210" s="27" t="n"/>
      <c r="D210" s="27" t="n"/>
      <c r="E210" s="28" t="n"/>
      <c r="F210" s="28" t="n"/>
      <c r="G210" s="27" t="n"/>
      <c r="H210" s="29">
        <f>IF(G210="Invoice",IF(ISNUMBER(F210),F210,""),IF(ISNUMBER(E210),E210,""))</f>
        <v/>
      </c>
      <c r="I210" s="30" t="n"/>
      <c r="J210" s="29">
        <f>IF(AND(ISNUMBER(H210),ISNUMBER(I210)),EDATE(H210,I210),"")</f>
        <v/>
      </c>
      <c r="K210" s="30" t="n"/>
      <c r="L210" s="29">
        <f>IF(AND(ISNUMBER(H210),ISNUMBER(K210)),EDATE(H210,K210),"")</f>
        <v/>
      </c>
      <c r="M210" s="29">
        <f>IF(COUNT(J210,L210)=0,"",IF(MIN(J210,L210)&gt;=TODAY(),MIN(J210,L210),MAX(J210,L210)))</f>
        <v/>
      </c>
      <c r="N210" s="31">
        <f>IF(ISNUMBER(M210),M210-TODAY(),"")</f>
        <v/>
      </c>
      <c r="O210" s="30" t="n"/>
      <c r="P210" s="29">
        <f>IF(ISNUMBER(M210),M210-IF(ISNUMBER(O210),O210,60),"")</f>
        <v/>
      </c>
      <c r="Q210" s="27" t="n"/>
      <c r="R210" s="27" t="n"/>
      <c r="S210" s="27" t="n"/>
      <c r="T210" s="27" t="n"/>
      <c r="U210" s="27" t="n"/>
      <c r="V210" s="27" t="n"/>
      <c r="W210" s="27" t="n"/>
      <c r="X210" s="27" t="n"/>
      <c r="Y210" s="27" t="n"/>
    </row>
    <row r="211">
      <c r="A211" s="27" t="n"/>
      <c r="B211" s="27" t="n"/>
      <c r="C211" s="27" t="n"/>
      <c r="D211" s="27" t="n"/>
      <c r="E211" s="28" t="n"/>
      <c r="F211" s="28" t="n"/>
      <c r="G211" s="27" t="n"/>
      <c r="H211" s="29">
        <f>IF(G211="Invoice",IF(ISNUMBER(F211),F211,""),IF(ISNUMBER(E211),E211,""))</f>
        <v/>
      </c>
      <c r="I211" s="30" t="n"/>
      <c r="J211" s="29">
        <f>IF(AND(ISNUMBER(H211),ISNUMBER(I211)),EDATE(H211,I211),"")</f>
        <v/>
      </c>
      <c r="K211" s="30" t="n"/>
      <c r="L211" s="29">
        <f>IF(AND(ISNUMBER(H211),ISNUMBER(K211)),EDATE(H211,K211),"")</f>
        <v/>
      </c>
      <c r="M211" s="29">
        <f>IF(COUNT(J211,L211)=0,"",IF(MIN(J211,L211)&gt;=TODAY(),MIN(J211,L211),MAX(J211,L211)))</f>
        <v/>
      </c>
      <c r="N211" s="31">
        <f>IF(ISNUMBER(M211),M211-TODAY(),"")</f>
        <v/>
      </c>
      <c r="O211" s="30" t="n"/>
      <c r="P211" s="29">
        <f>IF(ISNUMBER(M211),M211-IF(ISNUMBER(O211),O211,60),"")</f>
        <v/>
      </c>
      <c r="Q211" s="27" t="n"/>
      <c r="R211" s="27" t="n"/>
      <c r="S211" s="27" t="n"/>
      <c r="T211" s="27" t="n"/>
      <c r="U211" s="27" t="n"/>
      <c r="V211" s="27" t="n"/>
      <c r="W211" s="27" t="n"/>
      <c r="X211" s="27" t="n"/>
      <c r="Y211" s="27" t="n"/>
    </row>
    <row r="212">
      <c r="A212" s="27" t="n"/>
      <c r="B212" s="27" t="n"/>
      <c r="C212" s="27" t="n"/>
      <c r="D212" s="27" t="n"/>
      <c r="E212" s="28" t="n"/>
      <c r="F212" s="28" t="n"/>
      <c r="G212" s="27" t="n"/>
      <c r="H212" s="29">
        <f>IF(G212="Invoice",IF(ISNUMBER(F212),F212,""),IF(ISNUMBER(E212),E212,""))</f>
        <v/>
      </c>
      <c r="I212" s="30" t="n"/>
      <c r="J212" s="29">
        <f>IF(AND(ISNUMBER(H212),ISNUMBER(I212)),EDATE(H212,I212),"")</f>
        <v/>
      </c>
      <c r="K212" s="30" t="n"/>
      <c r="L212" s="29">
        <f>IF(AND(ISNUMBER(H212),ISNUMBER(K212)),EDATE(H212,K212),"")</f>
        <v/>
      </c>
      <c r="M212" s="29">
        <f>IF(COUNT(J212,L212)=0,"",IF(MIN(J212,L212)&gt;=TODAY(),MIN(J212,L212),MAX(J212,L212)))</f>
        <v/>
      </c>
      <c r="N212" s="31">
        <f>IF(ISNUMBER(M212),M212-TODAY(),"")</f>
        <v/>
      </c>
      <c r="O212" s="30" t="n"/>
      <c r="P212" s="29">
        <f>IF(ISNUMBER(M212),M212-IF(ISNUMBER(O212),O212,60),"")</f>
        <v/>
      </c>
      <c r="Q212" s="27" t="n"/>
      <c r="R212" s="27" t="n"/>
      <c r="S212" s="27" t="n"/>
      <c r="T212" s="27" t="n"/>
      <c r="U212" s="27" t="n"/>
      <c r="V212" s="27" t="n"/>
      <c r="W212" s="27" t="n"/>
      <c r="X212" s="27" t="n"/>
      <c r="Y212" s="27" t="n"/>
    </row>
    <row r="213">
      <c r="A213" s="27" t="n"/>
      <c r="B213" s="27" t="n"/>
      <c r="C213" s="27" t="n"/>
      <c r="D213" s="27" t="n"/>
      <c r="E213" s="28" t="n"/>
      <c r="F213" s="28" t="n"/>
      <c r="G213" s="27" t="n"/>
      <c r="H213" s="29">
        <f>IF(G213="Invoice",IF(ISNUMBER(F213),F213,""),IF(ISNUMBER(E213),E213,""))</f>
        <v/>
      </c>
      <c r="I213" s="30" t="n"/>
      <c r="J213" s="29">
        <f>IF(AND(ISNUMBER(H213),ISNUMBER(I213)),EDATE(H213,I213),"")</f>
        <v/>
      </c>
      <c r="K213" s="30" t="n"/>
      <c r="L213" s="29">
        <f>IF(AND(ISNUMBER(H213),ISNUMBER(K213)),EDATE(H213,K213),"")</f>
        <v/>
      </c>
      <c r="M213" s="29">
        <f>IF(COUNT(J213,L213)=0,"",IF(MIN(J213,L213)&gt;=TODAY(),MIN(J213,L213),MAX(J213,L213)))</f>
        <v/>
      </c>
      <c r="N213" s="31">
        <f>IF(ISNUMBER(M213),M213-TODAY(),"")</f>
        <v/>
      </c>
      <c r="O213" s="30" t="n"/>
      <c r="P213" s="29">
        <f>IF(ISNUMBER(M213),M213-IF(ISNUMBER(O213),O213,60),"")</f>
        <v/>
      </c>
      <c r="Q213" s="27" t="n"/>
      <c r="R213" s="27" t="n"/>
      <c r="S213" s="27" t="n"/>
      <c r="T213" s="27" t="n"/>
      <c r="U213" s="27" t="n"/>
      <c r="V213" s="27" t="n"/>
      <c r="W213" s="27" t="n"/>
      <c r="X213" s="27" t="n"/>
      <c r="Y213" s="27" t="n"/>
    </row>
    <row r="214">
      <c r="A214" s="27" t="n"/>
      <c r="B214" s="27" t="n"/>
      <c r="C214" s="27" t="n"/>
      <c r="D214" s="27" t="n"/>
      <c r="E214" s="28" t="n"/>
      <c r="F214" s="28" t="n"/>
      <c r="G214" s="27" t="n"/>
      <c r="H214" s="29">
        <f>IF(G214="Invoice",IF(ISNUMBER(F214),F214,""),IF(ISNUMBER(E214),E214,""))</f>
        <v/>
      </c>
      <c r="I214" s="30" t="n"/>
      <c r="J214" s="29">
        <f>IF(AND(ISNUMBER(H214),ISNUMBER(I214)),EDATE(H214,I214),"")</f>
        <v/>
      </c>
      <c r="K214" s="30" t="n"/>
      <c r="L214" s="29">
        <f>IF(AND(ISNUMBER(H214),ISNUMBER(K214)),EDATE(H214,K214),"")</f>
        <v/>
      </c>
      <c r="M214" s="29">
        <f>IF(COUNT(J214,L214)=0,"",IF(MIN(J214,L214)&gt;=TODAY(),MIN(J214,L214),MAX(J214,L214)))</f>
        <v/>
      </c>
      <c r="N214" s="31">
        <f>IF(ISNUMBER(M214),M214-TODAY(),"")</f>
        <v/>
      </c>
      <c r="O214" s="30" t="n"/>
      <c r="P214" s="29">
        <f>IF(ISNUMBER(M214),M214-IF(ISNUMBER(O214),O214,60),"")</f>
        <v/>
      </c>
      <c r="Q214" s="27" t="n"/>
      <c r="R214" s="27" t="n"/>
      <c r="S214" s="27" t="n"/>
      <c r="T214" s="27" t="n"/>
      <c r="U214" s="27" t="n"/>
      <c r="V214" s="27" t="n"/>
      <c r="W214" s="27" t="n"/>
      <c r="X214" s="27" t="n"/>
      <c r="Y214" s="27" t="n"/>
    </row>
    <row r="215">
      <c r="A215" s="27" t="n"/>
      <c r="B215" s="27" t="n"/>
      <c r="C215" s="27" t="n"/>
      <c r="D215" s="27" t="n"/>
      <c r="E215" s="28" t="n"/>
      <c r="F215" s="28" t="n"/>
      <c r="G215" s="27" t="n"/>
      <c r="H215" s="29">
        <f>IF(G215="Invoice",IF(ISNUMBER(F215),F215,""),IF(ISNUMBER(E215),E215,""))</f>
        <v/>
      </c>
      <c r="I215" s="30" t="n"/>
      <c r="J215" s="29">
        <f>IF(AND(ISNUMBER(H215),ISNUMBER(I215)),EDATE(H215,I215),"")</f>
        <v/>
      </c>
      <c r="K215" s="30" t="n"/>
      <c r="L215" s="29">
        <f>IF(AND(ISNUMBER(H215),ISNUMBER(K215)),EDATE(H215,K215),"")</f>
        <v/>
      </c>
      <c r="M215" s="29">
        <f>IF(COUNT(J215,L215)=0,"",IF(MIN(J215,L215)&gt;=TODAY(),MIN(J215,L215),MAX(J215,L215)))</f>
        <v/>
      </c>
      <c r="N215" s="31">
        <f>IF(ISNUMBER(M215),M215-TODAY(),"")</f>
        <v/>
      </c>
      <c r="O215" s="30" t="n"/>
      <c r="P215" s="29">
        <f>IF(ISNUMBER(M215),M215-IF(ISNUMBER(O215),O215,60),"")</f>
        <v/>
      </c>
      <c r="Q215" s="27" t="n"/>
      <c r="R215" s="27" t="n"/>
      <c r="S215" s="27" t="n"/>
      <c r="T215" s="27" t="n"/>
      <c r="U215" s="27" t="n"/>
      <c r="V215" s="27" t="n"/>
      <c r="W215" s="27" t="n"/>
      <c r="X215" s="27" t="n"/>
      <c r="Y215" s="27" t="n"/>
    </row>
    <row r="216">
      <c r="A216" s="27" t="n"/>
      <c r="B216" s="27" t="n"/>
      <c r="C216" s="27" t="n"/>
      <c r="D216" s="27" t="n"/>
      <c r="E216" s="28" t="n"/>
      <c r="F216" s="28" t="n"/>
      <c r="G216" s="27" t="n"/>
      <c r="H216" s="29">
        <f>IF(G216="Invoice",IF(ISNUMBER(F216),F216,""),IF(ISNUMBER(E216),E216,""))</f>
        <v/>
      </c>
      <c r="I216" s="30" t="n"/>
      <c r="J216" s="29">
        <f>IF(AND(ISNUMBER(H216),ISNUMBER(I216)),EDATE(H216,I216),"")</f>
        <v/>
      </c>
      <c r="K216" s="30" t="n"/>
      <c r="L216" s="29">
        <f>IF(AND(ISNUMBER(H216),ISNUMBER(K216)),EDATE(H216,K216),"")</f>
        <v/>
      </c>
      <c r="M216" s="29">
        <f>IF(COUNT(J216,L216)=0,"",IF(MIN(J216,L216)&gt;=TODAY(),MIN(J216,L216),MAX(J216,L216)))</f>
        <v/>
      </c>
      <c r="N216" s="31">
        <f>IF(ISNUMBER(M216),M216-TODAY(),"")</f>
        <v/>
      </c>
      <c r="O216" s="30" t="n"/>
      <c r="P216" s="29">
        <f>IF(ISNUMBER(M216),M216-IF(ISNUMBER(O216),O216,60),"")</f>
        <v/>
      </c>
      <c r="Q216" s="27" t="n"/>
      <c r="R216" s="27" t="n"/>
      <c r="S216" s="27" t="n"/>
      <c r="T216" s="27" t="n"/>
      <c r="U216" s="27" t="n"/>
      <c r="V216" s="27" t="n"/>
      <c r="W216" s="27" t="n"/>
      <c r="X216" s="27" t="n"/>
      <c r="Y216" s="27" t="n"/>
    </row>
    <row r="217">
      <c r="A217" s="27" t="n"/>
      <c r="B217" s="27" t="n"/>
      <c r="C217" s="27" t="n"/>
      <c r="D217" s="27" t="n"/>
      <c r="E217" s="28" t="n"/>
      <c r="F217" s="28" t="n"/>
      <c r="G217" s="27" t="n"/>
      <c r="H217" s="29">
        <f>IF(G217="Invoice",IF(ISNUMBER(F217),F217,""),IF(ISNUMBER(E217),E217,""))</f>
        <v/>
      </c>
      <c r="I217" s="30" t="n"/>
      <c r="J217" s="29">
        <f>IF(AND(ISNUMBER(H217),ISNUMBER(I217)),EDATE(H217,I217),"")</f>
        <v/>
      </c>
      <c r="K217" s="30" t="n"/>
      <c r="L217" s="29">
        <f>IF(AND(ISNUMBER(H217),ISNUMBER(K217)),EDATE(H217,K217),"")</f>
        <v/>
      </c>
      <c r="M217" s="29">
        <f>IF(COUNT(J217,L217)=0,"",IF(MIN(J217,L217)&gt;=TODAY(),MIN(J217,L217),MAX(J217,L217)))</f>
        <v/>
      </c>
      <c r="N217" s="31">
        <f>IF(ISNUMBER(M217),M217-TODAY(),"")</f>
        <v/>
      </c>
      <c r="O217" s="30" t="n"/>
      <c r="P217" s="29">
        <f>IF(ISNUMBER(M217),M217-IF(ISNUMBER(O217),O217,60),"")</f>
        <v/>
      </c>
      <c r="Q217" s="27" t="n"/>
      <c r="R217" s="27" t="n"/>
      <c r="S217" s="27" t="n"/>
      <c r="T217" s="27" t="n"/>
      <c r="U217" s="27" t="n"/>
      <c r="V217" s="27" t="n"/>
      <c r="W217" s="27" t="n"/>
      <c r="X217" s="27" t="n"/>
      <c r="Y217" s="27" t="n"/>
    </row>
    <row r="218">
      <c r="A218" s="27" t="n"/>
      <c r="B218" s="27" t="n"/>
      <c r="C218" s="27" t="n"/>
      <c r="D218" s="27" t="n"/>
      <c r="E218" s="28" t="n"/>
      <c r="F218" s="28" t="n"/>
      <c r="G218" s="27" t="n"/>
      <c r="H218" s="29">
        <f>IF(G218="Invoice",IF(ISNUMBER(F218),F218,""),IF(ISNUMBER(E218),E218,""))</f>
        <v/>
      </c>
      <c r="I218" s="30" t="n"/>
      <c r="J218" s="29">
        <f>IF(AND(ISNUMBER(H218),ISNUMBER(I218)),EDATE(H218,I218),"")</f>
        <v/>
      </c>
      <c r="K218" s="30" t="n"/>
      <c r="L218" s="29">
        <f>IF(AND(ISNUMBER(H218),ISNUMBER(K218)),EDATE(H218,K218),"")</f>
        <v/>
      </c>
      <c r="M218" s="29">
        <f>IF(COUNT(J218,L218)=0,"",IF(MIN(J218,L218)&gt;=TODAY(),MIN(J218,L218),MAX(J218,L218)))</f>
        <v/>
      </c>
      <c r="N218" s="31">
        <f>IF(ISNUMBER(M218),M218-TODAY(),"")</f>
        <v/>
      </c>
      <c r="O218" s="30" t="n"/>
      <c r="P218" s="29">
        <f>IF(ISNUMBER(M218),M218-IF(ISNUMBER(O218),O218,60),"")</f>
        <v/>
      </c>
      <c r="Q218" s="27" t="n"/>
      <c r="R218" s="27" t="n"/>
      <c r="S218" s="27" t="n"/>
      <c r="T218" s="27" t="n"/>
      <c r="U218" s="27" t="n"/>
      <c r="V218" s="27" t="n"/>
      <c r="W218" s="27" t="n"/>
      <c r="X218" s="27" t="n"/>
      <c r="Y218" s="27" t="n"/>
    </row>
    <row r="219">
      <c r="A219" s="27" t="n"/>
      <c r="B219" s="27" t="n"/>
      <c r="C219" s="27" t="n"/>
      <c r="D219" s="27" t="n"/>
      <c r="E219" s="28" t="n"/>
      <c r="F219" s="28" t="n"/>
      <c r="G219" s="27" t="n"/>
      <c r="H219" s="29">
        <f>IF(G219="Invoice",IF(ISNUMBER(F219),F219,""),IF(ISNUMBER(E219),E219,""))</f>
        <v/>
      </c>
      <c r="I219" s="30" t="n"/>
      <c r="J219" s="29">
        <f>IF(AND(ISNUMBER(H219),ISNUMBER(I219)),EDATE(H219,I219),"")</f>
        <v/>
      </c>
      <c r="K219" s="30" t="n"/>
      <c r="L219" s="29">
        <f>IF(AND(ISNUMBER(H219),ISNUMBER(K219)),EDATE(H219,K219),"")</f>
        <v/>
      </c>
      <c r="M219" s="29">
        <f>IF(COUNT(J219,L219)=0,"",IF(MIN(J219,L219)&gt;=TODAY(),MIN(J219,L219),MAX(J219,L219)))</f>
        <v/>
      </c>
      <c r="N219" s="31">
        <f>IF(ISNUMBER(M219),M219-TODAY(),"")</f>
        <v/>
      </c>
      <c r="O219" s="30" t="n"/>
      <c r="P219" s="29">
        <f>IF(ISNUMBER(M219),M219-IF(ISNUMBER(O219),O219,60),"")</f>
        <v/>
      </c>
      <c r="Q219" s="27" t="n"/>
      <c r="R219" s="27" t="n"/>
      <c r="S219" s="27" t="n"/>
      <c r="T219" s="27" t="n"/>
      <c r="U219" s="27" t="n"/>
      <c r="V219" s="27" t="n"/>
      <c r="W219" s="27" t="n"/>
      <c r="X219" s="27" t="n"/>
      <c r="Y219" s="27" t="n"/>
    </row>
    <row r="220">
      <c r="A220" s="27" t="n"/>
      <c r="B220" s="27" t="n"/>
      <c r="C220" s="27" t="n"/>
      <c r="D220" s="27" t="n"/>
      <c r="E220" s="28" t="n"/>
      <c r="F220" s="28" t="n"/>
      <c r="G220" s="27" t="n"/>
      <c r="H220" s="29">
        <f>IF(G220="Invoice",IF(ISNUMBER(F220),F220,""),IF(ISNUMBER(E220),E220,""))</f>
        <v/>
      </c>
      <c r="I220" s="30" t="n"/>
      <c r="J220" s="29">
        <f>IF(AND(ISNUMBER(H220),ISNUMBER(I220)),EDATE(H220,I220),"")</f>
        <v/>
      </c>
      <c r="K220" s="30" t="n"/>
      <c r="L220" s="29">
        <f>IF(AND(ISNUMBER(H220),ISNUMBER(K220)),EDATE(H220,K220),"")</f>
        <v/>
      </c>
      <c r="M220" s="29">
        <f>IF(COUNT(J220,L220)=0,"",IF(MIN(J220,L220)&gt;=TODAY(),MIN(J220,L220),MAX(J220,L220)))</f>
        <v/>
      </c>
      <c r="N220" s="31">
        <f>IF(ISNUMBER(M220),M220-TODAY(),"")</f>
        <v/>
      </c>
      <c r="O220" s="30" t="n"/>
      <c r="P220" s="29">
        <f>IF(ISNUMBER(M220),M220-IF(ISNUMBER(O220),O220,60),"")</f>
        <v/>
      </c>
      <c r="Q220" s="27" t="n"/>
      <c r="R220" s="27" t="n"/>
      <c r="S220" s="27" t="n"/>
      <c r="T220" s="27" t="n"/>
      <c r="U220" s="27" t="n"/>
      <c r="V220" s="27" t="n"/>
      <c r="W220" s="27" t="n"/>
      <c r="X220" s="27" t="n"/>
      <c r="Y220" s="27" t="n"/>
    </row>
    <row r="221">
      <c r="A221" s="27" t="n"/>
      <c r="B221" s="27" t="n"/>
      <c r="C221" s="27" t="n"/>
      <c r="D221" s="27" t="n"/>
      <c r="E221" s="28" t="n"/>
      <c r="F221" s="28" t="n"/>
      <c r="G221" s="27" t="n"/>
      <c r="H221" s="29">
        <f>IF(G221="Invoice",IF(ISNUMBER(F221),F221,""),IF(ISNUMBER(E221),E221,""))</f>
        <v/>
      </c>
      <c r="I221" s="30" t="n"/>
      <c r="J221" s="29">
        <f>IF(AND(ISNUMBER(H221),ISNUMBER(I221)),EDATE(H221,I221),"")</f>
        <v/>
      </c>
      <c r="K221" s="30" t="n"/>
      <c r="L221" s="29">
        <f>IF(AND(ISNUMBER(H221),ISNUMBER(K221)),EDATE(H221,K221),"")</f>
        <v/>
      </c>
      <c r="M221" s="29">
        <f>IF(COUNT(J221,L221)=0,"",IF(MIN(J221,L221)&gt;=TODAY(),MIN(J221,L221),MAX(J221,L221)))</f>
        <v/>
      </c>
      <c r="N221" s="31">
        <f>IF(ISNUMBER(M221),M221-TODAY(),"")</f>
        <v/>
      </c>
      <c r="O221" s="30" t="n"/>
      <c r="P221" s="29">
        <f>IF(ISNUMBER(M221),M221-IF(ISNUMBER(O221),O221,60),"")</f>
        <v/>
      </c>
      <c r="Q221" s="27" t="n"/>
      <c r="R221" s="27" t="n"/>
      <c r="S221" s="27" t="n"/>
      <c r="T221" s="27" t="n"/>
      <c r="U221" s="27" t="n"/>
      <c r="V221" s="27" t="n"/>
      <c r="W221" s="27" t="n"/>
      <c r="X221" s="27" t="n"/>
      <c r="Y221" s="27" t="n"/>
    </row>
    <row r="222">
      <c r="A222" s="27" t="n"/>
      <c r="B222" s="27" t="n"/>
      <c r="C222" s="27" t="n"/>
      <c r="D222" s="27" t="n"/>
      <c r="E222" s="28" t="n"/>
      <c r="F222" s="28" t="n"/>
      <c r="G222" s="27" t="n"/>
      <c r="H222" s="29">
        <f>IF(G222="Invoice",IF(ISNUMBER(F222),F222,""),IF(ISNUMBER(E222),E222,""))</f>
        <v/>
      </c>
      <c r="I222" s="30" t="n"/>
      <c r="J222" s="29">
        <f>IF(AND(ISNUMBER(H222),ISNUMBER(I222)),EDATE(H222,I222),"")</f>
        <v/>
      </c>
      <c r="K222" s="30" t="n"/>
      <c r="L222" s="29">
        <f>IF(AND(ISNUMBER(H222),ISNUMBER(K222)),EDATE(H222,K222),"")</f>
        <v/>
      </c>
      <c r="M222" s="29">
        <f>IF(COUNT(J222,L222)=0,"",IF(MIN(J222,L222)&gt;=TODAY(),MIN(J222,L222),MAX(J222,L222)))</f>
        <v/>
      </c>
      <c r="N222" s="31">
        <f>IF(ISNUMBER(M222),M222-TODAY(),"")</f>
        <v/>
      </c>
      <c r="O222" s="30" t="n"/>
      <c r="P222" s="29">
        <f>IF(ISNUMBER(M222),M222-IF(ISNUMBER(O222),O222,60),"")</f>
        <v/>
      </c>
      <c r="Q222" s="27" t="n"/>
      <c r="R222" s="27" t="n"/>
      <c r="S222" s="27" t="n"/>
      <c r="T222" s="27" t="n"/>
      <c r="U222" s="27" t="n"/>
      <c r="V222" s="27" t="n"/>
      <c r="W222" s="27" t="n"/>
      <c r="X222" s="27" t="n"/>
      <c r="Y222" s="27" t="n"/>
    </row>
    <row r="223">
      <c r="A223" s="27" t="n"/>
      <c r="B223" s="27" t="n"/>
      <c r="C223" s="27" t="n"/>
      <c r="D223" s="27" t="n"/>
      <c r="E223" s="28" t="n"/>
      <c r="F223" s="28" t="n"/>
      <c r="G223" s="27" t="n"/>
      <c r="H223" s="29">
        <f>IF(G223="Invoice",IF(ISNUMBER(F223),F223,""),IF(ISNUMBER(E223),E223,""))</f>
        <v/>
      </c>
      <c r="I223" s="30" t="n"/>
      <c r="J223" s="29">
        <f>IF(AND(ISNUMBER(H223),ISNUMBER(I223)),EDATE(H223,I223),"")</f>
        <v/>
      </c>
      <c r="K223" s="30" t="n"/>
      <c r="L223" s="29">
        <f>IF(AND(ISNUMBER(H223),ISNUMBER(K223)),EDATE(H223,K223),"")</f>
        <v/>
      </c>
      <c r="M223" s="29">
        <f>IF(COUNT(J223,L223)=0,"",IF(MIN(J223,L223)&gt;=TODAY(),MIN(J223,L223),MAX(J223,L223)))</f>
        <v/>
      </c>
      <c r="N223" s="31">
        <f>IF(ISNUMBER(M223),M223-TODAY(),"")</f>
        <v/>
      </c>
      <c r="O223" s="30" t="n"/>
      <c r="P223" s="29">
        <f>IF(ISNUMBER(M223),M223-IF(ISNUMBER(O223),O223,60),"")</f>
        <v/>
      </c>
      <c r="Q223" s="27" t="n"/>
      <c r="R223" s="27" t="n"/>
      <c r="S223" s="27" t="n"/>
      <c r="T223" s="27" t="n"/>
      <c r="U223" s="27" t="n"/>
      <c r="V223" s="27" t="n"/>
      <c r="W223" s="27" t="n"/>
      <c r="X223" s="27" t="n"/>
      <c r="Y223" s="27" t="n"/>
    </row>
    <row r="224">
      <c r="A224" s="27" t="n"/>
      <c r="B224" s="27" t="n"/>
      <c r="C224" s="27" t="n"/>
      <c r="D224" s="27" t="n"/>
      <c r="E224" s="28" t="n"/>
      <c r="F224" s="28" t="n"/>
      <c r="G224" s="27" t="n"/>
      <c r="H224" s="29">
        <f>IF(G224="Invoice",IF(ISNUMBER(F224),F224,""),IF(ISNUMBER(E224),E224,""))</f>
        <v/>
      </c>
      <c r="I224" s="30" t="n"/>
      <c r="J224" s="29">
        <f>IF(AND(ISNUMBER(H224),ISNUMBER(I224)),EDATE(H224,I224),"")</f>
        <v/>
      </c>
      <c r="K224" s="30" t="n"/>
      <c r="L224" s="29">
        <f>IF(AND(ISNUMBER(H224),ISNUMBER(K224)),EDATE(H224,K224),"")</f>
        <v/>
      </c>
      <c r="M224" s="29">
        <f>IF(COUNT(J224,L224)=0,"",IF(MIN(J224,L224)&gt;=TODAY(),MIN(J224,L224),MAX(J224,L224)))</f>
        <v/>
      </c>
      <c r="N224" s="31">
        <f>IF(ISNUMBER(M224),M224-TODAY(),"")</f>
        <v/>
      </c>
      <c r="O224" s="30" t="n"/>
      <c r="P224" s="29">
        <f>IF(ISNUMBER(M224),M224-IF(ISNUMBER(O224),O224,60),"")</f>
        <v/>
      </c>
      <c r="Q224" s="27" t="n"/>
      <c r="R224" s="27" t="n"/>
      <c r="S224" s="27" t="n"/>
      <c r="T224" s="27" t="n"/>
      <c r="U224" s="27" t="n"/>
      <c r="V224" s="27" t="n"/>
      <c r="W224" s="27" t="n"/>
      <c r="X224" s="27" t="n"/>
      <c r="Y224" s="27" t="n"/>
    </row>
    <row r="225">
      <c r="A225" s="27" t="n"/>
      <c r="B225" s="27" t="n"/>
      <c r="C225" s="27" t="n"/>
      <c r="D225" s="27" t="n"/>
      <c r="E225" s="28" t="n"/>
      <c r="F225" s="28" t="n"/>
      <c r="G225" s="27" t="n"/>
      <c r="H225" s="29">
        <f>IF(G225="Invoice",IF(ISNUMBER(F225),F225,""),IF(ISNUMBER(E225),E225,""))</f>
        <v/>
      </c>
      <c r="I225" s="30" t="n"/>
      <c r="J225" s="29">
        <f>IF(AND(ISNUMBER(H225),ISNUMBER(I225)),EDATE(H225,I225),"")</f>
        <v/>
      </c>
      <c r="K225" s="30" t="n"/>
      <c r="L225" s="29">
        <f>IF(AND(ISNUMBER(H225),ISNUMBER(K225)),EDATE(H225,K225),"")</f>
        <v/>
      </c>
      <c r="M225" s="29">
        <f>IF(COUNT(J225,L225)=0,"",IF(MIN(J225,L225)&gt;=TODAY(),MIN(J225,L225),MAX(J225,L225)))</f>
        <v/>
      </c>
      <c r="N225" s="31">
        <f>IF(ISNUMBER(M225),M225-TODAY(),"")</f>
        <v/>
      </c>
      <c r="O225" s="30" t="n"/>
      <c r="P225" s="29">
        <f>IF(ISNUMBER(M225),M225-IF(ISNUMBER(O225),O225,60),"")</f>
        <v/>
      </c>
      <c r="Q225" s="27" t="n"/>
      <c r="R225" s="27" t="n"/>
      <c r="S225" s="27" t="n"/>
      <c r="T225" s="27" t="n"/>
      <c r="U225" s="27" t="n"/>
      <c r="V225" s="27" t="n"/>
      <c r="W225" s="27" t="n"/>
      <c r="X225" s="27" t="n"/>
      <c r="Y225" s="27" t="n"/>
    </row>
    <row r="226">
      <c r="A226" s="27" t="n"/>
      <c r="B226" s="27" t="n"/>
      <c r="C226" s="27" t="n"/>
      <c r="D226" s="27" t="n"/>
      <c r="E226" s="28" t="n"/>
      <c r="F226" s="28" t="n"/>
      <c r="G226" s="27" t="n"/>
      <c r="H226" s="29">
        <f>IF(G226="Invoice",IF(ISNUMBER(F226),F226,""),IF(ISNUMBER(E226),E226,""))</f>
        <v/>
      </c>
      <c r="I226" s="30" t="n"/>
      <c r="J226" s="29">
        <f>IF(AND(ISNUMBER(H226),ISNUMBER(I226)),EDATE(H226,I226),"")</f>
        <v/>
      </c>
      <c r="K226" s="30" t="n"/>
      <c r="L226" s="29">
        <f>IF(AND(ISNUMBER(H226),ISNUMBER(K226)),EDATE(H226,K226),"")</f>
        <v/>
      </c>
      <c r="M226" s="29">
        <f>IF(COUNT(J226,L226)=0,"",IF(MIN(J226,L226)&gt;=TODAY(),MIN(J226,L226),MAX(J226,L226)))</f>
        <v/>
      </c>
      <c r="N226" s="31">
        <f>IF(ISNUMBER(M226),M226-TODAY(),"")</f>
        <v/>
      </c>
      <c r="O226" s="30" t="n"/>
      <c r="P226" s="29">
        <f>IF(ISNUMBER(M226),M226-IF(ISNUMBER(O226),O226,60),"")</f>
        <v/>
      </c>
      <c r="Q226" s="27" t="n"/>
      <c r="R226" s="27" t="n"/>
      <c r="S226" s="27" t="n"/>
      <c r="T226" s="27" t="n"/>
      <c r="U226" s="27" t="n"/>
      <c r="V226" s="27" t="n"/>
      <c r="W226" s="27" t="n"/>
      <c r="X226" s="27" t="n"/>
      <c r="Y226" s="27" t="n"/>
    </row>
    <row r="227">
      <c r="A227" s="27" t="n"/>
      <c r="B227" s="27" t="n"/>
      <c r="C227" s="27" t="n"/>
      <c r="D227" s="27" t="n"/>
      <c r="E227" s="28" t="n"/>
      <c r="F227" s="28" t="n"/>
      <c r="G227" s="27" t="n"/>
      <c r="H227" s="29">
        <f>IF(G227="Invoice",IF(ISNUMBER(F227),F227,""),IF(ISNUMBER(E227),E227,""))</f>
        <v/>
      </c>
      <c r="I227" s="30" t="n"/>
      <c r="J227" s="29">
        <f>IF(AND(ISNUMBER(H227),ISNUMBER(I227)),EDATE(H227,I227),"")</f>
        <v/>
      </c>
      <c r="K227" s="30" t="n"/>
      <c r="L227" s="29">
        <f>IF(AND(ISNUMBER(H227),ISNUMBER(K227)),EDATE(H227,K227),"")</f>
        <v/>
      </c>
      <c r="M227" s="29">
        <f>IF(COUNT(J227,L227)=0,"",IF(MIN(J227,L227)&gt;=TODAY(),MIN(J227,L227),MAX(J227,L227)))</f>
        <v/>
      </c>
      <c r="N227" s="31">
        <f>IF(ISNUMBER(M227),M227-TODAY(),"")</f>
        <v/>
      </c>
      <c r="O227" s="30" t="n"/>
      <c r="P227" s="29">
        <f>IF(ISNUMBER(M227),M227-IF(ISNUMBER(O227),O227,60),"")</f>
        <v/>
      </c>
      <c r="Q227" s="27" t="n"/>
      <c r="R227" s="27" t="n"/>
      <c r="S227" s="27" t="n"/>
      <c r="T227" s="27" t="n"/>
      <c r="U227" s="27" t="n"/>
      <c r="V227" s="27" t="n"/>
      <c r="W227" s="27" t="n"/>
      <c r="X227" s="27" t="n"/>
      <c r="Y227" s="27" t="n"/>
    </row>
    <row r="228">
      <c r="A228" s="27" t="n"/>
      <c r="B228" s="27" t="n"/>
      <c r="C228" s="27" t="n"/>
      <c r="D228" s="27" t="n"/>
      <c r="E228" s="28" t="n"/>
      <c r="F228" s="28" t="n"/>
      <c r="G228" s="27" t="n"/>
      <c r="H228" s="29">
        <f>IF(G228="Invoice",IF(ISNUMBER(F228),F228,""),IF(ISNUMBER(E228),E228,""))</f>
        <v/>
      </c>
      <c r="I228" s="30" t="n"/>
      <c r="J228" s="29">
        <f>IF(AND(ISNUMBER(H228),ISNUMBER(I228)),EDATE(H228,I228),"")</f>
        <v/>
      </c>
      <c r="K228" s="30" t="n"/>
      <c r="L228" s="29">
        <f>IF(AND(ISNUMBER(H228),ISNUMBER(K228)),EDATE(H228,K228),"")</f>
        <v/>
      </c>
      <c r="M228" s="29">
        <f>IF(COUNT(J228,L228)=0,"",IF(MIN(J228,L228)&gt;=TODAY(),MIN(J228,L228),MAX(J228,L228)))</f>
        <v/>
      </c>
      <c r="N228" s="31">
        <f>IF(ISNUMBER(M228),M228-TODAY(),"")</f>
        <v/>
      </c>
      <c r="O228" s="30" t="n"/>
      <c r="P228" s="29">
        <f>IF(ISNUMBER(M228),M228-IF(ISNUMBER(O228),O228,60),"")</f>
        <v/>
      </c>
      <c r="Q228" s="27" t="n"/>
      <c r="R228" s="27" t="n"/>
      <c r="S228" s="27" t="n"/>
      <c r="T228" s="27" t="n"/>
      <c r="U228" s="27" t="n"/>
      <c r="V228" s="27" t="n"/>
      <c r="W228" s="27" t="n"/>
      <c r="X228" s="27" t="n"/>
      <c r="Y228" s="27" t="n"/>
    </row>
    <row r="229">
      <c r="A229" s="27" t="n"/>
      <c r="B229" s="27" t="n"/>
      <c r="C229" s="27" t="n"/>
      <c r="D229" s="27" t="n"/>
      <c r="E229" s="28" t="n"/>
      <c r="F229" s="28" t="n"/>
      <c r="G229" s="27" t="n"/>
      <c r="H229" s="29">
        <f>IF(G229="Invoice",IF(ISNUMBER(F229),F229,""),IF(ISNUMBER(E229),E229,""))</f>
        <v/>
      </c>
      <c r="I229" s="30" t="n"/>
      <c r="J229" s="29">
        <f>IF(AND(ISNUMBER(H229),ISNUMBER(I229)),EDATE(H229,I229),"")</f>
        <v/>
      </c>
      <c r="K229" s="30" t="n"/>
      <c r="L229" s="29">
        <f>IF(AND(ISNUMBER(H229),ISNUMBER(K229)),EDATE(H229,K229),"")</f>
        <v/>
      </c>
      <c r="M229" s="29">
        <f>IF(COUNT(J229,L229)=0,"",IF(MIN(J229,L229)&gt;=TODAY(),MIN(J229,L229),MAX(J229,L229)))</f>
        <v/>
      </c>
      <c r="N229" s="31">
        <f>IF(ISNUMBER(M229),M229-TODAY(),"")</f>
        <v/>
      </c>
      <c r="O229" s="30" t="n"/>
      <c r="P229" s="29">
        <f>IF(ISNUMBER(M229),M229-IF(ISNUMBER(O229),O229,60),"")</f>
        <v/>
      </c>
      <c r="Q229" s="27" t="n"/>
      <c r="R229" s="27" t="n"/>
      <c r="S229" s="27" t="n"/>
      <c r="T229" s="27" t="n"/>
      <c r="U229" s="27" t="n"/>
      <c r="V229" s="27" t="n"/>
      <c r="W229" s="27" t="n"/>
      <c r="X229" s="27" t="n"/>
      <c r="Y229" s="27" t="n"/>
    </row>
    <row r="230">
      <c r="A230" s="27" t="n"/>
      <c r="B230" s="27" t="n"/>
      <c r="C230" s="27" t="n"/>
      <c r="D230" s="27" t="n"/>
      <c r="E230" s="28" t="n"/>
      <c r="F230" s="28" t="n"/>
      <c r="G230" s="27" t="n"/>
      <c r="H230" s="29">
        <f>IF(G230="Invoice",IF(ISNUMBER(F230),F230,""),IF(ISNUMBER(E230),E230,""))</f>
        <v/>
      </c>
      <c r="I230" s="30" t="n"/>
      <c r="J230" s="29">
        <f>IF(AND(ISNUMBER(H230),ISNUMBER(I230)),EDATE(H230,I230),"")</f>
        <v/>
      </c>
      <c r="K230" s="30" t="n"/>
      <c r="L230" s="29">
        <f>IF(AND(ISNUMBER(H230),ISNUMBER(K230)),EDATE(H230,K230),"")</f>
        <v/>
      </c>
      <c r="M230" s="29">
        <f>IF(COUNT(J230,L230)=0,"",IF(MIN(J230,L230)&gt;=TODAY(),MIN(J230,L230),MAX(J230,L230)))</f>
        <v/>
      </c>
      <c r="N230" s="31">
        <f>IF(ISNUMBER(M230),M230-TODAY(),"")</f>
        <v/>
      </c>
      <c r="O230" s="30" t="n"/>
      <c r="P230" s="29">
        <f>IF(ISNUMBER(M230),M230-IF(ISNUMBER(O230),O230,60),"")</f>
        <v/>
      </c>
      <c r="Q230" s="27" t="n"/>
      <c r="R230" s="27" t="n"/>
      <c r="S230" s="27" t="n"/>
      <c r="T230" s="27" t="n"/>
      <c r="U230" s="27" t="n"/>
      <c r="V230" s="27" t="n"/>
      <c r="W230" s="27" t="n"/>
      <c r="X230" s="27" t="n"/>
      <c r="Y230" s="27" t="n"/>
    </row>
    <row r="231">
      <c r="A231" s="27" t="n"/>
      <c r="B231" s="27" t="n"/>
      <c r="C231" s="27" t="n"/>
      <c r="D231" s="27" t="n"/>
      <c r="E231" s="28" t="n"/>
      <c r="F231" s="28" t="n"/>
      <c r="G231" s="27" t="n"/>
      <c r="H231" s="29">
        <f>IF(G231="Invoice",IF(ISNUMBER(F231),F231,""),IF(ISNUMBER(E231),E231,""))</f>
        <v/>
      </c>
      <c r="I231" s="30" t="n"/>
      <c r="J231" s="29">
        <f>IF(AND(ISNUMBER(H231),ISNUMBER(I231)),EDATE(H231,I231),"")</f>
        <v/>
      </c>
      <c r="K231" s="30" t="n"/>
      <c r="L231" s="29">
        <f>IF(AND(ISNUMBER(H231),ISNUMBER(K231)),EDATE(H231,K231),"")</f>
        <v/>
      </c>
      <c r="M231" s="29">
        <f>IF(COUNT(J231,L231)=0,"",IF(MIN(J231,L231)&gt;=TODAY(),MIN(J231,L231),MAX(J231,L231)))</f>
        <v/>
      </c>
      <c r="N231" s="31">
        <f>IF(ISNUMBER(M231),M231-TODAY(),"")</f>
        <v/>
      </c>
      <c r="O231" s="30" t="n"/>
      <c r="P231" s="29">
        <f>IF(ISNUMBER(M231),M231-IF(ISNUMBER(O231),O231,60),"")</f>
        <v/>
      </c>
      <c r="Q231" s="27" t="n"/>
      <c r="R231" s="27" t="n"/>
      <c r="S231" s="27" t="n"/>
      <c r="T231" s="27" t="n"/>
      <c r="U231" s="27" t="n"/>
      <c r="V231" s="27" t="n"/>
      <c r="W231" s="27" t="n"/>
      <c r="X231" s="27" t="n"/>
      <c r="Y231" s="27" t="n"/>
    </row>
    <row r="232">
      <c r="A232" s="27" t="n"/>
      <c r="B232" s="27" t="n"/>
      <c r="C232" s="27" t="n"/>
      <c r="D232" s="27" t="n"/>
      <c r="E232" s="28" t="n"/>
      <c r="F232" s="28" t="n"/>
      <c r="G232" s="27" t="n"/>
      <c r="H232" s="29">
        <f>IF(G232="Invoice",IF(ISNUMBER(F232),F232,""),IF(ISNUMBER(E232),E232,""))</f>
        <v/>
      </c>
      <c r="I232" s="30" t="n"/>
      <c r="J232" s="29">
        <f>IF(AND(ISNUMBER(H232),ISNUMBER(I232)),EDATE(H232,I232),"")</f>
        <v/>
      </c>
      <c r="K232" s="30" t="n"/>
      <c r="L232" s="29">
        <f>IF(AND(ISNUMBER(H232),ISNUMBER(K232)),EDATE(H232,K232),"")</f>
        <v/>
      </c>
      <c r="M232" s="29">
        <f>IF(COUNT(J232,L232)=0,"",IF(MIN(J232,L232)&gt;=TODAY(),MIN(J232,L232),MAX(J232,L232)))</f>
        <v/>
      </c>
      <c r="N232" s="31">
        <f>IF(ISNUMBER(M232),M232-TODAY(),"")</f>
        <v/>
      </c>
      <c r="O232" s="30" t="n"/>
      <c r="P232" s="29">
        <f>IF(ISNUMBER(M232),M232-IF(ISNUMBER(O232),O232,60),"")</f>
        <v/>
      </c>
      <c r="Q232" s="27" t="n"/>
      <c r="R232" s="27" t="n"/>
      <c r="S232" s="27" t="n"/>
      <c r="T232" s="27" t="n"/>
      <c r="U232" s="27" t="n"/>
      <c r="V232" s="27" t="n"/>
      <c r="W232" s="27" t="n"/>
      <c r="X232" s="27" t="n"/>
      <c r="Y232" s="27" t="n"/>
    </row>
    <row r="233">
      <c r="A233" s="27" t="n"/>
      <c r="B233" s="27" t="n"/>
      <c r="C233" s="27" t="n"/>
      <c r="D233" s="27" t="n"/>
      <c r="E233" s="28" t="n"/>
      <c r="F233" s="28" t="n"/>
      <c r="G233" s="27" t="n"/>
      <c r="H233" s="29">
        <f>IF(G233="Invoice",IF(ISNUMBER(F233),F233,""),IF(ISNUMBER(E233),E233,""))</f>
        <v/>
      </c>
      <c r="I233" s="30" t="n"/>
      <c r="J233" s="29">
        <f>IF(AND(ISNUMBER(H233),ISNUMBER(I233)),EDATE(H233,I233),"")</f>
        <v/>
      </c>
      <c r="K233" s="30" t="n"/>
      <c r="L233" s="29">
        <f>IF(AND(ISNUMBER(H233),ISNUMBER(K233)),EDATE(H233,K233),"")</f>
        <v/>
      </c>
      <c r="M233" s="29">
        <f>IF(COUNT(J233,L233)=0,"",IF(MIN(J233,L233)&gt;=TODAY(),MIN(J233,L233),MAX(J233,L233)))</f>
        <v/>
      </c>
      <c r="N233" s="31">
        <f>IF(ISNUMBER(M233),M233-TODAY(),"")</f>
        <v/>
      </c>
      <c r="O233" s="30" t="n"/>
      <c r="P233" s="29">
        <f>IF(ISNUMBER(M233),M233-IF(ISNUMBER(O233),O233,60),"")</f>
        <v/>
      </c>
      <c r="Q233" s="27" t="n"/>
      <c r="R233" s="27" t="n"/>
      <c r="S233" s="27" t="n"/>
      <c r="T233" s="27" t="n"/>
      <c r="U233" s="27" t="n"/>
      <c r="V233" s="27" t="n"/>
      <c r="W233" s="27" t="n"/>
      <c r="X233" s="27" t="n"/>
      <c r="Y233" s="27" t="n"/>
    </row>
    <row r="234">
      <c r="A234" s="27" t="n"/>
      <c r="B234" s="27" t="n"/>
      <c r="C234" s="27" t="n"/>
      <c r="D234" s="27" t="n"/>
      <c r="E234" s="28" t="n"/>
      <c r="F234" s="28" t="n"/>
      <c r="G234" s="27" t="n"/>
      <c r="H234" s="29">
        <f>IF(G234="Invoice",IF(ISNUMBER(F234),F234,""),IF(ISNUMBER(E234),E234,""))</f>
        <v/>
      </c>
      <c r="I234" s="30" t="n"/>
      <c r="J234" s="29">
        <f>IF(AND(ISNUMBER(H234),ISNUMBER(I234)),EDATE(H234,I234),"")</f>
        <v/>
      </c>
      <c r="K234" s="30" t="n"/>
      <c r="L234" s="29">
        <f>IF(AND(ISNUMBER(H234),ISNUMBER(K234)),EDATE(H234,K234),"")</f>
        <v/>
      </c>
      <c r="M234" s="29">
        <f>IF(COUNT(J234,L234)=0,"",IF(MIN(J234,L234)&gt;=TODAY(),MIN(J234,L234),MAX(J234,L234)))</f>
        <v/>
      </c>
      <c r="N234" s="31">
        <f>IF(ISNUMBER(M234),M234-TODAY(),"")</f>
        <v/>
      </c>
      <c r="O234" s="30" t="n"/>
      <c r="P234" s="29">
        <f>IF(ISNUMBER(M234),M234-IF(ISNUMBER(O234),O234,60),"")</f>
        <v/>
      </c>
      <c r="Q234" s="27" t="n"/>
      <c r="R234" s="27" t="n"/>
      <c r="S234" s="27" t="n"/>
      <c r="T234" s="27" t="n"/>
      <c r="U234" s="27" t="n"/>
      <c r="V234" s="27" t="n"/>
      <c r="W234" s="27" t="n"/>
      <c r="X234" s="27" t="n"/>
      <c r="Y234" s="27" t="n"/>
    </row>
    <row r="235">
      <c r="A235" s="27" t="n"/>
      <c r="B235" s="27" t="n"/>
      <c r="C235" s="27" t="n"/>
      <c r="D235" s="27" t="n"/>
      <c r="E235" s="28" t="n"/>
      <c r="F235" s="28" t="n"/>
      <c r="G235" s="27" t="n"/>
      <c r="H235" s="29">
        <f>IF(G235="Invoice",IF(ISNUMBER(F235),F235,""),IF(ISNUMBER(E235),E235,""))</f>
        <v/>
      </c>
      <c r="I235" s="30" t="n"/>
      <c r="J235" s="29">
        <f>IF(AND(ISNUMBER(H235),ISNUMBER(I235)),EDATE(H235,I235),"")</f>
        <v/>
      </c>
      <c r="K235" s="30" t="n"/>
      <c r="L235" s="29">
        <f>IF(AND(ISNUMBER(H235),ISNUMBER(K235)),EDATE(H235,K235),"")</f>
        <v/>
      </c>
      <c r="M235" s="29">
        <f>IF(COUNT(J235,L235)=0,"",IF(MIN(J235,L235)&gt;=TODAY(),MIN(J235,L235),MAX(J235,L235)))</f>
        <v/>
      </c>
      <c r="N235" s="31">
        <f>IF(ISNUMBER(M235),M235-TODAY(),"")</f>
        <v/>
      </c>
      <c r="O235" s="30" t="n"/>
      <c r="P235" s="29">
        <f>IF(ISNUMBER(M235),M235-IF(ISNUMBER(O235),O235,60),"")</f>
        <v/>
      </c>
      <c r="Q235" s="27" t="n"/>
      <c r="R235" s="27" t="n"/>
      <c r="S235" s="27" t="n"/>
      <c r="T235" s="27" t="n"/>
      <c r="U235" s="27" t="n"/>
      <c r="V235" s="27" t="n"/>
      <c r="W235" s="27" t="n"/>
      <c r="X235" s="27" t="n"/>
      <c r="Y235" s="27" t="n"/>
    </row>
    <row r="236">
      <c r="A236" s="27" t="n"/>
      <c r="B236" s="27" t="n"/>
      <c r="C236" s="27" t="n"/>
      <c r="D236" s="27" t="n"/>
      <c r="E236" s="28" t="n"/>
      <c r="F236" s="28" t="n"/>
      <c r="G236" s="27" t="n"/>
      <c r="H236" s="29">
        <f>IF(G236="Invoice",IF(ISNUMBER(F236),F236,""),IF(ISNUMBER(E236),E236,""))</f>
        <v/>
      </c>
      <c r="I236" s="30" t="n"/>
      <c r="J236" s="29">
        <f>IF(AND(ISNUMBER(H236),ISNUMBER(I236)),EDATE(H236,I236),"")</f>
        <v/>
      </c>
      <c r="K236" s="30" t="n"/>
      <c r="L236" s="29">
        <f>IF(AND(ISNUMBER(H236),ISNUMBER(K236)),EDATE(H236,K236),"")</f>
        <v/>
      </c>
      <c r="M236" s="29">
        <f>IF(COUNT(J236,L236)=0,"",IF(MIN(J236,L236)&gt;=TODAY(),MIN(J236,L236),MAX(J236,L236)))</f>
        <v/>
      </c>
      <c r="N236" s="31">
        <f>IF(ISNUMBER(M236),M236-TODAY(),"")</f>
        <v/>
      </c>
      <c r="O236" s="30" t="n"/>
      <c r="P236" s="29">
        <f>IF(ISNUMBER(M236),M236-IF(ISNUMBER(O236),O236,60),"")</f>
        <v/>
      </c>
      <c r="Q236" s="27" t="n"/>
      <c r="R236" s="27" t="n"/>
      <c r="S236" s="27" t="n"/>
      <c r="T236" s="27" t="n"/>
      <c r="U236" s="27" t="n"/>
      <c r="V236" s="27" t="n"/>
      <c r="W236" s="27" t="n"/>
      <c r="X236" s="27" t="n"/>
      <c r="Y236" s="27" t="n"/>
    </row>
    <row r="237">
      <c r="A237" s="27" t="n"/>
      <c r="B237" s="27" t="n"/>
      <c r="C237" s="27" t="n"/>
      <c r="D237" s="27" t="n"/>
      <c r="E237" s="28" t="n"/>
      <c r="F237" s="28" t="n"/>
      <c r="G237" s="27" t="n"/>
      <c r="H237" s="29">
        <f>IF(G237="Invoice",IF(ISNUMBER(F237),F237,""),IF(ISNUMBER(E237),E237,""))</f>
        <v/>
      </c>
      <c r="I237" s="30" t="n"/>
      <c r="J237" s="29">
        <f>IF(AND(ISNUMBER(H237),ISNUMBER(I237)),EDATE(H237,I237),"")</f>
        <v/>
      </c>
      <c r="K237" s="30" t="n"/>
      <c r="L237" s="29">
        <f>IF(AND(ISNUMBER(H237),ISNUMBER(K237)),EDATE(H237,K237),"")</f>
        <v/>
      </c>
      <c r="M237" s="29">
        <f>IF(COUNT(J237,L237)=0,"",IF(MIN(J237,L237)&gt;=TODAY(),MIN(J237,L237),MAX(J237,L237)))</f>
        <v/>
      </c>
      <c r="N237" s="31">
        <f>IF(ISNUMBER(M237),M237-TODAY(),"")</f>
        <v/>
      </c>
      <c r="O237" s="30" t="n"/>
      <c r="P237" s="29">
        <f>IF(ISNUMBER(M237),M237-IF(ISNUMBER(O237),O237,60),"")</f>
        <v/>
      </c>
      <c r="Q237" s="27" t="n"/>
      <c r="R237" s="27" t="n"/>
      <c r="S237" s="27" t="n"/>
      <c r="T237" s="27" t="n"/>
      <c r="U237" s="27" t="n"/>
      <c r="V237" s="27" t="n"/>
      <c r="W237" s="27" t="n"/>
      <c r="X237" s="27" t="n"/>
      <c r="Y237" s="27" t="n"/>
    </row>
    <row r="238">
      <c r="A238" s="27" t="n"/>
      <c r="B238" s="27" t="n"/>
      <c r="C238" s="27" t="n"/>
      <c r="D238" s="27" t="n"/>
      <c r="E238" s="28" t="n"/>
      <c r="F238" s="28" t="n"/>
      <c r="G238" s="27" t="n"/>
      <c r="H238" s="29">
        <f>IF(G238="Invoice",IF(ISNUMBER(F238),F238,""),IF(ISNUMBER(E238),E238,""))</f>
        <v/>
      </c>
      <c r="I238" s="30" t="n"/>
      <c r="J238" s="29">
        <f>IF(AND(ISNUMBER(H238),ISNUMBER(I238)),EDATE(H238,I238),"")</f>
        <v/>
      </c>
      <c r="K238" s="30" t="n"/>
      <c r="L238" s="29">
        <f>IF(AND(ISNUMBER(H238),ISNUMBER(K238)),EDATE(H238,K238),"")</f>
        <v/>
      </c>
      <c r="M238" s="29">
        <f>IF(COUNT(J238,L238)=0,"",IF(MIN(J238,L238)&gt;=TODAY(),MIN(J238,L238),MAX(J238,L238)))</f>
        <v/>
      </c>
      <c r="N238" s="31">
        <f>IF(ISNUMBER(M238),M238-TODAY(),"")</f>
        <v/>
      </c>
      <c r="O238" s="30" t="n"/>
      <c r="P238" s="29">
        <f>IF(ISNUMBER(M238),M238-IF(ISNUMBER(O238),O238,60),"")</f>
        <v/>
      </c>
      <c r="Q238" s="27" t="n"/>
      <c r="R238" s="27" t="n"/>
      <c r="S238" s="27" t="n"/>
      <c r="T238" s="27" t="n"/>
      <c r="U238" s="27" t="n"/>
      <c r="V238" s="27" t="n"/>
      <c r="W238" s="27" t="n"/>
      <c r="X238" s="27" t="n"/>
      <c r="Y238" s="27" t="n"/>
    </row>
    <row r="239">
      <c r="A239" s="27" t="n"/>
      <c r="B239" s="27" t="n"/>
      <c r="C239" s="27" t="n"/>
      <c r="D239" s="27" t="n"/>
      <c r="E239" s="28" t="n"/>
      <c r="F239" s="28" t="n"/>
      <c r="G239" s="27" t="n"/>
      <c r="H239" s="29">
        <f>IF(G239="Invoice",IF(ISNUMBER(F239),F239,""),IF(ISNUMBER(E239),E239,""))</f>
        <v/>
      </c>
      <c r="I239" s="30" t="n"/>
      <c r="J239" s="29">
        <f>IF(AND(ISNUMBER(H239),ISNUMBER(I239)),EDATE(H239,I239),"")</f>
        <v/>
      </c>
      <c r="K239" s="30" t="n"/>
      <c r="L239" s="29">
        <f>IF(AND(ISNUMBER(H239),ISNUMBER(K239)),EDATE(H239,K239),"")</f>
        <v/>
      </c>
      <c r="M239" s="29">
        <f>IF(COUNT(J239,L239)=0,"",IF(MIN(J239,L239)&gt;=TODAY(),MIN(J239,L239),MAX(J239,L239)))</f>
        <v/>
      </c>
      <c r="N239" s="31">
        <f>IF(ISNUMBER(M239),M239-TODAY(),"")</f>
        <v/>
      </c>
      <c r="O239" s="30" t="n"/>
      <c r="P239" s="29">
        <f>IF(ISNUMBER(M239),M239-IF(ISNUMBER(O239),O239,60),"")</f>
        <v/>
      </c>
      <c r="Q239" s="27" t="n"/>
      <c r="R239" s="27" t="n"/>
      <c r="S239" s="27" t="n"/>
      <c r="T239" s="27" t="n"/>
      <c r="U239" s="27" t="n"/>
      <c r="V239" s="27" t="n"/>
      <c r="W239" s="27" t="n"/>
      <c r="X239" s="27" t="n"/>
      <c r="Y239" s="27" t="n"/>
    </row>
    <row r="240">
      <c r="A240" s="27" t="n"/>
      <c r="B240" s="27" t="n"/>
      <c r="C240" s="27" t="n"/>
      <c r="D240" s="27" t="n"/>
      <c r="E240" s="28" t="n"/>
      <c r="F240" s="28" t="n"/>
      <c r="G240" s="27" t="n"/>
      <c r="H240" s="29">
        <f>IF(G240="Invoice",IF(ISNUMBER(F240),F240,""),IF(ISNUMBER(E240),E240,""))</f>
        <v/>
      </c>
      <c r="I240" s="30" t="n"/>
      <c r="J240" s="29">
        <f>IF(AND(ISNUMBER(H240),ISNUMBER(I240)),EDATE(H240,I240),"")</f>
        <v/>
      </c>
      <c r="K240" s="30" t="n"/>
      <c r="L240" s="29">
        <f>IF(AND(ISNUMBER(H240),ISNUMBER(K240)),EDATE(H240,K240),"")</f>
        <v/>
      </c>
      <c r="M240" s="29">
        <f>IF(COUNT(J240,L240)=0,"",IF(MIN(J240,L240)&gt;=TODAY(),MIN(J240,L240),MAX(J240,L240)))</f>
        <v/>
      </c>
      <c r="N240" s="31">
        <f>IF(ISNUMBER(M240),M240-TODAY(),"")</f>
        <v/>
      </c>
      <c r="O240" s="30" t="n"/>
      <c r="P240" s="29">
        <f>IF(ISNUMBER(M240),M240-IF(ISNUMBER(O240),O240,60),"")</f>
        <v/>
      </c>
      <c r="Q240" s="27" t="n"/>
      <c r="R240" s="27" t="n"/>
      <c r="S240" s="27" t="n"/>
      <c r="T240" s="27" t="n"/>
      <c r="U240" s="27" t="n"/>
      <c r="V240" s="27" t="n"/>
      <c r="W240" s="27" t="n"/>
      <c r="X240" s="27" t="n"/>
      <c r="Y240" s="27" t="n"/>
    </row>
    <row r="241">
      <c r="A241" s="27" t="n"/>
      <c r="B241" s="27" t="n"/>
      <c r="C241" s="27" t="n"/>
      <c r="D241" s="27" t="n"/>
      <c r="E241" s="28" t="n"/>
      <c r="F241" s="28" t="n"/>
      <c r="G241" s="27" t="n"/>
      <c r="H241" s="29">
        <f>IF(G241="Invoice",IF(ISNUMBER(F241),F241,""),IF(ISNUMBER(E241),E241,""))</f>
        <v/>
      </c>
      <c r="I241" s="30" t="n"/>
      <c r="J241" s="29">
        <f>IF(AND(ISNUMBER(H241),ISNUMBER(I241)),EDATE(H241,I241),"")</f>
        <v/>
      </c>
      <c r="K241" s="30" t="n"/>
      <c r="L241" s="29">
        <f>IF(AND(ISNUMBER(H241),ISNUMBER(K241)),EDATE(H241,K241),"")</f>
        <v/>
      </c>
      <c r="M241" s="29">
        <f>IF(COUNT(J241,L241)=0,"",IF(MIN(J241,L241)&gt;=TODAY(),MIN(J241,L241),MAX(J241,L241)))</f>
        <v/>
      </c>
      <c r="N241" s="31">
        <f>IF(ISNUMBER(M241),M241-TODAY(),"")</f>
        <v/>
      </c>
      <c r="O241" s="30" t="n"/>
      <c r="P241" s="29">
        <f>IF(ISNUMBER(M241),M241-IF(ISNUMBER(O241),O241,60),"")</f>
        <v/>
      </c>
      <c r="Q241" s="27" t="n"/>
      <c r="R241" s="27" t="n"/>
      <c r="S241" s="27" t="n"/>
      <c r="T241" s="27" t="n"/>
      <c r="U241" s="27" t="n"/>
      <c r="V241" s="27" t="n"/>
      <c r="W241" s="27" t="n"/>
      <c r="X241" s="27" t="n"/>
      <c r="Y241" s="27" t="n"/>
    </row>
    <row r="242">
      <c r="A242" s="27" t="n"/>
      <c r="B242" s="27" t="n"/>
      <c r="C242" s="27" t="n"/>
      <c r="D242" s="27" t="n"/>
      <c r="E242" s="28" t="n"/>
      <c r="F242" s="28" t="n"/>
      <c r="G242" s="27" t="n"/>
      <c r="H242" s="29">
        <f>IF(G242="Invoice",IF(ISNUMBER(F242),F242,""),IF(ISNUMBER(E242),E242,""))</f>
        <v/>
      </c>
      <c r="I242" s="30" t="n"/>
      <c r="J242" s="29">
        <f>IF(AND(ISNUMBER(H242),ISNUMBER(I242)),EDATE(H242,I242),"")</f>
        <v/>
      </c>
      <c r="K242" s="30" t="n"/>
      <c r="L242" s="29">
        <f>IF(AND(ISNUMBER(H242),ISNUMBER(K242)),EDATE(H242,K242),"")</f>
        <v/>
      </c>
      <c r="M242" s="29">
        <f>IF(COUNT(J242,L242)=0,"",IF(MIN(J242,L242)&gt;=TODAY(),MIN(J242,L242),MAX(J242,L242)))</f>
        <v/>
      </c>
      <c r="N242" s="31">
        <f>IF(ISNUMBER(M242),M242-TODAY(),"")</f>
        <v/>
      </c>
      <c r="O242" s="30" t="n"/>
      <c r="P242" s="29">
        <f>IF(ISNUMBER(M242),M242-IF(ISNUMBER(O242),O242,60),"")</f>
        <v/>
      </c>
      <c r="Q242" s="27" t="n"/>
      <c r="R242" s="27" t="n"/>
      <c r="S242" s="27" t="n"/>
      <c r="T242" s="27" t="n"/>
      <c r="U242" s="27" t="n"/>
      <c r="V242" s="27" t="n"/>
      <c r="W242" s="27" t="n"/>
      <c r="X242" s="27" t="n"/>
      <c r="Y242" s="27" t="n"/>
    </row>
    <row r="243">
      <c r="A243" s="27" t="n"/>
      <c r="B243" s="27" t="n"/>
      <c r="C243" s="27" t="n"/>
      <c r="D243" s="27" t="n"/>
      <c r="E243" s="28" t="n"/>
      <c r="F243" s="28" t="n"/>
      <c r="G243" s="27" t="n"/>
      <c r="H243" s="29">
        <f>IF(G243="Invoice",IF(ISNUMBER(F243),F243,""),IF(ISNUMBER(E243),E243,""))</f>
        <v/>
      </c>
      <c r="I243" s="30" t="n"/>
      <c r="J243" s="29">
        <f>IF(AND(ISNUMBER(H243),ISNUMBER(I243)),EDATE(H243,I243),"")</f>
        <v/>
      </c>
      <c r="K243" s="30" t="n"/>
      <c r="L243" s="29">
        <f>IF(AND(ISNUMBER(H243),ISNUMBER(K243)),EDATE(H243,K243),"")</f>
        <v/>
      </c>
      <c r="M243" s="29">
        <f>IF(COUNT(J243,L243)=0,"",IF(MIN(J243,L243)&gt;=TODAY(),MIN(J243,L243),MAX(J243,L243)))</f>
        <v/>
      </c>
      <c r="N243" s="31">
        <f>IF(ISNUMBER(M243),M243-TODAY(),"")</f>
        <v/>
      </c>
      <c r="O243" s="30" t="n"/>
      <c r="P243" s="29">
        <f>IF(ISNUMBER(M243),M243-IF(ISNUMBER(O243),O243,60),"")</f>
        <v/>
      </c>
      <c r="Q243" s="27" t="n"/>
      <c r="R243" s="27" t="n"/>
      <c r="S243" s="27" t="n"/>
      <c r="T243" s="27" t="n"/>
      <c r="U243" s="27" t="n"/>
      <c r="V243" s="27" t="n"/>
      <c r="W243" s="27" t="n"/>
      <c r="X243" s="27" t="n"/>
      <c r="Y243" s="27" t="n"/>
    </row>
    <row r="244">
      <c r="A244" s="27" t="n"/>
      <c r="B244" s="27" t="n"/>
      <c r="C244" s="27" t="n"/>
      <c r="D244" s="27" t="n"/>
      <c r="E244" s="28" t="n"/>
      <c r="F244" s="28" t="n"/>
      <c r="G244" s="27" t="n"/>
      <c r="H244" s="29">
        <f>IF(G244="Invoice",IF(ISNUMBER(F244),F244,""),IF(ISNUMBER(E244),E244,""))</f>
        <v/>
      </c>
      <c r="I244" s="30" t="n"/>
      <c r="J244" s="29">
        <f>IF(AND(ISNUMBER(H244),ISNUMBER(I244)),EDATE(H244,I244),"")</f>
        <v/>
      </c>
      <c r="K244" s="30" t="n"/>
      <c r="L244" s="29">
        <f>IF(AND(ISNUMBER(H244),ISNUMBER(K244)),EDATE(H244,K244),"")</f>
        <v/>
      </c>
      <c r="M244" s="29">
        <f>IF(COUNT(J244,L244)=0,"",IF(MIN(J244,L244)&gt;=TODAY(),MIN(J244,L244),MAX(J244,L244)))</f>
        <v/>
      </c>
      <c r="N244" s="31">
        <f>IF(ISNUMBER(M244),M244-TODAY(),"")</f>
        <v/>
      </c>
      <c r="O244" s="30" t="n"/>
      <c r="P244" s="29">
        <f>IF(ISNUMBER(M244),M244-IF(ISNUMBER(O244),O244,60),"")</f>
        <v/>
      </c>
      <c r="Q244" s="27" t="n"/>
      <c r="R244" s="27" t="n"/>
      <c r="S244" s="27" t="n"/>
      <c r="T244" s="27" t="n"/>
      <c r="U244" s="27" t="n"/>
      <c r="V244" s="27" t="n"/>
      <c r="W244" s="27" t="n"/>
      <c r="X244" s="27" t="n"/>
      <c r="Y244" s="27" t="n"/>
    </row>
    <row r="245">
      <c r="A245" s="27" t="n"/>
      <c r="B245" s="27" t="n"/>
      <c r="C245" s="27" t="n"/>
      <c r="D245" s="27" t="n"/>
      <c r="E245" s="28" t="n"/>
      <c r="F245" s="28" t="n"/>
      <c r="G245" s="27" t="n"/>
      <c r="H245" s="29">
        <f>IF(G245="Invoice",IF(ISNUMBER(F245),F245,""),IF(ISNUMBER(E245),E245,""))</f>
        <v/>
      </c>
      <c r="I245" s="30" t="n"/>
      <c r="J245" s="29">
        <f>IF(AND(ISNUMBER(H245),ISNUMBER(I245)),EDATE(H245,I245),"")</f>
        <v/>
      </c>
      <c r="K245" s="30" t="n"/>
      <c r="L245" s="29">
        <f>IF(AND(ISNUMBER(H245),ISNUMBER(K245)),EDATE(H245,K245),"")</f>
        <v/>
      </c>
      <c r="M245" s="29">
        <f>IF(COUNT(J245,L245)=0,"",IF(MIN(J245,L245)&gt;=TODAY(),MIN(J245,L245),MAX(J245,L245)))</f>
        <v/>
      </c>
      <c r="N245" s="31">
        <f>IF(ISNUMBER(M245),M245-TODAY(),"")</f>
        <v/>
      </c>
      <c r="O245" s="30" t="n"/>
      <c r="P245" s="29">
        <f>IF(ISNUMBER(M245),M245-IF(ISNUMBER(O245),O245,60),"")</f>
        <v/>
      </c>
      <c r="Q245" s="27" t="n"/>
      <c r="R245" s="27" t="n"/>
      <c r="S245" s="27" t="n"/>
      <c r="T245" s="27" t="n"/>
      <c r="U245" s="27" t="n"/>
      <c r="V245" s="27" t="n"/>
      <c r="W245" s="27" t="n"/>
      <c r="X245" s="27" t="n"/>
      <c r="Y245" s="27" t="n"/>
    </row>
    <row r="246">
      <c r="A246" s="27" t="n"/>
      <c r="B246" s="27" t="n"/>
      <c r="C246" s="27" t="n"/>
      <c r="D246" s="27" t="n"/>
      <c r="E246" s="28" t="n"/>
      <c r="F246" s="28" t="n"/>
      <c r="G246" s="27" t="n"/>
      <c r="H246" s="29">
        <f>IF(G246="Invoice",IF(ISNUMBER(F246),F246,""),IF(ISNUMBER(E246),E246,""))</f>
        <v/>
      </c>
      <c r="I246" s="30" t="n"/>
      <c r="J246" s="29">
        <f>IF(AND(ISNUMBER(H246),ISNUMBER(I246)),EDATE(H246,I246),"")</f>
        <v/>
      </c>
      <c r="K246" s="30" t="n"/>
      <c r="L246" s="29">
        <f>IF(AND(ISNUMBER(H246),ISNUMBER(K246)),EDATE(H246,K246),"")</f>
        <v/>
      </c>
      <c r="M246" s="29">
        <f>IF(COUNT(J246,L246)=0,"",IF(MIN(J246,L246)&gt;=TODAY(),MIN(J246,L246),MAX(J246,L246)))</f>
        <v/>
      </c>
      <c r="N246" s="31">
        <f>IF(ISNUMBER(M246),M246-TODAY(),"")</f>
        <v/>
      </c>
      <c r="O246" s="30" t="n"/>
      <c r="P246" s="29">
        <f>IF(ISNUMBER(M246),M246-IF(ISNUMBER(O246),O246,60),"")</f>
        <v/>
      </c>
      <c r="Q246" s="27" t="n"/>
      <c r="R246" s="27" t="n"/>
      <c r="S246" s="27" t="n"/>
      <c r="T246" s="27" t="n"/>
      <c r="U246" s="27" t="n"/>
      <c r="V246" s="27" t="n"/>
      <c r="W246" s="27" t="n"/>
      <c r="X246" s="27" t="n"/>
      <c r="Y246" s="27" t="n"/>
    </row>
    <row r="247">
      <c r="A247" s="27" t="n"/>
      <c r="B247" s="27" t="n"/>
      <c r="C247" s="27" t="n"/>
      <c r="D247" s="27" t="n"/>
      <c r="E247" s="28" t="n"/>
      <c r="F247" s="28" t="n"/>
      <c r="G247" s="27" t="n"/>
      <c r="H247" s="29">
        <f>IF(G247="Invoice",IF(ISNUMBER(F247),F247,""),IF(ISNUMBER(E247),E247,""))</f>
        <v/>
      </c>
      <c r="I247" s="30" t="n"/>
      <c r="J247" s="29">
        <f>IF(AND(ISNUMBER(H247),ISNUMBER(I247)),EDATE(H247,I247),"")</f>
        <v/>
      </c>
      <c r="K247" s="30" t="n"/>
      <c r="L247" s="29">
        <f>IF(AND(ISNUMBER(H247),ISNUMBER(K247)),EDATE(H247,K247),"")</f>
        <v/>
      </c>
      <c r="M247" s="29">
        <f>IF(COUNT(J247,L247)=0,"",IF(MIN(J247,L247)&gt;=TODAY(),MIN(J247,L247),MAX(J247,L247)))</f>
        <v/>
      </c>
      <c r="N247" s="31">
        <f>IF(ISNUMBER(M247),M247-TODAY(),"")</f>
        <v/>
      </c>
      <c r="O247" s="30" t="n"/>
      <c r="P247" s="29">
        <f>IF(ISNUMBER(M247),M247-IF(ISNUMBER(O247),O247,60),"")</f>
        <v/>
      </c>
      <c r="Q247" s="27" t="n"/>
      <c r="R247" s="27" t="n"/>
      <c r="S247" s="27" t="n"/>
      <c r="T247" s="27" t="n"/>
      <c r="U247" s="27" t="n"/>
      <c r="V247" s="27" t="n"/>
      <c r="W247" s="27" t="n"/>
      <c r="X247" s="27" t="n"/>
      <c r="Y247" s="27" t="n"/>
    </row>
    <row r="248">
      <c r="A248" s="27" t="n"/>
      <c r="B248" s="27" t="n"/>
      <c r="C248" s="27" t="n"/>
      <c r="D248" s="27" t="n"/>
      <c r="E248" s="28" t="n"/>
      <c r="F248" s="28" t="n"/>
      <c r="G248" s="27" t="n"/>
      <c r="H248" s="29">
        <f>IF(G248="Invoice",IF(ISNUMBER(F248),F248,""),IF(ISNUMBER(E248),E248,""))</f>
        <v/>
      </c>
      <c r="I248" s="30" t="n"/>
      <c r="J248" s="29">
        <f>IF(AND(ISNUMBER(H248),ISNUMBER(I248)),EDATE(H248,I248),"")</f>
        <v/>
      </c>
      <c r="K248" s="30" t="n"/>
      <c r="L248" s="29">
        <f>IF(AND(ISNUMBER(H248),ISNUMBER(K248)),EDATE(H248,K248),"")</f>
        <v/>
      </c>
      <c r="M248" s="29">
        <f>IF(COUNT(J248,L248)=0,"",IF(MIN(J248,L248)&gt;=TODAY(),MIN(J248,L248),MAX(J248,L248)))</f>
        <v/>
      </c>
      <c r="N248" s="31">
        <f>IF(ISNUMBER(M248),M248-TODAY(),"")</f>
        <v/>
      </c>
      <c r="O248" s="30" t="n"/>
      <c r="P248" s="29">
        <f>IF(ISNUMBER(M248),M248-IF(ISNUMBER(O248),O248,60),"")</f>
        <v/>
      </c>
      <c r="Q248" s="27" t="n"/>
      <c r="R248" s="27" t="n"/>
      <c r="S248" s="27" t="n"/>
      <c r="T248" s="27" t="n"/>
      <c r="U248" s="27" t="n"/>
      <c r="V248" s="27" t="n"/>
      <c r="W248" s="27" t="n"/>
      <c r="X248" s="27" t="n"/>
      <c r="Y248" s="27" t="n"/>
    </row>
    <row r="249">
      <c r="A249" s="27" t="n"/>
      <c r="B249" s="27" t="n"/>
      <c r="C249" s="27" t="n"/>
      <c r="D249" s="27" t="n"/>
      <c r="E249" s="28" t="n"/>
      <c r="F249" s="28" t="n"/>
      <c r="G249" s="27" t="n"/>
      <c r="H249" s="29">
        <f>IF(G249="Invoice",IF(ISNUMBER(F249),F249,""),IF(ISNUMBER(E249),E249,""))</f>
        <v/>
      </c>
      <c r="I249" s="30" t="n"/>
      <c r="J249" s="29">
        <f>IF(AND(ISNUMBER(H249),ISNUMBER(I249)),EDATE(H249,I249),"")</f>
        <v/>
      </c>
      <c r="K249" s="30" t="n"/>
      <c r="L249" s="29">
        <f>IF(AND(ISNUMBER(H249),ISNUMBER(K249)),EDATE(H249,K249),"")</f>
        <v/>
      </c>
      <c r="M249" s="29">
        <f>IF(COUNT(J249,L249)=0,"",IF(MIN(J249,L249)&gt;=TODAY(),MIN(J249,L249),MAX(J249,L249)))</f>
        <v/>
      </c>
      <c r="N249" s="31">
        <f>IF(ISNUMBER(M249),M249-TODAY(),"")</f>
        <v/>
      </c>
      <c r="O249" s="30" t="n"/>
      <c r="P249" s="29">
        <f>IF(ISNUMBER(M249),M249-IF(ISNUMBER(O249),O249,60),"")</f>
        <v/>
      </c>
      <c r="Q249" s="27" t="n"/>
      <c r="R249" s="27" t="n"/>
      <c r="S249" s="27" t="n"/>
      <c r="T249" s="27" t="n"/>
      <c r="U249" s="27" t="n"/>
      <c r="V249" s="27" t="n"/>
      <c r="W249" s="27" t="n"/>
      <c r="X249" s="27" t="n"/>
      <c r="Y249" s="27" t="n"/>
    </row>
    <row r="250">
      <c r="A250" s="27" t="n"/>
      <c r="B250" s="27" t="n"/>
      <c r="C250" s="27" t="n"/>
      <c r="D250" s="27" t="n"/>
      <c r="E250" s="28" t="n"/>
      <c r="F250" s="28" t="n"/>
      <c r="G250" s="27" t="n"/>
      <c r="H250" s="29">
        <f>IF(G250="Invoice",IF(ISNUMBER(F250),F250,""),IF(ISNUMBER(E250),E250,""))</f>
        <v/>
      </c>
      <c r="I250" s="30" t="n"/>
      <c r="J250" s="29">
        <f>IF(AND(ISNUMBER(H250),ISNUMBER(I250)),EDATE(H250,I250),"")</f>
        <v/>
      </c>
      <c r="K250" s="30" t="n"/>
      <c r="L250" s="29">
        <f>IF(AND(ISNUMBER(H250),ISNUMBER(K250)),EDATE(H250,K250),"")</f>
        <v/>
      </c>
      <c r="M250" s="29">
        <f>IF(COUNT(J250,L250)=0,"",IF(MIN(J250,L250)&gt;=TODAY(),MIN(J250,L250),MAX(J250,L250)))</f>
        <v/>
      </c>
      <c r="N250" s="31">
        <f>IF(ISNUMBER(M250),M250-TODAY(),"")</f>
        <v/>
      </c>
      <c r="O250" s="30" t="n"/>
      <c r="P250" s="29">
        <f>IF(ISNUMBER(M250),M250-IF(ISNUMBER(O250),O250,60),"")</f>
        <v/>
      </c>
      <c r="Q250" s="27" t="n"/>
      <c r="R250" s="27" t="n"/>
      <c r="S250" s="27" t="n"/>
      <c r="T250" s="27" t="n"/>
      <c r="U250" s="27" t="n"/>
      <c r="V250" s="27" t="n"/>
      <c r="W250" s="27" t="n"/>
      <c r="X250" s="27" t="n"/>
      <c r="Y250" s="27" t="n"/>
    </row>
    <row r="251">
      <c r="A251" s="27" t="n"/>
      <c r="B251" s="27" t="n"/>
      <c r="C251" s="27" t="n"/>
      <c r="D251" s="27" t="n"/>
      <c r="E251" s="28" t="n"/>
      <c r="F251" s="28" t="n"/>
      <c r="G251" s="27" t="n"/>
      <c r="H251" s="29">
        <f>IF(G251="Invoice",IF(ISNUMBER(F251),F251,""),IF(ISNUMBER(E251),E251,""))</f>
        <v/>
      </c>
      <c r="I251" s="30" t="n"/>
      <c r="J251" s="29">
        <f>IF(AND(ISNUMBER(H251),ISNUMBER(I251)),EDATE(H251,I251),"")</f>
        <v/>
      </c>
      <c r="K251" s="30" t="n"/>
      <c r="L251" s="29">
        <f>IF(AND(ISNUMBER(H251),ISNUMBER(K251)),EDATE(H251,K251),"")</f>
        <v/>
      </c>
      <c r="M251" s="29">
        <f>IF(COUNT(J251,L251)=0,"",IF(MIN(J251,L251)&gt;=TODAY(),MIN(J251,L251),MAX(J251,L251)))</f>
        <v/>
      </c>
      <c r="N251" s="31">
        <f>IF(ISNUMBER(M251),M251-TODAY(),"")</f>
        <v/>
      </c>
      <c r="O251" s="30" t="n"/>
      <c r="P251" s="29">
        <f>IF(ISNUMBER(M251),M251-IF(ISNUMBER(O251),O251,60),"")</f>
        <v/>
      </c>
      <c r="Q251" s="27" t="n"/>
      <c r="R251" s="27" t="n"/>
      <c r="S251" s="27" t="n"/>
      <c r="T251" s="27" t="n"/>
      <c r="U251" s="27" t="n"/>
      <c r="V251" s="27" t="n"/>
      <c r="W251" s="27" t="n"/>
      <c r="X251" s="27" t="n"/>
      <c r="Y251" s="27" t="n"/>
    </row>
    <row r="252">
      <c r="A252" s="27" t="n"/>
      <c r="B252" s="27" t="n"/>
      <c r="C252" s="27" t="n"/>
      <c r="D252" s="27" t="n"/>
      <c r="E252" s="28" t="n"/>
      <c r="F252" s="28" t="n"/>
      <c r="G252" s="27" t="n"/>
      <c r="H252" s="29">
        <f>IF(G252="Invoice",IF(ISNUMBER(F252),F252,""),IF(ISNUMBER(E252),E252,""))</f>
        <v/>
      </c>
      <c r="I252" s="30" t="n"/>
      <c r="J252" s="29">
        <f>IF(AND(ISNUMBER(H252),ISNUMBER(I252)),EDATE(H252,I252),"")</f>
        <v/>
      </c>
      <c r="K252" s="30" t="n"/>
      <c r="L252" s="29">
        <f>IF(AND(ISNUMBER(H252),ISNUMBER(K252)),EDATE(H252,K252),"")</f>
        <v/>
      </c>
      <c r="M252" s="29">
        <f>IF(COUNT(J252,L252)=0,"",IF(MIN(J252,L252)&gt;=TODAY(),MIN(J252,L252),MAX(J252,L252)))</f>
        <v/>
      </c>
      <c r="N252" s="31">
        <f>IF(ISNUMBER(M252),M252-TODAY(),"")</f>
        <v/>
      </c>
      <c r="O252" s="30" t="n"/>
      <c r="P252" s="29">
        <f>IF(ISNUMBER(M252),M252-IF(ISNUMBER(O252),O252,60),"")</f>
        <v/>
      </c>
      <c r="Q252" s="27" t="n"/>
      <c r="R252" s="27" t="n"/>
      <c r="S252" s="27" t="n"/>
      <c r="T252" s="27" t="n"/>
      <c r="U252" s="27" t="n"/>
      <c r="V252" s="27" t="n"/>
      <c r="W252" s="27" t="n"/>
      <c r="X252" s="27" t="n"/>
      <c r="Y252" s="27" t="n"/>
    </row>
    <row r="253">
      <c r="A253" s="27" t="n"/>
      <c r="B253" s="27" t="n"/>
      <c r="C253" s="27" t="n"/>
      <c r="D253" s="27" t="n"/>
      <c r="E253" s="28" t="n"/>
      <c r="F253" s="28" t="n"/>
      <c r="G253" s="27" t="n"/>
      <c r="H253" s="29">
        <f>IF(G253="Invoice",IF(ISNUMBER(F253),F253,""),IF(ISNUMBER(E253),E253,""))</f>
        <v/>
      </c>
      <c r="I253" s="30" t="n"/>
      <c r="J253" s="29">
        <f>IF(AND(ISNUMBER(H253),ISNUMBER(I253)),EDATE(H253,I253),"")</f>
        <v/>
      </c>
      <c r="K253" s="30" t="n"/>
      <c r="L253" s="29">
        <f>IF(AND(ISNUMBER(H253),ISNUMBER(K253)),EDATE(H253,K253),"")</f>
        <v/>
      </c>
      <c r="M253" s="29">
        <f>IF(COUNT(J253,L253)=0,"",IF(MIN(J253,L253)&gt;=TODAY(),MIN(J253,L253),MAX(J253,L253)))</f>
        <v/>
      </c>
      <c r="N253" s="31">
        <f>IF(ISNUMBER(M253),M253-TODAY(),"")</f>
        <v/>
      </c>
      <c r="O253" s="30" t="n"/>
      <c r="P253" s="29">
        <f>IF(ISNUMBER(M253),M253-IF(ISNUMBER(O253),O253,60),"")</f>
        <v/>
      </c>
      <c r="Q253" s="27" t="n"/>
      <c r="R253" s="27" t="n"/>
      <c r="S253" s="27" t="n"/>
      <c r="T253" s="27" t="n"/>
      <c r="U253" s="27" t="n"/>
      <c r="V253" s="27" t="n"/>
      <c r="W253" s="27" t="n"/>
      <c r="X253" s="27" t="n"/>
      <c r="Y253" s="27" t="n"/>
    </row>
    <row r="254">
      <c r="A254" s="27" t="n"/>
      <c r="B254" s="27" t="n"/>
      <c r="C254" s="27" t="n"/>
      <c r="D254" s="27" t="n"/>
      <c r="E254" s="28" t="n"/>
      <c r="F254" s="28" t="n"/>
      <c r="G254" s="27" t="n"/>
      <c r="H254" s="29">
        <f>IF(G254="Invoice",IF(ISNUMBER(F254),F254,""),IF(ISNUMBER(E254),E254,""))</f>
        <v/>
      </c>
      <c r="I254" s="30" t="n"/>
      <c r="J254" s="29">
        <f>IF(AND(ISNUMBER(H254),ISNUMBER(I254)),EDATE(H254,I254),"")</f>
        <v/>
      </c>
      <c r="K254" s="30" t="n"/>
      <c r="L254" s="29">
        <f>IF(AND(ISNUMBER(H254),ISNUMBER(K254)),EDATE(H254,K254),"")</f>
        <v/>
      </c>
      <c r="M254" s="29">
        <f>IF(COUNT(J254,L254)=0,"",IF(MIN(J254,L254)&gt;=TODAY(),MIN(J254,L254),MAX(J254,L254)))</f>
        <v/>
      </c>
      <c r="N254" s="31">
        <f>IF(ISNUMBER(M254),M254-TODAY(),"")</f>
        <v/>
      </c>
      <c r="O254" s="30" t="n"/>
      <c r="P254" s="29">
        <f>IF(ISNUMBER(M254),M254-IF(ISNUMBER(O254),O254,60),"")</f>
        <v/>
      </c>
      <c r="Q254" s="27" t="n"/>
      <c r="R254" s="27" t="n"/>
      <c r="S254" s="27" t="n"/>
      <c r="T254" s="27" t="n"/>
      <c r="U254" s="27" t="n"/>
      <c r="V254" s="27" t="n"/>
      <c r="W254" s="27" t="n"/>
      <c r="X254" s="27" t="n"/>
      <c r="Y254" s="27" t="n"/>
    </row>
    <row r="255">
      <c r="A255" s="27" t="n"/>
      <c r="B255" s="27" t="n"/>
      <c r="C255" s="27" t="n"/>
      <c r="D255" s="27" t="n"/>
      <c r="E255" s="28" t="n"/>
      <c r="F255" s="28" t="n"/>
      <c r="G255" s="27" t="n"/>
      <c r="H255" s="29">
        <f>IF(G255="Invoice",IF(ISNUMBER(F255),F255,""),IF(ISNUMBER(E255),E255,""))</f>
        <v/>
      </c>
      <c r="I255" s="30" t="n"/>
      <c r="J255" s="29">
        <f>IF(AND(ISNUMBER(H255),ISNUMBER(I255)),EDATE(H255,I255),"")</f>
        <v/>
      </c>
      <c r="K255" s="30" t="n"/>
      <c r="L255" s="29">
        <f>IF(AND(ISNUMBER(H255),ISNUMBER(K255)),EDATE(H255,K255),"")</f>
        <v/>
      </c>
      <c r="M255" s="29">
        <f>IF(COUNT(J255,L255)=0,"",IF(MIN(J255,L255)&gt;=TODAY(),MIN(J255,L255),MAX(J255,L255)))</f>
        <v/>
      </c>
      <c r="N255" s="31">
        <f>IF(ISNUMBER(M255),M255-TODAY(),"")</f>
        <v/>
      </c>
      <c r="O255" s="30" t="n"/>
      <c r="P255" s="29">
        <f>IF(ISNUMBER(M255),M255-IF(ISNUMBER(O255),O255,60),"")</f>
        <v/>
      </c>
      <c r="Q255" s="27" t="n"/>
      <c r="R255" s="27" t="n"/>
      <c r="S255" s="27" t="n"/>
      <c r="T255" s="27" t="n"/>
      <c r="U255" s="27" t="n"/>
      <c r="V255" s="27" t="n"/>
      <c r="W255" s="27" t="n"/>
      <c r="X255" s="27" t="n"/>
      <c r="Y255" s="27" t="n"/>
    </row>
    <row r="256">
      <c r="A256" s="27" t="n"/>
      <c r="B256" s="27" t="n"/>
      <c r="C256" s="27" t="n"/>
      <c r="D256" s="27" t="n"/>
      <c r="E256" s="28" t="n"/>
      <c r="F256" s="28" t="n"/>
      <c r="G256" s="27" t="n"/>
      <c r="H256" s="29">
        <f>IF(G256="Invoice",IF(ISNUMBER(F256),F256,""),IF(ISNUMBER(E256),E256,""))</f>
        <v/>
      </c>
      <c r="I256" s="30" t="n"/>
      <c r="J256" s="29">
        <f>IF(AND(ISNUMBER(H256),ISNUMBER(I256)),EDATE(H256,I256),"")</f>
        <v/>
      </c>
      <c r="K256" s="30" t="n"/>
      <c r="L256" s="29">
        <f>IF(AND(ISNUMBER(H256),ISNUMBER(K256)),EDATE(H256,K256),"")</f>
        <v/>
      </c>
      <c r="M256" s="29">
        <f>IF(COUNT(J256,L256)=0,"",IF(MIN(J256,L256)&gt;=TODAY(),MIN(J256,L256),MAX(J256,L256)))</f>
        <v/>
      </c>
      <c r="N256" s="31">
        <f>IF(ISNUMBER(M256),M256-TODAY(),"")</f>
        <v/>
      </c>
      <c r="O256" s="30" t="n"/>
      <c r="P256" s="29">
        <f>IF(ISNUMBER(M256),M256-IF(ISNUMBER(O256),O256,60),"")</f>
        <v/>
      </c>
      <c r="Q256" s="27" t="n"/>
      <c r="R256" s="27" t="n"/>
      <c r="S256" s="27" t="n"/>
      <c r="T256" s="27" t="n"/>
      <c r="U256" s="27" t="n"/>
      <c r="V256" s="27" t="n"/>
      <c r="W256" s="27" t="n"/>
      <c r="X256" s="27" t="n"/>
      <c r="Y256" s="27" t="n"/>
    </row>
    <row r="257">
      <c r="A257" s="27" t="n"/>
      <c r="B257" s="27" t="n"/>
      <c r="C257" s="27" t="n"/>
      <c r="D257" s="27" t="n"/>
      <c r="E257" s="28" t="n"/>
      <c r="F257" s="28" t="n"/>
      <c r="G257" s="27" t="n"/>
      <c r="H257" s="29">
        <f>IF(G257="Invoice",IF(ISNUMBER(F257),F257,""),IF(ISNUMBER(E257),E257,""))</f>
        <v/>
      </c>
      <c r="I257" s="30" t="n"/>
      <c r="J257" s="29">
        <f>IF(AND(ISNUMBER(H257),ISNUMBER(I257)),EDATE(H257,I257),"")</f>
        <v/>
      </c>
      <c r="K257" s="30" t="n"/>
      <c r="L257" s="29">
        <f>IF(AND(ISNUMBER(H257),ISNUMBER(K257)),EDATE(H257,K257),"")</f>
        <v/>
      </c>
      <c r="M257" s="29">
        <f>IF(COUNT(J257,L257)=0,"",IF(MIN(J257,L257)&gt;=TODAY(),MIN(J257,L257),MAX(J257,L257)))</f>
        <v/>
      </c>
      <c r="N257" s="31">
        <f>IF(ISNUMBER(M257),M257-TODAY(),"")</f>
        <v/>
      </c>
      <c r="O257" s="30" t="n"/>
      <c r="P257" s="29">
        <f>IF(ISNUMBER(M257),M257-IF(ISNUMBER(O257),O257,60),"")</f>
        <v/>
      </c>
      <c r="Q257" s="27" t="n"/>
      <c r="R257" s="27" t="n"/>
      <c r="S257" s="27" t="n"/>
      <c r="T257" s="27" t="n"/>
      <c r="U257" s="27" t="n"/>
      <c r="V257" s="27" t="n"/>
      <c r="W257" s="27" t="n"/>
      <c r="X257" s="27" t="n"/>
      <c r="Y257" s="27" t="n"/>
    </row>
    <row r="258">
      <c r="A258" s="27" t="n"/>
      <c r="B258" s="27" t="n"/>
      <c r="C258" s="27" t="n"/>
      <c r="D258" s="27" t="n"/>
      <c r="E258" s="28" t="n"/>
      <c r="F258" s="28" t="n"/>
      <c r="G258" s="27" t="n"/>
      <c r="H258" s="29">
        <f>IF(G258="Invoice",IF(ISNUMBER(F258),F258,""),IF(ISNUMBER(E258),E258,""))</f>
        <v/>
      </c>
      <c r="I258" s="30" t="n"/>
      <c r="J258" s="29">
        <f>IF(AND(ISNUMBER(H258),ISNUMBER(I258)),EDATE(H258,I258),"")</f>
        <v/>
      </c>
      <c r="K258" s="30" t="n"/>
      <c r="L258" s="29">
        <f>IF(AND(ISNUMBER(H258),ISNUMBER(K258)),EDATE(H258,K258),"")</f>
        <v/>
      </c>
      <c r="M258" s="29">
        <f>IF(COUNT(J258,L258)=0,"",IF(MIN(J258,L258)&gt;=TODAY(),MIN(J258,L258),MAX(J258,L258)))</f>
        <v/>
      </c>
      <c r="N258" s="31">
        <f>IF(ISNUMBER(M258),M258-TODAY(),"")</f>
        <v/>
      </c>
      <c r="O258" s="30" t="n"/>
      <c r="P258" s="29">
        <f>IF(ISNUMBER(M258),M258-IF(ISNUMBER(O258),O258,60),"")</f>
        <v/>
      </c>
      <c r="Q258" s="27" t="n"/>
      <c r="R258" s="27" t="n"/>
      <c r="S258" s="27" t="n"/>
      <c r="T258" s="27" t="n"/>
      <c r="U258" s="27" t="n"/>
      <c r="V258" s="27" t="n"/>
      <c r="W258" s="27" t="n"/>
      <c r="X258" s="27" t="n"/>
      <c r="Y258" s="27" t="n"/>
    </row>
    <row r="259">
      <c r="A259" s="27" t="n"/>
      <c r="B259" s="27" t="n"/>
      <c r="C259" s="27" t="n"/>
      <c r="D259" s="27" t="n"/>
      <c r="E259" s="28" t="n"/>
      <c r="F259" s="28" t="n"/>
      <c r="G259" s="27" t="n"/>
      <c r="H259" s="29">
        <f>IF(G259="Invoice",IF(ISNUMBER(F259),F259,""),IF(ISNUMBER(E259),E259,""))</f>
        <v/>
      </c>
      <c r="I259" s="30" t="n"/>
      <c r="J259" s="29">
        <f>IF(AND(ISNUMBER(H259),ISNUMBER(I259)),EDATE(H259,I259),"")</f>
        <v/>
      </c>
      <c r="K259" s="30" t="n"/>
      <c r="L259" s="29">
        <f>IF(AND(ISNUMBER(H259),ISNUMBER(K259)),EDATE(H259,K259),"")</f>
        <v/>
      </c>
      <c r="M259" s="29">
        <f>IF(COUNT(J259,L259)=0,"",IF(MIN(J259,L259)&gt;=TODAY(),MIN(J259,L259),MAX(J259,L259)))</f>
        <v/>
      </c>
      <c r="N259" s="31">
        <f>IF(ISNUMBER(M259),M259-TODAY(),"")</f>
        <v/>
      </c>
      <c r="O259" s="30" t="n"/>
      <c r="P259" s="29">
        <f>IF(ISNUMBER(M259),M259-IF(ISNUMBER(O259),O259,60),"")</f>
        <v/>
      </c>
      <c r="Q259" s="27" t="n"/>
      <c r="R259" s="27" t="n"/>
      <c r="S259" s="27" t="n"/>
      <c r="T259" s="27" t="n"/>
      <c r="U259" s="27" t="n"/>
      <c r="V259" s="27" t="n"/>
      <c r="W259" s="27" t="n"/>
      <c r="X259" s="27" t="n"/>
      <c r="Y259" s="27" t="n"/>
    </row>
    <row r="260">
      <c r="A260" s="27" t="n"/>
      <c r="B260" s="27" t="n"/>
      <c r="C260" s="27" t="n"/>
      <c r="D260" s="27" t="n"/>
      <c r="E260" s="28" t="n"/>
      <c r="F260" s="28" t="n"/>
      <c r="G260" s="27" t="n"/>
      <c r="H260" s="29">
        <f>IF(G260="Invoice",IF(ISNUMBER(F260),F260,""),IF(ISNUMBER(E260),E260,""))</f>
        <v/>
      </c>
      <c r="I260" s="30" t="n"/>
      <c r="J260" s="29">
        <f>IF(AND(ISNUMBER(H260),ISNUMBER(I260)),EDATE(H260,I260),"")</f>
        <v/>
      </c>
      <c r="K260" s="30" t="n"/>
      <c r="L260" s="29">
        <f>IF(AND(ISNUMBER(H260),ISNUMBER(K260)),EDATE(H260,K260),"")</f>
        <v/>
      </c>
      <c r="M260" s="29">
        <f>IF(COUNT(J260,L260)=0,"",IF(MIN(J260,L260)&gt;=TODAY(),MIN(J260,L260),MAX(J260,L260)))</f>
        <v/>
      </c>
      <c r="N260" s="31">
        <f>IF(ISNUMBER(M260),M260-TODAY(),"")</f>
        <v/>
      </c>
      <c r="O260" s="30" t="n"/>
      <c r="P260" s="29">
        <f>IF(ISNUMBER(M260),M260-IF(ISNUMBER(O260),O260,60),"")</f>
        <v/>
      </c>
      <c r="Q260" s="27" t="n"/>
      <c r="R260" s="27" t="n"/>
      <c r="S260" s="27" t="n"/>
      <c r="T260" s="27" t="n"/>
      <c r="U260" s="27" t="n"/>
      <c r="V260" s="27" t="n"/>
      <c r="W260" s="27" t="n"/>
      <c r="X260" s="27" t="n"/>
      <c r="Y260" s="27" t="n"/>
    </row>
    <row r="261">
      <c r="A261" s="27" t="n"/>
      <c r="B261" s="27" t="n"/>
      <c r="C261" s="27" t="n"/>
      <c r="D261" s="27" t="n"/>
      <c r="E261" s="28" t="n"/>
      <c r="F261" s="28" t="n"/>
      <c r="G261" s="27" t="n"/>
      <c r="H261" s="29">
        <f>IF(G261="Invoice",IF(ISNUMBER(F261),F261,""),IF(ISNUMBER(E261),E261,""))</f>
        <v/>
      </c>
      <c r="I261" s="30" t="n"/>
      <c r="J261" s="29">
        <f>IF(AND(ISNUMBER(H261),ISNUMBER(I261)),EDATE(H261,I261),"")</f>
        <v/>
      </c>
      <c r="K261" s="30" t="n"/>
      <c r="L261" s="29">
        <f>IF(AND(ISNUMBER(H261),ISNUMBER(K261)),EDATE(H261,K261),"")</f>
        <v/>
      </c>
      <c r="M261" s="29">
        <f>IF(COUNT(J261,L261)=0,"",IF(MIN(J261,L261)&gt;=TODAY(),MIN(J261,L261),MAX(J261,L261)))</f>
        <v/>
      </c>
      <c r="N261" s="31">
        <f>IF(ISNUMBER(M261),M261-TODAY(),"")</f>
        <v/>
      </c>
      <c r="O261" s="30" t="n"/>
      <c r="P261" s="29">
        <f>IF(ISNUMBER(M261),M261-IF(ISNUMBER(O261),O261,60),"")</f>
        <v/>
      </c>
      <c r="Q261" s="27" t="n"/>
      <c r="R261" s="27" t="n"/>
      <c r="S261" s="27" t="n"/>
      <c r="T261" s="27" t="n"/>
      <c r="U261" s="27" t="n"/>
      <c r="V261" s="27" t="n"/>
      <c r="W261" s="27" t="n"/>
      <c r="X261" s="27" t="n"/>
      <c r="Y261" s="27" t="n"/>
    </row>
    <row r="262">
      <c r="A262" s="27" t="n"/>
      <c r="B262" s="27" t="n"/>
      <c r="C262" s="27" t="n"/>
      <c r="D262" s="27" t="n"/>
      <c r="E262" s="28" t="n"/>
      <c r="F262" s="28" t="n"/>
      <c r="G262" s="27" t="n"/>
      <c r="H262" s="29">
        <f>IF(G262="Invoice",IF(ISNUMBER(F262),F262,""),IF(ISNUMBER(E262),E262,""))</f>
        <v/>
      </c>
      <c r="I262" s="30" t="n"/>
      <c r="J262" s="29">
        <f>IF(AND(ISNUMBER(H262),ISNUMBER(I262)),EDATE(H262,I262),"")</f>
        <v/>
      </c>
      <c r="K262" s="30" t="n"/>
      <c r="L262" s="29">
        <f>IF(AND(ISNUMBER(H262),ISNUMBER(K262)),EDATE(H262,K262),"")</f>
        <v/>
      </c>
      <c r="M262" s="29">
        <f>IF(COUNT(J262,L262)=0,"",IF(MIN(J262,L262)&gt;=TODAY(),MIN(J262,L262),MAX(J262,L262)))</f>
        <v/>
      </c>
      <c r="N262" s="31">
        <f>IF(ISNUMBER(M262),M262-TODAY(),"")</f>
        <v/>
      </c>
      <c r="O262" s="30" t="n"/>
      <c r="P262" s="29">
        <f>IF(ISNUMBER(M262),M262-IF(ISNUMBER(O262),O262,60),"")</f>
        <v/>
      </c>
      <c r="Q262" s="27" t="n"/>
      <c r="R262" s="27" t="n"/>
      <c r="S262" s="27" t="n"/>
      <c r="T262" s="27" t="n"/>
      <c r="U262" s="27" t="n"/>
      <c r="V262" s="27" t="n"/>
      <c r="W262" s="27" t="n"/>
      <c r="X262" s="27" t="n"/>
      <c r="Y262" s="27" t="n"/>
    </row>
    <row r="263">
      <c r="A263" s="27" t="n"/>
      <c r="B263" s="27" t="n"/>
      <c r="C263" s="27" t="n"/>
      <c r="D263" s="27" t="n"/>
      <c r="E263" s="28" t="n"/>
      <c r="F263" s="28" t="n"/>
      <c r="G263" s="27" t="n"/>
      <c r="H263" s="29">
        <f>IF(G263="Invoice",IF(ISNUMBER(F263),F263,""),IF(ISNUMBER(E263),E263,""))</f>
        <v/>
      </c>
      <c r="I263" s="30" t="n"/>
      <c r="J263" s="29">
        <f>IF(AND(ISNUMBER(H263),ISNUMBER(I263)),EDATE(H263,I263),"")</f>
        <v/>
      </c>
      <c r="K263" s="30" t="n"/>
      <c r="L263" s="29">
        <f>IF(AND(ISNUMBER(H263),ISNUMBER(K263)),EDATE(H263,K263),"")</f>
        <v/>
      </c>
      <c r="M263" s="29">
        <f>IF(COUNT(J263,L263)=0,"",IF(MIN(J263,L263)&gt;=TODAY(),MIN(J263,L263),MAX(J263,L263)))</f>
        <v/>
      </c>
      <c r="N263" s="31">
        <f>IF(ISNUMBER(M263),M263-TODAY(),"")</f>
        <v/>
      </c>
      <c r="O263" s="30" t="n"/>
      <c r="P263" s="29">
        <f>IF(ISNUMBER(M263),M263-IF(ISNUMBER(O263),O263,60),"")</f>
        <v/>
      </c>
      <c r="Q263" s="27" t="n"/>
      <c r="R263" s="27" t="n"/>
      <c r="S263" s="27" t="n"/>
      <c r="T263" s="27" t="n"/>
      <c r="U263" s="27" t="n"/>
      <c r="V263" s="27" t="n"/>
      <c r="W263" s="27" t="n"/>
      <c r="X263" s="27" t="n"/>
      <c r="Y263" s="27" t="n"/>
    </row>
    <row r="264">
      <c r="A264" s="27" t="n"/>
      <c r="B264" s="27" t="n"/>
      <c r="C264" s="27" t="n"/>
      <c r="D264" s="27" t="n"/>
      <c r="E264" s="28" t="n"/>
      <c r="F264" s="28" t="n"/>
      <c r="G264" s="27" t="n"/>
      <c r="H264" s="29">
        <f>IF(G264="Invoice",IF(ISNUMBER(F264),F264,""),IF(ISNUMBER(E264),E264,""))</f>
        <v/>
      </c>
      <c r="I264" s="30" t="n"/>
      <c r="J264" s="29">
        <f>IF(AND(ISNUMBER(H264),ISNUMBER(I264)),EDATE(H264,I264),"")</f>
        <v/>
      </c>
      <c r="K264" s="30" t="n"/>
      <c r="L264" s="29">
        <f>IF(AND(ISNUMBER(H264),ISNUMBER(K264)),EDATE(H264,K264),"")</f>
        <v/>
      </c>
      <c r="M264" s="29">
        <f>IF(COUNT(J264,L264)=0,"",IF(MIN(J264,L264)&gt;=TODAY(),MIN(J264,L264),MAX(J264,L264)))</f>
        <v/>
      </c>
      <c r="N264" s="31">
        <f>IF(ISNUMBER(M264),M264-TODAY(),"")</f>
        <v/>
      </c>
      <c r="O264" s="30" t="n"/>
      <c r="P264" s="29">
        <f>IF(ISNUMBER(M264),M264-IF(ISNUMBER(O264),O264,60),"")</f>
        <v/>
      </c>
      <c r="Q264" s="27" t="n"/>
      <c r="R264" s="27" t="n"/>
      <c r="S264" s="27" t="n"/>
      <c r="T264" s="27" t="n"/>
      <c r="U264" s="27" t="n"/>
      <c r="V264" s="27" t="n"/>
      <c r="W264" s="27" t="n"/>
      <c r="X264" s="27" t="n"/>
      <c r="Y264" s="27" t="n"/>
    </row>
    <row r="265">
      <c r="A265" s="27" t="n"/>
      <c r="B265" s="27" t="n"/>
      <c r="C265" s="27" t="n"/>
      <c r="D265" s="27" t="n"/>
      <c r="E265" s="28" t="n"/>
      <c r="F265" s="28" t="n"/>
      <c r="G265" s="27" t="n"/>
      <c r="H265" s="29">
        <f>IF(G265="Invoice",IF(ISNUMBER(F265),F265,""),IF(ISNUMBER(E265),E265,""))</f>
        <v/>
      </c>
      <c r="I265" s="30" t="n"/>
      <c r="J265" s="29">
        <f>IF(AND(ISNUMBER(H265),ISNUMBER(I265)),EDATE(H265,I265),"")</f>
        <v/>
      </c>
      <c r="K265" s="30" t="n"/>
      <c r="L265" s="29">
        <f>IF(AND(ISNUMBER(H265),ISNUMBER(K265)),EDATE(H265,K265),"")</f>
        <v/>
      </c>
      <c r="M265" s="29">
        <f>IF(COUNT(J265,L265)=0,"",IF(MIN(J265,L265)&gt;=TODAY(),MIN(J265,L265),MAX(J265,L265)))</f>
        <v/>
      </c>
      <c r="N265" s="31">
        <f>IF(ISNUMBER(M265),M265-TODAY(),"")</f>
        <v/>
      </c>
      <c r="O265" s="30" t="n"/>
      <c r="P265" s="29">
        <f>IF(ISNUMBER(M265),M265-IF(ISNUMBER(O265),O265,60),"")</f>
        <v/>
      </c>
      <c r="Q265" s="27" t="n"/>
      <c r="R265" s="27" t="n"/>
      <c r="S265" s="27" t="n"/>
      <c r="T265" s="27" t="n"/>
      <c r="U265" s="27" t="n"/>
      <c r="V265" s="27" t="n"/>
      <c r="W265" s="27" t="n"/>
      <c r="X265" s="27" t="n"/>
      <c r="Y265" s="27" t="n"/>
    </row>
    <row r="266">
      <c r="A266" s="27" t="n"/>
      <c r="B266" s="27" t="n"/>
      <c r="C266" s="27" t="n"/>
      <c r="D266" s="27" t="n"/>
      <c r="E266" s="28" t="n"/>
      <c r="F266" s="28" t="n"/>
      <c r="G266" s="27" t="n"/>
      <c r="H266" s="29">
        <f>IF(G266="Invoice",IF(ISNUMBER(F266),F266,""),IF(ISNUMBER(E266),E266,""))</f>
        <v/>
      </c>
      <c r="I266" s="30" t="n"/>
      <c r="J266" s="29">
        <f>IF(AND(ISNUMBER(H266),ISNUMBER(I266)),EDATE(H266,I266),"")</f>
        <v/>
      </c>
      <c r="K266" s="30" t="n"/>
      <c r="L266" s="29">
        <f>IF(AND(ISNUMBER(H266),ISNUMBER(K266)),EDATE(H266,K266),"")</f>
        <v/>
      </c>
      <c r="M266" s="29">
        <f>IF(COUNT(J266,L266)=0,"",IF(MIN(J266,L266)&gt;=TODAY(),MIN(J266,L266),MAX(J266,L266)))</f>
        <v/>
      </c>
      <c r="N266" s="31">
        <f>IF(ISNUMBER(M266),M266-TODAY(),"")</f>
        <v/>
      </c>
      <c r="O266" s="30" t="n"/>
      <c r="P266" s="29">
        <f>IF(ISNUMBER(M266),M266-IF(ISNUMBER(O266),O266,60),"")</f>
        <v/>
      </c>
      <c r="Q266" s="27" t="n"/>
      <c r="R266" s="27" t="n"/>
      <c r="S266" s="27" t="n"/>
      <c r="T266" s="27" t="n"/>
      <c r="U266" s="27" t="n"/>
      <c r="V266" s="27" t="n"/>
      <c r="W266" s="27" t="n"/>
      <c r="X266" s="27" t="n"/>
      <c r="Y266" s="27" t="n"/>
    </row>
    <row r="267">
      <c r="A267" s="27" t="n"/>
      <c r="B267" s="27" t="n"/>
      <c r="C267" s="27" t="n"/>
      <c r="D267" s="27" t="n"/>
      <c r="E267" s="28" t="n"/>
      <c r="F267" s="28" t="n"/>
      <c r="G267" s="27" t="n"/>
      <c r="H267" s="29">
        <f>IF(G267="Invoice",IF(ISNUMBER(F267),F267,""),IF(ISNUMBER(E267),E267,""))</f>
        <v/>
      </c>
      <c r="I267" s="30" t="n"/>
      <c r="J267" s="29">
        <f>IF(AND(ISNUMBER(H267),ISNUMBER(I267)),EDATE(H267,I267),"")</f>
        <v/>
      </c>
      <c r="K267" s="30" t="n"/>
      <c r="L267" s="29">
        <f>IF(AND(ISNUMBER(H267),ISNUMBER(K267)),EDATE(H267,K267),"")</f>
        <v/>
      </c>
      <c r="M267" s="29">
        <f>IF(COUNT(J267,L267)=0,"",IF(MIN(J267,L267)&gt;=TODAY(),MIN(J267,L267),MAX(J267,L267)))</f>
        <v/>
      </c>
      <c r="N267" s="31">
        <f>IF(ISNUMBER(M267),M267-TODAY(),"")</f>
        <v/>
      </c>
      <c r="O267" s="30" t="n"/>
      <c r="P267" s="29">
        <f>IF(ISNUMBER(M267),M267-IF(ISNUMBER(O267),O267,60),"")</f>
        <v/>
      </c>
      <c r="Q267" s="27" t="n"/>
      <c r="R267" s="27" t="n"/>
      <c r="S267" s="27" t="n"/>
      <c r="T267" s="27" t="n"/>
      <c r="U267" s="27" t="n"/>
      <c r="V267" s="27" t="n"/>
      <c r="W267" s="27" t="n"/>
      <c r="X267" s="27" t="n"/>
      <c r="Y267" s="27" t="n"/>
    </row>
    <row r="268">
      <c r="A268" s="27" t="n"/>
      <c r="B268" s="27" t="n"/>
      <c r="C268" s="27" t="n"/>
      <c r="D268" s="27" t="n"/>
      <c r="E268" s="28" t="n"/>
      <c r="F268" s="28" t="n"/>
      <c r="G268" s="27" t="n"/>
      <c r="H268" s="29">
        <f>IF(G268="Invoice",IF(ISNUMBER(F268),F268,""),IF(ISNUMBER(E268),E268,""))</f>
        <v/>
      </c>
      <c r="I268" s="30" t="n"/>
      <c r="J268" s="29">
        <f>IF(AND(ISNUMBER(H268),ISNUMBER(I268)),EDATE(H268,I268),"")</f>
        <v/>
      </c>
      <c r="K268" s="30" t="n"/>
      <c r="L268" s="29">
        <f>IF(AND(ISNUMBER(H268),ISNUMBER(K268)),EDATE(H268,K268),"")</f>
        <v/>
      </c>
      <c r="M268" s="29">
        <f>IF(COUNT(J268,L268)=0,"",IF(MIN(J268,L268)&gt;=TODAY(),MIN(J268,L268),MAX(J268,L268)))</f>
        <v/>
      </c>
      <c r="N268" s="31">
        <f>IF(ISNUMBER(M268),M268-TODAY(),"")</f>
        <v/>
      </c>
      <c r="O268" s="30" t="n"/>
      <c r="P268" s="29">
        <f>IF(ISNUMBER(M268),M268-IF(ISNUMBER(O268),O268,60),"")</f>
        <v/>
      </c>
      <c r="Q268" s="27" t="n"/>
      <c r="R268" s="27" t="n"/>
      <c r="S268" s="27" t="n"/>
      <c r="T268" s="27" t="n"/>
      <c r="U268" s="27" t="n"/>
      <c r="V268" s="27" t="n"/>
      <c r="W268" s="27" t="n"/>
      <c r="X268" s="27" t="n"/>
      <c r="Y268" s="27" t="n"/>
    </row>
    <row r="269">
      <c r="A269" s="27" t="n"/>
      <c r="B269" s="27" t="n"/>
      <c r="C269" s="27" t="n"/>
      <c r="D269" s="27" t="n"/>
      <c r="E269" s="28" t="n"/>
      <c r="F269" s="28" t="n"/>
      <c r="G269" s="27" t="n"/>
      <c r="H269" s="29">
        <f>IF(G269="Invoice",IF(ISNUMBER(F269),F269,""),IF(ISNUMBER(E269),E269,""))</f>
        <v/>
      </c>
      <c r="I269" s="30" t="n"/>
      <c r="J269" s="29">
        <f>IF(AND(ISNUMBER(H269),ISNUMBER(I269)),EDATE(H269,I269),"")</f>
        <v/>
      </c>
      <c r="K269" s="30" t="n"/>
      <c r="L269" s="29">
        <f>IF(AND(ISNUMBER(H269),ISNUMBER(K269)),EDATE(H269,K269),"")</f>
        <v/>
      </c>
      <c r="M269" s="29">
        <f>IF(COUNT(J269,L269)=0,"",IF(MIN(J269,L269)&gt;=TODAY(),MIN(J269,L269),MAX(J269,L269)))</f>
        <v/>
      </c>
      <c r="N269" s="31">
        <f>IF(ISNUMBER(M269),M269-TODAY(),"")</f>
        <v/>
      </c>
      <c r="O269" s="30" t="n"/>
      <c r="P269" s="29">
        <f>IF(ISNUMBER(M269),M269-IF(ISNUMBER(O269),O269,60),"")</f>
        <v/>
      </c>
      <c r="Q269" s="27" t="n"/>
      <c r="R269" s="27" t="n"/>
      <c r="S269" s="27" t="n"/>
      <c r="T269" s="27" t="n"/>
      <c r="U269" s="27" t="n"/>
      <c r="V269" s="27" t="n"/>
      <c r="W269" s="27" t="n"/>
      <c r="X269" s="27" t="n"/>
      <c r="Y269" s="27" t="n"/>
    </row>
    <row r="270">
      <c r="A270" s="27" t="n"/>
      <c r="B270" s="27" t="n"/>
      <c r="C270" s="27" t="n"/>
      <c r="D270" s="27" t="n"/>
      <c r="E270" s="28" t="n"/>
      <c r="F270" s="28" t="n"/>
      <c r="G270" s="27" t="n"/>
      <c r="H270" s="29">
        <f>IF(G270="Invoice",IF(ISNUMBER(F270),F270,""),IF(ISNUMBER(E270),E270,""))</f>
        <v/>
      </c>
      <c r="I270" s="30" t="n"/>
      <c r="J270" s="29">
        <f>IF(AND(ISNUMBER(H270),ISNUMBER(I270)),EDATE(H270,I270),"")</f>
        <v/>
      </c>
      <c r="K270" s="30" t="n"/>
      <c r="L270" s="29">
        <f>IF(AND(ISNUMBER(H270),ISNUMBER(K270)),EDATE(H270,K270),"")</f>
        <v/>
      </c>
      <c r="M270" s="29">
        <f>IF(COUNT(J270,L270)=0,"",IF(MIN(J270,L270)&gt;=TODAY(),MIN(J270,L270),MAX(J270,L270)))</f>
        <v/>
      </c>
      <c r="N270" s="31">
        <f>IF(ISNUMBER(M270),M270-TODAY(),"")</f>
        <v/>
      </c>
      <c r="O270" s="30" t="n"/>
      <c r="P270" s="29">
        <f>IF(ISNUMBER(M270),M270-IF(ISNUMBER(O270),O270,60),"")</f>
        <v/>
      </c>
      <c r="Q270" s="27" t="n"/>
      <c r="R270" s="27" t="n"/>
      <c r="S270" s="27" t="n"/>
      <c r="T270" s="27" t="n"/>
      <c r="U270" s="27" t="n"/>
      <c r="V270" s="27" t="n"/>
      <c r="W270" s="27" t="n"/>
      <c r="X270" s="27" t="n"/>
      <c r="Y270" s="27" t="n"/>
    </row>
    <row r="271">
      <c r="A271" s="27" t="n"/>
      <c r="B271" s="27" t="n"/>
      <c r="C271" s="27" t="n"/>
      <c r="D271" s="27" t="n"/>
      <c r="E271" s="28" t="n"/>
      <c r="F271" s="28" t="n"/>
      <c r="G271" s="27" t="n"/>
      <c r="H271" s="29">
        <f>IF(G271="Invoice",IF(ISNUMBER(F271),F271,""),IF(ISNUMBER(E271),E271,""))</f>
        <v/>
      </c>
      <c r="I271" s="30" t="n"/>
      <c r="J271" s="29">
        <f>IF(AND(ISNUMBER(H271),ISNUMBER(I271)),EDATE(H271,I271),"")</f>
        <v/>
      </c>
      <c r="K271" s="30" t="n"/>
      <c r="L271" s="29">
        <f>IF(AND(ISNUMBER(H271),ISNUMBER(K271)),EDATE(H271,K271),"")</f>
        <v/>
      </c>
      <c r="M271" s="29">
        <f>IF(COUNT(J271,L271)=0,"",IF(MIN(J271,L271)&gt;=TODAY(),MIN(J271,L271),MAX(J271,L271)))</f>
        <v/>
      </c>
      <c r="N271" s="31">
        <f>IF(ISNUMBER(M271),M271-TODAY(),"")</f>
        <v/>
      </c>
      <c r="O271" s="30" t="n"/>
      <c r="P271" s="29">
        <f>IF(ISNUMBER(M271),M271-IF(ISNUMBER(O271),O271,60),"")</f>
        <v/>
      </c>
      <c r="Q271" s="27" t="n"/>
      <c r="R271" s="27" t="n"/>
      <c r="S271" s="27" t="n"/>
      <c r="T271" s="27" t="n"/>
      <c r="U271" s="27" t="n"/>
      <c r="V271" s="27" t="n"/>
      <c r="W271" s="27" t="n"/>
      <c r="X271" s="27" t="n"/>
      <c r="Y271" s="27" t="n"/>
    </row>
    <row r="272">
      <c r="A272" s="27" t="n"/>
      <c r="B272" s="27" t="n"/>
      <c r="C272" s="27" t="n"/>
      <c r="D272" s="27" t="n"/>
      <c r="E272" s="28" t="n"/>
      <c r="F272" s="28" t="n"/>
      <c r="G272" s="27" t="n"/>
      <c r="H272" s="29">
        <f>IF(G272="Invoice",IF(ISNUMBER(F272),F272,""),IF(ISNUMBER(E272),E272,""))</f>
        <v/>
      </c>
      <c r="I272" s="30" t="n"/>
      <c r="J272" s="29">
        <f>IF(AND(ISNUMBER(H272),ISNUMBER(I272)),EDATE(H272,I272),"")</f>
        <v/>
      </c>
      <c r="K272" s="30" t="n"/>
      <c r="L272" s="29">
        <f>IF(AND(ISNUMBER(H272),ISNUMBER(K272)),EDATE(H272,K272),"")</f>
        <v/>
      </c>
      <c r="M272" s="29">
        <f>IF(COUNT(J272,L272)=0,"",IF(MIN(J272,L272)&gt;=TODAY(),MIN(J272,L272),MAX(J272,L272)))</f>
        <v/>
      </c>
      <c r="N272" s="31">
        <f>IF(ISNUMBER(M272),M272-TODAY(),"")</f>
        <v/>
      </c>
      <c r="O272" s="30" t="n"/>
      <c r="P272" s="29">
        <f>IF(ISNUMBER(M272),M272-IF(ISNUMBER(O272),O272,60),"")</f>
        <v/>
      </c>
      <c r="Q272" s="27" t="n"/>
      <c r="R272" s="27" t="n"/>
      <c r="S272" s="27" t="n"/>
      <c r="T272" s="27" t="n"/>
      <c r="U272" s="27" t="n"/>
      <c r="V272" s="27" t="n"/>
      <c r="W272" s="27" t="n"/>
      <c r="X272" s="27" t="n"/>
      <c r="Y272" s="27" t="n"/>
    </row>
    <row r="273">
      <c r="A273" s="27" t="n"/>
      <c r="B273" s="27" t="n"/>
      <c r="C273" s="27" t="n"/>
      <c r="D273" s="27" t="n"/>
      <c r="E273" s="28" t="n"/>
      <c r="F273" s="28" t="n"/>
      <c r="G273" s="27" t="n"/>
      <c r="H273" s="29">
        <f>IF(G273="Invoice",IF(ISNUMBER(F273),F273,""),IF(ISNUMBER(E273),E273,""))</f>
        <v/>
      </c>
      <c r="I273" s="30" t="n"/>
      <c r="J273" s="29">
        <f>IF(AND(ISNUMBER(H273),ISNUMBER(I273)),EDATE(H273,I273),"")</f>
        <v/>
      </c>
      <c r="K273" s="30" t="n"/>
      <c r="L273" s="29">
        <f>IF(AND(ISNUMBER(H273),ISNUMBER(K273)),EDATE(H273,K273),"")</f>
        <v/>
      </c>
      <c r="M273" s="29">
        <f>IF(COUNT(J273,L273)=0,"",IF(MIN(J273,L273)&gt;=TODAY(),MIN(J273,L273),MAX(J273,L273)))</f>
        <v/>
      </c>
      <c r="N273" s="31">
        <f>IF(ISNUMBER(M273),M273-TODAY(),"")</f>
        <v/>
      </c>
      <c r="O273" s="30" t="n"/>
      <c r="P273" s="29">
        <f>IF(ISNUMBER(M273),M273-IF(ISNUMBER(O273),O273,60),"")</f>
        <v/>
      </c>
      <c r="Q273" s="27" t="n"/>
      <c r="R273" s="27" t="n"/>
      <c r="S273" s="27" t="n"/>
      <c r="T273" s="27" t="n"/>
      <c r="U273" s="27" t="n"/>
      <c r="V273" s="27" t="n"/>
      <c r="W273" s="27" t="n"/>
      <c r="X273" s="27" t="n"/>
      <c r="Y273" s="27" t="n"/>
    </row>
    <row r="274">
      <c r="A274" s="27" t="n"/>
      <c r="B274" s="27" t="n"/>
      <c r="C274" s="27" t="n"/>
      <c r="D274" s="27" t="n"/>
      <c r="E274" s="28" t="n"/>
      <c r="F274" s="28" t="n"/>
      <c r="G274" s="27" t="n"/>
      <c r="H274" s="29">
        <f>IF(G274="Invoice",IF(ISNUMBER(F274),F274,""),IF(ISNUMBER(E274),E274,""))</f>
        <v/>
      </c>
      <c r="I274" s="30" t="n"/>
      <c r="J274" s="29">
        <f>IF(AND(ISNUMBER(H274),ISNUMBER(I274)),EDATE(H274,I274),"")</f>
        <v/>
      </c>
      <c r="K274" s="30" t="n"/>
      <c r="L274" s="29">
        <f>IF(AND(ISNUMBER(H274),ISNUMBER(K274)),EDATE(H274,K274),"")</f>
        <v/>
      </c>
      <c r="M274" s="29">
        <f>IF(COUNT(J274,L274)=0,"",IF(MIN(J274,L274)&gt;=TODAY(),MIN(J274,L274),MAX(J274,L274)))</f>
        <v/>
      </c>
      <c r="N274" s="31">
        <f>IF(ISNUMBER(M274),M274-TODAY(),"")</f>
        <v/>
      </c>
      <c r="O274" s="30" t="n"/>
      <c r="P274" s="29">
        <f>IF(ISNUMBER(M274),M274-IF(ISNUMBER(O274),O274,60),"")</f>
        <v/>
      </c>
      <c r="Q274" s="27" t="n"/>
      <c r="R274" s="27" t="n"/>
      <c r="S274" s="27" t="n"/>
      <c r="T274" s="27" t="n"/>
      <c r="U274" s="27" t="n"/>
      <c r="V274" s="27" t="n"/>
      <c r="W274" s="27" t="n"/>
      <c r="X274" s="27" t="n"/>
      <c r="Y274" s="27" t="n"/>
    </row>
    <row r="275">
      <c r="A275" s="27" t="n"/>
      <c r="B275" s="27" t="n"/>
      <c r="C275" s="27" t="n"/>
      <c r="D275" s="27" t="n"/>
      <c r="E275" s="28" t="n"/>
      <c r="F275" s="28" t="n"/>
      <c r="G275" s="27" t="n"/>
      <c r="H275" s="29">
        <f>IF(G275="Invoice",IF(ISNUMBER(F275),F275,""),IF(ISNUMBER(E275),E275,""))</f>
        <v/>
      </c>
      <c r="I275" s="30" t="n"/>
      <c r="J275" s="29">
        <f>IF(AND(ISNUMBER(H275),ISNUMBER(I275)),EDATE(H275,I275),"")</f>
        <v/>
      </c>
      <c r="K275" s="30" t="n"/>
      <c r="L275" s="29">
        <f>IF(AND(ISNUMBER(H275),ISNUMBER(K275)),EDATE(H275,K275),"")</f>
        <v/>
      </c>
      <c r="M275" s="29">
        <f>IF(COUNT(J275,L275)=0,"",IF(MIN(J275,L275)&gt;=TODAY(),MIN(J275,L275),MAX(J275,L275)))</f>
        <v/>
      </c>
      <c r="N275" s="31">
        <f>IF(ISNUMBER(M275),M275-TODAY(),"")</f>
        <v/>
      </c>
      <c r="O275" s="30" t="n"/>
      <c r="P275" s="29">
        <f>IF(ISNUMBER(M275),M275-IF(ISNUMBER(O275),O275,60),"")</f>
        <v/>
      </c>
      <c r="Q275" s="27" t="n"/>
      <c r="R275" s="27" t="n"/>
      <c r="S275" s="27" t="n"/>
      <c r="T275" s="27" t="n"/>
      <c r="U275" s="27" t="n"/>
      <c r="V275" s="27" t="n"/>
      <c r="W275" s="27" t="n"/>
      <c r="X275" s="27" t="n"/>
      <c r="Y275" s="27" t="n"/>
    </row>
    <row r="276">
      <c r="A276" s="27" t="n"/>
      <c r="B276" s="27" t="n"/>
      <c r="C276" s="27" t="n"/>
      <c r="D276" s="27" t="n"/>
      <c r="E276" s="28" t="n"/>
      <c r="F276" s="28" t="n"/>
      <c r="G276" s="27" t="n"/>
      <c r="H276" s="29">
        <f>IF(G276="Invoice",IF(ISNUMBER(F276),F276,""),IF(ISNUMBER(E276),E276,""))</f>
        <v/>
      </c>
      <c r="I276" s="30" t="n"/>
      <c r="J276" s="29">
        <f>IF(AND(ISNUMBER(H276),ISNUMBER(I276)),EDATE(H276,I276),"")</f>
        <v/>
      </c>
      <c r="K276" s="30" t="n"/>
      <c r="L276" s="29">
        <f>IF(AND(ISNUMBER(H276),ISNUMBER(K276)),EDATE(H276,K276),"")</f>
        <v/>
      </c>
      <c r="M276" s="29">
        <f>IF(COUNT(J276,L276)=0,"",IF(MIN(J276,L276)&gt;=TODAY(),MIN(J276,L276),MAX(J276,L276)))</f>
        <v/>
      </c>
      <c r="N276" s="31">
        <f>IF(ISNUMBER(M276),M276-TODAY(),"")</f>
        <v/>
      </c>
      <c r="O276" s="30" t="n"/>
      <c r="P276" s="29">
        <f>IF(ISNUMBER(M276),M276-IF(ISNUMBER(O276),O276,60),"")</f>
        <v/>
      </c>
      <c r="Q276" s="27" t="n"/>
      <c r="R276" s="27" t="n"/>
      <c r="S276" s="27" t="n"/>
      <c r="T276" s="27" t="n"/>
      <c r="U276" s="27" t="n"/>
      <c r="V276" s="27" t="n"/>
      <c r="W276" s="27" t="n"/>
      <c r="X276" s="27" t="n"/>
      <c r="Y276" s="27" t="n"/>
    </row>
    <row r="277">
      <c r="A277" s="27" t="n"/>
      <c r="B277" s="27" t="n"/>
      <c r="C277" s="27" t="n"/>
      <c r="D277" s="27" t="n"/>
      <c r="E277" s="28" t="n"/>
      <c r="F277" s="28" t="n"/>
      <c r="G277" s="27" t="n"/>
      <c r="H277" s="29">
        <f>IF(G277="Invoice",IF(ISNUMBER(F277),F277,""),IF(ISNUMBER(E277),E277,""))</f>
        <v/>
      </c>
      <c r="I277" s="30" t="n"/>
      <c r="J277" s="29">
        <f>IF(AND(ISNUMBER(H277),ISNUMBER(I277)),EDATE(H277,I277),"")</f>
        <v/>
      </c>
      <c r="K277" s="30" t="n"/>
      <c r="L277" s="29">
        <f>IF(AND(ISNUMBER(H277),ISNUMBER(K277)),EDATE(H277,K277),"")</f>
        <v/>
      </c>
      <c r="M277" s="29">
        <f>IF(COUNT(J277,L277)=0,"",IF(MIN(J277,L277)&gt;=TODAY(),MIN(J277,L277),MAX(J277,L277)))</f>
        <v/>
      </c>
      <c r="N277" s="31">
        <f>IF(ISNUMBER(M277),M277-TODAY(),"")</f>
        <v/>
      </c>
      <c r="O277" s="30" t="n"/>
      <c r="P277" s="29">
        <f>IF(ISNUMBER(M277),M277-IF(ISNUMBER(O277),O277,60),"")</f>
        <v/>
      </c>
      <c r="Q277" s="27" t="n"/>
      <c r="R277" s="27" t="n"/>
      <c r="S277" s="27" t="n"/>
      <c r="T277" s="27" t="n"/>
      <c r="U277" s="27" t="n"/>
      <c r="V277" s="27" t="n"/>
      <c r="W277" s="27" t="n"/>
      <c r="X277" s="27" t="n"/>
      <c r="Y277" s="27" t="n"/>
    </row>
    <row r="278">
      <c r="A278" s="27" t="n"/>
      <c r="B278" s="27" t="n"/>
      <c r="C278" s="27" t="n"/>
      <c r="D278" s="27" t="n"/>
      <c r="E278" s="28" t="n"/>
      <c r="F278" s="28" t="n"/>
      <c r="G278" s="27" t="n"/>
      <c r="H278" s="29">
        <f>IF(G278="Invoice",IF(ISNUMBER(F278),F278,""),IF(ISNUMBER(E278),E278,""))</f>
        <v/>
      </c>
      <c r="I278" s="30" t="n"/>
      <c r="J278" s="29">
        <f>IF(AND(ISNUMBER(H278),ISNUMBER(I278)),EDATE(H278,I278),"")</f>
        <v/>
      </c>
      <c r="K278" s="30" t="n"/>
      <c r="L278" s="29">
        <f>IF(AND(ISNUMBER(H278),ISNUMBER(K278)),EDATE(H278,K278),"")</f>
        <v/>
      </c>
      <c r="M278" s="29">
        <f>IF(COUNT(J278,L278)=0,"",IF(MIN(J278,L278)&gt;=TODAY(),MIN(J278,L278),MAX(J278,L278)))</f>
        <v/>
      </c>
      <c r="N278" s="31">
        <f>IF(ISNUMBER(M278),M278-TODAY(),"")</f>
        <v/>
      </c>
      <c r="O278" s="30" t="n"/>
      <c r="P278" s="29">
        <f>IF(ISNUMBER(M278),M278-IF(ISNUMBER(O278),O278,60),"")</f>
        <v/>
      </c>
      <c r="Q278" s="27" t="n"/>
      <c r="R278" s="27" t="n"/>
      <c r="S278" s="27" t="n"/>
      <c r="T278" s="27" t="n"/>
      <c r="U278" s="27" t="n"/>
      <c r="V278" s="27" t="n"/>
      <c r="W278" s="27" t="n"/>
      <c r="X278" s="27" t="n"/>
      <c r="Y278" s="27" t="n"/>
    </row>
    <row r="279">
      <c r="A279" s="27" t="n"/>
      <c r="B279" s="27" t="n"/>
      <c r="C279" s="27" t="n"/>
      <c r="D279" s="27" t="n"/>
      <c r="E279" s="28" t="n"/>
      <c r="F279" s="28" t="n"/>
      <c r="G279" s="27" t="n"/>
      <c r="H279" s="29">
        <f>IF(G279="Invoice",IF(ISNUMBER(F279),F279,""),IF(ISNUMBER(E279),E279,""))</f>
        <v/>
      </c>
      <c r="I279" s="30" t="n"/>
      <c r="J279" s="29">
        <f>IF(AND(ISNUMBER(H279),ISNUMBER(I279)),EDATE(H279,I279),"")</f>
        <v/>
      </c>
      <c r="K279" s="30" t="n"/>
      <c r="L279" s="29">
        <f>IF(AND(ISNUMBER(H279),ISNUMBER(K279)),EDATE(H279,K279),"")</f>
        <v/>
      </c>
      <c r="M279" s="29">
        <f>IF(COUNT(J279,L279)=0,"",IF(MIN(J279,L279)&gt;=TODAY(),MIN(J279,L279),MAX(J279,L279)))</f>
        <v/>
      </c>
      <c r="N279" s="31">
        <f>IF(ISNUMBER(M279),M279-TODAY(),"")</f>
        <v/>
      </c>
      <c r="O279" s="30" t="n"/>
      <c r="P279" s="29">
        <f>IF(ISNUMBER(M279),M279-IF(ISNUMBER(O279),O279,60),"")</f>
        <v/>
      </c>
      <c r="Q279" s="27" t="n"/>
      <c r="R279" s="27" t="n"/>
      <c r="S279" s="27" t="n"/>
      <c r="T279" s="27" t="n"/>
      <c r="U279" s="27" t="n"/>
      <c r="V279" s="27" t="n"/>
      <c r="W279" s="27" t="n"/>
      <c r="X279" s="27" t="n"/>
      <c r="Y279" s="27" t="n"/>
    </row>
    <row r="280">
      <c r="A280" s="27" t="n"/>
      <c r="B280" s="27" t="n"/>
      <c r="C280" s="27" t="n"/>
      <c r="D280" s="27" t="n"/>
      <c r="E280" s="28" t="n"/>
      <c r="F280" s="28" t="n"/>
      <c r="G280" s="27" t="n"/>
      <c r="H280" s="29">
        <f>IF(G280="Invoice",IF(ISNUMBER(F280),F280,""),IF(ISNUMBER(E280),E280,""))</f>
        <v/>
      </c>
      <c r="I280" s="30" t="n"/>
      <c r="J280" s="29">
        <f>IF(AND(ISNUMBER(H280),ISNUMBER(I280)),EDATE(H280,I280),"")</f>
        <v/>
      </c>
      <c r="K280" s="30" t="n"/>
      <c r="L280" s="29">
        <f>IF(AND(ISNUMBER(H280),ISNUMBER(K280)),EDATE(H280,K280),"")</f>
        <v/>
      </c>
      <c r="M280" s="29">
        <f>IF(COUNT(J280,L280)=0,"",IF(MIN(J280,L280)&gt;=TODAY(),MIN(J280,L280),MAX(J280,L280)))</f>
        <v/>
      </c>
      <c r="N280" s="31">
        <f>IF(ISNUMBER(M280),M280-TODAY(),"")</f>
        <v/>
      </c>
      <c r="O280" s="30" t="n"/>
      <c r="P280" s="29">
        <f>IF(ISNUMBER(M280),M280-IF(ISNUMBER(O280),O280,60),"")</f>
        <v/>
      </c>
      <c r="Q280" s="27" t="n"/>
      <c r="R280" s="27" t="n"/>
      <c r="S280" s="27" t="n"/>
      <c r="T280" s="27" t="n"/>
      <c r="U280" s="27" t="n"/>
      <c r="V280" s="27" t="n"/>
      <c r="W280" s="27" t="n"/>
      <c r="X280" s="27" t="n"/>
      <c r="Y280" s="27" t="n"/>
    </row>
    <row r="281">
      <c r="A281" s="27" t="n"/>
      <c r="B281" s="27" t="n"/>
      <c r="C281" s="27" t="n"/>
      <c r="D281" s="27" t="n"/>
      <c r="E281" s="28" t="n"/>
      <c r="F281" s="28" t="n"/>
      <c r="G281" s="27" t="n"/>
      <c r="H281" s="29">
        <f>IF(G281="Invoice",IF(ISNUMBER(F281),F281,""),IF(ISNUMBER(E281),E281,""))</f>
        <v/>
      </c>
      <c r="I281" s="30" t="n"/>
      <c r="J281" s="29">
        <f>IF(AND(ISNUMBER(H281),ISNUMBER(I281)),EDATE(H281,I281),"")</f>
        <v/>
      </c>
      <c r="K281" s="30" t="n"/>
      <c r="L281" s="29">
        <f>IF(AND(ISNUMBER(H281),ISNUMBER(K281)),EDATE(H281,K281),"")</f>
        <v/>
      </c>
      <c r="M281" s="29">
        <f>IF(COUNT(J281,L281)=0,"",IF(MIN(J281,L281)&gt;=TODAY(),MIN(J281,L281),MAX(J281,L281)))</f>
        <v/>
      </c>
      <c r="N281" s="31">
        <f>IF(ISNUMBER(M281),M281-TODAY(),"")</f>
        <v/>
      </c>
      <c r="O281" s="30" t="n"/>
      <c r="P281" s="29">
        <f>IF(ISNUMBER(M281),M281-IF(ISNUMBER(O281),O281,60),"")</f>
        <v/>
      </c>
      <c r="Q281" s="27" t="n"/>
      <c r="R281" s="27" t="n"/>
      <c r="S281" s="27" t="n"/>
      <c r="T281" s="27" t="n"/>
      <c r="U281" s="27" t="n"/>
      <c r="V281" s="27" t="n"/>
      <c r="W281" s="27" t="n"/>
      <c r="X281" s="27" t="n"/>
      <c r="Y281" s="27" t="n"/>
    </row>
    <row r="282">
      <c r="A282" s="27" t="n"/>
      <c r="B282" s="27" t="n"/>
      <c r="C282" s="27" t="n"/>
      <c r="D282" s="27" t="n"/>
      <c r="E282" s="28" t="n"/>
      <c r="F282" s="28" t="n"/>
      <c r="G282" s="27" t="n"/>
      <c r="H282" s="29">
        <f>IF(G282="Invoice",IF(ISNUMBER(F282),F282,""),IF(ISNUMBER(E282),E282,""))</f>
        <v/>
      </c>
      <c r="I282" s="30" t="n"/>
      <c r="J282" s="29">
        <f>IF(AND(ISNUMBER(H282),ISNUMBER(I282)),EDATE(H282,I282),"")</f>
        <v/>
      </c>
      <c r="K282" s="30" t="n"/>
      <c r="L282" s="29">
        <f>IF(AND(ISNUMBER(H282),ISNUMBER(K282)),EDATE(H282,K282),"")</f>
        <v/>
      </c>
      <c r="M282" s="29">
        <f>IF(COUNT(J282,L282)=0,"",IF(MIN(J282,L282)&gt;=TODAY(),MIN(J282,L282),MAX(J282,L282)))</f>
        <v/>
      </c>
      <c r="N282" s="31">
        <f>IF(ISNUMBER(M282),M282-TODAY(),"")</f>
        <v/>
      </c>
      <c r="O282" s="30" t="n"/>
      <c r="P282" s="29">
        <f>IF(ISNUMBER(M282),M282-IF(ISNUMBER(O282),O282,60),"")</f>
        <v/>
      </c>
      <c r="Q282" s="27" t="n"/>
      <c r="R282" s="27" t="n"/>
      <c r="S282" s="27" t="n"/>
      <c r="T282" s="27" t="n"/>
      <c r="U282" s="27" t="n"/>
      <c r="V282" s="27" t="n"/>
      <c r="W282" s="27" t="n"/>
      <c r="X282" s="27" t="n"/>
      <c r="Y282" s="27" t="n"/>
    </row>
    <row r="283">
      <c r="A283" s="27" t="n"/>
      <c r="B283" s="27" t="n"/>
      <c r="C283" s="27" t="n"/>
      <c r="D283" s="27" t="n"/>
      <c r="E283" s="28" t="n"/>
      <c r="F283" s="28" t="n"/>
      <c r="G283" s="27" t="n"/>
      <c r="H283" s="29">
        <f>IF(G283="Invoice",IF(ISNUMBER(F283),F283,""),IF(ISNUMBER(E283),E283,""))</f>
        <v/>
      </c>
      <c r="I283" s="30" t="n"/>
      <c r="J283" s="29">
        <f>IF(AND(ISNUMBER(H283),ISNUMBER(I283)),EDATE(H283,I283),"")</f>
        <v/>
      </c>
      <c r="K283" s="30" t="n"/>
      <c r="L283" s="29">
        <f>IF(AND(ISNUMBER(H283),ISNUMBER(K283)),EDATE(H283,K283),"")</f>
        <v/>
      </c>
      <c r="M283" s="29">
        <f>IF(COUNT(J283,L283)=0,"",IF(MIN(J283,L283)&gt;=TODAY(),MIN(J283,L283),MAX(J283,L283)))</f>
        <v/>
      </c>
      <c r="N283" s="31">
        <f>IF(ISNUMBER(M283),M283-TODAY(),"")</f>
        <v/>
      </c>
      <c r="O283" s="30" t="n"/>
      <c r="P283" s="29">
        <f>IF(ISNUMBER(M283),M283-IF(ISNUMBER(O283),O283,60),"")</f>
        <v/>
      </c>
      <c r="Q283" s="27" t="n"/>
      <c r="R283" s="27" t="n"/>
      <c r="S283" s="27" t="n"/>
      <c r="T283" s="27" t="n"/>
      <c r="U283" s="27" t="n"/>
      <c r="V283" s="27" t="n"/>
      <c r="W283" s="27" t="n"/>
      <c r="X283" s="27" t="n"/>
      <c r="Y283" s="27" t="n"/>
    </row>
    <row r="284">
      <c r="A284" s="27" t="n"/>
      <c r="B284" s="27" t="n"/>
      <c r="C284" s="27" t="n"/>
      <c r="D284" s="27" t="n"/>
      <c r="E284" s="28" t="n"/>
      <c r="F284" s="28" t="n"/>
      <c r="G284" s="27" t="n"/>
      <c r="H284" s="29">
        <f>IF(G284="Invoice",IF(ISNUMBER(F284),F284,""),IF(ISNUMBER(E284),E284,""))</f>
        <v/>
      </c>
      <c r="I284" s="30" t="n"/>
      <c r="J284" s="29">
        <f>IF(AND(ISNUMBER(H284),ISNUMBER(I284)),EDATE(H284,I284),"")</f>
        <v/>
      </c>
      <c r="K284" s="30" t="n"/>
      <c r="L284" s="29">
        <f>IF(AND(ISNUMBER(H284),ISNUMBER(K284)),EDATE(H284,K284),"")</f>
        <v/>
      </c>
      <c r="M284" s="29">
        <f>IF(COUNT(J284,L284)=0,"",IF(MIN(J284,L284)&gt;=TODAY(),MIN(J284,L284),MAX(J284,L284)))</f>
        <v/>
      </c>
      <c r="N284" s="31">
        <f>IF(ISNUMBER(M284),M284-TODAY(),"")</f>
        <v/>
      </c>
      <c r="O284" s="30" t="n"/>
      <c r="P284" s="29">
        <f>IF(ISNUMBER(M284),M284-IF(ISNUMBER(O284),O284,60),"")</f>
        <v/>
      </c>
      <c r="Q284" s="27" t="n"/>
      <c r="R284" s="27" t="n"/>
      <c r="S284" s="27" t="n"/>
      <c r="T284" s="27" t="n"/>
      <c r="U284" s="27" t="n"/>
      <c r="V284" s="27" t="n"/>
      <c r="W284" s="27" t="n"/>
      <c r="X284" s="27" t="n"/>
      <c r="Y284" s="27" t="n"/>
    </row>
    <row r="285">
      <c r="A285" s="27" t="n"/>
      <c r="B285" s="27" t="n"/>
      <c r="C285" s="27" t="n"/>
      <c r="D285" s="27" t="n"/>
      <c r="E285" s="28" t="n"/>
      <c r="F285" s="28" t="n"/>
      <c r="G285" s="27" t="n"/>
      <c r="H285" s="29">
        <f>IF(G285="Invoice",IF(ISNUMBER(F285),F285,""),IF(ISNUMBER(E285),E285,""))</f>
        <v/>
      </c>
      <c r="I285" s="30" t="n"/>
      <c r="J285" s="29">
        <f>IF(AND(ISNUMBER(H285),ISNUMBER(I285)),EDATE(H285,I285),"")</f>
        <v/>
      </c>
      <c r="K285" s="30" t="n"/>
      <c r="L285" s="29">
        <f>IF(AND(ISNUMBER(H285),ISNUMBER(K285)),EDATE(H285,K285),"")</f>
        <v/>
      </c>
      <c r="M285" s="29">
        <f>IF(COUNT(J285,L285)=0,"",IF(MIN(J285,L285)&gt;=TODAY(),MIN(J285,L285),MAX(J285,L285)))</f>
        <v/>
      </c>
      <c r="N285" s="31">
        <f>IF(ISNUMBER(M285),M285-TODAY(),"")</f>
        <v/>
      </c>
      <c r="O285" s="30" t="n"/>
      <c r="P285" s="29">
        <f>IF(ISNUMBER(M285),M285-IF(ISNUMBER(O285),O285,60),"")</f>
        <v/>
      </c>
      <c r="Q285" s="27" t="n"/>
      <c r="R285" s="27" t="n"/>
      <c r="S285" s="27" t="n"/>
      <c r="T285" s="27" t="n"/>
      <c r="U285" s="27" t="n"/>
      <c r="V285" s="27" t="n"/>
      <c r="W285" s="27" t="n"/>
      <c r="X285" s="27" t="n"/>
      <c r="Y285" s="27" t="n"/>
    </row>
    <row r="286">
      <c r="A286" s="27" t="n"/>
      <c r="B286" s="27" t="n"/>
      <c r="C286" s="27" t="n"/>
      <c r="D286" s="27" t="n"/>
      <c r="E286" s="28" t="n"/>
      <c r="F286" s="28" t="n"/>
      <c r="G286" s="27" t="n"/>
      <c r="H286" s="29">
        <f>IF(G286="Invoice",IF(ISNUMBER(F286),F286,""),IF(ISNUMBER(E286),E286,""))</f>
        <v/>
      </c>
      <c r="I286" s="30" t="n"/>
      <c r="J286" s="29">
        <f>IF(AND(ISNUMBER(H286),ISNUMBER(I286)),EDATE(H286,I286),"")</f>
        <v/>
      </c>
      <c r="K286" s="30" t="n"/>
      <c r="L286" s="29">
        <f>IF(AND(ISNUMBER(H286),ISNUMBER(K286)),EDATE(H286,K286),"")</f>
        <v/>
      </c>
      <c r="M286" s="29">
        <f>IF(COUNT(J286,L286)=0,"",IF(MIN(J286,L286)&gt;=TODAY(),MIN(J286,L286),MAX(J286,L286)))</f>
        <v/>
      </c>
      <c r="N286" s="31">
        <f>IF(ISNUMBER(M286),M286-TODAY(),"")</f>
        <v/>
      </c>
      <c r="O286" s="30" t="n"/>
      <c r="P286" s="29">
        <f>IF(ISNUMBER(M286),M286-IF(ISNUMBER(O286),O286,60),"")</f>
        <v/>
      </c>
      <c r="Q286" s="27" t="n"/>
      <c r="R286" s="27" t="n"/>
      <c r="S286" s="27" t="n"/>
      <c r="T286" s="27" t="n"/>
      <c r="U286" s="27" t="n"/>
      <c r="V286" s="27" t="n"/>
      <c r="W286" s="27" t="n"/>
      <c r="X286" s="27" t="n"/>
      <c r="Y286" s="27" t="n"/>
    </row>
    <row r="287">
      <c r="A287" s="27" t="n"/>
      <c r="B287" s="27" t="n"/>
      <c r="C287" s="27" t="n"/>
      <c r="D287" s="27" t="n"/>
      <c r="E287" s="28" t="n"/>
      <c r="F287" s="28" t="n"/>
      <c r="G287" s="27" t="n"/>
      <c r="H287" s="29">
        <f>IF(G287="Invoice",IF(ISNUMBER(F287),F287,""),IF(ISNUMBER(E287),E287,""))</f>
        <v/>
      </c>
      <c r="I287" s="30" t="n"/>
      <c r="J287" s="29">
        <f>IF(AND(ISNUMBER(H287),ISNUMBER(I287)),EDATE(H287,I287),"")</f>
        <v/>
      </c>
      <c r="K287" s="30" t="n"/>
      <c r="L287" s="29">
        <f>IF(AND(ISNUMBER(H287),ISNUMBER(K287)),EDATE(H287,K287),"")</f>
        <v/>
      </c>
      <c r="M287" s="29">
        <f>IF(COUNT(J287,L287)=0,"",IF(MIN(J287,L287)&gt;=TODAY(),MIN(J287,L287),MAX(J287,L287)))</f>
        <v/>
      </c>
      <c r="N287" s="31">
        <f>IF(ISNUMBER(M287),M287-TODAY(),"")</f>
        <v/>
      </c>
      <c r="O287" s="30" t="n"/>
      <c r="P287" s="29">
        <f>IF(ISNUMBER(M287),M287-IF(ISNUMBER(O287),O287,60),"")</f>
        <v/>
      </c>
      <c r="Q287" s="27" t="n"/>
      <c r="R287" s="27" t="n"/>
      <c r="S287" s="27" t="n"/>
      <c r="T287" s="27" t="n"/>
      <c r="U287" s="27" t="n"/>
      <c r="V287" s="27" t="n"/>
      <c r="W287" s="27" t="n"/>
      <c r="X287" s="27" t="n"/>
      <c r="Y287" s="27" t="n"/>
    </row>
    <row r="288">
      <c r="A288" s="27" t="n"/>
      <c r="B288" s="27" t="n"/>
      <c r="C288" s="27" t="n"/>
      <c r="D288" s="27" t="n"/>
      <c r="E288" s="28" t="n"/>
      <c r="F288" s="28" t="n"/>
      <c r="G288" s="27" t="n"/>
      <c r="H288" s="29">
        <f>IF(G288="Invoice",IF(ISNUMBER(F288),F288,""),IF(ISNUMBER(E288),E288,""))</f>
        <v/>
      </c>
      <c r="I288" s="30" t="n"/>
      <c r="J288" s="29">
        <f>IF(AND(ISNUMBER(H288),ISNUMBER(I288)),EDATE(H288,I288),"")</f>
        <v/>
      </c>
      <c r="K288" s="30" t="n"/>
      <c r="L288" s="29">
        <f>IF(AND(ISNUMBER(H288),ISNUMBER(K288)),EDATE(H288,K288),"")</f>
        <v/>
      </c>
      <c r="M288" s="29">
        <f>IF(COUNT(J288,L288)=0,"",IF(MIN(J288,L288)&gt;=TODAY(),MIN(J288,L288),MAX(J288,L288)))</f>
        <v/>
      </c>
      <c r="N288" s="31">
        <f>IF(ISNUMBER(M288),M288-TODAY(),"")</f>
        <v/>
      </c>
      <c r="O288" s="30" t="n"/>
      <c r="P288" s="29">
        <f>IF(ISNUMBER(M288),M288-IF(ISNUMBER(O288),O288,60),"")</f>
        <v/>
      </c>
      <c r="Q288" s="27" t="n"/>
      <c r="R288" s="27" t="n"/>
      <c r="S288" s="27" t="n"/>
      <c r="T288" s="27" t="n"/>
      <c r="U288" s="27" t="n"/>
      <c r="V288" s="27" t="n"/>
      <c r="W288" s="27" t="n"/>
      <c r="X288" s="27" t="n"/>
      <c r="Y288" s="27" t="n"/>
    </row>
    <row r="289">
      <c r="A289" s="27" t="n"/>
      <c r="B289" s="27" t="n"/>
      <c r="C289" s="27" t="n"/>
      <c r="D289" s="27" t="n"/>
      <c r="E289" s="28" t="n"/>
      <c r="F289" s="28" t="n"/>
      <c r="G289" s="27" t="n"/>
      <c r="H289" s="29">
        <f>IF(G289="Invoice",IF(ISNUMBER(F289),F289,""),IF(ISNUMBER(E289),E289,""))</f>
        <v/>
      </c>
      <c r="I289" s="30" t="n"/>
      <c r="J289" s="29">
        <f>IF(AND(ISNUMBER(H289),ISNUMBER(I289)),EDATE(H289,I289),"")</f>
        <v/>
      </c>
      <c r="K289" s="30" t="n"/>
      <c r="L289" s="29">
        <f>IF(AND(ISNUMBER(H289),ISNUMBER(K289)),EDATE(H289,K289),"")</f>
        <v/>
      </c>
      <c r="M289" s="29">
        <f>IF(COUNT(J289,L289)=0,"",IF(MIN(J289,L289)&gt;=TODAY(),MIN(J289,L289),MAX(J289,L289)))</f>
        <v/>
      </c>
      <c r="N289" s="31">
        <f>IF(ISNUMBER(M289),M289-TODAY(),"")</f>
        <v/>
      </c>
      <c r="O289" s="30" t="n"/>
      <c r="P289" s="29">
        <f>IF(ISNUMBER(M289),M289-IF(ISNUMBER(O289),O289,60),"")</f>
        <v/>
      </c>
      <c r="Q289" s="27" t="n"/>
      <c r="R289" s="27" t="n"/>
      <c r="S289" s="27" t="n"/>
      <c r="T289" s="27" t="n"/>
      <c r="U289" s="27" t="n"/>
      <c r="V289" s="27" t="n"/>
      <c r="W289" s="27" t="n"/>
      <c r="X289" s="27" t="n"/>
      <c r="Y289" s="27" t="n"/>
    </row>
    <row r="290">
      <c r="A290" s="27" t="n"/>
      <c r="B290" s="27" t="n"/>
      <c r="C290" s="27" t="n"/>
      <c r="D290" s="27" t="n"/>
      <c r="E290" s="28" t="n"/>
      <c r="F290" s="28" t="n"/>
      <c r="G290" s="27" t="n"/>
      <c r="H290" s="29">
        <f>IF(G290="Invoice",IF(ISNUMBER(F290),F290,""),IF(ISNUMBER(E290),E290,""))</f>
        <v/>
      </c>
      <c r="I290" s="30" t="n"/>
      <c r="J290" s="29">
        <f>IF(AND(ISNUMBER(H290),ISNUMBER(I290)),EDATE(H290,I290),"")</f>
        <v/>
      </c>
      <c r="K290" s="30" t="n"/>
      <c r="L290" s="29">
        <f>IF(AND(ISNUMBER(H290),ISNUMBER(K290)),EDATE(H290,K290),"")</f>
        <v/>
      </c>
      <c r="M290" s="29">
        <f>IF(COUNT(J290,L290)=0,"",IF(MIN(J290,L290)&gt;=TODAY(),MIN(J290,L290),MAX(J290,L290)))</f>
        <v/>
      </c>
      <c r="N290" s="31">
        <f>IF(ISNUMBER(M290),M290-TODAY(),"")</f>
        <v/>
      </c>
      <c r="O290" s="30" t="n"/>
      <c r="P290" s="29">
        <f>IF(ISNUMBER(M290),M290-IF(ISNUMBER(O290),O290,60),"")</f>
        <v/>
      </c>
      <c r="Q290" s="27" t="n"/>
      <c r="R290" s="27" t="n"/>
      <c r="S290" s="27" t="n"/>
      <c r="T290" s="27" t="n"/>
      <c r="U290" s="27" t="n"/>
      <c r="V290" s="27" t="n"/>
      <c r="W290" s="27" t="n"/>
      <c r="X290" s="27" t="n"/>
      <c r="Y290" s="27" t="n"/>
    </row>
    <row r="291">
      <c r="A291" s="27" t="n"/>
      <c r="B291" s="27" t="n"/>
      <c r="C291" s="27" t="n"/>
      <c r="D291" s="27" t="n"/>
      <c r="E291" s="28" t="n"/>
      <c r="F291" s="28" t="n"/>
      <c r="G291" s="27" t="n"/>
      <c r="H291" s="29">
        <f>IF(G291="Invoice",IF(ISNUMBER(F291),F291,""),IF(ISNUMBER(E291),E291,""))</f>
        <v/>
      </c>
      <c r="I291" s="30" t="n"/>
      <c r="J291" s="29">
        <f>IF(AND(ISNUMBER(H291),ISNUMBER(I291)),EDATE(H291,I291),"")</f>
        <v/>
      </c>
      <c r="K291" s="30" t="n"/>
      <c r="L291" s="29">
        <f>IF(AND(ISNUMBER(H291),ISNUMBER(K291)),EDATE(H291,K291),"")</f>
        <v/>
      </c>
      <c r="M291" s="29">
        <f>IF(COUNT(J291,L291)=0,"",IF(MIN(J291,L291)&gt;=TODAY(),MIN(J291,L291),MAX(J291,L291)))</f>
        <v/>
      </c>
      <c r="N291" s="31">
        <f>IF(ISNUMBER(M291),M291-TODAY(),"")</f>
        <v/>
      </c>
      <c r="O291" s="30" t="n"/>
      <c r="P291" s="29">
        <f>IF(ISNUMBER(M291),M291-IF(ISNUMBER(O291),O291,60),"")</f>
        <v/>
      </c>
      <c r="Q291" s="27" t="n"/>
      <c r="R291" s="27" t="n"/>
      <c r="S291" s="27" t="n"/>
      <c r="T291" s="27" t="n"/>
      <c r="U291" s="27" t="n"/>
      <c r="V291" s="27" t="n"/>
      <c r="W291" s="27" t="n"/>
      <c r="X291" s="27" t="n"/>
      <c r="Y291" s="27" t="n"/>
    </row>
    <row r="292">
      <c r="A292" s="27" t="n"/>
      <c r="B292" s="27" t="n"/>
      <c r="C292" s="27" t="n"/>
      <c r="D292" s="27" t="n"/>
      <c r="E292" s="28" t="n"/>
      <c r="F292" s="28" t="n"/>
      <c r="G292" s="27" t="n"/>
      <c r="H292" s="29">
        <f>IF(G292="Invoice",IF(ISNUMBER(F292),F292,""),IF(ISNUMBER(E292),E292,""))</f>
        <v/>
      </c>
      <c r="I292" s="30" t="n"/>
      <c r="J292" s="29">
        <f>IF(AND(ISNUMBER(H292),ISNUMBER(I292)),EDATE(H292,I292),"")</f>
        <v/>
      </c>
      <c r="K292" s="30" t="n"/>
      <c r="L292" s="29">
        <f>IF(AND(ISNUMBER(H292),ISNUMBER(K292)),EDATE(H292,K292),"")</f>
        <v/>
      </c>
      <c r="M292" s="29">
        <f>IF(COUNT(J292,L292)=0,"",IF(MIN(J292,L292)&gt;=TODAY(),MIN(J292,L292),MAX(J292,L292)))</f>
        <v/>
      </c>
      <c r="N292" s="31">
        <f>IF(ISNUMBER(M292),M292-TODAY(),"")</f>
        <v/>
      </c>
      <c r="O292" s="30" t="n"/>
      <c r="P292" s="29">
        <f>IF(ISNUMBER(M292),M292-IF(ISNUMBER(O292),O292,60),"")</f>
        <v/>
      </c>
      <c r="Q292" s="27" t="n"/>
      <c r="R292" s="27" t="n"/>
      <c r="S292" s="27" t="n"/>
      <c r="T292" s="27" t="n"/>
      <c r="U292" s="27" t="n"/>
      <c r="V292" s="27" t="n"/>
      <c r="W292" s="27" t="n"/>
      <c r="X292" s="27" t="n"/>
      <c r="Y292" s="27" t="n"/>
    </row>
    <row r="293">
      <c r="A293" s="27" t="n"/>
      <c r="B293" s="27" t="n"/>
      <c r="C293" s="27" t="n"/>
      <c r="D293" s="27" t="n"/>
      <c r="E293" s="28" t="n"/>
      <c r="F293" s="28" t="n"/>
      <c r="G293" s="27" t="n"/>
      <c r="H293" s="29">
        <f>IF(G293="Invoice",IF(ISNUMBER(F293),F293,""),IF(ISNUMBER(E293),E293,""))</f>
        <v/>
      </c>
      <c r="I293" s="30" t="n"/>
      <c r="J293" s="29">
        <f>IF(AND(ISNUMBER(H293),ISNUMBER(I293)),EDATE(H293,I293),"")</f>
        <v/>
      </c>
      <c r="K293" s="30" t="n"/>
      <c r="L293" s="29">
        <f>IF(AND(ISNUMBER(H293),ISNUMBER(K293)),EDATE(H293,K293),"")</f>
        <v/>
      </c>
      <c r="M293" s="29">
        <f>IF(COUNT(J293,L293)=0,"",IF(MIN(J293,L293)&gt;=TODAY(),MIN(J293,L293),MAX(J293,L293)))</f>
        <v/>
      </c>
      <c r="N293" s="31">
        <f>IF(ISNUMBER(M293),M293-TODAY(),"")</f>
        <v/>
      </c>
      <c r="O293" s="30" t="n"/>
      <c r="P293" s="29">
        <f>IF(ISNUMBER(M293),M293-IF(ISNUMBER(O293),O293,60),"")</f>
        <v/>
      </c>
      <c r="Q293" s="27" t="n"/>
      <c r="R293" s="27" t="n"/>
      <c r="S293" s="27" t="n"/>
      <c r="T293" s="27" t="n"/>
      <c r="U293" s="27" t="n"/>
      <c r="V293" s="27" t="n"/>
      <c r="W293" s="27" t="n"/>
      <c r="X293" s="27" t="n"/>
      <c r="Y293" s="27" t="n"/>
    </row>
    <row r="294">
      <c r="A294" s="27" t="n"/>
      <c r="B294" s="27" t="n"/>
      <c r="C294" s="27" t="n"/>
      <c r="D294" s="27" t="n"/>
      <c r="E294" s="28" t="n"/>
      <c r="F294" s="28" t="n"/>
      <c r="G294" s="27" t="n"/>
      <c r="H294" s="29">
        <f>IF(G294="Invoice",IF(ISNUMBER(F294),F294,""),IF(ISNUMBER(E294),E294,""))</f>
        <v/>
      </c>
      <c r="I294" s="30" t="n"/>
      <c r="J294" s="29">
        <f>IF(AND(ISNUMBER(H294),ISNUMBER(I294)),EDATE(H294,I294),"")</f>
        <v/>
      </c>
      <c r="K294" s="30" t="n"/>
      <c r="L294" s="29">
        <f>IF(AND(ISNUMBER(H294),ISNUMBER(K294)),EDATE(H294,K294),"")</f>
        <v/>
      </c>
      <c r="M294" s="29">
        <f>IF(COUNT(J294,L294)=0,"",IF(MIN(J294,L294)&gt;=TODAY(),MIN(J294,L294),MAX(J294,L294)))</f>
        <v/>
      </c>
      <c r="N294" s="31">
        <f>IF(ISNUMBER(M294),M294-TODAY(),"")</f>
        <v/>
      </c>
      <c r="O294" s="30" t="n"/>
      <c r="P294" s="29">
        <f>IF(ISNUMBER(M294),M294-IF(ISNUMBER(O294),O294,60),"")</f>
        <v/>
      </c>
      <c r="Q294" s="27" t="n"/>
      <c r="R294" s="27" t="n"/>
      <c r="S294" s="27" t="n"/>
      <c r="T294" s="27" t="n"/>
      <c r="U294" s="27" t="n"/>
      <c r="V294" s="27" t="n"/>
      <c r="W294" s="27" t="n"/>
      <c r="X294" s="27" t="n"/>
      <c r="Y294" s="27" t="n"/>
    </row>
    <row r="295">
      <c r="A295" s="27" t="n"/>
      <c r="B295" s="27" t="n"/>
      <c r="C295" s="27" t="n"/>
      <c r="D295" s="27" t="n"/>
      <c r="E295" s="28" t="n"/>
      <c r="F295" s="28" t="n"/>
      <c r="G295" s="27" t="n"/>
      <c r="H295" s="29">
        <f>IF(G295="Invoice",IF(ISNUMBER(F295),F295,""),IF(ISNUMBER(E295),E295,""))</f>
        <v/>
      </c>
      <c r="I295" s="30" t="n"/>
      <c r="J295" s="29">
        <f>IF(AND(ISNUMBER(H295),ISNUMBER(I295)),EDATE(H295,I295),"")</f>
        <v/>
      </c>
      <c r="K295" s="30" t="n"/>
      <c r="L295" s="29">
        <f>IF(AND(ISNUMBER(H295),ISNUMBER(K295)),EDATE(H295,K295),"")</f>
        <v/>
      </c>
      <c r="M295" s="29">
        <f>IF(COUNT(J295,L295)=0,"",IF(MIN(J295,L295)&gt;=TODAY(),MIN(J295,L295),MAX(J295,L295)))</f>
        <v/>
      </c>
      <c r="N295" s="31">
        <f>IF(ISNUMBER(M295),M295-TODAY(),"")</f>
        <v/>
      </c>
      <c r="O295" s="30" t="n"/>
      <c r="P295" s="29">
        <f>IF(ISNUMBER(M295),M295-IF(ISNUMBER(O295),O295,60),"")</f>
        <v/>
      </c>
      <c r="Q295" s="27" t="n"/>
      <c r="R295" s="27" t="n"/>
      <c r="S295" s="27" t="n"/>
      <c r="T295" s="27" t="n"/>
      <c r="U295" s="27" t="n"/>
      <c r="V295" s="27" t="n"/>
      <c r="W295" s="27" t="n"/>
      <c r="X295" s="27" t="n"/>
      <c r="Y295" s="27" t="n"/>
    </row>
    <row r="296">
      <c r="A296" s="27" t="n"/>
      <c r="B296" s="27" t="n"/>
      <c r="C296" s="27" t="n"/>
      <c r="D296" s="27" t="n"/>
      <c r="E296" s="28" t="n"/>
      <c r="F296" s="28" t="n"/>
      <c r="G296" s="27" t="n"/>
      <c r="H296" s="29">
        <f>IF(G296="Invoice",IF(ISNUMBER(F296),F296,""),IF(ISNUMBER(E296),E296,""))</f>
        <v/>
      </c>
      <c r="I296" s="30" t="n"/>
      <c r="J296" s="29">
        <f>IF(AND(ISNUMBER(H296),ISNUMBER(I296)),EDATE(H296,I296),"")</f>
        <v/>
      </c>
      <c r="K296" s="30" t="n"/>
      <c r="L296" s="29">
        <f>IF(AND(ISNUMBER(H296),ISNUMBER(K296)),EDATE(H296,K296),"")</f>
        <v/>
      </c>
      <c r="M296" s="29">
        <f>IF(COUNT(J296,L296)=0,"",IF(MIN(J296,L296)&gt;=TODAY(),MIN(J296,L296),MAX(J296,L296)))</f>
        <v/>
      </c>
      <c r="N296" s="31">
        <f>IF(ISNUMBER(M296),M296-TODAY(),"")</f>
        <v/>
      </c>
      <c r="O296" s="30" t="n"/>
      <c r="P296" s="29">
        <f>IF(ISNUMBER(M296),M296-IF(ISNUMBER(O296),O296,60),"")</f>
        <v/>
      </c>
      <c r="Q296" s="27" t="n"/>
      <c r="R296" s="27" t="n"/>
      <c r="S296" s="27" t="n"/>
      <c r="T296" s="27" t="n"/>
      <c r="U296" s="27" t="n"/>
      <c r="V296" s="27" t="n"/>
      <c r="W296" s="27" t="n"/>
      <c r="X296" s="27" t="n"/>
      <c r="Y296" s="27" t="n"/>
    </row>
    <row r="297">
      <c r="A297" s="27" t="n"/>
      <c r="B297" s="27" t="n"/>
      <c r="C297" s="27" t="n"/>
      <c r="D297" s="27" t="n"/>
      <c r="E297" s="28" t="n"/>
      <c r="F297" s="28" t="n"/>
      <c r="G297" s="27" t="n"/>
      <c r="H297" s="29">
        <f>IF(G297="Invoice",IF(ISNUMBER(F297),F297,""),IF(ISNUMBER(E297),E297,""))</f>
        <v/>
      </c>
      <c r="I297" s="30" t="n"/>
      <c r="J297" s="29">
        <f>IF(AND(ISNUMBER(H297),ISNUMBER(I297)),EDATE(H297,I297),"")</f>
        <v/>
      </c>
      <c r="K297" s="30" t="n"/>
      <c r="L297" s="29">
        <f>IF(AND(ISNUMBER(H297),ISNUMBER(K297)),EDATE(H297,K297),"")</f>
        <v/>
      </c>
      <c r="M297" s="29">
        <f>IF(COUNT(J297,L297)=0,"",IF(MIN(J297,L297)&gt;=TODAY(),MIN(J297,L297),MAX(J297,L297)))</f>
        <v/>
      </c>
      <c r="N297" s="31">
        <f>IF(ISNUMBER(M297),M297-TODAY(),"")</f>
        <v/>
      </c>
      <c r="O297" s="30" t="n"/>
      <c r="P297" s="29">
        <f>IF(ISNUMBER(M297),M297-IF(ISNUMBER(O297),O297,60),"")</f>
        <v/>
      </c>
      <c r="Q297" s="27" t="n"/>
      <c r="R297" s="27" t="n"/>
      <c r="S297" s="27" t="n"/>
      <c r="T297" s="27" t="n"/>
      <c r="U297" s="27" t="n"/>
      <c r="V297" s="27" t="n"/>
      <c r="W297" s="27" t="n"/>
      <c r="X297" s="27" t="n"/>
      <c r="Y297" s="27" t="n"/>
    </row>
    <row r="298">
      <c r="A298" s="27" t="n"/>
      <c r="B298" s="27" t="n"/>
      <c r="C298" s="27" t="n"/>
      <c r="D298" s="27" t="n"/>
      <c r="E298" s="28" t="n"/>
      <c r="F298" s="28" t="n"/>
      <c r="G298" s="27" t="n"/>
      <c r="H298" s="29">
        <f>IF(G298="Invoice",IF(ISNUMBER(F298),F298,""),IF(ISNUMBER(E298),E298,""))</f>
        <v/>
      </c>
      <c r="I298" s="30" t="n"/>
      <c r="J298" s="29">
        <f>IF(AND(ISNUMBER(H298),ISNUMBER(I298)),EDATE(H298,I298),"")</f>
        <v/>
      </c>
      <c r="K298" s="30" t="n"/>
      <c r="L298" s="29">
        <f>IF(AND(ISNUMBER(H298),ISNUMBER(K298)),EDATE(H298,K298),"")</f>
        <v/>
      </c>
      <c r="M298" s="29">
        <f>IF(COUNT(J298,L298)=0,"",IF(MIN(J298,L298)&gt;=TODAY(),MIN(J298,L298),MAX(J298,L298)))</f>
        <v/>
      </c>
      <c r="N298" s="31">
        <f>IF(ISNUMBER(M298),M298-TODAY(),"")</f>
        <v/>
      </c>
      <c r="O298" s="30" t="n"/>
      <c r="P298" s="29">
        <f>IF(ISNUMBER(M298),M298-IF(ISNUMBER(O298),O298,60),"")</f>
        <v/>
      </c>
      <c r="Q298" s="27" t="n"/>
      <c r="R298" s="27" t="n"/>
      <c r="S298" s="27" t="n"/>
      <c r="T298" s="27" t="n"/>
      <c r="U298" s="27" t="n"/>
      <c r="V298" s="27" t="n"/>
      <c r="W298" s="27" t="n"/>
      <c r="X298" s="27" t="n"/>
      <c r="Y298" s="27" t="n"/>
    </row>
    <row r="299">
      <c r="A299" s="27" t="n"/>
      <c r="B299" s="27" t="n"/>
      <c r="C299" s="27" t="n"/>
      <c r="D299" s="27" t="n"/>
      <c r="E299" s="28" t="n"/>
      <c r="F299" s="28" t="n"/>
      <c r="G299" s="27" t="n"/>
      <c r="H299" s="29">
        <f>IF(G299="Invoice",IF(ISNUMBER(F299),F299,""),IF(ISNUMBER(E299),E299,""))</f>
        <v/>
      </c>
      <c r="I299" s="30" t="n"/>
      <c r="J299" s="29">
        <f>IF(AND(ISNUMBER(H299),ISNUMBER(I299)),EDATE(H299,I299),"")</f>
        <v/>
      </c>
      <c r="K299" s="30" t="n"/>
      <c r="L299" s="29">
        <f>IF(AND(ISNUMBER(H299),ISNUMBER(K299)),EDATE(H299,K299),"")</f>
        <v/>
      </c>
      <c r="M299" s="29">
        <f>IF(COUNT(J299,L299)=0,"",IF(MIN(J299,L299)&gt;=TODAY(),MIN(J299,L299),MAX(J299,L299)))</f>
        <v/>
      </c>
      <c r="N299" s="31">
        <f>IF(ISNUMBER(M299),M299-TODAY(),"")</f>
        <v/>
      </c>
      <c r="O299" s="30" t="n"/>
      <c r="P299" s="29">
        <f>IF(ISNUMBER(M299),M299-IF(ISNUMBER(O299),O299,60),"")</f>
        <v/>
      </c>
      <c r="Q299" s="27" t="n"/>
      <c r="R299" s="27" t="n"/>
      <c r="S299" s="27" t="n"/>
      <c r="T299" s="27" t="n"/>
      <c r="U299" s="27" t="n"/>
      <c r="V299" s="27" t="n"/>
      <c r="W299" s="27" t="n"/>
      <c r="X299" s="27" t="n"/>
      <c r="Y299" s="27" t="n"/>
    </row>
    <row r="300">
      <c r="A300" s="27" t="n"/>
      <c r="B300" s="27" t="n"/>
      <c r="C300" s="27" t="n"/>
      <c r="D300" s="27" t="n"/>
      <c r="E300" s="28" t="n"/>
      <c r="F300" s="28" t="n"/>
      <c r="G300" s="27" t="n"/>
      <c r="H300" s="29">
        <f>IF(G300="Invoice",IF(ISNUMBER(F300),F300,""),IF(ISNUMBER(E300),E300,""))</f>
        <v/>
      </c>
      <c r="I300" s="30" t="n"/>
      <c r="J300" s="29">
        <f>IF(AND(ISNUMBER(H300),ISNUMBER(I300)),EDATE(H300,I300),"")</f>
        <v/>
      </c>
      <c r="K300" s="30" t="n"/>
      <c r="L300" s="29">
        <f>IF(AND(ISNUMBER(H300),ISNUMBER(K300)),EDATE(H300,K300),"")</f>
        <v/>
      </c>
      <c r="M300" s="29">
        <f>IF(COUNT(J300,L300)=0,"",IF(MIN(J300,L300)&gt;=TODAY(),MIN(J300,L300),MAX(J300,L300)))</f>
        <v/>
      </c>
      <c r="N300" s="31">
        <f>IF(ISNUMBER(M300),M300-TODAY(),"")</f>
        <v/>
      </c>
      <c r="O300" s="30" t="n"/>
      <c r="P300" s="29">
        <f>IF(ISNUMBER(M300),M300-IF(ISNUMBER(O300),O300,60),"")</f>
        <v/>
      </c>
      <c r="Q300" s="27" t="n"/>
      <c r="R300" s="27" t="n"/>
      <c r="S300" s="27" t="n"/>
      <c r="T300" s="27" t="n"/>
      <c r="U300" s="27" t="n"/>
      <c r="V300" s="27" t="n"/>
      <c r="W300" s="27" t="n"/>
      <c r="X300" s="27" t="n"/>
      <c r="Y300" s="27" t="n"/>
    </row>
    <row r="301">
      <c r="A301" s="27" t="n"/>
      <c r="B301" s="27" t="n"/>
      <c r="C301" s="27" t="n"/>
      <c r="D301" s="27" t="n"/>
      <c r="E301" s="28" t="n"/>
      <c r="F301" s="28" t="n"/>
      <c r="G301" s="27" t="n"/>
      <c r="H301" s="29">
        <f>IF(G301="Invoice",IF(ISNUMBER(F301),F301,""),IF(ISNUMBER(E301),E301,""))</f>
        <v/>
      </c>
      <c r="I301" s="30" t="n"/>
      <c r="J301" s="29">
        <f>IF(AND(ISNUMBER(H301),ISNUMBER(I301)),EDATE(H301,I301),"")</f>
        <v/>
      </c>
      <c r="K301" s="30" t="n"/>
      <c r="L301" s="29">
        <f>IF(AND(ISNUMBER(H301),ISNUMBER(K301)),EDATE(H301,K301),"")</f>
        <v/>
      </c>
      <c r="M301" s="29">
        <f>IF(COUNT(J301,L301)=0,"",IF(MIN(J301,L301)&gt;=TODAY(),MIN(J301,L301),MAX(J301,L301)))</f>
        <v/>
      </c>
      <c r="N301" s="31">
        <f>IF(ISNUMBER(M301),M301-TODAY(),"")</f>
        <v/>
      </c>
      <c r="O301" s="30" t="n"/>
      <c r="P301" s="29">
        <f>IF(ISNUMBER(M301),M301-IF(ISNUMBER(O301),O301,60),"")</f>
        <v/>
      </c>
      <c r="Q301" s="27" t="n"/>
      <c r="R301" s="27" t="n"/>
      <c r="S301" s="27" t="n"/>
      <c r="T301" s="27" t="n"/>
      <c r="U301" s="27" t="n"/>
      <c r="V301" s="27" t="n"/>
      <c r="W301" s="27" t="n"/>
      <c r="X301" s="27" t="n"/>
      <c r="Y301" s="27" t="n"/>
    </row>
    <row r="302">
      <c r="A302" s="27" t="n"/>
      <c r="B302" s="27" t="n"/>
      <c r="C302" s="27" t="n"/>
      <c r="D302" s="27" t="n"/>
      <c r="E302" s="28" t="n"/>
      <c r="F302" s="28" t="n"/>
      <c r="G302" s="27" t="n"/>
      <c r="H302" s="29">
        <f>IF(G302="Invoice",IF(ISNUMBER(F302),F302,""),IF(ISNUMBER(E302),E302,""))</f>
        <v/>
      </c>
      <c r="I302" s="30" t="n"/>
      <c r="J302" s="29">
        <f>IF(AND(ISNUMBER(H302),ISNUMBER(I302)),EDATE(H302,I302),"")</f>
        <v/>
      </c>
      <c r="K302" s="30" t="n"/>
      <c r="L302" s="29">
        <f>IF(AND(ISNUMBER(H302),ISNUMBER(K302)),EDATE(H302,K302),"")</f>
        <v/>
      </c>
      <c r="M302" s="29">
        <f>IF(COUNT(J302,L302)=0,"",IF(MIN(J302,L302)&gt;=TODAY(),MIN(J302,L302),MAX(J302,L302)))</f>
        <v/>
      </c>
      <c r="N302" s="31">
        <f>IF(ISNUMBER(M302),M302-TODAY(),"")</f>
        <v/>
      </c>
      <c r="O302" s="30" t="n"/>
      <c r="P302" s="29">
        <f>IF(ISNUMBER(M302),M302-IF(ISNUMBER(O302),O302,60),"")</f>
        <v/>
      </c>
      <c r="Q302" s="27" t="n"/>
      <c r="R302" s="27" t="n"/>
      <c r="S302" s="27" t="n"/>
      <c r="T302" s="27" t="n"/>
      <c r="U302" s="27" t="n"/>
      <c r="V302" s="27" t="n"/>
      <c r="W302" s="27" t="n"/>
      <c r="X302" s="27" t="n"/>
      <c r="Y302" s="27" t="n"/>
    </row>
    <row r="303">
      <c r="A303" s="27" t="n"/>
      <c r="B303" s="27" t="n"/>
      <c r="C303" s="27" t="n"/>
      <c r="D303" s="27" t="n"/>
      <c r="E303" s="28" t="n"/>
      <c r="F303" s="28" t="n"/>
      <c r="G303" s="27" t="n"/>
      <c r="H303" s="29">
        <f>IF(G303="Invoice",IF(ISNUMBER(F303),F303,""),IF(ISNUMBER(E303),E303,""))</f>
        <v/>
      </c>
      <c r="I303" s="30" t="n"/>
      <c r="J303" s="29">
        <f>IF(AND(ISNUMBER(H303),ISNUMBER(I303)),EDATE(H303,I303),"")</f>
        <v/>
      </c>
      <c r="K303" s="30" t="n"/>
      <c r="L303" s="29">
        <f>IF(AND(ISNUMBER(H303),ISNUMBER(K303)),EDATE(H303,K303),"")</f>
        <v/>
      </c>
      <c r="M303" s="29">
        <f>IF(COUNT(J303,L303)=0,"",IF(MIN(J303,L303)&gt;=TODAY(),MIN(J303,L303),MAX(J303,L303)))</f>
        <v/>
      </c>
      <c r="N303" s="31">
        <f>IF(ISNUMBER(M303),M303-TODAY(),"")</f>
        <v/>
      </c>
      <c r="O303" s="30" t="n"/>
      <c r="P303" s="29">
        <f>IF(ISNUMBER(M303),M303-IF(ISNUMBER(O303),O303,60),"")</f>
        <v/>
      </c>
      <c r="Q303" s="27" t="n"/>
      <c r="R303" s="27" t="n"/>
      <c r="S303" s="27" t="n"/>
      <c r="T303" s="27" t="n"/>
      <c r="U303" s="27" t="n"/>
      <c r="V303" s="27" t="n"/>
      <c r="W303" s="27" t="n"/>
      <c r="X303" s="27" t="n"/>
      <c r="Y303" s="27" t="n"/>
    </row>
    <row r="304">
      <c r="A304" s="27" t="n"/>
      <c r="B304" s="27" t="n"/>
      <c r="C304" s="27" t="n"/>
      <c r="D304" s="27" t="n"/>
      <c r="E304" s="28" t="n"/>
      <c r="F304" s="28" t="n"/>
      <c r="G304" s="27" t="n"/>
      <c r="H304" s="29">
        <f>IF(G304="Invoice",IF(ISNUMBER(F304),F304,""),IF(ISNUMBER(E304),E304,""))</f>
        <v/>
      </c>
      <c r="I304" s="30" t="n"/>
      <c r="J304" s="29">
        <f>IF(AND(ISNUMBER(H304),ISNUMBER(I304)),EDATE(H304,I304),"")</f>
        <v/>
      </c>
      <c r="K304" s="30" t="n"/>
      <c r="L304" s="29">
        <f>IF(AND(ISNUMBER(H304),ISNUMBER(K304)),EDATE(H304,K304),"")</f>
        <v/>
      </c>
      <c r="M304" s="29">
        <f>IF(COUNT(J304,L304)=0,"",IF(MIN(J304,L304)&gt;=TODAY(),MIN(J304,L304),MAX(J304,L304)))</f>
        <v/>
      </c>
      <c r="N304" s="31">
        <f>IF(ISNUMBER(M304),M304-TODAY(),"")</f>
        <v/>
      </c>
      <c r="O304" s="30" t="n"/>
      <c r="P304" s="29">
        <f>IF(ISNUMBER(M304),M304-IF(ISNUMBER(O304),O304,60),"")</f>
        <v/>
      </c>
      <c r="Q304" s="27" t="n"/>
      <c r="R304" s="27" t="n"/>
      <c r="S304" s="27" t="n"/>
      <c r="T304" s="27" t="n"/>
      <c r="U304" s="27" t="n"/>
      <c r="V304" s="27" t="n"/>
      <c r="W304" s="27" t="n"/>
      <c r="X304" s="27" t="n"/>
      <c r="Y304" s="27" t="n"/>
    </row>
    <row r="305">
      <c r="A305" s="27" t="n"/>
      <c r="B305" s="27" t="n"/>
      <c r="C305" s="27" t="n"/>
      <c r="D305" s="27" t="n"/>
      <c r="E305" s="28" t="n"/>
      <c r="F305" s="28" t="n"/>
      <c r="G305" s="27" t="n"/>
      <c r="H305" s="29">
        <f>IF(G305="Invoice",IF(ISNUMBER(F305),F305,""),IF(ISNUMBER(E305),E305,""))</f>
        <v/>
      </c>
      <c r="I305" s="30" t="n"/>
      <c r="J305" s="29">
        <f>IF(AND(ISNUMBER(H305),ISNUMBER(I305)),EDATE(H305,I305),"")</f>
        <v/>
      </c>
      <c r="K305" s="30" t="n"/>
      <c r="L305" s="29">
        <f>IF(AND(ISNUMBER(H305),ISNUMBER(K305)),EDATE(H305,K305),"")</f>
        <v/>
      </c>
      <c r="M305" s="29">
        <f>IF(COUNT(J305,L305)=0,"",IF(MIN(J305,L305)&gt;=TODAY(),MIN(J305,L305),MAX(J305,L305)))</f>
        <v/>
      </c>
      <c r="N305" s="31">
        <f>IF(ISNUMBER(M305),M305-TODAY(),"")</f>
        <v/>
      </c>
      <c r="O305" s="30" t="n"/>
      <c r="P305" s="29">
        <f>IF(ISNUMBER(M305),M305-IF(ISNUMBER(O305),O305,60),"")</f>
        <v/>
      </c>
      <c r="Q305" s="27" t="n"/>
      <c r="R305" s="27" t="n"/>
      <c r="S305" s="27" t="n"/>
      <c r="T305" s="27" t="n"/>
      <c r="U305" s="27" t="n"/>
      <c r="V305" s="27" t="n"/>
      <c r="W305" s="27" t="n"/>
      <c r="X305" s="27" t="n"/>
      <c r="Y305" s="27" t="n"/>
    </row>
    <row r="306">
      <c r="A306" s="27" t="n"/>
      <c r="B306" s="27" t="n"/>
      <c r="C306" s="27" t="n"/>
      <c r="D306" s="27" t="n"/>
      <c r="E306" s="28" t="n"/>
      <c r="F306" s="28" t="n"/>
      <c r="G306" s="27" t="n"/>
      <c r="H306" s="29">
        <f>IF(G306="Invoice",IF(ISNUMBER(F306),F306,""),IF(ISNUMBER(E306),E306,""))</f>
        <v/>
      </c>
      <c r="I306" s="30" t="n"/>
      <c r="J306" s="29">
        <f>IF(AND(ISNUMBER(H306),ISNUMBER(I306)),EDATE(H306,I306),"")</f>
        <v/>
      </c>
      <c r="K306" s="30" t="n"/>
      <c r="L306" s="29">
        <f>IF(AND(ISNUMBER(H306),ISNUMBER(K306)),EDATE(H306,K306),"")</f>
        <v/>
      </c>
      <c r="M306" s="29">
        <f>IF(COUNT(J306,L306)=0,"",IF(MIN(J306,L306)&gt;=TODAY(),MIN(J306,L306),MAX(J306,L306)))</f>
        <v/>
      </c>
      <c r="N306" s="31">
        <f>IF(ISNUMBER(M306),M306-TODAY(),"")</f>
        <v/>
      </c>
      <c r="O306" s="30" t="n"/>
      <c r="P306" s="29">
        <f>IF(ISNUMBER(M306),M306-IF(ISNUMBER(O306),O306,60),"")</f>
        <v/>
      </c>
      <c r="Q306" s="27" t="n"/>
      <c r="R306" s="27" t="n"/>
      <c r="S306" s="27" t="n"/>
      <c r="T306" s="27" t="n"/>
      <c r="U306" s="27" t="n"/>
      <c r="V306" s="27" t="n"/>
      <c r="W306" s="27" t="n"/>
      <c r="X306" s="27" t="n"/>
      <c r="Y306" s="27" t="n"/>
    </row>
    <row r="307">
      <c r="A307" s="27" t="n"/>
      <c r="B307" s="27" t="n"/>
      <c r="C307" s="27" t="n"/>
      <c r="D307" s="27" t="n"/>
      <c r="E307" s="28" t="n"/>
      <c r="F307" s="28" t="n"/>
      <c r="G307" s="27" t="n"/>
      <c r="H307" s="29">
        <f>IF(G307="Invoice",IF(ISNUMBER(F307),F307,""),IF(ISNUMBER(E307),E307,""))</f>
        <v/>
      </c>
      <c r="I307" s="30" t="n"/>
      <c r="J307" s="29">
        <f>IF(AND(ISNUMBER(H307),ISNUMBER(I307)),EDATE(H307,I307),"")</f>
        <v/>
      </c>
      <c r="K307" s="30" t="n"/>
      <c r="L307" s="29">
        <f>IF(AND(ISNUMBER(H307),ISNUMBER(K307)),EDATE(H307,K307),"")</f>
        <v/>
      </c>
      <c r="M307" s="29">
        <f>IF(COUNT(J307,L307)=0,"",IF(MIN(J307,L307)&gt;=TODAY(),MIN(J307,L307),MAX(J307,L307)))</f>
        <v/>
      </c>
      <c r="N307" s="31">
        <f>IF(ISNUMBER(M307),M307-TODAY(),"")</f>
        <v/>
      </c>
      <c r="O307" s="30" t="n"/>
      <c r="P307" s="29">
        <f>IF(ISNUMBER(M307),M307-IF(ISNUMBER(O307),O307,60),"")</f>
        <v/>
      </c>
      <c r="Q307" s="27" t="n"/>
      <c r="R307" s="27" t="n"/>
      <c r="S307" s="27" t="n"/>
      <c r="T307" s="27" t="n"/>
      <c r="U307" s="27" t="n"/>
      <c r="V307" s="27" t="n"/>
      <c r="W307" s="27" t="n"/>
      <c r="X307" s="27" t="n"/>
      <c r="Y307" s="27" t="n"/>
    </row>
    <row r="308">
      <c r="A308" s="27" t="n"/>
      <c r="B308" s="27" t="n"/>
      <c r="C308" s="27" t="n"/>
      <c r="D308" s="27" t="n"/>
      <c r="E308" s="28" t="n"/>
      <c r="F308" s="28" t="n"/>
      <c r="G308" s="27" t="n"/>
      <c r="H308" s="29">
        <f>IF(G308="Invoice",IF(ISNUMBER(F308),F308,""),IF(ISNUMBER(E308),E308,""))</f>
        <v/>
      </c>
      <c r="I308" s="30" t="n"/>
      <c r="J308" s="29">
        <f>IF(AND(ISNUMBER(H308),ISNUMBER(I308)),EDATE(H308,I308),"")</f>
        <v/>
      </c>
      <c r="K308" s="30" t="n"/>
      <c r="L308" s="29">
        <f>IF(AND(ISNUMBER(H308),ISNUMBER(K308)),EDATE(H308,K308),"")</f>
        <v/>
      </c>
      <c r="M308" s="29">
        <f>IF(COUNT(J308,L308)=0,"",IF(MIN(J308,L308)&gt;=TODAY(),MIN(J308,L308),MAX(J308,L308)))</f>
        <v/>
      </c>
      <c r="N308" s="31">
        <f>IF(ISNUMBER(M308),M308-TODAY(),"")</f>
        <v/>
      </c>
      <c r="O308" s="30" t="n"/>
      <c r="P308" s="29">
        <f>IF(ISNUMBER(M308),M308-IF(ISNUMBER(O308),O308,60),"")</f>
        <v/>
      </c>
      <c r="Q308" s="27" t="n"/>
      <c r="R308" s="27" t="n"/>
      <c r="S308" s="27" t="n"/>
      <c r="T308" s="27" t="n"/>
      <c r="U308" s="27" t="n"/>
      <c r="V308" s="27" t="n"/>
      <c r="W308" s="27" t="n"/>
      <c r="X308" s="27" t="n"/>
      <c r="Y308" s="27" t="n"/>
    </row>
    <row r="309">
      <c r="A309" s="27" t="n"/>
      <c r="B309" s="27" t="n"/>
      <c r="C309" s="27" t="n"/>
      <c r="D309" s="27" t="n"/>
      <c r="E309" s="28" t="n"/>
      <c r="F309" s="28" t="n"/>
      <c r="G309" s="27" t="n"/>
      <c r="H309" s="29">
        <f>IF(G309="Invoice",IF(ISNUMBER(F309),F309,""),IF(ISNUMBER(E309),E309,""))</f>
        <v/>
      </c>
      <c r="I309" s="30" t="n"/>
      <c r="J309" s="29">
        <f>IF(AND(ISNUMBER(H309),ISNUMBER(I309)),EDATE(H309,I309),"")</f>
        <v/>
      </c>
      <c r="K309" s="30" t="n"/>
      <c r="L309" s="29">
        <f>IF(AND(ISNUMBER(H309),ISNUMBER(K309)),EDATE(H309,K309),"")</f>
        <v/>
      </c>
      <c r="M309" s="29">
        <f>IF(COUNT(J309,L309)=0,"",IF(MIN(J309,L309)&gt;=TODAY(),MIN(J309,L309),MAX(J309,L309)))</f>
        <v/>
      </c>
      <c r="N309" s="31">
        <f>IF(ISNUMBER(M309),M309-TODAY(),"")</f>
        <v/>
      </c>
      <c r="O309" s="30" t="n"/>
      <c r="P309" s="29">
        <f>IF(ISNUMBER(M309),M309-IF(ISNUMBER(O309),O309,60),"")</f>
        <v/>
      </c>
      <c r="Q309" s="27" t="n"/>
      <c r="R309" s="27" t="n"/>
      <c r="S309" s="27" t="n"/>
      <c r="T309" s="27" t="n"/>
      <c r="U309" s="27" t="n"/>
      <c r="V309" s="27" t="n"/>
      <c r="W309" s="27" t="n"/>
      <c r="X309" s="27" t="n"/>
      <c r="Y309" s="27" t="n"/>
    </row>
    <row r="310">
      <c r="A310" s="27" t="n"/>
      <c r="B310" s="27" t="n"/>
      <c r="C310" s="27" t="n"/>
      <c r="D310" s="27" t="n"/>
      <c r="E310" s="28" t="n"/>
      <c r="F310" s="28" t="n"/>
      <c r="G310" s="27" t="n"/>
      <c r="H310" s="29">
        <f>IF(G310="Invoice",IF(ISNUMBER(F310),F310,""),IF(ISNUMBER(E310),E310,""))</f>
        <v/>
      </c>
      <c r="I310" s="30" t="n"/>
      <c r="J310" s="29">
        <f>IF(AND(ISNUMBER(H310),ISNUMBER(I310)),EDATE(H310,I310),"")</f>
        <v/>
      </c>
      <c r="K310" s="30" t="n"/>
      <c r="L310" s="29">
        <f>IF(AND(ISNUMBER(H310),ISNUMBER(K310)),EDATE(H310,K310),"")</f>
        <v/>
      </c>
      <c r="M310" s="29">
        <f>IF(COUNT(J310,L310)=0,"",IF(MIN(J310,L310)&gt;=TODAY(),MIN(J310,L310),MAX(J310,L310)))</f>
        <v/>
      </c>
      <c r="N310" s="31">
        <f>IF(ISNUMBER(M310),M310-TODAY(),"")</f>
        <v/>
      </c>
      <c r="O310" s="30" t="n"/>
      <c r="P310" s="29">
        <f>IF(ISNUMBER(M310),M310-IF(ISNUMBER(O310),O310,60),"")</f>
        <v/>
      </c>
      <c r="Q310" s="27" t="n"/>
      <c r="R310" s="27" t="n"/>
      <c r="S310" s="27" t="n"/>
      <c r="T310" s="27" t="n"/>
      <c r="U310" s="27" t="n"/>
      <c r="V310" s="27" t="n"/>
      <c r="W310" s="27" t="n"/>
      <c r="X310" s="27" t="n"/>
      <c r="Y310" s="27" t="n"/>
    </row>
    <row r="311">
      <c r="A311" s="27" t="n"/>
      <c r="B311" s="27" t="n"/>
      <c r="C311" s="27" t="n"/>
      <c r="D311" s="27" t="n"/>
      <c r="E311" s="28" t="n"/>
      <c r="F311" s="28" t="n"/>
      <c r="G311" s="27" t="n"/>
      <c r="H311" s="29">
        <f>IF(G311="Invoice",IF(ISNUMBER(F311),F311,""),IF(ISNUMBER(E311),E311,""))</f>
        <v/>
      </c>
      <c r="I311" s="30" t="n"/>
      <c r="J311" s="29">
        <f>IF(AND(ISNUMBER(H311),ISNUMBER(I311)),EDATE(H311,I311),"")</f>
        <v/>
      </c>
      <c r="K311" s="30" t="n"/>
      <c r="L311" s="29">
        <f>IF(AND(ISNUMBER(H311),ISNUMBER(K311)),EDATE(H311,K311),"")</f>
        <v/>
      </c>
      <c r="M311" s="29">
        <f>IF(COUNT(J311,L311)=0,"",IF(MIN(J311,L311)&gt;=TODAY(),MIN(J311,L311),MAX(J311,L311)))</f>
        <v/>
      </c>
      <c r="N311" s="31">
        <f>IF(ISNUMBER(M311),M311-TODAY(),"")</f>
        <v/>
      </c>
      <c r="O311" s="30" t="n"/>
      <c r="P311" s="29">
        <f>IF(ISNUMBER(M311),M311-IF(ISNUMBER(O311),O311,60),"")</f>
        <v/>
      </c>
      <c r="Q311" s="27" t="n"/>
      <c r="R311" s="27" t="n"/>
      <c r="S311" s="27" t="n"/>
      <c r="T311" s="27" t="n"/>
      <c r="U311" s="27" t="n"/>
      <c r="V311" s="27" t="n"/>
      <c r="W311" s="27" t="n"/>
      <c r="X311" s="27" t="n"/>
      <c r="Y311" s="27" t="n"/>
    </row>
    <row r="312">
      <c r="A312" s="27" t="n"/>
      <c r="B312" s="27" t="n"/>
      <c r="C312" s="27" t="n"/>
      <c r="D312" s="27" t="n"/>
      <c r="E312" s="28" t="n"/>
      <c r="F312" s="28" t="n"/>
      <c r="G312" s="27" t="n"/>
      <c r="H312" s="29">
        <f>IF(G312="Invoice",IF(ISNUMBER(F312),F312,""),IF(ISNUMBER(E312),E312,""))</f>
        <v/>
      </c>
      <c r="I312" s="30" t="n"/>
      <c r="J312" s="29">
        <f>IF(AND(ISNUMBER(H312),ISNUMBER(I312)),EDATE(H312,I312),"")</f>
        <v/>
      </c>
      <c r="K312" s="30" t="n"/>
      <c r="L312" s="29">
        <f>IF(AND(ISNUMBER(H312),ISNUMBER(K312)),EDATE(H312,K312),"")</f>
        <v/>
      </c>
      <c r="M312" s="29">
        <f>IF(COUNT(J312,L312)=0,"",IF(MIN(J312,L312)&gt;=TODAY(),MIN(J312,L312),MAX(J312,L312)))</f>
        <v/>
      </c>
      <c r="N312" s="31">
        <f>IF(ISNUMBER(M312),M312-TODAY(),"")</f>
        <v/>
      </c>
      <c r="O312" s="30" t="n"/>
      <c r="P312" s="29">
        <f>IF(ISNUMBER(M312),M312-IF(ISNUMBER(O312),O312,60),"")</f>
        <v/>
      </c>
      <c r="Q312" s="27" t="n"/>
      <c r="R312" s="27" t="n"/>
      <c r="S312" s="27" t="n"/>
      <c r="T312" s="27" t="n"/>
      <c r="U312" s="27" t="n"/>
      <c r="V312" s="27" t="n"/>
      <c r="W312" s="27" t="n"/>
      <c r="X312" s="27" t="n"/>
      <c r="Y312" s="27" t="n"/>
    </row>
    <row r="313">
      <c r="A313" s="27" t="n"/>
      <c r="B313" s="27" t="n"/>
      <c r="C313" s="27" t="n"/>
      <c r="D313" s="27" t="n"/>
      <c r="E313" s="28" t="n"/>
      <c r="F313" s="28" t="n"/>
      <c r="G313" s="27" t="n"/>
      <c r="H313" s="29">
        <f>IF(G313="Invoice",IF(ISNUMBER(F313),F313,""),IF(ISNUMBER(E313),E313,""))</f>
        <v/>
      </c>
      <c r="I313" s="30" t="n"/>
      <c r="J313" s="29">
        <f>IF(AND(ISNUMBER(H313),ISNUMBER(I313)),EDATE(H313,I313),"")</f>
        <v/>
      </c>
      <c r="K313" s="30" t="n"/>
      <c r="L313" s="29">
        <f>IF(AND(ISNUMBER(H313),ISNUMBER(K313)),EDATE(H313,K313),"")</f>
        <v/>
      </c>
      <c r="M313" s="29">
        <f>IF(COUNT(J313,L313)=0,"",IF(MIN(J313,L313)&gt;=TODAY(),MIN(J313,L313),MAX(J313,L313)))</f>
        <v/>
      </c>
      <c r="N313" s="31">
        <f>IF(ISNUMBER(M313),M313-TODAY(),"")</f>
        <v/>
      </c>
      <c r="O313" s="30" t="n"/>
      <c r="P313" s="29">
        <f>IF(ISNUMBER(M313),M313-IF(ISNUMBER(O313),O313,60),"")</f>
        <v/>
      </c>
      <c r="Q313" s="27" t="n"/>
      <c r="R313" s="27" t="n"/>
      <c r="S313" s="27" t="n"/>
      <c r="T313" s="27" t="n"/>
      <c r="U313" s="27" t="n"/>
      <c r="V313" s="27" t="n"/>
      <c r="W313" s="27" t="n"/>
      <c r="X313" s="27" t="n"/>
      <c r="Y313" s="27" t="n"/>
    </row>
    <row r="314">
      <c r="A314" s="27" t="n"/>
      <c r="B314" s="27" t="n"/>
      <c r="C314" s="27" t="n"/>
      <c r="D314" s="27" t="n"/>
      <c r="E314" s="28" t="n"/>
      <c r="F314" s="28" t="n"/>
      <c r="G314" s="27" t="n"/>
      <c r="H314" s="29">
        <f>IF(G314="Invoice",IF(ISNUMBER(F314),F314,""),IF(ISNUMBER(E314),E314,""))</f>
        <v/>
      </c>
      <c r="I314" s="30" t="n"/>
      <c r="J314" s="29">
        <f>IF(AND(ISNUMBER(H314),ISNUMBER(I314)),EDATE(H314,I314),"")</f>
        <v/>
      </c>
      <c r="K314" s="30" t="n"/>
      <c r="L314" s="29">
        <f>IF(AND(ISNUMBER(H314),ISNUMBER(K314)),EDATE(H314,K314),"")</f>
        <v/>
      </c>
      <c r="M314" s="29">
        <f>IF(COUNT(J314,L314)=0,"",IF(MIN(J314,L314)&gt;=TODAY(),MIN(J314,L314),MAX(J314,L314)))</f>
        <v/>
      </c>
      <c r="N314" s="31">
        <f>IF(ISNUMBER(M314),M314-TODAY(),"")</f>
        <v/>
      </c>
      <c r="O314" s="30" t="n"/>
      <c r="P314" s="29">
        <f>IF(ISNUMBER(M314),M314-IF(ISNUMBER(O314),O314,60),"")</f>
        <v/>
      </c>
      <c r="Q314" s="27" t="n"/>
      <c r="R314" s="27" t="n"/>
      <c r="S314" s="27" t="n"/>
      <c r="T314" s="27" t="n"/>
      <c r="U314" s="27" t="n"/>
      <c r="V314" s="27" t="n"/>
      <c r="W314" s="27" t="n"/>
      <c r="X314" s="27" t="n"/>
      <c r="Y314" s="27" t="n"/>
    </row>
    <row r="315">
      <c r="A315" s="27" t="n"/>
      <c r="B315" s="27" t="n"/>
      <c r="C315" s="27" t="n"/>
      <c r="D315" s="27" t="n"/>
      <c r="E315" s="28" t="n"/>
      <c r="F315" s="28" t="n"/>
      <c r="G315" s="27" t="n"/>
      <c r="H315" s="29">
        <f>IF(G315="Invoice",IF(ISNUMBER(F315),F315,""),IF(ISNUMBER(E315),E315,""))</f>
        <v/>
      </c>
      <c r="I315" s="30" t="n"/>
      <c r="J315" s="29">
        <f>IF(AND(ISNUMBER(H315),ISNUMBER(I315)),EDATE(H315,I315),"")</f>
        <v/>
      </c>
      <c r="K315" s="30" t="n"/>
      <c r="L315" s="29">
        <f>IF(AND(ISNUMBER(H315),ISNUMBER(K315)),EDATE(H315,K315),"")</f>
        <v/>
      </c>
      <c r="M315" s="29">
        <f>IF(COUNT(J315,L315)=0,"",IF(MIN(J315,L315)&gt;=TODAY(),MIN(J315,L315),MAX(J315,L315)))</f>
        <v/>
      </c>
      <c r="N315" s="31">
        <f>IF(ISNUMBER(M315),M315-TODAY(),"")</f>
        <v/>
      </c>
      <c r="O315" s="30" t="n"/>
      <c r="P315" s="29">
        <f>IF(ISNUMBER(M315),M315-IF(ISNUMBER(O315),O315,60),"")</f>
        <v/>
      </c>
      <c r="Q315" s="27" t="n"/>
      <c r="R315" s="27" t="n"/>
      <c r="S315" s="27" t="n"/>
      <c r="T315" s="27" t="n"/>
      <c r="U315" s="27" t="n"/>
      <c r="V315" s="27" t="n"/>
      <c r="W315" s="27" t="n"/>
      <c r="X315" s="27" t="n"/>
      <c r="Y315" s="27" t="n"/>
    </row>
    <row r="316">
      <c r="A316" s="27" t="n"/>
      <c r="B316" s="27" t="n"/>
      <c r="C316" s="27" t="n"/>
      <c r="D316" s="27" t="n"/>
      <c r="E316" s="28" t="n"/>
      <c r="F316" s="28" t="n"/>
      <c r="G316" s="27" t="n"/>
      <c r="H316" s="29">
        <f>IF(G316="Invoice",IF(ISNUMBER(F316),F316,""),IF(ISNUMBER(E316),E316,""))</f>
        <v/>
      </c>
      <c r="I316" s="30" t="n"/>
      <c r="J316" s="29">
        <f>IF(AND(ISNUMBER(H316),ISNUMBER(I316)),EDATE(H316,I316),"")</f>
        <v/>
      </c>
      <c r="K316" s="30" t="n"/>
      <c r="L316" s="29">
        <f>IF(AND(ISNUMBER(H316),ISNUMBER(K316)),EDATE(H316,K316),"")</f>
        <v/>
      </c>
      <c r="M316" s="29">
        <f>IF(COUNT(J316,L316)=0,"",IF(MIN(J316,L316)&gt;=TODAY(),MIN(J316,L316),MAX(J316,L316)))</f>
        <v/>
      </c>
      <c r="N316" s="31">
        <f>IF(ISNUMBER(M316),M316-TODAY(),"")</f>
        <v/>
      </c>
      <c r="O316" s="30" t="n"/>
      <c r="P316" s="29">
        <f>IF(ISNUMBER(M316),M316-IF(ISNUMBER(O316),O316,60),"")</f>
        <v/>
      </c>
      <c r="Q316" s="27" t="n"/>
      <c r="R316" s="27" t="n"/>
      <c r="S316" s="27" t="n"/>
      <c r="T316" s="27" t="n"/>
      <c r="U316" s="27" t="n"/>
      <c r="V316" s="27" t="n"/>
      <c r="W316" s="27" t="n"/>
      <c r="X316" s="27" t="n"/>
      <c r="Y316" s="27" t="n"/>
    </row>
    <row r="317">
      <c r="A317" s="27" t="n"/>
      <c r="B317" s="27" t="n"/>
      <c r="C317" s="27" t="n"/>
      <c r="D317" s="27" t="n"/>
      <c r="E317" s="28" t="n"/>
      <c r="F317" s="28" t="n"/>
      <c r="G317" s="27" t="n"/>
      <c r="H317" s="29">
        <f>IF(G317="Invoice",IF(ISNUMBER(F317),F317,""),IF(ISNUMBER(E317),E317,""))</f>
        <v/>
      </c>
      <c r="I317" s="30" t="n"/>
      <c r="J317" s="29">
        <f>IF(AND(ISNUMBER(H317),ISNUMBER(I317)),EDATE(H317,I317),"")</f>
        <v/>
      </c>
      <c r="K317" s="30" t="n"/>
      <c r="L317" s="29">
        <f>IF(AND(ISNUMBER(H317),ISNUMBER(K317)),EDATE(H317,K317),"")</f>
        <v/>
      </c>
      <c r="M317" s="29">
        <f>IF(COUNT(J317,L317)=0,"",IF(MIN(J317,L317)&gt;=TODAY(),MIN(J317,L317),MAX(J317,L317)))</f>
        <v/>
      </c>
      <c r="N317" s="31">
        <f>IF(ISNUMBER(M317),M317-TODAY(),"")</f>
        <v/>
      </c>
      <c r="O317" s="30" t="n"/>
      <c r="P317" s="29">
        <f>IF(ISNUMBER(M317),M317-IF(ISNUMBER(O317),O317,60),"")</f>
        <v/>
      </c>
      <c r="Q317" s="27" t="n"/>
      <c r="R317" s="27" t="n"/>
      <c r="S317" s="27" t="n"/>
      <c r="T317" s="27" t="n"/>
      <c r="U317" s="27" t="n"/>
      <c r="V317" s="27" t="n"/>
      <c r="W317" s="27" t="n"/>
      <c r="X317" s="27" t="n"/>
      <c r="Y317" s="27" t="n"/>
    </row>
    <row r="318">
      <c r="A318" s="27" t="n"/>
      <c r="B318" s="27" t="n"/>
      <c r="C318" s="27" t="n"/>
      <c r="D318" s="27" t="n"/>
      <c r="E318" s="28" t="n"/>
      <c r="F318" s="28" t="n"/>
      <c r="G318" s="27" t="n"/>
      <c r="H318" s="29">
        <f>IF(G318="Invoice",IF(ISNUMBER(F318),F318,""),IF(ISNUMBER(E318),E318,""))</f>
        <v/>
      </c>
      <c r="I318" s="30" t="n"/>
      <c r="J318" s="29">
        <f>IF(AND(ISNUMBER(H318),ISNUMBER(I318)),EDATE(H318,I318),"")</f>
        <v/>
      </c>
      <c r="K318" s="30" t="n"/>
      <c r="L318" s="29">
        <f>IF(AND(ISNUMBER(H318),ISNUMBER(K318)),EDATE(H318,K318),"")</f>
        <v/>
      </c>
      <c r="M318" s="29">
        <f>IF(COUNT(J318,L318)=0,"",IF(MIN(J318,L318)&gt;=TODAY(),MIN(J318,L318),MAX(J318,L318)))</f>
        <v/>
      </c>
      <c r="N318" s="31">
        <f>IF(ISNUMBER(M318),M318-TODAY(),"")</f>
        <v/>
      </c>
      <c r="O318" s="30" t="n"/>
      <c r="P318" s="29">
        <f>IF(ISNUMBER(M318),M318-IF(ISNUMBER(O318),O318,60),"")</f>
        <v/>
      </c>
      <c r="Q318" s="27" t="n"/>
      <c r="R318" s="27" t="n"/>
      <c r="S318" s="27" t="n"/>
      <c r="T318" s="27" t="n"/>
      <c r="U318" s="27" t="n"/>
      <c r="V318" s="27" t="n"/>
      <c r="W318" s="27" t="n"/>
      <c r="X318" s="27" t="n"/>
      <c r="Y318" s="27" t="n"/>
    </row>
    <row r="319">
      <c r="A319" s="27" t="n"/>
      <c r="B319" s="27" t="n"/>
      <c r="C319" s="27" t="n"/>
      <c r="D319" s="27" t="n"/>
      <c r="E319" s="28" t="n"/>
      <c r="F319" s="28" t="n"/>
      <c r="G319" s="27" t="n"/>
      <c r="H319" s="29">
        <f>IF(G319="Invoice",IF(ISNUMBER(F319),F319,""),IF(ISNUMBER(E319),E319,""))</f>
        <v/>
      </c>
      <c r="I319" s="30" t="n"/>
      <c r="J319" s="29">
        <f>IF(AND(ISNUMBER(H319),ISNUMBER(I319)),EDATE(H319,I319),"")</f>
        <v/>
      </c>
      <c r="K319" s="30" t="n"/>
      <c r="L319" s="29">
        <f>IF(AND(ISNUMBER(H319),ISNUMBER(K319)),EDATE(H319,K319),"")</f>
        <v/>
      </c>
      <c r="M319" s="29">
        <f>IF(COUNT(J319,L319)=0,"",IF(MIN(J319,L319)&gt;=TODAY(),MIN(J319,L319),MAX(J319,L319)))</f>
        <v/>
      </c>
      <c r="N319" s="31">
        <f>IF(ISNUMBER(M319),M319-TODAY(),"")</f>
        <v/>
      </c>
      <c r="O319" s="30" t="n"/>
      <c r="P319" s="29">
        <f>IF(ISNUMBER(M319),M319-IF(ISNUMBER(O319),O319,60),"")</f>
        <v/>
      </c>
      <c r="Q319" s="27" t="n"/>
      <c r="R319" s="27" t="n"/>
      <c r="S319" s="27" t="n"/>
      <c r="T319" s="27" t="n"/>
      <c r="U319" s="27" t="n"/>
      <c r="V319" s="27" t="n"/>
      <c r="W319" s="27" t="n"/>
      <c r="X319" s="27" t="n"/>
      <c r="Y319" s="27" t="n"/>
    </row>
    <row r="320">
      <c r="A320" s="27" t="n"/>
      <c r="B320" s="27" t="n"/>
      <c r="C320" s="27" t="n"/>
      <c r="D320" s="27" t="n"/>
      <c r="E320" s="28" t="n"/>
      <c r="F320" s="28" t="n"/>
      <c r="G320" s="27" t="n"/>
      <c r="H320" s="29">
        <f>IF(G320="Invoice",IF(ISNUMBER(F320),F320,""),IF(ISNUMBER(E320),E320,""))</f>
        <v/>
      </c>
      <c r="I320" s="30" t="n"/>
      <c r="J320" s="29">
        <f>IF(AND(ISNUMBER(H320),ISNUMBER(I320)),EDATE(H320,I320),"")</f>
        <v/>
      </c>
      <c r="K320" s="30" t="n"/>
      <c r="L320" s="29">
        <f>IF(AND(ISNUMBER(H320),ISNUMBER(K320)),EDATE(H320,K320),"")</f>
        <v/>
      </c>
      <c r="M320" s="29">
        <f>IF(COUNT(J320,L320)=0,"",IF(MIN(J320,L320)&gt;=TODAY(),MIN(J320,L320),MAX(J320,L320)))</f>
        <v/>
      </c>
      <c r="N320" s="31">
        <f>IF(ISNUMBER(M320),M320-TODAY(),"")</f>
        <v/>
      </c>
      <c r="O320" s="30" t="n"/>
      <c r="P320" s="29">
        <f>IF(ISNUMBER(M320),M320-IF(ISNUMBER(O320),O320,60),"")</f>
        <v/>
      </c>
      <c r="Q320" s="27" t="n"/>
      <c r="R320" s="27" t="n"/>
      <c r="S320" s="27" t="n"/>
      <c r="T320" s="27" t="n"/>
      <c r="U320" s="27" t="n"/>
      <c r="V320" s="27" t="n"/>
      <c r="W320" s="27" t="n"/>
      <c r="X320" s="27" t="n"/>
      <c r="Y320" s="27" t="n"/>
    </row>
    <row r="321">
      <c r="A321" s="27" t="n"/>
      <c r="B321" s="27" t="n"/>
      <c r="C321" s="27" t="n"/>
      <c r="D321" s="27" t="n"/>
      <c r="E321" s="28" t="n"/>
      <c r="F321" s="28" t="n"/>
      <c r="G321" s="27" t="n"/>
      <c r="H321" s="29">
        <f>IF(G321="Invoice",IF(ISNUMBER(F321),F321,""),IF(ISNUMBER(E321),E321,""))</f>
        <v/>
      </c>
      <c r="I321" s="30" t="n"/>
      <c r="J321" s="29">
        <f>IF(AND(ISNUMBER(H321),ISNUMBER(I321)),EDATE(H321,I321),"")</f>
        <v/>
      </c>
      <c r="K321" s="30" t="n"/>
      <c r="L321" s="29">
        <f>IF(AND(ISNUMBER(H321),ISNUMBER(K321)),EDATE(H321,K321),"")</f>
        <v/>
      </c>
      <c r="M321" s="29">
        <f>IF(COUNT(J321,L321)=0,"",IF(MIN(J321,L321)&gt;=TODAY(),MIN(J321,L321),MAX(J321,L321)))</f>
        <v/>
      </c>
      <c r="N321" s="31">
        <f>IF(ISNUMBER(M321),M321-TODAY(),"")</f>
        <v/>
      </c>
      <c r="O321" s="30" t="n"/>
      <c r="P321" s="29">
        <f>IF(ISNUMBER(M321),M321-IF(ISNUMBER(O321),O321,60),"")</f>
        <v/>
      </c>
      <c r="Q321" s="27" t="n"/>
      <c r="R321" s="27" t="n"/>
      <c r="S321" s="27" t="n"/>
      <c r="T321" s="27" t="n"/>
      <c r="U321" s="27" t="n"/>
      <c r="V321" s="27" t="n"/>
      <c r="W321" s="27" t="n"/>
      <c r="X321" s="27" t="n"/>
      <c r="Y321" s="27" t="n"/>
    </row>
    <row r="322">
      <c r="A322" s="27" t="n"/>
      <c r="B322" s="27" t="n"/>
      <c r="C322" s="27" t="n"/>
      <c r="D322" s="27" t="n"/>
      <c r="E322" s="28" t="n"/>
      <c r="F322" s="28" t="n"/>
      <c r="G322" s="27" t="n"/>
      <c r="H322" s="29">
        <f>IF(G322="Invoice",IF(ISNUMBER(F322),F322,""),IF(ISNUMBER(E322),E322,""))</f>
        <v/>
      </c>
      <c r="I322" s="30" t="n"/>
      <c r="J322" s="29">
        <f>IF(AND(ISNUMBER(H322),ISNUMBER(I322)),EDATE(H322,I322),"")</f>
        <v/>
      </c>
      <c r="K322" s="30" t="n"/>
      <c r="L322" s="29">
        <f>IF(AND(ISNUMBER(H322),ISNUMBER(K322)),EDATE(H322,K322),"")</f>
        <v/>
      </c>
      <c r="M322" s="29">
        <f>IF(COUNT(J322,L322)=0,"",IF(MIN(J322,L322)&gt;=TODAY(),MIN(J322,L322),MAX(J322,L322)))</f>
        <v/>
      </c>
      <c r="N322" s="31">
        <f>IF(ISNUMBER(M322),M322-TODAY(),"")</f>
        <v/>
      </c>
      <c r="O322" s="30" t="n"/>
      <c r="P322" s="29">
        <f>IF(ISNUMBER(M322),M322-IF(ISNUMBER(O322),O322,60),"")</f>
        <v/>
      </c>
      <c r="Q322" s="27" t="n"/>
      <c r="R322" s="27" t="n"/>
      <c r="S322" s="27" t="n"/>
      <c r="T322" s="27" t="n"/>
      <c r="U322" s="27" t="n"/>
      <c r="V322" s="27" t="n"/>
      <c r="W322" s="27" t="n"/>
      <c r="X322" s="27" t="n"/>
      <c r="Y322" s="27" t="n"/>
    </row>
    <row r="323">
      <c r="A323" s="27" t="n"/>
      <c r="B323" s="27" t="n"/>
      <c r="C323" s="27" t="n"/>
      <c r="D323" s="27" t="n"/>
      <c r="E323" s="28" t="n"/>
      <c r="F323" s="28" t="n"/>
      <c r="G323" s="27" t="n"/>
      <c r="H323" s="29">
        <f>IF(G323="Invoice",IF(ISNUMBER(F323),F323,""),IF(ISNUMBER(E323),E323,""))</f>
        <v/>
      </c>
      <c r="I323" s="30" t="n"/>
      <c r="J323" s="29">
        <f>IF(AND(ISNUMBER(H323),ISNUMBER(I323)),EDATE(H323,I323),"")</f>
        <v/>
      </c>
      <c r="K323" s="30" t="n"/>
      <c r="L323" s="29">
        <f>IF(AND(ISNUMBER(H323),ISNUMBER(K323)),EDATE(H323,K323),"")</f>
        <v/>
      </c>
      <c r="M323" s="29">
        <f>IF(COUNT(J323,L323)=0,"",IF(MIN(J323,L323)&gt;=TODAY(),MIN(J323,L323),MAX(J323,L323)))</f>
        <v/>
      </c>
      <c r="N323" s="31">
        <f>IF(ISNUMBER(M323),M323-TODAY(),"")</f>
        <v/>
      </c>
      <c r="O323" s="30" t="n"/>
      <c r="P323" s="29">
        <f>IF(ISNUMBER(M323),M323-IF(ISNUMBER(O323),O323,60),"")</f>
        <v/>
      </c>
      <c r="Q323" s="27" t="n"/>
      <c r="R323" s="27" t="n"/>
      <c r="S323" s="27" t="n"/>
      <c r="T323" s="27" t="n"/>
      <c r="U323" s="27" t="n"/>
      <c r="V323" s="27" t="n"/>
      <c r="W323" s="27" t="n"/>
      <c r="X323" s="27" t="n"/>
      <c r="Y323" s="27" t="n"/>
    </row>
    <row r="324">
      <c r="A324" s="27" t="n"/>
      <c r="B324" s="27" t="n"/>
      <c r="C324" s="27" t="n"/>
      <c r="D324" s="27" t="n"/>
      <c r="E324" s="28" t="n"/>
      <c r="F324" s="28" t="n"/>
      <c r="G324" s="27" t="n"/>
      <c r="H324" s="29">
        <f>IF(G324="Invoice",IF(ISNUMBER(F324),F324,""),IF(ISNUMBER(E324),E324,""))</f>
        <v/>
      </c>
      <c r="I324" s="30" t="n"/>
      <c r="J324" s="29">
        <f>IF(AND(ISNUMBER(H324),ISNUMBER(I324)),EDATE(H324,I324),"")</f>
        <v/>
      </c>
      <c r="K324" s="30" t="n"/>
      <c r="L324" s="29">
        <f>IF(AND(ISNUMBER(H324),ISNUMBER(K324)),EDATE(H324,K324),"")</f>
        <v/>
      </c>
      <c r="M324" s="29">
        <f>IF(COUNT(J324,L324)=0,"",IF(MIN(J324,L324)&gt;=TODAY(),MIN(J324,L324),MAX(J324,L324)))</f>
        <v/>
      </c>
      <c r="N324" s="31">
        <f>IF(ISNUMBER(M324),M324-TODAY(),"")</f>
        <v/>
      </c>
      <c r="O324" s="30" t="n"/>
      <c r="P324" s="29">
        <f>IF(ISNUMBER(M324),M324-IF(ISNUMBER(O324),O324,60),"")</f>
        <v/>
      </c>
      <c r="Q324" s="27" t="n"/>
      <c r="R324" s="27" t="n"/>
      <c r="S324" s="27" t="n"/>
      <c r="T324" s="27" t="n"/>
      <c r="U324" s="27" t="n"/>
      <c r="V324" s="27" t="n"/>
      <c r="W324" s="27" t="n"/>
      <c r="X324" s="27" t="n"/>
      <c r="Y324" s="27" t="n"/>
    </row>
    <row r="325">
      <c r="A325" s="27" t="n"/>
      <c r="B325" s="27" t="n"/>
      <c r="C325" s="27" t="n"/>
      <c r="D325" s="27" t="n"/>
      <c r="E325" s="28" t="n"/>
      <c r="F325" s="28" t="n"/>
      <c r="G325" s="27" t="n"/>
      <c r="H325" s="29">
        <f>IF(G325="Invoice",IF(ISNUMBER(F325),F325,""),IF(ISNUMBER(E325),E325,""))</f>
        <v/>
      </c>
      <c r="I325" s="30" t="n"/>
      <c r="J325" s="29">
        <f>IF(AND(ISNUMBER(H325),ISNUMBER(I325)),EDATE(H325,I325),"")</f>
        <v/>
      </c>
      <c r="K325" s="30" t="n"/>
      <c r="L325" s="29">
        <f>IF(AND(ISNUMBER(H325),ISNUMBER(K325)),EDATE(H325,K325),"")</f>
        <v/>
      </c>
      <c r="M325" s="29">
        <f>IF(COUNT(J325,L325)=0,"",IF(MIN(J325,L325)&gt;=TODAY(),MIN(J325,L325),MAX(J325,L325)))</f>
        <v/>
      </c>
      <c r="N325" s="31">
        <f>IF(ISNUMBER(M325),M325-TODAY(),"")</f>
        <v/>
      </c>
      <c r="O325" s="30" t="n"/>
      <c r="P325" s="29">
        <f>IF(ISNUMBER(M325),M325-IF(ISNUMBER(O325),O325,60),"")</f>
        <v/>
      </c>
      <c r="Q325" s="27" t="n"/>
      <c r="R325" s="27" t="n"/>
      <c r="S325" s="27" t="n"/>
      <c r="T325" s="27" t="n"/>
      <c r="U325" s="27" t="n"/>
      <c r="V325" s="27" t="n"/>
      <c r="W325" s="27" t="n"/>
      <c r="X325" s="27" t="n"/>
      <c r="Y325" s="27" t="n"/>
    </row>
    <row r="326">
      <c r="A326" s="27" t="n"/>
      <c r="B326" s="27" t="n"/>
      <c r="C326" s="27" t="n"/>
      <c r="D326" s="27" t="n"/>
      <c r="E326" s="28" t="n"/>
      <c r="F326" s="28" t="n"/>
      <c r="G326" s="27" t="n"/>
      <c r="H326" s="29">
        <f>IF(G326="Invoice",IF(ISNUMBER(F326),F326,""),IF(ISNUMBER(E326),E326,""))</f>
        <v/>
      </c>
      <c r="I326" s="30" t="n"/>
      <c r="J326" s="29">
        <f>IF(AND(ISNUMBER(H326),ISNUMBER(I326)),EDATE(H326,I326),"")</f>
        <v/>
      </c>
      <c r="K326" s="30" t="n"/>
      <c r="L326" s="29">
        <f>IF(AND(ISNUMBER(H326),ISNUMBER(K326)),EDATE(H326,K326),"")</f>
        <v/>
      </c>
      <c r="M326" s="29">
        <f>IF(COUNT(J326,L326)=0,"",IF(MIN(J326,L326)&gt;=TODAY(),MIN(J326,L326),MAX(J326,L326)))</f>
        <v/>
      </c>
      <c r="N326" s="31">
        <f>IF(ISNUMBER(M326),M326-TODAY(),"")</f>
        <v/>
      </c>
      <c r="O326" s="30" t="n"/>
      <c r="P326" s="29">
        <f>IF(ISNUMBER(M326),M326-IF(ISNUMBER(O326),O326,60),"")</f>
        <v/>
      </c>
      <c r="Q326" s="27" t="n"/>
      <c r="R326" s="27" t="n"/>
      <c r="S326" s="27" t="n"/>
      <c r="T326" s="27" t="n"/>
      <c r="U326" s="27" t="n"/>
      <c r="V326" s="27" t="n"/>
      <c r="W326" s="27" t="n"/>
      <c r="X326" s="27" t="n"/>
      <c r="Y326" s="27" t="n"/>
    </row>
    <row r="327">
      <c r="A327" s="27" t="n"/>
      <c r="B327" s="27" t="n"/>
      <c r="C327" s="27" t="n"/>
      <c r="D327" s="27" t="n"/>
      <c r="E327" s="28" t="n"/>
      <c r="F327" s="28" t="n"/>
      <c r="G327" s="27" t="n"/>
      <c r="H327" s="29">
        <f>IF(G327="Invoice",IF(ISNUMBER(F327),F327,""),IF(ISNUMBER(E327),E327,""))</f>
        <v/>
      </c>
      <c r="I327" s="30" t="n"/>
      <c r="J327" s="29">
        <f>IF(AND(ISNUMBER(H327),ISNUMBER(I327)),EDATE(H327,I327),"")</f>
        <v/>
      </c>
      <c r="K327" s="30" t="n"/>
      <c r="L327" s="29">
        <f>IF(AND(ISNUMBER(H327),ISNUMBER(K327)),EDATE(H327,K327),"")</f>
        <v/>
      </c>
      <c r="M327" s="29">
        <f>IF(COUNT(J327,L327)=0,"",IF(MIN(J327,L327)&gt;=TODAY(),MIN(J327,L327),MAX(J327,L327)))</f>
        <v/>
      </c>
      <c r="N327" s="31">
        <f>IF(ISNUMBER(M327),M327-TODAY(),"")</f>
        <v/>
      </c>
      <c r="O327" s="30" t="n"/>
      <c r="P327" s="29">
        <f>IF(ISNUMBER(M327),M327-IF(ISNUMBER(O327),O327,60),"")</f>
        <v/>
      </c>
      <c r="Q327" s="27" t="n"/>
      <c r="R327" s="27" t="n"/>
      <c r="S327" s="27" t="n"/>
      <c r="T327" s="27" t="n"/>
      <c r="U327" s="27" t="n"/>
      <c r="V327" s="27" t="n"/>
      <c r="W327" s="27" t="n"/>
      <c r="X327" s="27" t="n"/>
      <c r="Y327" s="27" t="n"/>
    </row>
    <row r="328">
      <c r="A328" s="27" t="n"/>
      <c r="B328" s="27" t="n"/>
      <c r="C328" s="27" t="n"/>
      <c r="D328" s="27" t="n"/>
      <c r="E328" s="28" t="n"/>
      <c r="F328" s="28" t="n"/>
      <c r="G328" s="27" t="n"/>
      <c r="H328" s="29">
        <f>IF(G328="Invoice",IF(ISNUMBER(F328),F328,""),IF(ISNUMBER(E328),E328,""))</f>
        <v/>
      </c>
      <c r="I328" s="30" t="n"/>
      <c r="J328" s="29">
        <f>IF(AND(ISNUMBER(H328),ISNUMBER(I328)),EDATE(H328,I328),"")</f>
        <v/>
      </c>
      <c r="K328" s="30" t="n"/>
      <c r="L328" s="29">
        <f>IF(AND(ISNUMBER(H328),ISNUMBER(K328)),EDATE(H328,K328),"")</f>
        <v/>
      </c>
      <c r="M328" s="29">
        <f>IF(COUNT(J328,L328)=0,"",IF(MIN(J328,L328)&gt;=TODAY(),MIN(J328,L328),MAX(J328,L328)))</f>
        <v/>
      </c>
      <c r="N328" s="31">
        <f>IF(ISNUMBER(M328),M328-TODAY(),"")</f>
        <v/>
      </c>
      <c r="O328" s="30" t="n"/>
      <c r="P328" s="29">
        <f>IF(ISNUMBER(M328),M328-IF(ISNUMBER(O328),O328,60),"")</f>
        <v/>
      </c>
      <c r="Q328" s="27" t="n"/>
      <c r="R328" s="27" t="n"/>
      <c r="S328" s="27" t="n"/>
      <c r="T328" s="27" t="n"/>
      <c r="U328" s="27" t="n"/>
      <c r="V328" s="27" t="n"/>
      <c r="W328" s="27" t="n"/>
      <c r="X328" s="27" t="n"/>
      <c r="Y328" s="27" t="n"/>
    </row>
    <row r="329">
      <c r="A329" s="27" t="n"/>
      <c r="B329" s="27" t="n"/>
      <c r="C329" s="27" t="n"/>
      <c r="D329" s="27" t="n"/>
      <c r="E329" s="28" t="n"/>
      <c r="F329" s="28" t="n"/>
      <c r="G329" s="27" t="n"/>
      <c r="H329" s="29">
        <f>IF(G329="Invoice",IF(ISNUMBER(F329),F329,""),IF(ISNUMBER(E329),E329,""))</f>
        <v/>
      </c>
      <c r="I329" s="30" t="n"/>
      <c r="J329" s="29">
        <f>IF(AND(ISNUMBER(H329),ISNUMBER(I329)),EDATE(H329,I329),"")</f>
        <v/>
      </c>
      <c r="K329" s="30" t="n"/>
      <c r="L329" s="29">
        <f>IF(AND(ISNUMBER(H329),ISNUMBER(K329)),EDATE(H329,K329),"")</f>
        <v/>
      </c>
      <c r="M329" s="29">
        <f>IF(COUNT(J329,L329)=0,"",IF(MIN(J329,L329)&gt;=TODAY(),MIN(J329,L329),MAX(J329,L329)))</f>
        <v/>
      </c>
      <c r="N329" s="31">
        <f>IF(ISNUMBER(M329),M329-TODAY(),"")</f>
        <v/>
      </c>
      <c r="O329" s="30" t="n"/>
      <c r="P329" s="29">
        <f>IF(ISNUMBER(M329),M329-IF(ISNUMBER(O329),O329,60),"")</f>
        <v/>
      </c>
      <c r="Q329" s="27" t="n"/>
      <c r="R329" s="27" t="n"/>
      <c r="S329" s="27" t="n"/>
      <c r="T329" s="27" t="n"/>
      <c r="U329" s="27" t="n"/>
      <c r="V329" s="27" t="n"/>
      <c r="W329" s="27" t="n"/>
      <c r="X329" s="27" t="n"/>
      <c r="Y329" s="27" t="n"/>
    </row>
    <row r="330">
      <c r="A330" s="27" t="n"/>
      <c r="B330" s="27" t="n"/>
      <c r="C330" s="27" t="n"/>
      <c r="D330" s="27" t="n"/>
      <c r="E330" s="28" t="n"/>
      <c r="F330" s="28" t="n"/>
      <c r="G330" s="27" t="n"/>
      <c r="H330" s="29">
        <f>IF(G330="Invoice",IF(ISNUMBER(F330),F330,""),IF(ISNUMBER(E330),E330,""))</f>
        <v/>
      </c>
      <c r="I330" s="30" t="n"/>
      <c r="J330" s="29">
        <f>IF(AND(ISNUMBER(H330),ISNUMBER(I330)),EDATE(H330,I330),"")</f>
        <v/>
      </c>
      <c r="K330" s="30" t="n"/>
      <c r="L330" s="29">
        <f>IF(AND(ISNUMBER(H330),ISNUMBER(K330)),EDATE(H330,K330),"")</f>
        <v/>
      </c>
      <c r="M330" s="29">
        <f>IF(COUNT(J330,L330)=0,"",IF(MIN(J330,L330)&gt;=TODAY(),MIN(J330,L330),MAX(J330,L330)))</f>
        <v/>
      </c>
      <c r="N330" s="31">
        <f>IF(ISNUMBER(M330),M330-TODAY(),"")</f>
        <v/>
      </c>
      <c r="O330" s="30" t="n"/>
      <c r="P330" s="29">
        <f>IF(ISNUMBER(M330),M330-IF(ISNUMBER(O330),O330,60),"")</f>
        <v/>
      </c>
      <c r="Q330" s="27" t="n"/>
      <c r="R330" s="27" t="n"/>
      <c r="S330" s="27" t="n"/>
      <c r="T330" s="27" t="n"/>
      <c r="U330" s="27" t="n"/>
      <c r="V330" s="27" t="n"/>
      <c r="W330" s="27" t="n"/>
      <c r="X330" s="27" t="n"/>
      <c r="Y330" s="27" t="n"/>
    </row>
    <row r="331">
      <c r="A331" s="27" t="n"/>
      <c r="B331" s="27" t="n"/>
      <c r="C331" s="27" t="n"/>
      <c r="D331" s="27" t="n"/>
      <c r="E331" s="28" t="n"/>
      <c r="F331" s="28" t="n"/>
      <c r="G331" s="27" t="n"/>
      <c r="H331" s="29">
        <f>IF(G331="Invoice",IF(ISNUMBER(F331),F331,""),IF(ISNUMBER(E331),E331,""))</f>
        <v/>
      </c>
      <c r="I331" s="30" t="n"/>
      <c r="J331" s="29">
        <f>IF(AND(ISNUMBER(H331),ISNUMBER(I331)),EDATE(H331,I331),"")</f>
        <v/>
      </c>
      <c r="K331" s="30" t="n"/>
      <c r="L331" s="29">
        <f>IF(AND(ISNUMBER(H331),ISNUMBER(K331)),EDATE(H331,K331),"")</f>
        <v/>
      </c>
      <c r="M331" s="29">
        <f>IF(COUNT(J331,L331)=0,"",IF(MIN(J331,L331)&gt;=TODAY(),MIN(J331,L331),MAX(J331,L331)))</f>
        <v/>
      </c>
      <c r="N331" s="31">
        <f>IF(ISNUMBER(M331),M331-TODAY(),"")</f>
        <v/>
      </c>
      <c r="O331" s="30" t="n"/>
      <c r="P331" s="29">
        <f>IF(ISNUMBER(M331),M331-IF(ISNUMBER(O331),O331,60),"")</f>
        <v/>
      </c>
      <c r="Q331" s="27" t="n"/>
      <c r="R331" s="27" t="n"/>
      <c r="S331" s="27" t="n"/>
      <c r="T331" s="27" t="n"/>
      <c r="U331" s="27" t="n"/>
      <c r="V331" s="27" t="n"/>
      <c r="W331" s="27" t="n"/>
      <c r="X331" s="27" t="n"/>
      <c r="Y331" s="27" t="n"/>
    </row>
    <row r="332">
      <c r="A332" s="27" t="n"/>
      <c r="B332" s="27" t="n"/>
      <c r="C332" s="27" t="n"/>
      <c r="D332" s="27" t="n"/>
      <c r="E332" s="28" t="n"/>
      <c r="F332" s="28" t="n"/>
      <c r="G332" s="27" t="n"/>
      <c r="H332" s="29">
        <f>IF(G332="Invoice",IF(ISNUMBER(F332),F332,""),IF(ISNUMBER(E332),E332,""))</f>
        <v/>
      </c>
      <c r="I332" s="30" t="n"/>
      <c r="J332" s="29">
        <f>IF(AND(ISNUMBER(H332),ISNUMBER(I332)),EDATE(H332,I332),"")</f>
        <v/>
      </c>
      <c r="K332" s="30" t="n"/>
      <c r="L332" s="29">
        <f>IF(AND(ISNUMBER(H332),ISNUMBER(K332)),EDATE(H332,K332),"")</f>
        <v/>
      </c>
      <c r="M332" s="29">
        <f>IF(COUNT(J332,L332)=0,"",IF(MIN(J332,L332)&gt;=TODAY(),MIN(J332,L332),MAX(J332,L332)))</f>
        <v/>
      </c>
      <c r="N332" s="31">
        <f>IF(ISNUMBER(M332),M332-TODAY(),"")</f>
        <v/>
      </c>
      <c r="O332" s="30" t="n"/>
      <c r="P332" s="29">
        <f>IF(ISNUMBER(M332),M332-IF(ISNUMBER(O332),O332,60),"")</f>
        <v/>
      </c>
      <c r="Q332" s="27" t="n"/>
      <c r="R332" s="27" t="n"/>
      <c r="S332" s="27" t="n"/>
      <c r="T332" s="27" t="n"/>
      <c r="U332" s="27" t="n"/>
      <c r="V332" s="27" t="n"/>
      <c r="W332" s="27" t="n"/>
      <c r="X332" s="27" t="n"/>
      <c r="Y332" s="27" t="n"/>
    </row>
    <row r="333">
      <c r="A333" s="27" t="n"/>
      <c r="B333" s="27" t="n"/>
      <c r="C333" s="27" t="n"/>
      <c r="D333" s="27" t="n"/>
      <c r="E333" s="28" t="n"/>
      <c r="F333" s="28" t="n"/>
      <c r="G333" s="27" t="n"/>
      <c r="H333" s="29">
        <f>IF(G333="Invoice",IF(ISNUMBER(F333),F333,""),IF(ISNUMBER(E333),E333,""))</f>
        <v/>
      </c>
      <c r="I333" s="30" t="n"/>
      <c r="J333" s="29">
        <f>IF(AND(ISNUMBER(H333),ISNUMBER(I333)),EDATE(H333,I333),"")</f>
        <v/>
      </c>
      <c r="K333" s="30" t="n"/>
      <c r="L333" s="29">
        <f>IF(AND(ISNUMBER(H333),ISNUMBER(K333)),EDATE(H333,K333),"")</f>
        <v/>
      </c>
      <c r="M333" s="29">
        <f>IF(COUNT(J333,L333)=0,"",IF(MIN(J333,L333)&gt;=TODAY(),MIN(J333,L333),MAX(J333,L333)))</f>
        <v/>
      </c>
      <c r="N333" s="31">
        <f>IF(ISNUMBER(M333),M333-TODAY(),"")</f>
        <v/>
      </c>
      <c r="O333" s="30" t="n"/>
      <c r="P333" s="29">
        <f>IF(ISNUMBER(M333),M333-IF(ISNUMBER(O333),O333,60),"")</f>
        <v/>
      </c>
      <c r="Q333" s="27" t="n"/>
      <c r="R333" s="27" t="n"/>
      <c r="S333" s="27" t="n"/>
      <c r="T333" s="27" t="n"/>
      <c r="U333" s="27" t="n"/>
      <c r="V333" s="27" t="n"/>
      <c r="W333" s="27" t="n"/>
      <c r="X333" s="27" t="n"/>
      <c r="Y333" s="27" t="n"/>
    </row>
    <row r="334">
      <c r="A334" s="27" t="n"/>
      <c r="B334" s="27" t="n"/>
      <c r="C334" s="27" t="n"/>
      <c r="D334" s="27" t="n"/>
      <c r="E334" s="28" t="n"/>
      <c r="F334" s="28" t="n"/>
      <c r="G334" s="27" t="n"/>
      <c r="H334" s="29">
        <f>IF(G334="Invoice",IF(ISNUMBER(F334),F334,""),IF(ISNUMBER(E334),E334,""))</f>
        <v/>
      </c>
      <c r="I334" s="30" t="n"/>
      <c r="J334" s="29">
        <f>IF(AND(ISNUMBER(H334),ISNUMBER(I334)),EDATE(H334,I334),"")</f>
        <v/>
      </c>
      <c r="K334" s="30" t="n"/>
      <c r="L334" s="29">
        <f>IF(AND(ISNUMBER(H334),ISNUMBER(K334)),EDATE(H334,K334),"")</f>
        <v/>
      </c>
      <c r="M334" s="29">
        <f>IF(COUNT(J334,L334)=0,"",IF(MIN(J334,L334)&gt;=TODAY(),MIN(J334,L334),MAX(J334,L334)))</f>
        <v/>
      </c>
      <c r="N334" s="31">
        <f>IF(ISNUMBER(M334),M334-TODAY(),"")</f>
        <v/>
      </c>
      <c r="O334" s="30" t="n"/>
      <c r="P334" s="29">
        <f>IF(ISNUMBER(M334),M334-IF(ISNUMBER(O334),O334,60),"")</f>
        <v/>
      </c>
      <c r="Q334" s="27" t="n"/>
      <c r="R334" s="27" t="n"/>
      <c r="S334" s="27" t="n"/>
      <c r="T334" s="27" t="n"/>
      <c r="U334" s="27" t="n"/>
      <c r="V334" s="27" t="n"/>
      <c r="W334" s="27" t="n"/>
      <c r="X334" s="27" t="n"/>
      <c r="Y334" s="27" t="n"/>
    </row>
    <row r="335">
      <c r="A335" s="27" t="n"/>
      <c r="B335" s="27" t="n"/>
      <c r="C335" s="27" t="n"/>
      <c r="D335" s="27" t="n"/>
      <c r="E335" s="28" t="n"/>
      <c r="F335" s="28" t="n"/>
      <c r="G335" s="27" t="n"/>
      <c r="H335" s="29">
        <f>IF(G335="Invoice",IF(ISNUMBER(F335),F335,""),IF(ISNUMBER(E335),E335,""))</f>
        <v/>
      </c>
      <c r="I335" s="30" t="n"/>
      <c r="J335" s="29">
        <f>IF(AND(ISNUMBER(H335),ISNUMBER(I335)),EDATE(H335,I335),"")</f>
        <v/>
      </c>
      <c r="K335" s="30" t="n"/>
      <c r="L335" s="29">
        <f>IF(AND(ISNUMBER(H335),ISNUMBER(K335)),EDATE(H335,K335),"")</f>
        <v/>
      </c>
      <c r="M335" s="29">
        <f>IF(COUNT(J335,L335)=0,"",IF(MIN(J335,L335)&gt;=TODAY(),MIN(J335,L335),MAX(J335,L335)))</f>
        <v/>
      </c>
      <c r="N335" s="31">
        <f>IF(ISNUMBER(M335),M335-TODAY(),"")</f>
        <v/>
      </c>
      <c r="O335" s="30" t="n"/>
      <c r="P335" s="29">
        <f>IF(ISNUMBER(M335),M335-IF(ISNUMBER(O335),O335,60),"")</f>
        <v/>
      </c>
      <c r="Q335" s="27" t="n"/>
      <c r="R335" s="27" t="n"/>
      <c r="S335" s="27" t="n"/>
      <c r="T335" s="27" t="n"/>
      <c r="U335" s="27" t="n"/>
      <c r="V335" s="27" t="n"/>
      <c r="W335" s="27" t="n"/>
      <c r="X335" s="27" t="n"/>
      <c r="Y335" s="27" t="n"/>
    </row>
    <row r="336">
      <c r="A336" s="27" t="n"/>
      <c r="B336" s="27" t="n"/>
      <c r="C336" s="27" t="n"/>
      <c r="D336" s="27" t="n"/>
      <c r="E336" s="28" t="n"/>
      <c r="F336" s="28" t="n"/>
      <c r="G336" s="27" t="n"/>
      <c r="H336" s="29">
        <f>IF(G336="Invoice",IF(ISNUMBER(F336),F336,""),IF(ISNUMBER(E336),E336,""))</f>
        <v/>
      </c>
      <c r="I336" s="30" t="n"/>
      <c r="J336" s="29">
        <f>IF(AND(ISNUMBER(H336),ISNUMBER(I336)),EDATE(H336,I336),"")</f>
        <v/>
      </c>
      <c r="K336" s="30" t="n"/>
      <c r="L336" s="29">
        <f>IF(AND(ISNUMBER(H336),ISNUMBER(K336)),EDATE(H336,K336),"")</f>
        <v/>
      </c>
      <c r="M336" s="29">
        <f>IF(COUNT(J336,L336)=0,"",IF(MIN(J336,L336)&gt;=TODAY(),MIN(J336,L336),MAX(J336,L336)))</f>
        <v/>
      </c>
      <c r="N336" s="31">
        <f>IF(ISNUMBER(M336),M336-TODAY(),"")</f>
        <v/>
      </c>
      <c r="O336" s="30" t="n"/>
      <c r="P336" s="29">
        <f>IF(ISNUMBER(M336),M336-IF(ISNUMBER(O336),O336,60),"")</f>
        <v/>
      </c>
      <c r="Q336" s="27" t="n"/>
      <c r="R336" s="27" t="n"/>
      <c r="S336" s="27" t="n"/>
      <c r="T336" s="27" t="n"/>
      <c r="U336" s="27" t="n"/>
      <c r="V336" s="27" t="n"/>
      <c r="W336" s="27" t="n"/>
      <c r="X336" s="27" t="n"/>
      <c r="Y336" s="27" t="n"/>
    </row>
    <row r="337">
      <c r="A337" s="27" t="n"/>
      <c r="B337" s="27" t="n"/>
      <c r="C337" s="27" t="n"/>
      <c r="D337" s="27" t="n"/>
      <c r="E337" s="28" t="n"/>
      <c r="F337" s="28" t="n"/>
      <c r="G337" s="27" t="n"/>
      <c r="H337" s="29">
        <f>IF(G337="Invoice",IF(ISNUMBER(F337),F337,""),IF(ISNUMBER(E337),E337,""))</f>
        <v/>
      </c>
      <c r="I337" s="30" t="n"/>
      <c r="J337" s="29">
        <f>IF(AND(ISNUMBER(H337),ISNUMBER(I337)),EDATE(H337,I337),"")</f>
        <v/>
      </c>
      <c r="K337" s="30" t="n"/>
      <c r="L337" s="29">
        <f>IF(AND(ISNUMBER(H337),ISNUMBER(K337)),EDATE(H337,K337),"")</f>
        <v/>
      </c>
      <c r="M337" s="29">
        <f>IF(COUNT(J337,L337)=0,"",IF(MIN(J337,L337)&gt;=TODAY(),MIN(J337,L337),MAX(J337,L337)))</f>
        <v/>
      </c>
      <c r="N337" s="31">
        <f>IF(ISNUMBER(M337),M337-TODAY(),"")</f>
        <v/>
      </c>
      <c r="O337" s="30" t="n"/>
      <c r="P337" s="29">
        <f>IF(ISNUMBER(M337),M337-IF(ISNUMBER(O337),O337,60),"")</f>
        <v/>
      </c>
      <c r="Q337" s="27" t="n"/>
      <c r="R337" s="27" t="n"/>
      <c r="S337" s="27" t="n"/>
      <c r="T337" s="27" t="n"/>
      <c r="U337" s="27" t="n"/>
      <c r="V337" s="27" t="n"/>
      <c r="W337" s="27" t="n"/>
      <c r="X337" s="27" t="n"/>
      <c r="Y337" s="27" t="n"/>
    </row>
    <row r="338">
      <c r="A338" s="27" t="n"/>
      <c r="B338" s="27" t="n"/>
      <c r="C338" s="27" t="n"/>
      <c r="D338" s="27" t="n"/>
      <c r="E338" s="28" t="n"/>
      <c r="F338" s="28" t="n"/>
      <c r="G338" s="27" t="n"/>
      <c r="H338" s="29">
        <f>IF(G338="Invoice",IF(ISNUMBER(F338),F338,""),IF(ISNUMBER(E338),E338,""))</f>
        <v/>
      </c>
      <c r="I338" s="30" t="n"/>
      <c r="J338" s="29">
        <f>IF(AND(ISNUMBER(H338),ISNUMBER(I338)),EDATE(H338,I338),"")</f>
        <v/>
      </c>
      <c r="K338" s="30" t="n"/>
      <c r="L338" s="29">
        <f>IF(AND(ISNUMBER(H338),ISNUMBER(K338)),EDATE(H338,K338),"")</f>
        <v/>
      </c>
      <c r="M338" s="29">
        <f>IF(COUNT(J338,L338)=0,"",IF(MIN(J338,L338)&gt;=TODAY(),MIN(J338,L338),MAX(J338,L338)))</f>
        <v/>
      </c>
      <c r="N338" s="31">
        <f>IF(ISNUMBER(M338),M338-TODAY(),"")</f>
        <v/>
      </c>
      <c r="O338" s="30" t="n"/>
      <c r="P338" s="29">
        <f>IF(ISNUMBER(M338),M338-IF(ISNUMBER(O338),O338,60),"")</f>
        <v/>
      </c>
      <c r="Q338" s="27" t="n"/>
      <c r="R338" s="27" t="n"/>
      <c r="S338" s="27" t="n"/>
      <c r="T338" s="27" t="n"/>
      <c r="U338" s="27" t="n"/>
      <c r="V338" s="27" t="n"/>
      <c r="W338" s="27" t="n"/>
      <c r="X338" s="27" t="n"/>
      <c r="Y338" s="27" t="n"/>
    </row>
    <row r="339">
      <c r="A339" s="27" t="n"/>
      <c r="B339" s="27" t="n"/>
      <c r="C339" s="27" t="n"/>
      <c r="D339" s="27" t="n"/>
      <c r="E339" s="28" t="n"/>
      <c r="F339" s="28" t="n"/>
      <c r="G339" s="27" t="n"/>
      <c r="H339" s="29">
        <f>IF(G339="Invoice",IF(ISNUMBER(F339),F339,""),IF(ISNUMBER(E339),E339,""))</f>
        <v/>
      </c>
      <c r="I339" s="30" t="n"/>
      <c r="J339" s="29">
        <f>IF(AND(ISNUMBER(H339),ISNUMBER(I339)),EDATE(H339,I339),"")</f>
        <v/>
      </c>
      <c r="K339" s="30" t="n"/>
      <c r="L339" s="29">
        <f>IF(AND(ISNUMBER(H339),ISNUMBER(K339)),EDATE(H339,K339),"")</f>
        <v/>
      </c>
      <c r="M339" s="29">
        <f>IF(COUNT(J339,L339)=0,"",IF(MIN(J339,L339)&gt;=TODAY(),MIN(J339,L339),MAX(J339,L339)))</f>
        <v/>
      </c>
      <c r="N339" s="31">
        <f>IF(ISNUMBER(M339),M339-TODAY(),"")</f>
        <v/>
      </c>
      <c r="O339" s="30" t="n"/>
      <c r="P339" s="29">
        <f>IF(ISNUMBER(M339),M339-IF(ISNUMBER(O339),O339,60),"")</f>
        <v/>
      </c>
      <c r="Q339" s="27" t="n"/>
      <c r="R339" s="27" t="n"/>
      <c r="S339" s="27" t="n"/>
      <c r="T339" s="27" t="n"/>
      <c r="U339" s="27" t="n"/>
      <c r="V339" s="27" t="n"/>
      <c r="W339" s="27" t="n"/>
      <c r="X339" s="27" t="n"/>
      <c r="Y339" s="27" t="n"/>
    </row>
    <row r="340">
      <c r="A340" s="27" t="n"/>
      <c r="B340" s="27" t="n"/>
      <c r="C340" s="27" t="n"/>
      <c r="D340" s="27" t="n"/>
      <c r="E340" s="28" t="n"/>
      <c r="F340" s="28" t="n"/>
      <c r="G340" s="27" t="n"/>
      <c r="H340" s="29">
        <f>IF(G340="Invoice",IF(ISNUMBER(F340),F340,""),IF(ISNUMBER(E340),E340,""))</f>
        <v/>
      </c>
      <c r="I340" s="30" t="n"/>
      <c r="J340" s="29">
        <f>IF(AND(ISNUMBER(H340),ISNUMBER(I340)),EDATE(H340,I340),"")</f>
        <v/>
      </c>
      <c r="K340" s="30" t="n"/>
      <c r="L340" s="29">
        <f>IF(AND(ISNUMBER(H340),ISNUMBER(K340)),EDATE(H340,K340),"")</f>
        <v/>
      </c>
      <c r="M340" s="29">
        <f>IF(COUNT(J340,L340)=0,"",IF(MIN(J340,L340)&gt;=TODAY(),MIN(J340,L340),MAX(J340,L340)))</f>
        <v/>
      </c>
      <c r="N340" s="31">
        <f>IF(ISNUMBER(M340),M340-TODAY(),"")</f>
        <v/>
      </c>
      <c r="O340" s="30" t="n"/>
      <c r="P340" s="29">
        <f>IF(ISNUMBER(M340),M340-IF(ISNUMBER(O340),O340,60),"")</f>
        <v/>
      </c>
      <c r="Q340" s="27" t="n"/>
      <c r="R340" s="27" t="n"/>
      <c r="S340" s="27" t="n"/>
      <c r="T340" s="27" t="n"/>
      <c r="U340" s="27" t="n"/>
      <c r="V340" s="27" t="n"/>
      <c r="W340" s="27" t="n"/>
      <c r="X340" s="27" t="n"/>
      <c r="Y340" s="27" t="n"/>
    </row>
    <row r="341">
      <c r="A341" s="27" t="n"/>
      <c r="B341" s="27" t="n"/>
      <c r="C341" s="27" t="n"/>
      <c r="D341" s="27" t="n"/>
      <c r="E341" s="28" t="n"/>
      <c r="F341" s="28" t="n"/>
      <c r="G341" s="27" t="n"/>
      <c r="H341" s="29">
        <f>IF(G341="Invoice",IF(ISNUMBER(F341),F341,""),IF(ISNUMBER(E341),E341,""))</f>
        <v/>
      </c>
      <c r="I341" s="30" t="n"/>
      <c r="J341" s="29">
        <f>IF(AND(ISNUMBER(H341),ISNUMBER(I341)),EDATE(H341,I341),"")</f>
        <v/>
      </c>
      <c r="K341" s="30" t="n"/>
      <c r="L341" s="29">
        <f>IF(AND(ISNUMBER(H341),ISNUMBER(K341)),EDATE(H341,K341),"")</f>
        <v/>
      </c>
      <c r="M341" s="29">
        <f>IF(COUNT(J341,L341)=0,"",IF(MIN(J341,L341)&gt;=TODAY(),MIN(J341,L341),MAX(J341,L341)))</f>
        <v/>
      </c>
      <c r="N341" s="31">
        <f>IF(ISNUMBER(M341),M341-TODAY(),"")</f>
        <v/>
      </c>
      <c r="O341" s="30" t="n"/>
      <c r="P341" s="29">
        <f>IF(ISNUMBER(M341),M341-IF(ISNUMBER(O341),O341,60),"")</f>
        <v/>
      </c>
      <c r="Q341" s="27" t="n"/>
      <c r="R341" s="27" t="n"/>
      <c r="S341" s="27" t="n"/>
      <c r="T341" s="27" t="n"/>
      <c r="U341" s="27" t="n"/>
      <c r="V341" s="27" t="n"/>
      <c r="W341" s="27" t="n"/>
      <c r="X341" s="27" t="n"/>
      <c r="Y341" s="27" t="n"/>
    </row>
    <row r="342">
      <c r="A342" s="27" t="n"/>
      <c r="B342" s="27" t="n"/>
      <c r="C342" s="27" t="n"/>
      <c r="D342" s="27" t="n"/>
      <c r="E342" s="28" t="n"/>
      <c r="F342" s="28" t="n"/>
      <c r="G342" s="27" t="n"/>
      <c r="H342" s="29">
        <f>IF(G342="Invoice",IF(ISNUMBER(F342),F342,""),IF(ISNUMBER(E342),E342,""))</f>
        <v/>
      </c>
      <c r="I342" s="30" t="n"/>
      <c r="J342" s="29">
        <f>IF(AND(ISNUMBER(H342),ISNUMBER(I342)),EDATE(H342,I342),"")</f>
        <v/>
      </c>
      <c r="K342" s="30" t="n"/>
      <c r="L342" s="29">
        <f>IF(AND(ISNUMBER(H342),ISNUMBER(K342)),EDATE(H342,K342),"")</f>
        <v/>
      </c>
      <c r="M342" s="29">
        <f>IF(COUNT(J342,L342)=0,"",IF(MIN(J342,L342)&gt;=TODAY(),MIN(J342,L342),MAX(J342,L342)))</f>
        <v/>
      </c>
      <c r="N342" s="31">
        <f>IF(ISNUMBER(M342),M342-TODAY(),"")</f>
        <v/>
      </c>
      <c r="O342" s="30" t="n"/>
      <c r="P342" s="29">
        <f>IF(ISNUMBER(M342),M342-IF(ISNUMBER(O342),O342,60),"")</f>
        <v/>
      </c>
      <c r="Q342" s="27" t="n"/>
      <c r="R342" s="27" t="n"/>
      <c r="S342" s="27" t="n"/>
      <c r="T342" s="27" t="n"/>
      <c r="U342" s="27" t="n"/>
      <c r="V342" s="27" t="n"/>
      <c r="W342" s="27" t="n"/>
      <c r="X342" s="27" t="n"/>
      <c r="Y342" s="27" t="n"/>
    </row>
    <row r="343">
      <c r="A343" s="27" t="n"/>
      <c r="B343" s="27" t="n"/>
      <c r="C343" s="27" t="n"/>
      <c r="D343" s="27" t="n"/>
      <c r="E343" s="28" t="n"/>
      <c r="F343" s="28" t="n"/>
      <c r="G343" s="27" t="n"/>
      <c r="H343" s="29">
        <f>IF(G343="Invoice",IF(ISNUMBER(F343),F343,""),IF(ISNUMBER(E343),E343,""))</f>
        <v/>
      </c>
      <c r="I343" s="30" t="n"/>
      <c r="J343" s="29">
        <f>IF(AND(ISNUMBER(H343),ISNUMBER(I343)),EDATE(H343,I343),"")</f>
        <v/>
      </c>
      <c r="K343" s="30" t="n"/>
      <c r="L343" s="29">
        <f>IF(AND(ISNUMBER(H343),ISNUMBER(K343)),EDATE(H343,K343),"")</f>
        <v/>
      </c>
      <c r="M343" s="29">
        <f>IF(COUNT(J343,L343)=0,"",IF(MIN(J343,L343)&gt;=TODAY(),MIN(J343,L343),MAX(J343,L343)))</f>
        <v/>
      </c>
      <c r="N343" s="31">
        <f>IF(ISNUMBER(M343),M343-TODAY(),"")</f>
        <v/>
      </c>
      <c r="O343" s="30" t="n"/>
      <c r="P343" s="29">
        <f>IF(ISNUMBER(M343),M343-IF(ISNUMBER(O343),O343,60),"")</f>
        <v/>
      </c>
      <c r="Q343" s="27" t="n"/>
      <c r="R343" s="27" t="n"/>
      <c r="S343" s="27" t="n"/>
      <c r="T343" s="27" t="n"/>
      <c r="U343" s="27" t="n"/>
      <c r="V343" s="27" t="n"/>
      <c r="W343" s="27" t="n"/>
      <c r="X343" s="27" t="n"/>
      <c r="Y343" s="27" t="n"/>
    </row>
    <row r="344">
      <c r="A344" s="27" t="n"/>
      <c r="B344" s="27" t="n"/>
      <c r="C344" s="27" t="n"/>
      <c r="D344" s="27" t="n"/>
      <c r="E344" s="28" t="n"/>
      <c r="F344" s="28" t="n"/>
      <c r="G344" s="27" t="n"/>
      <c r="H344" s="29">
        <f>IF(G344="Invoice",IF(ISNUMBER(F344),F344,""),IF(ISNUMBER(E344),E344,""))</f>
        <v/>
      </c>
      <c r="I344" s="30" t="n"/>
      <c r="J344" s="29">
        <f>IF(AND(ISNUMBER(H344),ISNUMBER(I344)),EDATE(H344,I344),"")</f>
        <v/>
      </c>
      <c r="K344" s="30" t="n"/>
      <c r="L344" s="29">
        <f>IF(AND(ISNUMBER(H344),ISNUMBER(K344)),EDATE(H344,K344),"")</f>
        <v/>
      </c>
      <c r="M344" s="29">
        <f>IF(COUNT(J344,L344)=0,"",IF(MIN(J344,L344)&gt;=TODAY(),MIN(J344,L344),MAX(J344,L344)))</f>
        <v/>
      </c>
      <c r="N344" s="31">
        <f>IF(ISNUMBER(M344),M344-TODAY(),"")</f>
        <v/>
      </c>
      <c r="O344" s="30" t="n"/>
      <c r="P344" s="29">
        <f>IF(ISNUMBER(M344),M344-IF(ISNUMBER(O344),O344,60),"")</f>
        <v/>
      </c>
      <c r="Q344" s="27" t="n"/>
      <c r="R344" s="27" t="n"/>
      <c r="S344" s="27" t="n"/>
      <c r="T344" s="27" t="n"/>
      <c r="U344" s="27" t="n"/>
      <c r="V344" s="27" t="n"/>
      <c r="W344" s="27" t="n"/>
      <c r="X344" s="27" t="n"/>
      <c r="Y344" s="27" t="n"/>
    </row>
    <row r="345">
      <c r="A345" s="27" t="n"/>
      <c r="B345" s="27" t="n"/>
      <c r="C345" s="27" t="n"/>
      <c r="D345" s="27" t="n"/>
      <c r="E345" s="28" t="n"/>
      <c r="F345" s="28" t="n"/>
      <c r="G345" s="27" t="n"/>
      <c r="H345" s="29">
        <f>IF(G345="Invoice",IF(ISNUMBER(F345),F345,""),IF(ISNUMBER(E345),E345,""))</f>
        <v/>
      </c>
      <c r="I345" s="30" t="n"/>
      <c r="J345" s="29">
        <f>IF(AND(ISNUMBER(H345),ISNUMBER(I345)),EDATE(H345,I345),"")</f>
        <v/>
      </c>
      <c r="K345" s="30" t="n"/>
      <c r="L345" s="29">
        <f>IF(AND(ISNUMBER(H345),ISNUMBER(K345)),EDATE(H345,K345),"")</f>
        <v/>
      </c>
      <c r="M345" s="29">
        <f>IF(COUNT(J345,L345)=0,"",IF(MIN(J345,L345)&gt;=TODAY(),MIN(J345,L345),MAX(J345,L345)))</f>
        <v/>
      </c>
      <c r="N345" s="31">
        <f>IF(ISNUMBER(M345),M345-TODAY(),"")</f>
        <v/>
      </c>
      <c r="O345" s="30" t="n"/>
      <c r="P345" s="29">
        <f>IF(ISNUMBER(M345),M345-IF(ISNUMBER(O345),O345,60),"")</f>
        <v/>
      </c>
      <c r="Q345" s="27" t="n"/>
      <c r="R345" s="27" t="n"/>
      <c r="S345" s="27" t="n"/>
      <c r="T345" s="27" t="n"/>
      <c r="U345" s="27" t="n"/>
      <c r="V345" s="27" t="n"/>
      <c r="W345" s="27" t="n"/>
      <c r="X345" s="27" t="n"/>
      <c r="Y345" s="27" t="n"/>
    </row>
    <row r="346">
      <c r="A346" s="27" t="n"/>
      <c r="B346" s="27" t="n"/>
      <c r="C346" s="27" t="n"/>
      <c r="D346" s="27" t="n"/>
      <c r="E346" s="28" t="n"/>
      <c r="F346" s="28" t="n"/>
      <c r="G346" s="27" t="n"/>
      <c r="H346" s="29">
        <f>IF(G346="Invoice",IF(ISNUMBER(F346),F346,""),IF(ISNUMBER(E346),E346,""))</f>
        <v/>
      </c>
      <c r="I346" s="30" t="n"/>
      <c r="J346" s="29">
        <f>IF(AND(ISNUMBER(H346),ISNUMBER(I346)),EDATE(H346,I346),"")</f>
        <v/>
      </c>
      <c r="K346" s="30" t="n"/>
      <c r="L346" s="29">
        <f>IF(AND(ISNUMBER(H346),ISNUMBER(K346)),EDATE(H346,K346),"")</f>
        <v/>
      </c>
      <c r="M346" s="29">
        <f>IF(COUNT(J346,L346)=0,"",IF(MIN(J346,L346)&gt;=TODAY(),MIN(J346,L346),MAX(J346,L346)))</f>
        <v/>
      </c>
      <c r="N346" s="31">
        <f>IF(ISNUMBER(M346),M346-TODAY(),"")</f>
        <v/>
      </c>
      <c r="O346" s="30" t="n"/>
      <c r="P346" s="29">
        <f>IF(ISNUMBER(M346),M346-IF(ISNUMBER(O346),O346,60),"")</f>
        <v/>
      </c>
      <c r="Q346" s="27" t="n"/>
      <c r="R346" s="27" t="n"/>
      <c r="S346" s="27" t="n"/>
      <c r="T346" s="27" t="n"/>
      <c r="U346" s="27" t="n"/>
      <c r="V346" s="27" t="n"/>
      <c r="W346" s="27" t="n"/>
      <c r="X346" s="27" t="n"/>
      <c r="Y346" s="27" t="n"/>
    </row>
    <row r="347">
      <c r="A347" s="27" t="n"/>
      <c r="B347" s="27" t="n"/>
      <c r="C347" s="27" t="n"/>
      <c r="D347" s="27" t="n"/>
      <c r="E347" s="28" t="n"/>
      <c r="F347" s="28" t="n"/>
      <c r="G347" s="27" t="n"/>
      <c r="H347" s="29">
        <f>IF(G347="Invoice",IF(ISNUMBER(F347),F347,""),IF(ISNUMBER(E347),E347,""))</f>
        <v/>
      </c>
      <c r="I347" s="30" t="n"/>
      <c r="J347" s="29">
        <f>IF(AND(ISNUMBER(H347),ISNUMBER(I347)),EDATE(H347,I347),"")</f>
        <v/>
      </c>
      <c r="K347" s="30" t="n"/>
      <c r="L347" s="29">
        <f>IF(AND(ISNUMBER(H347),ISNUMBER(K347)),EDATE(H347,K347),"")</f>
        <v/>
      </c>
      <c r="M347" s="29">
        <f>IF(COUNT(J347,L347)=0,"",IF(MIN(J347,L347)&gt;=TODAY(),MIN(J347,L347),MAX(J347,L347)))</f>
        <v/>
      </c>
      <c r="N347" s="31">
        <f>IF(ISNUMBER(M347),M347-TODAY(),"")</f>
        <v/>
      </c>
      <c r="O347" s="30" t="n"/>
      <c r="P347" s="29">
        <f>IF(ISNUMBER(M347),M347-IF(ISNUMBER(O347),O347,60),"")</f>
        <v/>
      </c>
      <c r="Q347" s="27" t="n"/>
      <c r="R347" s="27" t="n"/>
      <c r="S347" s="27" t="n"/>
      <c r="T347" s="27" t="n"/>
      <c r="U347" s="27" t="n"/>
      <c r="V347" s="27" t="n"/>
      <c r="W347" s="27" t="n"/>
      <c r="X347" s="27" t="n"/>
      <c r="Y347" s="27" t="n"/>
    </row>
    <row r="348">
      <c r="A348" s="27" t="n"/>
      <c r="B348" s="27" t="n"/>
      <c r="C348" s="27" t="n"/>
      <c r="D348" s="27" t="n"/>
      <c r="E348" s="28" t="n"/>
      <c r="F348" s="28" t="n"/>
      <c r="G348" s="27" t="n"/>
      <c r="H348" s="29">
        <f>IF(G348="Invoice",IF(ISNUMBER(F348),F348,""),IF(ISNUMBER(E348),E348,""))</f>
        <v/>
      </c>
      <c r="I348" s="30" t="n"/>
      <c r="J348" s="29">
        <f>IF(AND(ISNUMBER(H348),ISNUMBER(I348)),EDATE(H348,I348),"")</f>
        <v/>
      </c>
      <c r="K348" s="30" t="n"/>
      <c r="L348" s="29">
        <f>IF(AND(ISNUMBER(H348),ISNUMBER(K348)),EDATE(H348,K348),"")</f>
        <v/>
      </c>
      <c r="M348" s="29">
        <f>IF(COUNT(J348,L348)=0,"",IF(MIN(J348,L348)&gt;=TODAY(),MIN(J348,L348),MAX(J348,L348)))</f>
        <v/>
      </c>
      <c r="N348" s="31">
        <f>IF(ISNUMBER(M348),M348-TODAY(),"")</f>
        <v/>
      </c>
      <c r="O348" s="30" t="n"/>
      <c r="P348" s="29">
        <f>IF(ISNUMBER(M348),M348-IF(ISNUMBER(O348),O348,60),"")</f>
        <v/>
      </c>
      <c r="Q348" s="27" t="n"/>
      <c r="R348" s="27" t="n"/>
      <c r="S348" s="27" t="n"/>
      <c r="T348" s="27" t="n"/>
      <c r="U348" s="27" t="n"/>
      <c r="V348" s="27" t="n"/>
      <c r="W348" s="27" t="n"/>
      <c r="X348" s="27" t="n"/>
      <c r="Y348" s="27" t="n"/>
    </row>
    <row r="349">
      <c r="A349" s="27" t="n"/>
      <c r="B349" s="27" t="n"/>
      <c r="C349" s="27" t="n"/>
      <c r="D349" s="27" t="n"/>
      <c r="E349" s="28" t="n"/>
      <c r="F349" s="28" t="n"/>
      <c r="G349" s="27" t="n"/>
      <c r="H349" s="29">
        <f>IF(G349="Invoice",IF(ISNUMBER(F349),F349,""),IF(ISNUMBER(E349),E349,""))</f>
        <v/>
      </c>
      <c r="I349" s="30" t="n"/>
      <c r="J349" s="29">
        <f>IF(AND(ISNUMBER(H349),ISNUMBER(I349)),EDATE(H349,I349),"")</f>
        <v/>
      </c>
      <c r="K349" s="30" t="n"/>
      <c r="L349" s="29">
        <f>IF(AND(ISNUMBER(H349),ISNUMBER(K349)),EDATE(H349,K349),"")</f>
        <v/>
      </c>
      <c r="M349" s="29">
        <f>IF(COUNT(J349,L349)=0,"",IF(MIN(J349,L349)&gt;=TODAY(),MIN(J349,L349),MAX(J349,L349)))</f>
        <v/>
      </c>
      <c r="N349" s="31">
        <f>IF(ISNUMBER(M349),M349-TODAY(),"")</f>
        <v/>
      </c>
      <c r="O349" s="30" t="n"/>
      <c r="P349" s="29">
        <f>IF(ISNUMBER(M349),M349-IF(ISNUMBER(O349),O349,60),"")</f>
        <v/>
      </c>
      <c r="Q349" s="27" t="n"/>
      <c r="R349" s="27" t="n"/>
      <c r="S349" s="27" t="n"/>
      <c r="T349" s="27" t="n"/>
      <c r="U349" s="27" t="n"/>
      <c r="V349" s="27" t="n"/>
      <c r="W349" s="27" t="n"/>
      <c r="X349" s="27" t="n"/>
      <c r="Y349" s="27" t="n"/>
    </row>
    <row r="350">
      <c r="A350" s="27" t="n"/>
      <c r="B350" s="27" t="n"/>
      <c r="C350" s="27" t="n"/>
      <c r="D350" s="27" t="n"/>
      <c r="E350" s="28" t="n"/>
      <c r="F350" s="28" t="n"/>
      <c r="G350" s="27" t="n"/>
      <c r="H350" s="29">
        <f>IF(G350="Invoice",IF(ISNUMBER(F350),F350,""),IF(ISNUMBER(E350),E350,""))</f>
        <v/>
      </c>
      <c r="I350" s="30" t="n"/>
      <c r="J350" s="29">
        <f>IF(AND(ISNUMBER(H350),ISNUMBER(I350)),EDATE(H350,I350),"")</f>
        <v/>
      </c>
      <c r="K350" s="30" t="n"/>
      <c r="L350" s="29">
        <f>IF(AND(ISNUMBER(H350),ISNUMBER(K350)),EDATE(H350,K350),"")</f>
        <v/>
      </c>
      <c r="M350" s="29">
        <f>IF(COUNT(J350,L350)=0,"",IF(MIN(J350,L350)&gt;=TODAY(),MIN(J350,L350),MAX(J350,L350)))</f>
        <v/>
      </c>
      <c r="N350" s="31">
        <f>IF(ISNUMBER(M350),M350-TODAY(),"")</f>
        <v/>
      </c>
      <c r="O350" s="30" t="n"/>
      <c r="P350" s="29">
        <f>IF(ISNUMBER(M350),M350-IF(ISNUMBER(O350),O350,60),"")</f>
        <v/>
      </c>
      <c r="Q350" s="27" t="n"/>
      <c r="R350" s="27" t="n"/>
      <c r="S350" s="27" t="n"/>
      <c r="T350" s="27" t="n"/>
      <c r="U350" s="27" t="n"/>
      <c r="V350" s="27" t="n"/>
      <c r="W350" s="27" t="n"/>
      <c r="X350" s="27" t="n"/>
      <c r="Y350" s="27" t="n"/>
    </row>
    <row r="351">
      <c r="A351" s="27" t="n"/>
      <c r="B351" s="27" t="n"/>
      <c r="C351" s="27" t="n"/>
      <c r="D351" s="27" t="n"/>
      <c r="E351" s="28" t="n"/>
      <c r="F351" s="28" t="n"/>
      <c r="G351" s="27" t="n"/>
      <c r="H351" s="29">
        <f>IF(G351="Invoice",IF(ISNUMBER(F351),F351,""),IF(ISNUMBER(E351),E351,""))</f>
        <v/>
      </c>
      <c r="I351" s="30" t="n"/>
      <c r="J351" s="29">
        <f>IF(AND(ISNUMBER(H351),ISNUMBER(I351)),EDATE(H351,I351),"")</f>
        <v/>
      </c>
      <c r="K351" s="30" t="n"/>
      <c r="L351" s="29">
        <f>IF(AND(ISNUMBER(H351),ISNUMBER(K351)),EDATE(H351,K351),"")</f>
        <v/>
      </c>
      <c r="M351" s="29">
        <f>IF(COUNT(J351,L351)=0,"",IF(MIN(J351,L351)&gt;=TODAY(),MIN(J351,L351),MAX(J351,L351)))</f>
        <v/>
      </c>
      <c r="N351" s="31">
        <f>IF(ISNUMBER(M351),M351-TODAY(),"")</f>
        <v/>
      </c>
      <c r="O351" s="30" t="n"/>
      <c r="P351" s="29">
        <f>IF(ISNUMBER(M351),M351-IF(ISNUMBER(O351),O351,60),"")</f>
        <v/>
      </c>
      <c r="Q351" s="27" t="n"/>
      <c r="R351" s="27" t="n"/>
      <c r="S351" s="27" t="n"/>
      <c r="T351" s="27" t="n"/>
      <c r="U351" s="27" t="n"/>
      <c r="V351" s="27" t="n"/>
      <c r="W351" s="27" t="n"/>
      <c r="X351" s="27" t="n"/>
      <c r="Y351" s="27" t="n"/>
    </row>
    <row r="352">
      <c r="A352" s="27" t="n"/>
      <c r="B352" s="27" t="n"/>
      <c r="C352" s="27" t="n"/>
      <c r="D352" s="27" t="n"/>
      <c r="E352" s="28" t="n"/>
      <c r="F352" s="28" t="n"/>
      <c r="G352" s="27" t="n"/>
      <c r="H352" s="29">
        <f>IF(G352="Invoice",IF(ISNUMBER(F352),F352,""),IF(ISNUMBER(E352),E352,""))</f>
        <v/>
      </c>
      <c r="I352" s="30" t="n"/>
      <c r="J352" s="29">
        <f>IF(AND(ISNUMBER(H352),ISNUMBER(I352)),EDATE(H352,I352),"")</f>
        <v/>
      </c>
      <c r="K352" s="30" t="n"/>
      <c r="L352" s="29">
        <f>IF(AND(ISNUMBER(H352),ISNUMBER(K352)),EDATE(H352,K352),"")</f>
        <v/>
      </c>
      <c r="M352" s="29">
        <f>IF(COUNT(J352,L352)=0,"",IF(MIN(J352,L352)&gt;=TODAY(),MIN(J352,L352),MAX(J352,L352)))</f>
        <v/>
      </c>
      <c r="N352" s="31">
        <f>IF(ISNUMBER(M352),M352-TODAY(),"")</f>
        <v/>
      </c>
      <c r="O352" s="30" t="n"/>
      <c r="P352" s="29">
        <f>IF(ISNUMBER(M352),M352-IF(ISNUMBER(O352),O352,60),"")</f>
        <v/>
      </c>
      <c r="Q352" s="27" t="n"/>
      <c r="R352" s="27" t="n"/>
      <c r="S352" s="27" t="n"/>
      <c r="T352" s="27" t="n"/>
      <c r="U352" s="27" t="n"/>
      <c r="V352" s="27" t="n"/>
      <c r="W352" s="27" t="n"/>
      <c r="X352" s="27" t="n"/>
      <c r="Y352" s="27" t="n"/>
    </row>
    <row r="353">
      <c r="A353" s="27" t="n"/>
      <c r="B353" s="27" t="n"/>
      <c r="C353" s="27" t="n"/>
      <c r="D353" s="27" t="n"/>
      <c r="E353" s="28" t="n"/>
      <c r="F353" s="28" t="n"/>
      <c r="G353" s="27" t="n"/>
      <c r="H353" s="29">
        <f>IF(G353="Invoice",IF(ISNUMBER(F353),F353,""),IF(ISNUMBER(E353),E353,""))</f>
        <v/>
      </c>
      <c r="I353" s="30" t="n"/>
      <c r="J353" s="29">
        <f>IF(AND(ISNUMBER(H353),ISNUMBER(I353)),EDATE(H353,I353),"")</f>
        <v/>
      </c>
      <c r="K353" s="30" t="n"/>
      <c r="L353" s="29">
        <f>IF(AND(ISNUMBER(H353),ISNUMBER(K353)),EDATE(H353,K353),"")</f>
        <v/>
      </c>
      <c r="M353" s="29">
        <f>IF(COUNT(J353,L353)=0,"",IF(MIN(J353,L353)&gt;=TODAY(),MIN(J353,L353),MAX(J353,L353)))</f>
        <v/>
      </c>
      <c r="N353" s="31">
        <f>IF(ISNUMBER(M353),M353-TODAY(),"")</f>
        <v/>
      </c>
      <c r="O353" s="30" t="n"/>
      <c r="P353" s="29">
        <f>IF(ISNUMBER(M353),M353-IF(ISNUMBER(O353),O353,60),"")</f>
        <v/>
      </c>
      <c r="Q353" s="27" t="n"/>
      <c r="R353" s="27" t="n"/>
      <c r="S353" s="27" t="n"/>
      <c r="T353" s="27" t="n"/>
      <c r="U353" s="27" t="n"/>
      <c r="V353" s="27" t="n"/>
      <c r="W353" s="27" t="n"/>
      <c r="X353" s="27" t="n"/>
      <c r="Y353" s="27" t="n"/>
    </row>
    <row r="354">
      <c r="A354" s="27" t="n"/>
      <c r="B354" s="27" t="n"/>
      <c r="C354" s="27" t="n"/>
      <c r="D354" s="27" t="n"/>
      <c r="E354" s="28" t="n"/>
      <c r="F354" s="28" t="n"/>
      <c r="G354" s="27" t="n"/>
      <c r="H354" s="29">
        <f>IF(G354="Invoice",IF(ISNUMBER(F354),F354,""),IF(ISNUMBER(E354),E354,""))</f>
        <v/>
      </c>
      <c r="I354" s="30" t="n"/>
      <c r="J354" s="29">
        <f>IF(AND(ISNUMBER(H354),ISNUMBER(I354)),EDATE(H354,I354),"")</f>
        <v/>
      </c>
      <c r="K354" s="30" t="n"/>
      <c r="L354" s="29">
        <f>IF(AND(ISNUMBER(H354),ISNUMBER(K354)),EDATE(H354,K354),"")</f>
        <v/>
      </c>
      <c r="M354" s="29">
        <f>IF(COUNT(J354,L354)=0,"",IF(MIN(J354,L354)&gt;=TODAY(),MIN(J354,L354),MAX(J354,L354)))</f>
        <v/>
      </c>
      <c r="N354" s="31">
        <f>IF(ISNUMBER(M354),M354-TODAY(),"")</f>
        <v/>
      </c>
      <c r="O354" s="30" t="n"/>
      <c r="P354" s="29">
        <f>IF(ISNUMBER(M354),M354-IF(ISNUMBER(O354),O354,60),"")</f>
        <v/>
      </c>
      <c r="Q354" s="27" t="n"/>
      <c r="R354" s="27" t="n"/>
      <c r="S354" s="27" t="n"/>
      <c r="T354" s="27" t="n"/>
      <c r="U354" s="27" t="n"/>
      <c r="V354" s="27" t="n"/>
      <c r="W354" s="27" t="n"/>
      <c r="X354" s="27" t="n"/>
      <c r="Y354" s="27" t="n"/>
    </row>
    <row r="355">
      <c r="A355" s="27" t="n"/>
      <c r="B355" s="27" t="n"/>
      <c r="C355" s="27" t="n"/>
      <c r="D355" s="27" t="n"/>
      <c r="E355" s="28" t="n"/>
      <c r="F355" s="28" t="n"/>
      <c r="G355" s="27" t="n"/>
      <c r="H355" s="29">
        <f>IF(G355="Invoice",IF(ISNUMBER(F355),F355,""),IF(ISNUMBER(E355),E355,""))</f>
        <v/>
      </c>
      <c r="I355" s="30" t="n"/>
      <c r="J355" s="29">
        <f>IF(AND(ISNUMBER(H355),ISNUMBER(I355)),EDATE(H355,I355),"")</f>
        <v/>
      </c>
      <c r="K355" s="30" t="n"/>
      <c r="L355" s="29">
        <f>IF(AND(ISNUMBER(H355),ISNUMBER(K355)),EDATE(H355,K355),"")</f>
        <v/>
      </c>
      <c r="M355" s="29">
        <f>IF(COUNT(J355,L355)=0,"",IF(MIN(J355,L355)&gt;=TODAY(),MIN(J355,L355),MAX(J355,L355)))</f>
        <v/>
      </c>
      <c r="N355" s="31">
        <f>IF(ISNUMBER(M355),M355-TODAY(),"")</f>
        <v/>
      </c>
      <c r="O355" s="30" t="n"/>
      <c r="P355" s="29">
        <f>IF(ISNUMBER(M355),M355-IF(ISNUMBER(O355),O355,60),"")</f>
        <v/>
      </c>
      <c r="Q355" s="27" t="n"/>
      <c r="R355" s="27" t="n"/>
      <c r="S355" s="27" t="n"/>
      <c r="T355" s="27" t="n"/>
      <c r="U355" s="27" t="n"/>
      <c r="V355" s="27" t="n"/>
      <c r="W355" s="27" t="n"/>
      <c r="X355" s="27" t="n"/>
      <c r="Y355" s="27" t="n"/>
    </row>
    <row r="356">
      <c r="A356" s="27" t="n"/>
      <c r="B356" s="27" t="n"/>
      <c r="C356" s="27" t="n"/>
      <c r="D356" s="27" t="n"/>
      <c r="E356" s="28" t="n"/>
      <c r="F356" s="28" t="n"/>
      <c r="G356" s="27" t="n"/>
      <c r="H356" s="29">
        <f>IF(G356="Invoice",IF(ISNUMBER(F356),F356,""),IF(ISNUMBER(E356),E356,""))</f>
        <v/>
      </c>
      <c r="I356" s="30" t="n"/>
      <c r="J356" s="29">
        <f>IF(AND(ISNUMBER(H356),ISNUMBER(I356)),EDATE(H356,I356),"")</f>
        <v/>
      </c>
      <c r="K356" s="30" t="n"/>
      <c r="L356" s="29">
        <f>IF(AND(ISNUMBER(H356),ISNUMBER(K356)),EDATE(H356,K356),"")</f>
        <v/>
      </c>
      <c r="M356" s="29">
        <f>IF(COUNT(J356,L356)=0,"",IF(MIN(J356,L356)&gt;=TODAY(),MIN(J356,L356),MAX(J356,L356)))</f>
        <v/>
      </c>
      <c r="N356" s="31">
        <f>IF(ISNUMBER(M356),M356-TODAY(),"")</f>
        <v/>
      </c>
      <c r="O356" s="30" t="n"/>
      <c r="P356" s="29">
        <f>IF(ISNUMBER(M356),M356-IF(ISNUMBER(O356),O356,60),"")</f>
        <v/>
      </c>
      <c r="Q356" s="27" t="n"/>
      <c r="R356" s="27" t="n"/>
      <c r="S356" s="27" t="n"/>
      <c r="T356" s="27" t="n"/>
      <c r="U356" s="27" t="n"/>
      <c r="V356" s="27" t="n"/>
      <c r="W356" s="27" t="n"/>
      <c r="X356" s="27" t="n"/>
      <c r="Y356" s="27" t="n"/>
    </row>
    <row r="357">
      <c r="A357" s="27" t="n"/>
      <c r="B357" s="27" t="n"/>
      <c r="C357" s="27" t="n"/>
      <c r="D357" s="27" t="n"/>
      <c r="E357" s="28" t="n"/>
      <c r="F357" s="28" t="n"/>
      <c r="G357" s="27" t="n"/>
      <c r="H357" s="29">
        <f>IF(G357="Invoice",IF(ISNUMBER(F357),F357,""),IF(ISNUMBER(E357),E357,""))</f>
        <v/>
      </c>
      <c r="I357" s="30" t="n"/>
      <c r="J357" s="29">
        <f>IF(AND(ISNUMBER(H357),ISNUMBER(I357)),EDATE(H357,I357),"")</f>
        <v/>
      </c>
      <c r="K357" s="30" t="n"/>
      <c r="L357" s="29">
        <f>IF(AND(ISNUMBER(H357),ISNUMBER(K357)),EDATE(H357,K357),"")</f>
        <v/>
      </c>
      <c r="M357" s="29">
        <f>IF(COUNT(J357,L357)=0,"",IF(MIN(J357,L357)&gt;=TODAY(),MIN(J357,L357),MAX(J357,L357)))</f>
        <v/>
      </c>
      <c r="N357" s="31">
        <f>IF(ISNUMBER(M357),M357-TODAY(),"")</f>
        <v/>
      </c>
      <c r="O357" s="30" t="n"/>
      <c r="P357" s="29">
        <f>IF(ISNUMBER(M357),M357-IF(ISNUMBER(O357),O357,60),"")</f>
        <v/>
      </c>
      <c r="Q357" s="27" t="n"/>
      <c r="R357" s="27" t="n"/>
      <c r="S357" s="27" t="n"/>
      <c r="T357" s="27" t="n"/>
      <c r="U357" s="27" t="n"/>
      <c r="V357" s="27" t="n"/>
      <c r="W357" s="27" t="n"/>
      <c r="X357" s="27" t="n"/>
      <c r="Y357" s="27" t="n"/>
    </row>
    <row r="358">
      <c r="A358" s="27" t="n"/>
      <c r="B358" s="27" t="n"/>
      <c r="C358" s="27" t="n"/>
      <c r="D358" s="27" t="n"/>
      <c r="E358" s="28" t="n"/>
      <c r="F358" s="28" t="n"/>
      <c r="G358" s="27" t="n"/>
      <c r="H358" s="29">
        <f>IF(G358="Invoice",IF(ISNUMBER(F358),F358,""),IF(ISNUMBER(E358),E358,""))</f>
        <v/>
      </c>
      <c r="I358" s="30" t="n"/>
      <c r="J358" s="29">
        <f>IF(AND(ISNUMBER(H358),ISNUMBER(I358)),EDATE(H358,I358),"")</f>
        <v/>
      </c>
      <c r="K358" s="30" t="n"/>
      <c r="L358" s="29">
        <f>IF(AND(ISNUMBER(H358),ISNUMBER(K358)),EDATE(H358,K358),"")</f>
        <v/>
      </c>
      <c r="M358" s="29">
        <f>IF(COUNT(J358,L358)=0,"",IF(MIN(J358,L358)&gt;=TODAY(),MIN(J358,L358),MAX(J358,L358)))</f>
        <v/>
      </c>
      <c r="N358" s="31">
        <f>IF(ISNUMBER(M358),M358-TODAY(),"")</f>
        <v/>
      </c>
      <c r="O358" s="30" t="n"/>
      <c r="P358" s="29">
        <f>IF(ISNUMBER(M358),M358-IF(ISNUMBER(O358),O358,60),"")</f>
        <v/>
      </c>
      <c r="Q358" s="27" t="n"/>
      <c r="R358" s="27" t="n"/>
      <c r="S358" s="27" t="n"/>
      <c r="T358" s="27" t="n"/>
      <c r="U358" s="27" t="n"/>
      <c r="V358" s="27" t="n"/>
      <c r="W358" s="27" t="n"/>
      <c r="X358" s="27" t="n"/>
      <c r="Y358" s="27" t="n"/>
    </row>
    <row r="359">
      <c r="A359" s="27" t="n"/>
      <c r="B359" s="27" t="n"/>
      <c r="C359" s="27" t="n"/>
      <c r="D359" s="27" t="n"/>
      <c r="E359" s="28" t="n"/>
      <c r="F359" s="28" t="n"/>
      <c r="G359" s="27" t="n"/>
      <c r="H359" s="29">
        <f>IF(G359="Invoice",IF(ISNUMBER(F359),F359,""),IF(ISNUMBER(E359),E359,""))</f>
        <v/>
      </c>
      <c r="I359" s="30" t="n"/>
      <c r="J359" s="29">
        <f>IF(AND(ISNUMBER(H359),ISNUMBER(I359)),EDATE(H359,I359),"")</f>
        <v/>
      </c>
      <c r="K359" s="30" t="n"/>
      <c r="L359" s="29">
        <f>IF(AND(ISNUMBER(H359),ISNUMBER(K359)),EDATE(H359,K359),"")</f>
        <v/>
      </c>
      <c r="M359" s="29">
        <f>IF(COUNT(J359,L359)=0,"",IF(MIN(J359,L359)&gt;=TODAY(),MIN(J359,L359),MAX(J359,L359)))</f>
        <v/>
      </c>
      <c r="N359" s="31">
        <f>IF(ISNUMBER(M359),M359-TODAY(),"")</f>
        <v/>
      </c>
      <c r="O359" s="30" t="n"/>
      <c r="P359" s="29">
        <f>IF(ISNUMBER(M359),M359-IF(ISNUMBER(O359),O359,60),"")</f>
        <v/>
      </c>
      <c r="Q359" s="27" t="n"/>
      <c r="R359" s="27" t="n"/>
      <c r="S359" s="27" t="n"/>
      <c r="T359" s="27" t="n"/>
      <c r="U359" s="27" t="n"/>
      <c r="V359" s="27" t="n"/>
      <c r="W359" s="27" t="n"/>
      <c r="X359" s="27" t="n"/>
      <c r="Y359" s="27" t="n"/>
    </row>
    <row r="360">
      <c r="A360" s="27" t="n"/>
      <c r="B360" s="27" t="n"/>
      <c r="C360" s="27" t="n"/>
      <c r="D360" s="27" t="n"/>
      <c r="E360" s="28" t="n"/>
      <c r="F360" s="28" t="n"/>
      <c r="G360" s="27" t="n"/>
      <c r="H360" s="29">
        <f>IF(G360="Invoice",IF(ISNUMBER(F360),F360,""),IF(ISNUMBER(E360),E360,""))</f>
        <v/>
      </c>
      <c r="I360" s="30" t="n"/>
      <c r="J360" s="29">
        <f>IF(AND(ISNUMBER(H360),ISNUMBER(I360)),EDATE(H360,I360),"")</f>
        <v/>
      </c>
      <c r="K360" s="30" t="n"/>
      <c r="L360" s="29">
        <f>IF(AND(ISNUMBER(H360),ISNUMBER(K360)),EDATE(H360,K360),"")</f>
        <v/>
      </c>
      <c r="M360" s="29">
        <f>IF(COUNT(J360,L360)=0,"",IF(MIN(J360,L360)&gt;=TODAY(),MIN(J360,L360),MAX(J360,L360)))</f>
        <v/>
      </c>
      <c r="N360" s="31">
        <f>IF(ISNUMBER(M360),M360-TODAY(),"")</f>
        <v/>
      </c>
      <c r="O360" s="30" t="n"/>
      <c r="P360" s="29">
        <f>IF(ISNUMBER(M360),M360-IF(ISNUMBER(O360),O360,60),"")</f>
        <v/>
      </c>
      <c r="Q360" s="27" t="n"/>
      <c r="R360" s="27" t="n"/>
      <c r="S360" s="27" t="n"/>
      <c r="T360" s="27" t="n"/>
      <c r="U360" s="27" t="n"/>
      <c r="V360" s="27" t="n"/>
      <c r="W360" s="27" t="n"/>
      <c r="X360" s="27" t="n"/>
      <c r="Y360" s="27" t="n"/>
    </row>
    <row r="361">
      <c r="A361" s="27" t="n"/>
      <c r="B361" s="27" t="n"/>
      <c r="C361" s="27" t="n"/>
      <c r="D361" s="27" t="n"/>
      <c r="E361" s="28" t="n"/>
      <c r="F361" s="28" t="n"/>
      <c r="G361" s="27" t="n"/>
      <c r="H361" s="29">
        <f>IF(G361="Invoice",IF(ISNUMBER(F361),F361,""),IF(ISNUMBER(E361),E361,""))</f>
        <v/>
      </c>
      <c r="I361" s="30" t="n"/>
      <c r="J361" s="29">
        <f>IF(AND(ISNUMBER(H361),ISNUMBER(I361)),EDATE(H361,I361),"")</f>
        <v/>
      </c>
      <c r="K361" s="30" t="n"/>
      <c r="L361" s="29">
        <f>IF(AND(ISNUMBER(H361),ISNUMBER(K361)),EDATE(H361,K361),"")</f>
        <v/>
      </c>
      <c r="M361" s="29">
        <f>IF(COUNT(J361,L361)=0,"",IF(MIN(J361,L361)&gt;=TODAY(),MIN(J361,L361),MAX(J361,L361)))</f>
        <v/>
      </c>
      <c r="N361" s="31">
        <f>IF(ISNUMBER(M361),M361-TODAY(),"")</f>
        <v/>
      </c>
      <c r="O361" s="30" t="n"/>
      <c r="P361" s="29">
        <f>IF(ISNUMBER(M361),M361-IF(ISNUMBER(O361),O361,60),"")</f>
        <v/>
      </c>
      <c r="Q361" s="27" t="n"/>
      <c r="R361" s="27" t="n"/>
      <c r="S361" s="27" t="n"/>
      <c r="T361" s="27" t="n"/>
      <c r="U361" s="27" t="n"/>
      <c r="V361" s="27" t="n"/>
      <c r="W361" s="27" t="n"/>
      <c r="X361" s="27" t="n"/>
      <c r="Y361" s="27" t="n"/>
    </row>
    <row r="362">
      <c r="A362" s="27" t="n"/>
      <c r="B362" s="27" t="n"/>
      <c r="C362" s="27" t="n"/>
      <c r="D362" s="27" t="n"/>
      <c r="E362" s="28" t="n"/>
      <c r="F362" s="28" t="n"/>
      <c r="G362" s="27" t="n"/>
      <c r="H362" s="29">
        <f>IF(G362="Invoice",IF(ISNUMBER(F362),F362,""),IF(ISNUMBER(E362),E362,""))</f>
        <v/>
      </c>
      <c r="I362" s="30" t="n"/>
      <c r="J362" s="29">
        <f>IF(AND(ISNUMBER(H362),ISNUMBER(I362)),EDATE(H362,I362),"")</f>
        <v/>
      </c>
      <c r="K362" s="30" t="n"/>
      <c r="L362" s="29">
        <f>IF(AND(ISNUMBER(H362),ISNUMBER(K362)),EDATE(H362,K362),"")</f>
        <v/>
      </c>
      <c r="M362" s="29">
        <f>IF(COUNT(J362,L362)=0,"",IF(MIN(J362,L362)&gt;=TODAY(),MIN(J362,L362),MAX(J362,L362)))</f>
        <v/>
      </c>
      <c r="N362" s="31">
        <f>IF(ISNUMBER(M362),M362-TODAY(),"")</f>
        <v/>
      </c>
      <c r="O362" s="30" t="n"/>
      <c r="P362" s="29">
        <f>IF(ISNUMBER(M362),M362-IF(ISNUMBER(O362),O362,60),"")</f>
        <v/>
      </c>
      <c r="Q362" s="27" t="n"/>
      <c r="R362" s="27" t="n"/>
      <c r="S362" s="27" t="n"/>
      <c r="T362" s="27" t="n"/>
      <c r="U362" s="27" t="n"/>
      <c r="V362" s="27" t="n"/>
      <c r="W362" s="27" t="n"/>
      <c r="X362" s="27" t="n"/>
      <c r="Y362" s="27" t="n"/>
    </row>
    <row r="363">
      <c r="A363" s="27" t="n"/>
      <c r="B363" s="27" t="n"/>
      <c r="C363" s="27" t="n"/>
      <c r="D363" s="27" t="n"/>
      <c r="E363" s="28" t="n"/>
      <c r="F363" s="28" t="n"/>
      <c r="G363" s="27" t="n"/>
      <c r="H363" s="29">
        <f>IF(G363="Invoice",IF(ISNUMBER(F363),F363,""),IF(ISNUMBER(E363),E363,""))</f>
        <v/>
      </c>
      <c r="I363" s="30" t="n"/>
      <c r="J363" s="29">
        <f>IF(AND(ISNUMBER(H363),ISNUMBER(I363)),EDATE(H363,I363),"")</f>
        <v/>
      </c>
      <c r="K363" s="30" t="n"/>
      <c r="L363" s="29">
        <f>IF(AND(ISNUMBER(H363),ISNUMBER(K363)),EDATE(H363,K363),"")</f>
        <v/>
      </c>
      <c r="M363" s="29">
        <f>IF(COUNT(J363,L363)=0,"",IF(MIN(J363,L363)&gt;=TODAY(),MIN(J363,L363),MAX(J363,L363)))</f>
        <v/>
      </c>
      <c r="N363" s="31">
        <f>IF(ISNUMBER(M363),M363-TODAY(),"")</f>
        <v/>
      </c>
      <c r="O363" s="30" t="n"/>
      <c r="P363" s="29">
        <f>IF(ISNUMBER(M363),M363-IF(ISNUMBER(O363),O363,60),"")</f>
        <v/>
      </c>
      <c r="Q363" s="27" t="n"/>
      <c r="R363" s="27" t="n"/>
      <c r="S363" s="27" t="n"/>
      <c r="T363" s="27" t="n"/>
      <c r="U363" s="27" t="n"/>
      <c r="V363" s="27" t="n"/>
      <c r="W363" s="27" t="n"/>
      <c r="X363" s="27" t="n"/>
      <c r="Y363" s="27" t="n"/>
    </row>
    <row r="364">
      <c r="A364" s="27" t="n"/>
      <c r="B364" s="27" t="n"/>
      <c r="C364" s="27" t="n"/>
      <c r="D364" s="27" t="n"/>
      <c r="E364" s="28" t="n"/>
      <c r="F364" s="28" t="n"/>
      <c r="G364" s="27" t="n"/>
      <c r="H364" s="29">
        <f>IF(G364="Invoice",IF(ISNUMBER(F364),F364,""),IF(ISNUMBER(E364),E364,""))</f>
        <v/>
      </c>
      <c r="I364" s="30" t="n"/>
      <c r="J364" s="29">
        <f>IF(AND(ISNUMBER(H364),ISNUMBER(I364)),EDATE(H364,I364),"")</f>
        <v/>
      </c>
      <c r="K364" s="30" t="n"/>
      <c r="L364" s="29">
        <f>IF(AND(ISNUMBER(H364),ISNUMBER(K364)),EDATE(H364,K364),"")</f>
        <v/>
      </c>
      <c r="M364" s="29">
        <f>IF(COUNT(J364,L364)=0,"",IF(MIN(J364,L364)&gt;=TODAY(),MIN(J364,L364),MAX(J364,L364)))</f>
        <v/>
      </c>
      <c r="N364" s="31">
        <f>IF(ISNUMBER(M364),M364-TODAY(),"")</f>
        <v/>
      </c>
      <c r="O364" s="30" t="n"/>
      <c r="P364" s="29">
        <f>IF(ISNUMBER(M364),M364-IF(ISNUMBER(O364),O364,60),"")</f>
        <v/>
      </c>
      <c r="Q364" s="27" t="n"/>
      <c r="R364" s="27" t="n"/>
      <c r="S364" s="27" t="n"/>
      <c r="T364" s="27" t="n"/>
      <c r="U364" s="27" t="n"/>
      <c r="V364" s="27" t="n"/>
      <c r="W364" s="27" t="n"/>
      <c r="X364" s="27" t="n"/>
      <c r="Y364" s="27" t="n"/>
    </row>
    <row r="365">
      <c r="A365" s="27" t="n"/>
      <c r="B365" s="27" t="n"/>
      <c r="C365" s="27" t="n"/>
      <c r="D365" s="27" t="n"/>
      <c r="E365" s="28" t="n"/>
      <c r="F365" s="28" t="n"/>
      <c r="G365" s="27" t="n"/>
      <c r="H365" s="29">
        <f>IF(G365="Invoice",IF(ISNUMBER(F365),F365,""),IF(ISNUMBER(E365),E365,""))</f>
        <v/>
      </c>
      <c r="I365" s="30" t="n"/>
      <c r="J365" s="29">
        <f>IF(AND(ISNUMBER(H365),ISNUMBER(I365)),EDATE(H365,I365),"")</f>
        <v/>
      </c>
      <c r="K365" s="30" t="n"/>
      <c r="L365" s="29">
        <f>IF(AND(ISNUMBER(H365),ISNUMBER(K365)),EDATE(H365,K365),"")</f>
        <v/>
      </c>
      <c r="M365" s="29">
        <f>IF(COUNT(J365,L365)=0,"",IF(MIN(J365,L365)&gt;=TODAY(),MIN(J365,L365),MAX(J365,L365)))</f>
        <v/>
      </c>
      <c r="N365" s="31">
        <f>IF(ISNUMBER(M365),M365-TODAY(),"")</f>
        <v/>
      </c>
      <c r="O365" s="30" t="n"/>
      <c r="P365" s="29">
        <f>IF(ISNUMBER(M365),M365-IF(ISNUMBER(O365),O365,60),"")</f>
        <v/>
      </c>
      <c r="Q365" s="27" t="n"/>
      <c r="R365" s="27" t="n"/>
      <c r="S365" s="27" t="n"/>
      <c r="T365" s="27" t="n"/>
      <c r="U365" s="27" t="n"/>
      <c r="V365" s="27" t="n"/>
      <c r="W365" s="27" t="n"/>
      <c r="X365" s="27" t="n"/>
      <c r="Y365" s="27" t="n"/>
    </row>
    <row r="366">
      <c r="A366" s="27" t="n"/>
      <c r="B366" s="27" t="n"/>
      <c r="C366" s="27" t="n"/>
      <c r="D366" s="27" t="n"/>
      <c r="E366" s="28" t="n"/>
      <c r="F366" s="28" t="n"/>
      <c r="G366" s="27" t="n"/>
      <c r="H366" s="29">
        <f>IF(G366="Invoice",IF(ISNUMBER(F366),F366,""),IF(ISNUMBER(E366),E366,""))</f>
        <v/>
      </c>
      <c r="I366" s="30" t="n"/>
      <c r="J366" s="29">
        <f>IF(AND(ISNUMBER(H366),ISNUMBER(I366)),EDATE(H366,I366),"")</f>
        <v/>
      </c>
      <c r="K366" s="30" t="n"/>
      <c r="L366" s="29">
        <f>IF(AND(ISNUMBER(H366),ISNUMBER(K366)),EDATE(H366,K366),"")</f>
        <v/>
      </c>
      <c r="M366" s="29">
        <f>IF(COUNT(J366,L366)=0,"",IF(MIN(J366,L366)&gt;=TODAY(),MIN(J366,L366),MAX(J366,L366)))</f>
        <v/>
      </c>
      <c r="N366" s="31">
        <f>IF(ISNUMBER(M366),M366-TODAY(),"")</f>
        <v/>
      </c>
      <c r="O366" s="30" t="n"/>
      <c r="P366" s="29">
        <f>IF(ISNUMBER(M366),M366-IF(ISNUMBER(O366),O366,60),"")</f>
        <v/>
      </c>
      <c r="Q366" s="27" t="n"/>
      <c r="R366" s="27" t="n"/>
      <c r="S366" s="27" t="n"/>
      <c r="T366" s="27" t="n"/>
      <c r="U366" s="27" t="n"/>
      <c r="V366" s="27" t="n"/>
      <c r="W366" s="27" t="n"/>
      <c r="X366" s="27" t="n"/>
      <c r="Y366" s="27" t="n"/>
    </row>
    <row r="367">
      <c r="A367" s="27" t="n"/>
      <c r="B367" s="27" t="n"/>
      <c r="C367" s="27" t="n"/>
      <c r="D367" s="27" t="n"/>
      <c r="E367" s="28" t="n"/>
      <c r="F367" s="28" t="n"/>
      <c r="G367" s="27" t="n"/>
      <c r="H367" s="29">
        <f>IF(G367="Invoice",IF(ISNUMBER(F367),F367,""),IF(ISNUMBER(E367),E367,""))</f>
        <v/>
      </c>
      <c r="I367" s="30" t="n"/>
      <c r="J367" s="29">
        <f>IF(AND(ISNUMBER(H367),ISNUMBER(I367)),EDATE(H367,I367),"")</f>
        <v/>
      </c>
      <c r="K367" s="30" t="n"/>
      <c r="L367" s="29">
        <f>IF(AND(ISNUMBER(H367),ISNUMBER(K367)),EDATE(H367,K367),"")</f>
        <v/>
      </c>
      <c r="M367" s="29">
        <f>IF(COUNT(J367,L367)=0,"",IF(MIN(J367,L367)&gt;=TODAY(),MIN(J367,L367),MAX(J367,L367)))</f>
        <v/>
      </c>
      <c r="N367" s="31">
        <f>IF(ISNUMBER(M367),M367-TODAY(),"")</f>
        <v/>
      </c>
      <c r="O367" s="30" t="n"/>
      <c r="P367" s="29">
        <f>IF(ISNUMBER(M367),M367-IF(ISNUMBER(O367),O367,60),"")</f>
        <v/>
      </c>
      <c r="Q367" s="27" t="n"/>
      <c r="R367" s="27" t="n"/>
      <c r="S367" s="27" t="n"/>
      <c r="T367" s="27" t="n"/>
      <c r="U367" s="27" t="n"/>
      <c r="V367" s="27" t="n"/>
      <c r="W367" s="27" t="n"/>
      <c r="X367" s="27" t="n"/>
      <c r="Y367" s="27" t="n"/>
    </row>
    <row r="368">
      <c r="A368" s="27" t="n"/>
      <c r="B368" s="27" t="n"/>
      <c r="C368" s="27" t="n"/>
      <c r="D368" s="27" t="n"/>
      <c r="E368" s="28" t="n"/>
      <c r="F368" s="28" t="n"/>
      <c r="G368" s="27" t="n"/>
      <c r="H368" s="29">
        <f>IF(G368="Invoice",IF(ISNUMBER(F368),F368,""),IF(ISNUMBER(E368),E368,""))</f>
        <v/>
      </c>
      <c r="I368" s="30" t="n"/>
      <c r="J368" s="29">
        <f>IF(AND(ISNUMBER(H368),ISNUMBER(I368)),EDATE(H368,I368),"")</f>
        <v/>
      </c>
      <c r="K368" s="30" t="n"/>
      <c r="L368" s="29">
        <f>IF(AND(ISNUMBER(H368),ISNUMBER(K368)),EDATE(H368,K368),"")</f>
        <v/>
      </c>
      <c r="M368" s="29">
        <f>IF(COUNT(J368,L368)=0,"",IF(MIN(J368,L368)&gt;=TODAY(),MIN(J368,L368),MAX(J368,L368)))</f>
        <v/>
      </c>
      <c r="N368" s="31">
        <f>IF(ISNUMBER(M368),M368-TODAY(),"")</f>
        <v/>
      </c>
      <c r="O368" s="30" t="n"/>
      <c r="P368" s="29">
        <f>IF(ISNUMBER(M368),M368-IF(ISNUMBER(O368),O368,60),"")</f>
        <v/>
      </c>
      <c r="Q368" s="27" t="n"/>
      <c r="R368" s="27" t="n"/>
      <c r="S368" s="27" t="n"/>
      <c r="T368" s="27" t="n"/>
      <c r="U368" s="27" t="n"/>
      <c r="V368" s="27" t="n"/>
      <c r="W368" s="27" t="n"/>
      <c r="X368" s="27" t="n"/>
      <c r="Y368" s="27" t="n"/>
    </row>
    <row r="369">
      <c r="A369" s="27" t="n"/>
      <c r="B369" s="27" t="n"/>
      <c r="C369" s="27" t="n"/>
      <c r="D369" s="27" t="n"/>
      <c r="E369" s="28" t="n"/>
      <c r="F369" s="28" t="n"/>
      <c r="G369" s="27" t="n"/>
      <c r="H369" s="29">
        <f>IF(G369="Invoice",IF(ISNUMBER(F369),F369,""),IF(ISNUMBER(E369),E369,""))</f>
        <v/>
      </c>
      <c r="I369" s="30" t="n"/>
      <c r="J369" s="29">
        <f>IF(AND(ISNUMBER(H369),ISNUMBER(I369)),EDATE(H369,I369),"")</f>
        <v/>
      </c>
      <c r="K369" s="30" t="n"/>
      <c r="L369" s="29">
        <f>IF(AND(ISNUMBER(H369),ISNUMBER(K369)),EDATE(H369,K369),"")</f>
        <v/>
      </c>
      <c r="M369" s="29">
        <f>IF(COUNT(J369,L369)=0,"",IF(MIN(J369,L369)&gt;=TODAY(),MIN(J369,L369),MAX(J369,L369)))</f>
        <v/>
      </c>
      <c r="N369" s="31">
        <f>IF(ISNUMBER(M369),M369-TODAY(),"")</f>
        <v/>
      </c>
      <c r="O369" s="30" t="n"/>
      <c r="P369" s="29">
        <f>IF(ISNUMBER(M369),M369-IF(ISNUMBER(O369),O369,60),"")</f>
        <v/>
      </c>
      <c r="Q369" s="27" t="n"/>
      <c r="R369" s="27" t="n"/>
      <c r="S369" s="27" t="n"/>
      <c r="T369" s="27" t="n"/>
      <c r="U369" s="27" t="n"/>
      <c r="V369" s="27" t="n"/>
      <c r="W369" s="27" t="n"/>
      <c r="X369" s="27" t="n"/>
      <c r="Y369" s="27" t="n"/>
    </row>
    <row r="370">
      <c r="A370" s="27" t="n"/>
      <c r="B370" s="27" t="n"/>
      <c r="C370" s="27" t="n"/>
      <c r="D370" s="27" t="n"/>
      <c r="E370" s="28" t="n"/>
      <c r="F370" s="28" t="n"/>
      <c r="G370" s="27" t="n"/>
      <c r="H370" s="29">
        <f>IF(G370="Invoice",IF(ISNUMBER(F370),F370,""),IF(ISNUMBER(E370),E370,""))</f>
        <v/>
      </c>
      <c r="I370" s="30" t="n"/>
      <c r="J370" s="29">
        <f>IF(AND(ISNUMBER(H370),ISNUMBER(I370)),EDATE(H370,I370),"")</f>
        <v/>
      </c>
      <c r="K370" s="30" t="n"/>
      <c r="L370" s="29">
        <f>IF(AND(ISNUMBER(H370),ISNUMBER(K370)),EDATE(H370,K370),"")</f>
        <v/>
      </c>
      <c r="M370" s="29">
        <f>IF(COUNT(J370,L370)=0,"",IF(MIN(J370,L370)&gt;=TODAY(),MIN(J370,L370),MAX(J370,L370)))</f>
        <v/>
      </c>
      <c r="N370" s="31">
        <f>IF(ISNUMBER(M370),M370-TODAY(),"")</f>
        <v/>
      </c>
      <c r="O370" s="30" t="n"/>
      <c r="P370" s="29">
        <f>IF(ISNUMBER(M370),M370-IF(ISNUMBER(O370),O370,60),"")</f>
        <v/>
      </c>
      <c r="Q370" s="27" t="n"/>
      <c r="R370" s="27" t="n"/>
      <c r="S370" s="27" t="n"/>
      <c r="T370" s="27" t="n"/>
      <c r="U370" s="27" t="n"/>
      <c r="V370" s="27" t="n"/>
      <c r="W370" s="27" t="n"/>
      <c r="X370" s="27" t="n"/>
      <c r="Y370" s="27" t="n"/>
    </row>
    <row r="371">
      <c r="A371" s="27" t="n"/>
      <c r="B371" s="27" t="n"/>
      <c r="C371" s="27" t="n"/>
      <c r="D371" s="27" t="n"/>
      <c r="E371" s="28" t="n"/>
      <c r="F371" s="28" t="n"/>
      <c r="G371" s="27" t="n"/>
      <c r="H371" s="29">
        <f>IF(G371="Invoice",IF(ISNUMBER(F371),F371,""),IF(ISNUMBER(E371),E371,""))</f>
        <v/>
      </c>
      <c r="I371" s="30" t="n"/>
      <c r="J371" s="29">
        <f>IF(AND(ISNUMBER(H371),ISNUMBER(I371)),EDATE(H371,I371),"")</f>
        <v/>
      </c>
      <c r="K371" s="30" t="n"/>
      <c r="L371" s="29">
        <f>IF(AND(ISNUMBER(H371),ISNUMBER(K371)),EDATE(H371,K371),"")</f>
        <v/>
      </c>
      <c r="M371" s="29">
        <f>IF(COUNT(J371,L371)=0,"",IF(MIN(J371,L371)&gt;=TODAY(),MIN(J371,L371),MAX(J371,L371)))</f>
        <v/>
      </c>
      <c r="N371" s="31">
        <f>IF(ISNUMBER(M371),M371-TODAY(),"")</f>
        <v/>
      </c>
      <c r="O371" s="30" t="n"/>
      <c r="P371" s="29">
        <f>IF(ISNUMBER(M371),M371-IF(ISNUMBER(O371),O371,60),"")</f>
        <v/>
      </c>
      <c r="Q371" s="27" t="n"/>
      <c r="R371" s="27" t="n"/>
      <c r="S371" s="27" t="n"/>
      <c r="T371" s="27" t="n"/>
      <c r="U371" s="27" t="n"/>
      <c r="V371" s="27" t="n"/>
      <c r="W371" s="27" t="n"/>
      <c r="X371" s="27" t="n"/>
      <c r="Y371" s="27" t="n"/>
    </row>
    <row r="372">
      <c r="A372" s="27" t="n"/>
      <c r="B372" s="27" t="n"/>
      <c r="C372" s="27" t="n"/>
      <c r="D372" s="27" t="n"/>
      <c r="E372" s="28" t="n"/>
      <c r="F372" s="28" t="n"/>
      <c r="G372" s="27" t="n"/>
      <c r="H372" s="29">
        <f>IF(G372="Invoice",IF(ISNUMBER(F372),F372,""),IF(ISNUMBER(E372),E372,""))</f>
        <v/>
      </c>
      <c r="I372" s="30" t="n"/>
      <c r="J372" s="29">
        <f>IF(AND(ISNUMBER(H372),ISNUMBER(I372)),EDATE(H372,I372),"")</f>
        <v/>
      </c>
      <c r="K372" s="30" t="n"/>
      <c r="L372" s="29">
        <f>IF(AND(ISNUMBER(H372),ISNUMBER(K372)),EDATE(H372,K372),"")</f>
        <v/>
      </c>
      <c r="M372" s="29">
        <f>IF(COUNT(J372,L372)=0,"",IF(MIN(J372,L372)&gt;=TODAY(),MIN(J372,L372),MAX(J372,L372)))</f>
        <v/>
      </c>
      <c r="N372" s="31">
        <f>IF(ISNUMBER(M372),M372-TODAY(),"")</f>
        <v/>
      </c>
      <c r="O372" s="30" t="n"/>
      <c r="P372" s="29">
        <f>IF(ISNUMBER(M372),M372-IF(ISNUMBER(O372),O372,60),"")</f>
        <v/>
      </c>
      <c r="Q372" s="27" t="n"/>
      <c r="R372" s="27" t="n"/>
      <c r="S372" s="27" t="n"/>
      <c r="T372" s="27" t="n"/>
      <c r="U372" s="27" t="n"/>
      <c r="V372" s="27" t="n"/>
      <c r="W372" s="27" t="n"/>
      <c r="X372" s="27" t="n"/>
      <c r="Y372" s="27" t="n"/>
    </row>
    <row r="373">
      <c r="A373" s="27" t="n"/>
      <c r="B373" s="27" t="n"/>
      <c r="C373" s="27" t="n"/>
      <c r="D373" s="27" t="n"/>
      <c r="E373" s="28" t="n"/>
      <c r="F373" s="28" t="n"/>
      <c r="G373" s="27" t="n"/>
      <c r="H373" s="29">
        <f>IF(G373="Invoice",IF(ISNUMBER(F373),F373,""),IF(ISNUMBER(E373),E373,""))</f>
        <v/>
      </c>
      <c r="I373" s="30" t="n"/>
      <c r="J373" s="29">
        <f>IF(AND(ISNUMBER(H373),ISNUMBER(I373)),EDATE(H373,I373),"")</f>
        <v/>
      </c>
      <c r="K373" s="30" t="n"/>
      <c r="L373" s="29">
        <f>IF(AND(ISNUMBER(H373),ISNUMBER(K373)),EDATE(H373,K373),"")</f>
        <v/>
      </c>
      <c r="M373" s="29">
        <f>IF(COUNT(J373,L373)=0,"",IF(MIN(J373,L373)&gt;=TODAY(),MIN(J373,L373),MAX(J373,L373)))</f>
        <v/>
      </c>
      <c r="N373" s="31">
        <f>IF(ISNUMBER(M373),M373-TODAY(),"")</f>
        <v/>
      </c>
      <c r="O373" s="30" t="n"/>
      <c r="P373" s="29">
        <f>IF(ISNUMBER(M373),M373-IF(ISNUMBER(O373),O373,60),"")</f>
        <v/>
      </c>
      <c r="Q373" s="27" t="n"/>
      <c r="R373" s="27" t="n"/>
      <c r="S373" s="27" t="n"/>
      <c r="T373" s="27" t="n"/>
      <c r="U373" s="27" t="n"/>
      <c r="V373" s="27" t="n"/>
      <c r="W373" s="27" t="n"/>
      <c r="X373" s="27" t="n"/>
      <c r="Y373" s="27" t="n"/>
    </row>
    <row r="374">
      <c r="A374" s="27" t="n"/>
      <c r="B374" s="27" t="n"/>
      <c r="C374" s="27" t="n"/>
      <c r="D374" s="27" t="n"/>
      <c r="E374" s="28" t="n"/>
      <c r="F374" s="28" t="n"/>
      <c r="G374" s="27" t="n"/>
      <c r="H374" s="29">
        <f>IF(G374="Invoice",IF(ISNUMBER(F374),F374,""),IF(ISNUMBER(E374),E374,""))</f>
        <v/>
      </c>
      <c r="I374" s="30" t="n"/>
      <c r="J374" s="29">
        <f>IF(AND(ISNUMBER(H374),ISNUMBER(I374)),EDATE(H374,I374),"")</f>
        <v/>
      </c>
      <c r="K374" s="30" t="n"/>
      <c r="L374" s="29">
        <f>IF(AND(ISNUMBER(H374),ISNUMBER(K374)),EDATE(H374,K374),"")</f>
        <v/>
      </c>
      <c r="M374" s="29">
        <f>IF(COUNT(J374,L374)=0,"",IF(MIN(J374,L374)&gt;=TODAY(),MIN(J374,L374),MAX(J374,L374)))</f>
        <v/>
      </c>
      <c r="N374" s="31">
        <f>IF(ISNUMBER(M374),M374-TODAY(),"")</f>
        <v/>
      </c>
      <c r="O374" s="30" t="n"/>
      <c r="P374" s="29">
        <f>IF(ISNUMBER(M374),M374-IF(ISNUMBER(O374),O374,60),"")</f>
        <v/>
      </c>
      <c r="Q374" s="27" t="n"/>
      <c r="R374" s="27" t="n"/>
      <c r="S374" s="27" t="n"/>
      <c r="T374" s="27" t="n"/>
      <c r="U374" s="27" t="n"/>
      <c r="V374" s="27" t="n"/>
      <c r="W374" s="27" t="n"/>
      <c r="X374" s="27" t="n"/>
      <c r="Y374" s="27" t="n"/>
    </row>
    <row r="375">
      <c r="A375" s="27" t="n"/>
      <c r="B375" s="27" t="n"/>
      <c r="C375" s="27" t="n"/>
      <c r="D375" s="27" t="n"/>
      <c r="E375" s="28" t="n"/>
      <c r="F375" s="28" t="n"/>
      <c r="G375" s="27" t="n"/>
      <c r="H375" s="29">
        <f>IF(G375="Invoice",IF(ISNUMBER(F375),F375,""),IF(ISNUMBER(E375),E375,""))</f>
        <v/>
      </c>
      <c r="I375" s="30" t="n"/>
      <c r="J375" s="29">
        <f>IF(AND(ISNUMBER(H375),ISNUMBER(I375)),EDATE(H375,I375),"")</f>
        <v/>
      </c>
      <c r="K375" s="30" t="n"/>
      <c r="L375" s="29">
        <f>IF(AND(ISNUMBER(H375),ISNUMBER(K375)),EDATE(H375,K375),"")</f>
        <v/>
      </c>
      <c r="M375" s="29">
        <f>IF(COUNT(J375,L375)=0,"",IF(MIN(J375,L375)&gt;=TODAY(),MIN(J375,L375),MAX(J375,L375)))</f>
        <v/>
      </c>
      <c r="N375" s="31">
        <f>IF(ISNUMBER(M375),M375-TODAY(),"")</f>
        <v/>
      </c>
      <c r="O375" s="30" t="n"/>
      <c r="P375" s="29">
        <f>IF(ISNUMBER(M375),M375-IF(ISNUMBER(O375),O375,60),"")</f>
        <v/>
      </c>
      <c r="Q375" s="27" t="n"/>
      <c r="R375" s="27" t="n"/>
      <c r="S375" s="27" t="n"/>
      <c r="T375" s="27" t="n"/>
      <c r="U375" s="27" t="n"/>
      <c r="V375" s="27" t="n"/>
      <c r="W375" s="27" t="n"/>
      <c r="X375" s="27" t="n"/>
      <c r="Y375" s="27" t="n"/>
    </row>
    <row r="376">
      <c r="A376" s="27" t="n"/>
      <c r="B376" s="27" t="n"/>
      <c r="C376" s="27" t="n"/>
      <c r="D376" s="27" t="n"/>
      <c r="E376" s="28" t="n"/>
      <c r="F376" s="28" t="n"/>
      <c r="G376" s="27" t="n"/>
      <c r="H376" s="29">
        <f>IF(G376="Invoice",IF(ISNUMBER(F376),F376,""),IF(ISNUMBER(E376),E376,""))</f>
        <v/>
      </c>
      <c r="I376" s="30" t="n"/>
      <c r="J376" s="29">
        <f>IF(AND(ISNUMBER(H376),ISNUMBER(I376)),EDATE(H376,I376),"")</f>
        <v/>
      </c>
      <c r="K376" s="30" t="n"/>
      <c r="L376" s="29">
        <f>IF(AND(ISNUMBER(H376),ISNUMBER(K376)),EDATE(H376,K376),"")</f>
        <v/>
      </c>
      <c r="M376" s="29">
        <f>IF(COUNT(J376,L376)=0,"",IF(MIN(J376,L376)&gt;=TODAY(),MIN(J376,L376),MAX(J376,L376)))</f>
        <v/>
      </c>
      <c r="N376" s="31">
        <f>IF(ISNUMBER(M376),M376-TODAY(),"")</f>
        <v/>
      </c>
      <c r="O376" s="30" t="n"/>
      <c r="P376" s="29">
        <f>IF(ISNUMBER(M376),M376-IF(ISNUMBER(O376),O376,60),"")</f>
        <v/>
      </c>
      <c r="Q376" s="27" t="n"/>
      <c r="R376" s="27" t="n"/>
      <c r="S376" s="27" t="n"/>
      <c r="T376" s="27" t="n"/>
      <c r="U376" s="27" t="n"/>
      <c r="V376" s="27" t="n"/>
      <c r="W376" s="27" t="n"/>
      <c r="X376" s="27" t="n"/>
      <c r="Y376" s="27" t="n"/>
    </row>
    <row r="377">
      <c r="A377" s="27" t="n"/>
      <c r="B377" s="27" t="n"/>
      <c r="C377" s="27" t="n"/>
      <c r="D377" s="27" t="n"/>
      <c r="E377" s="28" t="n"/>
      <c r="F377" s="28" t="n"/>
      <c r="G377" s="27" t="n"/>
      <c r="H377" s="29">
        <f>IF(G377="Invoice",IF(ISNUMBER(F377),F377,""),IF(ISNUMBER(E377),E377,""))</f>
        <v/>
      </c>
      <c r="I377" s="30" t="n"/>
      <c r="J377" s="29">
        <f>IF(AND(ISNUMBER(H377),ISNUMBER(I377)),EDATE(H377,I377),"")</f>
        <v/>
      </c>
      <c r="K377" s="30" t="n"/>
      <c r="L377" s="29">
        <f>IF(AND(ISNUMBER(H377),ISNUMBER(K377)),EDATE(H377,K377),"")</f>
        <v/>
      </c>
      <c r="M377" s="29">
        <f>IF(COUNT(J377,L377)=0,"",IF(MIN(J377,L377)&gt;=TODAY(),MIN(J377,L377),MAX(J377,L377)))</f>
        <v/>
      </c>
      <c r="N377" s="31">
        <f>IF(ISNUMBER(M377),M377-TODAY(),"")</f>
        <v/>
      </c>
      <c r="O377" s="30" t="n"/>
      <c r="P377" s="29">
        <f>IF(ISNUMBER(M377),M377-IF(ISNUMBER(O377),O377,60),"")</f>
        <v/>
      </c>
      <c r="Q377" s="27" t="n"/>
      <c r="R377" s="27" t="n"/>
      <c r="S377" s="27" t="n"/>
      <c r="T377" s="27" t="n"/>
      <c r="U377" s="27" t="n"/>
      <c r="V377" s="27" t="n"/>
      <c r="W377" s="27" t="n"/>
      <c r="X377" s="27" t="n"/>
      <c r="Y377" s="27" t="n"/>
    </row>
    <row r="378">
      <c r="A378" s="27" t="n"/>
      <c r="B378" s="27" t="n"/>
      <c r="C378" s="27" t="n"/>
      <c r="D378" s="27" t="n"/>
      <c r="E378" s="28" t="n"/>
      <c r="F378" s="28" t="n"/>
      <c r="G378" s="27" t="n"/>
      <c r="H378" s="29">
        <f>IF(G378="Invoice",IF(ISNUMBER(F378),F378,""),IF(ISNUMBER(E378),E378,""))</f>
        <v/>
      </c>
      <c r="I378" s="30" t="n"/>
      <c r="J378" s="29">
        <f>IF(AND(ISNUMBER(H378),ISNUMBER(I378)),EDATE(H378,I378),"")</f>
        <v/>
      </c>
      <c r="K378" s="30" t="n"/>
      <c r="L378" s="29">
        <f>IF(AND(ISNUMBER(H378),ISNUMBER(K378)),EDATE(H378,K378),"")</f>
        <v/>
      </c>
      <c r="M378" s="29">
        <f>IF(COUNT(J378,L378)=0,"",IF(MIN(J378,L378)&gt;=TODAY(),MIN(J378,L378),MAX(J378,L378)))</f>
        <v/>
      </c>
      <c r="N378" s="31">
        <f>IF(ISNUMBER(M378),M378-TODAY(),"")</f>
        <v/>
      </c>
      <c r="O378" s="30" t="n"/>
      <c r="P378" s="29">
        <f>IF(ISNUMBER(M378),M378-IF(ISNUMBER(O378),O378,60),"")</f>
        <v/>
      </c>
      <c r="Q378" s="27" t="n"/>
      <c r="R378" s="27" t="n"/>
      <c r="S378" s="27" t="n"/>
      <c r="T378" s="27" t="n"/>
      <c r="U378" s="27" t="n"/>
      <c r="V378" s="27" t="n"/>
      <c r="W378" s="27" t="n"/>
      <c r="X378" s="27" t="n"/>
      <c r="Y378" s="27" t="n"/>
    </row>
    <row r="379">
      <c r="A379" s="27" t="n"/>
      <c r="B379" s="27" t="n"/>
      <c r="C379" s="27" t="n"/>
      <c r="D379" s="27" t="n"/>
      <c r="E379" s="28" t="n"/>
      <c r="F379" s="28" t="n"/>
      <c r="G379" s="27" t="n"/>
      <c r="H379" s="29">
        <f>IF(G379="Invoice",IF(ISNUMBER(F379),F379,""),IF(ISNUMBER(E379),E379,""))</f>
        <v/>
      </c>
      <c r="I379" s="30" t="n"/>
      <c r="J379" s="29">
        <f>IF(AND(ISNUMBER(H379),ISNUMBER(I379)),EDATE(H379,I379),"")</f>
        <v/>
      </c>
      <c r="K379" s="30" t="n"/>
      <c r="L379" s="29">
        <f>IF(AND(ISNUMBER(H379),ISNUMBER(K379)),EDATE(H379,K379),"")</f>
        <v/>
      </c>
      <c r="M379" s="29">
        <f>IF(COUNT(J379,L379)=0,"",IF(MIN(J379,L379)&gt;=TODAY(),MIN(J379,L379),MAX(J379,L379)))</f>
        <v/>
      </c>
      <c r="N379" s="31">
        <f>IF(ISNUMBER(M379),M379-TODAY(),"")</f>
        <v/>
      </c>
      <c r="O379" s="30" t="n"/>
      <c r="P379" s="29">
        <f>IF(ISNUMBER(M379),M379-IF(ISNUMBER(O379),O379,60),"")</f>
        <v/>
      </c>
      <c r="Q379" s="27" t="n"/>
      <c r="R379" s="27" t="n"/>
      <c r="S379" s="27" t="n"/>
      <c r="T379" s="27" t="n"/>
      <c r="U379" s="27" t="n"/>
      <c r="V379" s="27" t="n"/>
      <c r="W379" s="27" t="n"/>
      <c r="X379" s="27" t="n"/>
      <c r="Y379" s="27" t="n"/>
    </row>
    <row r="380">
      <c r="A380" s="27" t="n"/>
      <c r="B380" s="27" t="n"/>
      <c r="C380" s="27" t="n"/>
      <c r="D380" s="27" t="n"/>
      <c r="E380" s="28" t="n"/>
      <c r="F380" s="28" t="n"/>
      <c r="G380" s="27" t="n"/>
      <c r="H380" s="29">
        <f>IF(G380="Invoice",IF(ISNUMBER(F380),F380,""),IF(ISNUMBER(E380),E380,""))</f>
        <v/>
      </c>
      <c r="I380" s="30" t="n"/>
      <c r="J380" s="29">
        <f>IF(AND(ISNUMBER(H380),ISNUMBER(I380)),EDATE(H380,I380),"")</f>
        <v/>
      </c>
      <c r="K380" s="30" t="n"/>
      <c r="L380" s="29">
        <f>IF(AND(ISNUMBER(H380),ISNUMBER(K380)),EDATE(H380,K380),"")</f>
        <v/>
      </c>
      <c r="M380" s="29">
        <f>IF(COUNT(J380,L380)=0,"",IF(MIN(J380,L380)&gt;=TODAY(),MIN(J380,L380),MAX(J380,L380)))</f>
        <v/>
      </c>
      <c r="N380" s="31">
        <f>IF(ISNUMBER(M380),M380-TODAY(),"")</f>
        <v/>
      </c>
      <c r="O380" s="30" t="n"/>
      <c r="P380" s="29">
        <f>IF(ISNUMBER(M380),M380-IF(ISNUMBER(O380),O380,60),"")</f>
        <v/>
      </c>
      <c r="Q380" s="27" t="n"/>
      <c r="R380" s="27" t="n"/>
      <c r="S380" s="27" t="n"/>
      <c r="T380" s="27" t="n"/>
      <c r="U380" s="27" t="n"/>
      <c r="V380" s="27" t="n"/>
      <c r="W380" s="27" t="n"/>
      <c r="X380" s="27" t="n"/>
      <c r="Y380" s="27" t="n"/>
    </row>
    <row r="381">
      <c r="A381" s="27" t="n"/>
      <c r="B381" s="27" t="n"/>
      <c r="C381" s="27" t="n"/>
      <c r="D381" s="27" t="n"/>
      <c r="E381" s="28" t="n"/>
      <c r="F381" s="28" t="n"/>
      <c r="G381" s="27" t="n"/>
      <c r="H381" s="29">
        <f>IF(G381="Invoice",IF(ISNUMBER(F381),F381,""),IF(ISNUMBER(E381),E381,""))</f>
        <v/>
      </c>
      <c r="I381" s="30" t="n"/>
      <c r="J381" s="29">
        <f>IF(AND(ISNUMBER(H381),ISNUMBER(I381)),EDATE(H381,I381),"")</f>
        <v/>
      </c>
      <c r="K381" s="30" t="n"/>
      <c r="L381" s="29">
        <f>IF(AND(ISNUMBER(H381),ISNUMBER(K381)),EDATE(H381,K381),"")</f>
        <v/>
      </c>
      <c r="M381" s="29">
        <f>IF(COUNT(J381,L381)=0,"",IF(MIN(J381,L381)&gt;=TODAY(),MIN(J381,L381),MAX(J381,L381)))</f>
        <v/>
      </c>
      <c r="N381" s="31">
        <f>IF(ISNUMBER(M381),M381-TODAY(),"")</f>
        <v/>
      </c>
      <c r="O381" s="30" t="n"/>
      <c r="P381" s="29">
        <f>IF(ISNUMBER(M381),M381-IF(ISNUMBER(O381),O381,60),"")</f>
        <v/>
      </c>
      <c r="Q381" s="27" t="n"/>
      <c r="R381" s="27" t="n"/>
      <c r="S381" s="27" t="n"/>
      <c r="T381" s="27" t="n"/>
      <c r="U381" s="27" t="n"/>
      <c r="V381" s="27" t="n"/>
      <c r="W381" s="27" t="n"/>
      <c r="X381" s="27" t="n"/>
      <c r="Y381" s="27" t="n"/>
    </row>
    <row r="382">
      <c r="A382" s="27" t="n"/>
      <c r="B382" s="27" t="n"/>
      <c r="C382" s="27" t="n"/>
      <c r="D382" s="27" t="n"/>
      <c r="E382" s="28" t="n"/>
      <c r="F382" s="28" t="n"/>
      <c r="G382" s="27" t="n"/>
      <c r="H382" s="29">
        <f>IF(G382="Invoice",IF(ISNUMBER(F382),F382,""),IF(ISNUMBER(E382),E382,""))</f>
        <v/>
      </c>
      <c r="I382" s="30" t="n"/>
      <c r="J382" s="29">
        <f>IF(AND(ISNUMBER(H382),ISNUMBER(I382)),EDATE(H382,I382),"")</f>
        <v/>
      </c>
      <c r="K382" s="30" t="n"/>
      <c r="L382" s="29">
        <f>IF(AND(ISNUMBER(H382),ISNUMBER(K382)),EDATE(H382,K382),"")</f>
        <v/>
      </c>
      <c r="M382" s="29">
        <f>IF(COUNT(J382,L382)=0,"",IF(MIN(J382,L382)&gt;=TODAY(),MIN(J382,L382),MAX(J382,L382)))</f>
        <v/>
      </c>
      <c r="N382" s="31">
        <f>IF(ISNUMBER(M382),M382-TODAY(),"")</f>
        <v/>
      </c>
      <c r="O382" s="30" t="n"/>
      <c r="P382" s="29">
        <f>IF(ISNUMBER(M382),M382-IF(ISNUMBER(O382),O382,60),"")</f>
        <v/>
      </c>
      <c r="Q382" s="27" t="n"/>
      <c r="R382" s="27" t="n"/>
      <c r="S382" s="27" t="n"/>
      <c r="T382" s="27" t="n"/>
      <c r="U382" s="27" t="n"/>
      <c r="V382" s="27" t="n"/>
      <c r="W382" s="27" t="n"/>
      <c r="X382" s="27" t="n"/>
      <c r="Y382" s="27" t="n"/>
    </row>
    <row r="383">
      <c r="A383" s="27" t="n"/>
      <c r="B383" s="27" t="n"/>
      <c r="C383" s="27" t="n"/>
      <c r="D383" s="27" t="n"/>
      <c r="E383" s="28" t="n"/>
      <c r="F383" s="28" t="n"/>
      <c r="G383" s="27" t="n"/>
      <c r="H383" s="29">
        <f>IF(G383="Invoice",IF(ISNUMBER(F383),F383,""),IF(ISNUMBER(E383),E383,""))</f>
        <v/>
      </c>
      <c r="I383" s="30" t="n"/>
      <c r="J383" s="29">
        <f>IF(AND(ISNUMBER(H383),ISNUMBER(I383)),EDATE(H383,I383),"")</f>
        <v/>
      </c>
      <c r="K383" s="30" t="n"/>
      <c r="L383" s="29">
        <f>IF(AND(ISNUMBER(H383),ISNUMBER(K383)),EDATE(H383,K383),"")</f>
        <v/>
      </c>
      <c r="M383" s="29">
        <f>IF(COUNT(J383,L383)=0,"",IF(MIN(J383,L383)&gt;=TODAY(),MIN(J383,L383),MAX(J383,L383)))</f>
        <v/>
      </c>
      <c r="N383" s="31">
        <f>IF(ISNUMBER(M383),M383-TODAY(),"")</f>
        <v/>
      </c>
      <c r="O383" s="30" t="n"/>
      <c r="P383" s="29">
        <f>IF(ISNUMBER(M383),M383-IF(ISNUMBER(O383),O383,60),"")</f>
        <v/>
      </c>
      <c r="Q383" s="27" t="n"/>
      <c r="R383" s="27" t="n"/>
      <c r="S383" s="27" t="n"/>
      <c r="T383" s="27" t="n"/>
      <c r="U383" s="27" t="n"/>
      <c r="V383" s="27" t="n"/>
      <c r="W383" s="27" t="n"/>
      <c r="X383" s="27" t="n"/>
      <c r="Y383" s="27" t="n"/>
    </row>
    <row r="384">
      <c r="A384" s="27" t="n"/>
      <c r="B384" s="27" t="n"/>
      <c r="C384" s="27" t="n"/>
      <c r="D384" s="27" t="n"/>
      <c r="E384" s="28" t="n"/>
      <c r="F384" s="28" t="n"/>
      <c r="G384" s="27" t="n"/>
      <c r="H384" s="29">
        <f>IF(G384="Invoice",IF(ISNUMBER(F384),F384,""),IF(ISNUMBER(E384),E384,""))</f>
        <v/>
      </c>
      <c r="I384" s="30" t="n"/>
      <c r="J384" s="29">
        <f>IF(AND(ISNUMBER(H384),ISNUMBER(I384)),EDATE(H384,I384),"")</f>
        <v/>
      </c>
      <c r="K384" s="30" t="n"/>
      <c r="L384" s="29">
        <f>IF(AND(ISNUMBER(H384),ISNUMBER(K384)),EDATE(H384,K384),"")</f>
        <v/>
      </c>
      <c r="M384" s="29">
        <f>IF(COUNT(J384,L384)=0,"",IF(MIN(J384,L384)&gt;=TODAY(),MIN(J384,L384),MAX(J384,L384)))</f>
        <v/>
      </c>
      <c r="N384" s="31">
        <f>IF(ISNUMBER(M384),M384-TODAY(),"")</f>
        <v/>
      </c>
      <c r="O384" s="30" t="n"/>
      <c r="P384" s="29">
        <f>IF(ISNUMBER(M384),M384-IF(ISNUMBER(O384),O384,60),"")</f>
        <v/>
      </c>
      <c r="Q384" s="27" t="n"/>
      <c r="R384" s="27" t="n"/>
      <c r="S384" s="27" t="n"/>
      <c r="T384" s="27" t="n"/>
      <c r="U384" s="27" t="n"/>
      <c r="V384" s="27" t="n"/>
      <c r="W384" s="27" t="n"/>
      <c r="X384" s="27" t="n"/>
      <c r="Y384" s="27" t="n"/>
    </row>
    <row r="385">
      <c r="A385" s="27" t="n"/>
      <c r="B385" s="27" t="n"/>
      <c r="C385" s="27" t="n"/>
      <c r="D385" s="27" t="n"/>
      <c r="E385" s="28" t="n"/>
      <c r="F385" s="28" t="n"/>
      <c r="G385" s="27" t="n"/>
      <c r="H385" s="29">
        <f>IF(G385="Invoice",IF(ISNUMBER(F385),F385,""),IF(ISNUMBER(E385),E385,""))</f>
        <v/>
      </c>
      <c r="I385" s="30" t="n"/>
      <c r="J385" s="29">
        <f>IF(AND(ISNUMBER(H385),ISNUMBER(I385)),EDATE(H385,I385),"")</f>
        <v/>
      </c>
      <c r="K385" s="30" t="n"/>
      <c r="L385" s="29">
        <f>IF(AND(ISNUMBER(H385),ISNUMBER(K385)),EDATE(H385,K385),"")</f>
        <v/>
      </c>
      <c r="M385" s="29">
        <f>IF(COUNT(J385,L385)=0,"",IF(MIN(J385,L385)&gt;=TODAY(),MIN(J385,L385),MAX(J385,L385)))</f>
        <v/>
      </c>
      <c r="N385" s="31">
        <f>IF(ISNUMBER(M385),M385-TODAY(),"")</f>
        <v/>
      </c>
      <c r="O385" s="30" t="n"/>
      <c r="P385" s="29">
        <f>IF(ISNUMBER(M385),M385-IF(ISNUMBER(O385),O385,60),"")</f>
        <v/>
      </c>
      <c r="Q385" s="27" t="n"/>
      <c r="R385" s="27" t="n"/>
      <c r="S385" s="27" t="n"/>
      <c r="T385" s="27" t="n"/>
      <c r="U385" s="27" t="n"/>
      <c r="V385" s="27" t="n"/>
      <c r="W385" s="27" t="n"/>
      <c r="X385" s="27" t="n"/>
      <c r="Y385" s="27" t="n"/>
    </row>
    <row r="386">
      <c r="A386" s="27" t="n"/>
      <c r="B386" s="27" t="n"/>
      <c r="C386" s="27" t="n"/>
      <c r="D386" s="27" t="n"/>
      <c r="E386" s="28" t="n"/>
      <c r="F386" s="28" t="n"/>
      <c r="G386" s="27" t="n"/>
      <c r="H386" s="29">
        <f>IF(G386="Invoice",IF(ISNUMBER(F386),F386,""),IF(ISNUMBER(E386),E386,""))</f>
        <v/>
      </c>
      <c r="I386" s="30" t="n"/>
      <c r="J386" s="29">
        <f>IF(AND(ISNUMBER(H386),ISNUMBER(I386)),EDATE(H386,I386),"")</f>
        <v/>
      </c>
      <c r="K386" s="30" t="n"/>
      <c r="L386" s="29">
        <f>IF(AND(ISNUMBER(H386),ISNUMBER(K386)),EDATE(H386,K386),"")</f>
        <v/>
      </c>
      <c r="M386" s="29">
        <f>IF(COUNT(J386,L386)=0,"",IF(MIN(J386,L386)&gt;=TODAY(),MIN(J386,L386),MAX(J386,L386)))</f>
        <v/>
      </c>
      <c r="N386" s="31">
        <f>IF(ISNUMBER(M386),M386-TODAY(),"")</f>
        <v/>
      </c>
      <c r="O386" s="30" t="n"/>
      <c r="P386" s="29">
        <f>IF(ISNUMBER(M386),M386-IF(ISNUMBER(O386),O386,60),"")</f>
        <v/>
      </c>
      <c r="Q386" s="27" t="n"/>
      <c r="R386" s="27" t="n"/>
      <c r="S386" s="27" t="n"/>
      <c r="T386" s="27" t="n"/>
      <c r="U386" s="27" t="n"/>
      <c r="V386" s="27" t="n"/>
      <c r="W386" s="27" t="n"/>
      <c r="X386" s="27" t="n"/>
      <c r="Y386" s="27" t="n"/>
    </row>
    <row r="387">
      <c r="A387" s="27" t="n"/>
      <c r="B387" s="27" t="n"/>
      <c r="C387" s="27" t="n"/>
      <c r="D387" s="27" t="n"/>
      <c r="E387" s="28" t="n"/>
      <c r="F387" s="28" t="n"/>
      <c r="G387" s="27" t="n"/>
      <c r="H387" s="29">
        <f>IF(G387="Invoice",IF(ISNUMBER(F387),F387,""),IF(ISNUMBER(E387),E387,""))</f>
        <v/>
      </c>
      <c r="I387" s="30" t="n"/>
      <c r="J387" s="29">
        <f>IF(AND(ISNUMBER(H387),ISNUMBER(I387)),EDATE(H387,I387),"")</f>
        <v/>
      </c>
      <c r="K387" s="30" t="n"/>
      <c r="L387" s="29">
        <f>IF(AND(ISNUMBER(H387),ISNUMBER(K387)),EDATE(H387,K387),"")</f>
        <v/>
      </c>
      <c r="M387" s="29">
        <f>IF(COUNT(J387,L387)=0,"",IF(MIN(J387,L387)&gt;=TODAY(),MIN(J387,L387),MAX(J387,L387)))</f>
        <v/>
      </c>
      <c r="N387" s="31">
        <f>IF(ISNUMBER(M387),M387-TODAY(),"")</f>
        <v/>
      </c>
      <c r="O387" s="30" t="n"/>
      <c r="P387" s="29">
        <f>IF(ISNUMBER(M387),M387-IF(ISNUMBER(O387),O387,60),"")</f>
        <v/>
      </c>
      <c r="Q387" s="27" t="n"/>
      <c r="R387" s="27" t="n"/>
      <c r="S387" s="27" t="n"/>
      <c r="T387" s="27" t="n"/>
      <c r="U387" s="27" t="n"/>
      <c r="V387" s="27" t="n"/>
      <c r="W387" s="27" t="n"/>
      <c r="X387" s="27" t="n"/>
      <c r="Y387" s="27" t="n"/>
    </row>
    <row r="388">
      <c r="A388" s="27" t="n"/>
      <c r="B388" s="27" t="n"/>
      <c r="C388" s="27" t="n"/>
      <c r="D388" s="27" t="n"/>
      <c r="E388" s="28" t="n"/>
      <c r="F388" s="28" t="n"/>
      <c r="G388" s="27" t="n"/>
      <c r="H388" s="29">
        <f>IF(G388="Invoice",IF(ISNUMBER(F388),F388,""),IF(ISNUMBER(E388),E388,""))</f>
        <v/>
      </c>
      <c r="I388" s="30" t="n"/>
      <c r="J388" s="29">
        <f>IF(AND(ISNUMBER(H388),ISNUMBER(I388)),EDATE(H388,I388),"")</f>
        <v/>
      </c>
      <c r="K388" s="30" t="n"/>
      <c r="L388" s="29">
        <f>IF(AND(ISNUMBER(H388),ISNUMBER(K388)),EDATE(H388,K388),"")</f>
        <v/>
      </c>
      <c r="M388" s="29">
        <f>IF(COUNT(J388,L388)=0,"",IF(MIN(J388,L388)&gt;=TODAY(),MIN(J388,L388),MAX(J388,L388)))</f>
        <v/>
      </c>
      <c r="N388" s="31">
        <f>IF(ISNUMBER(M388),M388-TODAY(),"")</f>
        <v/>
      </c>
      <c r="O388" s="30" t="n"/>
      <c r="P388" s="29">
        <f>IF(ISNUMBER(M388),M388-IF(ISNUMBER(O388),O388,60),"")</f>
        <v/>
      </c>
      <c r="Q388" s="27" t="n"/>
      <c r="R388" s="27" t="n"/>
      <c r="S388" s="27" t="n"/>
      <c r="T388" s="27" t="n"/>
      <c r="U388" s="27" t="n"/>
      <c r="V388" s="27" t="n"/>
      <c r="W388" s="27" t="n"/>
      <c r="X388" s="27" t="n"/>
      <c r="Y388" s="27" t="n"/>
    </row>
    <row r="389">
      <c r="A389" s="27" t="n"/>
      <c r="B389" s="27" t="n"/>
      <c r="C389" s="27" t="n"/>
      <c r="D389" s="27" t="n"/>
      <c r="E389" s="28" t="n"/>
      <c r="F389" s="28" t="n"/>
      <c r="G389" s="27" t="n"/>
      <c r="H389" s="29">
        <f>IF(G389="Invoice",IF(ISNUMBER(F389),F389,""),IF(ISNUMBER(E389),E389,""))</f>
        <v/>
      </c>
      <c r="I389" s="30" t="n"/>
      <c r="J389" s="29">
        <f>IF(AND(ISNUMBER(H389),ISNUMBER(I389)),EDATE(H389,I389),"")</f>
        <v/>
      </c>
      <c r="K389" s="30" t="n"/>
      <c r="L389" s="29">
        <f>IF(AND(ISNUMBER(H389),ISNUMBER(K389)),EDATE(H389,K389),"")</f>
        <v/>
      </c>
      <c r="M389" s="29">
        <f>IF(COUNT(J389,L389)=0,"",IF(MIN(J389,L389)&gt;=TODAY(),MIN(J389,L389),MAX(J389,L389)))</f>
        <v/>
      </c>
      <c r="N389" s="31">
        <f>IF(ISNUMBER(M389),M389-TODAY(),"")</f>
        <v/>
      </c>
      <c r="O389" s="30" t="n"/>
      <c r="P389" s="29">
        <f>IF(ISNUMBER(M389),M389-IF(ISNUMBER(O389),O389,60),"")</f>
        <v/>
      </c>
      <c r="Q389" s="27" t="n"/>
      <c r="R389" s="27" t="n"/>
      <c r="S389" s="27" t="n"/>
      <c r="T389" s="27" t="n"/>
      <c r="U389" s="27" t="n"/>
      <c r="V389" s="27" t="n"/>
      <c r="W389" s="27" t="n"/>
      <c r="X389" s="27" t="n"/>
      <c r="Y389" s="27" t="n"/>
    </row>
    <row r="390">
      <c r="A390" s="27" t="n"/>
      <c r="B390" s="27" t="n"/>
      <c r="C390" s="27" t="n"/>
      <c r="D390" s="27" t="n"/>
      <c r="E390" s="28" t="n"/>
      <c r="F390" s="28" t="n"/>
      <c r="G390" s="27" t="n"/>
      <c r="H390" s="29">
        <f>IF(G390="Invoice",IF(ISNUMBER(F390),F390,""),IF(ISNUMBER(E390),E390,""))</f>
        <v/>
      </c>
      <c r="I390" s="30" t="n"/>
      <c r="J390" s="29">
        <f>IF(AND(ISNUMBER(H390),ISNUMBER(I390)),EDATE(H390,I390),"")</f>
        <v/>
      </c>
      <c r="K390" s="30" t="n"/>
      <c r="L390" s="29">
        <f>IF(AND(ISNUMBER(H390),ISNUMBER(K390)),EDATE(H390,K390),"")</f>
        <v/>
      </c>
      <c r="M390" s="29">
        <f>IF(COUNT(J390,L390)=0,"",IF(MIN(J390,L390)&gt;=TODAY(),MIN(J390,L390),MAX(J390,L390)))</f>
        <v/>
      </c>
      <c r="N390" s="31">
        <f>IF(ISNUMBER(M390),M390-TODAY(),"")</f>
        <v/>
      </c>
      <c r="O390" s="30" t="n"/>
      <c r="P390" s="29">
        <f>IF(ISNUMBER(M390),M390-IF(ISNUMBER(O390),O390,60),"")</f>
        <v/>
      </c>
      <c r="Q390" s="27" t="n"/>
      <c r="R390" s="27" t="n"/>
      <c r="S390" s="27" t="n"/>
      <c r="T390" s="27" t="n"/>
      <c r="U390" s="27" t="n"/>
      <c r="V390" s="27" t="n"/>
      <c r="W390" s="27" t="n"/>
      <c r="X390" s="27" t="n"/>
      <c r="Y390" s="27" t="n"/>
    </row>
    <row r="391">
      <c r="A391" s="27" t="n"/>
      <c r="B391" s="27" t="n"/>
      <c r="C391" s="27" t="n"/>
      <c r="D391" s="27" t="n"/>
      <c r="E391" s="28" t="n"/>
      <c r="F391" s="28" t="n"/>
      <c r="G391" s="27" t="n"/>
      <c r="H391" s="29">
        <f>IF(G391="Invoice",IF(ISNUMBER(F391),F391,""),IF(ISNUMBER(E391),E391,""))</f>
        <v/>
      </c>
      <c r="I391" s="30" t="n"/>
      <c r="J391" s="29">
        <f>IF(AND(ISNUMBER(H391),ISNUMBER(I391)),EDATE(H391,I391),"")</f>
        <v/>
      </c>
      <c r="K391" s="30" t="n"/>
      <c r="L391" s="29">
        <f>IF(AND(ISNUMBER(H391),ISNUMBER(K391)),EDATE(H391,K391),"")</f>
        <v/>
      </c>
      <c r="M391" s="29">
        <f>IF(COUNT(J391,L391)=0,"",IF(MIN(J391,L391)&gt;=TODAY(),MIN(J391,L391),MAX(J391,L391)))</f>
        <v/>
      </c>
      <c r="N391" s="31">
        <f>IF(ISNUMBER(M391),M391-TODAY(),"")</f>
        <v/>
      </c>
      <c r="O391" s="30" t="n"/>
      <c r="P391" s="29">
        <f>IF(ISNUMBER(M391),M391-IF(ISNUMBER(O391),O391,60),"")</f>
        <v/>
      </c>
      <c r="Q391" s="27" t="n"/>
      <c r="R391" s="27" t="n"/>
      <c r="S391" s="27" t="n"/>
      <c r="T391" s="27" t="n"/>
      <c r="U391" s="27" t="n"/>
      <c r="V391" s="27" t="n"/>
      <c r="W391" s="27" t="n"/>
      <c r="X391" s="27" t="n"/>
      <c r="Y391" s="27" t="n"/>
    </row>
    <row r="392">
      <c r="A392" s="27" t="n"/>
      <c r="B392" s="27" t="n"/>
      <c r="C392" s="27" t="n"/>
      <c r="D392" s="27" t="n"/>
      <c r="E392" s="28" t="n"/>
      <c r="F392" s="28" t="n"/>
      <c r="G392" s="27" t="n"/>
      <c r="H392" s="29">
        <f>IF(G392="Invoice",IF(ISNUMBER(F392),F392,""),IF(ISNUMBER(E392),E392,""))</f>
        <v/>
      </c>
      <c r="I392" s="30" t="n"/>
      <c r="J392" s="29">
        <f>IF(AND(ISNUMBER(H392),ISNUMBER(I392)),EDATE(H392,I392),"")</f>
        <v/>
      </c>
      <c r="K392" s="30" t="n"/>
      <c r="L392" s="29">
        <f>IF(AND(ISNUMBER(H392),ISNUMBER(K392)),EDATE(H392,K392),"")</f>
        <v/>
      </c>
      <c r="M392" s="29">
        <f>IF(COUNT(J392,L392)=0,"",IF(MIN(J392,L392)&gt;=TODAY(),MIN(J392,L392),MAX(J392,L392)))</f>
        <v/>
      </c>
      <c r="N392" s="31">
        <f>IF(ISNUMBER(M392),M392-TODAY(),"")</f>
        <v/>
      </c>
      <c r="O392" s="30" t="n"/>
      <c r="P392" s="29">
        <f>IF(ISNUMBER(M392),M392-IF(ISNUMBER(O392),O392,60),"")</f>
        <v/>
      </c>
      <c r="Q392" s="27" t="n"/>
      <c r="R392" s="27" t="n"/>
      <c r="S392" s="27" t="n"/>
      <c r="T392" s="27" t="n"/>
      <c r="U392" s="27" t="n"/>
      <c r="V392" s="27" t="n"/>
      <c r="W392" s="27" t="n"/>
      <c r="X392" s="27" t="n"/>
      <c r="Y392" s="27" t="n"/>
    </row>
    <row r="393">
      <c r="A393" s="27" t="n"/>
      <c r="B393" s="27" t="n"/>
      <c r="C393" s="27" t="n"/>
      <c r="D393" s="27" t="n"/>
      <c r="E393" s="28" t="n"/>
      <c r="F393" s="28" t="n"/>
      <c r="G393" s="27" t="n"/>
      <c r="H393" s="29">
        <f>IF(G393="Invoice",IF(ISNUMBER(F393),F393,""),IF(ISNUMBER(E393),E393,""))</f>
        <v/>
      </c>
      <c r="I393" s="30" t="n"/>
      <c r="J393" s="29">
        <f>IF(AND(ISNUMBER(H393),ISNUMBER(I393)),EDATE(H393,I393),"")</f>
        <v/>
      </c>
      <c r="K393" s="30" t="n"/>
      <c r="L393" s="29">
        <f>IF(AND(ISNUMBER(H393),ISNUMBER(K393)),EDATE(H393,K393),"")</f>
        <v/>
      </c>
      <c r="M393" s="29">
        <f>IF(COUNT(J393,L393)=0,"",IF(MIN(J393,L393)&gt;=TODAY(),MIN(J393,L393),MAX(J393,L393)))</f>
        <v/>
      </c>
      <c r="N393" s="31">
        <f>IF(ISNUMBER(M393),M393-TODAY(),"")</f>
        <v/>
      </c>
      <c r="O393" s="30" t="n"/>
      <c r="P393" s="29">
        <f>IF(ISNUMBER(M393),M393-IF(ISNUMBER(O393),O393,60),"")</f>
        <v/>
      </c>
      <c r="Q393" s="27" t="n"/>
      <c r="R393" s="27" t="n"/>
      <c r="S393" s="27" t="n"/>
      <c r="T393" s="27" t="n"/>
      <c r="U393" s="27" t="n"/>
      <c r="V393" s="27" t="n"/>
      <c r="W393" s="27" t="n"/>
      <c r="X393" s="27" t="n"/>
      <c r="Y393" s="27" t="n"/>
    </row>
    <row r="394">
      <c r="A394" s="27" t="n"/>
      <c r="B394" s="27" t="n"/>
      <c r="C394" s="27" t="n"/>
      <c r="D394" s="27" t="n"/>
      <c r="E394" s="28" t="n"/>
      <c r="F394" s="28" t="n"/>
      <c r="G394" s="27" t="n"/>
      <c r="H394" s="29">
        <f>IF(G394="Invoice",IF(ISNUMBER(F394),F394,""),IF(ISNUMBER(E394),E394,""))</f>
        <v/>
      </c>
      <c r="I394" s="30" t="n"/>
      <c r="J394" s="29">
        <f>IF(AND(ISNUMBER(H394),ISNUMBER(I394)),EDATE(H394,I394),"")</f>
        <v/>
      </c>
      <c r="K394" s="30" t="n"/>
      <c r="L394" s="29">
        <f>IF(AND(ISNUMBER(H394),ISNUMBER(K394)),EDATE(H394,K394),"")</f>
        <v/>
      </c>
      <c r="M394" s="29">
        <f>IF(COUNT(J394,L394)=0,"",IF(MIN(J394,L394)&gt;=TODAY(),MIN(J394,L394),MAX(J394,L394)))</f>
        <v/>
      </c>
      <c r="N394" s="31">
        <f>IF(ISNUMBER(M394),M394-TODAY(),"")</f>
        <v/>
      </c>
      <c r="O394" s="30" t="n"/>
      <c r="P394" s="29">
        <f>IF(ISNUMBER(M394),M394-IF(ISNUMBER(O394),O394,60),"")</f>
        <v/>
      </c>
      <c r="Q394" s="27" t="n"/>
      <c r="R394" s="27" t="n"/>
      <c r="S394" s="27" t="n"/>
      <c r="T394" s="27" t="n"/>
      <c r="U394" s="27" t="n"/>
      <c r="V394" s="27" t="n"/>
      <c r="W394" s="27" t="n"/>
      <c r="X394" s="27" t="n"/>
      <c r="Y394" s="27" t="n"/>
    </row>
    <row r="395">
      <c r="A395" s="27" t="n"/>
      <c r="B395" s="27" t="n"/>
      <c r="C395" s="27" t="n"/>
      <c r="D395" s="27" t="n"/>
      <c r="E395" s="28" t="n"/>
      <c r="F395" s="28" t="n"/>
      <c r="G395" s="27" t="n"/>
      <c r="H395" s="29">
        <f>IF(G395="Invoice",IF(ISNUMBER(F395),F395,""),IF(ISNUMBER(E395),E395,""))</f>
        <v/>
      </c>
      <c r="I395" s="30" t="n"/>
      <c r="J395" s="29">
        <f>IF(AND(ISNUMBER(H395),ISNUMBER(I395)),EDATE(H395,I395),"")</f>
        <v/>
      </c>
      <c r="K395" s="30" t="n"/>
      <c r="L395" s="29">
        <f>IF(AND(ISNUMBER(H395),ISNUMBER(K395)),EDATE(H395,K395),"")</f>
        <v/>
      </c>
      <c r="M395" s="29">
        <f>IF(COUNT(J395,L395)=0,"",IF(MIN(J395,L395)&gt;=TODAY(),MIN(J395,L395),MAX(J395,L395)))</f>
        <v/>
      </c>
      <c r="N395" s="31">
        <f>IF(ISNUMBER(M395),M395-TODAY(),"")</f>
        <v/>
      </c>
      <c r="O395" s="30" t="n"/>
      <c r="P395" s="29">
        <f>IF(ISNUMBER(M395),M395-IF(ISNUMBER(O395),O395,60),"")</f>
        <v/>
      </c>
      <c r="Q395" s="27" t="n"/>
      <c r="R395" s="27" t="n"/>
      <c r="S395" s="27" t="n"/>
      <c r="T395" s="27" t="n"/>
      <c r="U395" s="27" t="n"/>
      <c r="V395" s="27" t="n"/>
      <c r="W395" s="27" t="n"/>
      <c r="X395" s="27" t="n"/>
      <c r="Y395" s="27" t="n"/>
    </row>
    <row r="396">
      <c r="A396" s="27" t="n"/>
      <c r="B396" s="27" t="n"/>
      <c r="C396" s="27" t="n"/>
      <c r="D396" s="27" t="n"/>
      <c r="E396" s="28" t="n"/>
      <c r="F396" s="28" t="n"/>
      <c r="G396" s="27" t="n"/>
      <c r="H396" s="29">
        <f>IF(G396="Invoice",IF(ISNUMBER(F396),F396,""),IF(ISNUMBER(E396),E396,""))</f>
        <v/>
      </c>
      <c r="I396" s="30" t="n"/>
      <c r="J396" s="29">
        <f>IF(AND(ISNUMBER(H396),ISNUMBER(I396)),EDATE(H396,I396),"")</f>
        <v/>
      </c>
      <c r="K396" s="30" t="n"/>
      <c r="L396" s="29">
        <f>IF(AND(ISNUMBER(H396),ISNUMBER(K396)),EDATE(H396,K396),"")</f>
        <v/>
      </c>
      <c r="M396" s="29">
        <f>IF(COUNT(J396,L396)=0,"",IF(MIN(J396,L396)&gt;=TODAY(),MIN(J396,L396),MAX(J396,L396)))</f>
        <v/>
      </c>
      <c r="N396" s="31">
        <f>IF(ISNUMBER(M396),M396-TODAY(),"")</f>
        <v/>
      </c>
      <c r="O396" s="30" t="n"/>
      <c r="P396" s="29">
        <f>IF(ISNUMBER(M396),M396-IF(ISNUMBER(O396),O396,60),"")</f>
        <v/>
      </c>
      <c r="Q396" s="27" t="n"/>
      <c r="R396" s="27" t="n"/>
      <c r="S396" s="27" t="n"/>
      <c r="T396" s="27" t="n"/>
      <c r="U396" s="27" t="n"/>
      <c r="V396" s="27" t="n"/>
      <c r="W396" s="27" t="n"/>
      <c r="X396" s="27" t="n"/>
      <c r="Y396" s="27" t="n"/>
    </row>
    <row r="397">
      <c r="A397" s="27" t="n"/>
      <c r="B397" s="27" t="n"/>
      <c r="C397" s="27" t="n"/>
      <c r="D397" s="27" t="n"/>
      <c r="E397" s="28" t="n"/>
      <c r="F397" s="28" t="n"/>
      <c r="G397" s="27" t="n"/>
      <c r="H397" s="29">
        <f>IF(G397="Invoice",IF(ISNUMBER(F397),F397,""),IF(ISNUMBER(E397),E397,""))</f>
        <v/>
      </c>
      <c r="I397" s="30" t="n"/>
      <c r="J397" s="29">
        <f>IF(AND(ISNUMBER(H397),ISNUMBER(I397)),EDATE(H397,I397),"")</f>
        <v/>
      </c>
      <c r="K397" s="30" t="n"/>
      <c r="L397" s="29">
        <f>IF(AND(ISNUMBER(H397),ISNUMBER(K397)),EDATE(H397,K397),"")</f>
        <v/>
      </c>
      <c r="M397" s="29">
        <f>IF(COUNT(J397,L397)=0,"",IF(MIN(J397,L397)&gt;=TODAY(),MIN(J397,L397),MAX(J397,L397)))</f>
        <v/>
      </c>
      <c r="N397" s="31">
        <f>IF(ISNUMBER(M397),M397-TODAY(),"")</f>
        <v/>
      </c>
      <c r="O397" s="30" t="n"/>
      <c r="P397" s="29">
        <f>IF(ISNUMBER(M397),M397-IF(ISNUMBER(O397),O397,60),"")</f>
        <v/>
      </c>
      <c r="Q397" s="27" t="n"/>
      <c r="R397" s="27" t="n"/>
      <c r="S397" s="27" t="n"/>
      <c r="T397" s="27" t="n"/>
      <c r="U397" s="27" t="n"/>
      <c r="V397" s="27" t="n"/>
      <c r="W397" s="27" t="n"/>
      <c r="X397" s="27" t="n"/>
      <c r="Y397" s="27" t="n"/>
    </row>
    <row r="398">
      <c r="A398" s="27" t="n"/>
      <c r="B398" s="27" t="n"/>
      <c r="C398" s="27" t="n"/>
      <c r="D398" s="27" t="n"/>
      <c r="E398" s="28" t="n"/>
      <c r="F398" s="28" t="n"/>
      <c r="G398" s="27" t="n"/>
      <c r="H398" s="29">
        <f>IF(G398="Invoice",IF(ISNUMBER(F398),F398,""),IF(ISNUMBER(E398),E398,""))</f>
        <v/>
      </c>
      <c r="I398" s="30" t="n"/>
      <c r="J398" s="29">
        <f>IF(AND(ISNUMBER(H398),ISNUMBER(I398)),EDATE(H398,I398),"")</f>
        <v/>
      </c>
      <c r="K398" s="30" t="n"/>
      <c r="L398" s="29">
        <f>IF(AND(ISNUMBER(H398),ISNUMBER(K398)),EDATE(H398,K398),"")</f>
        <v/>
      </c>
      <c r="M398" s="29">
        <f>IF(COUNT(J398,L398)=0,"",IF(MIN(J398,L398)&gt;=TODAY(),MIN(J398,L398),MAX(J398,L398)))</f>
        <v/>
      </c>
      <c r="N398" s="31">
        <f>IF(ISNUMBER(M398),M398-TODAY(),"")</f>
        <v/>
      </c>
      <c r="O398" s="30" t="n"/>
      <c r="P398" s="29">
        <f>IF(ISNUMBER(M398),M398-IF(ISNUMBER(O398),O398,60),"")</f>
        <v/>
      </c>
      <c r="Q398" s="27" t="n"/>
      <c r="R398" s="27" t="n"/>
      <c r="S398" s="27" t="n"/>
      <c r="T398" s="27" t="n"/>
      <c r="U398" s="27" t="n"/>
      <c r="V398" s="27" t="n"/>
      <c r="W398" s="27" t="n"/>
      <c r="X398" s="27" t="n"/>
      <c r="Y398" s="27" t="n"/>
    </row>
    <row r="399">
      <c r="A399" s="27" t="n"/>
      <c r="B399" s="27" t="n"/>
      <c r="C399" s="27" t="n"/>
      <c r="D399" s="27" t="n"/>
      <c r="E399" s="28" t="n"/>
      <c r="F399" s="28" t="n"/>
      <c r="G399" s="27" t="n"/>
      <c r="H399" s="29">
        <f>IF(G399="Invoice",IF(ISNUMBER(F399),F399,""),IF(ISNUMBER(E399),E399,""))</f>
        <v/>
      </c>
      <c r="I399" s="30" t="n"/>
      <c r="J399" s="29">
        <f>IF(AND(ISNUMBER(H399),ISNUMBER(I399)),EDATE(H399,I399),"")</f>
        <v/>
      </c>
      <c r="K399" s="30" t="n"/>
      <c r="L399" s="29">
        <f>IF(AND(ISNUMBER(H399),ISNUMBER(K399)),EDATE(H399,K399),"")</f>
        <v/>
      </c>
      <c r="M399" s="29">
        <f>IF(COUNT(J399,L399)=0,"",IF(MIN(J399,L399)&gt;=TODAY(),MIN(J399,L399),MAX(J399,L399)))</f>
        <v/>
      </c>
      <c r="N399" s="31">
        <f>IF(ISNUMBER(M399),M399-TODAY(),"")</f>
        <v/>
      </c>
      <c r="O399" s="30" t="n"/>
      <c r="P399" s="29">
        <f>IF(ISNUMBER(M399),M399-IF(ISNUMBER(O399),O399,60),"")</f>
        <v/>
      </c>
      <c r="Q399" s="27" t="n"/>
      <c r="R399" s="27" t="n"/>
      <c r="S399" s="27" t="n"/>
      <c r="T399" s="27" t="n"/>
      <c r="U399" s="27" t="n"/>
      <c r="V399" s="27" t="n"/>
      <c r="W399" s="27" t="n"/>
      <c r="X399" s="27" t="n"/>
      <c r="Y399" s="27" t="n"/>
    </row>
    <row r="400">
      <c r="A400" s="27" t="n"/>
      <c r="B400" s="27" t="n"/>
      <c r="C400" s="27" t="n"/>
      <c r="D400" s="27" t="n"/>
      <c r="E400" s="28" t="n"/>
      <c r="F400" s="28" t="n"/>
      <c r="G400" s="27" t="n"/>
      <c r="H400" s="29">
        <f>IF(G400="Invoice",IF(ISNUMBER(F400),F400,""),IF(ISNUMBER(E400),E400,""))</f>
        <v/>
      </c>
      <c r="I400" s="30" t="n"/>
      <c r="J400" s="29">
        <f>IF(AND(ISNUMBER(H400),ISNUMBER(I400)),EDATE(H400,I400),"")</f>
        <v/>
      </c>
      <c r="K400" s="30" t="n"/>
      <c r="L400" s="29">
        <f>IF(AND(ISNUMBER(H400),ISNUMBER(K400)),EDATE(H400,K400),"")</f>
        <v/>
      </c>
      <c r="M400" s="29">
        <f>IF(COUNT(J400,L400)=0,"",IF(MIN(J400,L400)&gt;=TODAY(),MIN(J400,L400),MAX(J400,L400)))</f>
        <v/>
      </c>
      <c r="N400" s="31">
        <f>IF(ISNUMBER(M400),M400-TODAY(),"")</f>
        <v/>
      </c>
      <c r="O400" s="30" t="n"/>
      <c r="P400" s="29">
        <f>IF(ISNUMBER(M400),M400-IF(ISNUMBER(O400),O400,60),"")</f>
        <v/>
      </c>
      <c r="Q400" s="27" t="n"/>
      <c r="R400" s="27" t="n"/>
      <c r="S400" s="27" t="n"/>
      <c r="T400" s="27" t="n"/>
      <c r="U400" s="27" t="n"/>
      <c r="V400" s="27" t="n"/>
      <c r="W400" s="27" t="n"/>
      <c r="X400" s="27" t="n"/>
      <c r="Y400" s="27" t="n"/>
    </row>
    <row r="401">
      <c r="A401" s="27" t="n"/>
      <c r="B401" s="27" t="n"/>
      <c r="C401" s="27" t="n"/>
      <c r="D401" s="27" t="n"/>
      <c r="E401" s="28" t="n"/>
      <c r="F401" s="28" t="n"/>
      <c r="G401" s="27" t="n"/>
      <c r="H401" s="29">
        <f>IF(G401="Invoice",IF(ISNUMBER(F401),F401,""),IF(ISNUMBER(E401),E401,""))</f>
        <v/>
      </c>
      <c r="I401" s="30" t="n"/>
      <c r="J401" s="29">
        <f>IF(AND(ISNUMBER(H401),ISNUMBER(I401)),EDATE(H401,I401),"")</f>
        <v/>
      </c>
      <c r="K401" s="30" t="n"/>
      <c r="L401" s="29">
        <f>IF(AND(ISNUMBER(H401),ISNUMBER(K401)),EDATE(H401,K401),"")</f>
        <v/>
      </c>
      <c r="M401" s="29">
        <f>IF(COUNT(J401,L401)=0,"",IF(MIN(J401,L401)&gt;=TODAY(),MIN(J401,L401),MAX(J401,L401)))</f>
        <v/>
      </c>
      <c r="N401" s="31">
        <f>IF(ISNUMBER(M401),M401-TODAY(),"")</f>
        <v/>
      </c>
      <c r="O401" s="30" t="n"/>
      <c r="P401" s="29">
        <f>IF(ISNUMBER(M401),M401-IF(ISNUMBER(O401),O401,60),"")</f>
        <v/>
      </c>
      <c r="Q401" s="27" t="n"/>
      <c r="R401" s="27" t="n"/>
      <c r="S401" s="27" t="n"/>
      <c r="T401" s="27" t="n"/>
      <c r="U401" s="27" t="n"/>
      <c r="V401" s="27" t="n"/>
      <c r="W401" s="27" t="n"/>
      <c r="X401" s="27" t="n"/>
      <c r="Y401" s="27" t="n"/>
    </row>
    <row r="402">
      <c r="A402" s="27" t="n"/>
      <c r="B402" s="27" t="n"/>
      <c r="C402" s="27" t="n"/>
      <c r="D402" s="27" t="n"/>
      <c r="E402" s="28" t="n"/>
      <c r="F402" s="28" t="n"/>
      <c r="G402" s="27" t="n"/>
      <c r="H402" s="29">
        <f>IF(G402="Invoice",IF(ISNUMBER(F402),F402,""),IF(ISNUMBER(E402),E402,""))</f>
        <v/>
      </c>
      <c r="I402" s="30" t="n"/>
      <c r="J402" s="29">
        <f>IF(AND(ISNUMBER(H402),ISNUMBER(I402)),EDATE(H402,I402),"")</f>
        <v/>
      </c>
      <c r="K402" s="30" t="n"/>
      <c r="L402" s="29">
        <f>IF(AND(ISNUMBER(H402),ISNUMBER(K402)),EDATE(H402,K402),"")</f>
        <v/>
      </c>
      <c r="M402" s="29">
        <f>IF(COUNT(J402,L402)=0,"",IF(MIN(J402,L402)&gt;=TODAY(),MIN(J402,L402),MAX(J402,L402)))</f>
        <v/>
      </c>
      <c r="N402" s="31">
        <f>IF(ISNUMBER(M402),M402-TODAY(),"")</f>
        <v/>
      </c>
      <c r="O402" s="30" t="n"/>
      <c r="P402" s="29">
        <f>IF(ISNUMBER(M402),M402-IF(ISNUMBER(O402),O402,60),"")</f>
        <v/>
      </c>
      <c r="Q402" s="27" t="n"/>
      <c r="R402" s="27" t="n"/>
      <c r="S402" s="27" t="n"/>
      <c r="T402" s="27" t="n"/>
      <c r="U402" s="27" t="n"/>
      <c r="V402" s="27" t="n"/>
      <c r="W402" s="27" t="n"/>
      <c r="X402" s="27" t="n"/>
      <c r="Y402" s="27" t="n"/>
    </row>
    <row r="403">
      <c r="A403" s="27" t="n"/>
      <c r="B403" s="27" t="n"/>
      <c r="C403" s="27" t="n"/>
      <c r="D403" s="27" t="n"/>
      <c r="E403" s="28" t="n"/>
      <c r="F403" s="28" t="n"/>
      <c r="G403" s="27" t="n"/>
      <c r="H403" s="29">
        <f>IF(G403="Invoice",IF(ISNUMBER(F403),F403,""),IF(ISNUMBER(E403),E403,""))</f>
        <v/>
      </c>
      <c r="I403" s="30" t="n"/>
      <c r="J403" s="29">
        <f>IF(AND(ISNUMBER(H403),ISNUMBER(I403)),EDATE(H403,I403),"")</f>
        <v/>
      </c>
      <c r="K403" s="30" t="n"/>
      <c r="L403" s="29">
        <f>IF(AND(ISNUMBER(H403),ISNUMBER(K403)),EDATE(H403,K403),"")</f>
        <v/>
      </c>
      <c r="M403" s="29">
        <f>IF(COUNT(J403,L403)=0,"",IF(MIN(J403,L403)&gt;=TODAY(),MIN(J403,L403),MAX(J403,L403)))</f>
        <v/>
      </c>
      <c r="N403" s="31">
        <f>IF(ISNUMBER(M403),M403-TODAY(),"")</f>
        <v/>
      </c>
      <c r="O403" s="30" t="n"/>
      <c r="P403" s="29">
        <f>IF(ISNUMBER(M403),M403-IF(ISNUMBER(O403),O403,60),"")</f>
        <v/>
      </c>
      <c r="Q403" s="27" t="n"/>
      <c r="R403" s="27" t="n"/>
      <c r="S403" s="27" t="n"/>
      <c r="T403" s="27" t="n"/>
      <c r="U403" s="27" t="n"/>
      <c r="V403" s="27" t="n"/>
      <c r="W403" s="27" t="n"/>
      <c r="X403" s="27" t="n"/>
      <c r="Y403" s="27" t="n"/>
    </row>
    <row r="404">
      <c r="A404" s="27" t="n"/>
      <c r="B404" s="27" t="n"/>
      <c r="C404" s="27" t="n"/>
      <c r="D404" s="27" t="n"/>
      <c r="E404" s="28" t="n"/>
      <c r="F404" s="28" t="n"/>
      <c r="G404" s="27" t="n"/>
      <c r="H404" s="29">
        <f>IF(G404="Invoice",IF(ISNUMBER(F404),F404,""),IF(ISNUMBER(E404),E404,""))</f>
        <v/>
      </c>
      <c r="I404" s="30" t="n"/>
      <c r="J404" s="29">
        <f>IF(AND(ISNUMBER(H404),ISNUMBER(I404)),EDATE(H404,I404),"")</f>
        <v/>
      </c>
      <c r="K404" s="30" t="n"/>
      <c r="L404" s="29">
        <f>IF(AND(ISNUMBER(H404),ISNUMBER(K404)),EDATE(H404,K404),"")</f>
        <v/>
      </c>
      <c r="M404" s="29">
        <f>IF(COUNT(J404,L404)=0,"",IF(MIN(J404,L404)&gt;=TODAY(),MIN(J404,L404),MAX(J404,L404)))</f>
        <v/>
      </c>
      <c r="N404" s="31">
        <f>IF(ISNUMBER(M404),M404-TODAY(),"")</f>
        <v/>
      </c>
      <c r="O404" s="30" t="n"/>
      <c r="P404" s="29">
        <f>IF(ISNUMBER(M404),M404-IF(ISNUMBER(O404),O404,60),"")</f>
        <v/>
      </c>
      <c r="Q404" s="27" t="n"/>
      <c r="R404" s="27" t="n"/>
      <c r="S404" s="27" t="n"/>
      <c r="T404" s="27" t="n"/>
      <c r="U404" s="27" t="n"/>
      <c r="V404" s="27" t="n"/>
      <c r="W404" s="27" t="n"/>
      <c r="X404" s="27" t="n"/>
      <c r="Y404" s="27" t="n"/>
    </row>
    <row r="405">
      <c r="A405" s="27" t="n"/>
      <c r="B405" s="27" t="n"/>
      <c r="C405" s="27" t="n"/>
      <c r="D405" s="27" t="n"/>
      <c r="E405" s="28" t="n"/>
      <c r="F405" s="28" t="n"/>
      <c r="G405" s="27" t="n"/>
      <c r="H405" s="29">
        <f>IF(G405="Invoice",IF(ISNUMBER(F405),F405,""),IF(ISNUMBER(E405),E405,""))</f>
        <v/>
      </c>
      <c r="I405" s="30" t="n"/>
      <c r="J405" s="29">
        <f>IF(AND(ISNUMBER(H405),ISNUMBER(I405)),EDATE(H405,I405),"")</f>
        <v/>
      </c>
      <c r="K405" s="30" t="n"/>
      <c r="L405" s="29">
        <f>IF(AND(ISNUMBER(H405),ISNUMBER(K405)),EDATE(H405,K405),"")</f>
        <v/>
      </c>
      <c r="M405" s="29">
        <f>IF(COUNT(J405,L405)=0,"",IF(MIN(J405,L405)&gt;=TODAY(),MIN(J405,L405),MAX(J405,L405)))</f>
        <v/>
      </c>
      <c r="N405" s="31">
        <f>IF(ISNUMBER(M405),M405-TODAY(),"")</f>
        <v/>
      </c>
      <c r="O405" s="30" t="n"/>
      <c r="P405" s="29">
        <f>IF(ISNUMBER(M405),M405-IF(ISNUMBER(O405),O405,60),"")</f>
        <v/>
      </c>
      <c r="Q405" s="27" t="n"/>
      <c r="R405" s="27" t="n"/>
      <c r="S405" s="27" t="n"/>
      <c r="T405" s="27" t="n"/>
      <c r="U405" s="27" t="n"/>
      <c r="V405" s="27" t="n"/>
      <c r="W405" s="27" t="n"/>
      <c r="X405" s="27" t="n"/>
      <c r="Y405" s="27" t="n"/>
    </row>
    <row r="406">
      <c r="A406" s="27" t="n"/>
      <c r="B406" s="27" t="n"/>
      <c r="C406" s="27" t="n"/>
      <c r="D406" s="27" t="n"/>
      <c r="E406" s="28" t="n"/>
      <c r="F406" s="28" t="n"/>
      <c r="G406" s="27" t="n"/>
      <c r="H406" s="29">
        <f>IF(G406="Invoice",IF(ISNUMBER(F406),F406,""),IF(ISNUMBER(E406),E406,""))</f>
        <v/>
      </c>
      <c r="I406" s="30" t="n"/>
      <c r="J406" s="29">
        <f>IF(AND(ISNUMBER(H406),ISNUMBER(I406)),EDATE(H406,I406),"")</f>
        <v/>
      </c>
      <c r="K406" s="30" t="n"/>
      <c r="L406" s="29">
        <f>IF(AND(ISNUMBER(H406),ISNUMBER(K406)),EDATE(H406,K406),"")</f>
        <v/>
      </c>
      <c r="M406" s="29">
        <f>IF(COUNT(J406,L406)=0,"",IF(MIN(J406,L406)&gt;=TODAY(),MIN(J406,L406),MAX(J406,L406)))</f>
        <v/>
      </c>
      <c r="N406" s="31">
        <f>IF(ISNUMBER(M406),M406-TODAY(),"")</f>
        <v/>
      </c>
      <c r="O406" s="30" t="n"/>
      <c r="P406" s="29">
        <f>IF(ISNUMBER(M406),M406-IF(ISNUMBER(O406),O406,60),"")</f>
        <v/>
      </c>
      <c r="Q406" s="27" t="n"/>
      <c r="R406" s="27" t="n"/>
      <c r="S406" s="27" t="n"/>
      <c r="T406" s="27" t="n"/>
      <c r="U406" s="27" t="n"/>
      <c r="V406" s="27" t="n"/>
      <c r="W406" s="27" t="n"/>
      <c r="X406" s="27" t="n"/>
      <c r="Y406" s="27" t="n"/>
    </row>
    <row r="407">
      <c r="A407" s="27" t="n"/>
      <c r="B407" s="27" t="n"/>
      <c r="C407" s="27" t="n"/>
      <c r="D407" s="27" t="n"/>
      <c r="E407" s="28" t="n"/>
      <c r="F407" s="28" t="n"/>
      <c r="G407" s="27" t="n"/>
      <c r="H407" s="29">
        <f>IF(G407="Invoice",IF(ISNUMBER(F407),F407,""),IF(ISNUMBER(E407),E407,""))</f>
        <v/>
      </c>
      <c r="I407" s="30" t="n"/>
      <c r="J407" s="29">
        <f>IF(AND(ISNUMBER(H407),ISNUMBER(I407)),EDATE(H407,I407),"")</f>
        <v/>
      </c>
      <c r="K407" s="30" t="n"/>
      <c r="L407" s="29">
        <f>IF(AND(ISNUMBER(H407),ISNUMBER(K407)),EDATE(H407,K407),"")</f>
        <v/>
      </c>
      <c r="M407" s="29">
        <f>IF(COUNT(J407,L407)=0,"",IF(MIN(J407,L407)&gt;=TODAY(),MIN(J407,L407),MAX(J407,L407)))</f>
        <v/>
      </c>
      <c r="N407" s="31">
        <f>IF(ISNUMBER(M407),M407-TODAY(),"")</f>
        <v/>
      </c>
      <c r="O407" s="30" t="n"/>
      <c r="P407" s="29">
        <f>IF(ISNUMBER(M407),M407-IF(ISNUMBER(O407),O407,60),"")</f>
        <v/>
      </c>
      <c r="Q407" s="27" t="n"/>
      <c r="R407" s="27" t="n"/>
      <c r="S407" s="27" t="n"/>
      <c r="T407" s="27" t="n"/>
      <c r="U407" s="27" t="n"/>
      <c r="V407" s="27" t="n"/>
      <c r="W407" s="27" t="n"/>
      <c r="X407" s="27" t="n"/>
      <c r="Y407" s="27" t="n"/>
    </row>
    <row r="408">
      <c r="A408" s="27" t="n"/>
      <c r="B408" s="27" t="n"/>
      <c r="C408" s="27" t="n"/>
      <c r="D408" s="27" t="n"/>
      <c r="E408" s="28" t="n"/>
      <c r="F408" s="28" t="n"/>
      <c r="G408" s="27" t="n"/>
      <c r="H408" s="29">
        <f>IF(G408="Invoice",IF(ISNUMBER(F408),F408,""),IF(ISNUMBER(E408),E408,""))</f>
        <v/>
      </c>
      <c r="I408" s="30" t="n"/>
      <c r="J408" s="29">
        <f>IF(AND(ISNUMBER(H408),ISNUMBER(I408)),EDATE(H408,I408),"")</f>
        <v/>
      </c>
      <c r="K408" s="30" t="n"/>
      <c r="L408" s="29">
        <f>IF(AND(ISNUMBER(H408),ISNUMBER(K408)),EDATE(H408,K408),"")</f>
        <v/>
      </c>
      <c r="M408" s="29">
        <f>IF(COUNT(J408,L408)=0,"",IF(MIN(J408,L408)&gt;=TODAY(),MIN(J408,L408),MAX(J408,L408)))</f>
        <v/>
      </c>
      <c r="N408" s="31">
        <f>IF(ISNUMBER(M408),M408-TODAY(),"")</f>
        <v/>
      </c>
      <c r="O408" s="30" t="n"/>
      <c r="P408" s="29">
        <f>IF(ISNUMBER(M408),M408-IF(ISNUMBER(O408),O408,60),"")</f>
        <v/>
      </c>
      <c r="Q408" s="27" t="n"/>
      <c r="R408" s="27" t="n"/>
      <c r="S408" s="27" t="n"/>
      <c r="T408" s="27" t="n"/>
      <c r="U408" s="27" t="n"/>
      <c r="V408" s="27" t="n"/>
      <c r="W408" s="27" t="n"/>
      <c r="X408" s="27" t="n"/>
      <c r="Y408" s="27" t="n"/>
    </row>
    <row r="409">
      <c r="A409" s="27" t="n"/>
      <c r="B409" s="27" t="n"/>
      <c r="C409" s="27" t="n"/>
      <c r="D409" s="27" t="n"/>
      <c r="E409" s="28" t="n"/>
      <c r="F409" s="28" t="n"/>
      <c r="G409" s="27" t="n"/>
      <c r="H409" s="29">
        <f>IF(G409="Invoice",IF(ISNUMBER(F409),F409,""),IF(ISNUMBER(E409),E409,""))</f>
        <v/>
      </c>
      <c r="I409" s="30" t="n"/>
      <c r="J409" s="29">
        <f>IF(AND(ISNUMBER(H409),ISNUMBER(I409)),EDATE(H409,I409),"")</f>
        <v/>
      </c>
      <c r="K409" s="30" t="n"/>
      <c r="L409" s="29">
        <f>IF(AND(ISNUMBER(H409),ISNUMBER(K409)),EDATE(H409,K409),"")</f>
        <v/>
      </c>
      <c r="M409" s="29">
        <f>IF(COUNT(J409,L409)=0,"",IF(MIN(J409,L409)&gt;=TODAY(),MIN(J409,L409),MAX(J409,L409)))</f>
        <v/>
      </c>
      <c r="N409" s="31">
        <f>IF(ISNUMBER(M409),M409-TODAY(),"")</f>
        <v/>
      </c>
      <c r="O409" s="30" t="n"/>
      <c r="P409" s="29">
        <f>IF(ISNUMBER(M409),M409-IF(ISNUMBER(O409),O409,60),"")</f>
        <v/>
      </c>
      <c r="Q409" s="27" t="n"/>
      <c r="R409" s="27" t="n"/>
      <c r="S409" s="27" t="n"/>
      <c r="T409" s="27" t="n"/>
      <c r="U409" s="27" t="n"/>
      <c r="V409" s="27" t="n"/>
      <c r="W409" s="27" t="n"/>
      <c r="X409" s="27" t="n"/>
      <c r="Y409" s="27" t="n"/>
    </row>
    <row r="410">
      <c r="A410" s="27" t="n"/>
      <c r="B410" s="27" t="n"/>
      <c r="C410" s="27" t="n"/>
      <c r="D410" s="27" t="n"/>
      <c r="E410" s="28" t="n"/>
      <c r="F410" s="28" t="n"/>
      <c r="G410" s="27" t="n"/>
      <c r="H410" s="29">
        <f>IF(G410="Invoice",IF(ISNUMBER(F410),F410,""),IF(ISNUMBER(E410),E410,""))</f>
        <v/>
      </c>
      <c r="I410" s="30" t="n"/>
      <c r="J410" s="29">
        <f>IF(AND(ISNUMBER(H410),ISNUMBER(I410)),EDATE(H410,I410),"")</f>
        <v/>
      </c>
      <c r="K410" s="30" t="n"/>
      <c r="L410" s="29">
        <f>IF(AND(ISNUMBER(H410),ISNUMBER(K410)),EDATE(H410,K410),"")</f>
        <v/>
      </c>
      <c r="M410" s="29">
        <f>IF(COUNT(J410,L410)=0,"",IF(MIN(J410,L410)&gt;=TODAY(),MIN(J410,L410),MAX(J410,L410)))</f>
        <v/>
      </c>
      <c r="N410" s="31">
        <f>IF(ISNUMBER(M410),M410-TODAY(),"")</f>
        <v/>
      </c>
      <c r="O410" s="30" t="n"/>
      <c r="P410" s="29">
        <f>IF(ISNUMBER(M410),M410-IF(ISNUMBER(O410),O410,60),"")</f>
        <v/>
      </c>
      <c r="Q410" s="27" t="n"/>
      <c r="R410" s="27" t="n"/>
      <c r="S410" s="27" t="n"/>
      <c r="T410" s="27" t="n"/>
      <c r="U410" s="27" t="n"/>
      <c r="V410" s="27" t="n"/>
      <c r="W410" s="27" t="n"/>
      <c r="X410" s="27" t="n"/>
      <c r="Y410" s="27" t="n"/>
    </row>
    <row r="411">
      <c r="A411" s="27" t="n"/>
      <c r="B411" s="27" t="n"/>
      <c r="C411" s="27" t="n"/>
      <c r="D411" s="27" t="n"/>
      <c r="E411" s="28" t="n"/>
      <c r="F411" s="28" t="n"/>
      <c r="G411" s="27" t="n"/>
      <c r="H411" s="29">
        <f>IF(G411="Invoice",IF(ISNUMBER(F411),F411,""),IF(ISNUMBER(E411),E411,""))</f>
        <v/>
      </c>
      <c r="I411" s="30" t="n"/>
      <c r="J411" s="29">
        <f>IF(AND(ISNUMBER(H411),ISNUMBER(I411)),EDATE(H411,I411),"")</f>
        <v/>
      </c>
      <c r="K411" s="30" t="n"/>
      <c r="L411" s="29">
        <f>IF(AND(ISNUMBER(H411),ISNUMBER(K411)),EDATE(H411,K411),"")</f>
        <v/>
      </c>
      <c r="M411" s="29">
        <f>IF(COUNT(J411,L411)=0,"",IF(MIN(J411,L411)&gt;=TODAY(),MIN(J411,L411),MAX(J411,L411)))</f>
        <v/>
      </c>
      <c r="N411" s="31">
        <f>IF(ISNUMBER(M411),M411-TODAY(),"")</f>
        <v/>
      </c>
      <c r="O411" s="30" t="n"/>
      <c r="P411" s="29">
        <f>IF(ISNUMBER(M411),M411-IF(ISNUMBER(O411),O411,60),"")</f>
        <v/>
      </c>
      <c r="Q411" s="27" t="n"/>
      <c r="R411" s="27" t="n"/>
      <c r="S411" s="27" t="n"/>
      <c r="T411" s="27" t="n"/>
      <c r="U411" s="27" t="n"/>
      <c r="V411" s="27" t="n"/>
      <c r="W411" s="27" t="n"/>
      <c r="X411" s="27" t="n"/>
      <c r="Y411" s="27" t="n"/>
    </row>
    <row r="412">
      <c r="A412" s="27" t="n"/>
      <c r="B412" s="27" t="n"/>
      <c r="C412" s="27" t="n"/>
      <c r="D412" s="27" t="n"/>
      <c r="E412" s="28" t="n"/>
      <c r="F412" s="28" t="n"/>
      <c r="G412" s="27" t="n"/>
      <c r="H412" s="29">
        <f>IF(G412="Invoice",IF(ISNUMBER(F412),F412,""),IF(ISNUMBER(E412),E412,""))</f>
        <v/>
      </c>
      <c r="I412" s="30" t="n"/>
      <c r="J412" s="29">
        <f>IF(AND(ISNUMBER(H412),ISNUMBER(I412)),EDATE(H412,I412),"")</f>
        <v/>
      </c>
      <c r="K412" s="30" t="n"/>
      <c r="L412" s="29">
        <f>IF(AND(ISNUMBER(H412),ISNUMBER(K412)),EDATE(H412,K412),"")</f>
        <v/>
      </c>
      <c r="M412" s="29">
        <f>IF(COUNT(J412,L412)=0,"",IF(MIN(J412,L412)&gt;=TODAY(),MIN(J412,L412),MAX(J412,L412)))</f>
        <v/>
      </c>
      <c r="N412" s="31">
        <f>IF(ISNUMBER(M412),M412-TODAY(),"")</f>
        <v/>
      </c>
      <c r="O412" s="30" t="n"/>
      <c r="P412" s="29">
        <f>IF(ISNUMBER(M412),M412-IF(ISNUMBER(O412),O412,60),"")</f>
        <v/>
      </c>
      <c r="Q412" s="27" t="n"/>
      <c r="R412" s="27" t="n"/>
      <c r="S412" s="27" t="n"/>
      <c r="T412" s="27" t="n"/>
      <c r="U412" s="27" t="n"/>
      <c r="V412" s="27" t="n"/>
      <c r="W412" s="27" t="n"/>
      <c r="X412" s="27" t="n"/>
      <c r="Y412" s="27" t="n"/>
    </row>
    <row r="413">
      <c r="A413" s="27" t="n"/>
      <c r="B413" s="27" t="n"/>
      <c r="C413" s="27" t="n"/>
      <c r="D413" s="27" t="n"/>
      <c r="E413" s="28" t="n"/>
      <c r="F413" s="28" t="n"/>
      <c r="G413" s="27" t="n"/>
      <c r="H413" s="29">
        <f>IF(G413="Invoice",IF(ISNUMBER(F413),F413,""),IF(ISNUMBER(E413),E413,""))</f>
        <v/>
      </c>
      <c r="I413" s="30" t="n"/>
      <c r="J413" s="29">
        <f>IF(AND(ISNUMBER(H413),ISNUMBER(I413)),EDATE(H413,I413),"")</f>
        <v/>
      </c>
      <c r="K413" s="30" t="n"/>
      <c r="L413" s="29">
        <f>IF(AND(ISNUMBER(H413),ISNUMBER(K413)),EDATE(H413,K413),"")</f>
        <v/>
      </c>
      <c r="M413" s="29">
        <f>IF(COUNT(J413,L413)=0,"",IF(MIN(J413,L413)&gt;=TODAY(),MIN(J413,L413),MAX(J413,L413)))</f>
        <v/>
      </c>
      <c r="N413" s="31">
        <f>IF(ISNUMBER(M413),M413-TODAY(),"")</f>
        <v/>
      </c>
      <c r="O413" s="30" t="n"/>
      <c r="P413" s="29">
        <f>IF(ISNUMBER(M413),M413-IF(ISNUMBER(O413),O413,60),"")</f>
        <v/>
      </c>
      <c r="Q413" s="27" t="n"/>
      <c r="R413" s="27" t="n"/>
      <c r="S413" s="27" t="n"/>
      <c r="T413" s="27" t="n"/>
      <c r="U413" s="27" t="n"/>
      <c r="V413" s="27" t="n"/>
      <c r="W413" s="27" t="n"/>
      <c r="X413" s="27" t="n"/>
      <c r="Y413" s="27" t="n"/>
    </row>
    <row r="414">
      <c r="A414" s="27" t="n"/>
      <c r="B414" s="27" t="n"/>
      <c r="C414" s="27" t="n"/>
      <c r="D414" s="27" t="n"/>
      <c r="E414" s="28" t="n"/>
      <c r="F414" s="28" t="n"/>
      <c r="G414" s="27" t="n"/>
      <c r="H414" s="29">
        <f>IF(G414="Invoice",IF(ISNUMBER(F414),F414,""),IF(ISNUMBER(E414),E414,""))</f>
        <v/>
      </c>
      <c r="I414" s="30" t="n"/>
      <c r="J414" s="29">
        <f>IF(AND(ISNUMBER(H414),ISNUMBER(I414)),EDATE(H414,I414),"")</f>
        <v/>
      </c>
      <c r="K414" s="30" t="n"/>
      <c r="L414" s="29">
        <f>IF(AND(ISNUMBER(H414),ISNUMBER(K414)),EDATE(H414,K414),"")</f>
        <v/>
      </c>
      <c r="M414" s="29">
        <f>IF(COUNT(J414,L414)=0,"",IF(MIN(J414,L414)&gt;=TODAY(),MIN(J414,L414),MAX(J414,L414)))</f>
        <v/>
      </c>
      <c r="N414" s="31">
        <f>IF(ISNUMBER(M414),M414-TODAY(),"")</f>
        <v/>
      </c>
      <c r="O414" s="30" t="n"/>
      <c r="P414" s="29">
        <f>IF(ISNUMBER(M414),M414-IF(ISNUMBER(O414),O414,60),"")</f>
        <v/>
      </c>
      <c r="Q414" s="27" t="n"/>
      <c r="R414" s="27" t="n"/>
      <c r="S414" s="27" t="n"/>
      <c r="T414" s="27" t="n"/>
      <c r="U414" s="27" t="n"/>
      <c r="V414" s="27" t="n"/>
      <c r="W414" s="27" t="n"/>
      <c r="X414" s="27" t="n"/>
      <c r="Y414" s="27" t="n"/>
    </row>
    <row r="415">
      <c r="A415" s="27" t="n"/>
      <c r="B415" s="27" t="n"/>
      <c r="C415" s="27" t="n"/>
      <c r="D415" s="27" t="n"/>
      <c r="E415" s="28" t="n"/>
      <c r="F415" s="28" t="n"/>
      <c r="G415" s="27" t="n"/>
      <c r="H415" s="29">
        <f>IF(G415="Invoice",IF(ISNUMBER(F415),F415,""),IF(ISNUMBER(E415),E415,""))</f>
        <v/>
      </c>
      <c r="I415" s="30" t="n"/>
      <c r="J415" s="29">
        <f>IF(AND(ISNUMBER(H415),ISNUMBER(I415)),EDATE(H415,I415),"")</f>
        <v/>
      </c>
      <c r="K415" s="30" t="n"/>
      <c r="L415" s="29">
        <f>IF(AND(ISNUMBER(H415),ISNUMBER(K415)),EDATE(H415,K415),"")</f>
        <v/>
      </c>
      <c r="M415" s="29">
        <f>IF(COUNT(J415,L415)=0,"",IF(MIN(J415,L415)&gt;=TODAY(),MIN(J415,L415),MAX(J415,L415)))</f>
        <v/>
      </c>
      <c r="N415" s="31">
        <f>IF(ISNUMBER(M415),M415-TODAY(),"")</f>
        <v/>
      </c>
      <c r="O415" s="30" t="n"/>
      <c r="P415" s="29">
        <f>IF(ISNUMBER(M415),M415-IF(ISNUMBER(O415),O415,60),"")</f>
        <v/>
      </c>
      <c r="Q415" s="27" t="n"/>
      <c r="R415" s="27" t="n"/>
      <c r="S415" s="27" t="n"/>
      <c r="T415" s="27" t="n"/>
      <c r="U415" s="27" t="n"/>
      <c r="V415" s="27" t="n"/>
      <c r="W415" s="27" t="n"/>
      <c r="X415" s="27" t="n"/>
      <c r="Y415" s="27" t="n"/>
    </row>
    <row r="416">
      <c r="A416" s="27" t="n"/>
      <c r="B416" s="27" t="n"/>
      <c r="C416" s="27" t="n"/>
      <c r="D416" s="27" t="n"/>
      <c r="E416" s="28" t="n"/>
      <c r="F416" s="28" t="n"/>
      <c r="G416" s="27" t="n"/>
      <c r="H416" s="29">
        <f>IF(G416="Invoice",IF(ISNUMBER(F416),F416,""),IF(ISNUMBER(E416),E416,""))</f>
        <v/>
      </c>
      <c r="I416" s="30" t="n"/>
      <c r="J416" s="29">
        <f>IF(AND(ISNUMBER(H416),ISNUMBER(I416)),EDATE(H416,I416),"")</f>
        <v/>
      </c>
      <c r="K416" s="30" t="n"/>
      <c r="L416" s="29">
        <f>IF(AND(ISNUMBER(H416),ISNUMBER(K416)),EDATE(H416,K416),"")</f>
        <v/>
      </c>
      <c r="M416" s="29">
        <f>IF(COUNT(J416,L416)=0,"",IF(MIN(J416,L416)&gt;=TODAY(),MIN(J416,L416),MAX(J416,L416)))</f>
        <v/>
      </c>
      <c r="N416" s="31">
        <f>IF(ISNUMBER(M416),M416-TODAY(),"")</f>
        <v/>
      </c>
      <c r="O416" s="30" t="n"/>
      <c r="P416" s="29">
        <f>IF(ISNUMBER(M416),M416-IF(ISNUMBER(O416),O416,60),"")</f>
        <v/>
      </c>
      <c r="Q416" s="27" t="n"/>
      <c r="R416" s="27" t="n"/>
      <c r="S416" s="27" t="n"/>
      <c r="T416" s="27" t="n"/>
      <c r="U416" s="27" t="n"/>
      <c r="V416" s="27" t="n"/>
      <c r="W416" s="27" t="n"/>
      <c r="X416" s="27" t="n"/>
      <c r="Y416" s="27" t="n"/>
    </row>
    <row r="417">
      <c r="A417" s="27" t="n"/>
      <c r="B417" s="27" t="n"/>
      <c r="C417" s="27" t="n"/>
      <c r="D417" s="27" t="n"/>
      <c r="E417" s="28" t="n"/>
      <c r="F417" s="28" t="n"/>
      <c r="G417" s="27" t="n"/>
      <c r="H417" s="29">
        <f>IF(G417="Invoice",IF(ISNUMBER(F417),F417,""),IF(ISNUMBER(E417),E417,""))</f>
        <v/>
      </c>
      <c r="I417" s="30" t="n"/>
      <c r="J417" s="29">
        <f>IF(AND(ISNUMBER(H417),ISNUMBER(I417)),EDATE(H417,I417),"")</f>
        <v/>
      </c>
      <c r="K417" s="30" t="n"/>
      <c r="L417" s="29">
        <f>IF(AND(ISNUMBER(H417),ISNUMBER(K417)),EDATE(H417,K417),"")</f>
        <v/>
      </c>
      <c r="M417" s="29">
        <f>IF(COUNT(J417,L417)=0,"",IF(MIN(J417,L417)&gt;=TODAY(),MIN(J417,L417),MAX(J417,L417)))</f>
        <v/>
      </c>
      <c r="N417" s="31">
        <f>IF(ISNUMBER(M417),M417-TODAY(),"")</f>
        <v/>
      </c>
      <c r="O417" s="30" t="n"/>
      <c r="P417" s="29">
        <f>IF(ISNUMBER(M417),M417-IF(ISNUMBER(O417),O417,60),"")</f>
        <v/>
      </c>
      <c r="Q417" s="27" t="n"/>
      <c r="R417" s="27" t="n"/>
      <c r="S417" s="27" t="n"/>
      <c r="T417" s="27" t="n"/>
      <c r="U417" s="27" t="n"/>
      <c r="V417" s="27" t="n"/>
      <c r="W417" s="27" t="n"/>
      <c r="X417" s="27" t="n"/>
      <c r="Y417" s="27" t="n"/>
    </row>
    <row r="418">
      <c r="A418" s="27" t="n"/>
      <c r="B418" s="27" t="n"/>
      <c r="C418" s="27" t="n"/>
      <c r="D418" s="27" t="n"/>
      <c r="E418" s="28" t="n"/>
      <c r="F418" s="28" t="n"/>
      <c r="G418" s="27" t="n"/>
      <c r="H418" s="29">
        <f>IF(G418="Invoice",IF(ISNUMBER(F418),F418,""),IF(ISNUMBER(E418),E418,""))</f>
        <v/>
      </c>
      <c r="I418" s="30" t="n"/>
      <c r="J418" s="29">
        <f>IF(AND(ISNUMBER(H418),ISNUMBER(I418)),EDATE(H418,I418),"")</f>
        <v/>
      </c>
      <c r="K418" s="30" t="n"/>
      <c r="L418" s="29">
        <f>IF(AND(ISNUMBER(H418),ISNUMBER(K418)),EDATE(H418,K418),"")</f>
        <v/>
      </c>
      <c r="M418" s="29">
        <f>IF(COUNT(J418,L418)=0,"",IF(MIN(J418,L418)&gt;=TODAY(),MIN(J418,L418),MAX(J418,L418)))</f>
        <v/>
      </c>
      <c r="N418" s="31">
        <f>IF(ISNUMBER(M418),M418-TODAY(),"")</f>
        <v/>
      </c>
      <c r="O418" s="30" t="n"/>
      <c r="P418" s="29">
        <f>IF(ISNUMBER(M418),M418-IF(ISNUMBER(O418),O418,60),"")</f>
        <v/>
      </c>
      <c r="Q418" s="27" t="n"/>
      <c r="R418" s="27" t="n"/>
      <c r="S418" s="27" t="n"/>
      <c r="T418" s="27" t="n"/>
      <c r="U418" s="27" t="n"/>
      <c r="V418" s="27" t="n"/>
      <c r="W418" s="27" t="n"/>
      <c r="X418" s="27" t="n"/>
      <c r="Y418" s="27" t="n"/>
    </row>
    <row r="419">
      <c r="A419" s="27" t="n"/>
      <c r="B419" s="27" t="n"/>
      <c r="C419" s="27" t="n"/>
      <c r="D419" s="27" t="n"/>
      <c r="E419" s="28" t="n"/>
      <c r="F419" s="28" t="n"/>
      <c r="G419" s="27" t="n"/>
      <c r="H419" s="29">
        <f>IF(G419="Invoice",IF(ISNUMBER(F419),F419,""),IF(ISNUMBER(E419),E419,""))</f>
        <v/>
      </c>
      <c r="I419" s="30" t="n"/>
      <c r="J419" s="29">
        <f>IF(AND(ISNUMBER(H419),ISNUMBER(I419)),EDATE(H419,I419),"")</f>
        <v/>
      </c>
      <c r="K419" s="30" t="n"/>
      <c r="L419" s="29">
        <f>IF(AND(ISNUMBER(H419),ISNUMBER(K419)),EDATE(H419,K419),"")</f>
        <v/>
      </c>
      <c r="M419" s="29">
        <f>IF(COUNT(J419,L419)=0,"",IF(MIN(J419,L419)&gt;=TODAY(),MIN(J419,L419),MAX(J419,L419)))</f>
        <v/>
      </c>
      <c r="N419" s="31">
        <f>IF(ISNUMBER(M419),M419-TODAY(),"")</f>
        <v/>
      </c>
      <c r="O419" s="30" t="n"/>
      <c r="P419" s="29">
        <f>IF(ISNUMBER(M419),M419-IF(ISNUMBER(O419),O419,60),"")</f>
        <v/>
      </c>
      <c r="Q419" s="27" t="n"/>
      <c r="R419" s="27" t="n"/>
      <c r="S419" s="27" t="n"/>
      <c r="T419" s="27" t="n"/>
      <c r="U419" s="27" t="n"/>
      <c r="V419" s="27" t="n"/>
      <c r="W419" s="27" t="n"/>
      <c r="X419" s="27" t="n"/>
      <c r="Y419" s="27" t="n"/>
    </row>
    <row r="420">
      <c r="A420" s="27" t="n"/>
      <c r="B420" s="27" t="n"/>
      <c r="C420" s="27" t="n"/>
      <c r="D420" s="27" t="n"/>
      <c r="E420" s="28" t="n"/>
      <c r="F420" s="28" t="n"/>
      <c r="G420" s="27" t="n"/>
      <c r="H420" s="29">
        <f>IF(G420="Invoice",IF(ISNUMBER(F420),F420,""),IF(ISNUMBER(E420),E420,""))</f>
        <v/>
      </c>
      <c r="I420" s="30" t="n"/>
      <c r="J420" s="29">
        <f>IF(AND(ISNUMBER(H420),ISNUMBER(I420)),EDATE(H420,I420),"")</f>
        <v/>
      </c>
      <c r="K420" s="30" t="n"/>
      <c r="L420" s="29">
        <f>IF(AND(ISNUMBER(H420),ISNUMBER(K420)),EDATE(H420,K420),"")</f>
        <v/>
      </c>
      <c r="M420" s="29">
        <f>IF(COUNT(J420,L420)=0,"",IF(MIN(J420,L420)&gt;=TODAY(),MIN(J420,L420),MAX(J420,L420)))</f>
        <v/>
      </c>
      <c r="N420" s="31">
        <f>IF(ISNUMBER(M420),M420-TODAY(),"")</f>
        <v/>
      </c>
      <c r="O420" s="30" t="n"/>
      <c r="P420" s="29">
        <f>IF(ISNUMBER(M420),M420-IF(ISNUMBER(O420),O420,60),"")</f>
        <v/>
      </c>
      <c r="Q420" s="27" t="n"/>
      <c r="R420" s="27" t="n"/>
      <c r="S420" s="27" t="n"/>
      <c r="T420" s="27" t="n"/>
      <c r="U420" s="27" t="n"/>
      <c r="V420" s="27" t="n"/>
      <c r="W420" s="27" t="n"/>
      <c r="X420" s="27" t="n"/>
      <c r="Y420" s="27" t="n"/>
    </row>
    <row r="421">
      <c r="A421" s="27" t="n"/>
      <c r="B421" s="27" t="n"/>
      <c r="C421" s="27" t="n"/>
      <c r="D421" s="27" t="n"/>
      <c r="E421" s="28" t="n"/>
      <c r="F421" s="28" t="n"/>
      <c r="G421" s="27" t="n"/>
      <c r="H421" s="29">
        <f>IF(G421="Invoice",IF(ISNUMBER(F421),F421,""),IF(ISNUMBER(E421),E421,""))</f>
        <v/>
      </c>
      <c r="I421" s="30" t="n"/>
      <c r="J421" s="29">
        <f>IF(AND(ISNUMBER(H421),ISNUMBER(I421)),EDATE(H421,I421),"")</f>
        <v/>
      </c>
      <c r="K421" s="30" t="n"/>
      <c r="L421" s="29">
        <f>IF(AND(ISNUMBER(H421),ISNUMBER(K421)),EDATE(H421,K421),"")</f>
        <v/>
      </c>
      <c r="M421" s="29">
        <f>IF(COUNT(J421,L421)=0,"",IF(MIN(J421,L421)&gt;=TODAY(),MIN(J421,L421),MAX(J421,L421)))</f>
        <v/>
      </c>
      <c r="N421" s="31">
        <f>IF(ISNUMBER(M421),M421-TODAY(),"")</f>
        <v/>
      </c>
      <c r="O421" s="30" t="n"/>
      <c r="P421" s="29">
        <f>IF(ISNUMBER(M421),M421-IF(ISNUMBER(O421),O421,60),"")</f>
        <v/>
      </c>
      <c r="Q421" s="27" t="n"/>
      <c r="R421" s="27" t="n"/>
      <c r="S421" s="27" t="n"/>
      <c r="T421" s="27" t="n"/>
      <c r="U421" s="27" t="n"/>
      <c r="V421" s="27" t="n"/>
      <c r="W421" s="27" t="n"/>
      <c r="X421" s="27" t="n"/>
      <c r="Y421" s="27" t="n"/>
    </row>
    <row r="422">
      <c r="A422" s="27" t="n"/>
      <c r="B422" s="27" t="n"/>
      <c r="C422" s="27" t="n"/>
      <c r="D422" s="27" t="n"/>
      <c r="E422" s="28" t="n"/>
      <c r="F422" s="28" t="n"/>
      <c r="G422" s="27" t="n"/>
      <c r="H422" s="29">
        <f>IF(G422="Invoice",IF(ISNUMBER(F422),F422,""),IF(ISNUMBER(E422),E422,""))</f>
        <v/>
      </c>
      <c r="I422" s="30" t="n"/>
      <c r="J422" s="29">
        <f>IF(AND(ISNUMBER(H422),ISNUMBER(I422)),EDATE(H422,I422),"")</f>
        <v/>
      </c>
      <c r="K422" s="30" t="n"/>
      <c r="L422" s="29">
        <f>IF(AND(ISNUMBER(H422),ISNUMBER(K422)),EDATE(H422,K422),"")</f>
        <v/>
      </c>
      <c r="M422" s="29">
        <f>IF(COUNT(J422,L422)=0,"",IF(MIN(J422,L422)&gt;=TODAY(),MIN(J422,L422),MAX(J422,L422)))</f>
        <v/>
      </c>
      <c r="N422" s="31">
        <f>IF(ISNUMBER(M422),M422-TODAY(),"")</f>
        <v/>
      </c>
      <c r="O422" s="30" t="n"/>
      <c r="P422" s="29">
        <f>IF(ISNUMBER(M422),M422-IF(ISNUMBER(O422),O422,60),"")</f>
        <v/>
      </c>
      <c r="Q422" s="27" t="n"/>
      <c r="R422" s="27" t="n"/>
      <c r="S422" s="27" t="n"/>
      <c r="T422" s="27" t="n"/>
      <c r="U422" s="27" t="n"/>
      <c r="V422" s="27" t="n"/>
      <c r="W422" s="27" t="n"/>
      <c r="X422" s="27" t="n"/>
      <c r="Y422" s="27" t="n"/>
    </row>
    <row r="423">
      <c r="A423" s="27" t="n"/>
      <c r="B423" s="27" t="n"/>
      <c r="C423" s="27" t="n"/>
      <c r="D423" s="27" t="n"/>
      <c r="E423" s="28" t="n"/>
      <c r="F423" s="28" t="n"/>
      <c r="G423" s="27" t="n"/>
      <c r="H423" s="29">
        <f>IF(G423="Invoice",IF(ISNUMBER(F423),F423,""),IF(ISNUMBER(E423),E423,""))</f>
        <v/>
      </c>
      <c r="I423" s="30" t="n"/>
      <c r="J423" s="29">
        <f>IF(AND(ISNUMBER(H423),ISNUMBER(I423)),EDATE(H423,I423),"")</f>
        <v/>
      </c>
      <c r="K423" s="30" t="n"/>
      <c r="L423" s="29">
        <f>IF(AND(ISNUMBER(H423),ISNUMBER(K423)),EDATE(H423,K423),"")</f>
        <v/>
      </c>
      <c r="M423" s="29">
        <f>IF(COUNT(J423,L423)=0,"",IF(MIN(J423,L423)&gt;=TODAY(),MIN(J423,L423),MAX(J423,L423)))</f>
        <v/>
      </c>
      <c r="N423" s="31">
        <f>IF(ISNUMBER(M423),M423-TODAY(),"")</f>
        <v/>
      </c>
      <c r="O423" s="30" t="n"/>
      <c r="P423" s="29">
        <f>IF(ISNUMBER(M423),M423-IF(ISNUMBER(O423),O423,60),"")</f>
        <v/>
      </c>
      <c r="Q423" s="27" t="n"/>
      <c r="R423" s="27" t="n"/>
      <c r="S423" s="27" t="n"/>
      <c r="T423" s="27" t="n"/>
      <c r="U423" s="27" t="n"/>
      <c r="V423" s="27" t="n"/>
      <c r="W423" s="27" t="n"/>
      <c r="X423" s="27" t="n"/>
      <c r="Y423" s="27" t="n"/>
    </row>
    <row r="424">
      <c r="A424" s="27" t="n"/>
      <c r="B424" s="27" t="n"/>
      <c r="C424" s="27" t="n"/>
      <c r="D424" s="27" t="n"/>
      <c r="E424" s="28" t="n"/>
      <c r="F424" s="28" t="n"/>
      <c r="G424" s="27" t="n"/>
      <c r="H424" s="29">
        <f>IF(G424="Invoice",IF(ISNUMBER(F424),F424,""),IF(ISNUMBER(E424),E424,""))</f>
        <v/>
      </c>
      <c r="I424" s="30" t="n"/>
      <c r="J424" s="29">
        <f>IF(AND(ISNUMBER(H424),ISNUMBER(I424)),EDATE(H424,I424),"")</f>
        <v/>
      </c>
      <c r="K424" s="30" t="n"/>
      <c r="L424" s="29">
        <f>IF(AND(ISNUMBER(H424),ISNUMBER(K424)),EDATE(H424,K424),"")</f>
        <v/>
      </c>
      <c r="M424" s="29">
        <f>IF(COUNT(J424,L424)=0,"",IF(MIN(J424,L424)&gt;=TODAY(),MIN(J424,L424),MAX(J424,L424)))</f>
        <v/>
      </c>
      <c r="N424" s="31">
        <f>IF(ISNUMBER(M424),M424-TODAY(),"")</f>
        <v/>
      </c>
      <c r="O424" s="30" t="n"/>
      <c r="P424" s="29">
        <f>IF(ISNUMBER(M424),M424-IF(ISNUMBER(O424),O424,60),"")</f>
        <v/>
      </c>
      <c r="Q424" s="27" t="n"/>
      <c r="R424" s="27" t="n"/>
      <c r="S424" s="27" t="n"/>
      <c r="T424" s="27" t="n"/>
      <c r="U424" s="27" t="n"/>
      <c r="V424" s="27" t="n"/>
      <c r="W424" s="27" t="n"/>
      <c r="X424" s="27" t="n"/>
      <c r="Y424" s="27" t="n"/>
    </row>
    <row r="425">
      <c r="A425" s="27" t="n"/>
      <c r="B425" s="27" t="n"/>
      <c r="C425" s="27" t="n"/>
      <c r="D425" s="27" t="n"/>
      <c r="E425" s="28" t="n"/>
      <c r="F425" s="28" t="n"/>
      <c r="G425" s="27" t="n"/>
      <c r="H425" s="29">
        <f>IF(G425="Invoice",IF(ISNUMBER(F425),F425,""),IF(ISNUMBER(E425),E425,""))</f>
        <v/>
      </c>
      <c r="I425" s="30" t="n"/>
      <c r="J425" s="29">
        <f>IF(AND(ISNUMBER(H425),ISNUMBER(I425)),EDATE(H425,I425),"")</f>
        <v/>
      </c>
      <c r="K425" s="30" t="n"/>
      <c r="L425" s="29">
        <f>IF(AND(ISNUMBER(H425),ISNUMBER(K425)),EDATE(H425,K425),"")</f>
        <v/>
      </c>
      <c r="M425" s="29">
        <f>IF(COUNT(J425,L425)=0,"",IF(MIN(J425,L425)&gt;=TODAY(),MIN(J425,L425),MAX(J425,L425)))</f>
        <v/>
      </c>
      <c r="N425" s="31">
        <f>IF(ISNUMBER(M425),M425-TODAY(),"")</f>
        <v/>
      </c>
      <c r="O425" s="30" t="n"/>
      <c r="P425" s="29">
        <f>IF(ISNUMBER(M425),M425-IF(ISNUMBER(O425),O425,60),"")</f>
        <v/>
      </c>
      <c r="Q425" s="27" t="n"/>
      <c r="R425" s="27" t="n"/>
      <c r="S425" s="27" t="n"/>
      <c r="T425" s="27" t="n"/>
      <c r="U425" s="27" t="n"/>
      <c r="V425" s="27" t="n"/>
      <c r="W425" s="27" t="n"/>
      <c r="X425" s="27" t="n"/>
      <c r="Y425" s="27" t="n"/>
    </row>
    <row r="426">
      <c r="A426" s="27" t="n"/>
      <c r="B426" s="27" t="n"/>
      <c r="C426" s="27" t="n"/>
      <c r="D426" s="27" t="n"/>
      <c r="E426" s="28" t="n"/>
      <c r="F426" s="28" t="n"/>
      <c r="G426" s="27" t="n"/>
      <c r="H426" s="29">
        <f>IF(G426="Invoice",IF(ISNUMBER(F426),F426,""),IF(ISNUMBER(E426),E426,""))</f>
        <v/>
      </c>
      <c r="I426" s="30" t="n"/>
      <c r="J426" s="29">
        <f>IF(AND(ISNUMBER(H426),ISNUMBER(I426)),EDATE(H426,I426),"")</f>
        <v/>
      </c>
      <c r="K426" s="30" t="n"/>
      <c r="L426" s="29">
        <f>IF(AND(ISNUMBER(H426),ISNUMBER(K426)),EDATE(H426,K426),"")</f>
        <v/>
      </c>
      <c r="M426" s="29">
        <f>IF(COUNT(J426,L426)=0,"",IF(MIN(J426,L426)&gt;=TODAY(),MIN(J426,L426),MAX(J426,L426)))</f>
        <v/>
      </c>
      <c r="N426" s="31">
        <f>IF(ISNUMBER(M426),M426-TODAY(),"")</f>
        <v/>
      </c>
      <c r="O426" s="30" t="n"/>
      <c r="P426" s="29">
        <f>IF(ISNUMBER(M426),M426-IF(ISNUMBER(O426),O426,60),"")</f>
        <v/>
      </c>
      <c r="Q426" s="27" t="n"/>
      <c r="R426" s="27" t="n"/>
      <c r="S426" s="27" t="n"/>
      <c r="T426" s="27" t="n"/>
      <c r="U426" s="27" t="n"/>
      <c r="V426" s="27" t="n"/>
      <c r="W426" s="27" t="n"/>
      <c r="X426" s="27" t="n"/>
      <c r="Y426" s="27" t="n"/>
    </row>
    <row r="427">
      <c r="A427" s="27" t="n"/>
      <c r="B427" s="27" t="n"/>
      <c r="C427" s="27" t="n"/>
      <c r="D427" s="27" t="n"/>
      <c r="E427" s="28" t="n"/>
      <c r="F427" s="28" t="n"/>
      <c r="G427" s="27" t="n"/>
      <c r="H427" s="29">
        <f>IF(G427="Invoice",IF(ISNUMBER(F427),F427,""),IF(ISNUMBER(E427),E427,""))</f>
        <v/>
      </c>
      <c r="I427" s="30" t="n"/>
      <c r="J427" s="29">
        <f>IF(AND(ISNUMBER(H427),ISNUMBER(I427)),EDATE(H427,I427),"")</f>
        <v/>
      </c>
      <c r="K427" s="30" t="n"/>
      <c r="L427" s="29">
        <f>IF(AND(ISNUMBER(H427),ISNUMBER(K427)),EDATE(H427,K427),"")</f>
        <v/>
      </c>
      <c r="M427" s="29">
        <f>IF(COUNT(J427,L427)=0,"",IF(MIN(J427,L427)&gt;=TODAY(),MIN(J427,L427),MAX(J427,L427)))</f>
        <v/>
      </c>
      <c r="N427" s="31">
        <f>IF(ISNUMBER(M427),M427-TODAY(),"")</f>
        <v/>
      </c>
      <c r="O427" s="30" t="n"/>
      <c r="P427" s="29">
        <f>IF(ISNUMBER(M427),M427-IF(ISNUMBER(O427),O427,60),"")</f>
        <v/>
      </c>
      <c r="Q427" s="27" t="n"/>
      <c r="R427" s="27" t="n"/>
      <c r="S427" s="27" t="n"/>
      <c r="T427" s="27" t="n"/>
      <c r="U427" s="27" t="n"/>
      <c r="V427" s="27" t="n"/>
      <c r="W427" s="27" t="n"/>
      <c r="X427" s="27" t="n"/>
      <c r="Y427" s="27" t="n"/>
    </row>
    <row r="428">
      <c r="A428" s="27" t="n"/>
      <c r="B428" s="27" t="n"/>
      <c r="C428" s="27" t="n"/>
      <c r="D428" s="27" t="n"/>
      <c r="E428" s="28" t="n"/>
      <c r="F428" s="28" t="n"/>
      <c r="G428" s="27" t="n"/>
      <c r="H428" s="29">
        <f>IF(G428="Invoice",IF(ISNUMBER(F428),F428,""),IF(ISNUMBER(E428),E428,""))</f>
        <v/>
      </c>
      <c r="I428" s="30" t="n"/>
      <c r="J428" s="29">
        <f>IF(AND(ISNUMBER(H428),ISNUMBER(I428)),EDATE(H428,I428),"")</f>
        <v/>
      </c>
      <c r="K428" s="30" t="n"/>
      <c r="L428" s="29">
        <f>IF(AND(ISNUMBER(H428),ISNUMBER(K428)),EDATE(H428,K428),"")</f>
        <v/>
      </c>
      <c r="M428" s="29">
        <f>IF(COUNT(J428,L428)=0,"",IF(MIN(J428,L428)&gt;=TODAY(),MIN(J428,L428),MAX(J428,L428)))</f>
        <v/>
      </c>
      <c r="N428" s="31">
        <f>IF(ISNUMBER(M428),M428-TODAY(),"")</f>
        <v/>
      </c>
      <c r="O428" s="30" t="n"/>
      <c r="P428" s="29">
        <f>IF(ISNUMBER(M428),M428-IF(ISNUMBER(O428),O428,60),"")</f>
        <v/>
      </c>
      <c r="Q428" s="27" t="n"/>
      <c r="R428" s="27" t="n"/>
      <c r="S428" s="27" t="n"/>
      <c r="T428" s="27" t="n"/>
      <c r="U428" s="27" t="n"/>
      <c r="V428" s="27" t="n"/>
      <c r="W428" s="27" t="n"/>
      <c r="X428" s="27" t="n"/>
      <c r="Y428" s="27" t="n"/>
    </row>
    <row r="429">
      <c r="A429" s="27" t="n"/>
      <c r="B429" s="27" t="n"/>
      <c r="C429" s="27" t="n"/>
      <c r="D429" s="27" t="n"/>
      <c r="E429" s="28" t="n"/>
      <c r="F429" s="28" t="n"/>
      <c r="G429" s="27" t="n"/>
      <c r="H429" s="29">
        <f>IF(G429="Invoice",IF(ISNUMBER(F429),F429,""),IF(ISNUMBER(E429),E429,""))</f>
        <v/>
      </c>
      <c r="I429" s="30" t="n"/>
      <c r="J429" s="29">
        <f>IF(AND(ISNUMBER(H429),ISNUMBER(I429)),EDATE(H429,I429),"")</f>
        <v/>
      </c>
      <c r="K429" s="30" t="n"/>
      <c r="L429" s="29">
        <f>IF(AND(ISNUMBER(H429),ISNUMBER(K429)),EDATE(H429,K429),"")</f>
        <v/>
      </c>
      <c r="M429" s="29">
        <f>IF(COUNT(J429,L429)=0,"",IF(MIN(J429,L429)&gt;=TODAY(),MIN(J429,L429),MAX(J429,L429)))</f>
        <v/>
      </c>
      <c r="N429" s="31">
        <f>IF(ISNUMBER(M429),M429-TODAY(),"")</f>
        <v/>
      </c>
      <c r="O429" s="30" t="n"/>
      <c r="P429" s="29">
        <f>IF(ISNUMBER(M429),M429-IF(ISNUMBER(O429),O429,60),"")</f>
        <v/>
      </c>
      <c r="Q429" s="27" t="n"/>
      <c r="R429" s="27" t="n"/>
      <c r="S429" s="27" t="n"/>
      <c r="T429" s="27" t="n"/>
      <c r="U429" s="27" t="n"/>
      <c r="V429" s="27" t="n"/>
      <c r="W429" s="27" t="n"/>
      <c r="X429" s="27" t="n"/>
      <c r="Y429" s="27" t="n"/>
    </row>
    <row r="430">
      <c r="A430" s="27" t="n"/>
      <c r="B430" s="27" t="n"/>
      <c r="C430" s="27" t="n"/>
      <c r="D430" s="27" t="n"/>
      <c r="E430" s="28" t="n"/>
      <c r="F430" s="28" t="n"/>
      <c r="G430" s="27" t="n"/>
      <c r="H430" s="29">
        <f>IF(G430="Invoice",IF(ISNUMBER(F430),F430,""),IF(ISNUMBER(E430),E430,""))</f>
        <v/>
      </c>
      <c r="I430" s="30" t="n"/>
      <c r="J430" s="29">
        <f>IF(AND(ISNUMBER(H430),ISNUMBER(I430)),EDATE(H430,I430),"")</f>
        <v/>
      </c>
      <c r="K430" s="30" t="n"/>
      <c r="L430" s="29">
        <f>IF(AND(ISNUMBER(H430),ISNUMBER(K430)),EDATE(H430,K430),"")</f>
        <v/>
      </c>
      <c r="M430" s="29">
        <f>IF(COUNT(J430,L430)=0,"",IF(MIN(J430,L430)&gt;=TODAY(),MIN(J430,L430),MAX(J430,L430)))</f>
        <v/>
      </c>
      <c r="N430" s="31">
        <f>IF(ISNUMBER(M430),M430-TODAY(),"")</f>
        <v/>
      </c>
      <c r="O430" s="30" t="n"/>
      <c r="P430" s="29">
        <f>IF(ISNUMBER(M430),M430-IF(ISNUMBER(O430),O430,60),"")</f>
        <v/>
      </c>
      <c r="Q430" s="27" t="n"/>
      <c r="R430" s="27" t="n"/>
      <c r="S430" s="27" t="n"/>
      <c r="T430" s="27" t="n"/>
      <c r="U430" s="27" t="n"/>
      <c r="V430" s="27" t="n"/>
      <c r="W430" s="27" t="n"/>
      <c r="X430" s="27" t="n"/>
      <c r="Y430" s="27" t="n"/>
    </row>
    <row r="431">
      <c r="A431" s="27" t="n"/>
      <c r="B431" s="27" t="n"/>
      <c r="C431" s="27" t="n"/>
      <c r="D431" s="27" t="n"/>
      <c r="E431" s="28" t="n"/>
      <c r="F431" s="28" t="n"/>
      <c r="G431" s="27" t="n"/>
      <c r="H431" s="29">
        <f>IF(G431="Invoice",IF(ISNUMBER(F431),F431,""),IF(ISNUMBER(E431),E431,""))</f>
        <v/>
      </c>
      <c r="I431" s="30" t="n"/>
      <c r="J431" s="29">
        <f>IF(AND(ISNUMBER(H431),ISNUMBER(I431)),EDATE(H431,I431),"")</f>
        <v/>
      </c>
      <c r="K431" s="30" t="n"/>
      <c r="L431" s="29">
        <f>IF(AND(ISNUMBER(H431),ISNUMBER(K431)),EDATE(H431,K431),"")</f>
        <v/>
      </c>
      <c r="M431" s="29">
        <f>IF(COUNT(J431,L431)=0,"",IF(MIN(J431,L431)&gt;=TODAY(),MIN(J431,L431),MAX(J431,L431)))</f>
        <v/>
      </c>
      <c r="N431" s="31">
        <f>IF(ISNUMBER(M431),M431-TODAY(),"")</f>
        <v/>
      </c>
      <c r="O431" s="30" t="n"/>
      <c r="P431" s="29">
        <f>IF(ISNUMBER(M431),M431-IF(ISNUMBER(O431),O431,60),"")</f>
        <v/>
      </c>
      <c r="Q431" s="27" t="n"/>
      <c r="R431" s="27" t="n"/>
      <c r="S431" s="27" t="n"/>
      <c r="T431" s="27" t="n"/>
      <c r="U431" s="27" t="n"/>
      <c r="V431" s="27" t="n"/>
      <c r="W431" s="27" t="n"/>
      <c r="X431" s="27" t="n"/>
      <c r="Y431" s="27" t="n"/>
    </row>
    <row r="432">
      <c r="A432" s="27" t="n"/>
      <c r="B432" s="27" t="n"/>
      <c r="C432" s="27" t="n"/>
      <c r="D432" s="27" t="n"/>
      <c r="E432" s="28" t="n"/>
      <c r="F432" s="28" t="n"/>
      <c r="G432" s="27" t="n"/>
      <c r="H432" s="29">
        <f>IF(G432="Invoice",IF(ISNUMBER(F432),F432,""),IF(ISNUMBER(E432),E432,""))</f>
        <v/>
      </c>
      <c r="I432" s="30" t="n"/>
      <c r="J432" s="29">
        <f>IF(AND(ISNUMBER(H432),ISNUMBER(I432)),EDATE(H432,I432),"")</f>
        <v/>
      </c>
      <c r="K432" s="30" t="n"/>
      <c r="L432" s="29">
        <f>IF(AND(ISNUMBER(H432),ISNUMBER(K432)),EDATE(H432,K432),"")</f>
        <v/>
      </c>
      <c r="M432" s="29">
        <f>IF(COUNT(J432,L432)=0,"",IF(MIN(J432,L432)&gt;=TODAY(),MIN(J432,L432),MAX(J432,L432)))</f>
        <v/>
      </c>
      <c r="N432" s="31">
        <f>IF(ISNUMBER(M432),M432-TODAY(),"")</f>
        <v/>
      </c>
      <c r="O432" s="30" t="n"/>
      <c r="P432" s="29">
        <f>IF(ISNUMBER(M432),M432-IF(ISNUMBER(O432),O432,60),"")</f>
        <v/>
      </c>
      <c r="Q432" s="27" t="n"/>
      <c r="R432" s="27" t="n"/>
      <c r="S432" s="27" t="n"/>
      <c r="T432" s="27" t="n"/>
      <c r="U432" s="27" t="n"/>
      <c r="V432" s="27" t="n"/>
      <c r="W432" s="27" t="n"/>
      <c r="X432" s="27" t="n"/>
      <c r="Y432" s="27" t="n"/>
    </row>
    <row r="433">
      <c r="A433" s="27" t="n"/>
      <c r="B433" s="27" t="n"/>
      <c r="C433" s="27" t="n"/>
      <c r="D433" s="27" t="n"/>
      <c r="E433" s="28" t="n"/>
      <c r="F433" s="28" t="n"/>
      <c r="G433" s="27" t="n"/>
      <c r="H433" s="29">
        <f>IF(G433="Invoice",IF(ISNUMBER(F433),F433,""),IF(ISNUMBER(E433),E433,""))</f>
        <v/>
      </c>
      <c r="I433" s="30" t="n"/>
      <c r="J433" s="29">
        <f>IF(AND(ISNUMBER(H433),ISNUMBER(I433)),EDATE(H433,I433),"")</f>
        <v/>
      </c>
      <c r="K433" s="30" t="n"/>
      <c r="L433" s="29">
        <f>IF(AND(ISNUMBER(H433),ISNUMBER(K433)),EDATE(H433,K433),"")</f>
        <v/>
      </c>
      <c r="M433" s="29">
        <f>IF(COUNT(J433,L433)=0,"",IF(MIN(J433,L433)&gt;=TODAY(),MIN(J433,L433),MAX(J433,L433)))</f>
        <v/>
      </c>
      <c r="N433" s="31">
        <f>IF(ISNUMBER(M433),M433-TODAY(),"")</f>
        <v/>
      </c>
      <c r="O433" s="30" t="n"/>
      <c r="P433" s="29">
        <f>IF(ISNUMBER(M433),M433-IF(ISNUMBER(O433),O433,60),"")</f>
        <v/>
      </c>
      <c r="Q433" s="27" t="n"/>
      <c r="R433" s="27" t="n"/>
      <c r="S433" s="27" t="n"/>
      <c r="T433" s="27" t="n"/>
      <c r="U433" s="27" t="n"/>
      <c r="V433" s="27" t="n"/>
      <c r="W433" s="27" t="n"/>
      <c r="X433" s="27" t="n"/>
      <c r="Y433" s="27" t="n"/>
    </row>
    <row r="434">
      <c r="A434" s="27" t="n"/>
      <c r="B434" s="27" t="n"/>
      <c r="C434" s="27" t="n"/>
      <c r="D434" s="27" t="n"/>
      <c r="E434" s="28" t="n"/>
      <c r="F434" s="28" t="n"/>
      <c r="G434" s="27" t="n"/>
      <c r="H434" s="29">
        <f>IF(G434="Invoice",IF(ISNUMBER(F434),F434,""),IF(ISNUMBER(E434),E434,""))</f>
        <v/>
      </c>
      <c r="I434" s="30" t="n"/>
      <c r="J434" s="29">
        <f>IF(AND(ISNUMBER(H434),ISNUMBER(I434)),EDATE(H434,I434),"")</f>
        <v/>
      </c>
      <c r="K434" s="30" t="n"/>
      <c r="L434" s="29">
        <f>IF(AND(ISNUMBER(H434),ISNUMBER(K434)),EDATE(H434,K434),"")</f>
        <v/>
      </c>
      <c r="M434" s="29">
        <f>IF(COUNT(J434,L434)=0,"",IF(MIN(J434,L434)&gt;=TODAY(),MIN(J434,L434),MAX(J434,L434)))</f>
        <v/>
      </c>
      <c r="N434" s="31">
        <f>IF(ISNUMBER(M434),M434-TODAY(),"")</f>
        <v/>
      </c>
      <c r="O434" s="30" t="n"/>
      <c r="P434" s="29">
        <f>IF(ISNUMBER(M434),M434-IF(ISNUMBER(O434),O434,60),"")</f>
        <v/>
      </c>
      <c r="Q434" s="27" t="n"/>
      <c r="R434" s="27" t="n"/>
      <c r="S434" s="27" t="n"/>
      <c r="T434" s="27" t="n"/>
      <c r="U434" s="27" t="n"/>
      <c r="V434" s="27" t="n"/>
      <c r="W434" s="27" t="n"/>
      <c r="X434" s="27" t="n"/>
      <c r="Y434" s="27" t="n"/>
    </row>
    <row r="435">
      <c r="A435" s="27" t="n"/>
      <c r="B435" s="27" t="n"/>
      <c r="C435" s="27" t="n"/>
      <c r="D435" s="27" t="n"/>
      <c r="E435" s="28" t="n"/>
      <c r="F435" s="28" t="n"/>
      <c r="G435" s="27" t="n"/>
      <c r="H435" s="29">
        <f>IF(G435="Invoice",IF(ISNUMBER(F435),F435,""),IF(ISNUMBER(E435),E435,""))</f>
        <v/>
      </c>
      <c r="I435" s="30" t="n"/>
      <c r="J435" s="29">
        <f>IF(AND(ISNUMBER(H435),ISNUMBER(I435)),EDATE(H435,I435),"")</f>
        <v/>
      </c>
      <c r="K435" s="30" t="n"/>
      <c r="L435" s="29">
        <f>IF(AND(ISNUMBER(H435),ISNUMBER(K435)),EDATE(H435,K435),"")</f>
        <v/>
      </c>
      <c r="M435" s="29">
        <f>IF(COUNT(J435,L435)=0,"",IF(MIN(J435,L435)&gt;=TODAY(),MIN(J435,L435),MAX(J435,L435)))</f>
        <v/>
      </c>
      <c r="N435" s="31">
        <f>IF(ISNUMBER(M435),M435-TODAY(),"")</f>
        <v/>
      </c>
      <c r="O435" s="30" t="n"/>
      <c r="P435" s="29">
        <f>IF(ISNUMBER(M435),M435-IF(ISNUMBER(O435),O435,60),"")</f>
        <v/>
      </c>
      <c r="Q435" s="27" t="n"/>
      <c r="R435" s="27" t="n"/>
      <c r="S435" s="27" t="n"/>
      <c r="T435" s="27" t="n"/>
      <c r="U435" s="27" t="n"/>
      <c r="V435" s="27" t="n"/>
      <c r="W435" s="27" t="n"/>
      <c r="X435" s="27" t="n"/>
      <c r="Y435" s="27" t="n"/>
    </row>
    <row r="436">
      <c r="A436" s="27" t="n"/>
      <c r="B436" s="27" t="n"/>
      <c r="C436" s="27" t="n"/>
      <c r="D436" s="27" t="n"/>
      <c r="E436" s="28" t="n"/>
      <c r="F436" s="28" t="n"/>
      <c r="G436" s="27" t="n"/>
      <c r="H436" s="29">
        <f>IF(G436="Invoice",IF(ISNUMBER(F436),F436,""),IF(ISNUMBER(E436),E436,""))</f>
        <v/>
      </c>
      <c r="I436" s="30" t="n"/>
      <c r="J436" s="29">
        <f>IF(AND(ISNUMBER(H436),ISNUMBER(I436)),EDATE(H436,I436),"")</f>
        <v/>
      </c>
      <c r="K436" s="30" t="n"/>
      <c r="L436" s="29">
        <f>IF(AND(ISNUMBER(H436),ISNUMBER(K436)),EDATE(H436,K436),"")</f>
        <v/>
      </c>
      <c r="M436" s="29">
        <f>IF(COUNT(J436,L436)=0,"",IF(MIN(J436,L436)&gt;=TODAY(),MIN(J436,L436),MAX(J436,L436)))</f>
        <v/>
      </c>
      <c r="N436" s="31">
        <f>IF(ISNUMBER(M436),M436-TODAY(),"")</f>
        <v/>
      </c>
      <c r="O436" s="30" t="n"/>
      <c r="P436" s="29">
        <f>IF(ISNUMBER(M436),M436-IF(ISNUMBER(O436),O436,60),"")</f>
        <v/>
      </c>
      <c r="Q436" s="27" t="n"/>
      <c r="R436" s="27" t="n"/>
      <c r="S436" s="27" t="n"/>
      <c r="T436" s="27" t="n"/>
      <c r="U436" s="27" t="n"/>
      <c r="V436" s="27" t="n"/>
      <c r="W436" s="27" t="n"/>
      <c r="X436" s="27" t="n"/>
      <c r="Y436" s="27" t="n"/>
    </row>
    <row r="437">
      <c r="A437" s="27" t="n"/>
      <c r="B437" s="27" t="n"/>
      <c r="C437" s="27" t="n"/>
      <c r="D437" s="27" t="n"/>
      <c r="E437" s="28" t="n"/>
      <c r="F437" s="28" t="n"/>
      <c r="G437" s="27" t="n"/>
      <c r="H437" s="29">
        <f>IF(G437="Invoice",IF(ISNUMBER(F437),F437,""),IF(ISNUMBER(E437),E437,""))</f>
        <v/>
      </c>
      <c r="I437" s="30" t="n"/>
      <c r="J437" s="29">
        <f>IF(AND(ISNUMBER(H437),ISNUMBER(I437)),EDATE(H437,I437),"")</f>
        <v/>
      </c>
      <c r="K437" s="30" t="n"/>
      <c r="L437" s="29">
        <f>IF(AND(ISNUMBER(H437),ISNUMBER(K437)),EDATE(H437,K437),"")</f>
        <v/>
      </c>
      <c r="M437" s="29">
        <f>IF(COUNT(J437,L437)=0,"",IF(MIN(J437,L437)&gt;=TODAY(),MIN(J437,L437),MAX(J437,L437)))</f>
        <v/>
      </c>
      <c r="N437" s="31">
        <f>IF(ISNUMBER(M437),M437-TODAY(),"")</f>
        <v/>
      </c>
      <c r="O437" s="30" t="n"/>
      <c r="P437" s="29">
        <f>IF(ISNUMBER(M437),M437-IF(ISNUMBER(O437),O437,60),"")</f>
        <v/>
      </c>
      <c r="Q437" s="27" t="n"/>
      <c r="R437" s="27" t="n"/>
      <c r="S437" s="27" t="n"/>
      <c r="T437" s="27" t="n"/>
      <c r="U437" s="27" t="n"/>
      <c r="V437" s="27" t="n"/>
      <c r="W437" s="27" t="n"/>
      <c r="X437" s="27" t="n"/>
      <c r="Y437" s="27" t="n"/>
    </row>
    <row r="438">
      <c r="A438" s="27" t="n"/>
      <c r="B438" s="27" t="n"/>
      <c r="C438" s="27" t="n"/>
      <c r="D438" s="27" t="n"/>
      <c r="E438" s="28" t="n"/>
      <c r="F438" s="28" t="n"/>
      <c r="G438" s="27" t="n"/>
      <c r="H438" s="29">
        <f>IF(G438="Invoice",IF(ISNUMBER(F438),F438,""),IF(ISNUMBER(E438),E438,""))</f>
        <v/>
      </c>
      <c r="I438" s="30" t="n"/>
      <c r="J438" s="29">
        <f>IF(AND(ISNUMBER(H438),ISNUMBER(I438)),EDATE(H438,I438),"")</f>
        <v/>
      </c>
      <c r="K438" s="30" t="n"/>
      <c r="L438" s="29">
        <f>IF(AND(ISNUMBER(H438),ISNUMBER(K438)),EDATE(H438,K438),"")</f>
        <v/>
      </c>
      <c r="M438" s="29">
        <f>IF(COUNT(J438,L438)=0,"",IF(MIN(J438,L438)&gt;=TODAY(),MIN(J438,L438),MAX(J438,L438)))</f>
        <v/>
      </c>
      <c r="N438" s="31">
        <f>IF(ISNUMBER(M438),M438-TODAY(),"")</f>
        <v/>
      </c>
      <c r="O438" s="30" t="n"/>
      <c r="P438" s="29">
        <f>IF(ISNUMBER(M438),M438-IF(ISNUMBER(O438),O438,60),"")</f>
        <v/>
      </c>
      <c r="Q438" s="27" t="n"/>
      <c r="R438" s="27" t="n"/>
      <c r="S438" s="27" t="n"/>
      <c r="T438" s="27" t="n"/>
      <c r="U438" s="27" t="n"/>
      <c r="V438" s="27" t="n"/>
      <c r="W438" s="27" t="n"/>
      <c r="X438" s="27" t="n"/>
      <c r="Y438" s="27" t="n"/>
    </row>
    <row r="439">
      <c r="A439" s="27" t="n"/>
      <c r="B439" s="27" t="n"/>
      <c r="C439" s="27" t="n"/>
      <c r="D439" s="27" t="n"/>
      <c r="E439" s="28" t="n"/>
      <c r="F439" s="28" t="n"/>
      <c r="G439" s="27" t="n"/>
      <c r="H439" s="29">
        <f>IF(G439="Invoice",IF(ISNUMBER(F439),F439,""),IF(ISNUMBER(E439),E439,""))</f>
        <v/>
      </c>
      <c r="I439" s="30" t="n"/>
      <c r="J439" s="29">
        <f>IF(AND(ISNUMBER(H439),ISNUMBER(I439)),EDATE(H439,I439),"")</f>
        <v/>
      </c>
      <c r="K439" s="30" t="n"/>
      <c r="L439" s="29">
        <f>IF(AND(ISNUMBER(H439),ISNUMBER(K439)),EDATE(H439,K439),"")</f>
        <v/>
      </c>
      <c r="M439" s="29">
        <f>IF(COUNT(J439,L439)=0,"",IF(MIN(J439,L439)&gt;=TODAY(),MIN(J439,L439),MAX(J439,L439)))</f>
        <v/>
      </c>
      <c r="N439" s="31">
        <f>IF(ISNUMBER(M439),M439-TODAY(),"")</f>
        <v/>
      </c>
      <c r="O439" s="30" t="n"/>
      <c r="P439" s="29">
        <f>IF(ISNUMBER(M439),M439-IF(ISNUMBER(O439),O439,60),"")</f>
        <v/>
      </c>
      <c r="Q439" s="27" t="n"/>
      <c r="R439" s="27" t="n"/>
      <c r="S439" s="27" t="n"/>
      <c r="T439" s="27" t="n"/>
      <c r="U439" s="27" t="n"/>
      <c r="V439" s="27" t="n"/>
      <c r="W439" s="27" t="n"/>
      <c r="X439" s="27" t="n"/>
      <c r="Y439" s="27" t="n"/>
    </row>
    <row r="440">
      <c r="A440" s="27" t="n"/>
      <c r="B440" s="27" t="n"/>
      <c r="C440" s="27" t="n"/>
      <c r="D440" s="27" t="n"/>
      <c r="E440" s="28" t="n"/>
      <c r="F440" s="28" t="n"/>
      <c r="G440" s="27" t="n"/>
      <c r="H440" s="29">
        <f>IF(G440="Invoice",IF(ISNUMBER(F440),F440,""),IF(ISNUMBER(E440),E440,""))</f>
        <v/>
      </c>
      <c r="I440" s="30" t="n"/>
      <c r="J440" s="29">
        <f>IF(AND(ISNUMBER(H440),ISNUMBER(I440)),EDATE(H440,I440),"")</f>
        <v/>
      </c>
      <c r="K440" s="30" t="n"/>
      <c r="L440" s="29">
        <f>IF(AND(ISNUMBER(H440),ISNUMBER(K440)),EDATE(H440,K440),"")</f>
        <v/>
      </c>
      <c r="M440" s="29">
        <f>IF(COUNT(J440,L440)=0,"",IF(MIN(J440,L440)&gt;=TODAY(),MIN(J440,L440),MAX(J440,L440)))</f>
        <v/>
      </c>
      <c r="N440" s="31">
        <f>IF(ISNUMBER(M440),M440-TODAY(),"")</f>
        <v/>
      </c>
      <c r="O440" s="30" t="n"/>
      <c r="P440" s="29">
        <f>IF(ISNUMBER(M440),M440-IF(ISNUMBER(O440),O440,60),"")</f>
        <v/>
      </c>
      <c r="Q440" s="27" t="n"/>
      <c r="R440" s="27" t="n"/>
      <c r="S440" s="27" t="n"/>
      <c r="T440" s="27" t="n"/>
      <c r="U440" s="27" t="n"/>
      <c r="V440" s="27" t="n"/>
      <c r="W440" s="27" t="n"/>
      <c r="X440" s="27" t="n"/>
      <c r="Y440" s="27" t="n"/>
    </row>
    <row r="441">
      <c r="A441" s="27" t="n"/>
      <c r="B441" s="27" t="n"/>
      <c r="C441" s="27" t="n"/>
      <c r="D441" s="27" t="n"/>
      <c r="E441" s="28" t="n"/>
      <c r="F441" s="28" t="n"/>
      <c r="G441" s="27" t="n"/>
      <c r="H441" s="29">
        <f>IF(G441="Invoice",IF(ISNUMBER(F441),F441,""),IF(ISNUMBER(E441),E441,""))</f>
        <v/>
      </c>
      <c r="I441" s="30" t="n"/>
      <c r="J441" s="29">
        <f>IF(AND(ISNUMBER(H441),ISNUMBER(I441)),EDATE(H441,I441),"")</f>
        <v/>
      </c>
      <c r="K441" s="30" t="n"/>
      <c r="L441" s="29">
        <f>IF(AND(ISNUMBER(H441),ISNUMBER(K441)),EDATE(H441,K441),"")</f>
        <v/>
      </c>
      <c r="M441" s="29">
        <f>IF(COUNT(J441,L441)=0,"",IF(MIN(J441,L441)&gt;=TODAY(),MIN(J441,L441),MAX(J441,L441)))</f>
        <v/>
      </c>
      <c r="N441" s="31">
        <f>IF(ISNUMBER(M441),M441-TODAY(),"")</f>
        <v/>
      </c>
      <c r="O441" s="30" t="n"/>
      <c r="P441" s="29">
        <f>IF(ISNUMBER(M441),M441-IF(ISNUMBER(O441),O441,60),"")</f>
        <v/>
      </c>
      <c r="Q441" s="27" t="n"/>
      <c r="R441" s="27" t="n"/>
      <c r="S441" s="27" t="n"/>
      <c r="T441" s="27" t="n"/>
      <c r="U441" s="27" t="n"/>
      <c r="V441" s="27" t="n"/>
      <c r="W441" s="27" t="n"/>
      <c r="X441" s="27" t="n"/>
      <c r="Y441" s="27" t="n"/>
    </row>
    <row r="442">
      <c r="A442" s="27" t="n"/>
      <c r="B442" s="27" t="n"/>
      <c r="C442" s="27" t="n"/>
      <c r="D442" s="27" t="n"/>
      <c r="E442" s="28" t="n"/>
      <c r="F442" s="28" t="n"/>
      <c r="G442" s="27" t="n"/>
      <c r="H442" s="29">
        <f>IF(G442="Invoice",IF(ISNUMBER(F442),F442,""),IF(ISNUMBER(E442),E442,""))</f>
        <v/>
      </c>
      <c r="I442" s="30" t="n"/>
      <c r="J442" s="29">
        <f>IF(AND(ISNUMBER(H442),ISNUMBER(I442)),EDATE(H442,I442),"")</f>
        <v/>
      </c>
      <c r="K442" s="30" t="n"/>
      <c r="L442" s="29">
        <f>IF(AND(ISNUMBER(H442),ISNUMBER(K442)),EDATE(H442,K442),"")</f>
        <v/>
      </c>
      <c r="M442" s="29">
        <f>IF(COUNT(J442,L442)=0,"",IF(MIN(J442,L442)&gt;=TODAY(),MIN(J442,L442),MAX(J442,L442)))</f>
        <v/>
      </c>
      <c r="N442" s="31">
        <f>IF(ISNUMBER(M442),M442-TODAY(),"")</f>
        <v/>
      </c>
      <c r="O442" s="30" t="n"/>
      <c r="P442" s="29">
        <f>IF(ISNUMBER(M442),M442-IF(ISNUMBER(O442),O442,60),"")</f>
        <v/>
      </c>
      <c r="Q442" s="27" t="n"/>
      <c r="R442" s="27" t="n"/>
      <c r="S442" s="27" t="n"/>
      <c r="T442" s="27" t="n"/>
      <c r="U442" s="27" t="n"/>
      <c r="V442" s="27" t="n"/>
      <c r="W442" s="27" t="n"/>
      <c r="X442" s="27" t="n"/>
      <c r="Y442" s="27" t="n"/>
    </row>
    <row r="443">
      <c r="A443" s="27" t="n"/>
      <c r="B443" s="27" t="n"/>
      <c r="C443" s="27" t="n"/>
      <c r="D443" s="27" t="n"/>
      <c r="E443" s="28" t="n"/>
      <c r="F443" s="28" t="n"/>
      <c r="G443" s="27" t="n"/>
      <c r="H443" s="29">
        <f>IF(G443="Invoice",IF(ISNUMBER(F443),F443,""),IF(ISNUMBER(E443),E443,""))</f>
        <v/>
      </c>
      <c r="I443" s="30" t="n"/>
      <c r="J443" s="29">
        <f>IF(AND(ISNUMBER(H443),ISNUMBER(I443)),EDATE(H443,I443),"")</f>
        <v/>
      </c>
      <c r="K443" s="30" t="n"/>
      <c r="L443" s="29">
        <f>IF(AND(ISNUMBER(H443),ISNUMBER(K443)),EDATE(H443,K443),"")</f>
        <v/>
      </c>
      <c r="M443" s="29">
        <f>IF(COUNT(J443,L443)=0,"",IF(MIN(J443,L443)&gt;=TODAY(),MIN(J443,L443),MAX(J443,L443)))</f>
        <v/>
      </c>
      <c r="N443" s="31">
        <f>IF(ISNUMBER(M443),M443-TODAY(),"")</f>
        <v/>
      </c>
      <c r="O443" s="30" t="n"/>
      <c r="P443" s="29">
        <f>IF(ISNUMBER(M443),M443-IF(ISNUMBER(O443),O443,60),"")</f>
        <v/>
      </c>
      <c r="Q443" s="27" t="n"/>
      <c r="R443" s="27" t="n"/>
      <c r="S443" s="27" t="n"/>
      <c r="T443" s="27" t="n"/>
      <c r="U443" s="27" t="n"/>
      <c r="V443" s="27" t="n"/>
      <c r="W443" s="27" t="n"/>
      <c r="X443" s="27" t="n"/>
      <c r="Y443" s="27" t="n"/>
    </row>
    <row r="444">
      <c r="A444" s="27" t="n"/>
      <c r="B444" s="27" t="n"/>
      <c r="C444" s="27" t="n"/>
      <c r="D444" s="27" t="n"/>
      <c r="E444" s="28" t="n"/>
      <c r="F444" s="28" t="n"/>
      <c r="G444" s="27" t="n"/>
      <c r="H444" s="29">
        <f>IF(G444="Invoice",IF(ISNUMBER(F444),F444,""),IF(ISNUMBER(E444),E444,""))</f>
        <v/>
      </c>
      <c r="I444" s="30" t="n"/>
      <c r="J444" s="29">
        <f>IF(AND(ISNUMBER(H444),ISNUMBER(I444)),EDATE(H444,I444),"")</f>
        <v/>
      </c>
      <c r="K444" s="30" t="n"/>
      <c r="L444" s="29">
        <f>IF(AND(ISNUMBER(H444),ISNUMBER(K444)),EDATE(H444,K444),"")</f>
        <v/>
      </c>
      <c r="M444" s="29">
        <f>IF(COUNT(J444,L444)=0,"",IF(MIN(J444,L444)&gt;=TODAY(),MIN(J444,L444),MAX(J444,L444)))</f>
        <v/>
      </c>
      <c r="N444" s="31">
        <f>IF(ISNUMBER(M444),M444-TODAY(),"")</f>
        <v/>
      </c>
      <c r="O444" s="30" t="n"/>
      <c r="P444" s="29">
        <f>IF(ISNUMBER(M444),M444-IF(ISNUMBER(O444),O444,60),"")</f>
        <v/>
      </c>
      <c r="Q444" s="27" t="n"/>
      <c r="R444" s="27" t="n"/>
      <c r="S444" s="27" t="n"/>
      <c r="T444" s="27" t="n"/>
      <c r="U444" s="27" t="n"/>
      <c r="V444" s="27" t="n"/>
      <c r="W444" s="27" t="n"/>
      <c r="X444" s="27" t="n"/>
      <c r="Y444" s="27" t="n"/>
    </row>
    <row r="445">
      <c r="A445" s="27" t="n"/>
      <c r="B445" s="27" t="n"/>
      <c r="C445" s="27" t="n"/>
      <c r="D445" s="27" t="n"/>
      <c r="E445" s="28" t="n"/>
      <c r="F445" s="28" t="n"/>
      <c r="G445" s="27" t="n"/>
      <c r="H445" s="29">
        <f>IF(G445="Invoice",IF(ISNUMBER(F445),F445,""),IF(ISNUMBER(E445),E445,""))</f>
        <v/>
      </c>
      <c r="I445" s="30" t="n"/>
      <c r="J445" s="29">
        <f>IF(AND(ISNUMBER(H445),ISNUMBER(I445)),EDATE(H445,I445),"")</f>
        <v/>
      </c>
      <c r="K445" s="30" t="n"/>
      <c r="L445" s="29">
        <f>IF(AND(ISNUMBER(H445),ISNUMBER(K445)),EDATE(H445,K445),"")</f>
        <v/>
      </c>
      <c r="M445" s="29">
        <f>IF(COUNT(J445,L445)=0,"",IF(MIN(J445,L445)&gt;=TODAY(),MIN(J445,L445),MAX(J445,L445)))</f>
        <v/>
      </c>
      <c r="N445" s="31">
        <f>IF(ISNUMBER(M445),M445-TODAY(),"")</f>
        <v/>
      </c>
      <c r="O445" s="30" t="n"/>
      <c r="P445" s="29">
        <f>IF(ISNUMBER(M445),M445-IF(ISNUMBER(O445),O445,60),"")</f>
        <v/>
      </c>
      <c r="Q445" s="27" t="n"/>
      <c r="R445" s="27" t="n"/>
      <c r="S445" s="27" t="n"/>
      <c r="T445" s="27" t="n"/>
      <c r="U445" s="27" t="n"/>
      <c r="V445" s="27" t="n"/>
      <c r="W445" s="27" t="n"/>
      <c r="X445" s="27" t="n"/>
      <c r="Y445" s="27" t="n"/>
    </row>
    <row r="446">
      <c r="A446" s="27" t="n"/>
      <c r="B446" s="27" t="n"/>
      <c r="C446" s="27" t="n"/>
      <c r="D446" s="27" t="n"/>
      <c r="E446" s="28" t="n"/>
      <c r="F446" s="28" t="n"/>
      <c r="G446" s="27" t="n"/>
      <c r="H446" s="29">
        <f>IF(G446="Invoice",IF(ISNUMBER(F446),F446,""),IF(ISNUMBER(E446),E446,""))</f>
        <v/>
      </c>
      <c r="I446" s="30" t="n"/>
      <c r="J446" s="29">
        <f>IF(AND(ISNUMBER(H446),ISNUMBER(I446)),EDATE(H446,I446),"")</f>
        <v/>
      </c>
      <c r="K446" s="30" t="n"/>
      <c r="L446" s="29">
        <f>IF(AND(ISNUMBER(H446),ISNUMBER(K446)),EDATE(H446,K446),"")</f>
        <v/>
      </c>
      <c r="M446" s="29">
        <f>IF(COUNT(J446,L446)=0,"",IF(MIN(J446,L446)&gt;=TODAY(),MIN(J446,L446),MAX(J446,L446)))</f>
        <v/>
      </c>
      <c r="N446" s="31">
        <f>IF(ISNUMBER(M446),M446-TODAY(),"")</f>
        <v/>
      </c>
      <c r="O446" s="30" t="n"/>
      <c r="P446" s="29">
        <f>IF(ISNUMBER(M446),M446-IF(ISNUMBER(O446),O446,60),"")</f>
        <v/>
      </c>
      <c r="Q446" s="27" t="n"/>
      <c r="R446" s="27" t="n"/>
      <c r="S446" s="27" t="n"/>
      <c r="T446" s="27" t="n"/>
      <c r="U446" s="27" t="n"/>
      <c r="V446" s="27" t="n"/>
      <c r="W446" s="27" t="n"/>
      <c r="X446" s="27" t="n"/>
      <c r="Y446" s="27" t="n"/>
    </row>
    <row r="447">
      <c r="A447" s="27" t="n"/>
      <c r="B447" s="27" t="n"/>
      <c r="C447" s="27" t="n"/>
      <c r="D447" s="27" t="n"/>
      <c r="E447" s="28" t="n"/>
      <c r="F447" s="28" t="n"/>
      <c r="G447" s="27" t="n"/>
      <c r="H447" s="29">
        <f>IF(G447="Invoice",IF(ISNUMBER(F447),F447,""),IF(ISNUMBER(E447),E447,""))</f>
        <v/>
      </c>
      <c r="I447" s="30" t="n"/>
      <c r="J447" s="29">
        <f>IF(AND(ISNUMBER(H447),ISNUMBER(I447)),EDATE(H447,I447),"")</f>
        <v/>
      </c>
      <c r="K447" s="30" t="n"/>
      <c r="L447" s="29">
        <f>IF(AND(ISNUMBER(H447),ISNUMBER(K447)),EDATE(H447,K447),"")</f>
        <v/>
      </c>
      <c r="M447" s="29">
        <f>IF(COUNT(J447,L447)=0,"",IF(MIN(J447,L447)&gt;=TODAY(),MIN(J447,L447),MAX(J447,L447)))</f>
        <v/>
      </c>
      <c r="N447" s="31">
        <f>IF(ISNUMBER(M447),M447-TODAY(),"")</f>
        <v/>
      </c>
      <c r="O447" s="30" t="n"/>
      <c r="P447" s="29">
        <f>IF(ISNUMBER(M447),M447-IF(ISNUMBER(O447),O447,60),"")</f>
        <v/>
      </c>
      <c r="Q447" s="27" t="n"/>
      <c r="R447" s="27" t="n"/>
      <c r="S447" s="27" t="n"/>
      <c r="T447" s="27" t="n"/>
      <c r="U447" s="27" t="n"/>
      <c r="V447" s="27" t="n"/>
      <c r="W447" s="27" t="n"/>
      <c r="X447" s="27" t="n"/>
      <c r="Y447" s="27" t="n"/>
    </row>
    <row r="448">
      <c r="A448" s="27" t="n"/>
      <c r="B448" s="27" t="n"/>
      <c r="C448" s="27" t="n"/>
      <c r="D448" s="27" t="n"/>
      <c r="E448" s="28" t="n"/>
      <c r="F448" s="28" t="n"/>
      <c r="G448" s="27" t="n"/>
      <c r="H448" s="29">
        <f>IF(G448="Invoice",IF(ISNUMBER(F448),F448,""),IF(ISNUMBER(E448),E448,""))</f>
        <v/>
      </c>
      <c r="I448" s="30" t="n"/>
      <c r="J448" s="29">
        <f>IF(AND(ISNUMBER(H448),ISNUMBER(I448)),EDATE(H448,I448),"")</f>
        <v/>
      </c>
      <c r="K448" s="30" t="n"/>
      <c r="L448" s="29">
        <f>IF(AND(ISNUMBER(H448),ISNUMBER(K448)),EDATE(H448,K448),"")</f>
        <v/>
      </c>
      <c r="M448" s="29">
        <f>IF(COUNT(J448,L448)=0,"",IF(MIN(J448,L448)&gt;=TODAY(),MIN(J448,L448),MAX(J448,L448)))</f>
        <v/>
      </c>
      <c r="N448" s="31">
        <f>IF(ISNUMBER(M448),M448-TODAY(),"")</f>
        <v/>
      </c>
      <c r="O448" s="30" t="n"/>
      <c r="P448" s="29">
        <f>IF(ISNUMBER(M448),M448-IF(ISNUMBER(O448),O448,60),"")</f>
        <v/>
      </c>
      <c r="Q448" s="27" t="n"/>
      <c r="R448" s="27" t="n"/>
      <c r="S448" s="27" t="n"/>
      <c r="T448" s="27" t="n"/>
      <c r="U448" s="27" t="n"/>
      <c r="V448" s="27" t="n"/>
      <c r="W448" s="27" t="n"/>
      <c r="X448" s="27" t="n"/>
      <c r="Y448" s="27" t="n"/>
    </row>
    <row r="449">
      <c r="A449" s="27" t="n"/>
      <c r="B449" s="27" t="n"/>
      <c r="C449" s="27" t="n"/>
      <c r="D449" s="27" t="n"/>
      <c r="E449" s="28" t="n"/>
      <c r="F449" s="28" t="n"/>
      <c r="G449" s="27" t="n"/>
      <c r="H449" s="29">
        <f>IF(G449="Invoice",IF(ISNUMBER(F449),F449,""),IF(ISNUMBER(E449),E449,""))</f>
        <v/>
      </c>
      <c r="I449" s="30" t="n"/>
      <c r="J449" s="29">
        <f>IF(AND(ISNUMBER(H449),ISNUMBER(I449)),EDATE(H449,I449),"")</f>
        <v/>
      </c>
      <c r="K449" s="30" t="n"/>
      <c r="L449" s="29">
        <f>IF(AND(ISNUMBER(H449),ISNUMBER(K449)),EDATE(H449,K449),"")</f>
        <v/>
      </c>
      <c r="M449" s="29">
        <f>IF(COUNT(J449,L449)=0,"",IF(MIN(J449,L449)&gt;=TODAY(),MIN(J449,L449),MAX(J449,L449)))</f>
        <v/>
      </c>
      <c r="N449" s="31">
        <f>IF(ISNUMBER(M449),M449-TODAY(),"")</f>
        <v/>
      </c>
      <c r="O449" s="30" t="n"/>
      <c r="P449" s="29">
        <f>IF(ISNUMBER(M449),M449-IF(ISNUMBER(O449),O449,60),"")</f>
        <v/>
      </c>
      <c r="Q449" s="27" t="n"/>
      <c r="R449" s="27" t="n"/>
      <c r="S449" s="27" t="n"/>
      <c r="T449" s="27" t="n"/>
      <c r="U449" s="27" t="n"/>
      <c r="V449" s="27" t="n"/>
      <c r="W449" s="27" t="n"/>
      <c r="X449" s="27" t="n"/>
      <c r="Y449" s="27" t="n"/>
    </row>
    <row r="450">
      <c r="A450" s="27" t="n"/>
      <c r="B450" s="27" t="n"/>
      <c r="C450" s="27" t="n"/>
      <c r="D450" s="27" t="n"/>
      <c r="E450" s="28" t="n"/>
      <c r="F450" s="28" t="n"/>
      <c r="G450" s="27" t="n"/>
      <c r="H450" s="29">
        <f>IF(G450="Invoice",IF(ISNUMBER(F450),F450,""),IF(ISNUMBER(E450),E450,""))</f>
        <v/>
      </c>
      <c r="I450" s="30" t="n"/>
      <c r="J450" s="29">
        <f>IF(AND(ISNUMBER(H450),ISNUMBER(I450)),EDATE(H450,I450),"")</f>
        <v/>
      </c>
      <c r="K450" s="30" t="n"/>
      <c r="L450" s="29">
        <f>IF(AND(ISNUMBER(H450),ISNUMBER(K450)),EDATE(H450,K450),"")</f>
        <v/>
      </c>
      <c r="M450" s="29">
        <f>IF(COUNT(J450,L450)=0,"",IF(MIN(J450,L450)&gt;=TODAY(),MIN(J450,L450),MAX(J450,L450)))</f>
        <v/>
      </c>
      <c r="N450" s="31">
        <f>IF(ISNUMBER(M450),M450-TODAY(),"")</f>
        <v/>
      </c>
      <c r="O450" s="30" t="n"/>
      <c r="P450" s="29">
        <f>IF(ISNUMBER(M450),M450-IF(ISNUMBER(O450),O450,60),"")</f>
        <v/>
      </c>
      <c r="Q450" s="27" t="n"/>
      <c r="R450" s="27" t="n"/>
      <c r="S450" s="27" t="n"/>
      <c r="T450" s="27" t="n"/>
      <c r="U450" s="27" t="n"/>
      <c r="V450" s="27" t="n"/>
      <c r="W450" s="27" t="n"/>
      <c r="X450" s="27" t="n"/>
      <c r="Y450" s="27" t="n"/>
    </row>
    <row r="451">
      <c r="A451" s="27" t="n"/>
      <c r="B451" s="27" t="n"/>
      <c r="C451" s="27" t="n"/>
      <c r="D451" s="27" t="n"/>
      <c r="E451" s="28" t="n"/>
      <c r="F451" s="28" t="n"/>
      <c r="G451" s="27" t="n"/>
      <c r="H451" s="29">
        <f>IF(G451="Invoice",IF(ISNUMBER(F451),F451,""),IF(ISNUMBER(E451),E451,""))</f>
        <v/>
      </c>
      <c r="I451" s="30" t="n"/>
      <c r="J451" s="29">
        <f>IF(AND(ISNUMBER(H451),ISNUMBER(I451)),EDATE(H451,I451),"")</f>
        <v/>
      </c>
      <c r="K451" s="30" t="n"/>
      <c r="L451" s="29">
        <f>IF(AND(ISNUMBER(H451),ISNUMBER(K451)),EDATE(H451,K451),"")</f>
        <v/>
      </c>
      <c r="M451" s="29">
        <f>IF(COUNT(J451,L451)=0,"",IF(MIN(J451,L451)&gt;=TODAY(),MIN(J451,L451),MAX(J451,L451)))</f>
        <v/>
      </c>
      <c r="N451" s="31">
        <f>IF(ISNUMBER(M451),M451-TODAY(),"")</f>
        <v/>
      </c>
      <c r="O451" s="30" t="n"/>
      <c r="P451" s="29">
        <f>IF(ISNUMBER(M451),M451-IF(ISNUMBER(O451),O451,60),"")</f>
        <v/>
      </c>
      <c r="Q451" s="27" t="n"/>
      <c r="R451" s="27" t="n"/>
      <c r="S451" s="27" t="n"/>
      <c r="T451" s="27" t="n"/>
      <c r="U451" s="27" t="n"/>
      <c r="V451" s="27" t="n"/>
      <c r="W451" s="27" t="n"/>
      <c r="X451" s="27" t="n"/>
      <c r="Y451" s="27" t="n"/>
    </row>
    <row r="452">
      <c r="A452" s="27" t="n"/>
      <c r="B452" s="27" t="n"/>
      <c r="C452" s="27" t="n"/>
      <c r="D452" s="27" t="n"/>
      <c r="E452" s="28" t="n"/>
      <c r="F452" s="28" t="n"/>
      <c r="G452" s="27" t="n"/>
      <c r="H452" s="29">
        <f>IF(G452="Invoice",IF(ISNUMBER(F452),F452,""),IF(ISNUMBER(E452),E452,""))</f>
        <v/>
      </c>
      <c r="I452" s="30" t="n"/>
      <c r="J452" s="29">
        <f>IF(AND(ISNUMBER(H452),ISNUMBER(I452)),EDATE(H452,I452),"")</f>
        <v/>
      </c>
      <c r="K452" s="30" t="n"/>
      <c r="L452" s="29">
        <f>IF(AND(ISNUMBER(H452),ISNUMBER(K452)),EDATE(H452,K452),"")</f>
        <v/>
      </c>
      <c r="M452" s="29">
        <f>IF(COUNT(J452,L452)=0,"",IF(MIN(J452,L452)&gt;=TODAY(),MIN(J452,L452),MAX(J452,L452)))</f>
        <v/>
      </c>
      <c r="N452" s="31">
        <f>IF(ISNUMBER(M452),M452-TODAY(),"")</f>
        <v/>
      </c>
      <c r="O452" s="30" t="n"/>
      <c r="P452" s="29">
        <f>IF(ISNUMBER(M452),M452-IF(ISNUMBER(O452),O452,60),"")</f>
        <v/>
      </c>
      <c r="Q452" s="27" t="n"/>
      <c r="R452" s="27" t="n"/>
      <c r="S452" s="27" t="n"/>
      <c r="T452" s="27" t="n"/>
      <c r="U452" s="27" t="n"/>
      <c r="V452" s="27" t="n"/>
      <c r="W452" s="27" t="n"/>
      <c r="X452" s="27" t="n"/>
      <c r="Y452" s="27" t="n"/>
    </row>
    <row r="453">
      <c r="A453" s="27" t="n"/>
      <c r="B453" s="27" t="n"/>
      <c r="C453" s="27" t="n"/>
      <c r="D453" s="27" t="n"/>
      <c r="E453" s="28" t="n"/>
      <c r="F453" s="28" t="n"/>
      <c r="G453" s="27" t="n"/>
      <c r="H453" s="29">
        <f>IF(G453="Invoice",IF(ISNUMBER(F453),F453,""),IF(ISNUMBER(E453),E453,""))</f>
        <v/>
      </c>
      <c r="I453" s="30" t="n"/>
      <c r="J453" s="29">
        <f>IF(AND(ISNUMBER(H453),ISNUMBER(I453)),EDATE(H453,I453),"")</f>
        <v/>
      </c>
      <c r="K453" s="30" t="n"/>
      <c r="L453" s="29">
        <f>IF(AND(ISNUMBER(H453),ISNUMBER(K453)),EDATE(H453,K453),"")</f>
        <v/>
      </c>
      <c r="M453" s="29">
        <f>IF(COUNT(J453,L453)=0,"",IF(MIN(J453,L453)&gt;=TODAY(),MIN(J453,L453),MAX(J453,L453)))</f>
        <v/>
      </c>
      <c r="N453" s="31">
        <f>IF(ISNUMBER(M453),M453-TODAY(),"")</f>
        <v/>
      </c>
      <c r="O453" s="30" t="n"/>
      <c r="P453" s="29">
        <f>IF(ISNUMBER(M453),M453-IF(ISNUMBER(O453),O453,60),"")</f>
        <v/>
      </c>
      <c r="Q453" s="27" t="n"/>
      <c r="R453" s="27" t="n"/>
      <c r="S453" s="27" t="n"/>
      <c r="T453" s="27" t="n"/>
      <c r="U453" s="27" t="n"/>
      <c r="V453" s="27" t="n"/>
      <c r="W453" s="27" t="n"/>
      <c r="X453" s="27" t="n"/>
      <c r="Y453" s="27" t="n"/>
    </row>
    <row r="454">
      <c r="A454" s="27" t="n"/>
      <c r="B454" s="27" t="n"/>
      <c r="C454" s="27" t="n"/>
      <c r="D454" s="27" t="n"/>
      <c r="E454" s="28" t="n"/>
      <c r="F454" s="28" t="n"/>
      <c r="G454" s="27" t="n"/>
      <c r="H454" s="29">
        <f>IF(G454="Invoice",IF(ISNUMBER(F454),F454,""),IF(ISNUMBER(E454),E454,""))</f>
        <v/>
      </c>
      <c r="I454" s="30" t="n"/>
      <c r="J454" s="29">
        <f>IF(AND(ISNUMBER(H454),ISNUMBER(I454)),EDATE(H454,I454),"")</f>
        <v/>
      </c>
      <c r="K454" s="30" t="n"/>
      <c r="L454" s="29">
        <f>IF(AND(ISNUMBER(H454),ISNUMBER(K454)),EDATE(H454,K454),"")</f>
        <v/>
      </c>
      <c r="M454" s="29">
        <f>IF(COUNT(J454,L454)=0,"",IF(MIN(J454,L454)&gt;=TODAY(),MIN(J454,L454),MAX(J454,L454)))</f>
        <v/>
      </c>
      <c r="N454" s="31">
        <f>IF(ISNUMBER(M454),M454-TODAY(),"")</f>
        <v/>
      </c>
      <c r="O454" s="30" t="n"/>
      <c r="P454" s="29">
        <f>IF(ISNUMBER(M454),M454-IF(ISNUMBER(O454),O454,60),"")</f>
        <v/>
      </c>
      <c r="Q454" s="27" t="n"/>
      <c r="R454" s="27" t="n"/>
      <c r="S454" s="27" t="n"/>
      <c r="T454" s="27" t="n"/>
      <c r="U454" s="27" t="n"/>
      <c r="V454" s="27" t="n"/>
      <c r="W454" s="27" t="n"/>
      <c r="X454" s="27" t="n"/>
      <c r="Y454" s="27" t="n"/>
    </row>
    <row r="455">
      <c r="A455" s="27" t="n"/>
      <c r="B455" s="27" t="n"/>
      <c r="C455" s="27" t="n"/>
      <c r="D455" s="27" t="n"/>
      <c r="E455" s="28" t="n"/>
      <c r="F455" s="28" t="n"/>
      <c r="G455" s="27" t="n"/>
      <c r="H455" s="29">
        <f>IF(G455="Invoice",IF(ISNUMBER(F455),F455,""),IF(ISNUMBER(E455),E455,""))</f>
        <v/>
      </c>
      <c r="I455" s="30" t="n"/>
      <c r="J455" s="29">
        <f>IF(AND(ISNUMBER(H455),ISNUMBER(I455)),EDATE(H455,I455),"")</f>
        <v/>
      </c>
      <c r="K455" s="30" t="n"/>
      <c r="L455" s="29">
        <f>IF(AND(ISNUMBER(H455),ISNUMBER(K455)),EDATE(H455,K455),"")</f>
        <v/>
      </c>
      <c r="M455" s="29">
        <f>IF(COUNT(J455,L455)=0,"",IF(MIN(J455,L455)&gt;=TODAY(),MIN(J455,L455),MAX(J455,L455)))</f>
        <v/>
      </c>
      <c r="N455" s="31">
        <f>IF(ISNUMBER(M455),M455-TODAY(),"")</f>
        <v/>
      </c>
      <c r="O455" s="30" t="n"/>
      <c r="P455" s="29">
        <f>IF(ISNUMBER(M455),M455-IF(ISNUMBER(O455),O455,60),"")</f>
        <v/>
      </c>
      <c r="Q455" s="27" t="n"/>
      <c r="R455" s="27" t="n"/>
      <c r="S455" s="27" t="n"/>
      <c r="T455" s="27" t="n"/>
      <c r="U455" s="27" t="n"/>
      <c r="V455" s="27" t="n"/>
      <c r="W455" s="27" t="n"/>
      <c r="X455" s="27" t="n"/>
      <c r="Y455" s="27" t="n"/>
    </row>
    <row r="456">
      <c r="A456" s="27" t="n"/>
      <c r="B456" s="27" t="n"/>
      <c r="C456" s="27" t="n"/>
      <c r="D456" s="27" t="n"/>
      <c r="E456" s="28" t="n"/>
      <c r="F456" s="28" t="n"/>
      <c r="G456" s="27" t="n"/>
      <c r="H456" s="29">
        <f>IF(G456="Invoice",IF(ISNUMBER(F456),F456,""),IF(ISNUMBER(E456),E456,""))</f>
        <v/>
      </c>
      <c r="I456" s="30" t="n"/>
      <c r="J456" s="29">
        <f>IF(AND(ISNUMBER(H456),ISNUMBER(I456)),EDATE(H456,I456),"")</f>
        <v/>
      </c>
      <c r="K456" s="30" t="n"/>
      <c r="L456" s="29">
        <f>IF(AND(ISNUMBER(H456),ISNUMBER(K456)),EDATE(H456,K456),"")</f>
        <v/>
      </c>
      <c r="M456" s="29">
        <f>IF(COUNT(J456,L456)=0,"",IF(MIN(J456,L456)&gt;=TODAY(),MIN(J456,L456),MAX(J456,L456)))</f>
        <v/>
      </c>
      <c r="N456" s="31">
        <f>IF(ISNUMBER(M456),M456-TODAY(),"")</f>
        <v/>
      </c>
      <c r="O456" s="30" t="n"/>
      <c r="P456" s="29">
        <f>IF(ISNUMBER(M456),M456-IF(ISNUMBER(O456),O456,60),"")</f>
        <v/>
      </c>
      <c r="Q456" s="27" t="n"/>
      <c r="R456" s="27" t="n"/>
      <c r="S456" s="27" t="n"/>
      <c r="T456" s="27" t="n"/>
      <c r="U456" s="27" t="n"/>
      <c r="V456" s="27" t="n"/>
      <c r="W456" s="27" t="n"/>
      <c r="X456" s="27" t="n"/>
      <c r="Y456" s="27" t="n"/>
    </row>
    <row r="457">
      <c r="A457" s="27" t="n"/>
      <c r="B457" s="27" t="n"/>
      <c r="C457" s="27" t="n"/>
      <c r="D457" s="27" t="n"/>
      <c r="E457" s="28" t="n"/>
      <c r="F457" s="28" t="n"/>
      <c r="G457" s="27" t="n"/>
      <c r="H457" s="29">
        <f>IF(G457="Invoice",IF(ISNUMBER(F457),F457,""),IF(ISNUMBER(E457),E457,""))</f>
        <v/>
      </c>
      <c r="I457" s="30" t="n"/>
      <c r="J457" s="29">
        <f>IF(AND(ISNUMBER(H457),ISNUMBER(I457)),EDATE(H457,I457),"")</f>
        <v/>
      </c>
      <c r="K457" s="30" t="n"/>
      <c r="L457" s="29">
        <f>IF(AND(ISNUMBER(H457),ISNUMBER(K457)),EDATE(H457,K457),"")</f>
        <v/>
      </c>
      <c r="M457" s="29">
        <f>IF(COUNT(J457,L457)=0,"",IF(MIN(J457,L457)&gt;=TODAY(),MIN(J457,L457),MAX(J457,L457)))</f>
        <v/>
      </c>
      <c r="N457" s="31">
        <f>IF(ISNUMBER(M457),M457-TODAY(),"")</f>
        <v/>
      </c>
      <c r="O457" s="30" t="n"/>
      <c r="P457" s="29">
        <f>IF(ISNUMBER(M457),M457-IF(ISNUMBER(O457),O457,60),"")</f>
        <v/>
      </c>
      <c r="Q457" s="27" t="n"/>
      <c r="R457" s="27" t="n"/>
      <c r="S457" s="27" t="n"/>
      <c r="T457" s="27" t="n"/>
      <c r="U457" s="27" t="n"/>
      <c r="V457" s="27" t="n"/>
      <c r="W457" s="27" t="n"/>
      <c r="X457" s="27" t="n"/>
      <c r="Y457" s="27" t="n"/>
    </row>
    <row r="458">
      <c r="A458" s="27" t="n"/>
      <c r="B458" s="27" t="n"/>
      <c r="C458" s="27" t="n"/>
      <c r="D458" s="27" t="n"/>
      <c r="E458" s="28" t="n"/>
      <c r="F458" s="28" t="n"/>
      <c r="G458" s="27" t="n"/>
      <c r="H458" s="29">
        <f>IF(G458="Invoice",IF(ISNUMBER(F458),F458,""),IF(ISNUMBER(E458),E458,""))</f>
        <v/>
      </c>
      <c r="I458" s="30" t="n"/>
      <c r="J458" s="29">
        <f>IF(AND(ISNUMBER(H458),ISNUMBER(I458)),EDATE(H458,I458),"")</f>
        <v/>
      </c>
      <c r="K458" s="30" t="n"/>
      <c r="L458" s="29">
        <f>IF(AND(ISNUMBER(H458),ISNUMBER(K458)),EDATE(H458,K458),"")</f>
        <v/>
      </c>
      <c r="M458" s="29">
        <f>IF(COUNT(J458,L458)=0,"",IF(MIN(J458,L458)&gt;=TODAY(),MIN(J458,L458),MAX(J458,L458)))</f>
        <v/>
      </c>
      <c r="N458" s="31">
        <f>IF(ISNUMBER(M458),M458-TODAY(),"")</f>
        <v/>
      </c>
      <c r="O458" s="30" t="n"/>
      <c r="P458" s="29">
        <f>IF(ISNUMBER(M458),M458-IF(ISNUMBER(O458),O458,60),"")</f>
        <v/>
      </c>
      <c r="Q458" s="27" t="n"/>
      <c r="R458" s="27" t="n"/>
      <c r="S458" s="27" t="n"/>
      <c r="T458" s="27" t="n"/>
      <c r="U458" s="27" t="n"/>
      <c r="V458" s="27" t="n"/>
      <c r="W458" s="27" t="n"/>
      <c r="X458" s="27" t="n"/>
      <c r="Y458" s="27" t="n"/>
    </row>
    <row r="459">
      <c r="A459" s="27" t="n"/>
      <c r="B459" s="27" t="n"/>
      <c r="C459" s="27" t="n"/>
      <c r="D459" s="27" t="n"/>
      <c r="E459" s="28" t="n"/>
      <c r="F459" s="28" t="n"/>
      <c r="G459" s="27" t="n"/>
      <c r="H459" s="29">
        <f>IF(G459="Invoice",IF(ISNUMBER(F459),F459,""),IF(ISNUMBER(E459),E459,""))</f>
        <v/>
      </c>
      <c r="I459" s="30" t="n"/>
      <c r="J459" s="29">
        <f>IF(AND(ISNUMBER(H459),ISNUMBER(I459)),EDATE(H459,I459),"")</f>
        <v/>
      </c>
      <c r="K459" s="30" t="n"/>
      <c r="L459" s="29">
        <f>IF(AND(ISNUMBER(H459),ISNUMBER(K459)),EDATE(H459,K459),"")</f>
        <v/>
      </c>
      <c r="M459" s="29">
        <f>IF(COUNT(J459,L459)=0,"",IF(MIN(J459,L459)&gt;=TODAY(),MIN(J459,L459),MAX(J459,L459)))</f>
        <v/>
      </c>
      <c r="N459" s="31">
        <f>IF(ISNUMBER(M459),M459-TODAY(),"")</f>
        <v/>
      </c>
      <c r="O459" s="30" t="n"/>
      <c r="P459" s="29">
        <f>IF(ISNUMBER(M459),M459-IF(ISNUMBER(O459),O459,60),"")</f>
        <v/>
      </c>
      <c r="Q459" s="27" t="n"/>
      <c r="R459" s="27" t="n"/>
      <c r="S459" s="27" t="n"/>
      <c r="T459" s="27" t="n"/>
      <c r="U459" s="27" t="n"/>
      <c r="V459" s="27" t="n"/>
      <c r="W459" s="27" t="n"/>
      <c r="X459" s="27" t="n"/>
      <c r="Y459" s="27" t="n"/>
    </row>
    <row r="460">
      <c r="A460" s="27" t="n"/>
      <c r="B460" s="27" t="n"/>
      <c r="C460" s="27" t="n"/>
      <c r="D460" s="27" t="n"/>
      <c r="E460" s="28" t="n"/>
      <c r="F460" s="28" t="n"/>
      <c r="G460" s="27" t="n"/>
      <c r="H460" s="29">
        <f>IF(G460="Invoice",IF(ISNUMBER(F460),F460,""),IF(ISNUMBER(E460),E460,""))</f>
        <v/>
      </c>
      <c r="I460" s="30" t="n"/>
      <c r="J460" s="29">
        <f>IF(AND(ISNUMBER(H460),ISNUMBER(I460)),EDATE(H460,I460),"")</f>
        <v/>
      </c>
      <c r="K460" s="30" t="n"/>
      <c r="L460" s="29">
        <f>IF(AND(ISNUMBER(H460),ISNUMBER(K460)),EDATE(H460,K460),"")</f>
        <v/>
      </c>
      <c r="M460" s="29">
        <f>IF(COUNT(J460,L460)=0,"",IF(MIN(J460,L460)&gt;=TODAY(),MIN(J460,L460),MAX(J460,L460)))</f>
        <v/>
      </c>
      <c r="N460" s="31">
        <f>IF(ISNUMBER(M460),M460-TODAY(),"")</f>
        <v/>
      </c>
      <c r="O460" s="30" t="n"/>
      <c r="P460" s="29">
        <f>IF(ISNUMBER(M460),M460-IF(ISNUMBER(O460),O460,60),"")</f>
        <v/>
      </c>
      <c r="Q460" s="27" t="n"/>
      <c r="R460" s="27" t="n"/>
      <c r="S460" s="27" t="n"/>
      <c r="T460" s="27" t="n"/>
      <c r="U460" s="27" t="n"/>
      <c r="V460" s="27" t="n"/>
      <c r="W460" s="27" t="n"/>
      <c r="X460" s="27" t="n"/>
      <c r="Y460" s="27" t="n"/>
    </row>
    <row r="461">
      <c r="A461" s="27" t="n"/>
      <c r="B461" s="27" t="n"/>
      <c r="C461" s="27" t="n"/>
      <c r="D461" s="27" t="n"/>
      <c r="E461" s="28" t="n"/>
      <c r="F461" s="28" t="n"/>
      <c r="G461" s="27" t="n"/>
      <c r="H461" s="29">
        <f>IF(G461="Invoice",IF(ISNUMBER(F461),F461,""),IF(ISNUMBER(E461),E461,""))</f>
        <v/>
      </c>
      <c r="I461" s="30" t="n"/>
      <c r="J461" s="29">
        <f>IF(AND(ISNUMBER(H461),ISNUMBER(I461)),EDATE(H461,I461),"")</f>
        <v/>
      </c>
      <c r="K461" s="30" t="n"/>
      <c r="L461" s="29">
        <f>IF(AND(ISNUMBER(H461),ISNUMBER(K461)),EDATE(H461,K461),"")</f>
        <v/>
      </c>
      <c r="M461" s="29">
        <f>IF(COUNT(J461,L461)=0,"",IF(MIN(J461,L461)&gt;=TODAY(),MIN(J461,L461),MAX(J461,L461)))</f>
        <v/>
      </c>
      <c r="N461" s="31">
        <f>IF(ISNUMBER(M461),M461-TODAY(),"")</f>
        <v/>
      </c>
      <c r="O461" s="30" t="n"/>
      <c r="P461" s="29">
        <f>IF(ISNUMBER(M461),M461-IF(ISNUMBER(O461),O461,60),"")</f>
        <v/>
      </c>
      <c r="Q461" s="27" t="n"/>
      <c r="R461" s="27" t="n"/>
      <c r="S461" s="27" t="n"/>
      <c r="T461" s="27" t="n"/>
      <c r="U461" s="27" t="n"/>
      <c r="V461" s="27" t="n"/>
      <c r="W461" s="27" t="n"/>
      <c r="X461" s="27" t="n"/>
      <c r="Y461" s="27" t="n"/>
    </row>
    <row r="462">
      <c r="A462" s="27" t="n"/>
      <c r="B462" s="27" t="n"/>
      <c r="C462" s="27" t="n"/>
      <c r="D462" s="27" t="n"/>
      <c r="E462" s="28" t="n"/>
      <c r="F462" s="28" t="n"/>
      <c r="G462" s="27" t="n"/>
      <c r="H462" s="29">
        <f>IF(G462="Invoice",IF(ISNUMBER(F462),F462,""),IF(ISNUMBER(E462),E462,""))</f>
        <v/>
      </c>
      <c r="I462" s="30" t="n"/>
      <c r="J462" s="29">
        <f>IF(AND(ISNUMBER(H462),ISNUMBER(I462)),EDATE(H462,I462),"")</f>
        <v/>
      </c>
      <c r="K462" s="30" t="n"/>
      <c r="L462" s="29">
        <f>IF(AND(ISNUMBER(H462),ISNUMBER(K462)),EDATE(H462,K462),"")</f>
        <v/>
      </c>
      <c r="M462" s="29">
        <f>IF(COUNT(J462,L462)=0,"",IF(MIN(J462,L462)&gt;=TODAY(),MIN(J462,L462),MAX(J462,L462)))</f>
        <v/>
      </c>
      <c r="N462" s="31">
        <f>IF(ISNUMBER(M462),M462-TODAY(),"")</f>
        <v/>
      </c>
      <c r="O462" s="30" t="n"/>
      <c r="P462" s="29">
        <f>IF(ISNUMBER(M462),M462-IF(ISNUMBER(O462),O462,60),"")</f>
        <v/>
      </c>
      <c r="Q462" s="27" t="n"/>
      <c r="R462" s="27" t="n"/>
      <c r="S462" s="27" t="n"/>
      <c r="T462" s="27" t="n"/>
      <c r="U462" s="27" t="n"/>
      <c r="V462" s="27" t="n"/>
      <c r="W462" s="27" t="n"/>
      <c r="X462" s="27" t="n"/>
      <c r="Y462" s="27" t="n"/>
    </row>
    <row r="463">
      <c r="A463" s="27" t="n"/>
      <c r="B463" s="27" t="n"/>
      <c r="C463" s="27" t="n"/>
      <c r="D463" s="27" t="n"/>
      <c r="E463" s="28" t="n"/>
      <c r="F463" s="28" t="n"/>
      <c r="G463" s="27" t="n"/>
      <c r="H463" s="29">
        <f>IF(G463="Invoice",IF(ISNUMBER(F463),F463,""),IF(ISNUMBER(E463),E463,""))</f>
        <v/>
      </c>
      <c r="I463" s="30" t="n"/>
      <c r="J463" s="29">
        <f>IF(AND(ISNUMBER(H463),ISNUMBER(I463)),EDATE(H463,I463),"")</f>
        <v/>
      </c>
      <c r="K463" s="30" t="n"/>
      <c r="L463" s="29">
        <f>IF(AND(ISNUMBER(H463),ISNUMBER(K463)),EDATE(H463,K463),"")</f>
        <v/>
      </c>
      <c r="M463" s="29">
        <f>IF(COUNT(J463,L463)=0,"",IF(MIN(J463,L463)&gt;=TODAY(),MIN(J463,L463),MAX(J463,L463)))</f>
        <v/>
      </c>
      <c r="N463" s="31">
        <f>IF(ISNUMBER(M463),M463-TODAY(),"")</f>
        <v/>
      </c>
      <c r="O463" s="30" t="n"/>
      <c r="P463" s="29">
        <f>IF(ISNUMBER(M463),M463-IF(ISNUMBER(O463),O463,60),"")</f>
        <v/>
      </c>
      <c r="Q463" s="27" t="n"/>
      <c r="R463" s="27" t="n"/>
      <c r="S463" s="27" t="n"/>
      <c r="T463" s="27" t="n"/>
      <c r="U463" s="27" t="n"/>
      <c r="V463" s="27" t="n"/>
      <c r="W463" s="27" t="n"/>
      <c r="X463" s="27" t="n"/>
      <c r="Y463" s="27" t="n"/>
    </row>
    <row r="464">
      <c r="A464" s="27" t="n"/>
      <c r="B464" s="27" t="n"/>
      <c r="C464" s="27" t="n"/>
      <c r="D464" s="27" t="n"/>
      <c r="E464" s="28" t="n"/>
      <c r="F464" s="28" t="n"/>
      <c r="G464" s="27" t="n"/>
      <c r="H464" s="29">
        <f>IF(G464="Invoice",IF(ISNUMBER(F464),F464,""),IF(ISNUMBER(E464),E464,""))</f>
        <v/>
      </c>
      <c r="I464" s="30" t="n"/>
      <c r="J464" s="29">
        <f>IF(AND(ISNUMBER(H464),ISNUMBER(I464)),EDATE(H464,I464),"")</f>
        <v/>
      </c>
      <c r="K464" s="30" t="n"/>
      <c r="L464" s="29">
        <f>IF(AND(ISNUMBER(H464),ISNUMBER(K464)),EDATE(H464,K464),"")</f>
        <v/>
      </c>
      <c r="M464" s="29">
        <f>IF(COUNT(J464,L464)=0,"",IF(MIN(J464,L464)&gt;=TODAY(),MIN(J464,L464),MAX(J464,L464)))</f>
        <v/>
      </c>
      <c r="N464" s="31">
        <f>IF(ISNUMBER(M464),M464-TODAY(),"")</f>
        <v/>
      </c>
      <c r="O464" s="30" t="n"/>
      <c r="P464" s="29">
        <f>IF(ISNUMBER(M464),M464-IF(ISNUMBER(O464),O464,60),"")</f>
        <v/>
      </c>
      <c r="Q464" s="27" t="n"/>
      <c r="R464" s="27" t="n"/>
      <c r="S464" s="27" t="n"/>
      <c r="T464" s="27" t="n"/>
      <c r="U464" s="27" t="n"/>
      <c r="V464" s="27" t="n"/>
      <c r="W464" s="27" t="n"/>
      <c r="X464" s="27" t="n"/>
      <c r="Y464" s="27" t="n"/>
    </row>
    <row r="465">
      <c r="A465" s="27" t="n"/>
      <c r="B465" s="27" t="n"/>
      <c r="C465" s="27" t="n"/>
      <c r="D465" s="27" t="n"/>
      <c r="E465" s="28" t="n"/>
      <c r="F465" s="28" t="n"/>
      <c r="G465" s="27" t="n"/>
      <c r="H465" s="29">
        <f>IF(G465="Invoice",IF(ISNUMBER(F465),F465,""),IF(ISNUMBER(E465),E465,""))</f>
        <v/>
      </c>
      <c r="I465" s="30" t="n"/>
      <c r="J465" s="29">
        <f>IF(AND(ISNUMBER(H465),ISNUMBER(I465)),EDATE(H465,I465),"")</f>
        <v/>
      </c>
      <c r="K465" s="30" t="n"/>
      <c r="L465" s="29">
        <f>IF(AND(ISNUMBER(H465),ISNUMBER(K465)),EDATE(H465,K465),"")</f>
        <v/>
      </c>
      <c r="M465" s="29">
        <f>IF(COUNT(J465,L465)=0,"",IF(MIN(J465,L465)&gt;=TODAY(),MIN(J465,L465),MAX(J465,L465)))</f>
        <v/>
      </c>
      <c r="N465" s="31">
        <f>IF(ISNUMBER(M465),M465-TODAY(),"")</f>
        <v/>
      </c>
      <c r="O465" s="30" t="n"/>
      <c r="P465" s="29">
        <f>IF(ISNUMBER(M465),M465-IF(ISNUMBER(O465),O465,60),"")</f>
        <v/>
      </c>
      <c r="Q465" s="27" t="n"/>
      <c r="R465" s="27" t="n"/>
      <c r="S465" s="27" t="n"/>
      <c r="T465" s="27" t="n"/>
      <c r="U465" s="27" t="n"/>
      <c r="V465" s="27" t="n"/>
      <c r="W465" s="27" t="n"/>
      <c r="X465" s="27" t="n"/>
      <c r="Y465" s="27" t="n"/>
    </row>
    <row r="466">
      <c r="A466" s="27" t="n"/>
      <c r="B466" s="27" t="n"/>
      <c r="C466" s="27" t="n"/>
      <c r="D466" s="27" t="n"/>
      <c r="E466" s="28" t="n"/>
      <c r="F466" s="28" t="n"/>
      <c r="G466" s="27" t="n"/>
      <c r="H466" s="29">
        <f>IF(G466="Invoice",IF(ISNUMBER(F466),F466,""),IF(ISNUMBER(E466),E466,""))</f>
        <v/>
      </c>
      <c r="I466" s="30" t="n"/>
      <c r="J466" s="29">
        <f>IF(AND(ISNUMBER(H466),ISNUMBER(I466)),EDATE(H466,I466),"")</f>
        <v/>
      </c>
      <c r="K466" s="30" t="n"/>
      <c r="L466" s="29">
        <f>IF(AND(ISNUMBER(H466),ISNUMBER(K466)),EDATE(H466,K466),"")</f>
        <v/>
      </c>
      <c r="M466" s="29">
        <f>IF(COUNT(J466,L466)=0,"",IF(MIN(J466,L466)&gt;=TODAY(),MIN(J466,L466),MAX(J466,L466)))</f>
        <v/>
      </c>
      <c r="N466" s="31">
        <f>IF(ISNUMBER(M466),M466-TODAY(),"")</f>
        <v/>
      </c>
      <c r="O466" s="30" t="n"/>
      <c r="P466" s="29">
        <f>IF(ISNUMBER(M466),M466-IF(ISNUMBER(O466),O466,60),"")</f>
        <v/>
      </c>
      <c r="Q466" s="27" t="n"/>
      <c r="R466" s="27" t="n"/>
      <c r="S466" s="27" t="n"/>
      <c r="T466" s="27" t="n"/>
      <c r="U466" s="27" t="n"/>
      <c r="V466" s="27" t="n"/>
      <c r="W466" s="27" t="n"/>
      <c r="X466" s="27" t="n"/>
      <c r="Y466" s="27" t="n"/>
    </row>
    <row r="467">
      <c r="A467" s="27" t="n"/>
      <c r="B467" s="27" t="n"/>
      <c r="C467" s="27" t="n"/>
      <c r="D467" s="27" t="n"/>
      <c r="E467" s="28" t="n"/>
      <c r="F467" s="28" t="n"/>
      <c r="G467" s="27" t="n"/>
      <c r="H467" s="29">
        <f>IF(G467="Invoice",IF(ISNUMBER(F467),F467,""),IF(ISNUMBER(E467),E467,""))</f>
        <v/>
      </c>
      <c r="I467" s="30" t="n"/>
      <c r="J467" s="29">
        <f>IF(AND(ISNUMBER(H467),ISNUMBER(I467)),EDATE(H467,I467),"")</f>
        <v/>
      </c>
      <c r="K467" s="30" t="n"/>
      <c r="L467" s="29">
        <f>IF(AND(ISNUMBER(H467),ISNUMBER(K467)),EDATE(H467,K467),"")</f>
        <v/>
      </c>
      <c r="M467" s="29">
        <f>IF(COUNT(J467,L467)=0,"",IF(MIN(J467,L467)&gt;=TODAY(),MIN(J467,L467),MAX(J467,L467)))</f>
        <v/>
      </c>
      <c r="N467" s="31">
        <f>IF(ISNUMBER(M467),M467-TODAY(),"")</f>
        <v/>
      </c>
      <c r="O467" s="30" t="n"/>
      <c r="P467" s="29">
        <f>IF(ISNUMBER(M467),M467-IF(ISNUMBER(O467),O467,60),"")</f>
        <v/>
      </c>
      <c r="Q467" s="27" t="n"/>
      <c r="R467" s="27" t="n"/>
      <c r="S467" s="27" t="n"/>
      <c r="T467" s="27" t="n"/>
      <c r="U467" s="27" t="n"/>
      <c r="V467" s="27" t="n"/>
      <c r="W467" s="27" t="n"/>
      <c r="X467" s="27" t="n"/>
      <c r="Y467" s="27" t="n"/>
    </row>
    <row r="468">
      <c r="A468" s="27" t="n"/>
      <c r="B468" s="27" t="n"/>
      <c r="C468" s="27" t="n"/>
      <c r="D468" s="27" t="n"/>
      <c r="E468" s="28" t="n"/>
      <c r="F468" s="28" t="n"/>
      <c r="G468" s="27" t="n"/>
      <c r="H468" s="29">
        <f>IF(G468="Invoice",IF(ISNUMBER(F468),F468,""),IF(ISNUMBER(E468),E468,""))</f>
        <v/>
      </c>
      <c r="I468" s="30" t="n"/>
      <c r="J468" s="29">
        <f>IF(AND(ISNUMBER(H468),ISNUMBER(I468)),EDATE(H468,I468),"")</f>
        <v/>
      </c>
      <c r="K468" s="30" t="n"/>
      <c r="L468" s="29">
        <f>IF(AND(ISNUMBER(H468),ISNUMBER(K468)),EDATE(H468,K468),"")</f>
        <v/>
      </c>
      <c r="M468" s="29">
        <f>IF(COUNT(J468,L468)=0,"",IF(MIN(J468,L468)&gt;=TODAY(),MIN(J468,L468),MAX(J468,L468)))</f>
        <v/>
      </c>
      <c r="N468" s="31">
        <f>IF(ISNUMBER(M468),M468-TODAY(),"")</f>
        <v/>
      </c>
      <c r="O468" s="30" t="n"/>
      <c r="P468" s="29">
        <f>IF(ISNUMBER(M468),M468-IF(ISNUMBER(O468),O468,60),"")</f>
        <v/>
      </c>
      <c r="Q468" s="27" t="n"/>
      <c r="R468" s="27" t="n"/>
      <c r="S468" s="27" t="n"/>
      <c r="T468" s="27" t="n"/>
      <c r="U468" s="27" t="n"/>
      <c r="V468" s="27" t="n"/>
      <c r="W468" s="27" t="n"/>
      <c r="X468" s="27" t="n"/>
      <c r="Y468" s="27" t="n"/>
    </row>
    <row r="469">
      <c r="A469" s="27" t="n"/>
      <c r="B469" s="27" t="n"/>
      <c r="C469" s="27" t="n"/>
      <c r="D469" s="27" t="n"/>
      <c r="E469" s="28" t="n"/>
      <c r="F469" s="28" t="n"/>
      <c r="G469" s="27" t="n"/>
      <c r="H469" s="29">
        <f>IF(G469="Invoice",IF(ISNUMBER(F469),F469,""),IF(ISNUMBER(E469),E469,""))</f>
        <v/>
      </c>
      <c r="I469" s="30" t="n"/>
      <c r="J469" s="29">
        <f>IF(AND(ISNUMBER(H469),ISNUMBER(I469)),EDATE(H469,I469),"")</f>
        <v/>
      </c>
      <c r="K469" s="30" t="n"/>
      <c r="L469" s="29">
        <f>IF(AND(ISNUMBER(H469),ISNUMBER(K469)),EDATE(H469,K469),"")</f>
        <v/>
      </c>
      <c r="M469" s="29">
        <f>IF(COUNT(J469,L469)=0,"",IF(MIN(J469,L469)&gt;=TODAY(),MIN(J469,L469),MAX(J469,L469)))</f>
        <v/>
      </c>
      <c r="N469" s="31">
        <f>IF(ISNUMBER(M469),M469-TODAY(),"")</f>
        <v/>
      </c>
      <c r="O469" s="30" t="n"/>
      <c r="P469" s="29">
        <f>IF(ISNUMBER(M469),M469-IF(ISNUMBER(O469),O469,60),"")</f>
        <v/>
      </c>
      <c r="Q469" s="27" t="n"/>
      <c r="R469" s="27" t="n"/>
      <c r="S469" s="27" t="n"/>
      <c r="T469" s="27" t="n"/>
      <c r="U469" s="27" t="n"/>
      <c r="V469" s="27" t="n"/>
      <c r="W469" s="27" t="n"/>
      <c r="X469" s="27" t="n"/>
      <c r="Y469" s="27" t="n"/>
    </row>
    <row r="470">
      <c r="A470" s="27" t="n"/>
      <c r="B470" s="27" t="n"/>
      <c r="C470" s="27" t="n"/>
      <c r="D470" s="27" t="n"/>
      <c r="E470" s="28" t="n"/>
      <c r="F470" s="28" t="n"/>
      <c r="G470" s="27" t="n"/>
      <c r="H470" s="29">
        <f>IF(G470="Invoice",IF(ISNUMBER(F470),F470,""),IF(ISNUMBER(E470),E470,""))</f>
        <v/>
      </c>
      <c r="I470" s="30" t="n"/>
      <c r="J470" s="29">
        <f>IF(AND(ISNUMBER(H470),ISNUMBER(I470)),EDATE(H470,I470),"")</f>
        <v/>
      </c>
      <c r="K470" s="30" t="n"/>
      <c r="L470" s="29">
        <f>IF(AND(ISNUMBER(H470),ISNUMBER(K470)),EDATE(H470,K470),"")</f>
        <v/>
      </c>
      <c r="M470" s="29">
        <f>IF(COUNT(J470,L470)=0,"",IF(MIN(J470,L470)&gt;=TODAY(),MIN(J470,L470),MAX(J470,L470)))</f>
        <v/>
      </c>
      <c r="N470" s="31">
        <f>IF(ISNUMBER(M470),M470-TODAY(),"")</f>
        <v/>
      </c>
      <c r="O470" s="30" t="n"/>
      <c r="P470" s="29">
        <f>IF(ISNUMBER(M470),M470-IF(ISNUMBER(O470),O470,60),"")</f>
        <v/>
      </c>
      <c r="Q470" s="27" t="n"/>
      <c r="R470" s="27" t="n"/>
      <c r="S470" s="27" t="n"/>
      <c r="T470" s="27" t="n"/>
      <c r="U470" s="27" t="n"/>
      <c r="V470" s="27" t="n"/>
      <c r="W470" s="27" t="n"/>
      <c r="X470" s="27" t="n"/>
      <c r="Y470" s="27" t="n"/>
    </row>
    <row r="471">
      <c r="A471" s="27" t="n"/>
      <c r="B471" s="27" t="n"/>
      <c r="C471" s="27" t="n"/>
      <c r="D471" s="27" t="n"/>
      <c r="E471" s="28" t="n"/>
      <c r="F471" s="28" t="n"/>
      <c r="G471" s="27" t="n"/>
      <c r="H471" s="29">
        <f>IF(G471="Invoice",IF(ISNUMBER(F471),F471,""),IF(ISNUMBER(E471),E471,""))</f>
        <v/>
      </c>
      <c r="I471" s="30" t="n"/>
      <c r="J471" s="29">
        <f>IF(AND(ISNUMBER(H471),ISNUMBER(I471)),EDATE(H471,I471),"")</f>
        <v/>
      </c>
      <c r="K471" s="30" t="n"/>
      <c r="L471" s="29">
        <f>IF(AND(ISNUMBER(H471),ISNUMBER(K471)),EDATE(H471,K471),"")</f>
        <v/>
      </c>
      <c r="M471" s="29">
        <f>IF(COUNT(J471,L471)=0,"",IF(MIN(J471,L471)&gt;=TODAY(),MIN(J471,L471),MAX(J471,L471)))</f>
        <v/>
      </c>
      <c r="N471" s="31">
        <f>IF(ISNUMBER(M471),M471-TODAY(),"")</f>
        <v/>
      </c>
      <c r="O471" s="30" t="n"/>
      <c r="P471" s="29">
        <f>IF(ISNUMBER(M471),M471-IF(ISNUMBER(O471),O471,60),"")</f>
        <v/>
      </c>
      <c r="Q471" s="27" t="n"/>
      <c r="R471" s="27" t="n"/>
      <c r="S471" s="27" t="n"/>
      <c r="T471" s="27" t="n"/>
      <c r="U471" s="27" t="n"/>
      <c r="V471" s="27" t="n"/>
      <c r="W471" s="27" t="n"/>
      <c r="X471" s="27" t="n"/>
      <c r="Y471" s="27" t="n"/>
    </row>
    <row r="472">
      <c r="A472" s="27" t="n"/>
      <c r="B472" s="27" t="n"/>
      <c r="C472" s="27" t="n"/>
      <c r="D472" s="27" t="n"/>
      <c r="E472" s="28" t="n"/>
      <c r="F472" s="28" t="n"/>
      <c r="G472" s="27" t="n"/>
      <c r="H472" s="29">
        <f>IF(G472="Invoice",IF(ISNUMBER(F472),F472,""),IF(ISNUMBER(E472),E472,""))</f>
        <v/>
      </c>
      <c r="I472" s="30" t="n"/>
      <c r="J472" s="29">
        <f>IF(AND(ISNUMBER(H472),ISNUMBER(I472)),EDATE(H472,I472),"")</f>
        <v/>
      </c>
      <c r="K472" s="30" t="n"/>
      <c r="L472" s="29">
        <f>IF(AND(ISNUMBER(H472),ISNUMBER(K472)),EDATE(H472,K472),"")</f>
        <v/>
      </c>
      <c r="M472" s="29">
        <f>IF(COUNT(J472,L472)=0,"",IF(MIN(J472,L472)&gt;=TODAY(),MIN(J472,L472),MAX(J472,L472)))</f>
        <v/>
      </c>
      <c r="N472" s="31">
        <f>IF(ISNUMBER(M472),M472-TODAY(),"")</f>
        <v/>
      </c>
      <c r="O472" s="30" t="n"/>
      <c r="P472" s="29">
        <f>IF(ISNUMBER(M472),M472-IF(ISNUMBER(O472),O472,60),"")</f>
        <v/>
      </c>
      <c r="Q472" s="27" t="n"/>
      <c r="R472" s="27" t="n"/>
      <c r="S472" s="27" t="n"/>
      <c r="T472" s="27" t="n"/>
      <c r="U472" s="27" t="n"/>
      <c r="V472" s="27" t="n"/>
      <c r="W472" s="27" t="n"/>
      <c r="X472" s="27" t="n"/>
      <c r="Y472" s="27" t="n"/>
    </row>
    <row r="473">
      <c r="A473" s="27" t="n"/>
      <c r="B473" s="27" t="n"/>
      <c r="C473" s="27" t="n"/>
      <c r="D473" s="27" t="n"/>
      <c r="E473" s="28" t="n"/>
      <c r="F473" s="28" t="n"/>
      <c r="G473" s="27" t="n"/>
      <c r="H473" s="29">
        <f>IF(G473="Invoice",IF(ISNUMBER(F473),F473,""),IF(ISNUMBER(E473),E473,""))</f>
        <v/>
      </c>
      <c r="I473" s="30" t="n"/>
      <c r="J473" s="29">
        <f>IF(AND(ISNUMBER(H473),ISNUMBER(I473)),EDATE(H473,I473),"")</f>
        <v/>
      </c>
      <c r="K473" s="30" t="n"/>
      <c r="L473" s="29">
        <f>IF(AND(ISNUMBER(H473),ISNUMBER(K473)),EDATE(H473,K473),"")</f>
        <v/>
      </c>
      <c r="M473" s="29">
        <f>IF(COUNT(J473,L473)=0,"",IF(MIN(J473,L473)&gt;=TODAY(),MIN(J473,L473),MAX(J473,L473)))</f>
        <v/>
      </c>
      <c r="N473" s="31">
        <f>IF(ISNUMBER(M473),M473-TODAY(),"")</f>
        <v/>
      </c>
      <c r="O473" s="30" t="n"/>
      <c r="P473" s="29">
        <f>IF(ISNUMBER(M473),M473-IF(ISNUMBER(O473),O473,60),"")</f>
        <v/>
      </c>
      <c r="Q473" s="27" t="n"/>
      <c r="R473" s="27" t="n"/>
      <c r="S473" s="27" t="n"/>
      <c r="T473" s="27" t="n"/>
      <c r="U473" s="27" t="n"/>
      <c r="V473" s="27" t="n"/>
      <c r="W473" s="27" t="n"/>
      <c r="X473" s="27" t="n"/>
      <c r="Y473" s="27" t="n"/>
    </row>
    <row r="474">
      <c r="A474" s="27" t="n"/>
      <c r="B474" s="27" t="n"/>
      <c r="C474" s="27" t="n"/>
      <c r="D474" s="27" t="n"/>
      <c r="E474" s="28" t="n"/>
      <c r="F474" s="28" t="n"/>
      <c r="G474" s="27" t="n"/>
      <c r="H474" s="29">
        <f>IF(G474="Invoice",IF(ISNUMBER(F474),F474,""),IF(ISNUMBER(E474),E474,""))</f>
        <v/>
      </c>
      <c r="I474" s="30" t="n"/>
      <c r="J474" s="29">
        <f>IF(AND(ISNUMBER(H474),ISNUMBER(I474)),EDATE(H474,I474),"")</f>
        <v/>
      </c>
      <c r="K474" s="30" t="n"/>
      <c r="L474" s="29">
        <f>IF(AND(ISNUMBER(H474),ISNUMBER(K474)),EDATE(H474,K474),"")</f>
        <v/>
      </c>
      <c r="M474" s="29">
        <f>IF(COUNT(J474,L474)=0,"",IF(MIN(J474,L474)&gt;=TODAY(),MIN(J474,L474),MAX(J474,L474)))</f>
        <v/>
      </c>
      <c r="N474" s="31">
        <f>IF(ISNUMBER(M474),M474-TODAY(),"")</f>
        <v/>
      </c>
      <c r="O474" s="30" t="n"/>
      <c r="P474" s="29">
        <f>IF(ISNUMBER(M474),M474-IF(ISNUMBER(O474),O474,60),"")</f>
        <v/>
      </c>
      <c r="Q474" s="27" t="n"/>
      <c r="R474" s="27" t="n"/>
      <c r="S474" s="27" t="n"/>
      <c r="T474" s="27" t="n"/>
      <c r="U474" s="27" t="n"/>
      <c r="V474" s="27" t="n"/>
      <c r="W474" s="27" t="n"/>
      <c r="X474" s="27" t="n"/>
      <c r="Y474" s="27" t="n"/>
    </row>
    <row r="475">
      <c r="A475" s="27" t="n"/>
      <c r="B475" s="27" t="n"/>
      <c r="C475" s="27" t="n"/>
      <c r="D475" s="27" t="n"/>
      <c r="E475" s="28" t="n"/>
      <c r="F475" s="28" t="n"/>
      <c r="G475" s="27" t="n"/>
      <c r="H475" s="29">
        <f>IF(G475="Invoice",IF(ISNUMBER(F475),F475,""),IF(ISNUMBER(E475),E475,""))</f>
        <v/>
      </c>
      <c r="I475" s="30" t="n"/>
      <c r="J475" s="29">
        <f>IF(AND(ISNUMBER(H475),ISNUMBER(I475)),EDATE(H475,I475),"")</f>
        <v/>
      </c>
      <c r="K475" s="30" t="n"/>
      <c r="L475" s="29">
        <f>IF(AND(ISNUMBER(H475),ISNUMBER(K475)),EDATE(H475,K475),"")</f>
        <v/>
      </c>
      <c r="M475" s="29">
        <f>IF(COUNT(J475,L475)=0,"",IF(MIN(J475,L475)&gt;=TODAY(),MIN(J475,L475),MAX(J475,L475)))</f>
        <v/>
      </c>
      <c r="N475" s="31">
        <f>IF(ISNUMBER(M475),M475-TODAY(),"")</f>
        <v/>
      </c>
      <c r="O475" s="30" t="n"/>
      <c r="P475" s="29">
        <f>IF(ISNUMBER(M475),M475-IF(ISNUMBER(O475),O475,60),"")</f>
        <v/>
      </c>
      <c r="Q475" s="27" t="n"/>
      <c r="R475" s="27" t="n"/>
      <c r="S475" s="27" t="n"/>
      <c r="T475" s="27" t="n"/>
      <c r="U475" s="27" t="n"/>
      <c r="V475" s="27" t="n"/>
      <c r="W475" s="27" t="n"/>
      <c r="X475" s="27" t="n"/>
      <c r="Y475" s="27" t="n"/>
    </row>
    <row r="476">
      <c r="A476" s="27" t="n"/>
      <c r="B476" s="27" t="n"/>
      <c r="C476" s="27" t="n"/>
      <c r="D476" s="27" t="n"/>
      <c r="E476" s="28" t="n"/>
      <c r="F476" s="28" t="n"/>
      <c r="G476" s="27" t="n"/>
      <c r="H476" s="29">
        <f>IF(G476="Invoice",IF(ISNUMBER(F476),F476,""),IF(ISNUMBER(E476),E476,""))</f>
        <v/>
      </c>
      <c r="I476" s="30" t="n"/>
      <c r="J476" s="29">
        <f>IF(AND(ISNUMBER(H476),ISNUMBER(I476)),EDATE(H476,I476),"")</f>
        <v/>
      </c>
      <c r="K476" s="30" t="n"/>
      <c r="L476" s="29">
        <f>IF(AND(ISNUMBER(H476),ISNUMBER(K476)),EDATE(H476,K476),"")</f>
        <v/>
      </c>
      <c r="M476" s="29">
        <f>IF(COUNT(J476,L476)=0,"",IF(MIN(J476,L476)&gt;=TODAY(),MIN(J476,L476),MAX(J476,L476)))</f>
        <v/>
      </c>
      <c r="N476" s="31">
        <f>IF(ISNUMBER(M476),M476-TODAY(),"")</f>
        <v/>
      </c>
      <c r="O476" s="30" t="n"/>
      <c r="P476" s="29">
        <f>IF(ISNUMBER(M476),M476-IF(ISNUMBER(O476),O476,60),"")</f>
        <v/>
      </c>
      <c r="Q476" s="27" t="n"/>
      <c r="R476" s="27" t="n"/>
      <c r="S476" s="27" t="n"/>
      <c r="T476" s="27" t="n"/>
      <c r="U476" s="27" t="n"/>
      <c r="V476" s="27" t="n"/>
      <c r="W476" s="27" t="n"/>
      <c r="X476" s="27" t="n"/>
      <c r="Y476" s="27" t="n"/>
    </row>
    <row r="477">
      <c r="A477" s="27" t="n"/>
      <c r="B477" s="27" t="n"/>
      <c r="C477" s="27" t="n"/>
      <c r="D477" s="27" t="n"/>
      <c r="E477" s="28" t="n"/>
      <c r="F477" s="28" t="n"/>
      <c r="G477" s="27" t="n"/>
      <c r="H477" s="29">
        <f>IF(G477="Invoice",IF(ISNUMBER(F477),F477,""),IF(ISNUMBER(E477),E477,""))</f>
        <v/>
      </c>
      <c r="I477" s="30" t="n"/>
      <c r="J477" s="29">
        <f>IF(AND(ISNUMBER(H477),ISNUMBER(I477)),EDATE(H477,I477),"")</f>
        <v/>
      </c>
      <c r="K477" s="30" t="n"/>
      <c r="L477" s="29">
        <f>IF(AND(ISNUMBER(H477),ISNUMBER(K477)),EDATE(H477,K477),"")</f>
        <v/>
      </c>
      <c r="M477" s="29">
        <f>IF(COUNT(J477,L477)=0,"",IF(MIN(J477,L477)&gt;=TODAY(),MIN(J477,L477),MAX(J477,L477)))</f>
        <v/>
      </c>
      <c r="N477" s="31">
        <f>IF(ISNUMBER(M477),M477-TODAY(),"")</f>
        <v/>
      </c>
      <c r="O477" s="30" t="n"/>
      <c r="P477" s="29">
        <f>IF(ISNUMBER(M477),M477-IF(ISNUMBER(O477),O477,60),"")</f>
        <v/>
      </c>
      <c r="Q477" s="27" t="n"/>
      <c r="R477" s="27" t="n"/>
      <c r="S477" s="27" t="n"/>
      <c r="T477" s="27" t="n"/>
      <c r="U477" s="27" t="n"/>
      <c r="V477" s="27" t="n"/>
      <c r="W477" s="27" t="n"/>
      <c r="X477" s="27" t="n"/>
      <c r="Y477" s="27" t="n"/>
    </row>
    <row r="478">
      <c r="A478" s="27" t="n"/>
      <c r="B478" s="27" t="n"/>
      <c r="C478" s="27" t="n"/>
      <c r="D478" s="27" t="n"/>
      <c r="E478" s="28" t="n"/>
      <c r="F478" s="28" t="n"/>
      <c r="G478" s="27" t="n"/>
      <c r="H478" s="29">
        <f>IF(G478="Invoice",IF(ISNUMBER(F478),F478,""),IF(ISNUMBER(E478),E478,""))</f>
        <v/>
      </c>
      <c r="I478" s="30" t="n"/>
      <c r="J478" s="29">
        <f>IF(AND(ISNUMBER(H478),ISNUMBER(I478)),EDATE(H478,I478),"")</f>
        <v/>
      </c>
      <c r="K478" s="30" t="n"/>
      <c r="L478" s="29">
        <f>IF(AND(ISNUMBER(H478),ISNUMBER(K478)),EDATE(H478,K478),"")</f>
        <v/>
      </c>
      <c r="M478" s="29">
        <f>IF(COUNT(J478,L478)=0,"",IF(MIN(J478,L478)&gt;=TODAY(),MIN(J478,L478),MAX(J478,L478)))</f>
        <v/>
      </c>
      <c r="N478" s="31">
        <f>IF(ISNUMBER(M478),M478-TODAY(),"")</f>
        <v/>
      </c>
      <c r="O478" s="30" t="n"/>
      <c r="P478" s="29">
        <f>IF(ISNUMBER(M478),M478-IF(ISNUMBER(O478),O478,60),"")</f>
        <v/>
      </c>
      <c r="Q478" s="27" t="n"/>
      <c r="R478" s="27" t="n"/>
      <c r="S478" s="27" t="n"/>
      <c r="T478" s="27" t="n"/>
      <c r="U478" s="27" t="n"/>
      <c r="V478" s="27" t="n"/>
      <c r="W478" s="27" t="n"/>
      <c r="X478" s="27" t="n"/>
      <c r="Y478" s="27" t="n"/>
    </row>
    <row r="479">
      <c r="A479" s="27" t="n"/>
      <c r="B479" s="27" t="n"/>
      <c r="C479" s="27" t="n"/>
      <c r="D479" s="27" t="n"/>
      <c r="E479" s="28" t="n"/>
      <c r="F479" s="28" t="n"/>
      <c r="G479" s="27" t="n"/>
      <c r="H479" s="29">
        <f>IF(G479="Invoice",IF(ISNUMBER(F479),F479,""),IF(ISNUMBER(E479),E479,""))</f>
        <v/>
      </c>
      <c r="I479" s="30" t="n"/>
      <c r="J479" s="29">
        <f>IF(AND(ISNUMBER(H479),ISNUMBER(I479)),EDATE(H479,I479),"")</f>
        <v/>
      </c>
      <c r="K479" s="30" t="n"/>
      <c r="L479" s="29">
        <f>IF(AND(ISNUMBER(H479),ISNUMBER(K479)),EDATE(H479,K479),"")</f>
        <v/>
      </c>
      <c r="M479" s="29">
        <f>IF(COUNT(J479,L479)=0,"",IF(MIN(J479,L479)&gt;=TODAY(),MIN(J479,L479),MAX(J479,L479)))</f>
        <v/>
      </c>
      <c r="N479" s="31">
        <f>IF(ISNUMBER(M479),M479-TODAY(),"")</f>
        <v/>
      </c>
      <c r="O479" s="30" t="n"/>
      <c r="P479" s="29">
        <f>IF(ISNUMBER(M479),M479-IF(ISNUMBER(O479),O479,60),"")</f>
        <v/>
      </c>
      <c r="Q479" s="27" t="n"/>
      <c r="R479" s="27" t="n"/>
      <c r="S479" s="27" t="n"/>
      <c r="T479" s="27" t="n"/>
      <c r="U479" s="27" t="n"/>
      <c r="V479" s="27" t="n"/>
      <c r="W479" s="27" t="n"/>
      <c r="X479" s="27" t="n"/>
      <c r="Y479" s="27" t="n"/>
    </row>
    <row r="480">
      <c r="A480" s="27" t="n"/>
      <c r="B480" s="27" t="n"/>
      <c r="C480" s="27" t="n"/>
      <c r="D480" s="27" t="n"/>
      <c r="E480" s="28" t="n"/>
      <c r="F480" s="28" t="n"/>
      <c r="G480" s="27" t="n"/>
      <c r="H480" s="29">
        <f>IF(G480="Invoice",IF(ISNUMBER(F480),F480,""),IF(ISNUMBER(E480),E480,""))</f>
        <v/>
      </c>
      <c r="I480" s="30" t="n"/>
      <c r="J480" s="29">
        <f>IF(AND(ISNUMBER(H480),ISNUMBER(I480)),EDATE(H480,I480),"")</f>
        <v/>
      </c>
      <c r="K480" s="30" t="n"/>
      <c r="L480" s="29">
        <f>IF(AND(ISNUMBER(H480),ISNUMBER(K480)),EDATE(H480,K480),"")</f>
        <v/>
      </c>
      <c r="M480" s="29">
        <f>IF(COUNT(J480,L480)=0,"",IF(MIN(J480,L480)&gt;=TODAY(),MIN(J480,L480),MAX(J480,L480)))</f>
        <v/>
      </c>
      <c r="N480" s="31">
        <f>IF(ISNUMBER(M480),M480-TODAY(),"")</f>
        <v/>
      </c>
      <c r="O480" s="30" t="n"/>
      <c r="P480" s="29">
        <f>IF(ISNUMBER(M480),M480-IF(ISNUMBER(O480),O480,60),"")</f>
        <v/>
      </c>
      <c r="Q480" s="27" t="n"/>
      <c r="R480" s="27" t="n"/>
      <c r="S480" s="27" t="n"/>
      <c r="T480" s="27" t="n"/>
      <c r="U480" s="27" t="n"/>
      <c r="V480" s="27" t="n"/>
      <c r="W480" s="27" t="n"/>
      <c r="X480" s="27" t="n"/>
      <c r="Y480" s="27" t="n"/>
    </row>
    <row r="481">
      <c r="A481" s="27" t="n"/>
      <c r="B481" s="27" t="n"/>
      <c r="C481" s="27" t="n"/>
      <c r="D481" s="27" t="n"/>
      <c r="E481" s="28" t="n"/>
      <c r="F481" s="28" t="n"/>
      <c r="G481" s="27" t="n"/>
      <c r="H481" s="29">
        <f>IF(G481="Invoice",IF(ISNUMBER(F481),F481,""),IF(ISNUMBER(E481),E481,""))</f>
        <v/>
      </c>
      <c r="I481" s="30" t="n"/>
      <c r="J481" s="29">
        <f>IF(AND(ISNUMBER(H481),ISNUMBER(I481)),EDATE(H481,I481),"")</f>
        <v/>
      </c>
      <c r="K481" s="30" t="n"/>
      <c r="L481" s="29">
        <f>IF(AND(ISNUMBER(H481),ISNUMBER(K481)),EDATE(H481,K481),"")</f>
        <v/>
      </c>
      <c r="M481" s="29">
        <f>IF(COUNT(J481,L481)=0,"",IF(MIN(J481,L481)&gt;=TODAY(),MIN(J481,L481),MAX(J481,L481)))</f>
        <v/>
      </c>
      <c r="N481" s="31">
        <f>IF(ISNUMBER(M481),M481-TODAY(),"")</f>
        <v/>
      </c>
      <c r="O481" s="30" t="n"/>
      <c r="P481" s="29">
        <f>IF(ISNUMBER(M481),M481-IF(ISNUMBER(O481),O481,60),"")</f>
        <v/>
      </c>
      <c r="Q481" s="27" t="n"/>
      <c r="R481" s="27" t="n"/>
      <c r="S481" s="27" t="n"/>
      <c r="T481" s="27" t="n"/>
      <c r="U481" s="27" t="n"/>
      <c r="V481" s="27" t="n"/>
      <c r="W481" s="27" t="n"/>
      <c r="X481" s="27" t="n"/>
      <c r="Y481" s="27" t="n"/>
    </row>
    <row r="482">
      <c r="A482" s="27" t="n"/>
      <c r="B482" s="27" t="n"/>
      <c r="C482" s="27" t="n"/>
      <c r="D482" s="27" t="n"/>
      <c r="E482" s="28" t="n"/>
      <c r="F482" s="28" t="n"/>
      <c r="G482" s="27" t="n"/>
      <c r="H482" s="29">
        <f>IF(G482="Invoice",IF(ISNUMBER(F482),F482,""),IF(ISNUMBER(E482),E482,""))</f>
        <v/>
      </c>
      <c r="I482" s="30" t="n"/>
      <c r="J482" s="29">
        <f>IF(AND(ISNUMBER(H482),ISNUMBER(I482)),EDATE(H482,I482),"")</f>
        <v/>
      </c>
      <c r="K482" s="30" t="n"/>
      <c r="L482" s="29">
        <f>IF(AND(ISNUMBER(H482),ISNUMBER(K482)),EDATE(H482,K482),"")</f>
        <v/>
      </c>
      <c r="M482" s="29">
        <f>IF(COUNT(J482,L482)=0,"",IF(MIN(J482,L482)&gt;=TODAY(),MIN(J482,L482),MAX(J482,L482)))</f>
        <v/>
      </c>
      <c r="N482" s="31">
        <f>IF(ISNUMBER(M482),M482-TODAY(),"")</f>
        <v/>
      </c>
      <c r="O482" s="30" t="n"/>
      <c r="P482" s="29">
        <f>IF(ISNUMBER(M482),M482-IF(ISNUMBER(O482),O482,60),"")</f>
        <v/>
      </c>
      <c r="Q482" s="27" t="n"/>
      <c r="R482" s="27" t="n"/>
      <c r="S482" s="27" t="n"/>
      <c r="T482" s="27" t="n"/>
      <c r="U482" s="27" t="n"/>
      <c r="V482" s="27" t="n"/>
      <c r="W482" s="27" t="n"/>
      <c r="X482" s="27" t="n"/>
      <c r="Y482" s="27" t="n"/>
    </row>
    <row r="483">
      <c r="A483" s="27" t="n"/>
      <c r="B483" s="27" t="n"/>
      <c r="C483" s="27" t="n"/>
      <c r="D483" s="27" t="n"/>
      <c r="E483" s="28" t="n"/>
      <c r="F483" s="28" t="n"/>
      <c r="G483" s="27" t="n"/>
      <c r="H483" s="29">
        <f>IF(G483="Invoice",IF(ISNUMBER(F483),F483,""),IF(ISNUMBER(E483),E483,""))</f>
        <v/>
      </c>
      <c r="I483" s="30" t="n"/>
      <c r="J483" s="29">
        <f>IF(AND(ISNUMBER(H483),ISNUMBER(I483)),EDATE(H483,I483),"")</f>
        <v/>
      </c>
      <c r="K483" s="30" t="n"/>
      <c r="L483" s="29">
        <f>IF(AND(ISNUMBER(H483),ISNUMBER(K483)),EDATE(H483,K483),"")</f>
        <v/>
      </c>
      <c r="M483" s="29">
        <f>IF(COUNT(J483,L483)=0,"",IF(MIN(J483,L483)&gt;=TODAY(),MIN(J483,L483),MAX(J483,L483)))</f>
        <v/>
      </c>
      <c r="N483" s="31">
        <f>IF(ISNUMBER(M483),M483-TODAY(),"")</f>
        <v/>
      </c>
      <c r="O483" s="30" t="n"/>
      <c r="P483" s="29">
        <f>IF(ISNUMBER(M483),M483-IF(ISNUMBER(O483),O483,60),"")</f>
        <v/>
      </c>
      <c r="Q483" s="27" t="n"/>
      <c r="R483" s="27" t="n"/>
      <c r="S483" s="27" t="n"/>
      <c r="T483" s="27" t="n"/>
      <c r="U483" s="27" t="n"/>
      <c r="V483" s="27" t="n"/>
      <c r="W483" s="27" t="n"/>
      <c r="X483" s="27" t="n"/>
      <c r="Y483" s="27" t="n"/>
    </row>
    <row r="484">
      <c r="A484" s="27" t="n"/>
      <c r="B484" s="27" t="n"/>
      <c r="C484" s="27" t="n"/>
      <c r="D484" s="27" t="n"/>
      <c r="E484" s="28" t="n"/>
      <c r="F484" s="28" t="n"/>
      <c r="G484" s="27" t="n"/>
      <c r="H484" s="29">
        <f>IF(G484="Invoice",IF(ISNUMBER(F484),F484,""),IF(ISNUMBER(E484),E484,""))</f>
        <v/>
      </c>
      <c r="I484" s="30" t="n"/>
      <c r="J484" s="29">
        <f>IF(AND(ISNUMBER(H484),ISNUMBER(I484)),EDATE(H484,I484),"")</f>
        <v/>
      </c>
      <c r="K484" s="30" t="n"/>
      <c r="L484" s="29">
        <f>IF(AND(ISNUMBER(H484),ISNUMBER(K484)),EDATE(H484,K484),"")</f>
        <v/>
      </c>
      <c r="M484" s="29">
        <f>IF(COUNT(J484,L484)=0,"",IF(MIN(J484,L484)&gt;=TODAY(),MIN(J484,L484),MAX(J484,L484)))</f>
        <v/>
      </c>
      <c r="N484" s="31">
        <f>IF(ISNUMBER(M484),M484-TODAY(),"")</f>
        <v/>
      </c>
      <c r="O484" s="30" t="n"/>
      <c r="P484" s="29">
        <f>IF(ISNUMBER(M484),M484-IF(ISNUMBER(O484),O484,60),"")</f>
        <v/>
      </c>
      <c r="Q484" s="27" t="n"/>
      <c r="R484" s="27" t="n"/>
      <c r="S484" s="27" t="n"/>
      <c r="T484" s="27" t="n"/>
      <c r="U484" s="27" t="n"/>
      <c r="V484" s="27" t="n"/>
      <c r="W484" s="27" t="n"/>
      <c r="X484" s="27" t="n"/>
      <c r="Y484" s="27" t="n"/>
    </row>
    <row r="485">
      <c r="A485" s="27" t="n"/>
      <c r="B485" s="27" t="n"/>
      <c r="C485" s="27" t="n"/>
      <c r="D485" s="27" t="n"/>
      <c r="E485" s="28" t="n"/>
      <c r="F485" s="28" t="n"/>
      <c r="G485" s="27" t="n"/>
      <c r="H485" s="29">
        <f>IF(G485="Invoice",IF(ISNUMBER(F485),F485,""),IF(ISNUMBER(E485),E485,""))</f>
        <v/>
      </c>
      <c r="I485" s="30" t="n"/>
      <c r="J485" s="29">
        <f>IF(AND(ISNUMBER(H485),ISNUMBER(I485)),EDATE(H485,I485),"")</f>
        <v/>
      </c>
      <c r="K485" s="30" t="n"/>
      <c r="L485" s="29">
        <f>IF(AND(ISNUMBER(H485),ISNUMBER(K485)),EDATE(H485,K485),"")</f>
        <v/>
      </c>
      <c r="M485" s="29">
        <f>IF(COUNT(J485,L485)=0,"",IF(MIN(J485,L485)&gt;=TODAY(),MIN(J485,L485),MAX(J485,L485)))</f>
        <v/>
      </c>
      <c r="N485" s="31">
        <f>IF(ISNUMBER(M485),M485-TODAY(),"")</f>
        <v/>
      </c>
      <c r="O485" s="30" t="n"/>
      <c r="P485" s="29">
        <f>IF(ISNUMBER(M485),M485-IF(ISNUMBER(O485),O485,60),"")</f>
        <v/>
      </c>
      <c r="Q485" s="27" t="n"/>
      <c r="R485" s="27" t="n"/>
      <c r="S485" s="27" t="n"/>
      <c r="T485" s="27" t="n"/>
      <c r="U485" s="27" t="n"/>
      <c r="V485" s="27" t="n"/>
      <c r="W485" s="27" t="n"/>
      <c r="X485" s="27" t="n"/>
      <c r="Y485" s="27" t="n"/>
    </row>
    <row r="486">
      <c r="A486" s="27" t="n"/>
      <c r="B486" s="27" t="n"/>
      <c r="C486" s="27" t="n"/>
      <c r="D486" s="27" t="n"/>
      <c r="E486" s="28" t="n"/>
      <c r="F486" s="28" t="n"/>
      <c r="G486" s="27" t="n"/>
      <c r="H486" s="29">
        <f>IF(G486="Invoice",IF(ISNUMBER(F486),F486,""),IF(ISNUMBER(E486),E486,""))</f>
        <v/>
      </c>
      <c r="I486" s="30" t="n"/>
      <c r="J486" s="29">
        <f>IF(AND(ISNUMBER(H486),ISNUMBER(I486)),EDATE(H486,I486),"")</f>
        <v/>
      </c>
      <c r="K486" s="30" t="n"/>
      <c r="L486" s="29">
        <f>IF(AND(ISNUMBER(H486),ISNUMBER(K486)),EDATE(H486,K486),"")</f>
        <v/>
      </c>
      <c r="M486" s="29">
        <f>IF(COUNT(J486,L486)=0,"",IF(MIN(J486,L486)&gt;=TODAY(),MIN(J486,L486),MAX(J486,L486)))</f>
        <v/>
      </c>
      <c r="N486" s="31">
        <f>IF(ISNUMBER(M486),M486-TODAY(),"")</f>
        <v/>
      </c>
      <c r="O486" s="30" t="n"/>
      <c r="P486" s="29">
        <f>IF(ISNUMBER(M486),M486-IF(ISNUMBER(O486),O486,60),"")</f>
        <v/>
      </c>
      <c r="Q486" s="27" t="n"/>
      <c r="R486" s="27" t="n"/>
      <c r="S486" s="27" t="n"/>
      <c r="T486" s="27" t="n"/>
      <c r="U486" s="27" t="n"/>
      <c r="V486" s="27" t="n"/>
      <c r="W486" s="27" t="n"/>
      <c r="X486" s="27" t="n"/>
      <c r="Y486" s="27" t="n"/>
    </row>
    <row r="487">
      <c r="A487" s="27" t="n"/>
      <c r="B487" s="27" t="n"/>
      <c r="C487" s="27" t="n"/>
      <c r="D487" s="27" t="n"/>
      <c r="E487" s="28" t="n"/>
      <c r="F487" s="28" t="n"/>
      <c r="G487" s="27" t="n"/>
      <c r="H487" s="29">
        <f>IF(G487="Invoice",IF(ISNUMBER(F487),F487,""),IF(ISNUMBER(E487),E487,""))</f>
        <v/>
      </c>
      <c r="I487" s="30" t="n"/>
      <c r="J487" s="29">
        <f>IF(AND(ISNUMBER(H487),ISNUMBER(I487)),EDATE(H487,I487),"")</f>
        <v/>
      </c>
      <c r="K487" s="30" t="n"/>
      <c r="L487" s="29">
        <f>IF(AND(ISNUMBER(H487),ISNUMBER(K487)),EDATE(H487,K487),"")</f>
        <v/>
      </c>
      <c r="M487" s="29">
        <f>IF(COUNT(J487,L487)=0,"",IF(MIN(J487,L487)&gt;=TODAY(),MIN(J487,L487),MAX(J487,L487)))</f>
        <v/>
      </c>
      <c r="N487" s="31">
        <f>IF(ISNUMBER(M487),M487-TODAY(),"")</f>
        <v/>
      </c>
      <c r="O487" s="30" t="n"/>
      <c r="P487" s="29">
        <f>IF(ISNUMBER(M487),M487-IF(ISNUMBER(O487),O487,60),"")</f>
        <v/>
      </c>
      <c r="Q487" s="27" t="n"/>
      <c r="R487" s="27" t="n"/>
      <c r="S487" s="27" t="n"/>
      <c r="T487" s="27" t="n"/>
      <c r="U487" s="27" t="n"/>
      <c r="V487" s="27" t="n"/>
      <c r="W487" s="27" t="n"/>
      <c r="X487" s="27" t="n"/>
      <c r="Y487" s="27" t="n"/>
    </row>
    <row r="488">
      <c r="A488" s="27" t="n"/>
      <c r="B488" s="27" t="n"/>
      <c r="C488" s="27" t="n"/>
      <c r="D488" s="27" t="n"/>
      <c r="E488" s="28" t="n"/>
      <c r="F488" s="28" t="n"/>
      <c r="G488" s="27" t="n"/>
      <c r="H488" s="29">
        <f>IF(G488="Invoice",IF(ISNUMBER(F488),F488,""),IF(ISNUMBER(E488),E488,""))</f>
        <v/>
      </c>
      <c r="I488" s="30" t="n"/>
      <c r="J488" s="29">
        <f>IF(AND(ISNUMBER(H488),ISNUMBER(I488)),EDATE(H488,I488),"")</f>
        <v/>
      </c>
      <c r="K488" s="30" t="n"/>
      <c r="L488" s="29">
        <f>IF(AND(ISNUMBER(H488),ISNUMBER(K488)),EDATE(H488,K488),"")</f>
        <v/>
      </c>
      <c r="M488" s="29">
        <f>IF(COUNT(J488,L488)=0,"",IF(MIN(J488,L488)&gt;=TODAY(),MIN(J488,L488),MAX(J488,L488)))</f>
        <v/>
      </c>
      <c r="N488" s="31">
        <f>IF(ISNUMBER(M488),M488-TODAY(),"")</f>
        <v/>
      </c>
      <c r="O488" s="30" t="n"/>
      <c r="P488" s="29">
        <f>IF(ISNUMBER(M488),M488-IF(ISNUMBER(O488),O488,60),"")</f>
        <v/>
      </c>
      <c r="Q488" s="27" t="n"/>
      <c r="R488" s="27" t="n"/>
      <c r="S488" s="27" t="n"/>
      <c r="T488" s="27" t="n"/>
      <c r="U488" s="27" t="n"/>
      <c r="V488" s="27" t="n"/>
      <c r="W488" s="27" t="n"/>
      <c r="X488" s="27" t="n"/>
      <c r="Y488" s="27" t="n"/>
    </row>
    <row r="489">
      <c r="A489" s="27" t="n"/>
      <c r="B489" s="27" t="n"/>
      <c r="C489" s="27" t="n"/>
      <c r="D489" s="27" t="n"/>
      <c r="E489" s="28" t="n"/>
      <c r="F489" s="28" t="n"/>
      <c r="G489" s="27" t="n"/>
      <c r="H489" s="29">
        <f>IF(G489="Invoice",IF(ISNUMBER(F489),F489,""),IF(ISNUMBER(E489),E489,""))</f>
        <v/>
      </c>
      <c r="I489" s="30" t="n"/>
      <c r="J489" s="29">
        <f>IF(AND(ISNUMBER(H489),ISNUMBER(I489)),EDATE(H489,I489),"")</f>
        <v/>
      </c>
      <c r="K489" s="30" t="n"/>
      <c r="L489" s="29">
        <f>IF(AND(ISNUMBER(H489),ISNUMBER(K489)),EDATE(H489,K489),"")</f>
        <v/>
      </c>
      <c r="M489" s="29">
        <f>IF(COUNT(J489,L489)=0,"",IF(MIN(J489,L489)&gt;=TODAY(),MIN(J489,L489),MAX(J489,L489)))</f>
        <v/>
      </c>
      <c r="N489" s="31">
        <f>IF(ISNUMBER(M489),M489-TODAY(),"")</f>
        <v/>
      </c>
      <c r="O489" s="30" t="n"/>
      <c r="P489" s="29">
        <f>IF(ISNUMBER(M489),M489-IF(ISNUMBER(O489),O489,60),"")</f>
        <v/>
      </c>
      <c r="Q489" s="27" t="n"/>
      <c r="R489" s="27" t="n"/>
      <c r="S489" s="27" t="n"/>
      <c r="T489" s="27" t="n"/>
      <c r="U489" s="27" t="n"/>
      <c r="V489" s="27" t="n"/>
      <c r="W489" s="27" t="n"/>
      <c r="X489" s="27" t="n"/>
      <c r="Y489" s="27" t="n"/>
    </row>
    <row r="490">
      <c r="A490" s="27" t="n"/>
      <c r="B490" s="27" t="n"/>
      <c r="C490" s="27" t="n"/>
      <c r="D490" s="27" t="n"/>
      <c r="E490" s="28" t="n"/>
      <c r="F490" s="28" t="n"/>
      <c r="G490" s="27" t="n"/>
      <c r="H490" s="29">
        <f>IF(G490="Invoice",IF(ISNUMBER(F490),F490,""),IF(ISNUMBER(E490),E490,""))</f>
        <v/>
      </c>
      <c r="I490" s="30" t="n"/>
      <c r="J490" s="29">
        <f>IF(AND(ISNUMBER(H490),ISNUMBER(I490)),EDATE(H490,I490),"")</f>
        <v/>
      </c>
      <c r="K490" s="30" t="n"/>
      <c r="L490" s="29">
        <f>IF(AND(ISNUMBER(H490),ISNUMBER(K490)),EDATE(H490,K490),"")</f>
        <v/>
      </c>
      <c r="M490" s="29">
        <f>IF(COUNT(J490,L490)=0,"",IF(MIN(J490,L490)&gt;=TODAY(),MIN(J490,L490),MAX(J490,L490)))</f>
        <v/>
      </c>
      <c r="N490" s="31">
        <f>IF(ISNUMBER(M490),M490-TODAY(),"")</f>
        <v/>
      </c>
      <c r="O490" s="30" t="n"/>
      <c r="P490" s="29">
        <f>IF(ISNUMBER(M490),M490-IF(ISNUMBER(O490),O490,60),"")</f>
        <v/>
      </c>
      <c r="Q490" s="27" t="n"/>
      <c r="R490" s="27" t="n"/>
      <c r="S490" s="27" t="n"/>
      <c r="T490" s="27" t="n"/>
      <c r="U490" s="27" t="n"/>
      <c r="V490" s="27" t="n"/>
      <c r="W490" s="27" t="n"/>
      <c r="X490" s="27" t="n"/>
      <c r="Y490" s="27" t="n"/>
    </row>
    <row r="491">
      <c r="A491" s="27" t="n"/>
      <c r="B491" s="27" t="n"/>
      <c r="C491" s="27" t="n"/>
      <c r="D491" s="27" t="n"/>
      <c r="E491" s="28" t="n"/>
      <c r="F491" s="28" t="n"/>
      <c r="G491" s="27" t="n"/>
      <c r="H491" s="29">
        <f>IF(G491="Invoice",IF(ISNUMBER(F491),F491,""),IF(ISNUMBER(E491),E491,""))</f>
        <v/>
      </c>
      <c r="I491" s="30" t="n"/>
      <c r="J491" s="29">
        <f>IF(AND(ISNUMBER(H491),ISNUMBER(I491)),EDATE(H491,I491),"")</f>
        <v/>
      </c>
      <c r="K491" s="30" t="n"/>
      <c r="L491" s="29">
        <f>IF(AND(ISNUMBER(H491),ISNUMBER(K491)),EDATE(H491,K491),"")</f>
        <v/>
      </c>
      <c r="M491" s="29">
        <f>IF(COUNT(J491,L491)=0,"",IF(MIN(J491,L491)&gt;=TODAY(),MIN(J491,L491),MAX(J491,L491)))</f>
        <v/>
      </c>
      <c r="N491" s="31">
        <f>IF(ISNUMBER(M491),M491-TODAY(),"")</f>
        <v/>
      </c>
      <c r="O491" s="30" t="n"/>
      <c r="P491" s="29">
        <f>IF(ISNUMBER(M491),M491-IF(ISNUMBER(O491),O491,60),"")</f>
        <v/>
      </c>
      <c r="Q491" s="27" t="n"/>
      <c r="R491" s="27" t="n"/>
      <c r="S491" s="27" t="n"/>
      <c r="T491" s="27" t="n"/>
      <c r="U491" s="27" t="n"/>
      <c r="V491" s="27" t="n"/>
      <c r="W491" s="27" t="n"/>
      <c r="X491" s="27" t="n"/>
      <c r="Y491" s="27" t="n"/>
    </row>
    <row r="492">
      <c r="A492" s="27" t="n"/>
      <c r="B492" s="27" t="n"/>
      <c r="C492" s="27" t="n"/>
      <c r="D492" s="27" t="n"/>
      <c r="E492" s="28" t="n"/>
      <c r="F492" s="28" t="n"/>
      <c r="G492" s="27" t="n"/>
      <c r="H492" s="29">
        <f>IF(G492="Invoice",IF(ISNUMBER(F492),F492,""),IF(ISNUMBER(E492),E492,""))</f>
        <v/>
      </c>
      <c r="I492" s="30" t="n"/>
      <c r="J492" s="29">
        <f>IF(AND(ISNUMBER(H492),ISNUMBER(I492)),EDATE(H492,I492),"")</f>
        <v/>
      </c>
      <c r="K492" s="30" t="n"/>
      <c r="L492" s="29">
        <f>IF(AND(ISNUMBER(H492),ISNUMBER(K492)),EDATE(H492,K492),"")</f>
        <v/>
      </c>
      <c r="M492" s="29">
        <f>IF(COUNT(J492,L492)=0,"",IF(MIN(J492,L492)&gt;=TODAY(),MIN(J492,L492),MAX(J492,L492)))</f>
        <v/>
      </c>
      <c r="N492" s="31">
        <f>IF(ISNUMBER(M492),M492-TODAY(),"")</f>
        <v/>
      </c>
      <c r="O492" s="30" t="n"/>
      <c r="P492" s="29">
        <f>IF(ISNUMBER(M492),M492-IF(ISNUMBER(O492),O492,60),"")</f>
        <v/>
      </c>
      <c r="Q492" s="27" t="n"/>
      <c r="R492" s="27" t="n"/>
      <c r="S492" s="27" t="n"/>
      <c r="T492" s="27" t="n"/>
      <c r="U492" s="27" t="n"/>
      <c r="V492" s="27" t="n"/>
      <c r="W492" s="27" t="n"/>
      <c r="X492" s="27" t="n"/>
      <c r="Y492" s="27" t="n"/>
    </row>
    <row r="493">
      <c r="A493" s="27" t="n"/>
      <c r="B493" s="27" t="n"/>
      <c r="C493" s="27" t="n"/>
      <c r="D493" s="27" t="n"/>
      <c r="E493" s="28" t="n"/>
      <c r="F493" s="28" t="n"/>
      <c r="G493" s="27" t="n"/>
      <c r="H493" s="29">
        <f>IF(G493="Invoice",IF(ISNUMBER(F493),F493,""),IF(ISNUMBER(E493),E493,""))</f>
        <v/>
      </c>
      <c r="I493" s="30" t="n"/>
      <c r="J493" s="29">
        <f>IF(AND(ISNUMBER(H493),ISNUMBER(I493)),EDATE(H493,I493),"")</f>
        <v/>
      </c>
      <c r="K493" s="30" t="n"/>
      <c r="L493" s="29">
        <f>IF(AND(ISNUMBER(H493),ISNUMBER(K493)),EDATE(H493,K493),"")</f>
        <v/>
      </c>
      <c r="M493" s="29">
        <f>IF(COUNT(J493,L493)=0,"",IF(MIN(J493,L493)&gt;=TODAY(),MIN(J493,L493),MAX(J493,L493)))</f>
        <v/>
      </c>
      <c r="N493" s="31">
        <f>IF(ISNUMBER(M493),M493-TODAY(),"")</f>
        <v/>
      </c>
      <c r="O493" s="30" t="n"/>
      <c r="P493" s="29">
        <f>IF(ISNUMBER(M493),M493-IF(ISNUMBER(O493),O493,60),"")</f>
        <v/>
      </c>
      <c r="Q493" s="27" t="n"/>
      <c r="R493" s="27" t="n"/>
      <c r="S493" s="27" t="n"/>
      <c r="T493" s="27" t="n"/>
      <c r="U493" s="27" t="n"/>
      <c r="V493" s="27" t="n"/>
      <c r="W493" s="27" t="n"/>
      <c r="X493" s="27" t="n"/>
      <c r="Y493" s="27" t="n"/>
    </row>
    <row r="494">
      <c r="A494" s="27" t="n"/>
      <c r="B494" s="27" t="n"/>
      <c r="C494" s="27" t="n"/>
      <c r="D494" s="27" t="n"/>
      <c r="E494" s="28" t="n"/>
      <c r="F494" s="28" t="n"/>
      <c r="G494" s="27" t="n"/>
      <c r="H494" s="29">
        <f>IF(G494="Invoice",IF(ISNUMBER(F494),F494,""),IF(ISNUMBER(E494),E494,""))</f>
        <v/>
      </c>
      <c r="I494" s="30" t="n"/>
      <c r="J494" s="29">
        <f>IF(AND(ISNUMBER(H494),ISNUMBER(I494)),EDATE(H494,I494),"")</f>
        <v/>
      </c>
      <c r="K494" s="30" t="n"/>
      <c r="L494" s="29">
        <f>IF(AND(ISNUMBER(H494),ISNUMBER(K494)),EDATE(H494,K494),"")</f>
        <v/>
      </c>
      <c r="M494" s="29">
        <f>IF(COUNT(J494,L494)=0,"",IF(MIN(J494,L494)&gt;=TODAY(),MIN(J494,L494),MAX(J494,L494)))</f>
        <v/>
      </c>
      <c r="N494" s="31">
        <f>IF(ISNUMBER(M494),M494-TODAY(),"")</f>
        <v/>
      </c>
      <c r="O494" s="30" t="n"/>
      <c r="P494" s="29">
        <f>IF(ISNUMBER(M494),M494-IF(ISNUMBER(O494),O494,60),"")</f>
        <v/>
      </c>
      <c r="Q494" s="27" t="n"/>
      <c r="R494" s="27" t="n"/>
      <c r="S494" s="27" t="n"/>
      <c r="T494" s="27" t="n"/>
      <c r="U494" s="27" t="n"/>
      <c r="V494" s="27" t="n"/>
      <c r="W494" s="27" t="n"/>
      <c r="X494" s="27" t="n"/>
      <c r="Y494" s="27" t="n"/>
    </row>
    <row r="495">
      <c r="A495" s="27" t="n"/>
      <c r="B495" s="27" t="n"/>
      <c r="C495" s="27" t="n"/>
      <c r="D495" s="27" t="n"/>
      <c r="E495" s="28" t="n"/>
      <c r="F495" s="28" t="n"/>
      <c r="G495" s="27" t="n"/>
      <c r="H495" s="29">
        <f>IF(G495="Invoice",IF(ISNUMBER(F495),F495,""),IF(ISNUMBER(E495),E495,""))</f>
        <v/>
      </c>
      <c r="I495" s="30" t="n"/>
      <c r="J495" s="29">
        <f>IF(AND(ISNUMBER(H495),ISNUMBER(I495)),EDATE(H495,I495),"")</f>
        <v/>
      </c>
      <c r="K495" s="30" t="n"/>
      <c r="L495" s="29">
        <f>IF(AND(ISNUMBER(H495),ISNUMBER(K495)),EDATE(H495,K495),"")</f>
        <v/>
      </c>
      <c r="M495" s="29">
        <f>IF(COUNT(J495,L495)=0,"",IF(MIN(J495,L495)&gt;=TODAY(),MIN(J495,L495),MAX(J495,L495)))</f>
        <v/>
      </c>
      <c r="N495" s="31">
        <f>IF(ISNUMBER(M495),M495-TODAY(),"")</f>
        <v/>
      </c>
      <c r="O495" s="30" t="n"/>
      <c r="P495" s="29">
        <f>IF(ISNUMBER(M495),M495-IF(ISNUMBER(O495),O495,60),"")</f>
        <v/>
      </c>
      <c r="Q495" s="27" t="n"/>
      <c r="R495" s="27" t="n"/>
      <c r="S495" s="27" t="n"/>
      <c r="T495" s="27" t="n"/>
      <c r="U495" s="27" t="n"/>
      <c r="V495" s="27" t="n"/>
      <c r="W495" s="27" t="n"/>
      <c r="X495" s="27" t="n"/>
      <c r="Y495" s="27" t="n"/>
    </row>
    <row r="496">
      <c r="A496" s="27" t="n"/>
      <c r="B496" s="27" t="n"/>
      <c r="C496" s="27" t="n"/>
      <c r="D496" s="27" t="n"/>
      <c r="E496" s="28" t="n"/>
      <c r="F496" s="28" t="n"/>
      <c r="G496" s="27" t="n"/>
      <c r="H496" s="29">
        <f>IF(G496="Invoice",IF(ISNUMBER(F496),F496,""),IF(ISNUMBER(E496),E496,""))</f>
        <v/>
      </c>
      <c r="I496" s="30" t="n"/>
      <c r="J496" s="29">
        <f>IF(AND(ISNUMBER(H496),ISNUMBER(I496)),EDATE(H496,I496),"")</f>
        <v/>
      </c>
      <c r="K496" s="30" t="n"/>
      <c r="L496" s="29">
        <f>IF(AND(ISNUMBER(H496),ISNUMBER(K496)),EDATE(H496,K496),"")</f>
        <v/>
      </c>
      <c r="M496" s="29">
        <f>IF(COUNT(J496,L496)=0,"",IF(MIN(J496,L496)&gt;=TODAY(),MIN(J496,L496),MAX(J496,L496)))</f>
        <v/>
      </c>
      <c r="N496" s="31">
        <f>IF(ISNUMBER(M496),M496-TODAY(),"")</f>
        <v/>
      </c>
      <c r="O496" s="30" t="n"/>
      <c r="P496" s="29">
        <f>IF(ISNUMBER(M496),M496-IF(ISNUMBER(O496),O496,60),"")</f>
        <v/>
      </c>
      <c r="Q496" s="27" t="n"/>
      <c r="R496" s="27" t="n"/>
      <c r="S496" s="27" t="n"/>
      <c r="T496" s="27" t="n"/>
      <c r="U496" s="27" t="n"/>
      <c r="V496" s="27" t="n"/>
      <c r="W496" s="27" t="n"/>
      <c r="X496" s="27" t="n"/>
      <c r="Y496" s="27" t="n"/>
    </row>
    <row r="497">
      <c r="A497" s="27" t="n"/>
      <c r="B497" s="27" t="n"/>
      <c r="C497" s="27" t="n"/>
      <c r="D497" s="27" t="n"/>
      <c r="E497" s="28" t="n"/>
      <c r="F497" s="28" t="n"/>
      <c r="G497" s="27" t="n"/>
      <c r="H497" s="29">
        <f>IF(G497="Invoice",IF(ISNUMBER(F497),F497,""),IF(ISNUMBER(E497),E497,""))</f>
        <v/>
      </c>
      <c r="I497" s="30" t="n"/>
      <c r="J497" s="29">
        <f>IF(AND(ISNUMBER(H497),ISNUMBER(I497)),EDATE(H497,I497),"")</f>
        <v/>
      </c>
      <c r="K497" s="30" t="n"/>
      <c r="L497" s="29">
        <f>IF(AND(ISNUMBER(H497),ISNUMBER(K497)),EDATE(H497,K497),"")</f>
        <v/>
      </c>
      <c r="M497" s="29">
        <f>IF(COUNT(J497,L497)=0,"",IF(MIN(J497,L497)&gt;=TODAY(),MIN(J497,L497),MAX(J497,L497)))</f>
        <v/>
      </c>
      <c r="N497" s="31">
        <f>IF(ISNUMBER(M497),M497-TODAY(),"")</f>
        <v/>
      </c>
      <c r="O497" s="30" t="n"/>
      <c r="P497" s="29">
        <f>IF(ISNUMBER(M497),M497-IF(ISNUMBER(O497),O497,60),"")</f>
        <v/>
      </c>
      <c r="Q497" s="27" t="n"/>
      <c r="R497" s="27" t="n"/>
      <c r="S497" s="27" t="n"/>
      <c r="T497" s="27" t="n"/>
      <c r="U497" s="27" t="n"/>
      <c r="V497" s="27" t="n"/>
      <c r="W497" s="27" t="n"/>
      <c r="X497" s="27" t="n"/>
      <c r="Y497" s="27" t="n"/>
    </row>
    <row r="498">
      <c r="A498" s="27" t="n"/>
      <c r="B498" s="27" t="n"/>
      <c r="C498" s="27" t="n"/>
      <c r="D498" s="27" t="n"/>
      <c r="E498" s="28" t="n"/>
      <c r="F498" s="28" t="n"/>
      <c r="G498" s="27" t="n"/>
      <c r="H498" s="29">
        <f>IF(G498="Invoice",IF(ISNUMBER(F498),F498,""),IF(ISNUMBER(E498),E498,""))</f>
        <v/>
      </c>
      <c r="I498" s="30" t="n"/>
      <c r="J498" s="29">
        <f>IF(AND(ISNUMBER(H498),ISNUMBER(I498)),EDATE(H498,I498),"")</f>
        <v/>
      </c>
      <c r="K498" s="30" t="n"/>
      <c r="L498" s="29">
        <f>IF(AND(ISNUMBER(H498),ISNUMBER(K498)),EDATE(H498,K498),"")</f>
        <v/>
      </c>
      <c r="M498" s="29">
        <f>IF(COUNT(J498,L498)=0,"",IF(MIN(J498,L498)&gt;=TODAY(),MIN(J498,L498),MAX(J498,L498)))</f>
        <v/>
      </c>
      <c r="N498" s="31">
        <f>IF(ISNUMBER(M498),M498-TODAY(),"")</f>
        <v/>
      </c>
      <c r="O498" s="30" t="n"/>
      <c r="P498" s="29">
        <f>IF(ISNUMBER(M498),M498-IF(ISNUMBER(O498),O498,60),"")</f>
        <v/>
      </c>
      <c r="Q498" s="27" t="n"/>
      <c r="R498" s="27" t="n"/>
      <c r="S498" s="27" t="n"/>
      <c r="T498" s="27" t="n"/>
      <c r="U498" s="27" t="n"/>
      <c r="V498" s="27" t="n"/>
      <c r="W498" s="27" t="n"/>
      <c r="X498" s="27" t="n"/>
      <c r="Y498" s="27" t="n"/>
    </row>
    <row r="499">
      <c r="A499" s="27" t="n"/>
      <c r="B499" s="27" t="n"/>
      <c r="C499" s="27" t="n"/>
      <c r="D499" s="27" t="n"/>
      <c r="E499" s="28" t="n"/>
      <c r="F499" s="28" t="n"/>
      <c r="G499" s="27" t="n"/>
      <c r="H499" s="29">
        <f>IF(G499="Invoice",IF(ISNUMBER(F499),F499,""),IF(ISNUMBER(E499),E499,""))</f>
        <v/>
      </c>
      <c r="I499" s="30" t="n"/>
      <c r="J499" s="29">
        <f>IF(AND(ISNUMBER(H499),ISNUMBER(I499)),EDATE(H499,I499),"")</f>
        <v/>
      </c>
      <c r="K499" s="30" t="n"/>
      <c r="L499" s="29">
        <f>IF(AND(ISNUMBER(H499),ISNUMBER(K499)),EDATE(H499,K499),"")</f>
        <v/>
      </c>
      <c r="M499" s="29">
        <f>IF(COUNT(J499,L499)=0,"",IF(MIN(J499,L499)&gt;=TODAY(),MIN(J499,L499),MAX(J499,L499)))</f>
        <v/>
      </c>
      <c r="N499" s="31">
        <f>IF(ISNUMBER(M499),M499-TODAY(),"")</f>
        <v/>
      </c>
      <c r="O499" s="30" t="n"/>
      <c r="P499" s="29">
        <f>IF(ISNUMBER(M499),M499-IF(ISNUMBER(O499),O499,60),"")</f>
        <v/>
      </c>
      <c r="Q499" s="27" t="n"/>
      <c r="R499" s="27" t="n"/>
      <c r="S499" s="27" t="n"/>
      <c r="T499" s="27" t="n"/>
      <c r="U499" s="27" t="n"/>
      <c r="V499" s="27" t="n"/>
      <c r="W499" s="27" t="n"/>
      <c r="X499" s="27" t="n"/>
      <c r="Y499" s="27" t="n"/>
    </row>
    <row r="500">
      <c r="A500" s="27" t="n"/>
      <c r="B500" s="27" t="n"/>
      <c r="C500" s="27" t="n"/>
      <c r="D500" s="27" t="n"/>
      <c r="E500" s="28" t="n"/>
      <c r="F500" s="28" t="n"/>
      <c r="G500" s="27" t="n"/>
      <c r="H500" s="29">
        <f>IF(G500="Invoice",IF(ISNUMBER(F500),F500,""),IF(ISNUMBER(E500),E500,""))</f>
        <v/>
      </c>
      <c r="I500" s="30" t="n"/>
      <c r="J500" s="29">
        <f>IF(AND(ISNUMBER(H500),ISNUMBER(I500)),EDATE(H500,I500),"")</f>
        <v/>
      </c>
      <c r="K500" s="30" t="n"/>
      <c r="L500" s="29">
        <f>IF(AND(ISNUMBER(H500),ISNUMBER(K500)),EDATE(H500,K500),"")</f>
        <v/>
      </c>
      <c r="M500" s="29">
        <f>IF(COUNT(J500,L500)=0,"",IF(MIN(J500,L500)&gt;=TODAY(),MIN(J500,L500),MAX(J500,L500)))</f>
        <v/>
      </c>
      <c r="N500" s="31">
        <f>IF(ISNUMBER(M500),M500-TODAY(),"")</f>
        <v/>
      </c>
      <c r="O500" s="30" t="n"/>
      <c r="P500" s="29">
        <f>IF(ISNUMBER(M500),M500-IF(ISNUMBER(O500),O500,60),"")</f>
        <v/>
      </c>
      <c r="Q500" s="27" t="n"/>
      <c r="R500" s="27" t="n"/>
      <c r="S500" s="27" t="n"/>
      <c r="T500" s="27" t="n"/>
      <c r="U500" s="27" t="n"/>
      <c r="V500" s="27" t="n"/>
      <c r="W500" s="27" t="n"/>
      <c r="X500" s="27" t="n"/>
      <c r="Y500" s="27" t="n"/>
    </row>
    <row r="501">
      <c r="A501" s="27" t="n"/>
      <c r="B501" s="27" t="n"/>
      <c r="C501" s="27" t="n"/>
      <c r="D501" s="27" t="n"/>
      <c r="E501" s="28" t="n"/>
      <c r="F501" s="28" t="n"/>
      <c r="G501" s="27" t="n"/>
      <c r="H501" s="29">
        <f>IF(G501="Invoice",IF(ISNUMBER(F501),F501,""),IF(ISNUMBER(E501),E501,""))</f>
        <v/>
      </c>
      <c r="I501" s="30" t="n"/>
      <c r="J501" s="29">
        <f>IF(AND(ISNUMBER(H501),ISNUMBER(I501)),EDATE(H501,I501),"")</f>
        <v/>
      </c>
      <c r="K501" s="30" t="n"/>
      <c r="L501" s="29">
        <f>IF(AND(ISNUMBER(H501),ISNUMBER(K501)),EDATE(H501,K501),"")</f>
        <v/>
      </c>
      <c r="M501" s="29">
        <f>IF(COUNT(J501,L501)=0,"",IF(MIN(J501,L501)&gt;=TODAY(),MIN(J501,L501),MAX(J501,L501)))</f>
        <v/>
      </c>
      <c r="N501" s="31">
        <f>IF(ISNUMBER(M501),M501-TODAY(),"")</f>
        <v/>
      </c>
      <c r="O501" s="30" t="n"/>
      <c r="P501" s="29">
        <f>IF(ISNUMBER(M501),M501-IF(ISNUMBER(O501),O501,60),"")</f>
        <v/>
      </c>
      <c r="Q501" s="27" t="n"/>
      <c r="R501" s="27" t="n"/>
      <c r="S501" s="27" t="n"/>
      <c r="T501" s="27" t="n"/>
      <c r="U501" s="27" t="n"/>
      <c r="V501" s="27" t="n"/>
      <c r="W501" s="27" t="n"/>
      <c r="X501" s="27" t="n"/>
      <c r="Y501" s="27" t="n"/>
    </row>
    <row r="502">
      <c r="A502" s="27" t="n"/>
      <c r="B502" s="27" t="n"/>
      <c r="C502" s="27" t="n"/>
      <c r="D502" s="27" t="n"/>
      <c r="E502" s="28" t="n"/>
      <c r="F502" s="28" t="n"/>
      <c r="G502" s="27" t="n"/>
      <c r="H502" s="29">
        <f>IF(G502="Invoice",IF(ISNUMBER(F502),F502,""),IF(ISNUMBER(E502),E502,""))</f>
        <v/>
      </c>
      <c r="I502" s="30" t="n"/>
      <c r="J502" s="29">
        <f>IF(AND(ISNUMBER(H502),ISNUMBER(I502)),EDATE(H502,I502),"")</f>
        <v/>
      </c>
      <c r="K502" s="30" t="n"/>
      <c r="L502" s="29">
        <f>IF(AND(ISNUMBER(H502),ISNUMBER(K502)),EDATE(H502,K502),"")</f>
        <v/>
      </c>
      <c r="M502" s="29">
        <f>IF(COUNT(J502,L502)=0,"",IF(MIN(J502,L502)&gt;=TODAY(),MIN(J502,L502),MAX(J502,L502)))</f>
        <v/>
      </c>
      <c r="N502" s="31">
        <f>IF(ISNUMBER(M502),M502-TODAY(),"")</f>
        <v/>
      </c>
      <c r="O502" s="30" t="n"/>
      <c r="P502" s="29">
        <f>IF(ISNUMBER(M502),M502-IF(ISNUMBER(O502),O502,60),"")</f>
        <v/>
      </c>
      <c r="Q502" s="27" t="n"/>
      <c r="R502" s="27" t="n"/>
      <c r="S502" s="27" t="n"/>
      <c r="T502" s="27" t="n"/>
      <c r="U502" s="27" t="n"/>
      <c r="V502" s="27" t="n"/>
      <c r="W502" s="27" t="n"/>
      <c r="X502" s="27" t="n"/>
      <c r="Y502" s="27" t="n"/>
    </row>
    <row r="503">
      <c r="A503" s="27" t="n"/>
      <c r="B503" s="27" t="n"/>
      <c r="C503" s="27" t="n"/>
      <c r="D503" s="27" t="n"/>
      <c r="E503" s="28" t="n"/>
      <c r="F503" s="28" t="n"/>
      <c r="G503" s="27" t="n"/>
      <c r="H503" s="29">
        <f>IF(G503="Invoice",IF(ISNUMBER(F503),F503,""),IF(ISNUMBER(E503),E503,""))</f>
        <v/>
      </c>
      <c r="I503" s="30" t="n"/>
      <c r="J503" s="29">
        <f>IF(AND(ISNUMBER(H503),ISNUMBER(I503)),EDATE(H503,I503),"")</f>
        <v/>
      </c>
      <c r="K503" s="30" t="n"/>
      <c r="L503" s="29">
        <f>IF(AND(ISNUMBER(H503),ISNUMBER(K503)),EDATE(H503,K503),"")</f>
        <v/>
      </c>
      <c r="M503" s="29">
        <f>IF(COUNT(J503,L503)=0,"",IF(MIN(J503,L503)&gt;=TODAY(),MIN(J503,L503),MAX(J503,L503)))</f>
        <v/>
      </c>
      <c r="N503" s="31">
        <f>IF(ISNUMBER(M503),M503-TODAY(),"")</f>
        <v/>
      </c>
      <c r="O503" s="30" t="n"/>
      <c r="P503" s="29">
        <f>IF(ISNUMBER(M503),M503-IF(ISNUMBER(O503),O503,60),"")</f>
        <v/>
      </c>
      <c r="Q503" s="27" t="n"/>
      <c r="R503" s="27" t="n"/>
      <c r="S503" s="27" t="n"/>
      <c r="T503" s="27" t="n"/>
      <c r="U503" s="27" t="n"/>
      <c r="V503" s="27" t="n"/>
      <c r="W503" s="27" t="n"/>
      <c r="X503" s="27" t="n"/>
      <c r="Y503" s="27" t="n"/>
    </row>
  </sheetData>
  <conditionalFormatting sqref="M4:M503 N4:N503">
    <cfRule type="expression" priority="1" dxfId="0" stopIfTrue="1">
      <formula>AND(ISNUMBER($N4),$N4&lt;0)</formula>
    </cfRule>
    <cfRule type="expression" priority="2" dxfId="1" stopIfTrue="1">
      <formula>AND(ISNUMBER($N4),$N4&lt;=30)</formula>
    </cfRule>
    <cfRule type="expression" priority="3" dxfId="2" stopIfTrue="1">
      <formula>AND(ISNUMBER($N4),$N4&lt;=90)</formula>
    </cfRule>
    <cfRule type="expression" priority="4" dxfId="3" stopIfTrue="1">
      <formula>ISNUMBER($N4)</formula>
    </cfRule>
  </conditionalFormatting>
  <conditionalFormatting sqref="A4:Y503">
    <cfRule type="expression" priority="5" dxfId="0" stopIfTrue="1">
      <formula>AND(ISNUMBER($N4),$N4&gt;=0,$N4&lt;=30,$Q4&lt;&gt;"Claim settled",$Q4&lt;&gt;"No claim needed",$Q4&lt;&gt;"Cover extended")</formula>
    </cfRule>
    <cfRule type="expression" priority="6" dxfId="4" stopIfTrue="1">
      <formula>AND(ISNUMBER($N4),$N4&gt;=0,$N4&lt;=IF(ISNUMBER($O4),$O4,60),$Q4&lt;&gt;"Claim settled",$Q4&lt;&gt;"No claim needed",$Q4&lt;&gt;"Cover extended")</formula>
    </cfRule>
    <cfRule type="expression" priority="7" dxfId="5" stopIfTrue="1">
      <formula>OR($Q4="Claim settled",$Q4="No claim needed",$Q4="Cover extended")</formula>
    </cfRule>
  </conditionalFormatting>
  <conditionalFormatting sqref="A4:A503 B4:B503 C4:C503 D4:D503 E4:E503 F4:F503 G4:G503 I4:I503 K4:K503 O4:O503 Q4:Q503 R4:R503 S4:S503 T4:T503 U4:U503 V4:V503 W4:W503 X4:X503 Y4:Y503">
    <cfRule type="expression" priority="8" dxfId="6">
      <formula>LEFT($A4,9)="Example –"</formula>
    </cfRule>
    <cfRule type="expression" priority="9" dxfId="7">
      <formula>MOD(ROW(),2)=0</formula>
    </cfRule>
  </conditionalFormatting>
  <dataValidations count="10">
    <dataValidation sqref="B4:B503" showDropDown="0" showInputMessage="0" showErrorMessage="1" allowBlank="1" errorTitle="Category" error="That is not on the list. Keep it anyway, or add it to the Lists sheet." type="list" errorStyle="warning">
      <formula1>=Lists!$A$2:$A$7</formula1>
    </dataValidation>
    <dataValidation sqref="E4:E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F4:F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G4:G503" showDropDown="0" showInputMessage="0" showErrorMessage="1" allowBlank="1" errorTitle="Start rule" error="Pick one of: Install, Invoice." type="list" errorStyle="stop">
      <formula1>"Install,Invoice"</formula1>
    </dataValidation>
    <dataValidation sqref="I4:I503" showDropDown="0" showInputMessage="0" showErrorMessage="1" allowBlank="1" errorTitle="Number expected" error="Type a number (no currency symbol)." type="decimal" errorStyle="warning" operator="greaterThanOrEqual">
      <formula1>0</formula1>
    </dataValidation>
    <dataValidation sqref="K4:K503" showDropDown="0" showInputMessage="0" showErrorMessage="1" allowBlank="1" errorTitle="Number expected" error="Type a number (no currency symbol)." type="decimal" errorStyle="warning" operator="greaterThanOrEqual">
      <formula1>0</formula1>
    </dataValidation>
    <dataValidation sqref="O4:O503" showDropDown="0" showInputMessage="0" showErrorMessage="1" allowBlank="1" errorTitle="Number expected" error="Type a number (no currency symbol)." type="decimal" errorStyle="warning" operator="greaterThanOrEqual">
      <formula1>0</formula1>
    </dataValidation>
    <dataValidation sqref="Q4:Q503" showDropDown="0" showInputMessage="0" showErrorMessage="1" allowBlank="1" errorTitle="Claim status" error="Pick one of: Check due, Claim open, Claim settled, No claim needed, Cover extended." type="list" errorStyle="stop">
      <formula1>"Check due,Claim open,Claim settled,No claim needed,Cover extended"</formula1>
    </dataValidation>
    <dataValidation sqref="U4:U503" showDropDown="0" showInputMessage="0" showErrorMessage="1" allowBlank="1" errorTitle="Registered?" error="Pick one of: Yes, No, Not needed." type="list" errorStyle="stop">
      <formula1>"Yes,No,Not needed"</formula1>
    </dataValidation>
    <dataValidation sqref="V4:V503" showDropDown="0" showInputMessage="0" showErrorMessage="1" allowBlank="1" errorTitle="Proof on file?" error="Pick one of: Yes, No." type="list" errorStyle="stop">
      <formula1>"Yes,No"</formula1>
    </dataValidation>
  </dataValidation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1:I59"/>
  <sheetViews>
    <sheetView showGridLines="0" tabSelected="0" workbookViewId="0">
      <selection activeCell="A1" sqref="A1"/>
    </sheetView>
  </sheetViews>
  <sheetFormatPr baseColWidth="8" defaultRowHeight="15"/>
  <cols>
    <col width="3" customWidth="1" min="1" max="1"/>
    <col width="5" customWidth="1" min="2" max="2"/>
    <col width="50" customWidth="1" min="3" max="3"/>
    <col width="13" customWidth="1" min="4" max="4"/>
    <col width="9" customWidth="1" min="5" max="5"/>
    <col width="12" customWidth="1" min="6" max="6"/>
    <col width="11" customWidth="1" min="7" max="7"/>
    <col width="12" customWidth="1" min="8" max="8"/>
    <col width="20" customWidth="1" min="9" max="9"/>
  </cols>
  <sheetData>
    <row r="1">
      <c r="B1" s="33" t="inlineStr">
        <is>
          <t>Dashboard</t>
        </is>
      </c>
    </row>
    <row r="2">
      <c r="B2" s="3" t="inlineStr">
        <is>
          <t>As of</t>
        </is>
      </c>
      <c r="C2" s="34">
        <f>TODAY()</f>
        <v/>
      </c>
    </row>
    <row r="4">
      <c r="B4" s="35" t="inlineStr">
        <is>
          <t>Dealer pipeline</t>
        </is>
      </c>
    </row>
    <row r="5">
      <c r="B5" s="36" t="n"/>
      <c r="C5" s="36" t="inlineStr">
        <is>
          <t>Status</t>
        </is>
      </c>
      <c r="D5" s="37" t="inlineStr">
        <is>
          <t>Machines</t>
        </is>
      </c>
    </row>
    <row r="6">
      <c r="B6" s="38" t="n"/>
      <c r="C6" s="39" t="inlineStr">
        <is>
          <t>Offer due</t>
        </is>
      </c>
      <c r="D6" s="40">
        <f>COUNTIF('Dealer pipeline'!$Q$4:$Q$503,"Offer due")</f>
        <v/>
      </c>
    </row>
    <row r="7">
      <c r="B7" s="38" t="n"/>
      <c r="C7" s="39" t="inlineStr">
        <is>
          <t>Offered</t>
        </is>
      </c>
      <c r="D7" s="40">
        <f>COUNTIF('Dealer pipeline'!$Q$4:$Q$503,"Offered")</f>
        <v/>
      </c>
    </row>
    <row r="8">
      <c r="B8" s="38" t="n"/>
      <c r="C8" s="41" t="inlineStr">
        <is>
          <t>Taken</t>
        </is>
      </c>
      <c r="D8" s="40">
        <f>COUNTIF('Dealer pipeline'!$Q$4:$Q$503,"Taken")</f>
        <v/>
      </c>
    </row>
    <row r="9">
      <c r="B9" s="38" t="n"/>
      <c r="C9" s="42" t="inlineStr">
        <is>
          <t>Declined</t>
        </is>
      </c>
      <c r="D9" s="40">
        <f>COUNTIF('Dealer pipeline'!$Q$4:$Q$503,"Declined")</f>
        <v/>
      </c>
    </row>
    <row r="10">
      <c r="B10" s="38" t="n"/>
      <c r="C10" s="39" t="inlineStr">
        <is>
          <t>No status yet</t>
        </is>
      </c>
      <c r="D10" s="40">
        <f>SUMPRODUCT((LEN('Dealer pipeline'!$A$4:$A$503)&gt;0)*(LEN('Dealer pipeline'!$Q$4:$Q$503)=0))</f>
        <v/>
      </c>
    </row>
    <row r="11">
      <c r="B11" s="38" t="n"/>
      <c r="C11" s="43" t="inlineStr">
        <is>
          <t>Touch due, not sent yet (amber rows)</t>
        </is>
      </c>
      <c r="D11" s="40">
        <f>SUMPRODUCT((LEN('Dealer pipeline'!$O$4:$O$503)&gt;0)*('Dealer pipeline'!$O$4:$O$503&amp;""&lt;&gt;'Dealer pipeline'!$P$4:$P$503&amp;""))</f>
        <v/>
      </c>
    </row>
    <row r="12">
      <c r="B12" s="38" t="n"/>
      <c r="C12" s="44" t="inlineStr">
        <is>
          <t>Under 30 days, no decision (red rows)</t>
        </is>
      </c>
      <c r="D12" s="40">
        <f>SUMPRODUCT(ISNUMBER('Dealer pipeline'!$N$4:$N$503)*('Dealer pipeline'!$N$4:$N$503&gt;=0)*('Dealer pipeline'!$N$4:$N$503&lt;=30)*('Dealer pipeline'!$Q$4:$Q$503&lt;&gt;"Taken")*('Dealer pipeline'!$Q$4:$Q$503&lt;&gt;"Declined"))</f>
        <v/>
      </c>
    </row>
    <row r="13">
      <c r="B13" s="38" t="n"/>
      <c r="C13" s="39" t="inlineStr">
        <is>
          <t>Lapsed, no decision recorded</t>
        </is>
      </c>
      <c r="D13" s="40">
        <f>COUNTIF('Dealer pipeline'!$O$4:$O$503,"Lapsed")</f>
        <v/>
      </c>
    </row>
    <row r="14">
      <c r="B14" s="38" t="n"/>
      <c r="C14" s="39" t="inlineStr">
        <is>
          <t>Taken as a share of decisions</t>
        </is>
      </c>
      <c r="D14" s="45">
        <f>IFERROR(COUNTIF('Dealer pipeline'!$Q$4:$Q$503,"Taken")/(COUNTIF('Dealer pipeline'!$Q$4:$Q$503,"Taken")+COUNTIF('Dealer pipeline'!$Q$4:$Q$503,"Declined")),"")</f>
        <v/>
      </c>
    </row>
    <row r="15">
      <c r="B15" s="38" t="n"/>
      <c r="C15" s="39" t="inlineStr">
        <is>
          <t>Total machines</t>
        </is>
      </c>
      <c r="D15" s="40">
        <f>COUNTIF('Dealer pipeline'!$A$4:$A$503,"?*")</f>
        <v/>
      </c>
    </row>
    <row r="16">
      <c r="C16" s="3" t="inlineStr">
        <is>
          <t>Once a month, compare Taken with Declined and read the decline reasons in Notes.</t>
        </is>
      </c>
    </row>
    <row r="18">
      <c r="B18" s="35" t="inlineStr">
        <is>
          <t>Next 10 touches (open offers, soonest end date first)</t>
        </is>
      </c>
    </row>
    <row r="19" ht="28" customHeight="1">
      <c r="B19" s="46" t="inlineStr">
        <is>
          <t>#</t>
        </is>
      </c>
      <c r="C19" s="46" t="inlineStr">
        <is>
          <t>Item</t>
        </is>
      </c>
      <c r="D19" s="46" t="inlineStr">
        <is>
          <t>Next end</t>
        </is>
      </c>
      <c r="E19" s="46" t="inlineStr">
        <is>
          <t>Days left</t>
        </is>
      </c>
      <c r="F19" s="46" t="inlineStr">
        <is>
          <t>Touch due</t>
        </is>
      </c>
      <c r="G19" s="46" t="inlineStr">
        <is>
          <t>Last sent</t>
        </is>
      </c>
      <c r="H19" s="46" t="inlineStr">
        <is>
          <t>Status</t>
        </is>
      </c>
      <c r="I19" s="46" t="inlineStr">
        <is>
          <t>Owner</t>
        </is>
      </c>
    </row>
    <row r="20">
      <c r="B20" s="47" t="n">
        <v>1</v>
      </c>
      <c r="C20" s="48">
        <f>IF(_calc!$H$4="","",INDEX('Dealer pipeline'!$A$4:$A$503,_calc!$H$4)&amp;" – "&amp;INDEX('Dealer pipeline'!$C$4:$C$503,_calc!$H$4)&amp;" – "&amp;INDEX('Dealer pipeline'!$D$4:$D$503,_calc!$H$4))</f>
        <v/>
      </c>
      <c r="D20" s="49">
        <f>IF(_calc!$H$4="","",IF(LEN(INDEX('Dealer pipeline'!$M$4:$M$503,_calc!$H$4))=0,"",INDEX('Dealer pipeline'!$M$4:$M$503,_calc!$H$4)))</f>
        <v/>
      </c>
      <c r="E20" s="50">
        <f>IF(_calc!$H$4="","",IF(LEN(INDEX('Dealer pipeline'!$N$4:$N$503,_calc!$H$4))=0,"",INDEX('Dealer pipeline'!$N$4:$N$503,_calc!$H$4)))</f>
        <v/>
      </c>
      <c r="F20" s="51">
        <f>IF(_calc!$H$4="","",IF(LEN(INDEX('Dealer pipeline'!$O$4:$O$503,_calc!$H$4))=0,"",INDEX('Dealer pipeline'!$O$4:$O$503,_calc!$H$4)))</f>
        <v/>
      </c>
      <c r="G20" s="51">
        <f>IF(_calc!$H$4="","",IF(LEN(INDEX('Dealer pipeline'!$P$4:$P$503,_calc!$H$4))=0,"",INDEX('Dealer pipeline'!$P$4:$P$503,_calc!$H$4)))</f>
        <v/>
      </c>
      <c r="H20" s="51">
        <f>IF(_calc!$H$4="","",IF(LEN(INDEX('Dealer pipeline'!$Q$4:$Q$503,_calc!$H$4))=0,"",INDEX('Dealer pipeline'!$Q$4:$Q$503,_calc!$H$4)))</f>
        <v/>
      </c>
      <c r="I20" s="51">
        <f>IF(_calc!$H$4="","",IF(LEN(INDEX('Dealer pipeline'!$R$4:$R$503,_calc!$H$4))=0,"",INDEX('Dealer pipeline'!$R$4:$R$503,_calc!$H$4)))</f>
        <v/>
      </c>
    </row>
    <row r="21">
      <c r="B21" s="47" t="n">
        <v>2</v>
      </c>
      <c r="C21" s="48">
        <f>IF(_calc!$H$5="","",INDEX('Dealer pipeline'!$A$4:$A$503,_calc!$H$5)&amp;" – "&amp;INDEX('Dealer pipeline'!$C$4:$C$503,_calc!$H$5)&amp;" – "&amp;INDEX('Dealer pipeline'!$D$4:$D$503,_calc!$H$5))</f>
        <v/>
      </c>
      <c r="D21" s="49">
        <f>IF(_calc!$H$5="","",IF(LEN(INDEX('Dealer pipeline'!$M$4:$M$503,_calc!$H$5))=0,"",INDEX('Dealer pipeline'!$M$4:$M$503,_calc!$H$5)))</f>
        <v/>
      </c>
      <c r="E21" s="50">
        <f>IF(_calc!$H$5="","",IF(LEN(INDEX('Dealer pipeline'!$N$4:$N$503,_calc!$H$5))=0,"",INDEX('Dealer pipeline'!$N$4:$N$503,_calc!$H$5)))</f>
        <v/>
      </c>
      <c r="F21" s="51">
        <f>IF(_calc!$H$5="","",IF(LEN(INDEX('Dealer pipeline'!$O$4:$O$503,_calc!$H$5))=0,"",INDEX('Dealer pipeline'!$O$4:$O$503,_calc!$H$5)))</f>
        <v/>
      </c>
      <c r="G21" s="51">
        <f>IF(_calc!$H$5="","",IF(LEN(INDEX('Dealer pipeline'!$P$4:$P$503,_calc!$H$5))=0,"",INDEX('Dealer pipeline'!$P$4:$P$503,_calc!$H$5)))</f>
        <v/>
      </c>
      <c r="H21" s="51">
        <f>IF(_calc!$H$5="","",IF(LEN(INDEX('Dealer pipeline'!$Q$4:$Q$503,_calc!$H$5))=0,"",INDEX('Dealer pipeline'!$Q$4:$Q$503,_calc!$H$5)))</f>
        <v/>
      </c>
      <c r="I21" s="51">
        <f>IF(_calc!$H$5="","",IF(LEN(INDEX('Dealer pipeline'!$R$4:$R$503,_calc!$H$5))=0,"",INDEX('Dealer pipeline'!$R$4:$R$503,_calc!$H$5)))</f>
        <v/>
      </c>
    </row>
    <row r="22">
      <c r="B22" s="47" t="n">
        <v>3</v>
      </c>
      <c r="C22" s="48">
        <f>IF(_calc!$H$6="","",INDEX('Dealer pipeline'!$A$4:$A$503,_calc!$H$6)&amp;" – "&amp;INDEX('Dealer pipeline'!$C$4:$C$503,_calc!$H$6)&amp;" – "&amp;INDEX('Dealer pipeline'!$D$4:$D$503,_calc!$H$6))</f>
        <v/>
      </c>
      <c r="D22" s="49">
        <f>IF(_calc!$H$6="","",IF(LEN(INDEX('Dealer pipeline'!$M$4:$M$503,_calc!$H$6))=0,"",INDEX('Dealer pipeline'!$M$4:$M$503,_calc!$H$6)))</f>
        <v/>
      </c>
      <c r="E22" s="50">
        <f>IF(_calc!$H$6="","",IF(LEN(INDEX('Dealer pipeline'!$N$4:$N$503,_calc!$H$6))=0,"",INDEX('Dealer pipeline'!$N$4:$N$503,_calc!$H$6)))</f>
        <v/>
      </c>
      <c r="F22" s="51">
        <f>IF(_calc!$H$6="","",IF(LEN(INDEX('Dealer pipeline'!$O$4:$O$503,_calc!$H$6))=0,"",INDEX('Dealer pipeline'!$O$4:$O$503,_calc!$H$6)))</f>
        <v/>
      </c>
      <c r="G22" s="51">
        <f>IF(_calc!$H$6="","",IF(LEN(INDEX('Dealer pipeline'!$P$4:$P$503,_calc!$H$6))=0,"",INDEX('Dealer pipeline'!$P$4:$P$503,_calc!$H$6)))</f>
        <v/>
      </c>
      <c r="H22" s="51">
        <f>IF(_calc!$H$6="","",IF(LEN(INDEX('Dealer pipeline'!$Q$4:$Q$503,_calc!$H$6))=0,"",INDEX('Dealer pipeline'!$Q$4:$Q$503,_calc!$H$6)))</f>
        <v/>
      </c>
      <c r="I22" s="51">
        <f>IF(_calc!$H$6="","",IF(LEN(INDEX('Dealer pipeline'!$R$4:$R$503,_calc!$H$6))=0,"",INDEX('Dealer pipeline'!$R$4:$R$503,_calc!$H$6)))</f>
        <v/>
      </c>
    </row>
    <row r="23">
      <c r="B23" s="47" t="n">
        <v>4</v>
      </c>
      <c r="C23" s="48">
        <f>IF(_calc!$H$7="","",INDEX('Dealer pipeline'!$A$4:$A$503,_calc!$H$7)&amp;" – "&amp;INDEX('Dealer pipeline'!$C$4:$C$503,_calc!$H$7)&amp;" – "&amp;INDEX('Dealer pipeline'!$D$4:$D$503,_calc!$H$7))</f>
        <v/>
      </c>
      <c r="D23" s="49">
        <f>IF(_calc!$H$7="","",IF(LEN(INDEX('Dealer pipeline'!$M$4:$M$503,_calc!$H$7))=0,"",INDEX('Dealer pipeline'!$M$4:$M$503,_calc!$H$7)))</f>
        <v/>
      </c>
      <c r="E23" s="50">
        <f>IF(_calc!$H$7="","",IF(LEN(INDEX('Dealer pipeline'!$N$4:$N$503,_calc!$H$7))=0,"",INDEX('Dealer pipeline'!$N$4:$N$503,_calc!$H$7)))</f>
        <v/>
      </c>
      <c r="F23" s="51">
        <f>IF(_calc!$H$7="","",IF(LEN(INDEX('Dealer pipeline'!$O$4:$O$503,_calc!$H$7))=0,"",INDEX('Dealer pipeline'!$O$4:$O$503,_calc!$H$7)))</f>
        <v/>
      </c>
      <c r="G23" s="51">
        <f>IF(_calc!$H$7="","",IF(LEN(INDEX('Dealer pipeline'!$P$4:$P$503,_calc!$H$7))=0,"",INDEX('Dealer pipeline'!$P$4:$P$503,_calc!$H$7)))</f>
        <v/>
      </c>
      <c r="H23" s="51">
        <f>IF(_calc!$H$7="","",IF(LEN(INDEX('Dealer pipeline'!$Q$4:$Q$503,_calc!$H$7))=0,"",INDEX('Dealer pipeline'!$Q$4:$Q$503,_calc!$H$7)))</f>
        <v/>
      </c>
      <c r="I23" s="51">
        <f>IF(_calc!$H$7="","",IF(LEN(INDEX('Dealer pipeline'!$R$4:$R$503,_calc!$H$7))=0,"",INDEX('Dealer pipeline'!$R$4:$R$503,_calc!$H$7)))</f>
        <v/>
      </c>
    </row>
    <row r="24">
      <c r="B24" s="47" t="n">
        <v>5</v>
      </c>
      <c r="C24" s="48">
        <f>IF(_calc!$H$8="","",INDEX('Dealer pipeline'!$A$4:$A$503,_calc!$H$8)&amp;" – "&amp;INDEX('Dealer pipeline'!$C$4:$C$503,_calc!$H$8)&amp;" – "&amp;INDEX('Dealer pipeline'!$D$4:$D$503,_calc!$H$8))</f>
        <v/>
      </c>
      <c r="D24" s="49">
        <f>IF(_calc!$H$8="","",IF(LEN(INDEX('Dealer pipeline'!$M$4:$M$503,_calc!$H$8))=0,"",INDEX('Dealer pipeline'!$M$4:$M$503,_calc!$H$8)))</f>
        <v/>
      </c>
      <c r="E24" s="50">
        <f>IF(_calc!$H$8="","",IF(LEN(INDEX('Dealer pipeline'!$N$4:$N$503,_calc!$H$8))=0,"",INDEX('Dealer pipeline'!$N$4:$N$503,_calc!$H$8)))</f>
        <v/>
      </c>
      <c r="F24" s="51">
        <f>IF(_calc!$H$8="","",IF(LEN(INDEX('Dealer pipeline'!$O$4:$O$503,_calc!$H$8))=0,"",INDEX('Dealer pipeline'!$O$4:$O$503,_calc!$H$8)))</f>
        <v/>
      </c>
      <c r="G24" s="51">
        <f>IF(_calc!$H$8="","",IF(LEN(INDEX('Dealer pipeline'!$P$4:$P$503,_calc!$H$8))=0,"",INDEX('Dealer pipeline'!$P$4:$P$503,_calc!$H$8)))</f>
        <v/>
      </c>
      <c r="H24" s="51">
        <f>IF(_calc!$H$8="","",IF(LEN(INDEX('Dealer pipeline'!$Q$4:$Q$503,_calc!$H$8))=0,"",INDEX('Dealer pipeline'!$Q$4:$Q$503,_calc!$H$8)))</f>
        <v/>
      </c>
      <c r="I24" s="51">
        <f>IF(_calc!$H$8="","",IF(LEN(INDEX('Dealer pipeline'!$R$4:$R$503,_calc!$H$8))=0,"",INDEX('Dealer pipeline'!$R$4:$R$503,_calc!$H$8)))</f>
        <v/>
      </c>
    </row>
    <row r="25">
      <c r="B25" s="47" t="n">
        <v>6</v>
      </c>
      <c r="C25" s="48">
        <f>IF(_calc!$H$9="","",INDEX('Dealer pipeline'!$A$4:$A$503,_calc!$H$9)&amp;" – "&amp;INDEX('Dealer pipeline'!$C$4:$C$503,_calc!$H$9)&amp;" – "&amp;INDEX('Dealer pipeline'!$D$4:$D$503,_calc!$H$9))</f>
        <v/>
      </c>
      <c r="D25" s="49">
        <f>IF(_calc!$H$9="","",IF(LEN(INDEX('Dealer pipeline'!$M$4:$M$503,_calc!$H$9))=0,"",INDEX('Dealer pipeline'!$M$4:$M$503,_calc!$H$9)))</f>
        <v/>
      </c>
      <c r="E25" s="50">
        <f>IF(_calc!$H$9="","",IF(LEN(INDEX('Dealer pipeline'!$N$4:$N$503,_calc!$H$9))=0,"",INDEX('Dealer pipeline'!$N$4:$N$503,_calc!$H$9)))</f>
        <v/>
      </c>
      <c r="F25" s="51">
        <f>IF(_calc!$H$9="","",IF(LEN(INDEX('Dealer pipeline'!$O$4:$O$503,_calc!$H$9))=0,"",INDEX('Dealer pipeline'!$O$4:$O$503,_calc!$H$9)))</f>
        <v/>
      </c>
      <c r="G25" s="51">
        <f>IF(_calc!$H$9="","",IF(LEN(INDEX('Dealer pipeline'!$P$4:$P$503,_calc!$H$9))=0,"",INDEX('Dealer pipeline'!$P$4:$P$503,_calc!$H$9)))</f>
        <v/>
      </c>
      <c r="H25" s="51">
        <f>IF(_calc!$H$9="","",IF(LEN(INDEX('Dealer pipeline'!$Q$4:$Q$503,_calc!$H$9))=0,"",INDEX('Dealer pipeline'!$Q$4:$Q$503,_calc!$H$9)))</f>
        <v/>
      </c>
      <c r="I25" s="51">
        <f>IF(_calc!$H$9="","",IF(LEN(INDEX('Dealer pipeline'!$R$4:$R$503,_calc!$H$9))=0,"",INDEX('Dealer pipeline'!$R$4:$R$503,_calc!$H$9)))</f>
        <v/>
      </c>
    </row>
    <row r="26">
      <c r="B26" s="47" t="n">
        <v>7</v>
      </c>
      <c r="C26" s="48">
        <f>IF(_calc!$H$10="","",INDEX('Dealer pipeline'!$A$4:$A$503,_calc!$H$10)&amp;" – "&amp;INDEX('Dealer pipeline'!$C$4:$C$503,_calc!$H$10)&amp;" – "&amp;INDEX('Dealer pipeline'!$D$4:$D$503,_calc!$H$10))</f>
        <v/>
      </c>
      <c r="D26" s="49">
        <f>IF(_calc!$H$10="","",IF(LEN(INDEX('Dealer pipeline'!$M$4:$M$503,_calc!$H$10))=0,"",INDEX('Dealer pipeline'!$M$4:$M$503,_calc!$H$10)))</f>
        <v/>
      </c>
      <c r="E26" s="50">
        <f>IF(_calc!$H$10="","",IF(LEN(INDEX('Dealer pipeline'!$N$4:$N$503,_calc!$H$10))=0,"",INDEX('Dealer pipeline'!$N$4:$N$503,_calc!$H$10)))</f>
        <v/>
      </c>
      <c r="F26" s="51">
        <f>IF(_calc!$H$10="","",IF(LEN(INDEX('Dealer pipeline'!$O$4:$O$503,_calc!$H$10))=0,"",INDEX('Dealer pipeline'!$O$4:$O$503,_calc!$H$10)))</f>
        <v/>
      </c>
      <c r="G26" s="51">
        <f>IF(_calc!$H$10="","",IF(LEN(INDEX('Dealer pipeline'!$P$4:$P$503,_calc!$H$10))=0,"",INDEX('Dealer pipeline'!$P$4:$P$503,_calc!$H$10)))</f>
        <v/>
      </c>
      <c r="H26" s="51">
        <f>IF(_calc!$H$10="","",IF(LEN(INDEX('Dealer pipeline'!$Q$4:$Q$503,_calc!$H$10))=0,"",INDEX('Dealer pipeline'!$Q$4:$Q$503,_calc!$H$10)))</f>
        <v/>
      </c>
      <c r="I26" s="51">
        <f>IF(_calc!$H$10="","",IF(LEN(INDEX('Dealer pipeline'!$R$4:$R$503,_calc!$H$10))=0,"",INDEX('Dealer pipeline'!$R$4:$R$503,_calc!$H$10)))</f>
        <v/>
      </c>
    </row>
    <row r="27">
      <c r="B27" s="47" t="n">
        <v>8</v>
      </c>
      <c r="C27" s="48">
        <f>IF(_calc!$H$11="","",INDEX('Dealer pipeline'!$A$4:$A$503,_calc!$H$11)&amp;" – "&amp;INDEX('Dealer pipeline'!$C$4:$C$503,_calc!$H$11)&amp;" – "&amp;INDEX('Dealer pipeline'!$D$4:$D$503,_calc!$H$11))</f>
        <v/>
      </c>
      <c r="D27" s="49">
        <f>IF(_calc!$H$11="","",IF(LEN(INDEX('Dealer pipeline'!$M$4:$M$503,_calc!$H$11))=0,"",INDEX('Dealer pipeline'!$M$4:$M$503,_calc!$H$11)))</f>
        <v/>
      </c>
      <c r="E27" s="50">
        <f>IF(_calc!$H$11="","",IF(LEN(INDEX('Dealer pipeline'!$N$4:$N$503,_calc!$H$11))=0,"",INDEX('Dealer pipeline'!$N$4:$N$503,_calc!$H$11)))</f>
        <v/>
      </c>
      <c r="F27" s="51">
        <f>IF(_calc!$H$11="","",IF(LEN(INDEX('Dealer pipeline'!$O$4:$O$503,_calc!$H$11))=0,"",INDEX('Dealer pipeline'!$O$4:$O$503,_calc!$H$11)))</f>
        <v/>
      </c>
      <c r="G27" s="51">
        <f>IF(_calc!$H$11="","",IF(LEN(INDEX('Dealer pipeline'!$P$4:$P$503,_calc!$H$11))=0,"",INDEX('Dealer pipeline'!$P$4:$P$503,_calc!$H$11)))</f>
        <v/>
      </c>
      <c r="H27" s="51">
        <f>IF(_calc!$H$11="","",IF(LEN(INDEX('Dealer pipeline'!$Q$4:$Q$503,_calc!$H$11))=0,"",INDEX('Dealer pipeline'!$Q$4:$Q$503,_calc!$H$11)))</f>
        <v/>
      </c>
      <c r="I27" s="51">
        <f>IF(_calc!$H$11="","",IF(LEN(INDEX('Dealer pipeline'!$R$4:$R$503,_calc!$H$11))=0,"",INDEX('Dealer pipeline'!$R$4:$R$503,_calc!$H$11)))</f>
        <v/>
      </c>
    </row>
    <row r="28">
      <c r="B28" s="47" t="n">
        <v>9</v>
      </c>
      <c r="C28" s="48">
        <f>IF(_calc!$H$12="","",INDEX('Dealer pipeline'!$A$4:$A$503,_calc!$H$12)&amp;" – "&amp;INDEX('Dealer pipeline'!$C$4:$C$503,_calc!$H$12)&amp;" – "&amp;INDEX('Dealer pipeline'!$D$4:$D$503,_calc!$H$12))</f>
        <v/>
      </c>
      <c r="D28" s="49">
        <f>IF(_calc!$H$12="","",IF(LEN(INDEX('Dealer pipeline'!$M$4:$M$503,_calc!$H$12))=0,"",INDEX('Dealer pipeline'!$M$4:$M$503,_calc!$H$12)))</f>
        <v/>
      </c>
      <c r="E28" s="50">
        <f>IF(_calc!$H$12="","",IF(LEN(INDEX('Dealer pipeline'!$N$4:$N$503,_calc!$H$12))=0,"",INDEX('Dealer pipeline'!$N$4:$N$503,_calc!$H$12)))</f>
        <v/>
      </c>
      <c r="F28" s="51">
        <f>IF(_calc!$H$12="","",IF(LEN(INDEX('Dealer pipeline'!$O$4:$O$503,_calc!$H$12))=0,"",INDEX('Dealer pipeline'!$O$4:$O$503,_calc!$H$12)))</f>
        <v/>
      </c>
      <c r="G28" s="51">
        <f>IF(_calc!$H$12="","",IF(LEN(INDEX('Dealer pipeline'!$P$4:$P$503,_calc!$H$12))=0,"",INDEX('Dealer pipeline'!$P$4:$P$503,_calc!$H$12)))</f>
        <v/>
      </c>
      <c r="H28" s="51">
        <f>IF(_calc!$H$12="","",IF(LEN(INDEX('Dealer pipeline'!$Q$4:$Q$503,_calc!$H$12))=0,"",INDEX('Dealer pipeline'!$Q$4:$Q$503,_calc!$H$12)))</f>
        <v/>
      </c>
      <c r="I28" s="51">
        <f>IF(_calc!$H$12="","",IF(LEN(INDEX('Dealer pipeline'!$R$4:$R$503,_calc!$H$12))=0,"",INDEX('Dealer pipeline'!$R$4:$R$503,_calc!$H$12)))</f>
        <v/>
      </c>
    </row>
    <row r="29">
      <c r="B29" s="47" t="n">
        <v>10</v>
      </c>
      <c r="C29" s="48">
        <f>IF(_calc!$H$13="","",INDEX('Dealer pipeline'!$A$4:$A$503,_calc!$H$13)&amp;" – "&amp;INDEX('Dealer pipeline'!$C$4:$C$503,_calc!$H$13)&amp;" – "&amp;INDEX('Dealer pipeline'!$D$4:$D$503,_calc!$H$13))</f>
        <v/>
      </c>
      <c r="D29" s="49">
        <f>IF(_calc!$H$13="","",IF(LEN(INDEX('Dealer pipeline'!$M$4:$M$503,_calc!$H$13))=0,"",INDEX('Dealer pipeline'!$M$4:$M$503,_calc!$H$13)))</f>
        <v/>
      </c>
      <c r="E29" s="50">
        <f>IF(_calc!$H$13="","",IF(LEN(INDEX('Dealer pipeline'!$N$4:$N$503,_calc!$H$13))=0,"",INDEX('Dealer pipeline'!$N$4:$N$503,_calc!$H$13)))</f>
        <v/>
      </c>
      <c r="F29" s="51">
        <f>IF(_calc!$H$13="","",IF(LEN(INDEX('Dealer pipeline'!$O$4:$O$503,_calc!$H$13))=0,"",INDEX('Dealer pipeline'!$O$4:$O$503,_calc!$H$13)))</f>
        <v/>
      </c>
      <c r="G29" s="51">
        <f>IF(_calc!$H$13="","",IF(LEN(INDEX('Dealer pipeline'!$P$4:$P$503,_calc!$H$13))=0,"",INDEX('Dealer pipeline'!$P$4:$P$503,_calc!$H$13)))</f>
        <v/>
      </c>
      <c r="H29" s="51">
        <f>IF(_calc!$H$13="","",IF(LEN(INDEX('Dealer pipeline'!$Q$4:$Q$503,_calc!$H$13))=0,"",INDEX('Dealer pipeline'!$Q$4:$Q$503,_calc!$H$13)))</f>
        <v/>
      </c>
      <c r="I29" s="51">
        <f>IF(_calc!$H$13="","",IF(LEN(INDEX('Dealer pipeline'!$R$4:$R$503,_calc!$H$13))=0,"",INDEX('Dealer pipeline'!$R$4:$R$503,_calc!$H$13)))</f>
        <v/>
      </c>
    </row>
    <row r="30">
      <c r="C30" s="3" t="inlineStr">
        <is>
          <t>Leaves out Taken and Declined rows. Lapsed rows stay on the list until you record the decision.</t>
        </is>
      </c>
    </row>
    <row r="32">
      <c r="B32" s="35" t="inlineStr">
        <is>
          <t>My equipment</t>
        </is>
      </c>
    </row>
    <row r="33">
      <c r="B33" s="36" t="n"/>
      <c r="C33" s="36" t="inlineStr">
        <is>
          <t>Claim status</t>
        </is>
      </c>
      <c r="D33" s="37" t="inlineStr">
        <is>
          <t>Assets</t>
        </is>
      </c>
    </row>
    <row r="34">
      <c r="B34" s="38" t="n"/>
      <c r="C34" s="39" t="inlineStr">
        <is>
          <t>Check due</t>
        </is>
      </c>
      <c r="D34" s="40">
        <f>COUNTIF('My equipment'!$Q$4:$Q$503,"Check due")</f>
        <v/>
      </c>
    </row>
    <row r="35">
      <c r="B35" s="38" t="n"/>
      <c r="C35" s="39" t="inlineStr">
        <is>
          <t>Claim open</t>
        </is>
      </c>
      <c r="D35" s="40">
        <f>COUNTIF('My equipment'!$Q$4:$Q$503,"Claim open")</f>
        <v/>
      </c>
    </row>
    <row r="36">
      <c r="B36" s="38" t="n"/>
      <c r="C36" s="42" t="inlineStr">
        <is>
          <t>Claim settled</t>
        </is>
      </c>
      <c r="D36" s="40">
        <f>COUNTIF('My equipment'!$Q$4:$Q$503,"Claim settled")</f>
        <v/>
      </c>
    </row>
    <row r="37">
      <c r="B37" s="38" t="n"/>
      <c r="C37" s="42" t="inlineStr">
        <is>
          <t>No claim needed</t>
        </is>
      </c>
      <c r="D37" s="40">
        <f>COUNTIF('My equipment'!$Q$4:$Q$503,"No claim needed")</f>
        <v/>
      </c>
    </row>
    <row r="38">
      <c r="B38" s="38" t="n"/>
      <c r="C38" s="42" t="inlineStr">
        <is>
          <t>Cover extended</t>
        </is>
      </c>
      <c r="D38" s="40">
        <f>COUNTIF('My equipment'!$Q$4:$Q$503,"Cover extended")</f>
        <v/>
      </c>
    </row>
    <row r="39">
      <c r="B39" s="38" t="n"/>
      <c r="C39" s="39" t="inlineStr">
        <is>
          <t>No status yet</t>
        </is>
      </c>
      <c r="D39" s="40">
        <f>SUMPRODUCT((LEN('My equipment'!$A$4:$A$503)&gt;0)*(LEN('My equipment'!$Q$4:$Q$503)=0))</f>
        <v/>
      </c>
    </row>
    <row r="40">
      <c r="B40" s="38" t="n"/>
      <c r="C40" s="43" t="inlineStr">
        <is>
          <t>Inside the check window, still open</t>
        </is>
      </c>
      <c r="D40" s="40">
        <f>SUMPRODUCT(ISNUMBER('My equipment'!$N$4:$N$503)*('My equipment'!$N$4:$N$503&gt;=0)*('My equipment'!$N$4:$N$503&lt;=IF(ISNUMBER('My equipment'!$O$4:$O$503),'My equipment'!$O$4:$O$503,60))*('My equipment'!$Q$4:$Q$503&lt;&gt;"Claim settled")*('My equipment'!$Q$4:$Q$503&lt;&gt;"No claim needed")*('My equipment'!$Q$4:$Q$503&lt;&gt;"Cover extended"))</f>
        <v/>
      </c>
    </row>
    <row r="41">
      <c r="B41" s="38" t="n"/>
      <c r="C41" s="44" t="inlineStr">
        <is>
          <t>Cover ended, still open</t>
        </is>
      </c>
      <c r="D41" s="40">
        <f>SUMPRODUCT(ISNUMBER('My equipment'!$N$4:$N$503)*('My equipment'!$N$4:$N$503&lt;0)*('My equipment'!$Q$4:$Q$503&lt;&gt;"Claim settled")*('My equipment'!$Q$4:$Q$503&lt;&gt;"No claim needed")*('My equipment'!$Q$4:$Q$503&lt;&gt;"Cover extended"))</f>
        <v/>
      </c>
    </row>
    <row r="42">
      <c r="B42" s="38" t="n"/>
      <c r="C42" s="39" t="inlineStr">
        <is>
          <t>Total assets</t>
        </is>
      </c>
      <c r="D42" s="40">
        <f>COUNTIF('My equipment'!$A$4:$A$503,"?*")</f>
        <v/>
      </c>
    </row>
    <row r="43">
      <c r="C43" s="3" t="inlineStr">
        <is>
          <t>Report faults while the equipment is still covered: after the end date the repair is usually yours to pay.</t>
        </is>
      </c>
    </row>
    <row r="45">
      <c r="B45" s="35" t="inlineStr">
        <is>
          <t>Next 10 to check (open rows, soonest end date first)</t>
        </is>
      </c>
    </row>
    <row r="46" ht="28" customHeight="1">
      <c r="B46" s="46" t="inlineStr">
        <is>
          <t>#</t>
        </is>
      </c>
      <c r="C46" s="46" t="inlineStr">
        <is>
          <t>Item</t>
        </is>
      </c>
      <c r="D46" s="46" t="inlineStr">
        <is>
          <t>Next end</t>
        </is>
      </c>
      <c r="E46" s="46" t="inlineStr">
        <is>
          <t>Days left</t>
        </is>
      </c>
      <c r="F46" s="46" t="inlineStr">
        <is>
          <t>Check by</t>
        </is>
      </c>
      <c r="G46" s="46" t="inlineStr">
        <is>
          <t>Status</t>
        </is>
      </c>
      <c r="H46" s="46" t="inlineStr">
        <is>
          <t>Claims email</t>
        </is>
      </c>
    </row>
    <row r="47">
      <c r="B47" s="47" t="n">
        <v>1</v>
      </c>
      <c r="C47" s="48">
        <f>IF(_calc!$J$4="","",INDEX('My equipment'!$A$4:$A$503,_calc!$J$4)&amp;" – "&amp;INDEX('My equipment'!$D$4:$D$503,_calc!$J$4))</f>
        <v/>
      </c>
      <c r="D47" s="49">
        <f>IF(_calc!$J$4="","",IF(LEN(INDEX('My equipment'!$M$4:$M$503,_calc!$J$4))=0,"",INDEX('My equipment'!$M$4:$M$503,_calc!$J$4)))</f>
        <v/>
      </c>
      <c r="E47" s="50">
        <f>IF(_calc!$J$4="","",IF(LEN(INDEX('My equipment'!$N$4:$N$503,_calc!$J$4))=0,"",INDEX('My equipment'!$N$4:$N$503,_calc!$J$4)))</f>
        <v/>
      </c>
      <c r="F47" s="49">
        <f>IF(_calc!$J$4="","",IF(LEN(INDEX('My equipment'!$P$4:$P$503,_calc!$J$4))=0,"",INDEX('My equipment'!$P$4:$P$503,_calc!$J$4)))</f>
        <v/>
      </c>
      <c r="G47" s="51">
        <f>IF(_calc!$J$4="","",IF(LEN(INDEX('My equipment'!$Q$4:$Q$503,_calc!$J$4))=0,"",INDEX('My equipment'!$Q$4:$Q$503,_calc!$J$4)))</f>
        <v/>
      </c>
      <c r="H47" s="51">
        <f>IF(_calc!$J$4="","",IF(LEN(INDEX('My equipment'!$S$4:$S$503,_calc!$J$4))=0,"",INDEX('My equipment'!$S$4:$S$503,_calc!$J$4)))</f>
        <v/>
      </c>
    </row>
    <row r="48">
      <c r="B48" s="47" t="n">
        <v>2</v>
      </c>
      <c r="C48" s="48">
        <f>IF(_calc!$J$5="","",INDEX('My equipment'!$A$4:$A$503,_calc!$J$5)&amp;" – "&amp;INDEX('My equipment'!$D$4:$D$503,_calc!$J$5))</f>
        <v/>
      </c>
      <c r="D48" s="49">
        <f>IF(_calc!$J$5="","",IF(LEN(INDEX('My equipment'!$M$4:$M$503,_calc!$J$5))=0,"",INDEX('My equipment'!$M$4:$M$503,_calc!$J$5)))</f>
        <v/>
      </c>
      <c r="E48" s="50">
        <f>IF(_calc!$J$5="","",IF(LEN(INDEX('My equipment'!$N$4:$N$503,_calc!$J$5))=0,"",INDEX('My equipment'!$N$4:$N$503,_calc!$J$5)))</f>
        <v/>
      </c>
      <c r="F48" s="49">
        <f>IF(_calc!$J$5="","",IF(LEN(INDEX('My equipment'!$P$4:$P$503,_calc!$J$5))=0,"",INDEX('My equipment'!$P$4:$P$503,_calc!$J$5)))</f>
        <v/>
      </c>
      <c r="G48" s="51">
        <f>IF(_calc!$J$5="","",IF(LEN(INDEX('My equipment'!$Q$4:$Q$503,_calc!$J$5))=0,"",INDEX('My equipment'!$Q$4:$Q$503,_calc!$J$5)))</f>
        <v/>
      </c>
      <c r="H48" s="51">
        <f>IF(_calc!$J$5="","",IF(LEN(INDEX('My equipment'!$S$4:$S$503,_calc!$J$5))=0,"",INDEX('My equipment'!$S$4:$S$503,_calc!$J$5)))</f>
        <v/>
      </c>
    </row>
    <row r="49">
      <c r="B49" s="47" t="n">
        <v>3</v>
      </c>
      <c r="C49" s="48">
        <f>IF(_calc!$J$6="","",INDEX('My equipment'!$A$4:$A$503,_calc!$J$6)&amp;" – "&amp;INDEX('My equipment'!$D$4:$D$503,_calc!$J$6))</f>
        <v/>
      </c>
      <c r="D49" s="49">
        <f>IF(_calc!$J$6="","",IF(LEN(INDEX('My equipment'!$M$4:$M$503,_calc!$J$6))=0,"",INDEX('My equipment'!$M$4:$M$503,_calc!$J$6)))</f>
        <v/>
      </c>
      <c r="E49" s="50">
        <f>IF(_calc!$J$6="","",IF(LEN(INDEX('My equipment'!$N$4:$N$503,_calc!$J$6))=0,"",INDEX('My equipment'!$N$4:$N$503,_calc!$J$6)))</f>
        <v/>
      </c>
      <c r="F49" s="49">
        <f>IF(_calc!$J$6="","",IF(LEN(INDEX('My equipment'!$P$4:$P$503,_calc!$J$6))=0,"",INDEX('My equipment'!$P$4:$P$503,_calc!$J$6)))</f>
        <v/>
      </c>
      <c r="G49" s="51">
        <f>IF(_calc!$J$6="","",IF(LEN(INDEX('My equipment'!$Q$4:$Q$503,_calc!$J$6))=0,"",INDEX('My equipment'!$Q$4:$Q$503,_calc!$J$6)))</f>
        <v/>
      </c>
      <c r="H49" s="51">
        <f>IF(_calc!$J$6="","",IF(LEN(INDEX('My equipment'!$S$4:$S$503,_calc!$J$6))=0,"",INDEX('My equipment'!$S$4:$S$503,_calc!$J$6)))</f>
        <v/>
      </c>
    </row>
    <row r="50">
      <c r="B50" s="47" t="n">
        <v>4</v>
      </c>
      <c r="C50" s="48">
        <f>IF(_calc!$J$7="","",INDEX('My equipment'!$A$4:$A$503,_calc!$J$7)&amp;" – "&amp;INDEX('My equipment'!$D$4:$D$503,_calc!$J$7))</f>
        <v/>
      </c>
      <c r="D50" s="49">
        <f>IF(_calc!$J$7="","",IF(LEN(INDEX('My equipment'!$M$4:$M$503,_calc!$J$7))=0,"",INDEX('My equipment'!$M$4:$M$503,_calc!$J$7)))</f>
        <v/>
      </c>
      <c r="E50" s="50">
        <f>IF(_calc!$J$7="","",IF(LEN(INDEX('My equipment'!$N$4:$N$503,_calc!$J$7))=0,"",INDEX('My equipment'!$N$4:$N$503,_calc!$J$7)))</f>
        <v/>
      </c>
      <c r="F50" s="49">
        <f>IF(_calc!$J$7="","",IF(LEN(INDEX('My equipment'!$P$4:$P$503,_calc!$J$7))=0,"",INDEX('My equipment'!$P$4:$P$503,_calc!$J$7)))</f>
        <v/>
      </c>
      <c r="G50" s="51">
        <f>IF(_calc!$J$7="","",IF(LEN(INDEX('My equipment'!$Q$4:$Q$503,_calc!$J$7))=0,"",INDEX('My equipment'!$Q$4:$Q$503,_calc!$J$7)))</f>
        <v/>
      </c>
      <c r="H50" s="51">
        <f>IF(_calc!$J$7="","",IF(LEN(INDEX('My equipment'!$S$4:$S$503,_calc!$J$7))=0,"",INDEX('My equipment'!$S$4:$S$503,_calc!$J$7)))</f>
        <v/>
      </c>
    </row>
    <row r="51">
      <c r="B51" s="47" t="n">
        <v>5</v>
      </c>
      <c r="C51" s="48">
        <f>IF(_calc!$J$8="","",INDEX('My equipment'!$A$4:$A$503,_calc!$J$8)&amp;" – "&amp;INDEX('My equipment'!$D$4:$D$503,_calc!$J$8))</f>
        <v/>
      </c>
      <c r="D51" s="49">
        <f>IF(_calc!$J$8="","",IF(LEN(INDEX('My equipment'!$M$4:$M$503,_calc!$J$8))=0,"",INDEX('My equipment'!$M$4:$M$503,_calc!$J$8)))</f>
        <v/>
      </c>
      <c r="E51" s="50">
        <f>IF(_calc!$J$8="","",IF(LEN(INDEX('My equipment'!$N$4:$N$503,_calc!$J$8))=0,"",INDEX('My equipment'!$N$4:$N$503,_calc!$J$8)))</f>
        <v/>
      </c>
      <c r="F51" s="49">
        <f>IF(_calc!$J$8="","",IF(LEN(INDEX('My equipment'!$P$4:$P$503,_calc!$J$8))=0,"",INDEX('My equipment'!$P$4:$P$503,_calc!$J$8)))</f>
        <v/>
      </c>
      <c r="G51" s="51">
        <f>IF(_calc!$J$8="","",IF(LEN(INDEX('My equipment'!$Q$4:$Q$503,_calc!$J$8))=0,"",INDEX('My equipment'!$Q$4:$Q$503,_calc!$J$8)))</f>
        <v/>
      </c>
      <c r="H51" s="51">
        <f>IF(_calc!$J$8="","",IF(LEN(INDEX('My equipment'!$S$4:$S$503,_calc!$J$8))=0,"",INDEX('My equipment'!$S$4:$S$503,_calc!$J$8)))</f>
        <v/>
      </c>
    </row>
    <row r="52">
      <c r="B52" s="47" t="n">
        <v>6</v>
      </c>
      <c r="C52" s="48">
        <f>IF(_calc!$J$9="","",INDEX('My equipment'!$A$4:$A$503,_calc!$J$9)&amp;" – "&amp;INDEX('My equipment'!$D$4:$D$503,_calc!$J$9))</f>
        <v/>
      </c>
      <c r="D52" s="49">
        <f>IF(_calc!$J$9="","",IF(LEN(INDEX('My equipment'!$M$4:$M$503,_calc!$J$9))=0,"",INDEX('My equipment'!$M$4:$M$503,_calc!$J$9)))</f>
        <v/>
      </c>
      <c r="E52" s="50">
        <f>IF(_calc!$J$9="","",IF(LEN(INDEX('My equipment'!$N$4:$N$503,_calc!$J$9))=0,"",INDEX('My equipment'!$N$4:$N$503,_calc!$J$9)))</f>
        <v/>
      </c>
      <c r="F52" s="49">
        <f>IF(_calc!$J$9="","",IF(LEN(INDEX('My equipment'!$P$4:$P$503,_calc!$J$9))=0,"",INDEX('My equipment'!$P$4:$P$503,_calc!$J$9)))</f>
        <v/>
      </c>
      <c r="G52" s="51">
        <f>IF(_calc!$J$9="","",IF(LEN(INDEX('My equipment'!$Q$4:$Q$503,_calc!$J$9))=0,"",INDEX('My equipment'!$Q$4:$Q$503,_calc!$J$9)))</f>
        <v/>
      </c>
      <c r="H52" s="51">
        <f>IF(_calc!$J$9="","",IF(LEN(INDEX('My equipment'!$S$4:$S$503,_calc!$J$9))=0,"",INDEX('My equipment'!$S$4:$S$503,_calc!$J$9)))</f>
        <v/>
      </c>
    </row>
    <row r="53">
      <c r="B53" s="47" t="n">
        <v>7</v>
      </c>
      <c r="C53" s="48">
        <f>IF(_calc!$J$10="","",INDEX('My equipment'!$A$4:$A$503,_calc!$J$10)&amp;" – "&amp;INDEX('My equipment'!$D$4:$D$503,_calc!$J$10))</f>
        <v/>
      </c>
      <c r="D53" s="49">
        <f>IF(_calc!$J$10="","",IF(LEN(INDEX('My equipment'!$M$4:$M$503,_calc!$J$10))=0,"",INDEX('My equipment'!$M$4:$M$503,_calc!$J$10)))</f>
        <v/>
      </c>
      <c r="E53" s="50">
        <f>IF(_calc!$J$10="","",IF(LEN(INDEX('My equipment'!$N$4:$N$503,_calc!$J$10))=0,"",INDEX('My equipment'!$N$4:$N$503,_calc!$J$10)))</f>
        <v/>
      </c>
      <c r="F53" s="49">
        <f>IF(_calc!$J$10="","",IF(LEN(INDEX('My equipment'!$P$4:$P$503,_calc!$J$10))=0,"",INDEX('My equipment'!$P$4:$P$503,_calc!$J$10)))</f>
        <v/>
      </c>
      <c r="G53" s="51">
        <f>IF(_calc!$J$10="","",IF(LEN(INDEX('My equipment'!$Q$4:$Q$503,_calc!$J$10))=0,"",INDEX('My equipment'!$Q$4:$Q$503,_calc!$J$10)))</f>
        <v/>
      </c>
      <c r="H53" s="51">
        <f>IF(_calc!$J$10="","",IF(LEN(INDEX('My equipment'!$S$4:$S$503,_calc!$J$10))=0,"",INDEX('My equipment'!$S$4:$S$503,_calc!$J$10)))</f>
        <v/>
      </c>
    </row>
    <row r="54">
      <c r="B54" s="47" t="n">
        <v>8</v>
      </c>
      <c r="C54" s="48">
        <f>IF(_calc!$J$11="","",INDEX('My equipment'!$A$4:$A$503,_calc!$J$11)&amp;" – "&amp;INDEX('My equipment'!$D$4:$D$503,_calc!$J$11))</f>
        <v/>
      </c>
      <c r="D54" s="49">
        <f>IF(_calc!$J$11="","",IF(LEN(INDEX('My equipment'!$M$4:$M$503,_calc!$J$11))=0,"",INDEX('My equipment'!$M$4:$M$503,_calc!$J$11)))</f>
        <v/>
      </c>
      <c r="E54" s="50">
        <f>IF(_calc!$J$11="","",IF(LEN(INDEX('My equipment'!$N$4:$N$503,_calc!$J$11))=0,"",INDEX('My equipment'!$N$4:$N$503,_calc!$J$11)))</f>
        <v/>
      </c>
      <c r="F54" s="49">
        <f>IF(_calc!$J$11="","",IF(LEN(INDEX('My equipment'!$P$4:$P$503,_calc!$J$11))=0,"",INDEX('My equipment'!$P$4:$P$503,_calc!$J$11)))</f>
        <v/>
      </c>
      <c r="G54" s="51">
        <f>IF(_calc!$J$11="","",IF(LEN(INDEX('My equipment'!$Q$4:$Q$503,_calc!$J$11))=0,"",INDEX('My equipment'!$Q$4:$Q$503,_calc!$J$11)))</f>
        <v/>
      </c>
      <c r="H54" s="51">
        <f>IF(_calc!$J$11="","",IF(LEN(INDEX('My equipment'!$S$4:$S$503,_calc!$J$11))=0,"",INDEX('My equipment'!$S$4:$S$503,_calc!$J$11)))</f>
        <v/>
      </c>
    </row>
    <row r="55">
      <c r="B55" s="47" t="n">
        <v>9</v>
      </c>
      <c r="C55" s="48">
        <f>IF(_calc!$J$12="","",INDEX('My equipment'!$A$4:$A$503,_calc!$J$12)&amp;" – "&amp;INDEX('My equipment'!$D$4:$D$503,_calc!$J$12))</f>
        <v/>
      </c>
      <c r="D55" s="49">
        <f>IF(_calc!$J$12="","",IF(LEN(INDEX('My equipment'!$M$4:$M$503,_calc!$J$12))=0,"",INDEX('My equipment'!$M$4:$M$503,_calc!$J$12)))</f>
        <v/>
      </c>
      <c r="E55" s="50">
        <f>IF(_calc!$J$12="","",IF(LEN(INDEX('My equipment'!$N$4:$N$503,_calc!$J$12))=0,"",INDEX('My equipment'!$N$4:$N$503,_calc!$J$12)))</f>
        <v/>
      </c>
      <c r="F55" s="49">
        <f>IF(_calc!$J$12="","",IF(LEN(INDEX('My equipment'!$P$4:$P$503,_calc!$J$12))=0,"",INDEX('My equipment'!$P$4:$P$503,_calc!$J$12)))</f>
        <v/>
      </c>
      <c r="G55" s="51">
        <f>IF(_calc!$J$12="","",IF(LEN(INDEX('My equipment'!$Q$4:$Q$503,_calc!$J$12))=0,"",INDEX('My equipment'!$Q$4:$Q$503,_calc!$J$12)))</f>
        <v/>
      </c>
      <c r="H55" s="51">
        <f>IF(_calc!$J$12="","",IF(LEN(INDEX('My equipment'!$S$4:$S$503,_calc!$J$12))=0,"",INDEX('My equipment'!$S$4:$S$503,_calc!$J$12)))</f>
        <v/>
      </c>
    </row>
    <row r="56">
      <c r="B56" s="47" t="n">
        <v>10</v>
      </c>
      <c r="C56" s="48">
        <f>IF(_calc!$J$13="","",INDEX('My equipment'!$A$4:$A$503,_calc!$J$13)&amp;" – "&amp;INDEX('My equipment'!$D$4:$D$503,_calc!$J$13))</f>
        <v/>
      </c>
      <c r="D56" s="49">
        <f>IF(_calc!$J$13="","",IF(LEN(INDEX('My equipment'!$M$4:$M$503,_calc!$J$13))=0,"",INDEX('My equipment'!$M$4:$M$503,_calc!$J$13)))</f>
        <v/>
      </c>
      <c r="E56" s="50">
        <f>IF(_calc!$J$13="","",IF(LEN(INDEX('My equipment'!$N$4:$N$503,_calc!$J$13))=0,"",INDEX('My equipment'!$N$4:$N$503,_calc!$J$13)))</f>
        <v/>
      </c>
      <c r="F56" s="49">
        <f>IF(_calc!$J$13="","",IF(LEN(INDEX('My equipment'!$P$4:$P$503,_calc!$J$13))=0,"",INDEX('My equipment'!$P$4:$P$503,_calc!$J$13)))</f>
        <v/>
      </c>
      <c r="G56" s="51">
        <f>IF(_calc!$J$13="","",IF(LEN(INDEX('My equipment'!$Q$4:$Q$503,_calc!$J$13))=0,"",INDEX('My equipment'!$Q$4:$Q$503,_calc!$J$13)))</f>
        <v/>
      </c>
      <c r="H56" s="51">
        <f>IF(_calc!$J$13="","",IF(LEN(INDEX('My equipment'!$S$4:$S$503,_calc!$J$13))=0,"",INDEX('My equipment'!$S$4:$S$503,_calc!$J$13)))</f>
        <v/>
      </c>
    </row>
    <row r="57">
      <c r="C57" s="3" t="inlineStr">
        <is>
          <t>Leaves out Claim settled, No claim needed and Cover extended rows.</t>
        </is>
      </c>
    </row>
    <row r="59">
      <c r="C59" s="3" t="inlineStr">
        <is>
          <t>Made by ExpiryEdge · expiryedge.com</t>
        </is>
      </c>
    </row>
  </sheetData>
  <conditionalFormatting sqref="E20:E29">
    <cfRule type="expression" priority="1" dxfId="0" stopIfTrue="1">
      <formula>AND(ISNUMBER($E20),$E20&lt;0)</formula>
    </cfRule>
    <cfRule type="expression" priority="2" dxfId="1" stopIfTrue="1">
      <formula>AND(ISNUMBER($E20),$E20&lt;=30)</formula>
    </cfRule>
    <cfRule type="expression" priority="3" dxfId="2" stopIfTrue="1">
      <formula>AND(ISNUMBER($E20),$E20&lt;=90)</formula>
    </cfRule>
    <cfRule type="expression" priority="4" dxfId="3" stopIfTrue="1">
      <formula>ISNUMBER($E20)</formula>
    </cfRule>
  </conditionalFormatting>
  <conditionalFormatting sqref="E47:E56">
    <cfRule type="expression" priority="5" dxfId="0" stopIfTrue="1">
      <formula>AND(ISNUMBER($E47),$E47&lt;0)</formula>
    </cfRule>
    <cfRule type="expression" priority="6" dxfId="1" stopIfTrue="1">
      <formula>AND(ISNUMBER($E47),$E47&lt;=30)</formula>
    </cfRule>
    <cfRule type="expression" priority="7" dxfId="2" stopIfTrue="1">
      <formula>AND(ISNUMBER($E47),$E47&lt;=90)</formula>
    </cfRule>
    <cfRule type="expression" priority="8" dxfId="3" stopIfTrue="1">
      <formula>ISNUMBER($E47)</formula>
    </cfRule>
  </conditionalFormatting>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E12"/>
  <sheetViews>
    <sheetView showGridLines="0" tabSelected="0" workbookViewId="0">
      <pane ySplit="4" topLeftCell="A5" activePane="bottomLeft" state="frozen"/>
      <selection pane="bottomLeft" activeCell="A1" sqref="A1"/>
    </sheetView>
  </sheetViews>
  <sheetFormatPr baseColWidth="8" defaultRowHeight="15"/>
  <cols>
    <col width="3" customWidth="1" min="1" max="1"/>
    <col width="16" customWidth="1" min="2" max="2"/>
    <col width="34" customWidth="1" min="3" max="3"/>
    <col width="84" customWidth="1" min="4" max="4"/>
    <col width="26" customWidth="1" min="5" max="5"/>
  </cols>
  <sheetData>
    <row r="1">
      <c r="B1" s="24" t="inlineStr">
        <is>
          <t>Renewal emails for the 90 / 60 / 30-day touches</t>
        </is>
      </c>
    </row>
    <row r="2" ht="33" customHeight="1">
      <c r="B2" s="7" t="inlineStr">
        <is>
          <t>Copy a template into your email, then replace every [bracket] with details from the machine's row on the Dealer pipeline sheet. Each one leads with something useful to the customer, not a sales push. After sending, set Last touch sent and Status on that row.</t>
        </is>
      </c>
    </row>
    <row r="4">
      <c r="B4" s="52" t="inlineStr">
        <is>
          <t>Touch</t>
        </is>
      </c>
      <c r="C4" s="52" t="inlineStr">
        <is>
          <t>Subject</t>
        </is>
      </c>
      <c r="D4" s="52" t="inlineStr">
        <is>
          <t>Email</t>
        </is>
      </c>
      <c r="E4" s="52" t="inlineStr">
        <is>
          <t>Where the details come from</t>
        </is>
      </c>
    </row>
    <row r="5" ht="78" customHeight="1">
      <c r="B5" s="20" t="inlineStr">
        <is>
          <t>90 days
Coverage review</t>
        </is>
      </c>
      <c r="C5" s="53" t="inlineStr">
        <is>
          <t>Your [model] warranty: what's covered until [end date]</t>
        </is>
      </c>
      <c r="D5" s="21" t="inlineStr">
        <is>
          <t>Hi [Name], the [parts/printhead] warranty on your [model] (serial [serial]) ends on [end date]. Until then, covered faults are repaired at no charge, so if anything has been playing up, now is the time to tell us. Can we book a check visit on [date] or [date] so any faults are fixed while still covered? If you want cover afterwards, there are [two/three] options from [price] a year.</t>
        </is>
      </c>
      <c r="E5" s="21" t="inlineStr">
        <is>
          <t>Model (C), serial (D), Next end (M), contact (B)</t>
        </is>
      </c>
    </row>
    <row r="6" ht="64" customHeight="1">
      <c r="B6" s="20" t="inlineStr">
        <is>
          <t>60 days
Quote</t>
        </is>
      </c>
      <c r="C6" s="53" t="inlineStr">
        <is>
          <t>Cover options for your [model] after [end date]</t>
        </is>
      </c>
      <c r="D6" s="21" t="inlineStr">
        <is>
          <t>Hi [Name], thanks for having us in on [visit date]. We found: [one line on condition]. Based on how much the machine runs, I'd suggest [option], covering [parts/labor/visits] for [term] at [price]. The quote and other options are attached. Who else needs to sign off, and is there a budget date I should work to?</t>
        </is>
      </c>
      <c r="E6" s="21" t="inlineStr">
        <is>
          <t>Visit notes, your tiers and prices, quote number into Notes (T)</t>
        </is>
      </c>
    </row>
    <row r="7" ht="64" customHeight="1">
      <c r="B7" s="20" t="inlineStr">
        <is>
          <t>30 days
Decision request</t>
        </is>
      </c>
      <c r="C7" s="53" t="inlineStr">
        <is>
          <t>[model] warranty ends [end date]: decision needed by [date]</t>
        </is>
      </c>
      <c r="D7" s="21" t="inlineStr">
        <is>
          <t>Hi [Name], your [model] warranty ends on [end date]. After that, repairs are billed at [labor rate] an hour plus parts; a [common repair] on this model costs [price from your records]. For cover with no gap, we need the purchase order by [date]. If you've decided not to renew, just reply and I'll send our rate card so there are no surprises later.</t>
        </is>
      </c>
      <c r="E7" s="21" t="inlineStr">
        <is>
          <t>Labor rate and a typical repair price from your own service records</t>
        </is>
      </c>
    </row>
    <row r="8" ht="36" customHeight="1">
      <c r="B8" s="20" t="inlineStr">
        <is>
          <t>7 days
Final call</t>
        </is>
      </c>
      <c r="C8" s="53" t="inlineStr">
        <is>
          <t>(phone call, no email)</t>
        </is>
      </c>
      <c r="D8" s="21" t="inlineStr">
        <is>
          <t>Phone the decision-maker. Then set Status to Taken or Declined and write the reason in Notes. A renewed contract gets its own row and its own 90/60/30/7 cycle.</t>
        </is>
      </c>
      <c r="E8" s="21" t="inlineStr">
        <is>
          <t>Status (Q), Notes (T)</t>
        </is>
      </c>
    </row>
    <row r="10" ht="18" customHeight="1">
      <c r="B10" s="7" t="inlineStr">
        <is>
          <t>Before you promise a customer that cover can be added after a lapse, check your manufacturer program terms for what that requires.</t>
        </is>
      </c>
    </row>
    <row r="12" ht="18" customHeight="1">
      <c r="B12" s="7" t="inlineStr">
        <is>
          <t>From the free guide "Warranty Tracking Software for Dealers: A 90/60/30/7 Renewal Plan" at expiryedge.com.</t>
        </is>
      </c>
    </row>
  </sheetData>
  <mergeCells count="3">
    <mergeCell ref="B10:E10"/>
    <mergeCell ref="B12:E12"/>
    <mergeCell ref="B2:E2"/>
  </mergeCell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worksheet>
</file>

<file path=xl/worksheets/sheet6.xml><?xml version="1.0" encoding="utf-8"?>
<worksheet xmlns="http://schemas.openxmlformats.org/spreadsheetml/2006/main">
  <sheetPr>
    <tabColor rgb="0035584B"/>
    <outlinePr summaryBelow="1" summaryRight="1"/>
    <pageSetUpPr fitToPage="1"/>
  </sheetPr>
  <dimension ref="A1:K1001"/>
  <sheetViews>
    <sheetView showGridLines="0" tabSelected="0" workbookViewId="0">
      <pane ySplit="1" topLeftCell="A2" activePane="bottomLeft" state="frozen"/>
      <selection pane="bottomLeft" activeCell="A1" sqref="A1"/>
    </sheetView>
  </sheetViews>
  <sheetFormatPr baseColWidth="8" defaultRowHeight="15"/>
  <cols>
    <col width="44" customWidth="1" min="1" max="1"/>
    <col width="13" customWidth="1" min="2" max="2"/>
    <col width="18" customWidth="1" min="3" max="3"/>
    <col width="13" customWidth="1" min="4" max="4"/>
    <col width="13" customWidth="1" min="5" max="5"/>
    <col width="60" customWidth="1" min="6" max="6"/>
    <col width="24" customWidth="1" min="7" max="7"/>
    <col width="13" customWidth="1" min="8" max="8"/>
    <col width="13" customWidth="1" min="9" max="9"/>
    <col width="13" customWidth="1" min="10" max="10"/>
    <col width="26" customWidth="1" min="11" max="11"/>
  </cols>
  <sheetData>
    <row r="1">
      <c r="A1" s="18" t="inlineStr">
        <is>
          <t>name</t>
        </is>
      </c>
      <c r="B1" s="18" t="inlineStr">
        <is>
          <t>expiry_date</t>
        </is>
      </c>
      <c r="C1" s="18" t="inlineStr">
        <is>
          <t>type</t>
        </is>
      </c>
      <c r="D1" s="18" t="inlineStr">
        <is>
          <t>start_date</t>
        </is>
      </c>
      <c r="E1" s="18" t="inlineStr">
        <is>
          <t>priority</t>
        </is>
      </c>
      <c r="F1" s="18" t="inlineStr">
        <is>
          <t>notes</t>
        </is>
      </c>
      <c r="G1" s="18" t="inlineStr">
        <is>
          <t>url</t>
        </is>
      </c>
      <c r="H1" s="18" t="inlineStr">
        <is>
          <t>value</t>
        </is>
      </c>
      <c r="I1" s="18" t="inlineStr">
        <is>
          <t>currency</t>
        </is>
      </c>
      <c r="J1" s="18" t="inlineStr">
        <is>
          <t>penalty_amount</t>
        </is>
      </c>
      <c r="K1" s="18" t="inlineStr">
        <is>
          <t>notification_email</t>
        </is>
      </c>
    </row>
    <row r="2">
      <c r="A2" s="54">
        <f>IF(_calc!$E$4="","",IF(_calc!$E$4&lt;=500,"Warranty – "&amp;IF(LEN(INDEX('Dealer pipeline'!$C$4:$C$503,_calc!$E$4))=0,"",INDEX('Dealer pipeline'!$C$4:$C$503,_calc!$E$4))&amp;" – "&amp;IF(LEN(INDEX('Dealer pipeline'!$D$4:$D$503,_calc!$E$4))=0,"",INDEX('Dealer pipeline'!$D$4:$D$503,_calc!$E$4))&amp;" – "&amp;IF(LEN(INDEX('Dealer pipeline'!$A$4:$A$503,_calc!$E$4))=0,"",INDEX('Dealer pipeline'!$A$4:$A$503,_calc!$E$4)),"Warranty – "&amp;IF(LEN(INDEX('My equipment'!$A$4:$A$503,(_calc!$E$4-500)))=0,"",INDEX('My equipment'!$A$4:$A$503,(_calc!$E$4-500)))&amp;" – "&amp;IF(LEN(INDEX('My equipment'!$D$4:$D$503,(_calc!$E$4-500)))=0,"",INDEX('My equipment'!$D$4:$D$503,(_calc!$E$4-500)))))</f>
        <v/>
      </c>
      <c r="B2" s="54">
        <f>IF(_calc!$E$4="","",IF(_calc!$E$4&lt;=500,IF(ISNUMBER(INDEX('Dealer pipeline'!$M$4:$M$503,_calc!$E$4)),TEXT(INDEX('Dealer pipeline'!$M$4:$M$503,_calc!$E$4),"yyyy-mm-dd"),""),IF(ISNUMBER(INDEX('My equipment'!$M$4:$M$503,(_calc!$E$4-500))),TEXT(INDEX('My equipment'!$M$4:$M$503,(_calc!$E$4-500)),"yyyy-mm-dd"),"")))</f>
        <v/>
      </c>
      <c r="C2" s="54">
        <f>IF(_calc!$E$4="","",IF(_calc!$E$4&lt;=500,"Warranty","Warranty"))</f>
        <v/>
      </c>
      <c r="D2" s="54">
        <f>IF(_calc!$E$4="","",IF(_calc!$E$4&lt;=500,IF(ISNUMBER(INDEX('Dealer pipeline'!$H$4:$H$503,_calc!$E$4)),TEXT(INDEX('Dealer pipeline'!$H$4:$H$503,_calc!$E$4),"yyyy-mm-dd"),""),IF(ISNUMBER(INDEX('My equipment'!$H$4:$H$503,(_calc!$E$4-500))),TEXT(INDEX('My equipment'!$H$4:$H$503,(_calc!$E$4-500)),"yyyy-mm-dd"),"")))</f>
        <v/>
      </c>
      <c r="F2" s="54">
        <f>IF(_calc!$E$4="","",IF(_calc!$E$4&lt;=500,TRIM(IF(LEN(IF(LEN(INDEX('Dealer pipeline'!$A$4:$A$503,_calc!$E$4))=0,"",INDEX('Dealer pipeline'!$A$4:$A$503,_calc!$E$4)))=0,"","Customer: "&amp;IF(LEN(INDEX('Dealer pipeline'!$A$4:$A$503,_calc!$E$4))=0,"",INDEX('Dealer pipeline'!$A$4:$A$503,_calc!$E$4))&amp;". ")&amp;IF(LEN(IF(LEN(INDEX('Dealer pipeline'!$B$4:$B$503,_calc!$E$4))=0,"",INDEX('Dealer pipeline'!$B$4:$B$503,_calc!$E$4)))=0,"","Contact: "&amp;IF(LEN(INDEX('Dealer pipeline'!$B$4:$B$503,_calc!$E$4))=0,"",INDEX('Dealer pipeline'!$B$4:$B$503,_calc!$E$4))&amp;". ")&amp;IF(LEN(IF(LEN(INDEX('Dealer pipeline'!$D$4:$D$503,_calc!$E$4))=0,"",INDEX('Dealer pipeline'!$D$4:$D$503,_calc!$E$4)))=0,"","Serial: "&amp;IF(LEN(INDEX('Dealer pipeline'!$D$4:$D$503,_calc!$E$4))=0,"",INDEX('Dealer pipeline'!$D$4:$D$503,_calc!$E$4))&amp;". ")&amp;IF(LEN(IF(ISNUMBER(INDEX('Dealer pipeline'!$J$4:$J$503,_calc!$E$4)),TEXT(INDEX('Dealer pipeline'!$J$4:$J$503,_calc!$E$4),"yyyy-mm-dd"),""))=0,"","Parts end: "&amp;IF(ISNUMBER(INDEX('Dealer pipeline'!$J$4:$J$503,_calc!$E$4)),TEXT(INDEX('Dealer pipeline'!$J$4:$J$503,_calc!$E$4),"yyyy-mm-dd"),"")&amp;". ")&amp;IF(LEN(IF(ISNUMBER(INDEX('Dealer pipeline'!$L$4:$L$503,_calc!$E$4)),TEXT(INDEX('Dealer pipeline'!$L$4:$L$503,_calc!$E$4),"yyyy-mm-dd"),""))=0,"","Labor end: "&amp;IF(ISNUMBER(INDEX('Dealer pipeline'!$L$4:$L$503,_calc!$E$4)),TEXT(INDEX('Dealer pipeline'!$L$4:$L$503,_calc!$E$4),"yyyy-mm-dd"),"")&amp;". ")&amp;IF(LEN(IF(LEN(INDEX('Dealer pipeline'!$Q$4:$Q$503,_calc!$E$4))=0,"",INDEX('Dealer pipeline'!$Q$4:$Q$503,_calc!$E$4)))=0,"","Status: "&amp;IF(LEN(INDEX('Dealer pipeline'!$Q$4:$Q$503,_calc!$E$4))=0,"",INDEX('Dealer pipeline'!$Q$4:$Q$503,_calc!$E$4))&amp;". ")&amp;IF(LEN(IF(LEN(INDEX('Dealer pipeline'!$P$4:$P$503,_calc!$E$4))=0,"",INDEX('Dealer pipeline'!$P$4:$P$503,_calc!$E$4)))=0,"","Last touch: "&amp;IF(LEN(INDEX('Dealer pipeline'!$P$4:$P$503,_calc!$E$4))=0,"",INDEX('Dealer pipeline'!$P$4:$P$503,_calc!$E$4))&amp;". ")&amp;IF(LEN(IF(LEN(INDEX('Dealer pipeline'!$R$4:$R$503,_calc!$E$4))=0,"",INDEX('Dealer pipeline'!$R$4:$R$503,_calc!$E$4)))=0,"","Owner: "&amp;IF(LEN(INDEX('Dealer pipeline'!$R$4:$R$503,_calc!$E$4))=0,"",INDEX('Dealer pipeline'!$R$4:$R$503,_calc!$E$4))&amp;". ")&amp;IF(LEN(IF(LEN(INDEX('Dealer pipeline'!$S$4:$S$503,_calc!$E$4))=0,"",INDEX('Dealer pipeline'!$S$4:$S$503,_calc!$E$4)))=0,"","Backup: "&amp;IF(LEN(INDEX('Dealer pipeline'!$S$4:$S$503,_calc!$E$4))=0,"",INDEX('Dealer pipeline'!$S$4:$S$503,_calc!$E$4))&amp;". ")&amp;IF(LEN(IF(LEN(INDEX('Dealer pipeline'!$T$4:$T$503,_calc!$E$4))=0,"",INDEX('Dealer pipeline'!$T$4:$T$503,_calc!$E$4)))=0,"",IF(LEN(INDEX('Dealer pipeline'!$T$4:$T$503,_calc!$E$4))=0,"",INDEX('Dealer pipeline'!$T$4:$T$503,_calc!$E$4)))),TRIM(IF(LEN(IF(LEN(INDEX('My equipment'!$C$4:$C$503,(_calc!$E$4-500)))=0,"",INDEX('My equipment'!$C$4:$C$503,(_calc!$E$4-500))))=0,"","Model: "&amp;IF(LEN(INDEX('My equipment'!$C$4:$C$503,(_calc!$E$4-500)))=0,"",INDEX('My equipment'!$C$4:$C$503,(_calc!$E$4-500)))&amp;". ")&amp;IF(LEN(IF(LEN(INDEX('My equipment'!$D$4:$D$503,(_calc!$E$4-500)))=0,"",INDEX('My equipment'!$D$4:$D$503,(_calc!$E$4-500))))=0,"","Serial: "&amp;IF(LEN(INDEX('My equipment'!$D$4:$D$503,(_calc!$E$4-500)))=0,"",INDEX('My equipment'!$D$4:$D$503,(_calc!$E$4-500)))&amp;". ")&amp;IF(LEN(IF(ISNUMBER(INDEX('My equipment'!$J$4:$J$503,(_calc!$E$4-500))),TEXT(INDEX('My equipment'!$J$4:$J$503,(_calc!$E$4-500)),"yyyy-mm-dd"),""))=0,"","Parts end: "&amp;IF(ISNUMBER(INDEX('My equipment'!$J$4:$J$503,(_calc!$E$4-500))),TEXT(INDEX('My equipment'!$J$4:$J$503,(_calc!$E$4-500)),"yyyy-mm-dd"),"")&amp;". ")&amp;IF(LEN(IF(ISNUMBER(INDEX('My equipment'!$L$4:$L$503,(_calc!$E$4-500))),TEXT(INDEX('My equipment'!$L$4:$L$503,(_calc!$E$4-500)),"yyyy-mm-dd"),""))=0,"","Labor end: "&amp;IF(ISNUMBER(INDEX('My equipment'!$L$4:$L$503,(_calc!$E$4-500))),TEXT(INDEX('My equipment'!$L$4:$L$503,(_calc!$E$4-500)),"yyyy-mm-dd"),"")&amp;". ")&amp;IF(LEN(IF(ISNUMBER(INDEX('My equipment'!$P$4:$P$503,(_calc!$E$4-500))),TEXT(INDEX('My equipment'!$P$4:$P$503,(_calc!$E$4-500)),"yyyy-mm-dd"),""))=0,"","Check by: "&amp;IF(ISNUMBER(INDEX('My equipment'!$P$4:$P$503,(_calc!$E$4-500))),TEXT(INDEX('My equipment'!$P$4:$P$503,(_calc!$E$4-500)),"yyyy-mm-dd"),"")&amp;". ")&amp;IF(LEN(IF(LEN(INDEX('My equipment'!$Q$4:$Q$503,(_calc!$E$4-500)))=0,"",INDEX('My equipment'!$Q$4:$Q$503,(_calc!$E$4-500))))=0,"","Claim status: "&amp;IF(LEN(INDEX('My equipment'!$Q$4:$Q$503,(_calc!$E$4-500)))=0,"",INDEX('My equipment'!$Q$4:$Q$503,(_calc!$E$4-500)))&amp;". ")&amp;IF(LEN(IF(LEN(INDEX('My equipment'!$R$4:$R$503,(_calc!$E$4-500)))=0,"",INDEX('My equipment'!$R$4:$R$503,(_calc!$E$4-500))))=0,"","Claims contact: "&amp;IF(LEN(INDEX('My equipment'!$R$4:$R$503,(_calc!$E$4-500)))=0,"",INDEX('My equipment'!$R$4:$R$503,(_calc!$E$4-500)))&amp;". ")&amp;IF(LEN(IF(LEN(INDEX('My equipment'!$S$4:$S$503,(_calc!$E$4-500)))=0,"",INDEX('My equipment'!$S$4:$S$503,(_calc!$E$4-500))))=0,"","Claims email: "&amp;IF(LEN(INDEX('My equipment'!$S$4:$S$503,(_calc!$E$4-500)))=0,"",INDEX('My equipment'!$S$4:$S$503,(_calc!$E$4-500)))&amp;". ")&amp;IF(LEN(IF(LEN(INDEX('My equipment'!$U$4:$U$503,(_calc!$E$4-500)))=0,"",INDEX('My equipment'!$U$4:$U$503,(_calc!$E$4-500))))=0,"","Registered: "&amp;IF(LEN(INDEX('My equipment'!$U$4:$U$503,(_calc!$E$4-500)))=0,"",INDEX('My equipment'!$U$4:$U$503,(_calc!$E$4-500)))&amp;". ")&amp;IF(LEN(IF(LEN(INDEX('My equipment'!$V$4:$V$503,(_calc!$E$4-500)))=0,"",INDEX('My equipment'!$V$4:$V$503,(_calc!$E$4-500))))=0,"","Proof on file: "&amp;IF(LEN(INDEX('My equipment'!$V$4:$V$503,(_calc!$E$4-500)))=0,"",INDEX('My equipment'!$V$4:$V$503,(_calc!$E$4-500)))&amp;". ")&amp;IF(LEN(IF(LEN(INDEX('My equipment'!$W$4:$W$503,(_calc!$E$4-500)))=0,"",INDEX('My equipment'!$W$4:$W$503,(_calc!$E$4-500))))=0,"","Claim ref: "&amp;IF(LEN(INDEX('My equipment'!$W$4:$W$503,(_calc!$E$4-500)))=0,"",INDEX('My equipment'!$W$4:$W$503,(_calc!$E$4-500)))&amp;". ")&amp;IF(LEN(IF(LEN(INDEX('My equipment'!$Y$4:$Y$503,(_calc!$E$4-500)))=0,"",INDEX('My equipment'!$Y$4:$Y$503,(_calc!$E$4-500))))=0,"",IF(LEN(INDEX('My equipment'!$Y$4:$Y$503,(_calc!$E$4-500)))=0,"",INDEX('My equipment'!$Y$4:$Y$503,(_calc!$E$4-500)))))))</f>
        <v/>
      </c>
      <c r="G2" s="54">
        <f>IF(_calc!$E$4="","",IF(_calc!$E$4&lt;=500,"",IF(LEN(INDEX('My equipment'!$X$4:$X$503,(_calc!$E$4-500)))=0,"",INDEX('My equipment'!$X$4:$X$503,(_calc!$E$4-500)))))</f>
        <v/>
      </c>
      <c r="K2" s="54">
        <f>IF(_calc!$E$4="","",IF(_calc!$E$4&lt;=500,"",IF(LEN(INDEX('My equipment'!$T$4:$T$503,(_calc!$E$4-500)))=0,"",INDEX('My equipment'!$T$4:$T$503,(_calc!$E$4-500)))))</f>
        <v/>
      </c>
    </row>
    <row r="3">
      <c r="A3" s="54">
        <f>IF(_calc!$E$5="","",IF(_calc!$E$5&lt;=500,"Warranty – "&amp;IF(LEN(INDEX('Dealer pipeline'!$C$4:$C$503,_calc!$E$5))=0,"",INDEX('Dealer pipeline'!$C$4:$C$503,_calc!$E$5))&amp;" – "&amp;IF(LEN(INDEX('Dealer pipeline'!$D$4:$D$503,_calc!$E$5))=0,"",INDEX('Dealer pipeline'!$D$4:$D$503,_calc!$E$5))&amp;" – "&amp;IF(LEN(INDEX('Dealer pipeline'!$A$4:$A$503,_calc!$E$5))=0,"",INDEX('Dealer pipeline'!$A$4:$A$503,_calc!$E$5)),"Warranty – "&amp;IF(LEN(INDEX('My equipment'!$A$4:$A$503,(_calc!$E$5-500)))=0,"",INDEX('My equipment'!$A$4:$A$503,(_calc!$E$5-500)))&amp;" – "&amp;IF(LEN(INDEX('My equipment'!$D$4:$D$503,(_calc!$E$5-500)))=0,"",INDEX('My equipment'!$D$4:$D$503,(_calc!$E$5-500)))))</f>
        <v/>
      </c>
      <c r="B3" s="54">
        <f>IF(_calc!$E$5="","",IF(_calc!$E$5&lt;=500,IF(ISNUMBER(INDEX('Dealer pipeline'!$M$4:$M$503,_calc!$E$5)),TEXT(INDEX('Dealer pipeline'!$M$4:$M$503,_calc!$E$5),"yyyy-mm-dd"),""),IF(ISNUMBER(INDEX('My equipment'!$M$4:$M$503,(_calc!$E$5-500))),TEXT(INDEX('My equipment'!$M$4:$M$503,(_calc!$E$5-500)),"yyyy-mm-dd"),"")))</f>
        <v/>
      </c>
      <c r="C3" s="54">
        <f>IF(_calc!$E$5="","",IF(_calc!$E$5&lt;=500,"Warranty","Warranty"))</f>
        <v/>
      </c>
      <c r="D3" s="54">
        <f>IF(_calc!$E$5="","",IF(_calc!$E$5&lt;=500,IF(ISNUMBER(INDEX('Dealer pipeline'!$H$4:$H$503,_calc!$E$5)),TEXT(INDEX('Dealer pipeline'!$H$4:$H$503,_calc!$E$5),"yyyy-mm-dd"),""),IF(ISNUMBER(INDEX('My equipment'!$H$4:$H$503,(_calc!$E$5-500))),TEXT(INDEX('My equipment'!$H$4:$H$503,(_calc!$E$5-500)),"yyyy-mm-dd"),"")))</f>
        <v/>
      </c>
      <c r="F3" s="54">
        <f>IF(_calc!$E$5="","",IF(_calc!$E$5&lt;=500,TRIM(IF(LEN(IF(LEN(INDEX('Dealer pipeline'!$A$4:$A$503,_calc!$E$5))=0,"",INDEX('Dealer pipeline'!$A$4:$A$503,_calc!$E$5)))=0,"","Customer: "&amp;IF(LEN(INDEX('Dealer pipeline'!$A$4:$A$503,_calc!$E$5))=0,"",INDEX('Dealer pipeline'!$A$4:$A$503,_calc!$E$5))&amp;". ")&amp;IF(LEN(IF(LEN(INDEX('Dealer pipeline'!$B$4:$B$503,_calc!$E$5))=0,"",INDEX('Dealer pipeline'!$B$4:$B$503,_calc!$E$5)))=0,"","Contact: "&amp;IF(LEN(INDEX('Dealer pipeline'!$B$4:$B$503,_calc!$E$5))=0,"",INDEX('Dealer pipeline'!$B$4:$B$503,_calc!$E$5))&amp;". ")&amp;IF(LEN(IF(LEN(INDEX('Dealer pipeline'!$D$4:$D$503,_calc!$E$5))=0,"",INDEX('Dealer pipeline'!$D$4:$D$503,_calc!$E$5)))=0,"","Serial: "&amp;IF(LEN(INDEX('Dealer pipeline'!$D$4:$D$503,_calc!$E$5))=0,"",INDEX('Dealer pipeline'!$D$4:$D$503,_calc!$E$5))&amp;". ")&amp;IF(LEN(IF(ISNUMBER(INDEX('Dealer pipeline'!$J$4:$J$503,_calc!$E$5)),TEXT(INDEX('Dealer pipeline'!$J$4:$J$503,_calc!$E$5),"yyyy-mm-dd"),""))=0,"","Parts end: "&amp;IF(ISNUMBER(INDEX('Dealer pipeline'!$J$4:$J$503,_calc!$E$5)),TEXT(INDEX('Dealer pipeline'!$J$4:$J$503,_calc!$E$5),"yyyy-mm-dd"),"")&amp;". ")&amp;IF(LEN(IF(ISNUMBER(INDEX('Dealer pipeline'!$L$4:$L$503,_calc!$E$5)),TEXT(INDEX('Dealer pipeline'!$L$4:$L$503,_calc!$E$5),"yyyy-mm-dd"),""))=0,"","Labor end: "&amp;IF(ISNUMBER(INDEX('Dealer pipeline'!$L$4:$L$503,_calc!$E$5)),TEXT(INDEX('Dealer pipeline'!$L$4:$L$503,_calc!$E$5),"yyyy-mm-dd"),"")&amp;". ")&amp;IF(LEN(IF(LEN(INDEX('Dealer pipeline'!$Q$4:$Q$503,_calc!$E$5))=0,"",INDEX('Dealer pipeline'!$Q$4:$Q$503,_calc!$E$5)))=0,"","Status: "&amp;IF(LEN(INDEX('Dealer pipeline'!$Q$4:$Q$503,_calc!$E$5))=0,"",INDEX('Dealer pipeline'!$Q$4:$Q$503,_calc!$E$5))&amp;". ")&amp;IF(LEN(IF(LEN(INDEX('Dealer pipeline'!$P$4:$P$503,_calc!$E$5))=0,"",INDEX('Dealer pipeline'!$P$4:$P$503,_calc!$E$5)))=0,"","Last touch: "&amp;IF(LEN(INDEX('Dealer pipeline'!$P$4:$P$503,_calc!$E$5))=0,"",INDEX('Dealer pipeline'!$P$4:$P$503,_calc!$E$5))&amp;". ")&amp;IF(LEN(IF(LEN(INDEX('Dealer pipeline'!$R$4:$R$503,_calc!$E$5))=0,"",INDEX('Dealer pipeline'!$R$4:$R$503,_calc!$E$5)))=0,"","Owner: "&amp;IF(LEN(INDEX('Dealer pipeline'!$R$4:$R$503,_calc!$E$5))=0,"",INDEX('Dealer pipeline'!$R$4:$R$503,_calc!$E$5))&amp;". ")&amp;IF(LEN(IF(LEN(INDEX('Dealer pipeline'!$S$4:$S$503,_calc!$E$5))=0,"",INDEX('Dealer pipeline'!$S$4:$S$503,_calc!$E$5)))=0,"","Backup: "&amp;IF(LEN(INDEX('Dealer pipeline'!$S$4:$S$503,_calc!$E$5))=0,"",INDEX('Dealer pipeline'!$S$4:$S$503,_calc!$E$5))&amp;". ")&amp;IF(LEN(IF(LEN(INDEX('Dealer pipeline'!$T$4:$T$503,_calc!$E$5))=0,"",INDEX('Dealer pipeline'!$T$4:$T$503,_calc!$E$5)))=0,"",IF(LEN(INDEX('Dealer pipeline'!$T$4:$T$503,_calc!$E$5))=0,"",INDEX('Dealer pipeline'!$T$4:$T$503,_calc!$E$5)))),TRIM(IF(LEN(IF(LEN(INDEX('My equipment'!$C$4:$C$503,(_calc!$E$5-500)))=0,"",INDEX('My equipment'!$C$4:$C$503,(_calc!$E$5-500))))=0,"","Model: "&amp;IF(LEN(INDEX('My equipment'!$C$4:$C$503,(_calc!$E$5-500)))=0,"",INDEX('My equipment'!$C$4:$C$503,(_calc!$E$5-500)))&amp;". ")&amp;IF(LEN(IF(LEN(INDEX('My equipment'!$D$4:$D$503,(_calc!$E$5-500)))=0,"",INDEX('My equipment'!$D$4:$D$503,(_calc!$E$5-500))))=0,"","Serial: "&amp;IF(LEN(INDEX('My equipment'!$D$4:$D$503,(_calc!$E$5-500)))=0,"",INDEX('My equipment'!$D$4:$D$503,(_calc!$E$5-500)))&amp;". ")&amp;IF(LEN(IF(ISNUMBER(INDEX('My equipment'!$J$4:$J$503,(_calc!$E$5-500))),TEXT(INDEX('My equipment'!$J$4:$J$503,(_calc!$E$5-500)),"yyyy-mm-dd"),""))=0,"","Parts end: "&amp;IF(ISNUMBER(INDEX('My equipment'!$J$4:$J$503,(_calc!$E$5-500))),TEXT(INDEX('My equipment'!$J$4:$J$503,(_calc!$E$5-500)),"yyyy-mm-dd"),"")&amp;". ")&amp;IF(LEN(IF(ISNUMBER(INDEX('My equipment'!$L$4:$L$503,(_calc!$E$5-500))),TEXT(INDEX('My equipment'!$L$4:$L$503,(_calc!$E$5-500)),"yyyy-mm-dd"),""))=0,"","Labor end: "&amp;IF(ISNUMBER(INDEX('My equipment'!$L$4:$L$503,(_calc!$E$5-500))),TEXT(INDEX('My equipment'!$L$4:$L$503,(_calc!$E$5-500)),"yyyy-mm-dd"),"")&amp;". ")&amp;IF(LEN(IF(ISNUMBER(INDEX('My equipment'!$P$4:$P$503,(_calc!$E$5-500))),TEXT(INDEX('My equipment'!$P$4:$P$503,(_calc!$E$5-500)),"yyyy-mm-dd"),""))=0,"","Check by: "&amp;IF(ISNUMBER(INDEX('My equipment'!$P$4:$P$503,(_calc!$E$5-500))),TEXT(INDEX('My equipment'!$P$4:$P$503,(_calc!$E$5-500)),"yyyy-mm-dd"),"")&amp;". ")&amp;IF(LEN(IF(LEN(INDEX('My equipment'!$Q$4:$Q$503,(_calc!$E$5-500)))=0,"",INDEX('My equipment'!$Q$4:$Q$503,(_calc!$E$5-500))))=0,"","Claim status: "&amp;IF(LEN(INDEX('My equipment'!$Q$4:$Q$503,(_calc!$E$5-500)))=0,"",INDEX('My equipment'!$Q$4:$Q$503,(_calc!$E$5-500)))&amp;". ")&amp;IF(LEN(IF(LEN(INDEX('My equipment'!$R$4:$R$503,(_calc!$E$5-500)))=0,"",INDEX('My equipment'!$R$4:$R$503,(_calc!$E$5-500))))=0,"","Claims contact: "&amp;IF(LEN(INDEX('My equipment'!$R$4:$R$503,(_calc!$E$5-500)))=0,"",INDEX('My equipment'!$R$4:$R$503,(_calc!$E$5-500)))&amp;". ")&amp;IF(LEN(IF(LEN(INDEX('My equipment'!$S$4:$S$503,(_calc!$E$5-500)))=0,"",INDEX('My equipment'!$S$4:$S$503,(_calc!$E$5-500))))=0,"","Claims email: "&amp;IF(LEN(INDEX('My equipment'!$S$4:$S$503,(_calc!$E$5-500)))=0,"",INDEX('My equipment'!$S$4:$S$503,(_calc!$E$5-500)))&amp;". ")&amp;IF(LEN(IF(LEN(INDEX('My equipment'!$U$4:$U$503,(_calc!$E$5-500)))=0,"",INDEX('My equipment'!$U$4:$U$503,(_calc!$E$5-500))))=0,"","Registered: "&amp;IF(LEN(INDEX('My equipment'!$U$4:$U$503,(_calc!$E$5-500)))=0,"",INDEX('My equipment'!$U$4:$U$503,(_calc!$E$5-500)))&amp;". ")&amp;IF(LEN(IF(LEN(INDEX('My equipment'!$V$4:$V$503,(_calc!$E$5-500)))=0,"",INDEX('My equipment'!$V$4:$V$503,(_calc!$E$5-500))))=0,"","Proof on file: "&amp;IF(LEN(INDEX('My equipment'!$V$4:$V$503,(_calc!$E$5-500)))=0,"",INDEX('My equipment'!$V$4:$V$503,(_calc!$E$5-500)))&amp;". ")&amp;IF(LEN(IF(LEN(INDEX('My equipment'!$W$4:$W$503,(_calc!$E$5-500)))=0,"",INDEX('My equipment'!$W$4:$W$503,(_calc!$E$5-500))))=0,"","Claim ref: "&amp;IF(LEN(INDEX('My equipment'!$W$4:$W$503,(_calc!$E$5-500)))=0,"",INDEX('My equipment'!$W$4:$W$503,(_calc!$E$5-500)))&amp;". ")&amp;IF(LEN(IF(LEN(INDEX('My equipment'!$Y$4:$Y$503,(_calc!$E$5-500)))=0,"",INDEX('My equipment'!$Y$4:$Y$503,(_calc!$E$5-500))))=0,"",IF(LEN(INDEX('My equipment'!$Y$4:$Y$503,(_calc!$E$5-500)))=0,"",INDEX('My equipment'!$Y$4:$Y$503,(_calc!$E$5-500)))))))</f>
        <v/>
      </c>
      <c r="G3" s="54">
        <f>IF(_calc!$E$5="","",IF(_calc!$E$5&lt;=500,"",IF(LEN(INDEX('My equipment'!$X$4:$X$503,(_calc!$E$5-500)))=0,"",INDEX('My equipment'!$X$4:$X$503,(_calc!$E$5-500)))))</f>
        <v/>
      </c>
      <c r="K3" s="54">
        <f>IF(_calc!$E$5="","",IF(_calc!$E$5&lt;=500,"",IF(LEN(INDEX('My equipment'!$T$4:$T$503,(_calc!$E$5-500)))=0,"",INDEX('My equipment'!$T$4:$T$503,(_calc!$E$5-500)))))</f>
        <v/>
      </c>
    </row>
    <row r="4">
      <c r="A4" s="54">
        <f>IF(_calc!$E$6="","",IF(_calc!$E$6&lt;=500,"Warranty – "&amp;IF(LEN(INDEX('Dealer pipeline'!$C$4:$C$503,_calc!$E$6))=0,"",INDEX('Dealer pipeline'!$C$4:$C$503,_calc!$E$6))&amp;" – "&amp;IF(LEN(INDEX('Dealer pipeline'!$D$4:$D$503,_calc!$E$6))=0,"",INDEX('Dealer pipeline'!$D$4:$D$503,_calc!$E$6))&amp;" – "&amp;IF(LEN(INDEX('Dealer pipeline'!$A$4:$A$503,_calc!$E$6))=0,"",INDEX('Dealer pipeline'!$A$4:$A$503,_calc!$E$6)),"Warranty – "&amp;IF(LEN(INDEX('My equipment'!$A$4:$A$503,(_calc!$E$6-500)))=0,"",INDEX('My equipment'!$A$4:$A$503,(_calc!$E$6-500)))&amp;" – "&amp;IF(LEN(INDEX('My equipment'!$D$4:$D$503,(_calc!$E$6-500)))=0,"",INDEX('My equipment'!$D$4:$D$503,(_calc!$E$6-500)))))</f>
        <v/>
      </c>
      <c r="B4" s="54">
        <f>IF(_calc!$E$6="","",IF(_calc!$E$6&lt;=500,IF(ISNUMBER(INDEX('Dealer pipeline'!$M$4:$M$503,_calc!$E$6)),TEXT(INDEX('Dealer pipeline'!$M$4:$M$503,_calc!$E$6),"yyyy-mm-dd"),""),IF(ISNUMBER(INDEX('My equipment'!$M$4:$M$503,(_calc!$E$6-500))),TEXT(INDEX('My equipment'!$M$4:$M$503,(_calc!$E$6-500)),"yyyy-mm-dd"),"")))</f>
        <v/>
      </c>
      <c r="C4" s="54">
        <f>IF(_calc!$E$6="","",IF(_calc!$E$6&lt;=500,"Warranty","Warranty"))</f>
        <v/>
      </c>
      <c r="D4" s="54">
        <f>IF(_calc!$E$6="","",IF(_calc!$E$6&lt;=500,IF(ISNUMBER(INDEX('Dealer pipeline'!$H$4:$H$503,_calc!$E$6)),TEXT(INDEX('Dealer pipeline'!$H$4:$H$503,_calc!$E$6),"yyyy-mm-dd"),""),IF(ISNUMBER(INDEX('My equipment'!$H$4:$H$503,(_calc!$E$6-500))),TEXT(INDEX('My equipment'!$H$4:$H$503,(_calc!$E$6-500)),"yyyy-mm-dd"),"")))</f>
        <v/>
      </c>
      <c r="F4" s="54">
        <f>IF(_calc!$E$6="","",IF(_calc!$E$6&lt;=500,TRIM(IF(LEN(IF(LEN(INDEX('Dealer pipeline'!$A$4:$A$503,_calc!$E$6))=0,"",INDEX('Dealer pipeline'!$A$4:$A$503,_calc!$E$6)))=0,"","Customer: "&amp;IF(LEN(INDEX('Dealer pipeline'!$A$4:$A$503,_calc!$E$6))=0,"",INDEX('Dealer pipeline'!$A$4:$A$503,_calc!$E$6))&amp;". ")&amp;IF(LEN(IF(LEN(INDEX('Dealer pipeline'!$B$4:$B$503,_calc!$E$6))=0,"",INDEX('Dealer pipeline'!$B$4:$B$503,_calc!$E$6)))=0,"","Contact: "&amp;IF(LEN(INDEX('Dealer pipeline'!$B$4:$B$503,_calc!$E$6))=0,"",INDEX('Dealer pipeline'!$B$4:$B$503,_calc!$E$6))&amp;". ")&amp;IF(LEN(IF(LEN(INDEX('Dealer pipeline'!$D$4:$D$503,_calc!$E$6))=0,"",INDEX('Dealer pipeline'!$D$4:$D$503,_calc!$E$6)))=0,"","Serial: "&amp;IF(LEN(INDEX('Dealer pipeline'!$D$4:$D$503,_calc!$E$6))=0,"",INDEX('Dealer pipeline'!$D$4:$D$503,_calc!$E$6))&amp;". ")&amp;IF(LEN(IF(ISNUMBER(INDEX('Dealer pipeline'!$J$4:$J$503,_calc!$E$6)),TEXT(INDEX('Dealer pipeline'!$J$4:$J$503,_calc!$E$6),"yyyy-mm-dd"),""))=0,"","Parts end: "&amp;IF(ISNUMBER(INDEX('Dealer pipeline'!$J$4:$J$503,_calc!$E$6)),TEXT(INDEX('Dealer pipeline'!$J$4:$J$503,_calc!$E$6),"yyyy-mm-dd"),"")&amp;". ")&amp;IF(LEN(IF(ISNUMBER(INDEX('Dealer pipeline'!$L$4:$L$503,_calc!$E$6)),TEXT(INDEX('Dealer pipeline'!$L$4:$L$503,_calc!$E$6),"yyyy-mm-dd"),""))=0,"","Labor end: "&amp;IF(ISNUMBER(INDEX('Dealer pipeline'!$L$4:$L$503,_calc!$E$6)),TEXT(INDEX('Dealer pipeline'!$L$4:$L$503,_calc!$E$6),"yyyy-mm-dd"),"")&amp;". ")&amp;IF(LEN(IF(LEN(INDEX('Dealer pipeline'!$Q$4:$Q$503,_calc!$E$6))=0,"",INDEX('Dealer pipeline'!$Q$4:$Q$503,_calc!$E$6)))=0,"","Status: "&amp;IF(LEN(INDEX('Dealer pipeline'!$Q$4:$Q$503,_calc!$E$6))=0,"",INDEX('Dealer pipeline'!$Q$4:$Q$503,_calc!$E$6))&amp;". ")&amp;IF(LEN(IF(LEN(INDEX('Dealer pipeline'!$P$4:$P$503,_calc!$E$6))=0,"",INDEX('Dealer pipeline'!$P$4:$P$503,_calc!$E$6)))=0,"","Last touch: "&amp;IF(LEN(INDEX('Dealer pipeline'!$P$4:$P$503,_calc!$E$6))=0,"",INDEX('Dealer pipeline'!$P$4:$P$503,_calc!$E$6))&amp;". ")&amp;IF(LEN(IF(LEN(INDEX('Dealer pipeline'!$R$4:$R$503,_calc!$E$6))=0,"",INDEX('Dealer pipeline'!$R$4:$R$503,_calc!$E$6)))=0,"","Owner: "&amp;IF(LEN(INDEX('Dealer pipeline'!$R$4:$R$503,_calc!$E$6))=0,"",INDEX('Dealer pipeline'!$R$4:$R$503,_calc!$E$6))&amp;". ")&amp;IF(LEN(IF(LEN(INDEX('Dealer pipeline'!$S$4:$S$503,_calc!$E$6))=0,"",INDEX('Dealer pipeline'!$S$4:$S$503,_calc!$E$6)))=0,"","Backup: "&amp;IF(LEN(INDEX('Dealer pipeline'!$S$4:$S$503,_calc!$E$6))=0,"",INDEX('Dealer pipeline'!$S$4:$S$503,_calc!$E$6))&amp;". ")&amp;IF(LEN(IF(LEN(INDEX('Dealer pipeline'!$T$4:$T$503,_calc!$E$6))=0,"",INDEX('Dealer pipeline'!$T$4:$T$503,_calc!$E$6)))=0,"",IF(LEN(INDEX('Dealer pipeline'!$T$4:$T$503,_calc!$E$6))=0,"",INDEX('Dealer pipeline'!$T$4:$T$503,_calc!$E$6)))),TRIM(IF(LEN(IF(LEN(INDEX('My equipment'!$C$4:$C$503,(_calc!$E$6-500)))=0,"",INDEX('My equipment'!$C$4:$C$503,(_calc!$E$6-500))))=0,"","Model: "&amp;IF(LEN(INDEX('My equipment'!$C$4:$C$503,(_calc!$E$6-500)))=0,"",INDEX('My equipment'!$C$4:$C$503,(_calc!$E$6-500)))&amp;". ")&amp;IF(LEN(IF(LEN(INDEX('My equipment'!$D$4:$D$503,(_calc!$E$6-500)))=0,"",INDEX('My equipment'!$D$4:$D$503,(_calc!$E$6-500))))=0,"","Serial: "&amp;IF(LEN(INDEX('My equipment'!$D$4:$D$503,(_calc!$E$6-500)))=0,"",INDEX('My equipment'!$D$4:$D$503,(_calc!$E$6-500)))&amp;". ")&amp;IF(LEN(IF(ISNUMBER(INDEX('My equipment'!$J$4:$J$503,(_calc!$E$6-500))),TEXT(INDEX('My equipment'!$J$4:$J$503,(_calc!$E$6-500)),"yyyy-mm-dd"),""))=0,"","Parts end: "&amp;IF(ISNUMBER(INDEX('My equipment'!$J$4:$J$503,(_calc!$E$6-500))),TEXT(INDEX('My equipment'!$J$4:$J$503,(_calc!$E$6-500)),"yyyy-mm-dd"),"")&amp;". ")&amp;IF(LEN(IF(ISNUMBER(INDEX('My equipment'!$L$4:$L$503,(_calc!$E$6-500))),TEXT(INDEX('My equipment'!$L$4:$L$503,(_calc!$E$6-500)),"yyyy-mm-dd"),""))=0,"","Labor end: "&amp;IF(ISNUMBER(INDEX('My equipment'!$L$4:$L$503,(_calc!$E$6-500))),TEXT(INDEX('My equipment'!$L$4:$L$503,(_calc!$E$6-500)),"yyyy-mm-dd"),"")&amp;". ")&amp;IF(LEN(IF(ISNUMBER(INDEX('My equipment'!$P$4:$P$503,(_calc!$E$6-500))),TEXT(INDEX('My equipment'!$P$4:$P$503,(_calc!$E$6-500)),"yyyy-mm-dd"),""))=0,"","Check by: "&amp;IF(ISNUMBER(INDEX('My equipment'!$P$4:$P$503,(_calc!$E$6-500))),TEXT(INDEX('My equipment'!$P$4:$P$503,(_calc!$E$6-500)),"yyyy-mm-dd"),"")&amp;". ")&amp;IF(LEN(IF(LEN(INDEX('My equipment'!$Q$4:$Q$503,(_calc!$E$6-500)))=0,"",INDEX('My equipment'!$Q$4:$Q$503,(_calc!$E$6-500))))=0,"","Claim status: "&amp;IF(LEN(INDEX('My equipment'!$Q$4:$Q$503,(_calc!$E$6-500)))=0,"",INDEX('My equipment'!$Q$4:$Q$503,(_calc!$E$6-500)))&amp;". ")&amp;IF(LEN(IF(LEN(INDEX('My equipment'!$R$4:$R$503,(_calc!$E$6-500)))=0,"",INDEX('My equipment'!$R$4:$R$503,(_calc!$E$6-500))))=0,"","Claims contact: "&amp;IF(LEN(INDEX('My equipment'!$R$4:$R$503,(_calc!$E$6-500)))=0,"",INDEX('My equipment'!$R$4:$R$503,(_calc!$E$6-500)))&amp;". ")&amp;IF(LEN(IF(LEN(INDEX('My equipment'!$S$4:$S$503,(_calc!$E$6-500)))=0,"",INDEX('My equipment'!$S$4:$S$503,(_calc!$E$6-500))))=0,"","Claims email: "&amp;IF(LEN(INDEX('My equipment'!$S$4:$S$503,(_calc!$E$6-500)))=0,"",INDEX('My equipment'!$S$4:$S$503,(_calc!$E$6-500)))&amp;". ")&amp;IF(LEN(IF(LEN(INDEX('My equipment'!$U$4:$U$503,(_calc!$E$6-500)))=0,"",INDEX('My equipment'!$U$4:$U$503,(_calc!$E$6-500))))=0,"","Registered: "&amp;IF(LEN(INDEX('My equipment'!$U$4:$U$503,(_calc!$E$6-500)))=0,"",INDEX('My equipment'!$U$4:$U$503,(_calc!$E$6-500)))&amp;". ")&amp;IF(LEN(IF(LEN(INDEX('My equipment'!$V$4:$V$503,(_calc!$E$6-500)))=0,"",INDEX('My equipment'!$V$4:$V$503,(_calc!$E$6-500))))=0,"","Proof on file: "&amp;IF(LEN(INDEX('My equipment'!$V$4:$V$503,(_calc!$E$6-500)))=0,"",INDEX('My equipment'!$V$4:$V$503,(_calc!$E$6-500)))&amp;". ")&amp;IF(LEN(IF(LEN(INDEX('My equipment'!$W$4:$W$503,(_calc!$E$6-500)))=0,"",INDEX('My equipment'!$W$4:$W$503,(_calc!$E$6-500))))=0,"","Claim ref: "&amp;IF(LEN(INDEX('My equipment'!$W$4:$W$503,(_calc!$E$6-500)))=0,"",INDEX('My equipment'!$W$4:$W$503,(_calc!$E$6-500)))&amp;". ")&amp;IF(LEN(IF(LEN(INDEX('My equipment'!$Y$4:$Y$503,(_calc!$E$6-500)))=0,"",INDEX('My equipment'!$Y$4:$Y$503,(_calc!$E$6-500))))=0,"",IF(LEN(INDEX('My equipment'!$Y$4:$Y$503,(_calc!$E$6-500)))=0,"",INDEX('My equipment'!$Y$4:$Y$503,(_calc!$E$6-500)))))))</f>
        <v/>
      </c>
      <c r="G4" s="54">
        <f>IF(_calc!$E$6="","",IF(_calc!$E$6&lt;=500,"",IF(LEN(INDEX('My equipment'!$X$4:$X$503,(_calc!$E$6-500)))=0,"",INDEX('My equipment'!$X$4:$X$503,(_calc!$E$6-500)))))</f>
        <v/>
      </c>
      <c r="K4" s="54">
        <f>IF(_calc!$E$6="","",IF(_calc!$E$6&lt;=500,"",IF(LEN(INDEX('My equipment'!$T$4:$T$503,(_calc!$E$6-500)))=0,"",INDEX('My equipment'!$T$4:$T$503,(_calc!$E$6-500)))))</f>
        <v/>
      </c>
    </row>
    <row r="5">
      <c r="A5" s="54">
        <f>IF(_calc!$E$7="","",IF(_calc!$E$7&lt;=500,"Warranty – "&amp;IF(LEN(INDEX('Dealer pipeline'!$C$4:$C$503,_calc!$E$7))=0,"",INDEX('Dealer pipeline'!$C$4:$C$503,_calc!$E$7))&amp;" – "&amp;IF(LEN(INDEX('Dealer pipeline'!$D$4:$D$503,_calc!$E$7))=0,"",INDEX('Dealer pipeline'!$D$4:$D$503,_calc!$E$7))&amp;" – "&amp;IF(LEN(INDEX('Dealer pipeline'!$A$4:$A$503,_calc!$E$7))=0,"",INDEX('Dealer pipeline'!$A$4:$A$503,_calc!$E$7)),"Warranty – "&amp;IF(LEN(INDEX('My equipment'!$A$4:$A$503,(_calc!$E$7-500)))=0,"",INDEX('My equipment'!$A$4:$A$503,(_calc!$E$7-500)))&amp;" – "&amp;IF(LEN(INDEX('My equipment'!$D$4:$D$503,(_calc!$E$7-500)))=0,"",INDEX('My equipment'!$D$4:$D$503,(_calc!$E$7-500)))))</f>
        <v/>
      </c>
      <c r="B5" s="54">
        <f>IF(_calc!$E$7="","",IF(_calc!$E$7&lt;=500,IF(ISNUMBER(INDEX('Dealer pipeline'!$M$4:$M$503,_calc!$E$7)),TEXT(INDEX('Dealer pipeline'!$M$4:$M$503,_calc!$E$7),"yyyy-mm-dd"),""),IF(ISNUMBER(INDEX('My equipment'!$M$4:$M$503,(_calc!$E$7-500))),TEXT(INDEX('My equipment'!$M$4:$M$503,(_calc!$E$7-500)),"yyyy-mm-dd"),"")))</f>
        <v/>
      </c>
      <c r="C5" s="54">
        <f>IF(_calc!$E$7="","",IF(_calc!$E$7&lt;=500,"Warranty","Warranty"))</f>
        <v/>
      </c>
      <c r="D5" s="54">
        <f>IF(_calc!$E$7="","",IF(_calc!$E$7&lt;=500,IF(ISNUMBER(INDEX('Dealer pipeline'!$H$4:$H$503,_calc!$E$7)),TEXT(INDEX('Dealer pipeline'!$H$4:$H$503,_calc!$E$7),"yyyy-mm-dd"),""),IF(ISNUMBER(INDEX('My equipment'!$H$4:$H$503,(_calc!$E$7-500))),TEXT(INDEX('My equipment'!$H$4:$H$503,(_calc!$E$7-500)),"yyyy-mm-dd"),"")))</f>
        <v/>
      </c>
      <c r="F5" s="54">
        <f>IF(_calc!$E$7="","",IF(_calc!$E$7&lt;=500,TRIM(IF(LEN(IF(LEN(INDEX('Dealer pipeline'!$A$4:$A$503,_calc!$E$7))=0,"",INDEX('Dealer pipeline'!$A$4:$A$503,_calc!$E$7)))=0,"","Customer: "&amp;IF(LEN(INDEX('Dealer pipeline'!$A$4:$A$503,_calc!$E$7))=0,"",INDEX('Dealer pipeline'!$A$4:$A$503,_calc!$E$7))&amp;". ")&amp;IF(LEN(IF(LEN(INDEX('Dealer pipeline'!$B$4:$B$503,_calc!$E$7))=0,"",INDEX('Dealer pipeline'!$B$4:$B$503,_calc!$E$7)))=0,"","Contact: "&amp;IF(LEN(INDEX('Dealer pipeline'!$B$4:$B$503,_calc!$E$7))=0,"",INDEX('Dealer pipeline'!$B$4:$B$503,_calc!$E$7))&amp;". ")&amp;IF(LEN(IF(LEN(INDEX('Dealer pipeline'!$D$4:$D$503,_calc!$E$7))=0,"",INDEX('Dealer pipeline'!$D$4:$D$503,_calc!$E$7)))=0,"","Serial: "&amp;IF(LEN(INDEX('Dealer pipeline'!$D$4:$D$503,_calc!$E$7))=0,"",INDEX('Dealer pipeline'!$D$4:$D$503,_calc!$E$7))&amp;". ")&amp;IF(LEN(IF(ISNUMBER(INDEX('Dealer pipeline'!$J$4:$J$503,_calc!$E$7)),TEXT(INDEX('Dealer pipeline'!$J$4:$J$503,_calc!$E$7),"yyyy-mm-dd"),""))=0,"","Parts end: "&amp;IF(ISNUMBER(INDEX('Dealer pipeline'!$J$4:$J$503,_calc!$E$7)),TEXT(INDEX('Dealer pipeline'!$J$4:$J$503,_calc!$E$7),"yyyy-mm-dd"),"")&amp;". ")&amp;IF(LEN(IF(ISNUMBER(INDEX('Dealer pipeline'!$L$4:$L$503,_calc!$E$7)),TEXT(INDEX('Dealer pipeline'!$L$4:$L$503,_calc!$E$7),"yyyy-mm-dd"),""))=0,"","Labor end: "&amp;IF(ISNUMBER(INDEX('Dealer pipeline'!$L$4:$L$503,_calc!$E$7)),TEXT(INDEX('Dealer pipeline'!$L$4:$L$503,_calc!$E$7),"yyyy-mm-dd"),"")&amp;". ")&amp;IF(LEN(IF(LEN(INDEX('Dealer pipeline'!$Q$4:$Q$503,_calc!$E$7))=0,"",INDEX('Dealer pipeline'!$Q$4:$Q$503,_calc!$E$7)))=0,"","Status: "&amp;IF(LEN(INDEX('Dealer pipeline'!$Q$4:$Q$503,_calc!$E$7))=0,"",INDEX('Dealer pipeline'!$Q$4:$Q$503,_calc!$E$7))&amp;". ")&amp;IF(LEN(IF(LEN(INDEX('Dealer pipeline'!$P$4:$P$503,_calc!$E$7))=0,"",INDEX('Dealer pipeline'!$P$4:$P$503,_calc!$E$7)))=0,"","Last touch: "&amp;IF(LEN(INDEX('Dealer pipeline'!$P$4:$P$503,_calc!$E$7))=0,"",INDEX('Dealer pipeline'!$P$4:$P$503,_calc!$E$7))&amp;". ")&amp;IF(LEN(IF(LEN(INDEX('Dealer pipeline'!$R$4:$R$503,_calc!$E$7))=0,"",INDEX('Dealer pipeline'!$R$4:$R$503,_calc!$E$7)))=0,"","Owner: "&amp;IF(LEN(INDEX('Dealer pipeline'!$R$4:$R$503,_calc!$E$7))=0,"",INDEX('Dealer pipeline'!$R$4:$R$503,_calc!$E$7))&amp;". ")&amp;IF(LEN(IF(LEN(INDEX('Dealer pipeline'!$S$4:$S$503,_calc!$E$7))=0,"",INDEX('Dealer pipeline'!$S$4:$S$503,_calc!$E$7)))=0,"","Backup: "&amp;IF(LEN(INDEX('Dealer pipeline'!$S$4:$S$503,_calc!$E$7))=0,"",INDEX('Dealer pipeline'!$S$4:$S$503,_calc!$E$7))&amp;". ")&amp;IF(LEN(IF(LEN(INDEX('Dealer pipeline'!$T$4:$T$503,_calc!$E$7))=0,"",INDEX('Dealer pipeline'!$T$4:$T$503,_calc!$E$7)))=0,"",IF(LEN(INDEX('Dealer pipeline'!$T$4:$T$503,_calc!$E$7))=0,"",INDEX('Dealer pipeline'!$T$4:$T$503,_calc!$E$7)))),TRIM(IF(LEN(IF(LEN(INDEX('My equipment'!$C$4:$C$503,(_calc!$E$7-500)))=0,"",INDEX('My equipment'!$C$4:$C$503,(_calc!$E$7-500))))=0,"","Model: "&amp;IF(LEN(INDEX('My equipment'!$C$4:$C$503,(_calc!$E$7-500)))=0,"",INDEX('My equipment'!$C$4:$C$503,(_calc!$E$7-500)))&amp;". ")&amp;IF(LEN(IF(LEN(INDEX('My equipment'!$D$4:$D$503,(_calc!$E$7-500)))=0,"",INDEX('My equipment'!$D$4:$D$503,(_calc!$E$7-500))))=0,"","Serial: "&amp;IF(LEN(INDEX('My equipment'!$D$4:$D$503,(_calc!$E$7-500)))=0,"",INDEX('My equipment'!$D$4:$D$503,(_calc!$E$7-500)))&amp;". ")&amp;IF(LEN(IF(ISNUMBER(INDEX('My equipment'!$J$4:$J$503,(_calc!$E$7-500))),TEXT(INDEX('My equipment'!$J$4:$J$503,(_calc!$E$7-500)),"yyyy-mm-dd"),""))=0,"","Parts end: "&amp;IF(ISNUMBER(INDEX('My equipment'!$J$4:$J$503,(_calc!$E$7-500))),TEXT(INDEX('My equipment'!$J$4:$J$503,(_calc!$E$7-500)),"yyyy-mm-dd"),"")&amp;". ")&amp;IF(LEN(IF(ISNUMBER(INDEX('My equipment'!$L$4:$L$503,(_calc!$E$7-500))),TEXT(INDEX('My equipment'!$L$4:$L$503,(_calc!$E$7-500)),"yyyy-mm-dd"),""))=0,"","Labor end: "&amp;IF(ISNUMBER(INDEX('My equipment'!$L$4:$L$503,(_calc!$E$7-500))),TEXT(INDEX('My equipment'!$L$4:$L$503,(_calc!$E$7-500)),"yyyy-mm-dd"),"")&amp;". ")&amp;IF(LEN(IF(ISNUMBER(INDEX('My equipment'!$P$4:$P$503,(_calc!$E$7-500))),TEXT(INDEX('My equipment'!$P$4:$P$503,(_calc!$E$7-500)),"yyyy-mm-dd"),""))=0,"","Check by: "&amp;IF(ISNUMBER(INDEX('My equipment'!$P$4:$P$503,(_calc!$E$7-500))),TEXT(INDEX('My equipment'!$P$4:$P$503,(_calc!$E$7-500)),"yyyy-mm-dd"),"")&amp;". ")&amp;IF(LEN(IF(LEN(INDEX('My equipment'!$Q$4:$Q$503,(_calc!$E$7-500)))=0,"",INDEX('My equipment'!$Q$4:$Q$503,(_calc!$E$7-500))))=0,"","Claim status: "&amp;IF(LEN(INDEX('My equipment'!$Q$4:$Q$503,(_calc!$E$7-500)))=0,"",INDEX('My equipment'!$Q$4:$Q$503,(_calc!$E$7-500)))&amp;". ")&amp;IF(LEN(IF(LEN(INDEX('My equipment'!$R$4:$R$503,(_calc!$E$7-500)))=0,"",INDEX('My equipment'!$R$4:$R$503,(_calc!$E$7-500))))=0,"","Claims contact: "&amp;IF(LEN(INDEX('My equipment'!$R$4:$R$503,(_calc!$E$7-500)))=0,"",INDEX('My equipment'!$R$4:$R$503,(_calc!$E$7-500)))&amp;". ")&amp;IF(LEN(IF(LEN(INDEX('My equipment'!$S$4:$S$503,(_calc!$E$7-500)))=0,"",INDEX('My equipment'!$S$4:$S$503,(_calc!$E$7-500))))=0,"","Claims email: "&amp;IF(LEN(INDEX('My equipment'!$S$4:$S$503,(_calc!$E$7-500)))=0,"",INDEX('My equipment'!$S$4:$S$503,(_calc!$E$7-500)))&amp;". ")&amp;IF(LEN(IF(LEN(INDEX('My equipment'!$U$4:$U$503,(_calc!$E$7-500)))=0,"",INDEX('My equipment'!$U$4:$U$503,(_calc!$E$7-500))))=0,"","Registered: "&amp;IF(LEN(INDEX('My equipment'!$U$4:$U$503,(_calc!$E$7-500)))=0,"",INDEX('My equipment'!$U$4:$U$503,(_calc!$E$7-500)))&amp;". ")&amp;IF(LEN(IF(LEN(INDEX('My equipment'!$V$4:$V$503,(_calc!$E$7-500)))=0,"",INDEX('My equipment'!$V$4:$V$503,(_calc!$E$7-500))))=0,"","Proof on file: "&amp;IF(LEN(INDEX('My equipment'!$V$4:$V$503,(_calc!$E$7-500)))=0,"",INDEX('My equipment'!$V$4:$V$503,(_calc!$E$7-500)))&amp;". ")&amp;IF(LEN(IF(LEN(INDEX('My equipment'!$W$4:$W$503,(_calc!$E$7-500)))=0,"",INDEX('My equipment'!$W$4:$W$503,(_calc!$E$7-500))))=0,"","Claim ref: "&amp;IF(LEN(INDEX('My equipment'!$W$4:$W$503,(_calc!$E$7-500)))=0,"",INDEX('My equipment'!$W$4:$W$503,(_calc!$E$7-500)))&amp;". ")&amp;IF(LEN(IF(LEN(INDEX('My equipment'!$Y$4:$Y$503,(_calc!$E$7-500)))=0,"",INDEX('My equipment'!$Y$4:$Y$503,(_calc!$E$7-500))))=0,"",IF(LEN(INDEX('My equipment'!$Y$4:$Y$503,(_calc!$E$7-500)))=0,"",INDEX('My equipment'!$Y$4:$Y$503,(_calc!$E$7-500)))))))</f>
        <v/>
      </c>
      <c r="G5" s="54">
        <f>IF(_calc!$E$7="","",IF(_calc!$E$7&lt;=500,"",IF(LEN(INDEX('My equipment'!$X$4:$X$503,(_calc!$E$7-500)))=0,"",INDEX('My equipment'!$X$4:$X$503,(_calc!$E$7-500)))))</f>
        <v/>
      </c>
      <c r="K5" s="54">
        <f>IF(_calc!$E$7="","",IF(_calc!$E$7&lt;=500,"",IF(LEN(INDEX('My equipment'!$T$4:$T$503,(_calc!$E$7-500)))=0,"",INDEX('My equipment'!$T$4:$T$503,(_calc!$E$7-500)))))</f>
        <v/>
      </c>
    </row>
    <row r="6">
      <c r="A6" s="54">
        <f>IF(_calc!$E$8="","",IF(_calc!$E$8&lt;=500,"Warranty – "&amp;IF(LEN(INDEX('Dealer pipeline'!$C$4:$C$503,_calc!$E$8))=0,"",INDEX('Dealer pipeline'!$C$4:$C$503,_calc!$E$8))&amp;" – "&amp;IF(LEN(INDEX('Dealer pipeline'!$D$4:$D$503,_calc!$E$8))=0,"",INDEX('Dealer pipeline'!$D$4:$D$503,_calc!$E$8))&amp;" – "&amp;IF(LEN(INDEX('Dealer pipeline'!$A$4:$A$503,_calc!$E$8))=0,"",INDEX('Dealer pipeline'!$A$4:$A$503,_calc!$E$8)),"Warranty – "&amp;IF(LEN(INDEX('My equipment'!$A$4:$A$503,(_calc!$E$8-500)))=0,"",INDEX('My equipment'!$A$4:$A$503,(_calc!$E$8-500)))&amp;" – "&amp;IF(LEN(INDEX('My equipment'!$D$4:$D$503,(_calc!$E$8-500)))=0,"",INDEX('My equipment'!$D$4:$D$503,(_calc!$E$8-500)))))</f>
        <v/>
      </c>
      <c r="B6" s="54">
        <f>IF(_calc!$E$8="","",IF(_calc!$E$8&lt;=500,IF(ISNUMBER(INDEX('Dealer pipeline'!$M$4:$M$503,_calc!$E$8)),TEXT(INDEX('Dealer pipeline'!$M$4:$M$503,_calc!$E$8),"yyyy-mm-dd"),""),IF(ISNUMBER(INDEX('My equipment'!$M$4:$M$503,(_calc!$E$8-500))),TEXT(INDEX('My equipment'!$M$4:$M$503,(_calc!$E$8-500)),"yyyy-mm-dd"),"")))</f>
        <v/>
      </c>
      <c r="C6" s="54">
        <f>IF(_calc!$E$8="","",IF(_calc!$E$8&lt;=500,"Warranty","Warranty"))</f>
        <v/>
      </c>
      <c r="D6" s="54">
        <f>IF(_calc!$E$8="","",IF(_calc!$E$8&lt;=500,IF(ISNUMBER(INDEX('Dealer pipeline'!$H$4:$H$503,_calc!$E$8)),TEXT(INDEX('Dealer pipeline'!$H$4:$H$503,_calc!$E$8),"yyyy-mm-dd"),""),IF(ISNUMBER(INDEX('My equipment'!$H$4:$H$503,(_calc!$E$8-500))),TEXT(INDEX('My equipment'!$H$4:$H$503,(_calc!$E$8-500)),"yyyy-mm-dd"),"")))</f>
        <v/>
      </c>
      <c r="F6" s="54">
        <f>IF(_calc!$E$8="","",IF(_calc!$E$8&lt;=500,TRIM(IF(LEN(IF(LEN(INDEX('Dealer pipeline'!$A$4:$A$503,_calc!$E$8))=0,"",INDEX('Dealer pipeline'!$A$4:$A$503,_calc!$E$8)))=0,"","Customer: "&amp;IF(LEN(INDEX('Dealer pipeline'!$A$4:$A$503,_calc!$E$8))=0,"",INDEX('Dealer pipeline'!$A$4:$A$503,_calc!$E$8))&amp;". ")&amp;IF(LEN(IF(LEN(INDEX('Dealer pipeline'!$B$4:$B$503,_calc!$E$8))=0,"",INDEX('Dealer pipeline'!$B$4:$B$503,_calc!$E$8)))=0,"","Contact: "&amp;IF(LEN(INDEX('Dealer pipeline'!$B$4:$B$503,_calc!$E$8))=0,"",INDEX('Dealer pipeline'!$B$4:$B$503,_calc!$E$8))&amp;". ")&amp;IF(LEN(IF(LEN(INDEX('Dealer pipeline'!$D$4:$D$503,_calc!$E$8))=0,"",INDEX('Dealer pipeline'!$D$4:$D$503,_calc!$E$8)))=0,"","Serial: "&amp;IF(LEN(INDEX('Dealer pipeline'!$D$4:$D$503,_calc!$E$8))=0,"",INDEX('Dealer pipeline'!$D$4:$D$503,_calc!$E$8))&amp;". ")&amp;IF(LEN(IF(ISNUMBER(INDEX('Dealer pipeline'!$J$4:$J$503,_calc!$E$8)),TEXT(INDEX('Dealer pipeline'!$J$4:$J$503,_calc!$E$8),"yyyy-mm-dd"),""))=0,"","Parts end: "&amp;IF(ISNUMBER(INDEX('Dealer pipeline'!$J$4:$J$503,_calc!$E$8)),TEXT(INDEX('Dealer pipeline'!$J$4:$J$503,_calc!$E$8),"yyyy-mm-dd"),"")&amp;". ")&amp;IF(LEN(IF(ISNUMBER(INDEX('Dealer pipeline'!$L$4:$L$503,_calc!$E$8)),TEXT(INDEX('Dealer pipeline'!$L$4:$L$503,_calc!$E$8),"yyyy-mm-dd"),""))=0,"","Labor end: "&amp;IF(ISNUMBER(INDEX('Dealer pipeline'!$L$4:$L$503,_calc!$E$8)),TEXT(INDEX('Dealer pipeline'!$L$4:$L$503,_calc!$E$8),"yyyy-mm-dd"),"")&amp;". ")&amp;IF(LEN(IF(LEN(INDEX('Dealer pipeline'!$Q$4:$Q$503,_calc!$E$8))=0,"",INDEX('Dealer pipeline'!$Q$4:$Q$503,_calc!$E$8)))=0,"","Status: "&amp;IF(LEN(INDEX('Dealer pipeline'!$Q$4:$Q$503,_calc!$E$8))=0,"",INDEX('Dealer pipeline'!$Q$4:$Q$503,_calc!$E$8))&amp;". ")&amp;IF(LEN(IF(LEN(INDEX('Dealer pipeline'!$P$4:$P$503,_calc!$E$8))=0,"",INDEX('Dealer pipeline'!$P$4:$P$503,_calc!$E$8)))=0,"","Last touch: "&amp;IF(LEN(INDEX('Dealer pipeline'!$P$4:$P$503,_calc!$E$8))=0,"",INDEX('Dealer pipeline'!$P$4:$P$503,_calc!$E$8))&amp;". ")&amp;IF(LEN(IF(LEN(INDEX('Dealer pipeline'!$R$4:$R$503,_calc!$E$8))=0,"",INDEX('Dealer pipeline'!$R$4:$R$503,_calc!$E$8)))=0,"","Owner: "&amp;IF(LEN(INDEX('Dealer pipeline'!$R$4:$R$503,_calc!$E$8))=0,"",INDEX('Dealer pipeline'!$R$4:$R$503,_calc!$E$8))&amp;". ")&amp;IF(LEN(IF(LEN(INDEX('Dealer pipeline'!$S$4:$S$503,_calc!$E$8))=0,"",INDEX('Dealer pipeline'!$S$4:$S$503,_calc!$E$8)))=0,"","Backup: "&amp;IF(LEN(INDEX('Dealer pipeline'!$S$4:$S$503,_calc!$E$8))=0,"",INDEX('Dealer pipeline'!$S$4:$S$503,_calc!$E$8))&amp;". ")&amp;IF(LEN(IF(LEN(INDEX('Dealer pipeline'!$T$4:$T$503,_calc!$E$8))=0,"",INDEX('Dealer pipeline'!$T$4:$T$503,_calc!$E$8)))=0,"",IF(LEN(INDEX('Dealer pipeline'!$T$4:$T$503,_calc!$E$8))=0,"",INDEX('Dealer pipeline'!$T$4:$T$503,_calc!$E$8)))),TRIM(IF(LEN(IF(LEN(INDEX('My equipment'!$C$4:$C$503,(_calc!$E$8-500)))=0,"",INDEX('My equipment'!$C$4:$C$503,(_calc!$E$8-500))))=0,"","Model: "&amp;IF(LEN(INDEX('My equipment'!$C$4:$C$503,(_calc!$E$8-500)))=0,"",INDEX('My equipment'!$C$4:$C$503,(_calc!$E$8-500)))&amp;". ")&amp;IF(LEN(IF(LEN(INDEX('My equipment'!$D$4:$D$503,(_calc!$E$8-500)))=0,"",INDEX('My equipment'!$D$4:$D$503,(_calc!$E$8-500))))=0,"","Serial: "&amp;IF(LEN(INDEX('My equipment'!$D$4:$D$503,(_calc!$E$8-500)))=0,"",INDEX('My equipment'!$D$4:$D$503,(_calc!$E$8-500)))&amp;". ")&amp;IF(LEN(IF(ISNUMBER(INDEX('My equipment'!$J$4:$J$503,(_calc!$E$8-500))),TEXT(INDEX('My equipment'!$J$4:$J$503,(_calc!$E$8-500)),"yyyy-mm-dd"),""))=0,"","Parts end: "&amp;IF(ISNUMBER(INDEX('My equipment'!$J$4:$J$503,(_calc!$E$8-500))),TEXT(INDEX('My equipment'!$J$4:$J$503,(_calc!$E$8-500)),"yyyy-mm-dd"),"")&amp;". ")&amp;IF(LEN(IF(ISNUMBER(INDEX('My equipment'!$L$4:$L$503,(_calc!$E$8-500))),TEXT(INDEX('My equipment'!$L$4:$L$503,(_calc!$E$8-500)),"yyyy-mm-dd"),""))=0,"","Labor end: "&amp;IF(ISNUMBER(INDEX('My equipment'!$L$4:$L$503,(_calc!$E$8-500))),TEXT(INDEX('My equipment'!$L$4:$L$503,(_calc!$E$8-500)),"yyyy-mm-dd"),"")&amp;". ")&amp;IF(LEN(IF(ISNUMBER(INDEX('My equipment'!$P$4:$P$503,(_calc!$E$8-500))),TEXT(INDEX('My equipment'!$P$4:$P$503,(_calc!$E$8-500)),"yyyy-mm-dd"),""))=0,"","Check by: "&amp;IF(ISNUMBER(INDEX('My equipment'!$P$4:$P$503,(_calc!$E$8-500))),TEXT(INDEX('My equipment'!$P$4:$P$503,(_calc!$E$8-500)),"yyyy-mm-dd"),"")&amp;". ")&amp;IF(LEN(IF(LEN(INDEX('My equipment'!$Q$4:$Q$503,(_calc!$E$8-500)))=0,"",INDEX('My equipment'!$Q$4:$Q$503,(_calc!$E$8-500))))=0,"","Claim status: "&amp;IF(LEN(INDEX('My equipment'!$Q$4:$Q$503,(_calc!$E$8-500)))=0,"",INDEX('My equipment'!$Q$4:$Q$503,(_calc!$E$8-500)))&amp;". ")&amp;IF(LEN(IF(LEN(INDEX('My equipment'!$R$4:$R$503,(_calc!$E$8-500)))=0,"",INDEX('My equipment'!$R$4:$R$503,(_calc!$E$8-500))))=0,"","Claims contact: "&amp;IF(LEN(INDEX('My equipment'!$R$4:$R$503,(_calc!$E$8-500)))=0,"",INDEX('My equipment'!$R$4:$R$503,(_calc!$E$8-500)))&amp;". ")&amp;IF(LEN(IF(LEN(INDEX('My equipment'!$S$4:$S$503,(_calc!$E$8-500)))=0,"",INDEX('My equipment'!$S$4:$S$503,(_calc!$E$8-500))))=0,"","Claims email: "&amp;IF(LEN(INDEX('My equipment'!$S$4:$S$503,(_calc!$E$8-500)))=0,"",INDEX('My equipment'!$S$4:$S$503,(_calc!$E$8-500)))&amp;". ")&amp;IF(LEN(IF(LEN(INDEX('My equipment'!$U$4:$U$503,(_calc!$E$8-500)))=0,"",INDEX('My equipment'!$U$4:$U$503,(_calc!$E$8-500))))=0,"","Registered: "&amp;IF(LEN(INDEX('My equipment'!$U$4:$U$503,(_calc!$E$8-500)))=0,"",INDEX('My equipment'!$U$4:$U$503,(_calc!$E$8-500)))&amp;". ")&amp;IF(LEN(IF(LEN(INDEX('My equipment'!$V$4:$V$503,(_calc!$E$8-500)))=0,"",INDEX('My equipment'!$V$4:$V$503,(_calc!$E$8-500))))=0,"","Proof on file: "&amp;IF(LEN(INDEX('My equipment'!$V$4:$V$503,(_calc!$E$8-500)))=0,"",INDEX('My equipment'!$V$4:$V$503,(_calc!$E$8-500)))&amp;". ")&amp;IF(LEN(IF(LEN(INDEX('My equipment'!$W$4:$W$503,(_calc!$E$8-500)))=0,"",INDEX('My equipment'!$W$4:$W$503,(_calc!$E$8-500))))=0,"","Claim ref: "&amp;IF(LEN(INDEX('My equipment'!$W$4:$W$503,(_calc!$E$8-500)))=0,"",INDEX('My equipment'!$W$4:$W$503,(_calc!$E$8-500)))&amp;". ")&amp;IF(LEN(IF(LEN(INDEX('My equipment'!$Y$4:$Y$503,(_calc!$E$8-500)))=0,"",INDEX('My equipment'!$Y$4:$Y$503,(_calc!$E$8-500))))=0,"",IF(LEN(INDEX('My equipment'!$Y$4:$Y$503,(_calc!$E$8-500)))=0,"",INDEX('My equipment'!$Y$4:$Y$503,(_calc!$E$8-500)))))))</f>
        <v/>
      </c>
      <c r="G6" s="54">
        <f>IF(_calc!$E$8="","",IF(_calc!$E$8&lt;=500,"",IF(LEN(INDEX('My equipment'!$X$4:$X$503,(_calc!$E$8-500)))=0,"",INDEX('My equipment'!$X$4:$X$503,(_calc!$E$8-500)))))</f>
        <v/>
      </c>
      <c r="K6" s="54">
        <f>IF(_calc!$E$8="","",IF(_calc!$E$8&lt;=500,"",IF(LEN(INDEX('My equipment'!$T$4:$T$503,(_calc!$E$8-500)))=0,"",INDEX('My equipment'!$T$4:$T$503,(_calc!$E$8-500)))))</f>
        <v/>
      </c>
    </row>
    <row r="7">
      <c r="A7" s="54">
        <f>IF(_calc!$E$9="","",IF(_calc!$E$9&lt;=500,"Warranty – "&amp;IF(LEN(INDEX('Dealer pipeline'!$C$4:$C$503,_calc!$E$9))=0,"",INDEX('Dealer pipeline'!$C$4:$C$503,_calc!$E$9))&amp;" – "&amp;IF(LEN(INDEX('Dealer pipeline'!$D$4:$D$503,_calc!$E$9))=0,"",INDEX('Dealer pipeline'!$D$4:$D$503,_calc!$E$9))&amp;" – "&amp;IF(LEN(INDEX('Dealer pipeline'!$A$4:$A$503,_calc!$E$9))=0,"",INDEX('Dealer pipeline'!$A$4:$A$503,_calc!$E$9)),"Warranty – "&amp;IF(LEN(INDEX('My equipment'!$A$4:$A$503,(_calc!$E$9-500)))=0,"",INDEX('My equipment'!$A$4:$A$503,(_calc!$E$9-500)))&amp;" – "&amp;IF(LEN(INDEX('My equipment'!$D$4:$D$503,(_calc!$E$9-500)))=0,"",INDEX('My equipment'!$D$4:$D$503,(_calc!$E$9-500)))))</f>
        <v/>
      </c>
      <c r="B7" s="54">
        <f>IF(_calc!$E$9="","",IF(_calc!$E$9&lt;=500,IF(ISNUMBER(INDEX('Dealer pipeline'!$M$4:$M$503,_calc!$E$9)),TEXT(INDEX('Dealer pipeline'!$M$4:$M$503,_calc!$E$9),"yyyy-mm-dd"),""),IF(ISNUMBER(INDEX('My equipment'!$M$4:$M$503,(_calc!$E$9-500))),TEXT(INDEX('My equipment'!$M$4:$M$503,(_calc!$E$9-500)),"yyyy-mm-dd"),"")))</f>
        <v/>
      </c>
      <c r="C7" s="54">
        <f>IF(_calc!$E$9="","",IF(_calc!$E$9&lt;=500,"Warranty","Warranty"))</f>
        <v/>
      </c>
      <c r="D7" s="54">
        <f>IF(_calc!$E$9="","",IF(_calc!$E$9&lt;=500,IF(ISNUMBER(INDEX('Dealer pipeline'!$H$4:$H$503,_calc!$E$9)),TEXT(INDEX('Dealer pipeline'!$H$4:$H$503,_calc!$E$9),"yyyy-mm-dd"),""),IF(ISNUMBER(INDEX('My equipment'!$H$4:$H$503,(_calc!$E$9-500))),TEXT(INDEX('My equipment'!$H$4:$H$503,(_calc!$E$9-500)),"yyyy-mm-dd"),"")))</f>
        <v/>
      </c>
      <c r="F7" s="54">
        <f>IF(_calc!$E$9="","",IF(_calc!$E$9&lt;=500,TRIM(IF(LEN(IF(LEN(INDEX('Dealer pipeline'!$A$4:$A$503,_calc!$E$9))=0,"",INDEX('Dealer pipeline'!$A$4:$A$503,_calc!$E$9)))=0,"","Customer: "&amp;IF(LEN(INDEX('Dealer pipeline'!$A$4:$A$503,_calc!$E$9))=0,"",INDEX('Dealer pipeline'!$A$4:$A$503,_calc!$E$9))&amp;". ")&amp;IF(LEN(IF(LEN(INDEX('Dealer pipeline'!$B$4:$B$503,_calc!$E$9))=0,"",INDEX('Dealer pipeline'!$B$4:$B$503,_calc!$E$9)))=0,"","Contact: "&amp;IF(LEN(INDEX('Dealer pipeline'!$B$4:$B$503,_calc!$E$9))=0,"",INDEX('Dealer pipeline'!$B$4:$B$503,_calc!$E$9))&amp;". ")&amp;IF(LEN(IF(LEN(INDEX('Dealer pipeline'!$D$4:$D$503,_calc!$E$9))=0,"",INDEX('Dealer pipeline'!$D$4:$D$503,_calc!$E$9)))=0,"","Serial: "&amp;IF(LEN(INDEX('Dealer pipeline'!$D$4:$D$503,_calc!$E$9))=0,"",INDEX('Dealer pipeline'!$D$4:$D$503,_calc!$E$9))&amp;". ")&amp;IF(LEN(IF(ISNUMBER(INDEX('Dealer pipeline'!$J$4:$J$503,_calc!$E$9)),TEXT(INDEX('Dealer pipeline'!$J$4:$J$503,_calc!$E$9),"yyyy-mm-dd"),""))=0,"","Parts end: "&amp;IF(ISNUMBER(INDEX('Dealer pipeline'!$J$4:$J$503,_calc!$E$9)),TEXT(INDEX('Dealer pipeline'!$J$4:$J$503,_calc!$E$9),"yyyy-mm-dd"),"")&amp;". ")&amp;IF(LEN(IF(ISNUMBER(INDEX('Dealer pipeline'!$L$4:$L$503,_calc!$E$9)),TEXT(INDEX('Dealer pipeline'!$L$4:$L$503,_calc!$E$9),"yyyy-mm-dd"),""))=0,"","Labor end: "&amp;IF(ISNUMBER(INDEX('Dealer pipeline'!$L$4:$L$503,_calc!$E$9)),TEXT(INDEX('Dealer pipeline'!$L$4:$L$503,_calc!$E$9),"yyyy-mm-dd"),"")&amp;". ")&amp;IF(LEN(IF(LEN(INDEX('Dealer pipeline'!$Q$4:$Q$503,_calc!$E$9))=0,"",INDEX('Dealer pipeline'!$Q$4:$Q$503,_calc!$E$9)))=0,"","Status: "&amp;IF(LEN(INDEX('Dealer pipeline'!$Q$4:$Q$503,_calc!$E$9))=0,"",INDEX('Dealer pipeline'!$Q$4:$Q$503,_calc!$E$9))&amp;". ")&amp;IF(LEN(IF(LEN(INDEX('Dealer pipeline'!$P$4:$P$503,_calc!$E$9))=0,"",INDEX('Dealer pipeline'!$P$4:$P$503,_calc!$E$9)))=0,"","Last touch: "&amp;IF(LEN(INDEX('Dealer pipeline'!$P$4:$P$503,_calc!$E$9))=0,"",INDEX('Dealer pipeline'!$P$4:$P$503,_calc!$E$9))&amp;". ")&amp;IF(LEN(IF(LEN(INDEX('Dealer pipeline'!$R$4:$R$503,_calc!$E$9))=0,"",INDEX('Dealer pipeline'!$R$4:$R$503,_calc!$E$9)))=0,"","Owner: "&amp;IF(LEN(INDEX('Dealer pipeline'!$R$4:$R$503,_calc!$E$9))=0,"",INDEX('Dealer pipeline'!$R$4:$R$503,_calc!$E$9))&amp;". ")&amp;IF(LEN(IF(LEN(INDEX('Dealer pipeline'!$S$4:$S$503,_calc!$E$9))=0,"",INDEX('Dealer pipeline'!$S$4:$S$503,_calc!$E$9)))=0,"","Backup: "&amp;IF(LEN(INDEX('Dealer pipeline'!$S$4:$S$503,_calc!$E$9))=0,"",INDEX('Dealer pipeline'!$S$4:$S$503,_calc!$E$9))&amp;". ")&amp;IF(LEN(IF(LEN(INDEX('Dealer pipeline'!$T$4:$T$503,_calc!$E$9))=0,"",INDEX('Dealer pipeline'!$T$4:$T$503,_calc!$E$9)))=0,"",IF(LEN(INDEX('Dealer pipeline'!$T$4:$T$503,_calc!$E$9))=0,"",INDEX('Dealer pipeline'!$T$4:$T$503,_calc!$E$9)))),TRIM(IF(LEN(IF(LEN(INDEX('My equipment'!$C$4:$C$503,(_calc!$E$9-500)))=0,"",INDEX('My equipment'!$C$4:$C$503,(_calc!$E$9-500))))=0,"","Model: "&amp;IF(LEN(INDEX('My equipment'!$C$4:$C$503,(_calc!$E$9-500)))=0,"",INDEX('My equipment'!$C$4:$C$503,(_calc!$E$9-500)))&amp;". ")&amp;IF(LEN(IF(LEN(INDEX('My equipment'!$D$4:$D$503,(_calc!$E$9-500)))=0,"",INDEX('My equipment'!$D$4:$D$503,(_calc!$E$9-500))))=0,"","Serial: "&amp;IF(LEN(INDEX('My equipment'!$D$4:$D$503,(_calc!$E$9-500)))=0,"",INDEX('My equipment'!$D$4:$D$503,(_calc!$E$9-500)))&amp;". ")&amp;IF(LEN(IF(ISNUMBER(INDEX('My equipment'!$J$4:$J$503,(_calc!$E$9-500))),TEXT(INDEX('My equipment'!$J$4:$J$503,(_calc!$E$9-500)),"yyyy-mm-dd"),""))=0,"","Parts end: "&amp;IF(ISNUMBER(INDEX('My equipment'!$J$4:$J$503,(_calc!$E$9-500))),TEXT(INDEX('My equipment'!$J$4:$J$503,(_calc!$E$9-500)),"yyyy-mm-dd"),"")&amp;". ")&amp;IF(LEN(IF(ISNUMBER(INDEX('My equipment'!$L$4:$L$503,(_calc!$E$9-500))),TEXT(INDEX('My equipment'!$L$4:$L$503,(_calc!$E$9-500)),"yyyy-mm-dd"),""))=0,"","Labor end: "&amp;IF(ISNUMBER(INDEX('My equipment'!$L$4:$L$503,(_calc!$E$9-500))),TEXT(INDEX('My equipment'!$L$4:$L$503,(_calc!$E$9-500)),"yyyy-mm-dd"),"")&amp;". ")&amp;IF(LEN(IF(ISNUMBER(INDEX('My equipment'!$P$4:$P$503,(_calc!$E$9-500))),TEXT(INDEX('My equipment'!$P$4:$P$503,(_calc!$E$9-500)),"yyyy-mm-dd"),""))=0,"","Check by: "&amp;IF(ISNUMBER(INDEX('My equipment'!$P$4:$P$503,(_calc!$E$9-500))),TEXT(INDEX('My equipment'!$P$4:$P$503,(_calc!$E$9-500)),"yyyy-mm-dd"),"")&amp;". ")&amp;IF(LEN(IF(LEN(INDEX('My equipment'!$Q$4:$Q$503,(_calc!$E$9-500)))=0,"",INDEX('My equipment'!$Q$4:$Q$503,(_calc!$E$9-500))))=0,"","Claim status: "&amp;IF(LEN(INDEX('My equipment'!$Q$4:$Q$503,(_calc!$E$9-500)))=0,"",INDEX('My equipment'!$Q$4:$Q$503,(_calc!$E$9-500)))&amp;". ")&amp;IF(LEN(IF(LEN(INDEX('My equipment'!$R$4:$R$503,(_calc!$E$9-500)))=0,"",INDEX('My equipment'!$R$4:$R$503,(_calc!$E$9-500))))=0,"","Claims contact: "&amp;IF(LEN(INDEX('My equipment'!$R$4:$R$503,(_calc!$E$9-500)))=0,"",INDEX('My equipment'!$R$4:$R$503,(_calc!$E$9-500)))&amp;". ")&amp;IF(LEN(IF(LEN(INDEX('My equipment'!$S$4:$S$503,(_calc!$E$9-500)))=0,"",INDEX('My equipment'!$S$4:$S$503,(_calc!$E$9-500))))=0,"","Claims email: "&amp;IF(LEN(INDEX('My equipment'!$S$4:$S$503,(_calc!$E$9-500)))=0,"",INDEX('My equipment'!$S$4:$S$503,(_calc!$E$9-500)))&amp;". ")&amp;IF(LEN(IF(LEN(INDEX('My equipment'!$U$4:$U$503,(_calc!$E$9-500)))=0,"",INDEX('My equipment'!$U$4:$U$503,(_calc!$E$9-500))))=0,"","Registered: "&amp;IF(LEN(INDEX('My equipment'!$U$4:$U$503,(_calc!$E$9-500)))=0,"",INDEX('My equipment'!$U$4:$U$503,(_calc!$E$9-500)))&amp;". ")&amp;IF(LEN(IF(LEN(INDEX('My equipment'!$V$4:$V$503,(_calc!$E$9-500)))=0,"",INDEX('My equipment'!$V$4:$V$503,(_calc!$E$9-500))))=0,"","Proof on file: "&amp;IF(LEN(INDEX('My equipment'!$V$4:$V$503,(_calc!$E$9-500)))=0,"",INDEX('My equipment'!$V$4:$V$503,(_calc!$E$9-500)))&amp;". ")&amp;IF(LEN(IF(LEN(INDEX('My equipment'!$W$4:$W$503,(_calc!$E$9-500)))=0,"",INDEX('My equipment'!$W$4:$W$503,(_calc!$E$9-500))))=0,"","Claim ref: "&amp;IF(LEN(INDEX('My equipment'!$W$4:$W$503,(_calc!$E$9-500)))=0,"",INDEX('My equipment'!$W$4:$W$503,(_calc!$E$9-500)))&amp;". ")&amp;IF(LEN(IF(LEN(INDEX('My equipment'!$Y$4:$Y$503,(_calc!$E$9-500)))=0,"",INDEX('My equipment'!$Y$4:$Y$503,(_calc!$E$9-500))))=0,"",IF(LEN(INDEX('My equipment'!$Y$4:$Y$503,(_calc!$E$9-500)))=0,"",INDEX('My equipment'!$Y$4:$Y$503,(_calc!$E$9-500)))))))</f>
        <v/>
      </c>
      <c r="G7" s="54">
        <f>IF(_calc!$E$9="","",IF(_calc!$E$9&lt;=500,"",IF(LEN(INDEX('My equipment'!$X$4:$X$503,(_calc!$E$9-500)))=0,"",INDEX('My equipment'!$X$4:$X$503,(_calc!$E$9-500)))))</f>
        <v/>
      </c>
      <c r="K7" s="54">
        <f>IF(_calc!$E$9="","",IF(_calc!$E$9&lt;=500,"",IF(LEN(INDEX('My equipment'!$T$4:$T$503,(_calc!$E$9-500)))=0,"",INDEX('My equipment'!$T$4:$T$503,(_calc!$E$9-500)))))</f>
        <v/>
      </c>
    </row>
    <row r="8">
      <c r="A8" s="54">
        <f>IF(_calc!$E$10="","",IF(_calc!$E$10&lt;=500,"Warranty – "&amp;IF(LEN(INDEX('Dealer pipeline'!$C$4:$C$503,_calc!$E$10))=0,"",INDEX('Dealer pipeline'!$C$4:$C$503,_calc!$E$10))&amp;" – "&amp;IF(LEN(INDEX('Dealer pipeline'!$D$4:$D$503,_calc!$E$10))=0,"",INDEX('Dealer pipeline'!$D$4:$D$503,_calc!$E$10))&amp;" – "&amp;IF(LEN(INDEX('Dealer pipeline'!$A$4:$A$503,_calc!$E$10))=0,"",INDEX('Dealer pipeline'!$A$4:$A$503,_calc!$E$10)),"Warranty – "&amp;IF(LEN(INDEX('My equipment'!$A$4:$A$503,(_calc!$E$10-500)))=0,"",INDEX('My equipment'!$A$4:$A$503,(_calc!$E$10-500)))&amp;" – "&amp;IF(LEN(INDEX('My equipment'!$D$4:$D$503,(_calc!$E$10-500)))=0,"",INDEX('My equipment'!$D$4:$D$503,(_calc!$E$10-500)))))</f>
        <v/>
      </c>
      <c r="B8" s="54">
        <f>IF(_calc!$E$10="","",IF(_calc!$E$10&lt;=500,IF(ISNUMBER(INDEX('Dealer pipeline'!$M$4:$M$503,_calc!$E$10)),TEXT(INDEX('Dealer pipeline'!$M$4:$M$503,_calc!$E$10),"yyyy-mm-dd"),""),IF(ISNUMBER(INDEX('My equipment'!$M$4:$M$503,(_calc!$E$10-500))),TEXT(INDEX('My equipment'!$M$4:$M$503,(_calc!$E$10-500)),"yyyy-mm-dd"),"")))</f>
        <v/>
      </c>
      <c r="C8" s="54">
        <f>IF(_calc!$E$10="","",IF(_calc!$E$10&lt;=500,"Warranty","Warranty"))</f>
        <v/>
      </c>
      <c r="D8" s="54">
        <f>IF(_calc!$E$10="","",IF(_calc!$E$10&lt;=500,IF(ISNUMBER(INDEX('Dealer pipeline'!$H$4:$H$503,_calc!$E$10)),TEXT(INDEX('Dealer pipeline'!$H$4:$H$503,_calc!$E$10),"yyyy-mm-dd"),""),IF(ISNUMBER(INDEX('My equipment'!$H$4:$H$503,(_calc!$E$10-500))),TEXT(INDEX('My equipment'!$H$4:$H$503,(_calc!$E$10-500)),"yyyy-mm-dd"),"")))</f>
        <v/>
      </c>
      <c r="F8" s="54">
        <f>IF(_calc!$E$10="","",IF(_calc!$E$10&lt;=500,TRIM(IF(LEN(IF(LEN(INDEX('Dealer pipeline'!$A$4:$A$503,_calc!$E$10))=0,"",INDEX('Dealer pipeline'!$A$4:$A$503,_calc!$E$10)))=0,"","Customer: "&amp;IF(LEN(INDEX('Dealer pipeline'!$A$4:$A$503,_calc!$E$10))=0,"",INDEX('Dealer pipeline'!$A$4:$A$503,_calc!$E$10))&amp;". ")&amp;IF(LEN(IF(LEN(INDEX('Dealer pipeline'!$B$4:$B$503,_calc!$E$10))=0,"",INDEX('Dealer pipeline'!$B$4:$B$503,_calc!$E$10)))=0,"","Contact: "&amp;IF(LEN(INDEX('Dealer pipeline'!$B$4:$B$503,_calc!$E$10))=0,"",INDEX('Dealer pipeline'!$B$4:$B$503,_calc!$E$10))&amp;". ")&amp;IF(LEN(IF(LEN(INDEX('Dealer pipeline'!$D$4:$D$503,_calc!$E$10))=0,"",INDEX('Dealer pipeline'!$D$4:$D$503,_calc!$E$10)))=0,"","Serial: "&amp;IF(LEN(INDEX('Dealer pipeline'!$D$4:$D$503,_calc!$E$10))=0,"",INDEX('Dealer pipeline'!$D$4:$D$503,_calc!$E$10))&amp;". ")&amp;IF(LEN(IF(ISNUMBER(INDEX('Dealer pipeline'!$J$4:$J$503,_calc!$E$10)),TEXT(INDEX('Dealer pipeline'!$J$4:$J$503,_calc!$E$10),"yyyy-mm-dd"),""))=0,"","Parts end: "&amp;IF(ISNUMBER(INDEX('Dealer pipeline'!$J$4:$J$503,_calc!$E$10)),TEXT(INDEX('Dealer pipeline'!$J$4:$J$503,_calc!$E$10),"yyyy-mm-dd"),"")&amp;". ")&amp;IF(LEN(IF(ISNUMBER(INDEX('Dealer pipeline'!$L$4:$L$503,_calc!$E$10)),TEXT(INDEX('Dealer pipeline'!$L$4:$L$503,_calc!$E$10),"yyyy-mm-dd"),""))=0,"","Labor end: "&amp;IF(ISNUMBER(INDEX('Dealer pipeline'!$L$4:$L$503,_calc!$E$10)),TEXT(INDEX('Dealer pipeline'!$L$4:$L$503,_calc!$E$10),"yyyy-mm-dd"),"")&amp;". ")&amp;IF(LEN(IF(LEN(INDEX('Dealer pipeline'!$Q$4:$Q$503,_calc!$E$10))=0,"",INDEX('Dealer pipeline'!$Q$4:$Q$503,_calc!$E$10)))=0,"","Status: "&amp;IF(LEN(INDEX('Dealer pipeline'!$Q$4:$Q$503,_calc!$E$10))=0,"",INDEX('Dealer pipeline'!$Q$4:$Q$503,_calc!$E$10))&amp;". ")&amp;IF(LEN(IF(LEN(INDEX('Dealer pipeline'!$P$4:$P$503,_calc!$E$10))=0,"",INDEX('Dealer pipeline'!$P$4:$P$503,_calc!$E$10)))=0,"","Last touch: "&amp;IF(LEN(INDEX('Dealer pipeline'!$P$4:$P$503,_calc!$E$10))=0,"",INDEX('Dealer pipeline'!$P$4:$P$503,_calc!$E$10))&amp;". ")&amp;IF(LEN(IF(LEN(INDEX('Dealer pipeline'!$R$4:$R$503,_calc!$E$10))=0,"",INDEX('Dealer pipeline'!$R$4:$R$503,_calc!$E$10)))=0,"","Owner: "&amp;IF(LEN(INDEX('Dealer pipeline'!$R$4:$R$503,_calc!$E$10))=0,"",INDEX('Dealer pipeline'!$R$4:$R$503,_calc!$E$10))&amp;". ")&amp;IF(LEN(IF(LEN(INDEX('Dealer pipeline'!$S$4:$S$503,_calc!$E$10))=0,"",INDEX('Dealer pipeline'!$S$4:$S$503,_calc!$E$10)))=0,"","Backup: "&amp;IF(LEN(INDEX('Dealer pipeline'!$S$4:$S$503,_calc!$E$10))=0,"",INDEX('Dealer pipeline'!$S$4:$S$503,_calc!$E$10))&amp;". ")&amp;IF(LEN(IF(LEN(INDEX('Dealer pipeline'!$T$4:$T$503,_calc!$E$10))=0,"",INDEX('Dealer pipeline'!$T$4:$T$503,_calc!$E$10)))=0,"",IF(LEN(INDEX('Dealer pipeline'!$T$4:$T$503,_calc!$E$10))=0,"",INDEX('Dealer pipeline'!$T$4:$T$503,_calc!$E$10)))),TRIM(IF(LEN(IF(LEN(INDEX('My equipment'!$C$4:$C$503,(_calc!$E$10-500)))=0,"",INDEX('My equipment'!$C$4:$C$503,(_calc!$E$10-500))))=0,"","Model: "&amp;IF(LEN(INDEX('My equipment'!$C$4:$C$503,(_calc!$E$10-500)))=0,"",INDEX('My equipment'!$C$4:$C$503,(_calc!$E$10-500)))&amp;". ")&amp;IF(LEN(IF(LEN(INDEX('My equipment'!$D$4:$D$503,(_calc!$E$10-500)))=0,"",INDEX('My equipment'!$D$4:$D$503,(_calc!$E$10-500))))=0,"","Serial: "&amp;IF(LEN(INDEX('My equipment'!$D$4:$D$503,(_calc!$E$10-500)))=0,"",INDEX('My equipment'!$D$4:$D$503,(_calc!$E$10-500)))&amp;". ")&amp;IF(LEN(IF(ISNUMBER(INDEX('My equipment'!$J$4:$J$503,(_calc!$E$10-500))),TEXT(INDEX('My equipment'!$J$4:$J$503,(_calc!$E$10-500)),"yyyy-mm-dd"),""))=0,"","Parts end: "&amp;IF(ISNUMBER(INDEX('My equipment'!$J$4:$J$503,(_calc!$E$10-500))),TEXT(INDEX('My equipment'!$J$4:$J$503,(_calc!$E$10-500)),"yyyy-mm-dd"),"")&amp;". ")&amp;IF(LEN(IF(ISNUMBER(INDEX('My equipment'!$L$4:$L$503,(_calc!$E$10-500))),TEXT(INDEX('My equipment'!$L$4:$L$503,(_calc!$E$10-500)),"yyyy-mm-dd"),""))=0,"","Labor end: "&amp;IF(ISNUMBER(INDEX('My equipment'!$L$4:$L$503,(_calc!$E$10-500))),TEXT(INDEX('My equipment'!$L$4:$L$503,(_calc!$E$10-500)),"yyyy-mm-dd"),"")&amp;". ")&amp;IF(LEN(IF(ISNUMBER(INDEX('My equipment'!$P$4:$P$503,(_calc!$E$10-500))),TEXT(INDEX('My equipment'!$P$4:$P$503,(_calc!$E$10-500)),"yyyy-mm-dd"),""))=0,"","Check by: "&amp;IF(ISNUMBER(INDEX('My equipment'!$P$4:$P$503,(_calc!$E$10-500))),TEXT(INDEX('My equipment'!$P$4:$P$503,(_calc!$E$10-500)),"yyyy-mm-dd"),"")&amp;". ")&amp;IF(LEN(IF(LEN(INDEX('My equipment'!$Q$4:$Q$503,(_calc!$E$10-500)))=0,"",INDEX('My equipment'!$Q$4:$Q$503,(_calc!$E$10-500))))=0,"","Claim status: "&amp;IF(LEN(INDEX('My equipment'!$Q$4:$Q$503,(_calc!$E$10-500)))=0,"",INDEX('My equipment'!$Q$4:$Q$503,(_calc!$E$10-500)))&amp;". ")&amp;IF(LEN(IF(LEN(INDEX('My equipment'!$R$4:$R$503,(_calc!$E$10-500)))=0,"",INDEX('My equipment'!$R$4:$R$503,(_calc!$E$10-500))))=0,"","Claims contact: "&amp;IF(LEN(INDEX('My equipment'!$R$4:$R$503,(_calc!$E$10-500)))=0,"",INDEX('My equipment'!$R$4:$R$503,(_calc!$E$10-500)))&amp;". ")&amp;IF(LEN(IF(LEN(INDEX('My equipment'!$S$4:$S$503,(_calc!$E$10-500)))=0,"",INDEX('My equipment'!$S$4:$S$503,(_calc!$E$10-500))))=0,"","Claims email: "&amp;IF(LEN(INDEX('My equipment'!$S$4:$S$503,(_calc!$E$10-500)))=0,"",INDEX('My equipment'!$S$4:$S$503,(_calc!$E$10-500)))&amp;". ")&amp;IF(LEN(IF(LEN(INDEX('My equipment'!$U$4:$U$503,(_calc!$E$10-500)))=0,"",INDEX('My equipment'!$U$4:$U$503,(_calc!$E$10-500))))=0,"","Registered: "&amp;IF(LEN(INDEX('My equipment'!$U$4:$U$503,(_calc!$E$10-500)))=0,"",INDEX('My equipment'!$U$4:$U$503,(_calc!$E$10-500)))&amp;". ")&amp;IF(LEN(IF(LEN(INDEX('My equipment'!$V$4:$V$503,(_calc!$E$10-500)))=0,"",INDEX('My equipment'!$V$4:$V$503,(_calc!$E$10-500))))=0,"","Proof on file: "&amp;IF(LEN(INDEX('My equipment'!$V$4:$V$503,(_calc!$E$10-500)))=0,"",INDEX('My equipment'!$V$4:$V$503,(_calc!$E$10-500)))&amp;". ")&amp;IF(LEN(IF(LEN(INDEX('My equipment'!$W$4:$W$503,(_calc!$E$10-500)))=0,"",INDEX('My equipment'!$W$4:$W$503,(_calc!$E$10-500))))=0,"","Claim ref: "&amp;IF(LEN(INDEX('My equipment'!$W$4:$W$503,(_calc!$E$10-500)))=0,"",INDEX('My equipment'!$W$4:$W$503,(_calc!$E$10-500)))&amp;". ")&amp;IF(LEN(IF(LEN(INDEX('My equipment'!$Y$4:$Y$503,(_calc!$E$10-500)))=0,"",INDEX('My equipment'!$Y$4:$Y$503,(_calc!$E$10-500))))=0,"",IF(LEN(INDEX('My equipment'!$Y$4:$Y$503,(_calc!$E$10-500)))=0,"",INDEX('My equipment'!$Y$4:$Y$503,(_calc!$E$10-500)))))))</f>
        <v/>
      </c>
      <c r="G8" s="54">
        <f>IF(_calc!$E$10="","",IF(_calc!$E$10&lt;=500,"",IF(LEN(INDEX('My equipment'!$X$4:$X$503,(_calc!$E$10-500)))=0,"",INDEX('My equipment'!$X$4:$X$503,(_calc!$E$10-500)))))</f>
        <v/>
      </c>
      <c r="K8" s="54">
        <f>IF(_calc!$E$10="","",IF(_calc!$E$10&lt;=500,"",IF(LEN(INDEX('My equipment'!$T$4:$T$503,(_calc!$E$10-500)))=0,"",INDEX('My equipment'!$T$4:$T$503,(_calc!$E$10-500)))))</f>
        <v/>
      </c>
    </row>
    <row r="9">
      <c r="A9" s="54">
        <f>IF(_calc!$E$11="","",IF(_calc!$E$11&lt;=500,"Warranty – "&amp;IF(LEN(INDEX('Dealer pipeline'!$C$4:$C$503,_calc!$E$11))=0,"",INDEX('Dealer pipeline'!$C$4:$C$503,_calc!$E$11))&amp;" – "&amp;IF(LEN(INDEX('Dealer pipeline'!$D$4:$D$503,_calc!$E$11))=0,"",INDEX('Dealer pipeline'!$D$4:$D$503,_calc!$E$11))&amp;" – "&amp;IF(LEN(INDEX('Dealer pipeline'!$A$4:$A$503,_calc!$E$11))=0,"",INDEX('Dealer pipeline'!$A$4:$A$503,_calc!$E$11)),"Warranty – "&amp;IF(LEN(INDEX('My equipment'!$A$4:$A$503,(_calc!$E$11-500)))=0,"",INDEX('My equipment'!$A$4:$A$503,(_calc!$E$11-500)))&amp;" – "&amp;IF(LEN(INDEX('My equipment'!$D$4:$D$503,(_calc!$E$11-500)))=0,"",INDEX('My equipment'!$D$4:$D$503,(_calc!$E$11-500)))))</f>
        <v/>
      </c>
      <c r="B9" s="54">
        <f>IF(_calc!$E$11="","",IF(_calc!$E$11&lt;=500,IF(ISNUMBER(INDEX('Dealer pipeline'!$M$4:$M$503,_calc!$E$11)),TEXT(INDEX('Dealer pipeline'!$M$4:$M$503,_calc!$E$11),"yyyy-mm-dd"),""),IF(ISNUMBER(INDEX('My equipment'!$M$4:$M$503,(_calc!$E$11-500))),TEXT(INDEX('My equipment'!$M$4:$M$503,(_calc!$E$11-500)),"yyyy-mm-dd"),"")))</f>
        <v/>
      </c>
      <c r="C9" s="54">
        <f>IF(_calc!$E$11="","",IF(_calc!$E$11&lt;=500,"Warranty","Warranty"))</f>
        <v/>
      </c>
      <c r="D9" s="54">
        <f>IF(_calc!$E$11="","",IF(_calc!$E$11&lt;=500,IF(ISNUMBER(INDEX('Dealer pipeline'!$H$4:$H$503,_calc!$E$11)),TEXT(INDEX('Dealer pipeline'!$H$4:$H$503,_calc!$E$11),"yyyy-mm-dd"),""),IF(ISNUMBER(INDEX('My equipment'!$H$4:$H$503,(_calc!$E$11-500))),TEXT(INDEX('My equipment'!$H$4:$H$503,(_calc!$E$11-500)),"yyyy-mm-dd"),"")))</f>
        <v/>
      </c>
      <c r="F9" s="54">
        <f>IF(_calc!$E$11="","",IF(_calc!$E$11&lt;=500,TRIM(IF(LEN(IF(LEN(INDEX('Dealer pipeline'!$A$4:$A$503,_calc!$E$11))=0,"",INDEX('Dealer pipeline'!$A$4:$A$503,_calc!$E$11)))=0,"","Customer: "&amp;IF(LEN(INDEX('Dealer pipeline'!$A$4:$A$503,_calc!$E$11))=0,"",INDEX('Dealer pipeline'!$A$4:$A$503,_calc!$E$11))&amp;". ")&amp;IF(LEN(IF(LEN(INDEX('Dealer pipeline'!$B$4:$B$503,_calc!$E$11))=0,"",INDEX('Dealer pipeline'!$B$4:$B$503,_calc!$E$11)))=0,"","Contact: "&amp;IF(LEN(INDEX('Dealer pipeline'!$B$4:$B$503,_calc!$E$11))=0,"",INDEX('Dealer pipeline'!$B$4:$B$503,_calc!$E$11))&amp;". ")&amp;IF(LEN(IF(LEN(INDEX('Dealer pipeline'!$D$4:$D$503,_calc!$E$11))=0,"",INDEX('Dealer pipeline'!$D$4:$D$503,_calc!$E$11)))=0,"","Serial: "&amp;IF(LEN(INDEX('Dealer pipeline'!$D$4:$D$503,_calc!$E$11))=0,"",INDEX('Dealer pipeline'!$D$4:$D$503,_calc!$E$11))&amp;". ")&amp;IF(LEN(IF(ISNUMBER(INDEX('Dealer pipeline'!$J$4:$J$503,_calc!$E$11)),TEXT(INDEX('Dealer pipeline'!$J$4:$J$503,_calc!$E$11),"yyyy-mm-dd"),""))=0,"","Parts end: "&amp;IF(ISNUMBER(INDEX('Dealer pipeline'!$J$4:$J$503,_calc!$E$11)),TEXT(INDEX('Dealer pipeline'!$J$4:$J$503,_calc!$E$11),"yyyy-mm-dd"),"")&amp;". ")&amp;IF(LEN(IF(ISNUMBER(INDEX('Dealer pipeline'!$L$4:$L$503,_calc!$E$11)),TEXT(INDEX('Dealer pipeline'!$L$4:$L$503,_calc!$E$11),"yyyy-mm-dd"),""))=0,"","Labor end: "&amp;IF(ISNUMBER(INDEX('Dealer pipeline'!$L$4:$L$503,_calc!$E$11)),TEXT(INDEX('Dealer pipeline'!$L$4:$L$503,_calc!$E$11),"yyyy-mm-dd"),"")&amp;". ")&amp;IF(LEN(IF(LEN(INDEX('Dealer pipeline'!$Q$4:$Q$503,_calc!$E$11))=0,"",INDEX('Dealer pipeline'!$Q$4:$Q$503,_calc!$E$11)))=0,"","Status: "&amp;IF(LEN(INDEX('Dealer pipeline'!$Q$4:$Q$503,_calc!$E$11))=0,"",INDEX('Dealer pipeline'!$Q$4:$Q$503,_calc!$E$11))&amp;". ")&amp;IF(LEN(IF(LEN(INDEX('Dealer pipeline'!$P$4:$P$503,_calc!$E$11))=0,"",INDEX('Dealer pipeline'!$P$4:$P$503,_calc!$E$11)))=0,"","Last touch: "&amp;IF(LEN(INDEX('Dealer pipeline'!$P$4:$P$503,_calc!$E$11))=0,"",INDEX('Dealer pipeline'!$P$4:$P$503,_calc!$E$11))&amp;". ")&amp;IF(LEN(IF(LEN(INDEX('Dealer pipeline'!$R$4:$R$503,_calc!$E$11))=0,"",INDEX('Dealer pipeline'!$R$4:$R$503,_calc!$E$11)))=0,"","Owner: "&amp;IF(LEN(INDEX('Dealer pipeline'!$R$4:$R$503,_calc!$E$11))=0,"",INDEX('Dealer pipeline'!$R$4:$R$503,_calc!$E$11))&amp;". ")&amp;IF(LEN(IF(LEN(INDEX('Dealer pipeline'!$S$4:$S$503,_calc!$E$11))=0,"",INDEX('Dealer pipeline'!$S$4:$S$503,_calc!$E$11)))=0,"","Backup: "&amp;IF(LEN(INDEX('Dealer pipeline'!$S$4:$S$503,_calc!$E$11))=0,"",INDEX('Dealer pipeline'!$S$4:$S$503,_calc!$E$11))&amp;". ")&amp;IF(LEN(IF(LEN(INDEX('Dealer pipeline'!$T$4:$T$503,_calc!$E$11))=0,"",INDEX('Dealer pipeline'!$T$4:$T$503,_calc!$E$11)))=0,"",IF(LEN(INDEX('Dealer pipeline'!$T$4:$T$503,_calc!$E$11))=0,"",INDEX('Dealer pipeline'!$T$4:$T$503,_calc!$E$11)))),TRIM(IF(LEN(IF(LEN(INDEX('My equipment'!$C$4:$C$503,(_calc!$E$11-500)))=0,"",INDEX('My equipment'!$C$4:$C$503,(_calc!$E$11-500))))=0,"","Model: "&amp;IF(LEN(INDEX('My equipment'!$C$4:$C$503,(_calc!$E$11-500)))=0,"",INDEX('My equipment'!$C$4:$C$503,(_calc!$E$11-500)))&amp;". ")&amp;IF(LEN(IF(LEN(INDEX('My equipment'!$D$4:$D$503,(_calc!$E$11-500)))=0,"",INDEX('My equipment'!$D$4:$D$503,(_calc!$E$11-500))))=0,"","Serial: "&amp;IF(LEN(INDEX('My equipment'!$D$4:$D$503,(_calc!$E$11-500)))=0,"",INDEX('My equipment'!$D$4:$D$503,(_calc!$E$11-500)))&amp;". ")&amp;IF(LEN(IF(ISNUMBER(INDEX('My equipment'!$J$4:$J$503,(_calc!$E$11-500))),TEXT(INDEX('My equipment'!$J$4:$J$503,(_calc!$E$11-500)),"yyyy-mm-dd"),""))=0,"","Parts end: "&amp;IF(ISNUMBER(INDEX('My equipment'!$J$4:$J$503,(_calc!$E$11-500))),TEXT(INDEX('My equipment'!$J$4:$J$503,(_calc!$E$11-500)),"yyyy-mm-dd"),"")&amp;". ")&amp;IF(LEN(IF(ISNUMBER(INDEX('My equipment'!$L$4:$L$503,(_calc!$E$11-500))),TEXT(INDEX('My equipment'!$L$4:$L$503,(_calc!$E$11-500)),"yyyy-mm-dd"),""))=0,"","Labor end: "&amp;IF(ISNUMBER(INDEX('My equipment'!$L$4:$L$503,(_calc!$E$11-500))),TEXT(INDEX('My equipment'!$L$4:$L$503,(_calc!$E$11-500)),"yyyy-mm-dd"),"")&amp;". ")&amp;IF(LEN(IF(ISNUMBER(INDEX('My equipment'!$P$4:$P$503,(_calc!$E$11-500))),TEXT(INDEX('My equipment'!$P$4:$P$503,(_calc!$E$11-500)),"yyyy-mm-dd"),""))=0,"","Check by: "&amp;IF(ISNUMBER(INDEX('My equipment'!$P$4:$P$503,(_calc!$E$11-500))),TEXT(INDEX('My equipment'!$P$4:$P$503,(_calc!$E$11-500)),"yyyy-mm-dd"),"")&amp;". ")&amp;IF(LEN(IF(LEN(INDEX('My equipment'!$Q$4:$Q$503,(_calc!$E$11-500)))=0,"",INDEX('My equipment'!$Q$4:$Q$503,(_calc!$E$11-500))))=0,"","Claim status: "&amp;IF(LEN(INDEX('My equipment'!$Q$4:$Q$503,(_calc!$E$11-500)))=0,"",INDEX('My equipment'!$Q$4:$Q$503,(_calc!$E$11-500)))&amp;". ")&amp;IF(LEN(IF(LEN(INDEX('My equipment'!$R$4:$R$503,(_calc!$E$11-500)))=0,"",INDEX('My equipment'!$R$4:$R$503,(_calc!$E$11-500))))=0,"","Claims contact: "&amp;IF(LEN(INDEX('My equipment'!$R$4:$R$503,(_calc!$E$11-500)))=0,"",INDEX('My equipment'!$R$4:$R$503,(_calc!$E$11-500)))&amp;". ")&amp;IF(LEN(IF(LEN(INDEX('My equipment'!$S$4:$S$503,(_calc!$E$11-500)))=0,"",INDEX('My equipment'!$S$4:$S$503,(_calc!$E$11-500))))=0,"","Claims email: "&amp;IF(LEN(INDEX('My equipment'!$S$4:$S$503,(_calc!$E$11-500)))=0,"",INDEX('My equipment'!$S$4:$S$503,(_calc!$E$11-500)))&amp;". ")&amp;IF(LEN(IF(LEN(INDEX('My equipment'!$U$4:$U$503,(_calc!$E$11-500)))=0,"",INDEX('My equipment'!$U$4:$U$503,(_calc!$E$11-500))))=0,"","Registered: "&amp;IF(LEN(INDEX('My equipment'!$U$4:$U$503,(_calc!$E$11-500)))=0,"",INDEX('My equipment'!$U$4:$U$503,(_calc!$E$11-500)))&amp;". ")&amp;IF(LEN(IF(LEN(INDEX('My equipment'!$V$4:$V$503,(_calc!$E$11-500)))=0,"",INDEX('My equipment'!$V$4:$V$503,(_calc!$E$11-500))))=0,"","Proof on file: "&amp;IF(LEN(INDEX('My equipment'!$V$4:$V$503,(_calc!$E$11-500)))=0,"",INDEX('My equipment'!$V$4:$V$503,(_calc!$E$11-500)))&amp;". ")&amp;IF(LEN(IF(LEN(INDEX('My equipment'!$W$4:$W$503,(_calc!$E$11-500)))=0,"",INDEX('My equipment'!$W$4:$W$503,(_calc!$E$11-500))))=0,"","Claim ref: "&amp;IF(LEN(INDEX('My equipment'!$W$4:$W$503,(_calc!$E$11-500)))=0,"",INDEX('My equipment'!$W$4:$W$503,(_calc!$E$11-500)))&amp;". ")&amp;IF(LEN(IF(LEN(INDEX('My equipment'!$Y$4:$Y$503,(_calc!$E$11-500)))=0,"",INDEX('My equipment'!$Y$4:$Y$503,(_calc!$E$11-500))))=0,"",IF(LEN(INDEX('My equipment'!$Y$4:$Y$503,(_calc!$E$11-500)))=0,"",INDEX('My equipment'!$Y$4:$Y$503,(_calc!$E$11-500)))))))</f>
        <v/>
      </c>
      <c r="G9" s="54">
        <f>IF(_calc!$E$11="","",IF(_calc!$E$11&lt;=500,"",IF(LEN(INDEX('My equipment'!$X$4:$X$503,(_calc!$E$11-500)))=0,"",INDEX('My equipment'!$X$4:$X$503,(_calc!$E$11-500)))))</f>
        <v/>
      </c>
      <c r="K9" s="54">
        <f>IF(_calc!$E$11="","",IF(_calc!$E$11&lt;=500,"",IF(LEN(INDEX('My equipment'!$T$4:$T$503,(_calc!$E$11-500)))=0,"",INDEX('My equipment'!$T$4:$T$503,(_calc!$E$11-500)))))</f>
        <v/>
      </c>
    </row>
    <row r="10">
      <c r="A10" s="54">
        <f>IF(_calc!$E$12="","",IF(_calc!$E$12&lt;=500,"Warranty – "&amp;IF(LEN(INDEX('Dealer pipeline'!$C$4:$C$503,_calc!$E$12))=0,"",INDEX('Dealer pipeline'!$C$4:$C$503,_calc!$E$12))&amp;" – "&amp;IF(LEN(INDEX('Dealer pipeline'!$D$4:$D$503,_calc!$E$12))=0,"",INDEX('Dealer pipeline'!$D$4:$D$503,_calc!$E$12))&amp;" – "&amp;IF(LEN(INDEX('Dealer pipeline'!$A$4:$A$503,_calc!$E$12))=0,"",INDEX('Dealer pipeline'!$A$4:$A$503,_calc!$E$12)),"Warranty – "&amp;IF(LEN(INDEX('My equipment'!$A$4:$A$503,(_calc!$E$12-500)))=0,"",INDEX('My equipment'!$A$4:$A$503,(_calc!$E$12-500)))&amp;" – "&amp;IF(LEN(INDEX('My equipment'!$D$4:$D$503,(_calc!$E$12-500)))=0,"",INDEX('My equipment'!$D$4:$D$503,(_calc!$E$12-500)))))</f>
        <v/>
      </c>
      <c r="B10" s="54">
        <f>IF(_calc!$E$12="","",IF(_calc!$E$12&lt;=500,IF(ISNUMBER(INDEX('Dealer pipeline'!$M$4:$M$503,_calc!$E$12)),TEXT(INDEX('Dealer pipeline'!$M$4:$M$503,_calc!$E$12),"yyyy-mm-dd"),""),IF(ISNUMBER(INDEX('My equipment'!$M$4:$M$503,(_calc!$E$12-500))),TEXT(INDEX('My equipment'!$M$4:$M$503,(_calc!$E$12-500)),"yyyy-mm-dd"),"")))</f>
        <v/>
      </c>
      <c r="C10" s="54">
        <f>IF(_calc!$E$12="","",IF(_calc!$E$12&lt;=500,"Warranty","Warranty"))</f>
        <v/>
      </c>
      <c r="D10" s="54">
        <f>IF(_calc!$E$12="","",IF(_calc!$E$12&lt;=500,IF(ISNUMBER(INDEX('Dealer pipeline'!$H$4:$H$503,_calc!$E$12)),TEXT(INDEX('Dealer pipeline'!$H$4:$H$503,_calc!$E$12),"yyyy-mm-dd"),""),IF(ISNUMBER(INDEX('My equipment'!$H$4:$H$503,(_calc!$E$12-500))),TEXT(INDEX('My equipment'!$H$4:$H$503,(_calc!$E$12-500)),"yyyy-mm-dd"),"")))</f>
        <v/>
      </c>
      <c r="F10" s="54">
        <f>IF(_calc!$E$12="","",IF(_calc!$E$12&lt;=500,TRIM(IF(LEN(IF(LEN(INDEX('Dealer pipeline'!$A$4:$A$503,_calc!$E$12))=0,"",INDEX('Dealer pipeline'!$A$4:$A$503,_calc!$E$12)))=0,"","Customer: "&amp;IF(LEN(INDEX('Dealer pipeline'!$A$4:$A$503,_calc!$E$12))=0,"",INDEX('Dealer pipeline'!$A$4:$A$503,_calc!$E$12))&amp;". ")&amp;IF(LEN(IF(LEN(INDEX('Dealer pipeline'!$B$4:$B$503,_calc!$E$12))=0,"",INDEX('Dealer pipeline'!$B$4:$B$503,_calc!$E$12)))=0,"","Contact: "&amp;IF(LEN(INDEX('Dealer pipeline'!$B$4:$B$503,_calc!$E$12))=0,"",INDEX('Dealer pipeline'!$B$4:$B$503,_calc!$E$12))&amp;". ")&amp;IF(LEN(IF(LEN(INDEX('Dealer pipeline'!$D$4:$D$503,_calc!$E$12))=0,"",INDEX('Dealer pipeline'!$D$4:$D$503,_calc!$E$12)))=0,"","Serial: "&amp;IF(LEN(INDEX('Dealer pipeline'!$D$4:$D$503,_calc!$E$12))=0,"",INDEX('Dealer pipeline'!$D$4:$D$503,_calc!$E$12))&amp;". ")&amp;IF(LEN(IF(ISNUMBER(INDEX('Dealer pipeline'!$J$4:$J$503,_calc!$E$12)),TEXT(INDEX('Dealer pipeline'!$J$4:$J$503,_calc!$E$12),"yyyy-mm-dd"),""))=0,"","Parts end: "&amp;IF(ISNUMBER(INDEX('Dealer pipeline'!$J$4:$J$503,_calc!$E$12)),TEXT(INDEX('Dealer pipeline'!$J$4:$J$503,_calc!$E$12),"yyyy-mm-dd"),"")&amp;". ")&amp;IF(LEN(IF(ISNUMBER(INDEX('Dealer pipeline'!$L$4:$L$503,_calc!$E$12)),TEXT(INDEX('Dealer pipeline'!$L$4:$L$503,_calc!$E$12),"yyyy-mm-dd"),""))=0,"","Labor end: "&amp;IF(ISNUMBER(INDEX('Dealer pipeline'!$L$4:$L$503,_calc!$E$12)),TEXT(INDEX('Dealer pipeline'!$L$4:$L$503,_calc!$E$12),"yyyy-mm-dd"),"")&amp;". ")&amp;IF(LEN(IF(LEN(INDEX('Dealer pipeline'!$Q$4:$Q$503,_calc!$E$12))=0,"",INDEX('Dealer pipeline'!$Q$4:$Q$503,_calc!$E$12)))=0,"","Status: "&amp;IF(LEN(INDEX('Dealer pipeline'!$Q$4:$Q$503,_calc!$E$12))=0,"",INDEX('Dealer pipeline'!$Q$4:$Q$503,_calc!$E$12))&amp;". ")&amp;IF(LEN(IF(LEN(INDEX('Dealer pipeline'!$P$4:$P$503,_calc!$E$12))=0,"",INDEX('Dealer pipeline'!$P$4:$P$503,_calc!$E$12)))=0,"","Last touch: "&amp;IF(LEN(INDEX('Dealer pipeline'!$P$4:$P$503,_calc!$E$12))=0,"",INDEX('Dealer pipeline'!$P$4:$P$503,_calc!$E$12))&amp;". ")&amp;IF(LEN(IF(LEN(INDEX('Dealer pipeline'!$R$4:$R$503,_calc!$E$12))=0,"",INDEX('Dealer pipeline'!$R$4:$R$503,_calc!$E$12)))=0,"","Owner: "&amp;IF(LEN(INDEX('Dealer pipeline'!$R$4:$R$503,_calc!$E$12))=0,"",INDEX('Dealer pipeline'!$R$4:$R$503,_calc!$E$12))&amp;". ")&amp;IF(LEN(IF(LEN(INDEX('Dealer pipeline'!$S$4:$S$503,_calc!$E$12))=0,"",INDEX('Dealer pipeline'!$S$4:$S$503,_calc!$E$12)))=0,"","Backup: "&amp;IF(LEN(INDEX('Dealer pipeline'!$S$4:$S$503,_calc!$E$12))=0,"",INDEX('Dealer pipeline'!$S$4:$S$503,_calc!$E$12))&amp;". ")&amp;IF(LEN(IF(LEN(INDEX('Dealer pipeline'!$T$4:$T$503,_calc!$E$12))=0,"",INDEX('Dealer pipeline'!$T$4:$T$503,_calc!$E$12)))=0,"",IF(LEN(INDEX('Dealer pipeline'!$T$4:$T$503,_calc!$E$12))=0,"",INDEX('Dealer pipeline'!$T$4:$T$503,_calc!$E$12)))),TRIM(IF(LEN(IF(LEN(INDEX('My equipment'!$C$4:$C$503,(_calc!$E$12-500)))=0,"",INDEX('My equipment'!$C$4:$C$503,(_calc!$E$12-500))))=0,"","Model: "&amp;IF(LEN(INDEX('My equipment'!$C$4:$C$503,(_calc!$E$12-500)))=0,"",INDEX('My equipment'!$C$4:$C$503,(_calc!$E$12-500)))&amp;". ")&amp;IF(LEN(IF(LEN(INDEX('My equipment'!$D$4:$D$503,(_calc!$E$12-500)))=0,"",INDEX('My equipment'!$D$4:$D$503,(_calc!$E$12-500))))=0,"","Serial: "&amp;IF(LEN(INDEX('My equipment'!$D$4:$D$503,(_calc!$E$12-500)))=0,"",INDEX('My equipment'!$D$4:$D$503,(_calc!$E$12-500)))&amp;". ")&amp;IF(LEN(IF(ISNUMBER(INDEX('My equipment'!$J$4:$J$503,(_calc!$E$12-500))),TEXT(INDEX('My equipment'!$J$4:$J$503,(_calc!$E$12-500)),"yyyy-mm-dd"),""))=0,"","Parts end: "&amp;IF(ISNUMBER(INDEX('My equipment'!$J$4:$J$503,(_calc!$E$12-500))),TEXT(INDEX('My equipment'!$J$4:$J$503,(_calc!$E$12-500)),"yyyy-mm-dd"),"")&amp;". ")&amp;IF(LEN(IF(ISNUMBER(INDEX('My equipment'!$L$4:$L$503,(_calc!$E$12-500))),TEXT(INDEX('My equipment'!$L$4:$L$503,(_calc!$E$12-500)),"yyyy-mm-dd"),""))=0,"","Labor end: "&amp;IF(ISNUMBER(INDEX('My equipment'!$L$4:$L$503,(_calc!$E$12-500))),TEXT(INDEX('My equipment'!$L$4:$L$503,(_calc!$E$12-500)),"yyyy-mm-dd"),"")&amp;". ")&amp;IF(LEN(IF(ISNUMBER(INDEX('My equipment'!$P$4:$P$503,(_calc!$E$12-500))),TEXT(INDEX('My equipment'!$P$4:$P$503,(_calc!$E$12-500)),"yyyy-mm-dd"),""))=0,"","Check by: "&amp;IF(ISNUMBER(INDEX('My equipment'!$P$4:$P$503,(_calc!$E$12-500))),TEXT(INDEX('My equipment'!$P$4:$P$503,(_calc!$E$12-500)),"yyyy-mm-dd"),"")&amp;". ")&amp;IF(LEN(IF(LEN(INDEX('My equipment'!$Q$4:$Q$503,(_calc!$E$12-500)))=0,"",INDEX('My equipment'!$Q$4:$Q$503,(_calc!$E$12-500))))=0,"","Claim status: "&amp;IF(LEN(INDEX('My equipment'!$Q$4:$Q$503,(_calc!$E$12-500)))=0,"",INDEX('My equipment'!$Q$4:$Q$503,(_calc!$E$12-500)))&amp;". ")&amp;IF(LEN(IF(LEN(INDEX('My equipment'!$R$4:$R$503,(_calc!$E$12-500)))=0,"",INDEX('My equipment'!$R$4:$R$503,(_calc!$E$12-500))))=0,"","Claims contact: "&amp;IF(LEN(INDEX('My equipment'!$R$4:$R$503,(_calc!$E$12-500)))=0,"",INDEX('My equipment'!$R$4:$R$503,(_calc!$E$12-500)))&amp;". ")&amp;IF(LEN(IF(LEN(INDEX('My equipment'!$S$4:$S$503,(_calc!$E$12-500)))=0,"",INDEX('My equipment'!$S$4:$S$503,(_calc!$E$12-500))))=0,"","Claims email: "&amp;IF(LEN(INDEX('My equipment'!$S$4:$S$503,(_calc!$E$12-500)))=0,"",INDEX('My equipment'!$S$4:$S$503,(_calc!$E$12-500)))&amp;". ")&amp;IF(LEN(IF(LEN(INDEX('My equipment'!$U$4:$U$503,(_calc!$E$12-500)))=0,"",INDEX('My equipment'!$U$4:$U$503,(_calc!$E$12-500))))=0,"","Registered: "&amp;IF(LEN(INDEX('My equipment'!$U$4:$U$503,(_calc!$E$12-500)))=0,"",INDEX('My equipment'!$U$4:$U$503,(_calc!$E$12-500)))&amp;". ")&amp;IF(LEN(IF(LEN(INDEX('My equipment'!$V$4:$V$503,(_calc!$E$12-500)))=0,"",INDEX('My equipment'!$V$4:$V$503,(_calc!$E$12-500))))=0,"","Proof on file: "&amp;IF(LEN(INDEX('My equipment'!$V$4:$V$503,(_calc!$E$12-500)))=0,"",INDEX('My equipment'!$V$4:$V$503,(_calc!$E$12-500)))&amp;". ")&amp;IF(LEN(IF(LEN(INDEX('My equipment'!$W$4:$W$503,(_calc!$E$12-500)))=0,"",INDEX('My equipment'!$W$4:$W$503,(_calc!$E$12-500))))=0,"","Claim ref: "&amp;IF(LEN(INDEX('My equipment'!$W$4:$W$503,(_calc!$E$12-500)))=0,"",INDEX('My equipment'!$W$4:$W$503,(_calc!$E$12-500)))&amp;". ")&amp;IF(LEN(IF(LEN(INDEX('My equipment'!$Y$4:$Y$503,(_calc!$E$12-500)))=0,"",INDEX('My equipment'!$Y$4:$Y$503,(_calc!$E$12-500))))=0,"",IF(LEN(INDEX('My equipment'!$Y$4:$Y$503,(_calc!$E$12-500)))=0,"",INDEX('My equipment'!$Y$4:$Y$503,(_calc!$E$12-500)))))))</f>
        <v/>
      </c>
      <c r="G10" s="54">
        <f>IF(_calc!$E$12="","",IF(_calc!$E$12&lt;=500,"",IF(LEN(INDEX('My equipment'!$X$4:$X$503,(_calc!$E$12-500)))=0,"",INDEX('My equipment'!$X$4:$X$503,(_calc!$E$12-500)))))</f>
        <v/>
      </c>
      <c r="K10" s="54">
        <f>IF(_calc!$E$12="","",IF(_calc!$E$12&lt;=500,"",IF(LEN(INDEX('My equipment'!$T$4:$T$503,(_calc!$E$12-500)))=0,"",INDEX('My equipment'!$T$4:$T$503,(_calc!$E$12-500)))))</f>
        <v/>
      </c>
    </row>
    <row r="11">
      <c r="A11" s="54">
        <f>IF(_calc!$E$13="","",IF(_calc!$E$13&lt;=500,"Warranty – "&amp;IF(LEN(INDEX('Dealer pipeline'!$C$4:$C$503,_calc!$E$13))=0,"",INDEX('Dealer pipeline'!$C$4:$C$503,_calc!$E$13))&amp;" – "&amp;IF(LEN(INDEX('Dealer pipeline'!$D$4:$D$503,_calc!$E$13))=0,"",INDEX('Dealer pipeline'!$D$4:$D$503,_calc!$E$13))&amp;" – "&amp;IF(LEN(INDEX('Dealer pipeline'!$A$4:$A$503,_calc!$E$13))=0,"",INDEX('Dealer pipeline'!$A$4:$A$503,_calc!$E$13)),"Warranty – "&amp;IF(LEN(INDEX('My equipment'!$A$4:$A$503,(_calc!$E$13-500)))=0,"",INDEX('My equipment'!$A$4:$A$503,(_calc!$E$13-500)))&amp;" – "&amp;IF(LEN(INDEX('My equipment'!$D$4:$D$503,(_calc!$E$13-500)))=0,"",INDEX('My equipment'!$D$4:$D$503,(_calc!$E$13-500)))))</f>
        <v/>
      </c>
      <c r="B11" s="54">
        <f>IF(_calc!$E$13="","",IF(_calc!$E$13&lt;=500,IF(ISNUMBER(INDEX('Dealer pipeline'!$M$4:$M$503,_calc!$E$13)),TEXT(INDEX('Dealer pipeline'!$M$4:$M$503,_calc!$E$13),"yyyy-mm-dd"),""),IF(ISNUMBER(INDEX('My equipment'!$M$4:$M$503,(_calc!$E$13-500))),TEXT(INDEX('My equipment'!$M$4:$M$503,(_calc!$E$13-500)),"yyyy-mm-dd"),"")))</f>
        <v/>
      </c>
      <c r="C11" s="54">
        <f>IF(_calc!$E$13="","",IF(_calc!$E$13&lt;=500,"Warranty","Warranty"))</f>
        <v/>
      </c>
      <c r="D11" s="54">
        <f>IF(_calc!$E$13="","",IF(_calc!$E$13&lt;=500,IF(ISNUMBER(INDEX('Dealer pipeline'!$H$4:$H$503,_calc!$E$13)),TEXT(INDEX('Dealer pipeline'!$H$4:$H$503,_calc!$E$13),"yyyy-mm-dd"),""),IF(ISNUMBER(INDEX('My equipment'!$H$4:$H$503,(_calc!$E$13-500))),TEXT(INDEX('My equipment'!$H$4:$H$503,(_calc!$E$13-500)),"yyyy-mm-dd"),"")))</f>
        <v/>
      </c>
      <c r="F11" s="54">
        <f>IF(_calc!$E$13="","",IF(_calc!$E$13&lt;=500,TRIM(IF(LEN(IF(LEN(INDEX('Dealer pipeline'!$A$4:$A$503,_calc!$E$13))=0,"",INDEX('Dealer pipeline'!$A$4:$A$503,_calc!$E$13)))=0,"","Customer: "&amp;IF(LEN(INDEX('Dealer pipeline'!$A$4:$A$503,_calc!$E$13))=0,"",INDEX('Dealer pipeline'!$A$4:$A$503,_calc!$E$13))&amp;". ")&amp;IF(LEN(IF(LEN(INDEX('Dealer pipeline'!$B$4:$B$503,_calc!$E$13))=0,"",INDEX('Dealer pipeline'!$B$4:$B$503,_calc!$E$13)))=0,"","Contact: "&amp;IF(LEN(INDEX('Dealer pipeline'!$B$4:$B$503,_calc!$E$13))=0,"",INDEX('Dealer pipeline'!$B$4:$B$503,_calc!$E$13))&amp;". ")&amp;IF(LEN(IF(LEN(INDEX('Dealer pipeline'!$D$4:$D$503,_calc!$E$13))=0,"",INDEX('Dealer pipeline'!$D$4:$D$503,_calc!$E$13)))=0,"","Serial: "&amp;IF(LEN(INDEX('Dealer pipeline'!$D$4:$D$503,_calc!$E$13))=0,"",INDEX('Dealer pipeline'!$D$4:$D$503,_calc!$E$13))&amp;". ")&amp;IF(LEN(IF(ISNUMBER(INDEX('Dealer pipeline'!$J$4:$J$503,_calc!$E$13)),TEXT(INDEX('Dealer pipeline'!$J$4:$J$503,_calc!$E$13),"yyyy-mm-dd"),""))=0,"","Parts end: "&amp;IF(ISNUMBER(INDEX('Dealer pipeline'!$J$4:$J$503,_calc!$E$13)),TEXT(INDEX('Dealer pipeline'!$J$4:$J$503,_calc!$E$13),"yyyy-mm-dd"),"")&amp;". ")&amp;IF(LEN(IF(ISNUMBER(INDEX('Dealer pipeline'!$L$4:$L$503,_calc!$E$13)),TEXT(INDEX('Dealer pipeline'!$L$4:$L$503,_calc!$E$13),"yyyy-mm-dd"),""))=0,"","Labor end: "&amp;IF(ISNUMBER(INDEX('Dealer pipeline'!$L$4:$L$503,_calc!$E$13)),TEXT(INDEX('Dealer pipeline'!$L$4:$L$503,_calc!$E$13),"yyyy-mm-dd"),"")&amp;". ")&amp;IF(LEN(IF(LEN(INDEX('Dealer pipeline'!$Q$4:$Q$503,_calc!$E$13))=0,"",INDEX('Dealer pipeline'!$Q$4:$Q$503,_calc!$E$13)))=0,"","Status: "&amp;IF(LEN(INDEX('Dealer pipeline'!$Q$4:$Q$503,_calc!$E$13))=0,"",INDEX('Dealer pipeline'!$Q$4:$Q$503,_calc!$E$13))&amp;". ")&amp;IF(LEN(IF(LEN(INDEX('Dealer pipeline'!$P$4:$P$503,_calc!$E$13))=0,"",INDEX('Dealer pipeline'!$P$4:$P$503,_calc!$E$13)))=0,"","Last touch: "&amp;IF(LEN(INDEX('Dealer pipeline'!$P$4:$P$503,_calc!$E$13))=0,"",INDEX('Dealer pipeline'!$P$4:$P$503,_calc!$E$13))&amp;". ")&amp;IF(LEN(IF(LEN(INDEX('Dealer pipeline'!$R$4:$R$503,_calc!$E$13))=0,"",INDEX('Dealer pipeline'!$R$4:$R$503,_calc!$E$13)))=0,"","Owner: "&amp;IF(LEN(INDEX('Dealer pipeline'!$R$4:$R$503,_calc!$E$13))=0,"",INDEX('Dealer pipeline'!$R$4:$R$503,_calc!$E$13))&amp;". ")&amp;IF(LEN(IF(LEN(INDEX('Dealer pipeline'!$S$4:$S$503,_calc!$E$13))=0,"",INDEX('Dealer pipeline'!$S$4:$S$503,_calc!$E$13)))=0,"","Backup: "&amp;IF(LEN(INDEX('Dealer pipeline'!$S$4:$S$503,_calc!$E$13))=0,"",INDEX('Dealer pipeline'!$S$4:$S$503,_calc!$E$13))&amp;". ")&amp;IF(LEN(IF(LEN(INDEX('Dealer pipeline'!$T$4:$T$503,_calc!$E$13))=0,"",INDEX('Dealer pipeline'!$T$4:$T$503,_calc!$E$13)))=0,"",IF(LEN(INDEX('Dealer pipeline'!$T$4:$T$503,_calc!$E$13))=0,"",INDEX('Dealer pipeline'!$T$4:$T$503,_calc!$E$13)))),TRIM(IF(LEN(IF(LEN(INDEX('My equipment'!$C$4:$C$503,(_calc!$E$13-500)))=0,"",INDEX('My equipment'!$C$4:$C$503,(_calc!$E$13-500))))=0,"","Model: "&amp;IF(LEN(INDEX('My equipment'!$C$4:$C$503,(_calc!$E$13-500)))=0,"",INDEX('My equipment'!$C$4:$C$503,(_calc!$E$13-500)))&amp;". ")&amp;IF(LEN(IF(LEN(INDEX('My equipment'!$D$4:$D$503,(_calc!$E$13-500)))=0,"",INDEX('My equipment'!$D$4:$D$503,(_calc!$E$13-500))))=0,"","Serial: "&amp;IF(LEN(INDEX('My equipment'!$D$4:$D$503,(_calc!$E$13-500)))=0,"",INDEX('My equipment'!$D$4:$D$503,(_calc!$E$13-500)))&amp;". ")&amp;IF(LEN(IF(ISNUMBER(INDEX('My equipment'!$J$4:$J$503,(_calc!$E$13-500))),TEXT(INDEX('My equipment'!$J$4:$J$503,(_calc!$E$13-500)),"yyyy-mm-dd"),""))=0,"","Parts end: "&amp;IF(ISNUMBER(INDEX('My equipment'!$J$4:$J$503,(_calc!$E$13-500))),TEXT(INDEX('My equipment'!$J$4:$J$503,(_calc!$E$13-500)),"yyyy-mm-dd"),"")&amp;". ")&amp;IF(LEN(IF(ISNUMBER(INDEX('My equipment'!$L$4:$L$503,(_calc!$E$13-500))),TEXT(INDEX('My equipment'!$L$4:$L$503,(_calc!$E$13-500)),"yyyy-mm-dd"),""))=0,"","Labor end: "&amp;IF(ISNUMBER(INDEX('My equipment'!$L$4:$L$503,(_calc!$E$13-500))),TEXT(INDEX('My equipment'!$L$4:$L$503,(_calc!$E$13-500)),"yyyy-mm-dd"),"")&amp;". ")&amp;IF(LEN(IF(ISNUMBER(INDEX('My equipment'!$P$4:$P$503,(_calc!$E$13-500))),TEXT(INDEX('My equipment'!$P$4:$P$503,(_calc!$E$13-500)),"yyyy-mm-dd"),""))=0,"","Check by: "&amp;IF(ISNUMBER(INDEX('My equipment'!$P$4:$P$503,(_calc!$E$13-500))),TEXT(INDEX('My equipment'!$P$4:$P$503,(_calc!$E$13-500)),"yyyy-mm-dd"),"")&amp;". ")&amp;IF(LEN(IF(LEN(INDEX('My equipment'!$Q$4:$Q$503,(_calc!$E$13-500)))=0,"",INDEX('My equipment'!$Q$4:$Q$503,(_calc!$E$13-500))))=0,"","Claim status: "&amp;IF(LEN(INDEX('My equipment'!$Q$4:$Q$503,(_calc!$E$13-500)))=0,"",INDEX('My equipment'!$Q$4:$Q$503,(_calc!$E$13-500)))&amp;". ")&amp;IF(LEN(IF(LEN(INDEX('My equipment'!$R$4:$R$503,(_calc!$E$13-500)))=0,"",INDEX('My equipment'!$R$4:$R$503,(_calc!$E$13-500))))=0,"","Claims contact: "&amp;IF(LEN(INDEX('My equipment'!$R$4:$R$503,(_calc!$E$13-500)))=0,"",INDEX('My equipment'!$R$4:$R$503,(_calc!$E$13-500)))&amp;". ")&amp;IF(LEN(IF(LEN(INDEX('My equipment'!$S$4:$S$503,(_calc!$E$13-500)))=0,"",INDEX('My equipment'!$S$4:$S$503,(_calc!$E$13-500))))=0,"","Claims email: "&amp;IF(LEN(INDEX('My equipment'!$S$4:$S$503,(_calc!$E$13-500)))=0,"",INDEX('My equipment'!$S$4:$S$503,(_calc!$E$13-500)))&amp;". ")&amp;IF(LEN(IF(LEN(INDEX('My equipment'!$U$4:$U$503,(_calc!$E$13-500)))=0,"",INDEX('My equipment'!$U$4:$U$503,(_calc!$E$13-500))))=0,"","Registered: "&amp;IF(LEN(INDEX('My equipment'!$U$4:$U$503,(_calc!$E$13-500)))=0,"",INDEX('My equipment'!$U$4:$U$503,(_calc!$E$13-500)))&amp;". ")&amp;IF(LEN(IF(LEN(INDEX('My equipment'!$V$4:$V$503,(_calc!$E$13-500)))=0,"",INDEX('My equipment'!$V$4:$V$503,(_calc!$E$13-500))))=0,"","Proof on file: "&amp;IF(LEN(INDEX('My equipment'!$V$4:$V$503,(_calc!$E$13-500)))=0,"",INDEX('My equipment'!$V$4:$V$503,(_calc!$E$13-500)))&amp;". ")&amp;IF(LEN(IF(LEN(INDEX('My equipment'!$W$4:$W$503,(_calc!$E$13-500)))=0,"",INDEX('My equipment'!$W$4:$W$503,(_calc!$E$13-500))))=0,"","Claim ref: "&amp;IF(LEN(INDEX('My equipment'!$W$4:$W$503,(_calc!$E$13-500)))=0,"",INDEX('My equipment'!$W$4:$W$503,(_calc!$E$13-500)))&amp;". ")&amp;IF(LEN(IF(LEN(INDEX('My equipment'!$Y$4:$Y$503,(_calc!$E$13-500)))=0,"",INDEX('My equipment'!$Y$4:$Y$503,(_calc!$E$13-500))))=0,"",IF(LEN(INDEX('My equipment'!$Y$4:$Y$503,(_calc!$E$13-500)))=0,"",INDEX('My equipment'!$Y$4:$Y$503,(_calc!$E$13-500)))))))</f>
        <v/>
      </c>
      <c r="G11" s="54">
        <f>IF(_calc!$E$13="","",IF(_calc!$E$13&lt;=500,"",IF(LEN(INDEX('My equipment'!$X$4:$X$503,(_calc!$E$13-500)))=0,"",INDEX('My equipment'!$X$4:$X$503,(_calc!$E$13-500)))))</f>
        <v/>
      </c>
      <c r="K11" s="54">
        <f>IF(_calc!$E$13="","",IF(_calc!$E$13&lt;=500,"",IF(LEN(INDEX('My equipment'!$T$4:$T$503,(_calc!$E$13-500)))=0,"",INDEX('My equipment'!$T$4:$T$503,(_calc!$E$13-500)))))</f>
        <v/>
      </c>
    </row>
    <row r="12">
      <c r="A12" s="54">
        <f>IF(_calc!$E$14="","",IF(_calc!$E$14&lt;=500,"Warranty – "&amp;IF(LEN(INDEX('Dealer pipeline'!$C$4:$C$503,_calc!$E$14))=0,"",INDEX('Dealer pipeline'!$C$4:$C$503,_calc!$E$14))&amp;" – "&amp;IF(LEN(INDEX('Dealer pipeline'!$D$4:$D$503,_calc!$E$14))=0,"",INDEX('Dealer pipeline'!$D$4:$D$503,_calc!$E$14))&amp;" – "&amp;IF(LEN(INDEX('Dealer pipeline'!$A$4:$A$503,_calc!$E$14))=0,"",INDEX('Dealer pipeline'!$A$4:$A$503,_calc!$E$14)),"Warranty – "&amp;IF(LEN(INDEX('My equipment'!$A$4:$A$503,(_calc!$E$14-500)))=0,"",INDEX('My equipment'!$A$4:$A$503,(_calc!$E$14-500)))&amp;" – "&amp;IF(LEN(INDEX('My equipment'!$D$4:$D$503,(_calc!$E$14-500)))=0,"",INDEX('My equipment'!$D$4:$D$503,(_calc!$E$14-500)))))</f>
        <v/>
      </c>
      <c r="B12" s="54">
        <f>IF(_calc!$E$14="","",IF(_calc!$E$14&lt;=500,IF(ISNUMBER(INDEX('Dealer pipeline'!$M$4:$M$503,_calc!$E$14)),TEXT(INDEX('Dealer pipeline'!$M$4:$M$503,_calc!$E$14),"yyyy-mm-dd"),""),IF(ISNUMBER(INDEX('My equipment'!$M$4:$M$503,(_calc!$E$14-500))),TEXT(INDEX('My equipment'!$M$4:$M$503,(_calc!$E$14-500)),"yyyy-mm-dd"),"")))</f>
        <v/>
      </c>
      <c r="C12" s="54">
        <f>IF(_calc!$E$14="","",IF(_calc!$E$14&lt;=500,"Warranty","Warranty"))</f>
        <v/>
      </c>
      <c r="D12" s="54">
        <f>IF(_calc!$E$14="","",IF(_calc!$E$14&lt;=500,IF(ISNUMBER(INDEX('Dealer pipeline'!$H$4:$H$503,_calc!$E$14)),TEXT(INDEX('Dealer pipeline'!$H$4:$H$503,_calc!$E$14),"yyyy-mm-dd"),""),IF(ISNUMBER(INDEX('My equipment'!$H$4:$H$503,(_calc!$E$14-500))),TEXT(INDEX('My equipment'!$H$4:$H$503,(_calc!$E$14-500)),"yyyy-mm-dd"),"")))</f>
        <v/>
      </c>
      <c r="F12" s="54">
        <f>IF(_calc!$E$14="","",IF(_calc!$E$14&lt;=500,TRIM(IF(LEN(IF(LEN(INDEX('Dealer pipeline'!$A$4:$A$503,_calc!$E$14))=0,"",INDEX('Dealer pipeline'!$A$4:$A$503,_calc!$E$14)))=0,"","Customer: "&amp;IF(LEN(INDEX('Dealer pipeline'!$A$4:$A$503,_calc!$E$14))=0,"",INDEX('Dealer pipeline'!$A$4:$A$503,_calc!$E$14))&amp;". ")&amp;IF(LEN(IF(LEN(INDEX('Dealer pipeline'!$B$4:$B$503,_calc!$E$14))=0,"",INDEX('Dealer pipeline'!$B$4:$B$503,_calc!$E$14)))=0,"","Contact: "&amp;IF(LEN(INDEX('Dealer pipeline'!$B$4:$B$503,_calc!$E$14))=0,"",INDEX('Dealer pipeline'!$B$4:$B$503,_calc!$E$14))&amp;". ")&amp;IF(LEN(IF(LEN(INDEX('Dealer pipeline'!$D$4:$D$503,_calc!$E$14))=0,"",INDEX('Dealer pipeline'!$D$4:$D$503,_calc!$E$14)))=0,"","Serial: "&amp;IF(LEN(INDEX('Dealer pipeline'!$D$4:$D$503,_calc!$E$14))=0,"",INDEX('Dealer pipeline'!$D$4:$D$503,_calc!$E$14))&amp;". ")&amp;IF(LEN(IF(ISNUMBER(INDEX('Dealer pipeline'!$J$4:$J$503,_calc!$E$14)),TEXT(INDEX('Dealer pipeline'!$J$4:$J$503,_calc!$E$14),"yyyy-mm-dd"),""))=0,"","Parts end: "&amp;IF(ISNUMBER(INDEX('Dealer pipeline'!$J$4:$J$503,_calc!$E$14)),TEXT(INDEX('Dealer pipeline'!$J$4:$J$503,_calc!$E$14),"yyyy-mm-dd"),"")&amp;". ")&amp;IF(LEN(IF(ISNUMBER(INDEX('Dealer pipeline'!$L$4:$L$503,_calc!$E$14)),TEXT(INDEX('Dealer pipeline'!$L$4:$L$503,_calc!$E$14),"yyyy-mm-dd"),""))=0,"","Labor end: "&amp;IF(ISNUMBER(INDEX('Dealer pipeline'!$L$4:$L$503,_calc!$E$14)),TEXT(INDEX('Dealer pipeline'!$L$4:$L$503,_calc!$E$14),"yyyy-mm-dd"),"")&amp;". ")&amp;IF(LEN(IF(LEN(INDEX('Dealer pipeline'!$Q$4:$Q$503,_calc!$E$14))=0,"",INDEX('Dealer pipeline'!$Q$4:$Q$503,_calc!$E$14)))=0,"","Status: "&amp;IF(LEN(INDEX('Dealer pipeline'!$Q$4:$Q$503,_calc!$E$14))=0,"",INDEX('Dealer pipeline'!$Q$4:$Q$503,_calc!$E$14))&amp;". ")&amp;IF(LEN(IF(LEN(INDEX('Dealer pipeline'!$P$4:$P$503,_calc!$E$14))=0,"",INDEX('Dealer pipeline'!$P$4:$P$503,_calc!$E$14)))=0,"","Last touch: "&amp;IF(LEN(INDEX('Dealer pipeline'!$P$4:$P$503,_calc!$E$14))=0,"",INDEX('Dealer pipeline'!$P$4:$P$503,_calc!$E$14))&amp;". ")&amp;IF(LEN(IF(LEN(INDEX('Dealer pipeline'!$R$4:$R$503,_calc!$E$14))=0,"",INDEX('Dealer pipeline'!$R$4:$R$503,_calc!$E$14)))=0,"","Owner: "&amp;IF(LEN(INDEX('Dealer pipeline'!$R$4:$R$503,_calc!$E$14))=0,"",INDEX('Dealer pipeline'!$R$4:$R$503,_calc!$E$14))&amp;". ")&amp;IF(LEN(IF(LEN(INDEX('Dealer pipeline'!$S$4:$S$503,_calc!$E$14))=0,"",INDEX('Dealer pipeline'!$S$4:$S$503,_calc!$E$14)))=0,"","Backup: "&amp;IF(LEN(INDEX('Dealer pipeline'!$S$4:$S$503,_calc!$E$14))=0,"",INDEX('Dealer pipeline'!$S$4:$S$503,_calc!$E$14))&amp;". ")&amp;IF(LEN(IF(LEN(INDEX('Dealer pipeline'!$T$4:$T$503,_calc!$E$14))=0,"",INDEX('Dealer pipeline'!$T$4:$T$503,_calc!$E$14)))=0,"",IF(LEN(INDEX('Dealer pipeline'!$T$4:$T$503,_calc!$E$14))=0,"",INDEX('Dealer pipeline'!$T$4:$T$503,_calc!$E$14)))),TRIM(IF(LEN(IF(LEN(INDEX('My equipment'!$C$4:$C$503,(_calc!$E$14-500)))=0,"",INDEX('My equipment'!$C$4:$C$503,(_calc!$E$14-500))))=0,"","Model: "&amp;IF(LEN(INDEX('My equipment'!$C$4:$C$503,(_calc!$E$14-500)))=0,"",INDEX('My equipment'!$C$4:$C$503,(_calc!$E$14-500)))&amp;". ")&amp;IF(LEN(IF(LEN(INDEX('My equipment'!$D$4:$D$503,(_calc!$E$14-500)))=0,"",INDEX('My equipment'!$D$4:$D$503,(_calc!$E$14-500))))=0,"","Serial: "&amp;IF(LEN(INDEX('My equipment'!$D$4:$D$503,(_calc!$E$14-500)))=0,"",INDEX('My equipment'!$D$4:$D$503,(_calc!$E$14-500)))&amp;". ")&amp;IF(LEN(IF(ISNUMBER(INDEX('My equipment'!$J$4:$J$503,(_calc!$E$14-500))),TEXT(INDEX('My equipment'!$J$4:$J$503,(_calc!$E$14-500)),"yyyy-mm-dd"),""))=0,"","Parts end: "&amp;IF(ISNUMBER(INDEX('My equipment'!$J$4:$J$503,(_calc!$E$14-500))),TEXT(INDEX('My equipment'!$J$4:$J$503,(_calc!$E$14-500)),"yyyy-mm-dd"),"")&amp;". ")&amp;IF(LEN(IF(ISNUMBER(INDEX('My equipment'!$L$4:$L$503,(_calc!$E$14-500))),TEXT(INDEX('My equipment'!$L$4:$L$503,(_calc!$E$14-500)),"yyyy-mm-dd"),""))=0,"","Labor end: "&amp;IF(ISNUMBER(INDEX('My equipment'!$L$4:$L$503,(_calc!$E$14-500))),TEXT(INDEX('My equipment'!$L$4:$L$503,(_calc!$E$14-500)),"yyyy-mm-dd"),"")&amp;". ")&amp;IF(LEN(IF(ISNUMBER(INDEX('My equipment'!$P$4:$P$503,(_calc!$E$14-500))),TEXT(INDEX('My equipment'!$P$4:$P$503,(_calc!$E$14-500)),"yyyy-mm-dd"),""))=0,"","Check by: "&amp;IF(ISNUMBER(INDEX('My equipment'!$P$4:$P$503,(_calc!$E$14-500))),TEXT(INDEX('My equipment'!$P$4:$P$503,(_calc!$E$14-500)),"yyyy-mm-dd"),"")&amp;". ")&amp;IF(LEN(IF(LEN(INDEX('My equipment'!$Q$4:$Q$503,(_calc!$E$14-500)))=0,"",INDEX('My equipment'!$Q$4:$Q$503,(_calc!$E$14-500))))=0,"","Claim status: "&amp;IF(LEN(INDEX('My equipment'!$Q$4:$Q$503,(_calc!$E$14-500)))=0,"",INDEX('My equipment'!$Q$4:$Q$503,(_calc!$E$14-500)))&amp;". ")&amp;IF(LEN(IF(LEN(INDEX('My equipment'!$R$4:$R$503,(_calc!$E$14-500)))=0,"",INDEX('My equipment'!$R$4:$R$503,(_calc!$E$14-500))))=0,"","Claims contact: "&amp;IF(LEN(INDEX('My equipment'!$R$4:$R$503,(_calc!$E$14-500)))=0,"",INDEX('My equipment'!$R$4:$R$503,(_calc!$E$14-500)))&amp;". ")&amp;IF(LEN(IF(LEN(INDEX('My equipment'!$S$4:$S$503,(_calc!$E$14-500)))=0,"",INDEX('My equipment'!$S$4:$S$503,(_calc!$E$14-500))))=0,"","Claims email: "&amp;IF(LEN(INDEX('My equipment'!$S$4:$S$503,(_calc!$E$14-500)))=0,"",INDEX('My equipment'!$S$4:$S$503,(_calc!$E$14-500)))&amp;". ")&amp;IF(LEN(IF(LEN(INDEX('My equipment'!$U$4:$U$503,(_calc!$E$14-500)))=0,"",INDEX('My equipment'!$U$4:$U$503,(_calc!$E$14-500))))=0,"","Registered: "&amp;IF(LEN(INDEX('My equipment'!$U$4:$U$503,(_calc!$E$14-500)))=0,"",INDEX('My equipment'!$U$4:$U$503,(_calc!$E$14-500)))&amp;". ")&amp;IF(LEN(IF(LEN(INDEX('My equipment'!$V$4:$V$503,(_calc!$E$14-500)))=0,"",INDEX('My equipment'!$V$4:$V$503,(_calc!$E$14-500))))=0,"","Proof on file: "&amp;IF(LEN(INDEX('My equipment'!$V$4:$V$503,(_calc!$E$14-500)))=0,"",INDEX('My equipment'!$V$4:$V$503,(_calc!$E$14-500)))&amp;". ")&amp;IF(LEN(IF(LEN(INDEX('My equipment'!$W$4:$W$503,(_calc!$E$14-500)))=0,"",INDEX('My equipment'!$W$4:$W$503,(_calc!$E$14-500))))=0,"","Claim ref: "&amp;IF(LEN(INDEX('My equipment'!$W$4:$W$503,(_calc!$E$14-500)))=0,"",INDEX('My equipment'!$W$4:$W$503,(_calc!$E$14-500)))&amp;". ")&amp;IF(LEN(IF(LEN(INDEX('My equipment'!$Y$4:$Y$503,(_calc!$E$14-500)))=0,"",INDEX('My equipment'!$Y$4:$Y$503,(_calc!$E$14-500))))=0,"",IF(LEN(INDEX('My equipment'!$Y$4:$Y$503,(_calc!$E$14-500)))=0,"",INDEX('My equipment'!$Y$4:$Y$503,(_calc!$E$14-500)))))))</f>
        <v/>
      </c>
      <c r="G12" s="54">
        <f>IF(_calc!$E$14="","",IF(_calc!$E$14&lt;=500,"",IF(LEN(INDEX('My equipment'!$X$4:$X$503,(_calc!$E$14-500)))=0,"",INDEX('My equipment'!$X$4:$X$503,(_calc!$E$14-500)))))</f>
        <v/>
      </c>
      <c r="K12" s="54">
        <f>IF(_calc!$E$14="","",IF(_calc!$E$14&lt;=500,"",IF(LEN(INDEX('My equipment'!$T$4:$T$503,(_calc!$E$14-500)))=0,"",INDEX('My equipment'!$T$4:$T$503,(_calc!$E$14-500)))))</f>
        <v/>
      </c>
    </row>
    <row r="13">
      <c r="A13" s="54">
        <f>IF(_calc!$E$15="","",IF(_calc!$E$15&lt;=500,"Warranty – "&amp;IF(LEN(INDEX('Dealer pipeline'!$C$4:$C$503,_calc!$E$15))=0,"",INDEX('Dealer pipeline'!$C$4:$C$503,_calc!$E$15))&amp;" – "&amp;IF(LEN(INDEX('Dealer pipeline'!$D$4:$D$503,_calc!$E$15))=0,"",INDEX('Dealer pipeline'!$D$4:$D$503,_calc!$E$15))&amp;" – "&amp;IF(LEN(INDEX('Dealer pipeline'!$A$4:$A$503,_calc!$E$15))=0,"",INDEX('Dealer pipeline'!$A$4:$A$503,_calc!$E$15)),"Warranty – "&amp;IF(LEN(INDEX('My equipment'!$A$4:$A$503,(_calc!$E$15-500)))=0,"",INDEX('My equipment'!$A$4:$A$503,(_calc!$E$15-500)))&amp;" – "&amp;IF(LEN(INDEX('My equipment'!$D$4:$D$503,(_calc!$E$15-500)))=0,"",INDEX('My equipment'!$D$4:$D$503,(_calc!$E$15-500)))))</f>
        <v/>
      </c>
      <c r="B13" s="54">
        <f>IF(_calc!$E$15="","",IF(_calc!$E$15&lt;=500,IF(ISNUMBER(INDEX('Dealer pipeline'!$M$4:$M$503,_calc!$E$15)),TEXT(INDEX('Dealer pipeline'!$M$4:$M$503,_calc!$E$15),"yyyy-mm-dd"),""),IF(ISNUMBER(INDEX('My equipment'!$M$4:$M$503,(_calc!$E$15-500))),TEXT(INDEX('My equipment'!$M$4:$M$503,(_calc!$E$15-500)),"yyyy-mm-dd"),"")))</f>
        <v/>
      </c>
      <c r="C13" s="54">
        <f>IF(_calc!$E$15="","",IF(_calc!$E$15&lt;=500,"Warranty","Warranty"))</f>
        <v/>
      </c>
      <c r="D13" s="54">
        <f>IF(_calc!$E$15="","",IF(_calc!$E$15&lt;=500,IF(ISNUMBER(INDEX('Dealer pipeline'!$H$4:$H$503,_calc!$E$15)),TEXT(INDEX('Dealer pipeline'!$H$4:$H$503,_calc!$E$15),"yyyy-mm-dd"),""),IF(ISNUMBER(INDEX('My equipment'!$H$4:$H$503,(_calc!$E$15-500))),TEXT(INDEX('My equipment'!$H$4:$H$503,(_calc!$E$15-500)),"yyyy-mm-dd"),"")))</f>
        <v/>
      </c>
      <c r="F13" s="54">
        <f>IF(_calc!$E$15="","",IF(_calc!$E$15&lt;=500,TRIM(IF(LEN(IF(LEN(INDEX('Dealer pipeline'!$A$4:$A$503,_calc!$E$15))=0,"",INDEX('Dealer pipeline'!$A$4:$A$503,_calc!$E$15)))=0,"","Customer: "&amp;IF(LEN(INDEX('Dealer pipeline'!$A$4:$A$503,_calc!$E$15))=0,"",INDEX('Dealer pipeline'!$A$4:$A$503,_calc!$E$15))&amp;". ")&amp;IF(LEN(IF(LEN(INDEX('Dealer pipeline'!$B$4:$B$503,_calc!$E$15))=0,"",INDEX('Dealer pipeline'!$B$4:$B$503,_calc!$E$15)))=0,"","Contact: "&amp;IF(LEN(INDEX('Dealer pipeline'!$B$4:$B$503,_calc!$E$15))=0,"",INDEX('Dealer pipeline'!$B$4:$B$503,_calc!$E$15))&amp;". ")&amp;IF(LEN(IF(LEN(INDEX('Dealer pipeline'!$D$4:$D$503,_calc!$E$15))=0,"",INDEX('Dealer pipeline'!$D$4:$D$503,_calc!$E$15)))=0,"","Serial: "&amp;IF(LEN(INDEX('Dealer pipeline'!$D$4:$D$503,_calc!$E$15))=0,"",INDEX('Dealer pipeline'!$D$4:$D$503,_calc!$E$15))&amp;". ")&amp;IF(LEN(IF(ISNUMBER(INDEX('Dealer pipeline'!$J$4:$J$503,_calc!$E$15)),TEXT(INDEX('Dealer pipeline'!$J$4:$J$503,_calc!$E$15),"yyyy-mm-dd"),""))=0,"","Parts end: "&amp;IF(ISNUMBER(INDEX('Dealer pipeline'!$J$4:$J$503,_calc!$E$15)),TEXT(INDEX('Dealer pipeline'!$J$4:$J$503,_calc!$E$15),"yyyy-mm-dd"),"")&amp;". ")&amp;IF(LEN(IF(ISNUMBER(INDEX('Dealer pipeline'!$L$4:$L$503,_calc!$E$15)),TEXT(INDEX('Dealer pipeline'!$L$4:$L$503,_calc!$E$15),"yyyy-mm-dd"),""))=0,"","Labor end: "&amp;IF(ISNUMBER(INDEX('Dealer pipeline'!$L$4:$L$503,_calc!$E$15)),TEXT(INDEX('Dealer pipeline'!$L$4:$L$503,_calc!$E$15),"yyyy-mm-dd"),"")&amp;". ")&amp;IF(LEN(IF(LEN(INDEX('Dealer pipeline'!$Q$4:$Q$503,_calc!$E$15))=0,"",INDEX('Dealer pipeline'!$Q$4:$Q$503,_calc!$E$15)))=0,"","Status: "&amp;IF(LEN(INDEX('Dealer pipeline'!$Q$4:$Q$503,_calc!$E$15))=0,"",INDEX('Dealer pipeline'!$Q$4:$Q$503,_calc!$E$15))&amp;". ")&amp;IF(LEN(IF(LEN(INDEX('Dealer pipeline'!$P$4:$P$503,_calc!$E$15))=0,"",INDEX('Dealer pipeline'!$P$4:$P$503,_calc!$E$15)))=0,"","Last touch: "&amp;IF(LEN(INDEX('Dealer pipeline'!$P$4:$P$503,_calc!$E$15))=0,"",INDEX('Dealer pipeline'!$P$4:$P$503,_calc!$E$15))&amp;". ")&amp;IF(LEN(IF(LEN(INDEX('Dealer pipeline'!$R$4:$R$503,_calc!$E$15))=0,"",INDEX('Dealer pipeline'!$R$4:$R$503,_calc!$E$15)))=0,"","Owner: "&amp;IF(LEN(INDEX('Dealer pipeline'!$R$4:$R$503,_calc!$E$15))=0,"",INDEX('Dealer pipeline'!$R$4:$R$503,_calc!$E$15))&amp;". ")&amp;IF(LEN(IF(LEN(INDEX('Dealer pipeline'!$S$4:$S$503,_calc!$E$15))=0,"",INDEX('Dealer pipeline'!$S$4:$S$503,_calc!$E$15)))=0,"","Backup: "&amp;IF(LEN(INDEX('Dealer pipeline'!$S$4:$S$503,_calc!$E$15))=0,"",INDEX('Dealer pipeline'!$S$4:$S$503,_calc!$E$15))&amp;". ")&amp;IF(LEN(IF(LEN(INDEX('Dealer pipeline'!$T$4:$T$503,_calc!$E$15))=0,"",INDEX('Dealer pipeline'!$T$4:$T$503,_calc!$E$15)))=0,"",IF(LEN(INDEX('Dealer pipeline'!$T$4:$T$503,_calc!$E$15))=0,"",INDEX('Dealer pipeline'!$T$4:$T$503,_calc!$E$15)))),TRIM(IF(LEN(IF(LEN(INDEX('My equipment'!$C$4:$C$503,(_calc!$E$15-500)))=0,"",INDEX('My equipment'!$C$4:$C$503,(_calc!$E$15-500))))=0,"","Model: "&amp;IF(LEN(INDEX('My equipment'!$C$4:$C$503,(_calc!$E$15-500)))=0,"",INDEX('My equipment'!$C$4:$C$503,(_calc!$E$15-500)))&amp;". ")&amp;IF(LEN(IF(LEN(INDEX('My equipment'!$D$4:$D$503,(_calc!$E$15-500)))=0,"",INDEX('My equipment'!$D$4:$D$503,(_calc!$E$15-500))))=0,"","Serial: "&amp;IF(LEN(INDEX('My equipment'!$D$4:$D$503,(_calc!$E$15-500)))=0,"",INDEX('My equipment'!$D$4:$D$503,(_calc!$E$15-500)))&amp;". ")&amp;IF(LEN(IF(ISNUMBER(INDEX('My equipment'!$J$4:$J$503,(_calc!$E$15-500))),TEXT(INDEX('My equipment'!$J$4:$J$503,(_calc!$E$15-500)),"yyyy-mm-dd"),""))=0,"","Parts end: "&amp;IF(ISNUMBER(INDEX('My equipment'!$J$4:$J$503,(_calc!$E$15-500))),TEXT(INDEX('My equipment'!$J$4:$J$503,(_calc!$E$15-500)),"yyyy-mm-dd"),"")&amp;". ")&amp;IF(LEN(IF(ISNUMBER(INDEX('My equipment'!$L$4:$L$503,(_calc!$E$15-500))),TEXT(INDEX('My equipment'!$L$4:$L$503,(_calc!$E$15-500)),"yyyy-mm-dd"),""))=0,"","Labor end: "&amp;IF(ISNUMBER(INDEX('My equipment'!$L$4:$L$503,(_calc!$E$15-500))),TEXT(INDEX('My equipment'!$L$4:$L$503,(_calc!$E$15-500)),"yyyy-mm-dd"),"")&amp;". ")&amp;IF(LEN(IF(ISNUMBER(INDEX('My equipment'!$P$4:$P$503,(_calc!$E$15-500))),TEXT(INDEX('My equipment'!$P$4:$P$503,(_calc!$E$15-500)),"yyyy-mm-dd"),""))=0,"","Check by: "&amp;IF(ISNUMBER(INDEX('My equipment'!$P$4:$P$503,(_calc!$E$15-500))),TEXT(INDEX('My equipment'!$P$4:$P$503,(_calc!$E$15-500)),"yyyy-mm-dd"),"")&amp;". ")&amp;IF(LEN(IF(LEN(INDEX('My equipment'!$Q$4:$Q$503,(_calc!$E$15-500)))=0,"",INDEX('My equipment'!$Q$4:$Q$503,(_calc!$E$15-500))))=0,"","Claim status: "&amp;IF(LEN(INDEX('My equipment'!$Q$4:$Q$503,(_calc!$E$15-500)))=0,"",INDEX('My equipment'!$Q$4:$Q$503,(_calc!$E$15-500)))&amp;". ")&amp;IF(LEN(IF(LEN(INDEX('My equipment'!$R$4:$R$503,(_calc!$E$15-500)))=0,"",INDEX('My equipment'!$R$4:$R$503,(_calc!$E$15-500))))=0,"","Claims contact: "&amp;IF(LEN(INDEX('My equipment'!$R$4:$R$503,(_calc!$E$15-500)))=0,"",INDEX('My equipment'!$R$4:$R$503,(_calc!$E$15-500)))&amp;". ")&amp;IF(LEN(IF(LEN(INDEX('My equipment'!$S$4:$S$503,(_calc!$E$15-500)))=0,"",INDEX('My equipment'!$S$4:$S$503,(_calc!$E$15-500))))=0,"","Claims email: "&amp;IF(LEN(INDEX('My equipment'!$S$4:$S$503,(_calc!$E$15-500)))=0,"",INDEX('My equipment'!$S$4:$S$503,(_calc!$E$15-500)))&amp;". ")&amp;IF(LEN(IF(LEN(INDEX('My equipment'!$U$4:$U$503,(_calc!$E$15-500)))=0,"",INDEX('My equipment'!$U$4:$U$503,(_calc!$E$15-500))))=0,"","Registered: "&amp;IF(LEN(INDEX('My equipment'!$U$4:$U$503,(_calc!$E$15-500)))=0,"",INDEX('My equipment'!$U$4:$U$503,(_calc!$E$15-500)))&amp;". ")&amp;IF(LEN(IF(LEN(INDEX('My equipment'!$V$4:$V$503,(_calc!$E$15-500)))=0,"",INDEX('My equipment'!$V$4:$V$503,(_calc!$E$15-500))))=0,"","Proof on file: "&amp;IF(LEN(INDEX('My equipment'!$V$4:$V$503,(_calc!$E$15-500)))=0,"",INDEX('My equipment'!$V$4:$V$503,(_calc!$E$15-500)))&amp;". ")&amp;IF(LEN(IF(LEN(INDEX('My equipment'!$W$4:$W$503,(_calc!$E$15-500)))=0,"",INDEX('My equipment'!$W$4:$W$503,(_calc!$E$15-500))))=0,"","Claim ref: "&amp;IF(LEN(INDEX('My equipment'!$W$4:$W$503,(_calc!$E$15-500)))=0,"",INDEX('My equipment'!$W$4:$W$503,(_calc!$E$15-500)))&amp;". ")&amp;IF(LEN(IF(LEN(INDEX('My equipment'!$Y$4:$Y$503,(_calc!$E$15-500)))=0,"",INDEX('My equipment'!$Y$4:$Y$503,(_calc!$E$15-500))))=0,"",IF(LEN(INDEX('My equipment'!$Y$4:$Y$503,(_calc!$E$15-500)))=0,"",INDEX('My equipment'!$Y$4:$Y$503,(_calc!$E$15-500)))))))</f>
        <v/>
      </c>
      <c r="G13" s="54">
        <f>IF(_calc!$E$15="","",IF(_calc!$E$15&lt;=500,"",IF(LEN(INDEX('My equipment'!$X$4:$X$503,(_calc!$E$15-500)))=0,"",INDEX('My equipment'!$X$4:$X$503,(_calc!$E$15-500)))))</f>
        <v/>
      </c>
      <c r="K13" s="54">
        <f>IF(_calc!$E$15="","",IF(_calc!$E$15&lt;=500,"",IF(LEN(INDEX('My equipment'!$T$4:$T$503,(_calc!$E$15-500)))=0,"",INDEX('My equipment'!$T$4:$T$503,(_calc!$E$15-500)))))</f>
        <v/>
      </c>
    </row>
    <row r="14">
      <c r="A14" s="54">
        <f>IF(_calc!$E$16="","",IF(_calc!$E$16&lt;=500,"Warranty – "&amp;IF(LEN(INDEX('Dealer pipeline'!$C$4:$C$503,_calc!$E$16))=0,"",INDEX('Dealer pipeline'!$C$4:$C$503,_calc!$E$16))&amp;" – "&amp;IF(LEN(INDEX('Dealer pipeline'!$D$4:$D$503,_calc!$E$16))=0,"",INDEX('Dealer pipeline'!$D$4:$D$503,_calc!$E$16))&amp;" – "&amp;IF(LEN(INDEX('Dealer pipeline'!$A$4:$A$503,_calc!$E$16))=0,"",INDEX('Dealer pipeline'!$A$4:$A$503,_calc!$E$16)),"Warranty – "&amp;IF(LEN(INDEX('My equipment'!$A$4:$A$503,(_calc!$E$16-500)))=0,"",INDEX('My equipment'!$A$4:$A$503,(_calc!$E$16-500)))&amp;" – "&amp;IF(LEN(INDEX('My equipment'!$D$4:$D$503,(_calc!$E$16-500)))=0,"",INDEX('My equipment'!$D$4:$D$503,(_calc!$E$16-500)))))</f>
        <v/>
      </c>
      <c r="B14" s="54">
        <f>IF(_calc!$E$16="","",IF(_calc!$E$16&lt;=500,IF(ISNUMBER(INDEX('Dealer pipeline'!$M$4:$M$503,_calc!$E$16)),TEXT(INDEX('Dealer pipeline'!$M$4:$M$503,_calc!$E$16),"yyyy-mm-dd"),""),IF(ISNUMBER(INDEX('My equipment'!$M$4:$M$503,(_calc!$E$16-500))),TEXT(INDEX('My equipment'!$M$4:$M$503,(_calc!$E$16-500)),"yyyy-mm-dd"),"")))</f>
        <v/>
      </c>
      <c r="C14" s="54">
        <f>IF(_calc!$E$16="","",IF(_calc!$E$16&lt;=500,"Warranty","Warranty"))</f>
        <v/>
      </c>
      <c r="D14" s="54">
        <f>IF(_calc!$E$16="","",IF(_calc!$E$16&lt;=500,IF(ISNUMBER(INDEX('Dealer pipeline'!$H$4:$H$503,_calc!$E$16)),TEXT(INDEX('Dealer pipeline'!$H$4:$H$503,_calc!$E$16),"yyyy-mm-dd"),""),IF(ISNUMBER(INDEX('My equipment'!$H$4:$H$503,(_calc!$E$16-500))),TEXT(INDEX('My equipment'!$H$4:$H$503,(_calc!$E$16-500)),"yyyy-mm-dd"),"")))</f>
        <v/>
      </c>
      <c r="F14" s="54">
        <f>IF(_calc!$E$16="","",IF(_calc!$E$16&lt;=500,TRIM(IF(LEN(IF(LEN(INDEX('Dealer pipeline'!$A$4:$A$503,_calc!$E$16))=0,"",INDEX('Dealer pipeline'!$A$4:$A$503,_calc!$E$16)))=0,"","Customer: "&amp;IF(LEN(INDEX('Dealer pipeline'!$A$4:$A$503,_calc!$E$16))=0,"",INDEX('Dealer pipeline'!$A$4:$A$503,_calc!$E$16))&amp;". ")&amp;IF(LEN(IF(LEN(INDEX('Dealer pipeline'!$B$4:$B$503,_calc!$E$16))=0,"",INDEX('Dealer pipeline'!$B$4:$B$503,_calc!$E$16)))=0,"","Contact: "&amp;IF(LEN(INDEX('Dealer pipeline'!$B$4:$B$503,_calc!$E$16))=0,"",INDEX('Dealer pipeline'!$B$4:$B$503,_calc!$E$16))&amp;". ")&amp;IF(LEN(IF(LEN(INDEX('Dealer pipeline'!$D$4:$D$503,_calc!$E$16))=0,"",INDEX('Dealer pipeline'!$D$4:$D$503,_calc!$E$16)))=0,"","Serial: "&amp;IF(LEN(INDEX('Dealer pipeline'!$D$4:$D$503,_calc!$E$16))=0,"",INDEX('Dealer pipeline'!$D$4:$D$503,_calc!$E$16))&amp;". ")&amp;IF(LEN(IF(ISNUMBER(INDEX('Dealer pipeline'!$J$4:$J$503,_calc!$E$16)),TEXT(INDEX('Dealer pipeline'!$J$4:$J$503,_calc!$E$16),"yyyy-mm-dd"),""))=0,"","Parts end: "&amp;IF(ISNUMBER(INDEX('Dealer pipeline'!$J$4:$J$503,_calc!$E$16)),TEXT(INDEX('Dealer pipeline'!$J$4:$J$503,_calc!$E$16),"yyyy-mm-dd"),"")&amp;". ")&amp;IF(LEN(IF(ISNUMBER(INDEX('Dealer pipeline'!$L$4:$L$503,_calc!$E$16)),TEXT(INDEX('Dealer pipeline'!$L$4:$L$503,_calc!$E$16),"yyyy-mm-dd"),""))=0,"","Labor end: "&amp;IF(ISNUMBER(INDEX('Dealer pipeline'!$L$4:$L$503,_calc!$E$16)),TEXT(INDEX('Dealer pipeline'!$L$4:$L$503,_calc!$E$16),"yyyy-mm-dd"),"")&amp;". ")&amp;IF(LEN(IF(LEN(INDEX('Dealer pipeline'!$Q$4:$Q$503,_calc!$E$16))=0,"",INDEX('Dealer pipeline'!$Q$4:$Q$503,_calc!$E$16)))=0,"","Status: "&amp;IF(LEN(INDEX('Dealer pipeline'!$Q$4:$Q$503,_calc!$E$16))=0,"",INDEX('Dealer pipeline'!$Q$4:$Q$503,_calc!$E$16))&amp;". ")&amp;IF(LEN(IF(LEN(INDEX('Dealer pipeline'!$P$4:$P$503,_calc!$E$16))=0,"",INDEX('Dealer pipeline'!$P$4:$P$503,_calc!$E$16)))=0,"","Last touch: "&amp;IF(LEN(INDEX('Dealer pipeline'!$P$4:$P$503,_calc!$E$16))=0,"",INDEX('Dealer pipeline'!$P$4:$P$503,_calc!$E$16))&amp;". ")&amp;IF(LEN(IF(LEN(INDEX('Dealer pipeline'!$R$4:$R$503,_calc!$E$16))=0,"",INDEX('Dealer pipeline'!$R$4:$R$503,_calc!$E$16)))=0,"","Owner: "&amp;IF(LEN(INDEX('Dealer pipeline'!$R$4:$R$503,_calc!$E$16))=0,"",INDEX('Dealer pipeline'!$R$4:$R$503,_calc!$E$16))&amp;". ")&amp;IF(LEN(IF(LEN(INDEX('Dealer pipeline'!$S$4:$S$503,_calc!$E$16))=0,"",INDEX('Dealer pipeline'!$S$4:$S$503,_calc!$E$16)))=0,"","Backup: "&amp;IF(LEN(INDEX('Dealer pipeline'!$S$4:$S$503,_calc!$E$16))=0,"",INDEX('Dealer pipeline'!$S$4:$S$503,_calc!$E$16))&amp;". ")&amp;IF(LEN(IF(LEN(INDEX('Dealer pipeline'!$T$4:$T$503,_calc!$E$16))=0,"",INDEX('Dealer pipeline'!$T$4:$T$503,_calc!$E$16)))=0,"",IF(LEN(INDEX('Dealer pipeline'!$T$4:$T$503,_calc!$E$16))=0,"",INDEX('Dealer pipeline'!$T$4:$T$503,_calc!$E$16)))),TRIM(IF(LEN(IF(LEN(INDEX('My equipment'!$C$4:$C$503,(_calc!$E$16-500)))=0,"",INDEX('My equipment'!$C$4:$C$503,(_calc!$E$16-500))))=0,"","Model: "&amp;IF(LEN(INDEX('My equipment'!$C$4:$C$503,(_calc!$E$16-500)))=0,"",INDEX('My equipment'!$C$4:$C$503,(_calc!$E$16-500)))&amp;". ")&amp;IF(LEN(IF(LEN(INDEX('My equipment'!$D$4:$D$503,(_calc!$E$16-500)))=0,"",INDEX('My equipment'!$D$4:$D$503,(_calc!$E$16-500))))=0,"","Serial: "&amp;IF(LEN(INDEX('My equipment'!$D$4:$D$503,(_calc!$E$16-500)))=0,"",INDEX('My equipment'!$D$4:$D$503,(_calc!$E$16-500)))&amp;". ")&amp;IF(LEN(IF(ISNUMBER(INDEX('My equipment'!$J$4:$J$503,(_calc!$E$16-500))),TEXT(INDEX('My equipment'!$J$4:$J$503,(_calc!$E$16-500)),"yyyy-mm-dd"),""))=0,"","Parts end: "&amp;IF(ISNUMBER(INDEX('My equipment'!$J$4:$J$503,(_calc!$E$16-500))),TEXT(INDEX('My equipment'!$J$4:$J$503,(_calc!$E$16-500)),"yyyy-mm-dd"),"")&amp;". ")&amp;IF(LEN(IF(ISNUMBER(INDEX('My equipment'!$L$4:$L$503,(_calc!$E$16-500))),TEXT(INDEX('My equipment'!$L$4:$L$503,(_calc!$E$16-500)),"yyyy-mm-dd"),""))=0,"","Labor end: "&amp;IF(ISNUMBER(INDEX('My equipment'!$L$4:$L$503,(_calc!$E$16-500))),TEXT(INDEX('My equipment'!$L$4:$L$503,(_calc!$E$16-500)),"yyyy-mm-dd"),"")&amp;". ")&amp;IF(LEN(IF(ISNUMBER(INDEX('My equipment'!$P$4:$P$503,(_calc!$E$16-500))),TEXT(INDEX('My equipment'!$P$4:$P$503,(_calc!$E$16-500)),"yyyy-mm-dd"),""))=0,"","Check by: "&amp;IF(ISNUMBER(INDEX('My equipment'!$P$4:$P$503,(_calc!$E$16-500))),TEXT(INDEX('My equipment'!$P$4:$P$503,(_calc!$E$16-500)),"yyyy-mm-dd"),"")&amp;". ")&amp;IF(LEN(IF(LEN(INDEX('My equipment'!$Q$4:$Q$503,(_calc!$E$16-500)))=0,"",INDEX('My equipment'!$Q$4:$Q$503,(_calc!$E$16-500))))=0,"","Claim status: "&amp;IF(LEN(INDEX('My equipment'!$Q$4:$Q$503,(_calc!$E$16-500)))=0,"",INDEX('My equipment'!$Q$4:$Q$503,(_calc!$E$16-500)))&amp;". ")&amp;IF(LEN(IF(LEN(INDEX('My equipment'!$R$4:$R$503,(_calc!$E$16-500)))=0,"",INDEX('My equipment'!$R$4:$R$503,(_calc!$E$16-500))))=0,"","Claims contact: "&amp;IF(LEN(INDEX('My equipment'!$R$4:$R$503,(_calc!$E$16-500)))=0,"",INDEX('My equipment'!$R$4:$R$503,(_calc!$E$16-500)))&amp;". ")&amp;IF(LEN(IF(LEN(INDEX('My equipment'!$S$4:$S$503,(_calc!$E$16-500)))=0,"",INDEX('My equipment'!$S$4:$S$503,(_calc!$E$16-500))))=0,"","Claims email: "&amp;IF(LEN(INDEX('My equipment'!$S$4:$S$503,(_calc!$E$16-500)))=0,"",INDEX('My equipment'!$S$4:$S$503,(_calc!$E$16-500)))&amp;". ")&amp;IF(LEN(IF(LEN(INDEX('My equipment'!$U$4:$U$503,(_calc!$E$16-500)))=0,"",INDEX('My equipment'!$U$4:$U$503,(_calc!$E$16-500))))=0,"","Registered: "&amp;IF(LEN(INDEX('My equipment'!$U$4:$U$503,(_calc!$E$16-500)))=0,"",INDEX('My equipment'!$U$4:$U$503,(_calc!$E$16-500)))&amp;". ")&amp;IF(LEN(IF(LEN(INDEX('My equipment'!$V$4:$V$503,(_calc!$E$16-500)))=0,"",INDEX('My equipment'!$V$4:$V$503,(_calc!$E$16-500))))=0,"","Proof on file: "&amp;IF(LEN(INDEX('My equipment'!$V$4:$V$503,(_calc!$E$16-500)))=0,"",INDEX('My equipment'!$V$4:$V$503,(_calc!$E$16-500)))&amp;". ")&amp;IF(LEN(IF(LEN(INDEX('My equipment'!$W$4:$W$503,(_calc!$E$16-500)))=0,"",INDEX('My equipment'!$W$4:$W$503,(_calc!$E$16-500))))=0,"","Claim ref: "&amp;IF(LEN(INDEX('My equipment'!$W$4:$W$503,(_calc!$E$16-500)))=0,"",INDEX('My equipment'!$W$4:$W$503,(_calc!$E$16-500)))&amp;". ")&amp;IF(LEN(IF(LEN(INDEX('My equipment'!$Y$4:$Y$503,(_calc!$E$16-500)))=0,"",INDEX('My equipment'!$Y$4:$Y$503,(_calc!$E$16-500))))=0,"",IF(LEN(INDEX('My equipment'!$Y$4:$Y$503,(_calc!$E$16-500)))=0,"",INDEX('My equipment'!$Y$4:$Y$503,(_calc!$E$16-500)))))))</f>
        <v/>
      </c>
      <c r="G14" s="54">
        <f>IF(_calc!$E$16="","",IF(_calc!$E$16&lt;=500,"",IF(LEN(INDEX('My equipment'!$X$4:$X$503,(_calc!$E$16-500)))=0,"",INDEX('My equipment'!$X$4:$X$503,(_calc!$E$16-500)))))</f>
        <v/>
      </c>
      <c r="K14" s="54">
        <f>IF(_calc!$E$16="","",IF(_calc!$E$16&lt;=500,"",IF(LEN(INDEX('My equipment'!$T$4:$T$503,(_calc!$E$16-500)))=0,"",INDEX('My equipment'!$T$4:$T$503,(_calc!$E$16-500)))))</f>
        <v/>
      </c>
    </row>
    <row r="15">
      <c r="A15" s="54">
        <f>IF(_calc!$E$17="","",IF(_calc!$E$17&lt;=500,"Warranty – "&amp;IF(LEN(INDEX('Dealer pipeline'!$C$4:$C$503,_calc!$E$17))=0,"",INDEX('Dealer pipeline'!$C$4:$C$503,_calc!$E$17))&amp;" – "&amp;IF(LEN(INDEX('Dealer pipeline'!$D$4:$D$503,_calc!$E$17))=0,"",INDEX('Dealer pipeline'!$D$4:$D$503,_calc!$E$17))&amp;" – "&amp;IF(LEN(INDEX('Dealer pipeline'!$A$4:$A$503,_calc!$E$17))=0,"",INDEX('Dealer pipeline'!$A$4:$A$503,_calc!$E$17)),"Warranty – "&amp;IF(LEN(INDEX('My equipment'!$A$4:$A$503,(_calc!$E$17-500)))=0,"",INDEX('My equipment'!$A$4:$A$503,(_calc!$E$17-500)))&amp;" – "&amp;IF(LEN(INDEX('My equipment'!$D$4:$D$503,(_calc!$E$17-500)))=0,"",INDEX('My equipment'!$D$4:$D$503,(_calc!$E$17-500)))))</f>
        <v/>
      </c>
      <c r="B15" s="54">
        <f>IF(_calc!$E$17="","",IF(_calc!$E$17&lt;=500,IF(ISNUMBER(INDEX('Dealer pipeline'!$M$4:$M$503,_calc!$E$17)),TEXT(INDEX('Dealer pipeline'!$M$4:$M$503,_calc!$E$17),"yyyy-mm-dd"),""),IF(ISNUMBER(INDEX('My equipment'!$M$4:$M$503,(_calc!$E$17-500))),TEXT(INDEX('My equipment'!$M$4:$M$503,(_calc!$E$17-500)),"yyyy-mm-dd"),"")))</f>
        <v/>
      </c>
      <c r="C15" s="54">
        <f>IF(_calc!$E$17="","",IF(_calc!$E$17&lt;=500,"Warranty","Warranty"))</f>
        <v/>
      </c>
      <c r="D15" s="54">
        <f>IF(_calc!$E$17="","",IF(_calc!$E$17&lt;=500,IF(ISNUMBER(INDEX('Dealer pipeline'!$H$4:$H$503,_calc!$E$17)),TEXT(INDEX('Dealer pipeline'!$H$4:$H$503,_calc!$E$17),"yyyy-mm-dd"),""),IF(ISNUMBER(INDEX('My equipment'!$H$4:$H$503,(_calc!$E$17-500))),TEXT(INDEX('My equipment'!$H$4:$H$503,(_calc!$E$17-500)),"yyyy-mm-dd"),"")))</f>
        <v/>
      </c>
      <c r="F15" s="54">
        <f>IF(_calc!$E$17="","",IF(_calc!$E$17&lt;=500,TRIM(IF(LEN(IF(LEN(INDEX('Dealer pipeline'!$A$4:$A$503,_calc!$E$17))=0,"",INDEX('Dealer pipeline'!$A$4:$A$503,_calc!$E$17)))=0,"","Customer: "&amp;IF(LEN(INDEX('Dealer pipeline'!$A$4:$A$503,_calc!$E$17))=0,"",INDEX('Dealer pipeline'!$A$4:$A$503,_calc!$E$17))&amp;". ")&amp;IF(LEN(IF(LEN(INDEX('Dealer pipeline'!$B$4:$B$503,_calc!$E$17))=0,"",INDEX('Dealer pipeline'!$B$4:$B$503,_calc!$E$17)))=0,"","Contact: "&amp;IF(LEN(INDEX('Dealer pipeline'!$B$4:$B$503,_calc!$E$17))=0,"",INDEX('Dealer pipeline'!$B$4:$B$503,_calc!$E$17))&amp;". ")&amp;IF(LEN(IF(LEN(INDEX('Dealer pipeline'!$D$4:$D$503,_calc!$E$17))=0,"",INDEX('Dealer pipeline'!$D$4:$D$503,_calc!$E$17)))=0,"","Serial: "&amp;IF(LEN(INDEX('Dealer pipeline'!$D$4:$D$503,_calc!$E$17))=0,"",INDEX('Dealer pipeline'!$D$4:$D$503,_calc!$E$17))&amp;". ")&amp;IF(LEN(IF(ISNUMBER(INDEX('Dealer pipeline'!$J$4:$J$503,_calc!$E$17)),TEXT(INDEX('Dealer pipeline'!$J$4:$J$503,_calc!$E$17),"yyyy-mm-dd"),""))=0,"","Parts end: "&amp;IF(ISNUMBER(INDEX('Dealer pipeline'!$J$4:$J$503,_calc!$E$17)),TEXT(INDEX('Dealer pipeline'!$J$4:$J$503,_calc!$E$17),"yyyy-mm-dd"),"")&amp;". ")&amp;IF(LEN(IF(ISNUMBER(INDEX('Dealer pipeline'!$L$4:$L$503,_calc!$E$17)),TEXT(INDEX('Dealer pipeline'!$L$4:$L$503,_calc!$E$17),"yyyy-mm-dd"),""))=0,"","Labor end: "&amp;IF(ISNUMBER(INDEX('Dealer pipeline'!$L$4:$L$503,_calc!$E$17)),TEXT(INDEX('Dealer pipeline'!$L$4:$L$503,_calc!$E$17),"yyyy-mm-dd"),"")&amp;". ")&amp;IF(LEN(IF(LEN(INDEX('Dealer pipeline'!$Q$4:$Q$503,_calc!$E$17))=0,"",INDEX('Dealer pipeline'!$Q$4:$Q$503,_calc!$E$17)))=0,"","Status: "&amp;IF(LEN(INDEX('Dealer pipeline'!$Q$4:$Q$503,_calc!$E$17))=0,"",INDEX('Dealer pipeline'!$Q$4:$Q$503,_calc!$E$17))&amp;". ")&amp;IF(LEN(IF(LEN(INDEX('Dealer pipeline'!$P$4:$P$503,_calc!$E$17))=0,"",INDEX('Dealer pipeline'!$P$4:$P$503,_calc!$E$17)))=0,"","Last touch: "&amp;IF(LEN(INDEX('Dealer pipeline'!$P$4:$P$503,_calc!$E$17))=0,"",INDEX('Dealer pipeline'!$P$4:$P$503,_calc!$E$17))&amp;". ")&amp;IF(LEN(IF(LEN(INDEX('Dealer pipeline'!$R$4:$R$503,_calc!$E$17))=0,"",INDEX('Dealer pipeline'!$R$4:$R$503,_calc!$E$17)))=0,"","Owner: "&amp;IF(LEN(INDEX('Dealer pipeline'!$R$4:$R$503,_calc!$E$17))=0,"",INDEX('Dealer pipeline'!$R$4:$R$503,_calc!$E$17))&amp;". ")&amp;IF(LEN(IF(LEN(INDEX('Dealer pipeline'!$S$4:$S$503,_calc!$E$17))=0,"",INDEX('Dealer pipeline'!$S$4:$S$503,_calc!$E$17)))=0,"","Backup: "&amp;IF(LEN(INDEX('Dealer pipeline'!$S$4:$S$503,_calc!$E$17))=0,"",INDEX('Dealer pipeline'!$S$4:$S$503,_calc!$E$17))&amp;". ")&amp;IF(LEN(IF(LEN(INDEX('Dealer pipeline'!$T$4:$T$503,_calc!$E$17))=0,"",INDEX('Dealer pipeline'!$T$4:$T$503,_calc!$E$17)))=0,"",IF(LEN(INDEX('Dealer pipeline'!$T$4:$T$503,_calc!$E$17))=0,"",INDEX('Dealer pipeline'!$T$4:$T$503,_calc!$E$17)))),TRIM(IF(LEN(IF(LEN(INDEX('My equipment'!$C$4:$C$503,(_calc!$E$17-500)))=0,"",INDEX('My equipment'!$C$4:$C$503,(_calc!$E$17-500))))=0,"","Model: "&amp;IF(LEN(INDEX('My equipment'!$C$4:$C$503,(_calc!$E$17-500)))=0,"",INDEX('My equipment'!$C$4:$C$503,(_calc!$E$17-500)))&amp;". ")&amp;IF(LEN(IF(LEN(INDEX('My equipment'!$D$4:$D$503,(_calc!$E$17-500)))=0,"",INDEX('My equipment'!$D$4:$D$503,(_calc!$E$17-500))))=0,"","Serial: "&amp;IF(LEN(INDEX('My equipment'!$D$4:$D$503,(_calc!$E$17-500)))=0,"",INDEX('My equipment'!$D$4:$D$503,(_calc!$E$17-500)))&amp;". ")&amp;IF(LEN(IF(ISNUMBER(INDEX('My equipment'!$J$4:$J$503,(_calc!$E$17-500))),TEXT(INDEX('My equipment'!$J$4:$J$503,(_calc!$E$17-500)),"yyyy-mm-dd"),""))=0,"","Parts end: "&amp;IF(ISNUMBER(INDEX('My equipment'!$J$4:$J$503,(_calc!$E$17-500))),TEXT(INDEX('My equipment'!$J$4:$J$503,(_calc!$E$17-500)),"yyyy-mm-dd"),"")&amp;". ")&amp;IF(LEN(IF(ISNUMBER(INDEX('My equipment'!$L$4:$L$503,(_calc!$E$17-500))),TEXT(INDEX('My equipment'!$L$4:$L$503,(_calc!$E$17-500)),"yyyy-mm-dd"),""))=0,"","Labor end: "&amp;IF(ISNUMBER(INDEX('My equipment'!$L$4:$L$503,(_calc!$E$17-500))),TEXT(INDEX('My equipment'!$L$4:$L$503,(_calc!$E$17-500)),"yyyy-mm-dd"),"")&amp;". ")&amp;IF(LEN(IF(ISNUMBER(INDEX('My equipment'!$P$4:$P$503,(_calc!$E$17-500))),TEXT(INDEX('My equipment'!$P$4:$P$503,(_calc!$E$17-500)),"yyyy-mm-dd"),""))=0,"","Check by: "&amp;IF(ISNUMBER(INDEX('My equipment'!$P$4:$P$503,(_calc!$E$17-500))),TEXT(INDEX('My equipment'!$P$4:$P$503,(_calc!$E$17-500)),"yyyy-mm-dd"),"")&amp;". ")&amp;IF(LEN(IF(LEN(INDEX('My equipment'!$Q$4:$Q$503,(_calc!$E$17-500)))=0,"",INDEX('My equipment'!$Q$4:$Q$503,(_calc!$E$17-500))))=0,"","Claim status: "&amp;IF(LEN(INDEX('My equipment'!$Q$4:$Q$503,(_calc!$E$17-500)))=0,"",INDEX('My equipment'!$Q$4:$Q$503,(_calc!$E$17-500)))&amp;". ")&amp;IF(LEN(IF(LEN(INDEX('My equipment'!$R$4:$R$503,(_calc!$E$17-500)))=0,"",INDEX('My equipment'!$R$4:$R$503,(_calc!$E$17-500))))=0,"","Claims contact: "&amp;IF(LEN(INDEX('My equipment'!$R$4:$R$503,(_calc!$E$17-500)))=0,"",INDEX('My equipment'!$R$4:$R$503,(_calc!$E$17-500)))&amp;". ")&amp;IF(LEN(IF(LEN(INDEX('My equipment'!$S$4:$S$503,(_calc!$E$17-500)))=0,"",INDEX('My equipment'!$S$4:$S$503,(_calc!$E$17-500))))=0,"","Claims email: "&amp;IF(LEN(INDEX('My equipment'!$S$4:$S$503,(_calc!$E$17-500)))=0,"",INDEX('My equipment'!$S$4:$S$503,(_calc!$E$17-500)))&amp;". ")&amp;IF(LEN(IF(LEN(INDEX('My equipment'!$U$4:$U$503,(_calc!$E$17-500)))=0,"",INDEX('My equipment'!$U$4:$U$503,(_calc!$E$17-500))))=0,"","Registered: "&amp;IF(LEN(INDEX('My equipment'!$U$4:$U$503,(_calc!$E$17-500)))=0,"",INDEX('My equipment'!$U$4:$U$503,(_calc!$E$17-500)))&amp;". ")&amp;IF(LEN(IF(LEN(INDEX('My equipment'!$V$4:$V$503,(_calc!$E$17-500)))=0,"",INDEX('My equipment'!$V$4:$V$503,(_calc!$E$17-500))))=0,"","Proof on file: "&amp;IF(LEN(INDEX('My equipment'!$V$4:$V$503,(_calc!$E$17-500)))=0,"",INDEX('My equipment'!$V$4:$V$503,(_calc!$E$17-500)))&amp;". ")&amp;IF(LEN(IF(LEN(INDEX('My equipment'!$W$4:$W$503,(_calc!$E$17-500)))=0,"",INDEX('My equipment'!$W$4:$W$503,(_calc!$E$17-500))))=0,"","Claim ref: "&amp;IF(LEN(INDEX('My equipment'!$W$4:$W$503,(_calc!$E$17-500)))=0,"",INDEX('My equipment'!$W$4:$W$503,(_calc!$E$17-500)))&amp;". ")&amp;IF(LEN(IF(LEN(INDEX('My equipment'!$Y$4:$Y$503,(_calc!$E$17-500)))=0,"",INDEX('My equipment'!$Y$4:$Y$503,(_calc!$E$17-500))))=0,"",IF(LEN(INDEX('My equipment'!$Y$4:$Y$503,(_calc!$E$17-500)))=0,"",INDEX('My equipment'!$Y$4:$Y$503,(_calc!$E$17-500)))))))</f>
        <v/>
      </c>
      <c r="G15" s="54">
        <f>IF(_calc!$E$17="","",IF(_calc!$E$17&lt;=500,"",IF(LEN(INDEX('My equipment'!$X$4:$X$503,(_calc!$E$17-500)))=0,"",INDEX('My equipment'!$X$4:$X$503,(_calc!$E$17-500)))))</f>
        <v/>
      </c>
      <c r="K15" s="54">
        <f>IF(_calc!$E$17="","",IF(_calc!$E$17&lt;=500,"",IF(LEN(INDEX('My equipment'!$T$4:$T$503,(_calc!$E$17-500)))=0,"",INDEX('My equipment'!$T$4:$T$503,(_calc!$E$17-500)))))</f>
        <v/>
      </c>
    </row>
    <row r="16">
      <c r="A16" s="54">
        <f>IF(_calc!$E$18="","",IF(_calc!$E$18&lt;=500,"Warranty – "&amp;IF(LEN(INDEX('Dealer pipeline'!$C$4:$C$503,_calc!$E$18))=0,"",INDEX('Dealer pipeline'!$C$4:$C$503,_calc!$E$18))&amp;" – "&amp;IF(LEN(INDEX('Dealer pipeline'!$D$4:$D$503,_calc!$E$18))=0,"",INDEX('Dealer pipeline'!$D$4:$D$503,_calc!$E$18))&amp;" – "&amp;IF(LEN(INDEX('Dealer pipeline'!$A$4:$A$503,_calc!$E$18))=0,"",INDEX('Dealer pipeline'!$A$4:$A$503,_calc!$E$18)),"Warranty – "&amp;IF(LEN(INDEX('My equipment'!$A$4:$A$503,(_calc!$E$18-500)))=0,"",INDEX('My equipment'!$A$4:$A$503,(_calc!$E$18-500)))&amp;" – "&amp;IF(LEN(INDEX('My equipment'!$D$4:$D$503,(_calc!$E$18-500)))=0,"",INDEX('My equipment'!$D$4:$D$503,(_calc!$E$18-500)))))</f>
        <v/>
      </c>
      <c r="B16" s="54">
        <f>IF(_calc!$E$18="","",IF(_calc!$E$18&lt;=500,IF(ISNUMBER(INDEX('Dealer pipeline'!$M$4:$M$503,_calc!$E$18)),TEXT(INDEX('Dealer pipeline'!$M$4:$M$503,_calc!$E$18),"yyyy-mm-dd"),""),IF(ISNUMBER(INDEX('My equipment'!$M$4:$M$503,(_calc!$E$18-500))),TEXT(INDEX('My equipment'!$M$4:$M$503,(_calc!$E$18-500)),"yyyy-mm-dd"),"")))</f>
        <v/>
      </c>
      <c r="C16" s="54">
        <f>IF(_calc!$E$18="","",IF(_calc!$E$18&lt;=500,"Warranty","Warranty"))</f>
        <v/>
      </c>
      <c r="D16" s="54">
        <f>IF(_calc!$E$18="","",IF(_calc!$E$18&lt;=500,IF(ISNUMBER(INDEX('Dealer pipeline'!$H$4:$H$503,_calc!$E$18)),TEXT(INDEX('Dealer pipeline'!$H$4:$H$503,_calc!$E$18),"yyyy-mm-dd"),""),IF(ISNUMBER(INDEX('My equipment'!$H$4:$H$503,(_calc!$E$18-500))),TEXT(INDEX('My equipment'!$H$4:$H$503,(_calc!$E$18-500)),"yyyy-mm-dd"),"")))</f>
        <v/>
      </c>
      <c r="F16" s="54">
        <f>IF(_calc!$E$18="","",IF(_calc!$E$18&lt;=500,TRIM(IF(LEN(IF(LEN(INDEX('Dealer pipeline'!$A$4:$A$503,_calc!$E$18))=0,"",INDEX('Dealer pipeline'!$A$4:$A$503,_calc!$E$18)))=0,"","Customer: "&amp;IF(LEN(INDEX('Dealer pipeline'!$A$4:$A$503,_calc!$E$18))=0,"",INDEX('Dealer pipeline'!$A$4:$A$503,_calc!$E$18))&amp;". ")&amp;IF(LEN(IF(LEN(INDEX('Dealer pipeline'!$B$4:$B$503,_calc!$E$18))=0,"",INDEX('Dealer pipeline'!$B$4:$B$503,_calc!$E$18)))=0,"","Contact: "&amp;IF(LEN(INDEX('Dealer pipeline'!$B$4:$B$503,_calc!$E$18))=0,"",INDEX('Dealer pipeline'!$B$4:$B$503,_calc!$E$18))&amp;". ")&amp;IF(LEN(IF(LEN(INDEX('Dealer pipeline'!$D$4:$D$503,_calc!$E$18))=0,"",INDEX('Dealer pipeline'!$D$4:$D$503,_calc!$E$18)))=0,"","Serial: "&amp;IF(LEN(INDEX('Dealer pipeline'!$D$4:$D$503,_calc!$E$18))=0,"",INDEX('Dealer pipeline'!$D$4:$D$503,_calc!$E$18))&amp;". ")&amp;IF(LEN(IF(ISNUMBER(INDEX('Dealer pipeline'!$J$4:$J$503,_calc!$E$18)),TEXT(INDEX('Dealer pipeline'!$J$4:$J$503,_calc!$E$18),"yyyy-mm-dd"),""))=0,"","Parts end: "&amp;IF(ISNUMBER(INDEX('Dealer pipeline'!$J$4:$J$503,_calc!$E$18)),TEXT(INDEX('Dealer pipeline'!$J$4:$J$503,_calc!$E$18),"yyyy-mm-dd"),"")&amp;". ")&amp;IF(LEN(IF(ISNUMBER(INDEX('Dealer pipeline'!$L$4:$L$503,_calc!$E$18)),TEXT(INDEX('Dealer pipeline'!$L$4:$L$503,_calc!$E$18),"yyyy-mm-dd"),""))=0,"","Labor end: "&amp;IF(ISNUMBER(INDEX('Dealer pipeline'!$L$4:$L$503,_calc!$E$18)),TEXT(INDEX('Dealer pipeline'!$L$4:$L$503,_calc!$E$18),"yyyy-mm-dd"),"")&amp;". ")&amp;IF(LEN(IF(LEN(INDEX('Dealer pipeline'!$Q$4:$Q$503,_calc!$E$18))=0,"",INDEX('Dealer pipeline'!$Q$4:$Q$503,_calc!$E$18)))=0,"","Status: "&amp;IF(LEN(INDEX('Dealer pipeline'!$Q$4:$Q$503,_calc!$E$18))=0,"",INDEX('Dealer pipeline'!$Q$4:$Q$503,_calc!$E$18))&amp;". ")&amp;IF(LEN(IF(LEN(INDEX('Dealer pipeline'!$P$4:$P$503,_calc!$E$18))=0,"",INDEX('Dealer pipeline'!$P$4:$P$503,_calc!$E$18)))=0,"","Last touch: "&amp;IF(LEN(INDEX('Dealer pipeline'!$P$4:$P$503,_calc!$E$18))=0,"",INDEX('Dealer pipeline'!$P$4:$P$503,_calc!$E$18))&amp;". ")&amp;IF(LEN(IF(LEN(INDEX('Dealer pipeline'!$R$4:$R$503,_calc!$E$18))=0,"",INDEX('Dealer pipeline'!$R$4:$R$503,_calc!$E$18)))=0,"","Owner: "&amp;IF(LEN(INDEX('Dealer pipeline'!$R$4:$R$503,_calc!$E$18))=0,"",INDEX('Dealer pipeline'!$R$4:$R$503,_calc!$E$18))&amp;". ")&amp;IF(LEN(IF(LEN(INDEX('Dealer pipeline'!$S$4:$S$503,_calc!$E$18))=0,"",INDEX('Dealer pipeline'!$S$4:$S$503,_calc!$E$18)))=0,"","Backup: "&amp;IF(LEN(INDEX('Dealer pipeline'!$S$4:$S$503,_calc!$E$18))=0,"",INDEX('Dealer pipeline'!$S$4:$S$503,_calc!$E$18))&amp;". ")&amp;IF(LEN(IF(LEN(INDEX('Dealer pipeline'!$T$4:$T$503,_calc!$E$18))=0,"",INDEX('Dealer pipeline'!$T$4:$T$503,_calc!$E$18)))=0,"",IF(LEN(INDEX('Dealer pipeline'!$T$4:$T$503,_calc!$E$18))=0,"",INDEX('Dealer pipeline'!$T$4:$T$503,_calc!$E$18)))),TRIM(IF(LEN(IF(LEN(INDEX('My equipment'!$C$4:$C$503,(_calc!$E$18-500)))=0,"",INDEX('My equipment'!$C$4:$C$503,(_calc!$E$18-500))))=0,"","Model: "&amp;IF(LEN(INDEX('My equipment'!$C$4:$C$503,(_calc!$E$18-500)))=0,"",INDEX('My equipment'!$C$4:$C$503,(_calc!$E$18-500)))&amp;". ")&amp;IF(LEN(IF(LEN(INDEX('My equipment'!$D$4:$D$503,(_calc!$E$18-500)))=0,"",INDEX('My equipment'!$D$4:$D$503,(_calc!$E$18-500))))=0,"","Serial: "&amp;IF(LEN(INDEX('My equipment'!$D$4:$D$503,(_calc!$E$18-500)))=0,"",INDEX('My equipment'!$D$4:$D$503,(_calc!$E$18-500)))&amp;". ")&amp;IF(LEN(IF(ISNUMBER(INDEX('My equipment'!$J$4:$J$503,(_calc!$E$18-500))),TEXT(INDEX('My equipment'!$J$4:$J$503,(_calc!$E$18-500)),"yyyy-mm-dd"),""))=0,"","Parts end: "&amp;IF(ISNUMBER(INDEX('My equipment'!$J$4:$J$503,(_calc!$E$18-500))),TEXT(INDEX('My equipment'!$J$4:$J$503,(_calc!$E$18-500)),"yyyy-mm-dd"),"")&amp;". ")&amp;IF(LEN(IF(ISNUMBER(INDEX('My equipment'!$L$4:$L$503,(_calc!$E$18-500))),TEXT(INDEX('My equipment'!$L$4:$L$503,(_calc!$E$18-500)),"yyyy-mm-dd"),""))=0,"","Labor end: "&amp;IF(ISNUMBER(INDEX('My equipment'!$L$4:$L$503,(_calc!$E$18-500))),TEXT(INDEX('My equipment'!$L$4:$L$503,(_calc!$E$18-500)),"yyyy-mm-dd"),"")&amp;". ")&amp;IF(LEN(IF(ISNUMBER(INDEX('My equipment'!$P$4:$P$503,(_calc!$E$18-500))),TEXT(INDEX('My equipment'!$P$4:$P$503,(_calc!$E$18-500)),"yyyy-mm-dd"),""))=0,"","Check by: "&amp;IF(ISNUMBER(INDEX('My equipment'!$P$4:$P$503,(_calc!$E$18-500))),TEXT(INDEX('My equipment'!$P$4:$P$503,(_calc!$E$18-500)),"yyyy-mm-dd"),"")&amp;". ")&amp;IF(LEN(IF(LEN(INDEX('My equipment'!$Q$4:$Q$503,(_calc!$E$18-500)))=0,"",INDEX('My equipment'!$Q$4:$Q$503,(_calc!$E$18-500))))=0,"","Claim status: "&amp;IF(LEN(INDEX('My equipment'!$Q$4:$Q$503,(_calc!$E$18-500)))=0,"",INDEX('My equipment'!$Q$4:$Q$503,(_calc!$E$18-500)))&amp;". ")&amp;IF(LEN(IF(LEN(INDEX('My equipment'!$R$4:$R$503,(_calc!$E$18-500)))=0,"",INDEX('My equipment'!$R$4:$R$503,(_calc!$E$18-500))))=0,"","Claims contact: "&amp;IF(LEN(INDEX('My equipment'!$R$4:$R$503,(_calc!$E$18-500)))=0,"",INDEX('My equipment'!$R$4:$R$503,(_calc!$E$18-500)))&amp;". ")&amp;IF(LEN(IF(LEN(INDEX('My equipment'!$S$4:$S$503,(_calc!$E$18-500)))=0,"",INDEX('My equipment'!$S$4:$S$503,(_calc!$E$18-500))))=0,"","Claims email: "&amp;IF(LEN(INDEX('My equipment'!$S$4:$S$503,(_calc!$E$18-500)))=0,"",INDEX('My equipment'!$S$4:$S$503,(_calc!$E$18-500)))&amp;". ")&amp;IF(LEN(IF(LEN(INDEX('My equipment'!$U$4:$U$503,(_calc!$E$18-500)))=0,"",INDEX('My equipment'!$U$4:$U$503,(_calc!$E$18-500))))=0,"","Registered: "&amp;IF(LEN(INDEX('My equipment'!$U$4:$U$503,(_calc!$E$18-500)))=0,"",INDEX('My equipment'!$U$4:$U$503,(_calc!$E$18-500)))&amp;". ")&amp;IF(LEN(IF(LEN(INDEX('My equipment'!$V$4:$V$503,(_calc!$E$18-500)))=0,"",INDEX('My equipment'!$V$4:$V$503,(_calc!$E$18-500))))=0,"","Proof on file: "&amp;IF(LEN(INDEX('My equipment'!$V$4:$V$503,(_calc!$E$18-500)))=0,"",INDEX('My equipment'!$V$4:$V$503,(_calc!$E$18-500)))&amp;". ")&amp;IF(LEN(IF(LEN(INDEX('My equipment'!$W$4:$W$503,(_calc!$E$18-500)))=0,"",INDEX('My equipment'!$W$4:$W$503,(_calc!$E$18-500))))=0,"","Claim ref: "&amp;IF(LEN(INDEX('My equipment'!$W$4:$W$503,(_calc!$E$18-500)))=0,"",INDEX('My equipment'!$W$4:$W$503,(_calc!$E$18-500)))&amp;". ")&amp;IF(LEN(IF(LEN(INDEX('My equipment'!$Y$4:$Y$503,(_calc!$E$18-500)))=0,"",INDEX('My equipment'!$Y$4:$Y$503,(_calc!$E$18-500))))=0,"",IF(LEN(INDEX('My equipment'!$Y$4:$Y$503,(_calc!$E$18-500)))=0,"",INDEX('My equipment'!$Y$4:$Y$503,(_calc!$E$18-500)))))))</f>
        <v/>
      </c>
      <c r="G16" s="54">
        <f>IF(_calc!$E$18="","",IF(_calc!$E$18&lt;=500,"",IF(LEN(INDEX('My equipment'!$X$4:$X$503,(_calc!$E$18-500)))=0,"",INDEX('My equipment'!$X$4:$X$503,(_calc!$E$18-500)))))</f>
        <v/>
      </c>
      <c r="K16" s="54">
        <f>IF(_calc!$E$18="","",IF(_calc!$E$18&lt;=500,"",IF(LEN(INDEX('My equipment'!$T$4:$T$503,(_calc!$E$18-500)))=0,"",INDEX('My equipment'!$T$4:$T$503,(_calc!$E$18-500)))))</f>
        <v/>
      </c>
    </row>
    <row r="17">
      <c r="A17" s="54">
        <f>IF(_calc!$E$19="","",IF(_calc!$E$19&lt;=500,"Warranty – "&amp;IF(LEN(INDEX('Dealer pipeline'!$C$4:$C$503,_calc!$E$19))=0,"",INDEX('Dealer pipeline'!$C$4:$C$503,_calc!$E$19))&amp;" – "&amp;IF(LEN(INDEX('Dealer pipeline'!$D$4:$D$503,_calc!$E$19))=0,"",INDEX('Dealer pipeline'!$D$4:$D$503,_calc!$E$19))&amp;" – "&amp;IF(LEN(INDEX('Dealer pipeline'!$A$4:$A$503,_calc!$E$19))=0,"",INDEX('Dealer pipeline'!$A$4:$A$503,_calc!$E$19)),"Warranty – "&amp;IF(LEN(INDEX('My equipment'!$A$4:$A$503,(_calc!$E$19-500)))=0,"",INDEX('My equipment'!$A$4:$A$503,(_calc!$E$19-500)))&amp;" – "&amp;IF(LEN(INDEX('My equipment'!$D$4:$D$503,(_calc!$E$19-500)))=0,"",INDEX('My equipment'!$D$4:$D$503,(_calc!$E$19-500)))))</f>
        <v/>
      </c>
      <c r="B17" s="54">
        <f>IF(_calc!$E$19="","",IF(_calc!$E$19&lt;=500,IF(ISNUMBER(INDEX('Dealer pipeline'!$M$4:$M$503,_calc!$E$19)),TEXT(INDEX('Dealer pipeline'!$M$4:$M$503,_calc!$E$19),"yyyy-mm-dd"),""),IF(ISNUMBER(INDEX('My equipment'!$M$4:$M$503,(_calc!$E$19-500))),TEXT(INDEX('My equipment'!$M$4:$M$503,(_calc!$E$19-500)),"yyyy-mm-dd"),"")))</f>
        <v/>
      </c>
      <c r="C17" s="54">
        <f>IF(_calc!$E$19="","",IF(_calc!$E$19&lt;=500,"Warranty","Warranty"))</f>
        <v/>
      </c>
      <c r="D17" s="54">
        <f>IF(_calc!$E$19="","",IF(_calc!$E$19&lt;=500,IF(ISNUMBER(INDEX('Dealer pipeline'!$H$4:$H$503,_calc!$E$19)),TEXT(INDEX('Dealer pipeline'!$H$4:$H$503,_calc!$E$19),"yyyy-mm-dd"),""),IF(ISNUMBER(INDEX('My equipment'!$H$4:$H$503,(_calc!$E$19-500))),TEXT(INDEX('My equipment'!$H$4:$H$503,(_calc!$E$19-500)),"yyyy-mm-dd"),"")))</f>
        <v/>
      </c>
      <c r="F17" s="54">
        <f>IF(_calc!$E$19="","",IF(_calc!$E$19&lt;=500,TRIM(IF(LEN(IF(LEN(INDEX('Dealer pipeline'!$A$4:$A$503,_calc!$E$19))=0,"",INDEX('Dealer pipeline'!$A$4:$A$503,_calc!$E$19)))=0,"","Customer: "&amp;IF(LEN(INDEX('Dealer pipeline'!$A$4:$A$503,_calc!$E$19))=0,"",INDEX('Dealer pipeline'!$A$4:$A$503,_calc!$E$19))&amp;". ")&amp;IF(LEN(IF(LEN(INDEX('Dealer pipeline'!$B$4:$B$503,_calc!$E$19))=0,"",INDEX('Dealer pipeline'!$B$4:$B$503,_calc!$E$19)))=0,"","Contact: "&amp;IF(LEN(INDEX('Dealer pipeline'!$B$4:$B$503,_calc!$E$19))=0,"",INDEX('Dealer pipeline'!$B$4:$B$503,_calc!$E$19))&amp;". ")&amp;IF(LEN(IF(LEN(INDEX('Dealer pipeline'!$D$4:$D$503,_calc!$E$19))=0,"",INDEX('Dealer pipeline'!$D$4:$D$503,_calc!$E$19)))=0,"","Serial: "&amp;IF(LEN(INDEX('Dealer pipeline'!$D$4:$D$503,_calc!$E$19))=0,"",INDEX('Dealer pipeline'!$D$4:$D$503,_calc!$E$19))&amp;". ")&amp;IF(LEN(IF(ISNUMBER(INDEX('Dealer pipeline'!$J$4:$J$503,_calc!$E$19)),TEXT(INDEX('Dealer pipeline'!$J$4:$J$503,_calc!$E$19),"yyyy-mm-dd"),""))=0,"","Parts end: "&amp;IF(ISNUMBER(INDEX('Dealer pipeline'!$J$4:$J$503,_calc!$E$19)),TEXT(INDEX('Dealer pipeline'!$J$4:$J$503,_calc!$E$19),"yyyy-mm-dd"),"")&amp;". ")&amp;IF(LEN(IF(ISNUMBER(INDEX('Dealer pipeline'!$L$4:$L$503,_calc!$E$19)),TEXT(INDEX('Dealer pipeline'!$L$4:$L$503,_calc!$E$19),"yyyy-mm-dd"),""))=0,"","Labor end: "&amp;IF(ISNUMBER(INDEX('Dealer pipeline'!$L$4:$L$503,_calc!$E$19)),TEXT(INDEX('Dealer pipeline'!$L$4:$L$503,_calc!$E$19),"yyyy-mm-dd"),"")&amp;". ")&amp;IF(LEN(IF(LEN(INDEX('Dealer pipeline'!$Q$4:$Q$503,_calc!$E$19))=0,"",INDEX('Dealer pipeline'!$Q$4:$Q$503,_calc!$E$19)))=0,"","Status: "&amp;IF(LEN(INDEX('Dealer pipeline'!$Q$4:$Q$503,_calc!$E$19))=0,"",INDEX('Dealer pipeline'!$Q$4:$Q$503,_calc!$E$19))&amp;". ")&amp;IF(LEN(IF(LEN(INDEX('Dealer pipeline'!$P$4:$P$503,_calc!$E$19))=0,"",INDEX('Dealer pipeline'!$P$4:$P$503,_calc!$E$19)))=0,"","Last touch: "&amp;IF(LEN(INDEX('Dealer pipeline'!$P$4:$P$503,_calc!$E$19))=0,"",INDEX('Dealer pipeline'!$P$4:$P$503,_calc!$E$19))&amp;". ")&amp;IF(LEN(IF(LEN(INDEX('Dealer pipeline'!$R$4:$R$503,_calc!$E$19))=0,"",INDEX('Dealer pipeline'!$R$4:$R$503,_calc!$E$19)))=0,"","Owner: "&amp;IF(LEN(INDEX('Dealer pipeline'!$R$4:$R$503,_calc!$E$19))=0,"",INDEX('Dealer pipeline'!$R$4:$R$503,_calc!$E$19))&amp;". ")&amp;IF(LEN(IF(LEN(INDEX('Dealer pipeline'!$S$4:$S$503,_calc!$E$19))=0,"",INDEX('Dealer pipeline'!$S$4:$S$503,_calc!$E$19)))=0,"","Backup: "&amp;IF(LEN(INDEX('Dealer pipeline'!$S$4:$S$503,_calc!$E$19))=0,"",INDEX('Dealer pipeline'!$S$4:$S$503,_calc!$E$19))&amp;". ")&amp;IF(LEN(IF(LEN(INDEX('Dealer pipeline'!$T$4:$T$503,_calc!$E$19))=0,"",INDEX('Dealer pipeline'!$T$4:$T$503,_calc!$E$19)))=0,"",IF(LEN(INDEX('Dealer pipeline'!$T$4:$T$503,_calc!$E$19))=0,"",INDEX('Dealer pipeline'!$T$4:$T$503,_calc!$E$19)))),TRIM(IF(LEN(IF(LEN(INDEX('My equipment'!$C$4:$C$503,(_calc!$E$19-500)))=0,"",INDEX('My equipment'!$C$4:$C$503,(_calc!$E$19-500))))=0,"","Model: "&amp;IF(LEN(INDEX('My equipment'!$C$4:$C$503,(_calc!$E$19-500)))=0,"",INDEX('My equipment'!$C$4:$C$503,(_calc!$E$19-500)))&amp;". ")&amp;IF(LEN(IF(LEN(INDEX('My equipment'!$D$4:$D$503,(_calc!$E$19-500)))=0,"",INDEX('My equipment'!$D$4:$D$503,(_calc!$E$19-500))))=0,"","Serial: "&amp;IF(LEN(INDEX('My equipment'!$D$4:$D$503,(_calc!$E$19-500)))=0,"",INDEX('My equipment'!$D$4:$D$503,(_calc!$E$19-500)))&amp;". ")&amp;IF(LEN(IF(ISNUMBER(INDEX('My equipment'!$J$4:$J$503,(_calc!$E$19-500))),TEXT(INDEX('My equipment'!$J$4:$J$503,(_calc!$E$19-500)),"yyyy-mm-dd"),""))=0,"","Parts end: "&amp;IF(ISNUMBER(INDEX('My equipment'!$J$4:$J$503,(_calc!$E$19-500))),TEXT(INDEX('My equipment'!$J$4:$J$503,(_calc!$E$19-500)),"yyyy-mm-dd"),"")&amp;". ")&amp;IF(LEN(IF(ISNUMBER(INDEX('My equipment'!$L$4:$L$503,(_calc!$E$19-500))),TEXT(INDEX('My equipment'!$L$4:$L$503,(_calc!$E$19-500)),"yyyy-mm-dd"),""))=0,"","Labor end: "&amp;IF(ISNUMBER(INDEX('My equipment'!$L$4:$L$503,(_calc!$E$19-500))),TEXT(INDEX('My equipment'!$L$4:$L$503,(_calc!$E$19-500)),"yyyy-mm-dd"),"")&amp;". ")&amp;IF(LEN(IF(ISNUMBER(INDEX('My equipment'!$P$4:$P$503,(_calc!$E$19-500))),TEXT(INDEX('My equipment'!$P$4:$P$503,(_calc!$E$19-500)),"yyyy-mm-dd"),""))=0,"","Check by: "&amp;IF(ISNUMBER(INDEX('My equipment'!$P$4:$P$503,(_calc!$E$19-500))),TEXT(INDEX('My equipment'!$P$4:$P$503,(_calc!$E$19-500)),"yyyy-mm-dd"),"")&amp;". ")&amp;IF(LEN(IF(LEN(INDEX('My equipment'!$Q$4:$Q$503,(_calc!$E$19-500)))=0,"",INDEX('My equipment'!$Q$4:$Q$503,(_calc!$E$19-500))))=0,"","Claim status: "&amp;IF(LEN(INDEX('My equipment'!$Q$4:$Q$503,(_calc!$E$19-500)))=0,"",INDEX('My equipment'!$Q$4:$Q$503,(_calc!$E$19-500)))&amp;". ")&amp;IF(LEN(IF(LEN(INDEX('My equipment'!$R$4:$R$503,(_calc!$E$19-500)))=0,"",INDEX('My equipment'!$R$4:$R$503,(_calc!$E$19-500))))=0,"","Claims contact: "&amp;IF(LEN(INDEX('My equipment'!$R$4:$R$503,(_calc!$E$19-500)))=0,"",INDEX('My equipment'!$R$4:$R$503,(_calc!$E$19-500)))&amp;". ")&amp;IF(LEN(IF(LEN(INDEX('My equipment'!$S$4:$S$503,(_calc!$E$19-500)))=0,"",INDEX('My equipment'!$S$4:$S$503,(_calc!$E$19-500))))=0,"","Claims email: "&amp;IF(LEN(INDEX('My equipment'!$S$4:$S$503,(_calc!$E$19-500)))=0,"",INDEX('My equipment'!$S$4:$S$503,(_calc!$E$19-500)))&amp;". ")&amp;IF(LEN(IF(LEN(INDEX('My equipment'!$U$4:$U$503,(_calc!$E$19-500)))=0,"",INDEX('My equipment'!$U$4:$U$503,(_calc!$E$19-500))))=0,"","Registered: "&amp;IF(LEN(INDEX('My equipment'!$U$4:$U$503,(_calc!$E$19-500)))=0,"",INDEX('My equipment'!$U$4:$U$503,(_calc!$E$19-500)))&amp;". ")&amp;IF(LEN(IF(LEN(INDEX('My equipment'!$V$4:$V$503,(_calc!$E$19-500)))=0,"",INDEX('My equipment'!$V$4:$V$503,(_calc!$E$19-500))))=0,"","Proof on file: "&amp;IF(LEN(INDEX('My equipment'!$V$4:$V$503,(_calc!$E$19-500)))=0,"",INDEX('My equipment'!$V$4:$V$503,(_calc!$E$19-500)))&amp;". ")&amp;IF(LEN(IF(LEN(INDEX('My equipment'!$W$4:$W$503,(_calc!$E$19-500)))=0,"",INDEX('My equipment'!$W$4:$W$503,(_calc!$E$19-500))))=0,"","Claim ref: "&amp;IF(LEN(INDEX('My equipment'!$W$4:$W$503,(_calc!$E$19-500)))=0,"",INDEX('My equipment'!$W$4:$W$503,(_calc!$E$19-500)))&amp;". ")&amp;IF(LEN(IF(LEN(INDEX('My equipment'!$Y$4:$Y$503,(_calc!$E$19-500)))=0,"",INDEX('My equipment'!$Y$4:$Y$503,(_calc!$E$19-500))))=0,"",IF(LEN(INDEX('My equipment'!$Y$4:$Y$503,(_calc!$E$19-500)))=0,"",INDEX('My equipment'!$Y$4:$Y$503,(_calc!$E$19-500)))))))</f>
        <v/>
      </c>
      <c r="G17" s="54">
        <f>IF(_calc!$E$19="","",IF(_calc!$E$19&lt;=500,"",IF(LEN(INDEX('My equipment'!$X$4:$X$503,(_calc!$E$19-500)))=0,"",INDEX('My equipment'!$X$4:$X$503,(_calc!$E$19-500)))))</f>
        <v/>
      </c>
      <c r="K17" s="54">
        <f>IF(_calc!$E$19="","",IF(_calc!$E$19&lt;=500,"",IF(LEN(INDEX('My equipment'!$T$4:$T$503,(_calc!$E$19-500)))=0,"",INDEX('My equipment'!$T$4:$T$503,(_calc!$E$19-500)))))</f>
        <v/>
      </c>
    </row>
    <row r="18">
      <c r="A18" s="54">
        <f>IF(_calc!$E$20="","",IF(_calc!$E$20&lt;=500,"Warranty – "&amp;IF(LEN(INDEX('Dealer pipeline'!$C$4:$C$503,_calc!$E$20))=0,"",INDEX('Dealer pipeline'!$C$4:$C$503,_calc!$E$20))&amp;" – "&amp;IF(LEN(INDEX('Dealer pipeline'!$D$4:$D$503,_calc!$E$20))=0,"",INDEX('Dealer pipeline'!$D$4:$D$503,_calc!$E$20))&amp;" – "&amp;IF(LEN(INDEX('Dealer pipeline'!$A$4:$A$503,_calc!$E$20))=0,"",INDEX('Dealer pipeline'!$A$4:$A$503,_calc!$E$20)),"Warranty – "&amp;IF(LEN(INDEX('My equipment'!$A$4:$A$503,(_calc!$E$20-500)))=0,"",INDEX('My equipment'!$A$4:$A$503,(_calc!$E$20-500)))&amp;" – "&amp;IF(LEN(INDEX('My equipment'!$D$4:$D$503,(_calc!$E$20-500)))=0,"",INDEX('My equipment'!$D$4:$D$503,(_calc!$E$20-500)))))</f>
        <v/>
      </c>
      <c r="B18" s="54">
        <f>IF(_calc!$E$20="","",IF(_calc!$E$20&lt;=500,IF(ISNUMBER(INDEX('Dealer pipeline'!$M$4:$M$503,_calc!$E$20)),TEXT(INDEX('Dealer pipeline'!$M$4:$M$503,_calc!$E$20),"yyyy-mm-dd"),""),IF(ISNUMBER(INDEX('My equipment'!$M$4:$M$503,(_calc!$E$20-500))),TEXT(INDEX('My equipment'!$M$4:$M$503,(_calc!$E$20-500)),"yyyy-mm-dd"),"")))</f>
        <v/>
      </c>
      <c r="C18" s="54">
        <f>IF(_calc!$E$20="","",IF(_calc!$E$20&lt;=500,"Warranty","Warranty"))</f>
        <v/>
      </c>
      <c r="D18" s="54">
        <f>IF(_calc!$E$20="","",IF(_calc!$E$20&lt;=500,IF(ISNUMBER(INDEX('Dealer pipeline'!$H$4:$H$503,_calc!$E$20)),TEXT(INDEX('Dealer pipeline'!$H$4:$H$503,_calc!$E$20),"yyyy-mm-dd"),""),IF(ISNUMBER(INDEX('My equipment'!$H$4:$H$503,(_calc!$E$20-500))),TEXT(INDEX('My equipment'!$H$4:$H$503,(_calc!$E$20-500)),"yyyy-mm-dd"),"")))</f>
        <v/>
      </c>
      <c r="F18" s="54">
        <f>IF(_calc!$E$20="","",IF(_calc!$E$20&lt;=500,TRIM(IF(LEN(IF(LEN(INDEX('Dealer pipeline'!$A$4:$A$503,_calc!$E$20))=0,"",INDEX('Dealer pipeline'!$A$4:$A$503,_calc!$E$20)))=0,"","Customer: "&amp;IF(LEN(INDEX('Dealer pipeline'!$A$4:$A$503,_calc!$E$20))=0,"",INDEX('Dealer pipeline'!$A$4:$A$503,_calc!$E$20))&amp;". ")&amp;IF(LEN(IF(LEN(INDEX('Dealer pipeline'!$B$4:$B$503,_calc!$E$20))=0,"",INDEX('Dealer pipeline'!$B$4:$B$503,_calc!$E$20)))=0,"","Contact: "&amp;IF(LEN(INDEX('Dealer pipeline'!$B$4:$B$503,_calc!$E$20))=0,"",INDEX('Dealer pipeline'!$B$4:$B$503,_calc!$E$20))&amp;". ")&amp;IF(LEN(IF(LEN(INDEX('Dealer pipeline'!$D$4:$D$503,_calc!$E$20))=0,"",INDEX('Dealer pipeline'!$D$4:$D$503,_calc!$E$20)))=0,"","Serial: "&amp;IF(LEN(INDEX('Dealer pipeline'!$D$4:$D$503,_calc!$E$20))=0,"",INDEX('Dealer pipeline'!$D$4:$D$503,_calc!$E$20))&amp;". ")&amp;IF(LEN(IF(ISNUMBER(INDEX('Dealer pipeline'!$J$4:$J$503,_calc!$E$20)),TEXT(INDEX('Dealer pipeline'!$J$4:$J$503,_calc!$E$20),"yyyy-mm-dd"),""))=0,"","Parts end: "&amp;IF(ISNUMBER(INDEX('Dealer pipeline'!$J$4:$J$503,_calc!$E$20)),TEXT(INDEX('Dealer pipeline'!$J$4:$J$503,_calc!$E$20),"yyyy-mm-dd"),"")&amp;". ")&amp;IF(LEN(IF(ISNUMBER(INDEX('Dealer pipeline'!$L$4:$L$503,_calc!$E$20)),TEXT(INDEX('Dealer pipeline'!$L$4:$L$503,_calc!$E$20),"yyyy-mm-dd"),""))=0,"","Labor end: "&amp;IF(ISNUMBER(INDEX('Dealer pipeline'!$L$4:$L$503,_calc!$E$20)),TEXT(INDEX('Dealer pipeline'!$L$4:$L$503,_calc!$E$20),"yyyy-mm-dd"),"")&amp;". ")&amp;IF(LEN(IF(LEN(INDEX('Dealer pipeline'!$Q$4:$Q$503,_calc!$E$20))=0,"",INDEX('Dealer pipeline'!$Q$4:$Q$503,_calc!$E$20)))=0,"","Status: "&amp;IF(LEN(INDEX('Dealer pipeline'!$Q$4:$Q$503,_calc!$E$20))=0,"",INDEX('Dealer pipeline'!$Q$4:$Q$503,_calc!$E$20))&amp;". ")&amp;IF(LEN(IF(LEN(INDEX('Dealer pipeline'!$P$4:$P$503,_calc!$E$20))=0,"",INDEX('Dealer pipeline'!$P$4:$P$503,_calc!$E$20)))=0,"","Last touch: "&amp;IF(LEN(INDEX('Dealer pipeline'!$P$4:$P$503,_calc!$E$20))=0,"",INDEX('Dealer pipeline'!$P$4:$P$503,_calc!$E$20))&amp;". ")&amp;IF(LEN(IF(LEN(INDEX('Dealer pipeline'!$R$4:$R$503,_calc!$E$20))=0,"",INDEX('Dealer pipeline'!$R$4:$R$503,_calc!$E$20)))=0,"","Owner: "&amp;IF(LEN(INDEX('Dealer pipeline'!$R$4:$R$503,_calc!$E$20))=0,"",INDEX('Dealer pipeline'!$R$4:$R$503,_calc!$E$20))&amp;". ")&amp;IF(LEN(IF(LEN(INDEX('Dealer pipeline'!$S$4:$S$503,_calc!$E$20))=0,"",INDEX('Dealer pipeline'!$S$4:$S$503,_calc!$E$20)))=0,"","Backup: "&amp;IF(LEN(INDEX('Dealer pipeline'!$S$4:$S$503,_calc!$E$20))=0,"",INDEX('Dealer pipeline'!$S$4:$S$503,_calc!$E$20))&amp;". ")&amp;IF(LEN(IF(LEN(INDEX('Dealer pipeline'!$T$4:$T$503,_calc!$E$20))=0,"",INDEX('Dealer pipeline'!$T$4:$T$503,_calc!$E$20)))=0,"",IF(LEN(INDEX('Dealer pipeline'!$T$4:$T$503,_calc!$E$20))=0,"",INDEX('Dealer pipeline'!$T$4:$T$503,_calc!$E$20)))),TRIM(IF(LEN(IF(LEN(INDEX('My equipment'!$C$4:$C$503,(_calc!$E$20-500)))=0,"",INDEX('My equipment'!$C$4:$C$503,(_calc!$E$20-500))))=0,"","Model: "&amp;IF(LEN(INDEX('My equipment'!$C$4:$C$503,(_calc!$E$20-500)))=0,"",INDEX('My equipment'!$C$4:$C$503,(_calc!$E$20-500)))&amp;". ")&amp;IF(LEN(IF(LEN(INDEX('My equipment'!$D$4:$D$503,(_calc!$E$20-500)))=0,"",INDEX('My equipment'!$D$4:$D$503,(_calc!$E$20-500))))=0,"","Serial: "&amp;IF(LEN(INDEX('My equipment'!$D$4:$D$503,(_calc!$E$20-500)))=0,"",INDEX('My equipment'!$D$4:$D$503,(_calc!$E$20-500)))&amp;". ")&amp;IF(LEN(IF(ISNUMBER(INDEX('My equipment'!$J$4:$J$503,(_calc!$E$20-500))),TEXT(INDEX('My equipment'!$J$4:$J$503,(_calc!$E$20-500)),"yyyy-mm-dd"),""))=0,"","Parts end: "&amp;IF(ISNUMBER(INDEX('My equipment'!$J$4:$J$503,(_calc!$E$20-500))),TEXT(INDEX('My equipment'!$J$4:$J$503,(_calc!$E$20-500)),"yyyy-mm-dd"),"")&amp;". ")&amp;IF(LEN(IF(ISNUMBER(INDEX('My equipment'!$L$4:$L$503,(_calc!$E$20-500))),TEXT(INDEX('My equipment'!$L$4:$L$503,(_calc!$E$20-500)),"yyyy-mm-dd"),""))=0,"","Labor end: "&amp;IF(ISNUMBER(INDEX('My equipment'!$L$4:$L$503,(_calc!$E$20-500))),TEXT(INDEX('My equipment'!$L$4:$L$503,(_calc!$E$20-500)),"yyyy-mm-dd"),"")&amp;". ")&amp;IF(LEN(IF(ISNUMBER(INDEX('My equipment'!$P$4:$P$503,(_calc!$E$20-500))),TEXT(INDEX('My equipment'!$P$4:$P$503,(_calc!$E$20-500)),"yyyy-mm-dd"),""))=0,"","Check by: "&amp;IF(ISNUMBER(INDEX('My equipment'!$P$4:$P$503,(_calc!$E$20-500))),TEXT(INDEX('My equipment'!$P$4:$P$503,(_calc!$E$20-500)),"yyyy-mm-dd"),"")&amp;". ")&amp;IF(LEN(IF(LEN(INDEX('My equipment'!$Q$4:$Q$503,(_calc!$E$20-500)))=0,"",INDEX('My equipment'!$Q$4:$Q$503,(_calc!$E$20-500))))=0,"","Claim status: "&amp;IF(LEN(INDEX('My equipment'!$Q$4:$Q$503,(_calc!$E$20-500)))=0,"",INDEX('My equipment'!$Q$4:$Q$503,(_calc!$E$20-500)))&amp;". ")&amp;IF(LEN(IF(LEN(INDEX('My equipment'!$R$4:$R$503,(_calc!$E$20-500)))=0,"",INDEX('My equipment'!$R$4:$R$503,(_calc!$E$20-500))))=0,"","Claims contact: "&amp;IF(LEN(INDEX('My equipment'!$R$4:$R$503,(_calc!$E$20-500)))=0,"",INDEX('My equipment'!$R$4:$R$503,(_calc!$E$20-500)))&amp;". ")&amp;IF(LEN(IF(LEN(INDEX('My equipment'!$S$4:$S$503,(_calc!$E$20-500)))=0,"",INDEX('My equipment'!$S$4:$S$503,(_calc!$E$20-500))))=0,"","Claims email: "&amp;IF(LEN(INDEX('My equipment'!$S$4:$S$503,(_calc!$E$20-500)))=0,"",INDEX('My equipment'!$S$4:$S$503,(_calc!$E$20-500)))&amp;". ")&amp;IF(LEN(IF(LEN(INDEX('My equipment'!$U$4:$U$503,(_calc!$E$20-500)))=0,"",INDEX('My equipment'!$U$4:$U$503,(_calc!$E$20-500))))=0,"","Registered: "&amp;IF(LEN(INDEX('My equipment'!$U$4:$U$503,(_calc!$E$20-500)))=0,"",INDEX('My equipment'!$U$4:$U$503,(_calc!$E$20-500)))&amp;". ")&amp;IF(LEN(IF(LEN(INDEX('My equipment'!$V$4:$V$503,(_calc!$E$20-500)))=0,"",INDEX('My equipment'!$V$4:$V$503,(_calc!$E$20-500))))=0,"","Proof on file: "&amp;IF(LEN(INDEX('My equipment'!$V$4:$V$503,(_calc!$E$20-500)))=0,"",INDEX('My equipment'!$V$4:$V$503,(_calc!$E$20-500)))&amp;". ")&amp;IF(LEN(IF(LEN(INDEX('My equipment'!$W$4:$W$503,(_calc!$E$20-500)))=0,"",INDEX('My equipment'!$W$4:$W$503,(_calc!$E$20-500))))=0,"","Claim ref: "&amp;IF(LEN(INDEX('My equipment'!$W$4:$W$503,(_calc!$E$20-500)))=0,"",INDEX('My equipment'!$W$4:$W$503,(_calc!$E$20-500)))&amp;". ")&amp;IF(LEN(IF(LEN(INDEX('My equipment'!$Y$4:$Y$503,(_calc!$E$20-500)))=0,"",INDEX('My equipment'!$Y$4:$Y$503,(_calc!$E$20-500))))=0,"",IF(LEN(INDEX('My equipment'!$Y$4:$Y$503,(_calc!$E$20-500)))=0,"",INDEX('My equipment'!$Y$4:$Y$503,(_calc!$E$20-500)))))))</f>
        <v/>
      </c>
      <c r="G18" s="54">
        <f>IF(_calc!$E$20="","",IF(_calc!$E$20&lt;=500,"",IF(LEN(INDEX('My equipment'!$X$4:$X$503,(_calc!$E$20-500)))=0,"",INDEX('My equipment'!$X$4:$X$503,(_calc!$E$20-500)))))</f>
        <v/>
      </c>
      <c r="K18" s="54">
        <f>IF(_calc!$E$20="","",IF(_calc!$E$20&lt;=500,"",IF(LEN(INDEX('My equipment'!$T$4:$T$503,(_calc!$E$20-500)))=0,"",INDEX('My equipment'!$T$4:$T$503,(_calc!$E$20-500)))))</f>
        <v/>
      </c>
    </row>
    <row r="19">
      <c r="A19" s="54">
        <f>IF(_calc!$E$21="","",IF(_calc!$E$21&lt;=500,"Warranty – "&amp;IF(LEN(INDEX('Dealer pipeline'!$C$4:$C$503,_calc!$E$21))=0,"",INDEX('Dealer pipeline'!$C$4:$C$503,_calc!$E$21))&amp;" – "&amp;IF(LEN(INDEX('Dealer pipeline'!$D$4:$D$503,_calc!$E$21))=0,"",INDEX('Dealer pipeline'!$D$4:$D$503,_calc!$E$21))&amp;" – "&amp;IF(LEN(INDEX('Dealer pipeline'!$A$4:$A$503,_calc!$E$21))=0,"",INDEX('Dealer pipeline'!$A$4:$A$503,_calc!$E$21)),"Warranty – "&amp;IF(LEN(INDEX('My equipment'!$A$4:$A$503,(_calc!$E$21-500)))=0,"",INDEX('My equipment'!$A$4:$A$503,(_calc!$E$21-500)))&amp;" – "&amp;IF(LEN(INDEX('My equipment'!$D$4:$D$503,(_calc!$E$21-500)))=0,"",INDEX('My equipment'!$D$4:$D$503,(_calc!$E$21-500)))))</f>
        <v/>
      </c>
      <c r="B19" s="54">
        <f>IF(_calc!$E$21="","",IF(_calc!$E$21&lt;=500,IF(ISNUMBER(INDEX('Dealer pipeline'!$M$4:$M$503,_calc!$E$21)),TEXT(INDEX('Dealer pipeline'!$M$4:$M$503,_calc!$E$21),"yyyy-mm-dd"),""),IF(ISNUMBER(INDEX('My equipment'!$M$4:$M$503,(_calc!$E$21-500))),TEXT(INDEX('My equipment'!$M$4:$M$503,(_calc!$E$21-500)),"yyyy-mm-dd"),"")))</f>
        <v/>
      </c>
      <c r="C19" s="54">
        <f>IF(_calc!$E$21="","",IF(_calc!$E$21&lt;=500,"Warranty","Warranty"))</f>
        <v/>
      </c>
      <c r="D19" s="54">
        <f>IF(_calc!$E$21="","",IF(_calc!$E$21&lt;=500,IF(ISNUMBER(INDEX('Dealer pipeline'!$H$4:$H$503,_calc!$E$21)),TEXT(INDEX('Dealer pipeline'!$H$4:$H$503,_calc!$E$21),"yyyy-mm-dd"),""),IF(ISNUMBER(INDEX('My equipment'!$H$4:$H$503,(_calc!$E$21-500))),TEXT(INDEX('My equipment'!$H$4:$H$503,(_calc!$E$21-500)),"yyyy-mm-dd"),"")))</f>
        <v/>
      </c>
      <c r="F19" s="54">
        <f>IF(_calc!$E$21="","",IF(_calc!$E$21&lt;=500,TRIM(IF(LEN(IF(LEN(INDEX('Dealer pipeline'!$A$4:$A$503,_calc!$E$21))=0,"",INDEX('Dealer pipeline'!$A$4:$A$503,_calc!$E$21)))=0,"","Customer: "&amp;IF(LEN(INDEX('Dealer pipeline'!$A$4:$A$503,_calc!$E$21))=0,"",INDEX('Dealer pipeline'!$A$4:$A$503,_calc!$E$21))&amp;". ")&amp;IF(LEN(IF(LEN(INDEX('Dealer pipeline'!$B$4:$B$503,_calc!$E$21))=0,"",INDEX('Dealer pipeline'!$B$4:$B$503,_calc!$E$21)))=0,"","Contact: "&amp;IF(LEN(INDEX('Dealer pipeline'!$B$4:$B$503,_calc!$E$21))=0,"",INDEX('Dealer pipeline'!$B$4:$B$503,_calc!$E$21))&amp;". ")&amp;IF(LEN(IF(LEN(INDEX('Dealer pipeline'!$D$4:$D$503,_calc!$E$21))=0,"",INDEX('Dealer pipeline'!$D$4:$D$503,_calc!$E$21)))=0,"","Serial: "&amp;IF(LEN(INDEX('Dealer pipeline'!$D$4:$D$503,_calc!$E$21))=0,"",INDEX('Dealer pipeline'!$D$4:$D$503,_calc!$E$21))&amp;". ")&amp;IF(LEN(IF(ISNUMBER(INDEX('Dealer pipeline'!$J$4:$J$503,_calc!$E$21)),TEXT(INDEX('Dealer pipeline'!$J$4:$J$503,_calc!$E$21),"yyyy-mm-dd"),""))=0,"","Parts end: "&amp;IF(ISNUMBER(INDEX('Dealer pipeline'!$J$4:$J$503,_calc!$E$21)),TEXT(INDEX('Dealer pipeline'!$J$4:$J$503,_calc!$E$21),"yyyy-mm-dd"),"")&amp;". ")&amp;IF(LEN(IF(ISNUMBER(INDEX('Dealer pipeline'!$L$4:$L$503,_calc!$E$21)),TEXT(INDEX('Dealer pipeline'!$L$4:$L$503,_calc!$E$21),"yyyy-mm-dd"),""))=0,"","Labor end: "&amp;IF(ISNUMBER(INDEX('Dealer pipeline'!$L$4:$L$503,_calc!$E$21)),TEXT(INDEX('Dealer pipeline'!$L$4:$L$503,_calc!$E$21),"yyyy-mm-dd"),"")&amp;". ")&amp;IF(LEN(IF(LEN(INDEX('Dealer pipeline'!$Q$4:$Q$503,_calc!$E$21))=0,"",INDEX('Dealer pipeline'!$Q$4:$Q$503,_calc!$E$21)))=0,"","Status: "&amp;IF(LEN(INDEX('Dealer pipeline'!$Q$4:$Q$503,_calc!$E$21))=0,"",INDEX('Dealer pipeline'!$Q$4:$Q$503,_calc!$E$21))&amp;". ")&amp;IF(LEN(IF(LEN(INDEX('Dealer pipeline'!$P$4:$P$503,_calc!$E$21))=0,"",INDEX('Dealer pipeline'!$P$4:$P$503,_calc!$E$21)))=0,"","Last touch: "&amp;IF(LEN(INDEX('Dealer pipeline'!$P$4:$P$503,_calc!$E$21))=0,"",INDEX('Dealer pipeline'!$P$4:$P$503,_calc!$E$21))&amp;". ")&amp;IF(LEN(IF(LEN(INDEX('Dealer pipeline'!$R$4:$R$503,_calc!$E$21))=0,"",INDEX('Dealer pipeline'!$R$4:$R$503,_calc!$E$21)))=0,"","Owner: "&amp;IF(LEN(INDEX('Dealer pipeline'!$R$4:$R$503,_calc!$E$21))=0,"",INDEX('Dealer pipeline'!$R$4:$R$503,_calc!$E$21))&amp;". ")&amp;IF(LEN(IF(LEN(INDEX('Dealer pipeline'!$S$4:$S$503,_calc!$E$21))=0,"",INDEX('Dealer pipeline'!$S$4:$S$503,_calc!$E$21)))=0,"","Backup: "&amp;IF(LEN(INDEX('Dealer pipeline'!$S$4:$S$503,_calc!$E$21))=0,"",INDEX('Dealer pipeline'!$S$4:$S$503,_calc!$E$21))&amp;". ")&amp;IF(LEN(IF(LEN(INDEX('Dealer pipeline'!$T$4:$T$503,_calc!$E$21))=0,"",INDEX('Dealer pipeline'!$T$4:$T$503,_calc!$E$21)))=0,"",IF(LEN(INDEX('Dealer pipeline'!$T$4:$T$503,_calc!$E$21))=0,"",INDEX('Dealer pipeline'!$T$4:$T$503,_calc!$E$21)))),TRIM(IF(LEN(IF(LEN(INDEX('My equipment'!$C$4:$C$503,(_calc!$E$21-500)))=0,"",INDEX('My equipment'!$C$4:$C$503,(_calc!$E$21-500))))=0,"","Model: "&amp;IF(LEN(INDEX('My equipment'!$C$4:$C$503,(_calc!$E$21-500)))=0,"",INDEX('My equipment'!$C$4:$C$503,(_calc!$E$21-500)))&amp;". ")&amp;IF(LEN(IF(LEN(INDEX('My equipment'!$D$4:$D$503,(_calc!$E$21-500)))=0,"",INDEX('My equipment'!$D$4:$D$503,(_calc!$E$21-500))))=0,"","Serial: "&amp;IF(LEN(INDEX('My equipment'!$D$4:$D$503,(_calc!$E$21-500)))=0,"",INDEX('My equipment'!$D$4:$D$503,(_calc!$E$21-500)))&amp;". ")&amp;IF(LEN(IF(ISNUMBER(INDEX('My equipment'!$J$4:$J$503,(_calc!$E$21-500))),TEXT(INDEX('My equipment'!$J$4:$J$503,(_calc!$E$21-500)),"yyyy-mm-dd"),""))=0,"","Parts end: "&amp;IF(ISNUMBER(INDEX('My equipment'!$J$4:$J$503,(_calc!$E$21-500))),TEXT(INDEX('My equipment'!$J$4:$J$503,(_calc!$E$21-500)),"yyyy-mm-dd"),"")&amp;". ")&amp;IF(LEN(IF(ISNUMBER(INDEX('My equipment'!$L$4:$L$503,(_calc!$E$21-500))),TEXT(INDEX('My equipment'!$L$4:$L$503,(_calc!$E$21-500)),"yyyy-mm-dd"),""))=0,"","Labor end: "&amp;IF(ISNUMBER(INDEX('My equipment'!$L$4:$L$503,(_calc!$E$21-500))),TEXT(INDEX('My equipment'!$L$4:$L$503,(_calc!$E$21-500)),"yyyy-mm-dd"),"")&amp;". ")&amp;IF(LEN(IF(ISNUMBER(INDEX('My equipment'!$P$4:$P$503,(_calc!$E$21-500))),TEXT(INDEX('My equipment'!$P$4:$P$503,(_calc!$E$21-500)),"yyyy-mm-dd"),""))=0,"","Check by: "&amp;IF(ISNUMBER(INDEX('My equipment'!$P$4:$P$503,(_calc!$E$21-500))),TEXT(INDEX('My equipment'!$P$4:$P$503,(_calc!$E$21-500)),"yyyy-mm-dd"),"")&amp;". ")&amp;IF(LEN(IF(LEN(INDEX('My equipment'!$Q$4:$Q$503,(_calc!$E$21-500)))=0,"",INDEX('My equipment'!$Q$4:$Q$503,(_calc!$E$21-500))))=0,"","Claim status: "&amp;IF(LEN(INDEX('My equipment'!$Q$4:$Q$503,(_calc!$E$21-500)))=0,"",INDEX('My equipment'!$Q$4:$Q$503,(_calc!$E$21-500)))&amp;". ")&amp;IF(LEN(IF(LEN(INDEX('My equipment'!$R$4:$R$503,(_calc!$E$21-500)))=0,"",INDEX('My equipment'!$R$4:$R$503,(_calc!$E$21-500))))=0,"","Claims contact: "&amp;IF(LEN(INDEX('My equipment'!$R$4:$R$503,(_calc!$E$21-500)))=0,"",INDEX('My equipment'!$R$4:$R$503,(_calc!$E$21-500)))&amp;". ")&amp;IF(LEN(IF(LEN(INDEX('My equipment'!$S$4:$S$503,(_calc!$E$21-500)))=0,"",INDEX('My equipment'!$S$4:$S$503,(_calc!$E$21-500))))=0,"","Claims email: "&amp;IF(LEN(INDEX('My equipment'!$S$4:$S$503,(_calc!$E$21-500)))=0,"",INDEX('My equipment'!$S$4:$S$503,(_calc!$E$21-500)))&amp;". ")&amp;IF(LEN(IF(LEN(INDEX('My equipment'!$U$4:$U$503,(_calc!$E$21-500)))=0,"",INDEX('My equipment'!$U$4:$U$503,(_calc!$E$21-500))))=0,"","Registered: "&amp;IF(LEN(INDEX('My equipment'!$U$4:$U$503,(_calc!$E$21-500)))=0,"",INDEX('My equipment'!$U$4:$U$503,(_calc!$E$21-500)))&amp;". ")&amp;IF(LEN(IF(LEN(INDEX('My equipment'!$V$4:$V$503,(_calc!$E$21-500)))=0,"",INDEX('My equipment'!$V$4:$V$503,(_calc!$E$21-500))))=0,"","Proof on file: "&amp;IF(LEN(INDEX('My equipment'!$V$4:$V$503,(_calc!$E$21-500)))=0,"",INDEX('My equipment'!$V$4:$V$503,(_calc!$E$21-500)))&amp;". ")&amp;IF(LEN(IF(LEN(INDEX('My equipment'!$W$4:$W$503,(_calc!$E$21-500)))=0,"",INDEX('My equipment'!$W$4:$W$503,(_calc!$E$21-500))))=0,"","Claim ref: "&amp;IF(LEN(INDEX('My equipment'!$W$4:$W$503,(_calc!$E$21-500)))=0,"",INDEX('My equipment'!$W$4:$W$503,(_calc!$E$21-500)))&amp;". ")&amp;IF(LEN(IF(LEN(INDEX('My equipment'!$Y$4:$Y$503,(_calc!$E$21-500)))=0,"",INDEX('My equipment'!$Y$4:$Y$503,(_calc!$E$21-500))))=0,"",IF(LEN(INDEX('My equipment'!$Y$4:$Y$503,(_calc!$E$21-500)))=0,"",INDEX('My equipment'!$Y$4:$Y$503,(_calc!$E$21-500)))))))</f>
        <v/>
      </c>
      <c r="G19" s="54">
        <f>IF(_calc!$E$21="","",IF(_calc!$E$21&lt;=500,"",IF(LEN(INDEX('My equipment'!$X$4:$X$503,(_calc!$E$21-500)))=0,"",INDEX('My equipment'!$X$4:$X$503,(_calc!$E$21-500)))))</f>
        <v/>
      </c>
      <c r="K19" s="54">
        <f>IF(_calc!$E$21="","",IF(_calc!$E$21&lt;=500,"",IF(LEN(INDEX('My equipment'!$T$4:$T$503,(_calc!$E$21-500)))=0,"",INDEX('My equipment'!$T$4:$T$503,(_calc!$E$21-500)))))</f>
        <v/>
      </c>
    </row>
    <row r="20">
      <c r="A20" s="54">
        <f>IF(_calc!$E$22="","",IF(_calc!$E$22&lt;=500,"Warranty – "&amp;IF(LEN(INDEX('Dealer pipeline'!$C$4:$C$503,_calc!$E$22))=0,"",INDEX('Dealer pipeline'!$C$4:$C$503,_calc!$E$22))&amp;" – "&amp;IF(LEN(INDEX('Dealer pipeline'!$D$4:$D$503,_calc!$E$22))=0,"",INDEX('Dealer pipeline'!$D$4:$D$503,_calc!$E$22))&amp;" – "&amp;IF(LEN(INDEX('Dealer pipeline'!$A$4:$A$503,_calc!$E$22))=0,"",INDEX('Dealer pipeline'!$A$4:$A$503,_calc!$E$22)),"Warranty – "&amp;IF(LEN(INDEX('My equipment'!$A$4:$A$503,(_calc!$E$22-500)))=0,"",INDEX('My equipment'!$A$4:$A$503,(_calc!$E$22-500)))&amp;" – "&amp;IF(LEN(INDEX('My equipment'!$D$4:$D$503,(_calc!$E$22-500)))=0,"",INDEX('My equipment'!$D$4:$D$503,(_calc!$E$22-500)))))</f>
        <v/>
      </c>
      <c r="B20" s="54">
        <f>IF(_calc!$E$22="","",IF(_calc!$E$22&lt;=500,IF(ISNUMBER(INDEX('Dealer pipeline'!$M$4:$M$503,_calc!$E$22)),TEXT(INDEX('Dealer pipeline'!$M$4:$M$503,_calc!$E$22),"yyyy-mm-dd"),""),IF(ISNUMBER(INDEX('My equipment'!$M$4:$M$503,(_calc!$E$22-500))),TEXT(INDEX('My equipment'!$M$4:$M$503,(_calc!$E$22-500)),"yyyy-mm-dd"),"")))</f>
        <v/>
      </c>
      <c r="C20" s="54">
        <f>IF(_calc!$E$22="","",IF(_calc!$E$22&lt;=500,"Warranty","Warranty"))</f>
        <v/>
      </c>
      <c r="D20" s="54">
        <f>IF(_calc!$E$22="","",IF(_calc!$E$22&lt;=500,IF(ISNUMBER(INDEX('Dealer pipeline'!$H$4:$H$503,_calc!$E$22)),TEXT(INDEX('Dealer pipeline'!$H$4:$H$503,_calc!$E$22),"yyyy-mm-dd"),""),IF(ISNUMBER(INDEX('My equipment'!$H$4:$H$503,(_calc!$E$22-500))),TEXT(INDEX('My equipment'!$H$4:$H$503,(_calc!$E$22-500)),"yyyy-mm-dd"),"")))</f>
        <v/>
      </c>
      <c r="F20" s="54">
        <f>IF(_calc!$E$22="","",IF(_calc!$E$22&lt;=500,TRIM(IF(LEN(IF(LEN(INDEX('Dealer pipeline'!$A$4:$A$503,_calc!$E$22))=0,"",INDEX('Dealer pipeline'!$A$4:$A$503,_calc!$E$22)))=0,"","Customer: "&amp;IF(LEN(INDEX('Dealer pipeline'!$A$4:$A$503,_calc!$E$22))=0,"",INDEX('Dealer pipeline'!$A$4:$A$503,_calc!$E$22))&amp;". ")&amp;IF(LEN(IF(LEN(INDEX('Dealer pipeline'!$B$4:$B$503,_calc!$E$22))=0,"",INDEX('Dealer pipeline'!$B$4:$B$503,_calc!$E$22)))=0,"","Contact: "&amp;IF(LEN(INDEX('Dealer pipeline'!$B$4:$B$503,_calc!$E$22))=0,"",INDEX('Dealer pipeline'!$B$4:$B$503,_calc!$E$22))&amp;". ")&amp;IF(LEN(IF(LEN(INDEX('Dealer pipeline'!$D$4:$D$503,_calc!$E$22))=0,"",INDEX('Dealer pipeline'!$D$4:$D$503,_calc!$E$22)))=0,"","Serial: "&amp;IF(LEN(INDEX('Dealer pipeline'!$D$4:$D$503,_calc!$E$22))=0,"",INDEX('Dealer pipeline'!$D$4:$D$503,_calc!$E$22))&amp;". ")&amp;IF(LEN(IF(ISNUMBER(INDEX('Dealer pipeline'!$J$4:$J$503,_calc!$E$22)),TEXT(INDEX('Dealer pipeline'!$J$4:$J$503,_calc!$E$22),"yyyy-mm-dd"),""))=0,"","Parts end: "&amp;IF(ISNUMBER(INDEX('Dealer pipeline'!$J$4:$J$503,_calc!$E$22)),TEXT(INDEX('Dealer pipeline'!$J$4:$J$503,_calc!$E$22),"yyyy-mm-dd"),"")&amp;". ")&amp;IF(LEN(IF(ISNUMBER(INDEX('Dealer pipeline'!$L$4:$L$503,_calc!$E$22)),TEXT(INDEX('Dealer pipeline'!$L$4:$L$503,_calc!$E$22),"yyyy-mm-dd"),""))=0,"","Labor end: "&amp;IF(ISNUMBER(INDEX('Dealer pipeline'!$L$4:$L$503,_calc!$E$22)),TEXT(INDEX('Dealer pipeline'!$L$4:$L$503,_calc!$E$22),"yyyy-mm-dd"),"")&amp;". ")&amp;IF(LEN(IF(LEN(INDEX('Dealer pipeline'!$Q$4:$Q$503,_calc!$E$22))=0,"",INDEX('Dealer pipeline'!$Q$4:$Q$503,_calc!$E$22)))=0,"","Status: "&amp;IF(LEN(INDEX('Dealer pipeline'!$Q$4:$Q$503,_calc!$E$22))=0,"",INDEX('Dealer pipeline'!$Q$4:$Q$503,_calc!$E$22))&amp;". ")&amp;IF(LEN(IF(LEN(INDEX('Dealer pipeline'!$P$4:$P$503,_calc!$E$22))=0,"",INDEX('Dealer pipeline'!$P$4:$P$503,_calc!$E$22)))=0,"","Last touch: "&amp;IF(LEN(INDEX('Dealer pipeline'!$P$4:$P$503,_calc!$E$22))=0,"",INDEX('Dealer pipeline'!$P$4:$P$503,_calc!$E$22))&amp;". ")&amp;IF(LEN(IF(LEN(INDEX('Dealer pipeline'!$R$4:$R$503,_calc!$E$22))=0,"",INDEX('Dealer pipeline'!$R$4:$R$503,_calc!$E$22)))=0,"","Owner: "&amp;IF(LEN(INDEX('Dealer pipeline'!$R$4:$R$503,_calc!$E$22))=0,"",INDEX('Dealer pipeline'!$R$4:$R$503,_calc!$E$22))&amp;". ")&amp;IF(LEN(IF(LEN(INDEX('Dealer pipeline'!$S$4:$S$503,_calc!$E$22))=0,"",INDEX('Dealer pipeline'!$S$4:$S$503,_calc!$E$22)))=0,"","Backup: "&amp;IF(LEN(INDEX('Dealer pipeline'!$S$4:$S$503,_calc!$E$22))=0,"",INDEX('Dealer pipeline'!$S$4:$S$503,_calc!$E$22))&amp;". ")&amp;IF(LEN(IF(LEN(INDEX('Dealer pipeline'!$T$4:$T$503,_calc!$E$22))=0,"",INDEX('Dealer pipeline'!$T$4:$T$503,_calc!$E$22)))=0,"",IF(LEN(INDEX('Dealer pipeline'!$T$4:$T$503,_calc!$E$22))=0,"",INDEX('Dealer pipeline'!$T$4:$T$503,_calc!$E$22)))),TRIM(IF(LEN(IF(LEN(INDEX('My equipment'!$C$4:$C$503,(_calc!$E$22-500)))=0,"",INDEX('My equipment'!$C$4:$C$503,(_calc!$E$22-500))))=0,"","Model: "&amp;IF(LEN(INDEX('My equipment'!$C$4:$C$503,(_calc!$E$22-500)))=0,"",INDEX('My equipment'!$C$4:$C$503,(_calc!$E$22-500)))&amp;". ")&amp;IF(LEN(IF(LEN(INDEX('My equipment'!$D$4:$D$503,(_calc!$E$22-500)))=0,"",INDEX('My equipment'!$D$4:$D$503,(_calc!$E$22-500))))=0,"","Serial: "&amp;IF(LEN(INDEX('My equipment'!$D$4:$D$503,(_calc!$E$22-500)))=0,"",INDEX('My equipment'!$D$4:$D$503,(_calc!$E$22-500)))&amp;". ")&amp;IF(LEN(IF(ISNUMBER(INDEX('My equipment'!$J$4:$J$503,(_calc!$E$22-500))),TEXT(INDEX('My equipment'!$J$4:$J$503,(_calc!$E$22-500)),"yyyy-mm-dd"),""))=0,"","Parts end: "&amp;IF(ISNUMBER(INDEX('My equipment'!$J$4:$J$503,(_calc!$E$22-500))),TEXT(INDEX('My equipment'!$J$4:$J$503,(_calc!$E$22-500)),"yyyy-mm-dd"),"")&amp;". ")&amp;IF(LEN(IF(ISNUMBER(INDEX('My equipment'!$L$4:$L$503,(_calc!$E$22-500))),TEXT(INDEX('My equipment'!$L$4:$L$503,(_calc!$E$22-500)),"yyyy-mm-dd"),""))=0,"","Labor end: "&amp;IF(ISNUMBER(INDEX('My equipment'!$L$4:$L$503,(_calc!$E$22-500))),TEXT(INDEX('My equipment'!$L$4:$L$503,(_calc!$E$22-500)),"yyyy-mm-dd"),"")&amp;". ")&amp;IF(LEN(IF(ISNUMBER(INDEX('My equipment'!$P$4:$P$503,(_calc!$E$22-500))),TEXT(INDEX('My equipment'!$P$4:$P$503,(_calc!$E$22-500)),"yyyy-mm-dd"),""))=0,"","Check by: "&amp;IF(ISNUMBER(INDEX('My equipment'!$P$4:$P$503,(_calc!$E$22-500))),TEXT(INDEX('My equipment'!$P$4:$P$503,(_calc!$E$22-500)),"yyyy-mm-dd"),"")&amp;". ")&amp;IF(LEN(IF(LEN(INDEX('My equipment'!$Q$4:$Q$503,(_calc!$E$22-500)))=0,"",INDEX('My equipment'!$Q$4:$Q$503,(_calc!$E$22-500))))=0,"","Claim status: "&amp;IF(LEN(INDEX('My equipment'!$Q$4:$Q$503,(_calc!$E$22-500)))=0,"",INDEX('My equipment'!$Q$4:$Q$503,(_calc!$E$22-500)))&amp;". ")&amp;IF(LEN(IF(LEN(INDEX('My equipment'!$R$4:$R$503,(_calc!$E$22-500)))=0,"",INDEX('My equipment'!$R$4:$R$503,(_calc!$E$22-500))))=0,"","Claims contact: "&amp;IF(LEN(INDEX('My equipment'!$R$4:$R$503,(_calc!$E$22-500)))=0,"",INDEX('My equipment'!$R$4:$R$503,(_calc!$E$22-500)))&amp;". ")&amp;IF(LEN(IF(LEN(INDEX('My equipment'!$S$4:$S$503,(_calc!$E$22-500)))=0,"",INDEX('My equipment'!$S$4:$S$503,(_calc!$E$22-500))))=0,"","Claims email: "&amp;IF(LEN(INDEX('My equipment'!$S$4:$S$503,(_calc!$E$22-500)))=0,"",INDEX('My equipment'!$S$4:$S$503,(_calc!$E$22-500)))&amp;". ")&amp;IF(LEN(IF(LEN(INDEX('My equipment'!$U$4:$U$503,(_calc!$E$22-500)))=0,"",INDEX('My equipment'!$U$4:$U$503,(_calc!$E$22-500))))=0,"","Registered: "&amp;IF(LEN(INDEX('My equipment'!$U$4:$U$503,(_calc!$E$22-500)))=0,"",INDEX('My equipment'!$U$4:$U$503,(_calc!$E$22-500)))&amp;". ")&amp;IF(LEN(IF(LEN(INDEX('My equipment'!$V$4:$V$503,(_calc!$E$22-500)))=0,"",INDEX('My equipment'!$V$4:$V$503,(_calc!$E$22-500))))=0,"","Proof on file: "&amp;IF(LEN(INDEX('My equipment'!$V$4:$V$503,(_calc!$E$22-500)))=0,"",INDEX('My equipment'!$V$4:$V$503,(_calc!$E$22-500)))&amp;". ")&amp;IF(LEN(IF(LEN(INDEX('My equipment'!$W$4:$W$503,(_calc!$E$22-500)))=0,"",INDEX('My equipment'!$W$4:$W$503,(_calc!$E$22-500))))=0,"","Claim ref: "&amp;IF(LEN(INDEX('My equipment'!$W$4:$W$503,(_calc!$E$22-500)))=0,"",INDEX('My equipment'!$W$4:$W$503,(_calc!$E$22-500)))&amp;". ")&amp;IF(LEN(IF(LEN(INDEX('My equipment'!$Y$4:$Y$503,(_calc!$E$22-500)))=0,"",INDEX('My equipment'!$Y$4:$Y$503,(_calc!$E$22-500))))=0,"",IF(LEN(INDEX('My equipment'!$Y$4:$Y$503,(_calc!$E$22-500)))=0,"",INDEX('My equipment'!$Y$4:$Y$503,(_calc!$E$22-500)))))))</f>
        <v/>
      </c>
      <c r="G20" s="54">
        <f>IF(_calc!$E$22="","",IF(_calc!$E$22&lt;=500,"",IF(LEN(INDEX('My equipment'!$X$4:$X$503,(_calc!$E$22-500)))=0,"",INDEX('My equipment'!$X$4:$X$503,(_calc!$E$22-500)))))</f>
        <v/>
      </c>
      <c r="K20" s="54">
        <f>IF(_calc!$E$22="","",IF(_calc!$E$22&lt;=500,"",IF(LEN(INDEX('My equipment'!$T$4:$T$503,(_calc!$E$22-500)))=0,"",INDEX('My equipment'!$T$4:$T$503,(_calc!$E$22-500)))))</f>
        <v/>
      </c>
    </row>
    <row r="21">
      <c r="A21" s="54">
        <f>IF(_calc!$E$23="","",IF(_calc!$E$23&lt;=500,"Warranty – "&amp;IF(LEN(INDEX('Dealer pipeline'!$C$4:$C$503,_calc!$E$23))=0,"",INDEX('Dealer pipeline'!$C$4:$C$503,_calc!$E$23))&amp;" – "&amp;IF(LEN(INDEX('Dealer pipeline'!$D$4:$D$503,_calc!$E$23))=0,"",INDEX('Dealer pipeline'!$D$4:$D$503,_calc!$E$23))&amp;" – "&amp;IF(LEN(INDEX('Dealer pipeline'!$A$4:$A$503,_calc!$E$23))=0,"",INDEX('Dealer pipeline'!$A$4:$A$503,_calc!$E$23)),"Warranty – "&amp;IF(LEN(INDEX('My equipment'!$A$4:$A$503,(_calc!$E$23-500)))=0,"",INDEX('My equipment'!$A$4:$A$503,(_calc!$E$23-500)))&amp;" – "&amp;IF(LEN(INDEX('My equipment'!$D$4:$D$503,(_calc!$E$23-500)))=0,"",INDEX('My equipment'!$D$4:$D$503,(_calc!$E$23-500)))))</f>
        <v/>
      </c>
      <c r="B21" s="54">
        <f>IF(_calc!$E$23="","",IF(_calc!$E$23&lt;=500,IF(ISNUMBER(INDEX('Dealer pipeline'!$M$4:$M$503,_calc!$E$23)),TEXT(INDEX('Dealer pipeline'!$M$4:$M$503,_calc!$E$23),"yyyy-mm-dd"),""),IF(ISNUMBER(INDEX('My equipment'!$M$4:$M$503,(_calc!$E$23-500))),TEXT(INDEX('My equipment'!$M$4:$M$503,(_calc!$E$23-500)),"yyyy-mm-dd"),"")))</f>
        <v/>
      </c>
      <c r="C21" s="54">
        <f>IF(_calc!$E$23="","",IF(_calc!$E$23&lt;=500,"Warranty","Warranty"))</f>
        <v/>
      </c>
      <c r="D21" s="54">
        <f>IF(_calc!$E$23="","",IF(_calc!$E$23&lt;=500,IF(ISNUMBER(INDEX('Dealer pipeline'!$H$4:$H$503,_calc!$E$23)),TEXT(INDEX('Dealer pipeline'!$H$4:$H$503,_calc!$E$23),"yyyy-mm-dd"),""),IF(ISNUMBER(INDEX('My equipment'!$H$4:$H$503,(_calc!$E$23-500))),TEXT(INDEX('My equipment'!$H$4:$H$503,(_calc!$E$23-500)),"yyyy-mm-dd"),"")))</f>
        <v/>
      </c>
      <c r="F21" s="54">
        <f>IF(_calc!$E$23="","",IF(_calc!$E$23&lt;=500,TRIM(IF(LEN(IF(LEN(INDEX('Dealer pipeline'!$A$4:$A$503,_calc!$E$23))=0,"",INDEX('Dealer pipeline'!$A$4:$A$503,_calc!$E$23)))=0,"","Customer: "&amp;IF(LEN(INDEX('Dealer pipeline'!$A$4:$A$503,_calc!$E$23))=0,"",INDEX('Dealer pipeline'!$A$4:$A$503,_calc!$E$23))&amp;". ")&amp;IF(LEN(IF(LEN(INDEX('Dealer pipeline'!$B$4:$B$503,_calc!$E$23))=0,"",INDEX('Dealer pipeline'!$B$4:$B$503,_calc!$E$23)))=0,"","Contact: "&amp;IF(LEN(INDEX('Dealer pipeline'!$B$4:$B$503,_calc!$E$23))=0,"",INDEX('Dealer pipeline'!$B$4:$B$503,_calc!$E$23))&amp;". ")&amp;IF(LEN(IF(LEN(INDEX('Dealer pipeline'!$D$4:$D$503,_calc!$E$23))=0,"",INDEX('Dealer pipeline'!$D$4:$D$503,_calc!$E$23)))=0,"","Serial: "&amp;IF(LEN(INDEX('Dealer pipeline'!$D$4:$D$503,_calc!$E$23))=0,"",INDEX('Dealer pipeline'!$D$4:$D$503,_calc!$E$23))&amp;". ")&amp;IF(LEN(IF(ISNUMBER(INDEX('Dealer pipeline'!$J$4:$J$503,_calc!$E$23)),TEXT(INDEX('Dealer pipeline'!$J$4:$J$503,_calc!$E$23),"yyyy-mm-dd"),""))=0,"","Parts end: "&amp;IF(ISNUMBER(INDEX('Dealer pipeline'!$J$4:$J$503,_calc!$E$23)),TEXT(INDEX('Dealer pipeline'!$J$4:$J$503,_calc!$E$23),"yyyy-mm-dd"),"")&amp;". ")&amp;IF(LEN(IF(ISNUMBER(INDEX('Dealer pipeline'!$L$4:$L$503,_calc!$E$23)),TEXT(INDEX('Dealer pipeline'!$L$4:$L$503,_calc!$E$23),"yyyy-mm-dd"),""))=0,"","Labor end: "&amp;IF(ISNUMBER(INDEX('Dealer pipeline'!$L$4:$L$503,_calc!$E$23)),TEXT(INDEX('Dealer pipeline'!$L$4:$L$503,_calc!$E$23),"yyyy-mm-dd"),"")&amp;". ")&amp;IF(LEN(IF(LEN(INDEX('Dealer pipeline'!$Q$4:$Q$503,_calc!$E$23))=0,"",INDEX('Dealer pipeline'!$Q$4:$Q$503,_calc!$E$23)))=0,"","Status: "&amp;IF(LEN(INDEX('Dealer pipeline'!$Q$4:$Q$503,_calc!$E$23))=0,"",INDEX('Dealer pipeline'!$Q$4:$Q$503,_calc!$E$23))&amp;". ")&amp;IF(LEN(IF(LEN(INDEX('Dealer pipeline'!$P$4:$P$503,_calc!$E$23))=0,"",INDEX('Dealer pipeline'!$P$4:$P$503,_calc!$E$23)))=0,"","Last touch: "&amp;IF(LEN(INDEX('Dealer pipeline'!$P$4:$P$503,_calc!$E$23))=0,"",INDEX('Dealer pipeline'!$P$4:$P$503,_calc!$E$23))&amp;". ")&amp;IF(LEN(IF(LEN(INDEX('Dealer pipeline'!$R$4:$R$503,_calc!$E$23))=0,"",INDEX('Dealer pipeline'!$R$4:$R$503,_calc!$E$23)))=0,"","Owner: "&amp;IF(LEN(INDEX('Dealer pipeline'!$R$4:$R$503,_calc!$E$23))=0,"",INDEX('Dealer pipeline'!$R$4:$R$503,_calc!$E$23))&amp;". ")&amp;IF(LEN(IF(LEN(INDEX('Dealer pipeline'!$S$4:$S$503,_calc!$E$23))=0,"",INDEX('Dealer pipeline'!$S$4:$S$503,_calc!$E$23)))=0,"","Backup: "&amp;IF(LEN(INDEX('Dealer pipeline'!$S$4:$S$503,_calc!$E$23))=0,"",INDEX('Dealer pipeline'!$S$4:$S$503,_calc!$E$23))&amp;". ")&amp;IF(LEN(IF(LEN(INDEX('Dealer pipeline'!$T$4:$T$503,_calc!$E$23))=0,"",INDEX('Dealer pipeline'!$T$4:$T$503,_calc!$E$23)))=0,"",IF(LEN(INDEX('Dealer pipeline'!$T$4:$T$503,_calc!$E$23))=0,"",INDEX('Dealer pipeline'!$T$4:$T$503,_calc!$E$23)))),TRIM(IF(LEN(IF(LEN(INDEX('My equipment'!$C$4:$C$503,(_calc!$E$23-500)))=0,"",INDEX('My equipment'!$C$4:$C$503,(_calc!$E$23-500))))=0,"","Model: "&amp;IF(LEN(INDEX('My equipment'!$C$4:$C$503,(_calc!$E$23-500)))=0,"",INDEX('My equipment'!$C$4:$C$503,(_calc!$E$23-500)))&amp;". ")&amp;IF(LEN(IF(LEN(INDEX('My equipment'!$D$4:$D$503,(_calc!$E$23-500)))=0,"",INDEX('My equipment'!$D$4:$D$503,(_calc!$E$23-500))))=0,"","Serial: "&amp;IF(LEN(INDEX('My equipment'!$D$4:$D$503,(_calc!$E$23-500)))=0,"",INDEX('My equipment'!$D$4:$D$503,(_calc!$E$23-500)))&amp;". ")&amp;IF(LEN(IF(ISNUMBER(INDEX('My equipment'!$J$4:$J$503,(_calc!$E$23-500))),TEXT(INDEX('My equipment'!$J$4:$J$503,(_calc!$E$23-500)),"yyyy-mm-dd"),""))=0,"","Parts end: "&amp;IF(ISNUMBER(INDEX('My equipment'!$J$4:$J$503,(_calc!$E$23-500))),TEXT(INDEX('My equipment'!$J$4:$J$503,(_calc!$E$23-500)),"yyyy-mm-dd"),"")&amp;". ")&amp;IF(LEN(IF(ISNUMBER(INDEX('My equipment'!$L$4:$L$503,(_calc!$E$23-500))),TEXT(INDEX('My equipment'!$L$4:$L$503,(_calc!$E$23-500)),"yyyy-mm-dd"),""))=0,"","Labor end: "&amp;IF(ISNUMBER(INDEX('My equipment'!$L$4:$L$503,(_calc!$E$23-500))),TEXT(INDEX('My equipment'!$L$4:$L$503,(_calc!$E$23-500)),"yyyy-mm-dd"),"")&amp;". ")&amp;IF(LEN(IF(ISNUMBER(INDEX('My equipment'!$P$4:$P$503,(_calc!$E$23-500))),TEXT(INDEX('My equipment'!$P$4:$P$503,(_calc!$E$23-500)),"yyyy-mm-dd"),""))=0,"","Check by: "&amp;IF(ISNUMBER(INDEX('My equipment'!$P$4:$P$503,(_calc!$E$23-500))),TEXT(INDEX('My equipment'!$P$4:$P$503,(_calc!$E$23-500)),"yyyy-mm-dd"),"")&amp;". ")&amp;IF(LEN(IF(LEN(INDEX('My equipment'!$Q$4:$Q$503,(_calc!$E$23-500)))=0,"",INDEX('My equipment'!$Q$4:$Q$503,(_calc!$E$23-500))))=0,"","Claim status: "&amp;IF(LEN(INDEX('My equipment'!$Q$4:$Q$503,(_calc!$E$23-500)))=0,"",INDEX('My equipment'!$Q$4:$Q$503,(_calc!$E$23-500)))&amp;". ")&amp;IF(LEN(IF(LEN(INDEX('My equipment'!$R$4:$R$503,(_calc!$E$23-500)))=0,"",INDEX('My equipment'!$R$4:$R$503,(_calc!$E$23-500))))=0,"","Claims contact: "&amp;IF(LEN(INDEX('My equipment'!$R$4:$R$503,(_calc!$E$23-500)))=0,"",INDEX('My equipment'!$R$4:$R$503,(_calc!$E$23-500)))&amp;". ")&amp;IF(LEN(IF(LEN(INDEX('My equipment'!$S$4:$S$503,(_calc!$E$23-500)))=0,"",INDEX('My equipment'!$S$4:$S$503,(_calc!$E$23-500))))=0,"","Claims email: "&amp;IF(LEN(INDEX('My equipment'!$S$4:$S$503,(_calc!$E$23-500)))=0,"",INDEX('My equipment'!$S$4:$S$503,(_calc!$E$23-500)))&amp;". ")&amp;IF(LEN(IF(LEN(INDEX('My equipment'!$U$4:$U$503,(_calc!$E$23-500)))=0,"",INDEX('My equipment'!$U$4:$U$503,(_calc!$E$23-500))))=0,"","Registered: "&amp;IF(LEN(INDEX('My equipment'!$U$4:$U$503,(_calc!$E$23-500)))=0,"",INDEX('My equipment'!$U$4:$U$503,(_calc!$E$23-500)))&amp;". ")&amp;IF(LEN(IF(LEN(INDEX('My equipment'!$V$4:$V$503,(_calc!$E$23-500)))=0,"",INDEX('My equipment'!$V$4:$V$503,(_calc!$E$23-500))))=0,"","Proof on file: "&amp;IF(LEN(INDEX('My equipment'!$V$4:$V$503,(_calc!$E$23-500)))=0,"",INDEX('My equipment'!$V$4:$V$503,(_calc!$E$23-500)))&amp;". ")&amp;IF(LEN(IF(LEN(INDEX('My equipment'!$W$4:$W$503,(_calc!$E$23-500)))=0,"",INDEX('My equipment'!$W$4:$W$503,(_calc!$E$23-500))))=0,"","Claim ref: "&amp;IF(LEN(INDEX('My equipment'!$W$4:$W$503,(_calc!$E$23-500)))=0,"",INDEX('My equipment'!$W$4:$W$503,(_calc!$E$23-500)))&amp;". ")&amp;IF(LEN(IF(LEN(INDEX('My equipment'!$Y$4:$Y$503,(_calc!$E$23-500)))=0,"",INDEX('My equipment'!$Y$4:$Y$503,(_calc!$E$23-500))))=0,"",IF(LEN(INDEX('My equipment'!$Y$4:$Y$503,(_calc!$E$23-500)))=0,"",INDEX('My equipment'!$Y$4:$Y$503,(_calc!$E$23-500)))))))</f>
        <v/>
      </c>
      <c r="G21" s="54">
        <f>IF(_calc!$E$23="","",IF(_calc!$E$23&lt;=500,"",IF(LEN(INDEX('My equipment'!$X$4:$X$503,(_calc!$E$23-500)))=0,"",INDEX('My equipment'!$X$4:$X$503,(_calc!$E$23-500)))))</f>
        <v/>
      </c>
      <c r="K21" s="54">
        <f>IF(_calc!$E$23="","",IF(_calc!$E$23&lt;=500,"",IF(LEN(INDEX('My equipment'!$T$4:$T$503,(_calc!$E$23-500)))=0,"",INDEX('My equipment'!$T$4:$T$503,(_calc!$E$23-500)))))</f>
        <v/>
      </c>
    </row>
    <row r="22">
      <c r="A22" s="54">
        <f>IF(_calc!$E$24="","",IF(_calc!$E$24&lt;=500,"Warranty – "&amp;IF(LEN(INDEX('Dealer pipeline'!$C$4:$C$503,_calc!$E$24))=0,"",INDEX('Dealer pipeline'!$C$4:$C$503,_calc!$E$24))&amp;" – "&amp;IF(LEN(INDEX('Dealer pipeline'!$D$4:$D$503,_calc!$E$24))=0,"",INDEX('Dealer pipeline'!$D$4:$D$503,_calc!$E$24))&amp;" – "&amp;IF(LEN(INDEX('Dealer pipeline'!$A$4:$A$503,_calc!$E$24))=0,"",INDEX('Dealer pipeline'!$A$4:$A$503,_calc!$E$24)),"Warranty – "&amp;IF(LEN(INDEX('My equipment'!$A$4:$A$503,(_calc!$E$24-500)))=0,"",INDEX('My equipment'!$A$4:$A$503,(_calc!$E$24-500)))&amp;" – "&amp;IF(LEN(INDEX('My equipment'!$D$4:$D$503,(_calc!$E$24-500)))=0,"",INDEX('My equipment'!$D$4:$D$503,(_calc!$E$24-500)))))</f>
        <v/>
      </c>
      <c r="B22" s="54">
        <f>IF(_calc!$E$24="","",IF(_calc!$E$24&lt;=500,IF(ISNUMBER(INDEX('Dealer pipeline'!$M$4:$M$503,_calc!$E$24)),TEXT(INDEX('Dealer pipeline'!$M$4:$M$503,_calc!$E$24),"yyyy-mm-dd"),""),IF(ISNUMBER(INDEX('My equipment'!$M$4:$M$503,(_calc!$E$24-500))),TEXT(INDEX('My equipment'!$M$4:$M$503,(_calc!$E$24-500)),"yyyy-mm-dd"),"")))</f>
        <v/>
      </c>
      <c r="C22" s="54">
        <f>IF(_calc!$E$24="","",IF(_calc!$E$24&lt;=500,"Warranty","Warranty"))</f>
        <v/>
      </c>
      <c r="D22" s="54">
        <f>IF(_calc!$E$24="","",IF(_calc!$E$24&lt;=500,IF(ISNUMBER(INDEX('Dealer pipeline'!$H$4:$H$503,_calc!$E$24)),TEXT(INDEX('Dealer pipeline'!$H$4:$H$503,_calc!$E$24),"yyyy-mm-dd"),""),IF(ISNUMBER(INDEX('My equipment'!$H$4:$H$503,(_calc!$E$24-500))),TEXT(INDEX('My equipment'!$H$4:$H$503,(_calc!$E$24-500)),"yyyy-mm-dd"),"")))</f>
        <v/>
      </c>
      <c r="F22" s="54">
        <f>IF(_calc!$E$24="","",IF(_calc!$E$24&lt;=500,TRIM(IF(LEN(IF(LEN(INDEX('Dealer pipeline'!$A$4:$A$503,_calc!$E$24))=0,"",INDEX('Dealer pipeline'!$A$4:$A$503,_calc!$E$24)))=0,"","Customer: "&amp;IF(LEN(INDEX('Dealer pipeline'!$A$4:$A$503,_calc!$E$24))=0,"",INDEX('Dealer pipeline'!$A$4:$A$503,_calc!$E$24))&amp;". ")&amp;IF(LEN(IF(LEN(INDEX('Dealer pipeline'!$B$4:$B$503,_calc!$E$24))=0,"",INDEX('Dealer pipeline'!$B$4:$B$503,_calc!$E$24)))=0,"","Contact: "&amp;IF(LEN(INDEX('Dealer pipeline'!$B$4:$B$503,_calc!$E$24))=0,"",INDEX('Dealer pipeline'!$B$4:$B$503,_calc!$E$24))&amp;". ")&amp;IF(LEN(IF(LEN(INDEX('Dealer pipeline'!$D$4:$D$503,_calc!$E$24))=0,"",INDEX('Dealer pipeline'!$D$4:$D$503,_calc!$E$24)))=0,"","Serial: "&amp;IF(LEN(INDEX('Dealer pipeline'!$D$4:$D$503,_calc!$E$24))=0,"",INDEX('Dealer pipeline'!$D$4:$D$503,_calc!$E$24))&amp;". ")&amp;IF(LEN(IF(ISNUMBER(INDEX('Dealer pipeline'!$J$4:$J$503,_calc!$E$24)),TEXT(INDEX('Dealer pipeline'!$J$4:$J$503,_calc!$E$24),"yyyy-mm-dd"),""))=0,"","Parts end: "&amp;IF(ISNUMBER(INDEX('Dealer pipeline'!$J$4:$J$503,_calc!$E$24)),TEXT(INDEX('Dealer pipeline'!$J$4:$J$503,_calc!$E$24),"yyyy-mm-dd"),"")&amp;". ")&amp;IF(LEN(IF(ISNUMBER(INDEX('Dealer pipeline'!$L$4:$L$503,_calc!$E$24)),TEXT(INDEX('Dealer pipeline'!$L$4:$L$503,_calc!$E$24),"yyyy-mm-dd"),""))=0,"","Labor end: "&amp;IF(ISNUMBER(INDEX('Dealer pipeline'!$L$4:$L$503,_calc!$E$24)),TEXT(INDEX('Dealer pipeline'!$L$4:$L$503,_calc!$E$24),"yyyy-mm-dd"),"")&amp;". ")&amp;IF(LEN(IF(LEN(INDEX('Dealer pipeline'!$Q$4:$Q$503,_calc!$E$24))=0,"",INDEX('Dealer pipeline'!$Q$4:$Q$503,_calc!$E$24)))=0,"","Status: "&amp;IF(LEN(INDEX('Dealer pipeline'!$Q$4:$Q$503,_calc!$E$24))=0,"",INDEX('Dealer pipeline'!$Q$4:$Q$503,_calc!$E$24))&amp;". ")&amp;IF(LEN(IF(LEN(INDEX('Dealer pipeline'!$P$4:$P$503,_calc!$E$24))=0,"",INDEX('Dealer pipeline'!$P$4:$P$503,_calc!$E$24)))=0,"","Last touch: "&amp;IF(LEN(INDEX('Dealer pipeline'!$P$4:$P$503,_calc!$E$24))=0,"",INDEX('Dealer pipeline'!$P$4:$P$503,_calc!$E$24))&amp;". ")&amp;IF(LEN(IF(LEN(INDEX('Dealer pipeline'!$R$4:$R$503,_calc!$E$24))=0,"",INDEX('Dealer pipeline'!$R$4:$R$503,_calc!$E$24)))=0,"","Owner: "&amp;IF(LEN(INDEX('Dealer pipeline'!$R$4:$R$503,_calc!$E$24))=0,"",INDEX('Dealer pipeline'!$R$4:$R$503,_calc!$E$24))&amp;". ")&amp;IF(LEN(IF(LEN(INDEX('Dealer pipeline'!$S$4:$S$503,_calc!$E$24))=0,"",INDEX('Dealer pipeline'!$S$4:$S$503,_calc!$E$24)))=0,"","Backup: "&amp;IF(LEN(INDEX('Dealer pipeline'!$S$4:$S$503,_calc!$E$24))=0,"",INDEX('Dealer pipeline'!$S$4:$S$503,_calc!$E$24))&amp;". ")&amp;IF(LEN(IF(LEN(INDEX('Dealer pipeline'!$T$4:$T$503,_calc!$E$24))=0,"",INDEX('Dealer pipeline'!$T$4:$T$503,_calc!$E$24)))=0,"",IF(LEN(INDEX('Dealer pipeline'!$T$4:$T$503,_calc!$E$24))=0,"",INDEX('Dealer pipeline'!$T$4:$T$503,_calc!$E$24)))),TRIM(IF(LEN(IF(LEN(INDEX('My equipment'!$C$4:$C$503,(_calc!$E$24-500)))=0,"",INDEX('My equipment'!$C$4:$C$503,(_calc!$E$24-500))))=0,"","Model: "&amp;IF(LEN(INDEX('My equipment'!$C$4:$C$503,(_calc!$E$24-500)))=0,"",INDEX('My equipment'!$C$4:$C$503,(_calc!$E$24-500)))&amp;". ")&amp;IF(LEN(IF(LEN(INDEX('My equipment'!$D$4:$D$503,(_calc!$E$24-500)))=0,"",INDEX('My equipment'!$D$4:$D$503,(_calc!$E$24-500))))=0,"","Serial: "&amp;IF(LEN(INDEX('My equipment'!$D$4:$D$503,(_calc!$E$24-500)))=0,"",INDEX('My equipment'!$D$4:$D$503,(_calc!$E$24-500)))&amp;". ")&amp;IF(LEN(IF(ISNUMBER(INDEX('My equipment'!$J$4:$J$503,(_calc!$E$24-500))),TEXT(INDEX('My equipment'!$J$4:$J$503,(_calc!$E$24-500)),"yyyy-mm-dd"),""))=0,"","Parts end: "&amp;IF(ISNUMBER(INDEX('My equipment'!$J$4:$J$503,(_calc!$E$24-500))),TEXT(INDEX('My equipment'!$J$4:$J$503,(_calc!$E$24-500)),"yyyy-mm-dd"),"")&amp;". ")&amp;IF(LEN(IF(ISNUMBER(INDEX('My equipment'!$L$4:$L$503,(_calc!$E$24-500))),TEXT(INDEX('My equipment'!$L$4:$L$503,(_calc!$E$24-500)),"yyyy-mm-dd"),""))=0,"","Labor end: "&amp;IF(ISNUMBER(INDEX('My equipment'!$L$4:$L$503,(_calc!$E$24-500))),TEXT(INDEX('My equipment'!$L$4:$L$503,(_calc!$E$24-500)),"yyyy-mm-dd"),"")&amp;". ")&amp;IF(LEN(IF(ISNUMBER(INDEX('My equipment'!$P$4:$P$503,(_calc!$E$24-500))),TEXT(INDEX('My equipment'!$P$4:$P$503,(_calc!$E$24-500)),"yyyy-mm-dd"),""))=0,"","Check by: "&amp;IF(ISNUMBER(INDEX('My equipment'!$P$4:$P$503,(_calc!$E$24-500))),TEXT(INDEX('My equipment'!$P$4:$P$503,(_calc!$E$24-500)),"yyyy-mm-dd"),"")&amp;". ")&amp;IF(LEN(IF(LEN(INDEX('My equipment'!$Q$4:$Q$503,(_calc!$E$24-500)))=0,"",INDEX('My equipment'!$Q$4:$Q$503,(_calc!$E$24-500))))=0,"","Claim status: "&amp;IF(LEN(INDEX('My equipment'!$Q$4:$Q$503,(_calc!$E$24-500)))=0,"",INDEX('My equipment'!$Q$4:$Q$503,(_calc!$E$24-500)))&amp;". ")&amp;IF(LEN(IF(LEN(INDEX('My equipment'!$R$4:$R$503,(_calc!$E$24-500)))=0,"",INDEX('My equipment'!$R$4:$R$503,(_calc!$E$24-500))))=0,"","Claims contact: "&amp;IF(LEN(INDEX('My equipment'!$R$4:$R$503,(_calc!$E$24-500)))=0,"",INDEX('My equipment'!$R$4:$R$503,(_calc!$E$24-500)))&amp;". ")&amp;IF(LEN(IF(LEN(INDEX('My equipment'!$S$4:$S$503,(_calc!$E$24-500)))=0,"",INDEX('My equipment'!$S$4:$S$503,(_calc!$E$24-500))))=0,"","Claims email: "&amp;IF(LEN(INDEX('My equipment'!$S$4:$S$503,(_calc!$E$24-500)))=0,"",INDEX('My equipment'!$S$4:$S$503,(_calc!$E$24-500)))&amp;". ")&amp;IF(LEN(IF(LEN(INDEX('My equipment'!$U$4:$U$503,(_calc!$E$24-500)))=0,"",INDEX('My equipment'!$U$4:$U$503,(_calc!$E$24-500))))=0,"","Registered: "&amp;IF(LEN(INDEX('My equipment'!$U$4:$U$503,(_calc!$E$24-500)))=0,"",INDEX('My equipment'!$U$4:$U$503,(_calc!$E$24-500)))&amp;". ")&amp;IF(LEN(IF(LEN(INDEX('My equipment'!$V$4:$V$503,(_calc!$E$24-500)))=0,"",INDEX('My equipment'!$V$4:$V$503,(_calc!$E$24-500))))=0,"","Proof on file: "&amp;IF(LEN(INDEX('My equipment'!$V$4:$V$503,(_calc!$E$24-500)))=0,"",INDEX('My equipment'!$V$4:$V$503,(_calc!$E$24-500)))&amp;". ")&amp;IF(LEN(IF(LEN(INDEX('My equipment'!$W$4:$W$503,(_calc!$E$24-500)))=0,"",INDEX('My equipment'!$W$4:$W$503,(_calc!$E$24-500))))=0,"","Claim ref: "&amp;IF(LEN(INDEX('My equipment'!$W$4:$W$503,(_calc!$E$24-500)))=0,"",INDEX('My equipment'!$W$4:$W$503,(_calc!$E$24-500)))&amp;". ")&amp;IF(LEN(IF(LEN(INDEX('My equipment'!$Y$4:$Y$503,(_calc!$E$24-500)))=0,"",INDEX('My equipment'!$Y$4:$Y$503,(_calc!$E$24-500))))=0,"",IF(LEN(INDEX('My equipment'!$Y$4:$Y$503,(_calc!$E$24-500)))=0,"",INDEX('My equipment'!$Y$4:$Y$503,(_calc!$E$24-500)))))))</f>
        <v/>
      </c>
      <c r="G22" s="54">
        <f>IF(_calc!$E$24="","",IF(_calc!$E$24&lt;=500,"",IF(LEN(INDEX('My equipment'!$X$4:$X$503,(_calc!$E$24-500)))=0,"",INDEX('My equipment'!$X$4:$X$503,(_calc!$E$24-500)))))</f>
        <v/>
      </c>
      <c r="K22" s="54">
        <f>IF(_calc!$E$24="","",IF(_calc!$E$24&lt;=500,"",IF(LEN(INDEX('My equipment'!$T$4:$T$503,(_calc!$E$24-500)))=0,"",INDEX('My equipment'!$T$4:$T$503,(_calc!$E$24-500)))))</f>
        <v/>
      </c>
    </row>
    <row r="23">
      <c r="A23" s="54">
        <f>IF(_calc!$E$25="","",IF(_calc!$E$25&lt;=500,"Warranty – "&amp;IF(LEN(INDEX('Dealer pipeline'!$C$4:$C$503,_calc!$E$25))=0,"",INDEX('Dealer pipeline'!$C$4:$C$503,_calc!$E$25))&amp;" – "&amp;IF(LEN(INDEX('Dealer pipeline'!$D$4:$D$503,_calc!$E$25))=0,"",INDEX('Dealer pipeline'!$D$4:$D$503,_calc!$E$25))&amp;" – "&amp;IF(LEN(INDEX('Dealer pipeline'!$A$4:$A$503,_calc!$E$25))=0,"",INDEX('Dealer pipeline'!$A$4:$A$503,_calc!$E$25)),"Warranty – "&amp;IF(LEN(INDEX('My equipment'!$A$4:$A$503,(_calc!$E$25-500)))=0,"",INDEX('My equipment'!$A$4:$A$503,(_calc!$E$25-500)))&amp;" – "&amp;IF(LEN(INDEX('My equipment'!$D$4:$D$503,(_calc!$E$25-500)))=0,"",INDEX('My equipment'!$D$4:$D$503,(_calc!$E$25-500)))))</f>
        <v/>
      </c>
      <c r="B23" s="54">
        <f>IF(_calc!$E$25="","",IF(_calc!$E$25&lt;=500,IF(ISNUMBER(INDEX('Dealer pipeline'!$M$4:$M$503,_calc!$E$25)),TEXT(INDEX('Dealer pipeline'!$M$4:$M$503,_calc!$E$25),"yyyy-mm-dd"),""),IF(ISNUMBER(INDEX('My equipment'!$M$4:$M$503,(_calc!$E$25-500))),TEXT(INDEX('My equipment'!$M$4:$M$503,(_calc!$E$25-500)),"yyyy-mm-dd"),"")))</f>
        <v/>
      </c>
      <c r="C23" s="54">
        <f>IF(_calc!$E$25="","",IF(_calc!$E$25&lt;=500,"Warranty","Warranty"))</f>
        <v/>
      </c>
      <c r="D23" s="54">
        <f>IF(_calc!$E$25="","",IF(_calc!$E$25&lt;=500,IF(ISNUMBER(INDEX('Dealer pipeline'!$H$4:$H$503,_calc!$E$25)),TEXT(INDEX('Dealer pipeline'!$H$4:$H$503,_calc!$E$25),"yyyy-mm-dd"),""),IF(ISNUMBER(INDEX('My equipment'!$H$4:$H$503,(_calc!$E$25-500))),TEXT(INDEX('My equipment'!$H$4:$H$503,(_calc!$E$25-500)),"yyyy-mm-dd"),"")))</f>
        <v/>
      </c>
      <c r="F23" s="54">
        <f>IF(_calc!$E$25="","",IF(_calc!$E$25&lt;=500,TRIM(IF(LEN(IF(LEN(INDEX('Dealer pipeline'!$A$4:$A$503,_calc!$E$25))=0,"",INDEX('Dealer pipeline'!$A$4:$A$503,_calc!$E$25)))=0,"","Customer: "&amp;IF(LEN(INDEX('Dealer pipeline'!$A$4:$A$503,_calc!$E$25))=0,"",INDEX('Dealer pipeline'!$A$4:$A$503,_calc!$E$25))&amp;". ")&amp;IF(LEN(IF(LEN(INDEX('Dealer pipeline'!$B$4:$B$503,_calc!$E$25))=0,"",INDEX('Dealer pipeline'!$B$4:$B$503,_calc!$E$25)))=0,"","Contact: "&amp;IF(LEN(INDEX('Dealer pipeline'!$B$4:$B$503,_calc!$E$25))=0,"",INDEX('Dealer pipeline'!$B$4:$B$503,_calc!$E$25))&amp;". ")&amp;IF(LEN(IF(LEN(INDEX('Dealer pipeline'!$D$4:$D$503,_calc!$E$25))=0,"",INDEX('Dealer pipeline'!$D$4:$D$503,_calc!$E$25)))=0,"","Serial: "&amp;IF(LEN(INDEX('Dealer pipeline'!$D$4:$D$503,_calc!$E$25))=0,"",INDEX('Dealer pipeline'!$D$4:$D$503,_calc!$E$25))&amp;". ")&amp;IF(LEN(IF(ISNUMBER(INDEX('Dealer pipeline'!$J$4:$J$503,_calc!$E$25)),TEXT(INDEX('Dealer pipeline'!$J$4:$J$503,_calc!$E$25),"yyyy-mm-dd"),""))=0,"","Parts end: "&amp;IF(ISNUMBER(INDEX('Dealer pipeline'!$J$4:$J$503,_calc!$E$25)),TEXT(INDEX('Dealer pipeline'!$J$4:$J$503,_calc!$E$25),"yyyy-mm-dd"),"")&amp;". ")&amp;IF(LEN(IF(ISNUMBER(INDEX('Dealer pipeline'!$L$4:$L$503,_calc!$E$25)),TEXT(INDEX('Dealer pipeline'!$L$4:$L$503,_calc!$E$25),"yyyy-mm-dd"),""))=0,"","Labor end: "&amp;IF(ISNUMBER(INDEX('Dealer pipeline'!$L$4:$L$503,_calc!$E$25)),TEXT(INDEX('Dealer pipeline'!$L$4:$L$503,_calc!$E$25),"yyyy-mm-dd"),"")&amp;". ")&amp;IF(LEN(IF(LEN(INDEX('Dealer pipeline'!$Q$4:$Q$503,_calc!$E$25))=0,"",INDEX('Dealer pipeline'!$Q$4:$Q$503,_calc!$E$25)))=0,"","Status: "&amp;IF(LEN(INDEX('Dealer pipeline'!$Q$4:$Q$503,_calc!$E$25))=0,"",INDEX('Dealer pipeline'!$Q$4:$Q$503,_calc!$E$25))&amp;". ")&amp;IF(LEN(IF(LEN(INDEX('Dealer pipeline'!$P$4:$P$503,_calc!$E$25))=0,"",INDEX('Dealer pipeline'!$P$4:$P$503,_calc!$E$25)))=0,"","Last touch: "&amp;IF(LEN(INDEX('Dealer pipeline'!$P$4:$P$503,_calc!$E$25))=0,"",INDEX('Dealer pipeline'!$P$4:$P$503,_calc!$E$25))&amp;". ")&amp;IF(LEN(IF(LEN(INDEX('Dealer pipeline'!$R$4:$R$503,_calc!$E$25))=0,"",INDEX('Dealer pipeline'!$R$4:$R$503,_calc!$E$25)))=0,"","Owner: "&amp;IF(LEN(INDEX('Dealer pipeline'!$R$4:$R$503,_calc!$E$25))=0,"",INDEX('Dealer pipeline'!$R$4:$R$503,_calc!$E$25))&amp;". ")&amp;IF(LEN(IF(LEN(INDEX('Dealer pipeline'!$S$4:$S$503,_calc!$E$25))=0,"",INDEX('Dealer pipeline'!$S$4:$S$503,_calc!$E$25)))=0,"","Backup: "&amp;IF(LEN(INDEX('Dealer pipeline'!$S$4:$S$503,_calc!$E$25))=0,"",INDEX('Dealer pipeline'!$S$4:$S$503,_calc!$E$25))&amp;". ")&amp;IF(LEN(IF(LEN(INDEX('Dealer pipeline'!$T$4:$T$503,_calc!$E$25))=0,"",INDEX('Dealer pipeline'!$T$4:$T$503,_calc!$E$25)))=0,"",IF(LEN(INDEX('Dealer pipeline'!$T$4:$T$503,_calc!$E$25))=0,"",INDEX('Dealer pipeline'!$T$4:$T$503,_calc!$E$25)))),TRIM(IF(LEN(IF(LEN(INDEX('My equipment'!$C$4:$C$503,(_calc!$E$25-500)))=0,"",INDEX('My equipment'!$C$4:$C$503,(_calc!$E$25-500))))=0,"","Model: "&amp;IF(LEN(INDEX('My equipment'!$C$4:$C$503,(_calc!$E$25-500)))=0,"",INDEX('My equipment'!$C$4:$C$503,(_calc!$E$25-500)))&amp;". ")&amp;IF(LEN(IF(LEN(INDEX('My equipment'!$D$4:$D$503,(_calc!$E$25-500)))=0,"",INDEX('My equipment'!$D$4:$D$503,(_calc!$E$25-500))))=0,"","Serial: "&amp;IF(LEN(INDEX('My equipment'!$D$4:$D$503,(_calc!$E$25-500)))=0,"",INDEX('My equipment'!$D$4:$D$503,(_calc!$E$25-500)))&amp;". ")&amp;IF(LEN(IF(ISNUMBER(INDEX('My equipment'!$J$4:$J$503,(_calc!$E$25-500))),TEXT(INDEX('My equipment'!$J$4:$J$503,(_calc!$E$25-500)),"yyyy-mm-dd"),""))=0,"","Parts end: "&amp;IF(ISNUMBER(INDEX('My equipment'!$J$4:$J$503,(_calc!$E$25-500))),TEXT(INDEX('My equipment'!$J$4:$J$503,(_calc!$E$25-500)),"yyyy-mm-dd"),"")&amp;". ")&amp;IF(LEN(IF(ISNUMBER(INDEX('My equipment'!$L$4:$L$503,(_calc!$E$25-500))),TEXT(INDEX('My equipment'!$L$4:$L$503,(_calc!$E$25-500)),"yyyy-mm-dd"),""))=0,"","Labor end: "&amp;IF(ISNUMBER(INDEX('My equipment'!$L$4:$L$503,(_calc!$E$25-500))),TEXT(INDEX('My equipment'!$L$4:$L$503,(_calc!$E$25-500)),"yyyy-mm-dd"),"")&amp;". ")&amp;IF(LEN(IF(ISNUMBER(INDEX('My equipment'!$P$4:$P$503,(_calc!$E$25-500))),TEXT(INDEX('My equipment'!$P$4:$P$503,(_calc!$E$25-500)),"yyyy-mm-dd"),""))=0,"","Check by: "&amp;IF(ISNUMBER(INDEX('My equipment'!$P$4:$P$503,(_calc!$E$25-500))),TEXT(INDEX('My equipment'!$P$4:$P$503,(_calc!$E$25-500)),"yyyy-mm-dd"),"")&amp;". ")&amp;IF(LEN(IF(LEN(INDEX('My equipment'!$Q$4:$Q$503,(_calc!$E$25-500)))=0,"",INDEX('My equipment'!$Q$4:$Q$503,(_calc!$E$25-500))))=0,"","Claim status: "&amp;IF(LEN(INDEX('My equipment'!$Q$4:$Q$503,(_calc!$E$25-500)))=0,"",INDEX('My equipment'!$Q$4:$Q$503,(_calc!$E$25-500)))&amp;". ")&amp;IF(LEN(IF(LEN(INDEX('My equipment'!$R$4:$R$503,(_calc!$E$25-500)))=0,"",INDEX('My equipment'!$R$4:$R$503,(_calc!$E$25-500))))=0,"","Claims contact: "&amp;IF(LEN(INDEX('My equipment'!$R$4:$R$503,(_calc!$E$25-500)))=0,"",INDEX('My equipment'!$R$4:$R$503,(_calc!$E$25-500)))&amp;". ")&amp;IF(LEN(IF(LEN(INDEX('My equipment'!$S$4:$S$503,(_calc!$E$25-500)))=0,"",INDEX('My equipment'!$S$4:$S$503,(_calc!$E$25-500))))=0,"","Claims email: "&amp;IF(LEN(INDEX('My equipment'!$S$4:$S$503,(_calc!$E$25-500)))=0,"",INDEX('My equipment'!$S$4:$S$503,(_calc!$E$25-500)))&amp;". ")&amp;IF(LEN(IF(LEN(INDEX('My equipment'!$U$4:$U$503,(_calc!$E$25-500)))=0,"",INDEX('My equipment'!$U$4:$U$503,(_calc!$E$25-500))))=0,"","Registered: "&amp;IF(LEN(INDEX('My equipment'!$U$4:$U$503,(_calc!$E$25-500)))=0,"",INDEX('My equipment'!$U$4:$U$503,(_calc!$E$25-500)))&amp;". ")&amp;IF(LEN(IF(LEN(INDEX('My equipment'!$V$4:$V$503,(_calc!$E$25-500)))=0,"",INDEX('My equipment'!$V$4:$V$503,(_calc!$E$25-500))))=0,"","Proof on file: "&amp;IF(LEN(INDEX('My equipment'!$V$4:$V$503,(_calc!$E$25-500)))=0,"",INDEX('My equipment'!$V$4:$V$503,(_calc!$E$25-500)))&amp;". ")&amp;IF(LEN(IF(LEN(INDEX('My equipment'!$W$4:$W$503,(_calc!$E$25-500)))=0,"",INDEX('My equipment'!$W$4:$W$503,(_calc!$E$25-500))))=0,"","Claim ref: "&amp;IF(LEN(INDEX('My equipment'!$W$4:$W$503,(_calc!$E$25-500)))=0,"",INDEX('My equipment'!$W$4:$W$503,(_calc!$E$25-500)))&amp;". ")&amp;IF(LEN(IF(LEN(INDEX('My equipment'!$Y$4:$Y$503,(_calc!$E$25-500)))=0,"",INDEX('My equipment'!$Y$4:$Y$503,(_calc!$E$25-500))))=0,"",IF(LEN(INDEX('My equipment'!$Y$4:$Y$503,(_calc!$E$25-500)))=0,"",INDEX('My equipment'!$Y$4:$Y$503,(_calc!$E$25-500)))))))</f>
        <v/>
      </c>
      <c r="G23" s="54">
        <f>IF(_calc!$E$25="","",IF(_calc!$E$25&lt;=500,"",IF(LEN(INDEX('My equipment'!$X$4:$X$503,(_calc!$E$25-500)))=0,"",INDEX('My equipment'!$X$4:$X$503,(_calc!$E$25-500)))))</f>
        <v/>
      </c>
      <c r="K23" s="54">
        <f>IF(_calc!$E$25="","",IF(_calc!$E$25&lt;=500,"",IF(LEN(INDEX('My equipment'!$T$4:$T$503,(_calc!$E$25-500)))=0,"",INDEX('My equipment'!$T$4:$T$503,(_calc!$E$25-500)))))</f>
        <v/>
      </c>
    </row>
    <row r="24">
      <c r="A24" s="54">
        <f>IF(_calc!$E$26="","",IF(_calc!$E$26&lt;=500,"Warranty – "&amp;IF(LEN(INDEX('Dealer pipeline'!$C$4:$C$503,_calc!$E$26))=0,"",INDEX('Dealer pipeline'!$C$4:$C$503,_calc!$E$26))&amp;" – "&amp;IF(LEN(INDEX('Dealer pipeline'!$D$4:$D$503,_calc!$E$26))=0,"",INDEX('Dealer pipeline'!$D$4:$D$503,_calc!$E$26))&amp;" – "&amp;IF(LEN(INDEX('Dealer pipeline'!$A$4:$A$503,_calc!$E$26))=0,"",INDEX('Dealer pipeline'!$A$4:$A$503,_calc!$E$26)),"Warranty – "&amp;IF(LEN(INDEX('My equipment'!$A$4:$A$503,(_calc!$E$26-500)))=0,"",INDEX('My equipment'!$A$4:$A$503,(_calc!$E$26-500)))&amp;" – "&amp;IF(LEN(INDEX('My equipment'!$D$4:$D$503,(_calc!$E$26-500)))=0,"",INDEX('My equipment'!$D$4:$D$503,(_calc!$E$26-500)))))</f>
        <v/>
      </c>
      <c r="B24" s="54">
        <f>IF(_calc!$E$26="","",IF(_calc!$E$26&lt;=500,IF(ISNUMBER(INDEX('Dealer pipeline'!$M$4:$M$503,_calc!$E$26)),TEXT(INDEX('Dealer pipeline'!$M$4:$M$503,_calc!$E$26),"yyyy-mm-dd"),""),IF(ISNUMBER(INDEX('My equipment'!$M$4:$M$503,(_calc!$E$26-500))),TEXT(INDEX('My equipment'!$M$4:$M$503,(_calc!$E$26-500)),"yyyy-mm-dd"),"")))</f>
        <v/>
      </c>
      <c r="C24" s="54">
        <f>IF(_calc!$E$26="","",IF(_calc!$E$26&lt;=500,"Warranty","Warranty"))</f>
        <v/>
      </c>
      <c r="D24" s="54">
        <f>IF(_calc!$E$26="","",IF(_calc!$E$26&lt;=500,IF(ISNUMBER(INDEX('Dealer pipeline'!$H$4:$H$503,_calc!$E$26)),TEXT(INDEX('Dealer pipeline'!$H$4:$H$503,_calc!$E$26),"yyyy-mm-dd"),""),IF(ISNUMBER(INDEX('My equipment'!$H$4:$H$503,(_calc!$E$26-500))),TEXT(INDEX('My equipment'!$H$4:$H$503,(_calc!$E$26-500)),"yyyy-mm-dd"),"")))</f>
        <v/>
      </c>
      <c r="F24" s="54">
        <f>IF(_calc!$E$26="","",IF(_calc!$E$26&lt;=500,TRIM(IF(LEN(IF(LEN(INDEX('Dealer pipeline'!$A$4:$A$503,_calc!$E$26))=0,"",INDEX('Dealer pipeline'!$A$4:$A$503,_calc!$E$26)))=0,"","Customer: "&amp;IF(LEN(INDEX('Dealer pipeline'!$A$4:$A$503,_calc!$E$26))=0,"",INDEX('Dealer pipeline'!$A$4:$A$503,_calc!$E$26))&amp;". ")&amp;IF(LEN(IF(LEN(INDEX('Dealer pipeline'!$B$4:$B$503,_calc!$E$26))=0,"",INDEX('Dealer pipeline'!$B$4:$B$503,_calc!$E$26)))=0,"","Contact: "&amp;IF(LEN(INDEX('Dealer pipeline'!$B$4:$B$503,_calc!$E$26))=0,"",INDEX('Dealer pipeline'!$B$4:$B$503,_calc!$E$26))&amp;". ")&amp;IF(LEN(IF(LEN(INDEX('Dealer pipeline'!$D$4:$D$503,_calc!$E$26))=0,"",INDEX('Dealer pipeline'!$D$4:$D$503,_calc!$E$26)))=0,"","Serial: "&amp;IF(LEN(INDEX('Dealer pipeline'!$D$4:$D$503,_calc!$E$26))=0,"",INDEX('Dealer pipeline'!$D$4:$D$503,_calc!$E$26))&amp;". ")&amp;IF(LEN(IF(ISNUMBER(INDEX('Dealer pipeline'!$J$4:$J$503,_calc!$E$26)),TEXT(INDEX('Dealer pipeline'!$J$4:$J$503,_calc!$E$26),"yyyy-mm-dd"),""))=0,"","Parts end: "&amp;IF(ISNUMBER(INDEX('Dealer pipeline'!$J$4:$J$503,_calc!$E$26)),TEXT(INDEX('Dealer pipeline'!$J$4:$J$503,_calc!$E$26),"yyyy-mm-dd"),"")&amp;". ")&amp;IF(LEN(IF(ISNUMBER(INDEX('Dealer pipeline'!$L$4:$L$503,_calc!$E$26)),TEXT(INDEX('Dealer pipeline'!$L$4:$L$503,_calc!$E$26),"yyyy-mm-dd"),""))=0,"","Labor end: "&amp;IF(ISNUMBER(INDEX('Dealer pipeline'!$L$4:$L$503,_calc!$E$26)),TEXT(INDEX('Dealer pipeline'!$L$4:$L$503,_calc!$E$26),"yyyy-mm-dd"),"")&amp;". ")&amp;IF(LEN(IF(LEN(INDEX('Dealer pipeline'!$Q$4:$Q$503,_calc!$E$26))=0,"",INDEX('Dealer pipeline'!$Q$4:$Q$503,_calc!$E$26)))=0,"","Status: "&amp;IF(LEN(INDEX('Dealer pipeline'!$Q$4:$Q$503,_calc!$E$26))=0,"",INDEX('Dealer pipeline'!$Q$4:$Q$503,_calc!$E$26))&amp;". ")&amp;IF(LEN(IF(LEN(INDEX('Dealer pipeline'!$P$4:$P$503,_calc!$E$26))=0,"",INDEX('Dealer pipeline'!$P$4:$P$503,_calc!$E$26)))=0,"","Last touch: "&amp;IF(LEN(INDEX('Dealer pipeline'!$P$4:$P$503,_calc!$E$26))=0,"",INDEX('Dealer pipeline'!$P$4:$P$503,_calc!$E$26))&amp;". ")&amp;IF(LEN(IF(LEN(INDEX('Dealer pipeline'!$R$4:$R$503,_calc!$E$26))=0,"",INDEX('Dealer pipeline'!$R$4:$R$503,_calc!$E$26)))=0,"","Owner: "&amp;IF(LEN(INDEX('Dealer pipeline'!$R$4:$R$503,_calc!$E$26))=0,"",INDEX('Dealer pipeline'!$R$4:$R$503,_calc!$E$26))&amp;". ")&amp;IF(LEN(IF(LEN(INDEX('Dealer pipeline'!$S$4:$S$503,_calc!$E$26))=0,"",INDEX('Dealer pipeline'!$S$4:$S$503,_calc!$E$26)))=0,"","Backup: "&amp;IF(LEN(INDEX('Dealer pipeline'!$S$4:$S$503,_calc!$E$26))=0,"",INDEX('Dealer pipeline'!$S$4:$S$503,_calc!$E$26))&amp;". ")&amp;IF(LEN(IF(LEN(INDEX('Dealer pipeline'!$T$4:$T$503,_calc!$E$26))=0,"",INDEX('Dealer pipeline'!$T$4:$T$503,_calc!$E$26)))=0,"",IF(LEN(INDEX('Dealer pipeline'!$T$4:$T$503,_calc!$E$26))=0,"",INDEX('Dealer pipeline'!$T$4:$T$503,_calc!$E$26)))),TRIM(IF(LEN(IF(LEN(INDEX('My equipment'!$C$4:$C$503,(_calc!$E$26-500)))=0,"",INDEX('My equipment'!$C$4:$C$503,(_calc!$E$26-500))))=0,"","Model: "&amp;IF(LEN(INDEX('My equipment'!$C$4:$C$503,(_calc!$E$26-500)))=0,"",INDEX('My equipment'!$C$4:$C$503,(_calc!$E$26-500)))&amp;". ")&amp;IF(LEN(IF(LEN(INDEX('My equipment'!$D$4:$D$503,(_calc!$E$26-500)))=0,"",INDEX('My equipment'!$D$4:$D$503,(_calc!$E$26-500))))=0,"","Serial: "&amp;IF(LEN(INDEX('My equipment'!$D$4:$D$503,(_calc!$E$26-500)))=0,"",INDEX('My equipment'!$D$4:$D$503,(_calc!$E$26-500)))&amp;". ")&amp;IF(LEN(IF(ISNUMBER(INDEX('My equipment'!$J$4:$J$503,(_calc!$E$26-500))),TEXT(INDEX('My equipment'!$J$4:$J$503,(_calc!$E$26-500)),"yyyy-mm-dd"),""))=0,"","Parts end: "&amp;IF(ISNUMBER(INDEX('My equipment'!$J$4:$J$503,(_calc!$E$26-500))),TEXT(INDEX('My equipment'!$J$4:$J$503,(_calc!$E$26-500)),"yyyy-mm-dd"),"")&amp;". ")&amp;IF(LEN(IF(ISNUMBER(INDEX('My equipment'!$L$4:$L$503,(_calc!$E$26-500))),TEXT(INDEX('My equipment'!$L$4:$L$503,(_calc!$E$26-500)),"yyyy-mm-dd"),""))=0,"","Labor end: "&amp;IF(ISNUMBER(INDEX('My equipment'!$L$4:$L$503,(_calc!$E$26-500))),TEXT(INDEX('My equipment'!$L$4:$L$503,(_calc!$E$26-500)),"yyyy-mm-dd"),"")&amp;". ")&amp;IF(LEN(IF(ISNUMBER(INDEX('My equipment'!$P$4:$P$503,(_calc!$E$26-500))),TEXT(INDEX('My equipment'!$P$4:$P$503,(_calc!$E$26-500)),"yyyy-mm-dd"),""))=0,"","Check by: "&amp;IF(ISNUMBER(INDEX('My equipment'!$P$4:$P$503,(_calc!$E$26-500))),TEXT(INDEX('My equipment'!$P$4:$P$503,(_calc!$E$26-500)),"yyyy-mm-dd"),"")&amp;". ")&amp;IF(LEN(IF(LEN(INDEX('My equipment'!$Q$4:$Q$503,(_calc!$E$26-500)))=0,"",INDEX('My equipment'!$Q$4:$Q$503,(_calc!$E$26-500))))=0,"","Claim status: "&amp;IF(LEN(INDEX('My equipment'!$Q$4:$Q$503,(_calc!$E$26-500)))=0,"",INDEX('My equipment'!$Q$4:$Q$503,(_calc!$E$26-500)))&amp;". ")&amp;IF(LEN(IF(LEN(INDEX('My equipment'!$R$4:$R$503,(_calc!$E$26-500)))=0,"",INDEX('My equipment'!$R$4:$R$503,(_calc!$E$26-500))))=0,"","Claims contact: "&amp;IF(LEN(INDEX('My equipment'!$R$4:$R$503,(_calc!$E$26-500)))=0,"",INDEX('My equipment'!$R$4:$R$503,(_calc!$E$26-500)))&amp;". ")&amp;IF(LEN(IF(LEN(INDEX('My equipment'!$S$4:$S$503,(_calc!$E$26-500)))=0,"",INDEX('My equipment'!$S$4:$S$503,(_calc!$E$26-500))))=0,"","Claims email: "&amp;IF(LEN(INDEX('My equipment'!$S$4:$S$503,(_calc!$E$26-500)))=0,"",INDEX('My equipment'!$S$4:$S$503,(_calc!$E$26-500)))&amp;". ")&amp;IF(LEN(IF(LEN(INDEX('My equipment'!$U$4:$U$503,(_calc!$E$26-500)))=0,"",INDEX('My equipment'!$U$4:$U$503,(_calc!$E$26-500))))=0,"","Registered: "&amp;IF(LEN(INDEX('My equipment'!$U$4:$U$503,(_calc!$E$26-500)))=0,"",INDEX('My equipment'!$U$4:$U$503,(_calc!$E$26-500)))&amp;". ")&amp;IF(LEN(IF(LEN(INDEX('My equipment'!$V$4:$V$503,(_calc!$E$26-500)))=0,"",INDEX('My equipment'!$V$4:$V$503,(_calc!$E$26-500))))=0,"","Proof on file: "&amp;IF(LEN(INDEX('My equipment'!$V$4:$V$503,(_calc!$E$26-500)))=0,"",INDEX('My equipment'!$V$4:$V$503,(_calc!$E$26-500)))&amp;". ")&amp;IF(LEN(IF(LEN(INDEX('My equipment'!$W$4:$W$503,(_calc!$E$26-500)))=0,"",INDEX('My equipment'!$W$4:$W$503,(_calc!$E$26-500))))=0,"","Claim ref: "&amp;IF(LEN(INDEX('My equipment'!$W$4:$W$503,(_calc!$E$26-500)))=0,"",INDEX('My equipment'!$W$4:$W$503,(_calc!$E$26-500)))&amp;". ")&amp;IF(LEN(IF(LEN(INDEX('My equipment'!$Y$4:$Y$503,(_calc!$E$26-500)))=0,"",INDEX('My equipment'!$Y$4:$Y$503,(_calc!$E$26-500))))=0,"",IF(LEN(INDEX('My equipment'!$Y$4:$Y$503,(_calc!$E$26-500)))=0,"",INDEX('My equipment'!$Y$4:$Y$503,(_calc!$E$26-500)))))))</f>
        <v/>
      </c>
      <c r="G24" s="54">
        <f>IF(_calc!$E$26="","",IF(_calc!$E$26&lt;=500,"",IF(LEN(INDEX('My equipment'!$X$4:$X$503,(_calc!$E$26-500)))=0,"",INDEX('My equipment'!$X$4:$X$503,(_calc!$E$26-500)))))</f>
        <v/>
      </c>
      <c r="K24" s="54">
        <f>IF(_calc!$E$26="","",IF(_calc!$E$26&lt;=500,"",IF(LEN(INDEX('My equipment'!$T$4:$T$503,(_calc!$E$26-500)))=0,"",INDEX('My equipment'!$T$4:$T$503,(_calc!$E$26-500)))))</f>
        <v/>
      </c>
    </row>
    <row r="25">
      <c r="A25" s="54">
        <f>IF(_calc!$E$27="","",IF(_calc!$E$27&lt;=500,"Warranty – "&amp;IF(LEN(INDEX('Dealer pipeline'!$C$4:$C$503,_calc!$E$27))=0,"",INDEX('Dealer pipeline'!$C$4:$C$503,_calc!$E$27))&amp;" – "&amp;IF(LEN(INDEX('Dealer pipeline'!$D$4:$D$503,_calc!$E$27))=0,"",INDEX('Dealer pipeline'!$D$4:$D$503,_calc!$E$27))&amp;" – "&amp;IF(LEN(INDEX('Dealer pipeline'!$A$4:$A$503,_calc!$E$27))=0,"",INDEX('Dealer pipeline'!$A$4:$A$503,_calc!$E$27)),"Warranty – "&amp;IF(LEN(INDEX('My equipment'!$A$4:$A$503,(_calc!$E$27-500)))=0,"",INDEX('My equipment'!$A$4:$A$503,(_calc!$E$27-500)))&amp;" – "&amp;IF(LEN(INDEX('My equipment'!$D$4:$D$503,(_calc!$E$27-500)))=0,"",INDEX('My equipment'!$D$4:$D$503,(_calc!$E$27-500)))))</f>
        <v/>
      </c>
      <c r="B25" s="54">
        <f>IF(_calc!$E$27="","",IF(_calc!$E$27&lt;=500,IF(ISNUMBER(INDEX('Dealer pipeline'!$M$4:$M$503,_calc!$E$27)),TEXT(INDEX('Dealer pipeline'!$M$4:$M$503,_calc!$E$27),"yyyy-mm-dd"),""),IF(ISNUMBER(INDEX('My equipment'!$M$4:$M$503,(_calc!$E$27-500))),TEXT(INDEX('My equipment'!$M$4:$M$503,(_calc!$E$27-500)),"yyyy-mm-dd"),"")))</f>
        <v/>
      </c>
      <c r="C25" s="54">
        <f>IF(_calc!$E$27="","",IF(_calc!$E$27&lt;=500,"Warranty","Warranty"))</f>
        <v/>
      </c>
      <c r="D25" s="54">
        <f>IF(_calc!$E$27="","",IF(_calc!$E$27&lt;=500,IF(ISNUMBER(INDEX('Dealer pipeline'!$H$4:$H$503,_calc!$E$27)),TEXT(INDEX('Dealer pipeline'!$H$4:$H$503,_calc!$E$27),"yyyy-mm-dd"),""),IF(ISNUMBER(INDEX('My equipment'!$H$4:$H$503,(_calc!$E$27-500))),TEXT(INDEX('My equipment'!$H$4:$H$503,(_calc!$E$27-500)),"yyyy-mm-dd"),"")))</f>
        <v/>
      </c>
      <c r="F25" s="54">
        <f>IF(_calc!$E$27="","",IF(_calc!$E$27&lt;=500,TRIM(IF(LEN(IF(LEN(INDEX('Dealer pipeline'!$A$4:$A$503,_calc!$E$27))=0,"",INDEX('Dealer pipeline'!$A$4:$A$503,_calc!$E$27)))=0,"","Customer: "&amp;IF(LEN(INDEX('Dealer pipeline'!$A$4:$A$503,_calc!$E$27))=0,"",INDEX('Dealer pipeline'!$A$4:$A$503,_calc!$E$27))&amp;". ")&amp;IF(LEN(IF(LEN(INDEX('Dealer pipeline'!$B$4:$B$503,_calc!$E$27))=0,"",INDEX('Dealer pipeline'!$B$4:$B$503,_calc!$E$27)))=0,"","Contact: "&amp;IF(LEN(INDEX('Dealer pipeline'!$B$4:$B$503,_calc!$E$27))=0,"",INDEX('Dealer pipeline'!$B$4:$B$503,_calc!$E$27))&amp;". ")&amp;IF(LEN(IF(LEN(INDEX('Dealer pipeline'!$D$4:$D$503,_calc!$E$27))=0,"",INDEX('Dealer pipeline'!$D$4:$D$503,_calc!$E$27)))=0,"","Serial: "&amp;IF(LEN(INDEX('Dealer pipeline'!$D$4:$D$503,_calc!$E$27))=0,"",INDEX('Dealer pipeline'!$D$4:$D$503,_calc!$E$27))&amp;". ")&amp;IF(LEN(IF(ISNUMBER(INDEX('Dealer pipeline'!$J$4:$J$503,_calc!$E$27)),TEXT(INDEX('Dealer pipeline'!$J$4:$J$503,_calc!$E$27),"yyyy-mm-dd"),""))=0,"","Parts end: "&amp;IF(ISNUMBER(INDEX('Dealer pipeline'!$J$4:$J$503,_calc!$E$27)),TEXT(INDEX('Dealer pipeline'!$J$4:$J$503,_calc!$E$27),"yyyy-mm-dd"),"")&amp;". ")&amp;IF(LEN(IF(ISNUMBER(INDEX('Dealer pipeline'!$L$4:$L$503,_calc!$E$27)),TEXT(INDEX('Dealer pipeline'!$L$4:$L$503,_calc!$E$27),"yyyy-mm-dd"),""))=0,"","Labor end: "&amp;IF(ISNUMBER(INDEX('Dealer pipeline'!$L$4:$L$503,_calc!$E$27)),TEXT(INDEX('Dealer pipeline'!$L$4:$L$503,_calc!$E$27),"yyyy-mm-dd"),"")&amp;". ")&amp;IF(LEN(IF(LEN(INDEX('Dealer pipeline'!$Q$4:$Q$503,_calc!$E$27))=0,"",INDEX('Dealer pipeline'!$Q$4:$Q$503,_calc!$E$27)))=0,"","Status: "&amp;IF(LEN(INDEX('Dealer pipeline'!$Q$4:$Q$503,_calc!$E$27))=0,"",INDEX('Dealer pipeline'!$Q$4:$Q$503,_calc!$E$27))&amp;". ")&amp;IF(LEN(IF(LEN(INDEX('Dealer pipeline'!$P$4:$P$503,_calc!$E$27))=0,"",INDEX('Dealer pipeline'!$P$4:$P$503,_calc!$E$27)))=0,"","Last touch: "&amp;IF(LEN(INDEX('Dealer pipeline'!$P$4:$P$503,_calc!$E$27))=0,"",INDEX('Dealer pipeline'!$P$4:$P$503,_calc!$E$27))&amp;". ")&amp;IF(LEN(IF(LEN(INDEX('Dealer pipeline'!$R$4:$R$503,_calc!$E$27))=0,"",INDEX('Dealer pipeline'!$R$4:$R$503,_calc!$E$27)))=0,"","Owner: "&amp;IF(LEN(INDEX('Dealer pipeline'!$R$4:$R$503,_calc!$E$27))=0,"",INDEX('Dealer pipeline'!$R$4:$R$503,_calc!$E$27))&amp;". ")&amp;IF(LEN(IF(LEN(INDEX('Dealer pipeline'!$S$4:$S$503,_calc!$E$27))=0,"",INDEX('Dealer pipeline'!$S$4:$S$503,_calc!$E$27)))=0,"","Backup: "&amp;IF(LEN(INDEX('Dealer pipeline'!$S$4:$S$503,_calc!$E$27))=0,"",INDEX('Dealer pipeline'!$S$4:$S$503,_calc!$E$27))&amp;". ")&amp;IF(LEN(IF(LEN(INDEX('Dealer pipeline'!$T$4:$T$503,_calc!$E$27))=0,"",INDEX('Dealer pipeline'!$T$4:$T$503,_calc!$E$27)))=0,"",IF(LEN(INDEX('Dealer pipeline'!$T$4:$T$503,_calc!$E$27))=0,"",INDEX('Dealer pipeline'!$T$4:$T$503,_calc!$E$27)))),TRIM(IF(LEN(IF(LEN(INDEX('My equipment'!$C$4:$C$503,(_calc!$E$27-500)))=0,"",INDEX('My equipment'!$C$4:$C$503,(_calc!$E$27-500))))=0,"","Model: "&amp;IF(LEN(INDEX('My equipment'!$C$4:$C$503,(_calc!$E$27-500)))=0,"",INDEX('My equipment'!$C$4:$C$503,(_calc!$E$27-500)))&amp;". ")&amp;IF(LEN(IF(LEN(INDEX('My equipment'!$D$4:$D$503,(_calc!$E$27-500)))=0,"",INDEX('My equipment'!$D$4:$D$503,(_calc!$E$27-500))))=0,"","Serial: "&amp;IF(LEN(INDEX('My equipment'!$D$4:$D$503,(_calc!$E$27-500)))=0,"",INDEX('My equipment'!$D$4:$D$503,(_calc!$E$27-500)))&amp;". ")&amp;IF(LEN(IF(ISNUMBER(INDEX('My equipment'!$J$4:$J$503,(_calc!$E$27-500))),TEXT(INDEX('My equipment'!$J$4:$J$503,(_calc!$E$27-500)),"yyyy-mm-dd"),""))=0,"","Parts end: "&amp;IF(ISNUMBER(INDEX('My equipment'!$J$4:$J$503,(_calc!$E$27-500))),TEXT(INDEX('My equipment'!$J$4:$J$503,(_calc!$E$27-500)),"yyyy-mm-dd"),"")&amp;". ")&amp;IF(LEN(IF(ISNUMBER(INDEX('My equipment'!$L$4:$L$503,(_calc!$E$27-500))),TEXT(INDEX('My equipment'!$L$4:$L$503,(_calc!$E$27-500)),"yyyy-mm-dd"),""))=0,"","Labor end: "&amp;IF(ISNUMBER(INDEX('My equipment'!$L$4:$L$503,(_calc!$E$27-500))),TEXT(INDEX('My equipment'!$L$4:$L$503,(_calc!$E$27-500)),"yyyy-mm-dd"),"")&amp;". ")&amp;IF(LEN(IF(ISNUMBER(INDEX('My equipment'!$P$4:$P$503,(_calc!$E$27-500))),TEXT(INDEX('My equipment'!$P$4:$P$503,(_calc!$E$27-500)),"yyyy-mm-dd"),""))=0,"","Check by: "&amp;IF(ISNUMBER(INDEX('My equipment'!$P$4:$P$503,(_calc!$E$27-500))),TEXT(INDEX('My equipment'!$P$4:$P$503,(_calc!$E$27-500)),"yyyy-mm-dd"),"")&amp;". ")&amp;IF(LEN(IF(LEN(INDEX('My equipment'!$Q$4:$Q$503,(_calc!$E$27-500)))=0,"",INDEX('My equipment'!$Q$4:$Q$503,(_calc!$E$27-500))))=0,"","Claim status: "&amp;IF(LEN(INDEX('My equipment'!$Q$4:$Q$503,(_calc!$E$27-500)))=0,"",INDEX('My equipment'!$Q$4:$Q$503,(_calc!$E$27-500)))&amp;". ")&amp;IF(LEN(IF(LEN(INDEX('My equipment'!$R$4:$R$503,(_calc!$E$27-500)))=0,"",INDEX('My equipment'!$R$4:$R$503,(_calc!$E$27-500))))=0,"","Claims contact: "&amp;IF(LEN(INDEX('My equipment'!$R$4:$R$503,(_calc!$E$27-500)))=0,"",INDEX('My equipment'!$R$4:$R$503,(_calc!$E$27-500)))&amp;". ")&amp;IF(LEN(IF(LEN(INDEX('My equipment'!$S$4:$S$503,(_calc!$E$27-500)))=0,"",INDEX('My equipment'!$S$4:$S$503,(_calc!$E$27-500))))=0,"","Claims email: "&amp;IF(LEN(INDEX('My equipment'!$S$4:$S$503,(_calc!$E$27-500)))=0,"",INDEX('My equipment'!$S$4:$S$503,(_calc!$E$27-500)))&amp;". ")&amp;IF(LEN(IF(LEN(INDEX('My equipment'!$U$4:$U$503,(_calc!$E$27-500)))=0,"",INDEX('My equipment'!$U$4:$U$503,(_calc!$E$27-500))))=0,"","Registered: "&amp;IF(LEN(INDEX('My equipment'!$U$4:$U$503,(_calc!$E$27-500)))=0,"",INDEX('My equipment'!$U$4:$U$503,(_calc!$E$27-500)))&amp;". ")&amp;IF(LEN(IF(LEN(INDEX('My equipment'!$V$4:$V$503,(_calc!$E$27-500)))=0,"",INDEX('My equipment'!$V$4:$V$503,(_calc!$E$27-500))))=0,"","Proof on file: "&amp;IF(LEN(INDEX('My equipment'!$V$4:$V$503,(_calc!$E$27-500)))=0,"",INDEX('My equipment'!$V$4:$V$503,(_calc!$E$27-500)))&amp;". ")&amp;IF(LEN(IF(LEN(INDEX('My equipment'!$W$4:$W$503,(_calc!$E$27-500)))=0,"",INDEX('My equipment'!$W$4:$W$503,(_calc!$E$27-500))))=0,"","Claim ref: "&amp;IF(LEN(INDEX('My equipment'!$W$4:$W$503,(_calc!$E$27-500)))=0,"",INDEX('My equipment'!$W$4:$W$503,(_calc!$E$27-500)))&amp;". ")&amp;IF(LEN(IF(LEN(INDEX('My equipment'!$Y$4:$Y$503,(_calc!$E$27-500)))=0,"",INDEX('My equipment'!$Y$4:$Y$503,(_calc!$E$27-500))))=0,"",IF(LEN(INDEX('My equipment'!$Y$4:$Y$503,(_calc!$E$27-500)))=0,"",INDEX('My equipment'!$Y$4:$Y$503,(_calc!$E$27-500)))))))</f>
        <v/>
      </c>
      <c r="G25" s="54">
        <f>IF(_calc!$E$27="","",IF(_calc!$E$27&lt;=500,"",IF(LEN(INDEX('My equipment'!$X$4:$X$503,(_calc!$E$27-500)))=0,"",INDEX('My equipment'!$X$4:$X$503,(_calc!$E$27-500)))))</f>
        <v/>
      </c>
      <c r="K25" s="54">
        <f>IF(_calc!$E$27="","",IF(_calc!$E$27&lt;=500,"",IF(LEN(INDEX('My equipment'!$T$4:$T$503,(_calc!$E$27-500)))=0,"",INDEX('My equipment'!$T$4:$T$503,(_calc!$E$27-500)))))</f>
        <v/>
      </c>
    </row>
    <row r="26">
      <c r="A26" s="54">
        <f>IF(_calc!$E$28="","",IF(_calc!$E$28&lt;=500,"Warranty – "&amp;IF(LEN(INDEX('Dealer pipeline'!$C$4:$C$503,_calc!$E$28))=0,"",INDEX('Dealer pipeline'!$C$4:$C$503,_calc!$E$28))&amp;" – "&amp;IF(LEN(INDEX('Dealer pipeline'!$D$4:$D$503,_calc!$E$28))=0,"",INDEX('Dealer pipeline'!$D$4:$D$503,_calc!$E$28))&amp;" – "&amp;IF(LEN(INDEX('Dealer pipeline'!$A$4:$A$503,_calc!$E$28))=0,"",INDEX('Dealer pipeline'!$A$4:$A$503,_calc!$E$28)),"Warranty – "&amp;IF(LEN(INDEX('My equipment'!$A$4:$A$503,(_calc!$E$28-500)))=0,"",INDEX('My equipment'!$A$4:$A$503,(_calc!$E$28-500)))&amp;" – "&amp;IF(LEN(INDEX('My equipment'!$D$4:$D$503,(_calc!$E$28-500)))=0,"",INDEX('My equipment'!$D$4:$D$503,(_calc!$E$28-500)))))</f>
        <v/>
      </c>
      <c r="B26" s="54">
        <f>IF(_calc!$E$28="","",IF(_calc!$E$28&lt;=500,IF(ISNUMBER(INDEX('Dealer pipeline'!$M$4:$M$503,_calc!$E$28)),TEXT(INDEX('Dealer pipeline'!$M$4:$M$503,_calc!$E$28),"yyyy-mm-dd"),""),IF(ISNUMBER(INDEX('My equipment'!$M$4:$M$503,(_calc!$E$28-500))),TEXT(INDEX('My equipment'!$M$4:$M$503,(_calc!$E$28-500)),"yyyy-mm-dd"),"")))</f>
        <v/>
      </c>
      <c r="C26" s="54">
        <f>IF(_calc!$E$28="","",IF(_calc!$E$28&lt;=500,"Warranty","Warranty"))</f>
        <v/>
      </c>
      <c r="D26" s="54">
        <f>IF(_calc!$E$28="","",IF(_calc!$E$28&lt;=500,IF(ISNUMBER(INDEX('Dealer pipeline'!$H$4:$H$503,_calc!$E$28)),TEXT(INDEX('Dealer pipeline'!$H$4:$H$503,_calc!$E$28),"yyyy-mm-dd"),""),IF(ISNUMBER(INDEX('My equipment'!$H$4:$H$503,(_calc!$E$28-500))),TEXT(INDEX('My equipment'!$H$4:$H$503,(_calc!$E$28-500)),"yyyy-mm-dd"),"")))</f>
        <v/>
      </c>
      <c r="F26" s="54">
        <f>IF(_calc!$E$28="","",IF(_calc!$E$28&lt;=500,TRIM(IF(LEN(IF(LEN(INDEX('Dealer pipeline'!$A$4:$A$503,_calc!$E$28))=0,"",INDEX('Dealer pipeline'!$A$4:$A$503,_calc!$E$28)))=0,"","Customer: "&amp;IF(LEN(INDEX('Dealer pipeline'!$A$4:$A$503,_calc!$E$28))=0,"",INDEX('Dealer pipeline'!$A$4:$A$503,_calc!$E$28))&amp;". ")&amp;IF(LEN(IF(LEN(INDEX('Dealer pipeline'!$B$4:$B$503,_calc!$E$28))=0,"",INDEX('Dealer pipeline'!$B$4:$B$503,_calc!$E$28)))=0,"","Contact: "&amp;IF(LEN(INDEX('Dealer pipeline'!$B$4:$B$503,_calc!$E$28))=0,"",INDEX('Dealer pipeline'!$B$4:$B$503,_calc!$E$28))&amp;". ")&amp;IF(LEN(IF(LEN(INDEX('Dealer pipeline'!$D$4:$D$503,_calc!$E$28))=0,"",INDEX('Dealer pipeline'!$D$4:$D$503,_calc!$E$28)))=0,"","Serial: "&amp;IF(LEN(INDEX('Dealer pipeline'!$D$4:$D$503,_calc!$E$28))=0,"",INDEX('Dealer pipeline'!$D$4:$D$503,_calc!$E$28))&amp;". ")&amp;IF(LEN(IF(ISNUMBER(INDEX('Dealer pipeline'!$J$4:$J$503,_calc!$E$28)),TEXT(INDEX('Dealer pipeline'!$J$4:$J$503,_calc!$E$28),"yyyy-mm-dd"),""))=0,"","Parts end: "&amp;IF(ISNUMBER(INDEX('Dealer pipeline'!$J$4:$J$503,_calc!$E$28)),TEXT(INDEX('Dealer pipeline'!$J$4:$J$503,_calc!$E$28),"yyyy-mm-dd"),"")&amp;". ")&amp;IF(LEN(IF(ISNUMBER(INDEX('Dealer pipeline'!$L$4:$L$503,_calc!$E$28)),TEXT(INDEX('Dealer pipeline'!$L$4:$L$503,_calc!$E$28),"yyyy-mm-dd"),""))=0,"","Labor end: "&amp;IF(ISNUMBER(INDEX('Dealer pipeline'!$L$4:$L$503,_calc!$E$28)),TEXT(INDEX('Dealer pipeline'!$L$4:$L$503,_calc!$E$28),"yyyy-mm-dd"),"")&amp;". ")&amp;IF(LEN(IF(LEN(INDEX('Dealer pipeline'!$Q$4:$Q$503,_calc!$E$28))=0,"",INDEX('Dealer pipeline'!$Q$4:$Q$503,_calc!$E$28)))=0,"","Status: "&amp;IF(LEN(INDEX('Dealer pipeline'!$Q$4:$Q$503,_calc!$E$28))=0,"",INDEX('Dealer pipeline'!$Q$4:$Q$503,_calc!$E$28))&amp;". ")&amp;IF(LEN(IF(LEN(INDEX('Dealer pipeline'!$P$4:$P$503,_calc!$E$28))=0,"",INDEX('Dealer pipeline'!$P$4:$P$503,_calc!$E$28)))=0,"","Last touch: "&amp;IF(LEN(INDEX('Dealer pipeline'!$P$4:$P$503,_calc!$E$28))=0,"",INDEX('Dealer pipeline'!$P$4:$P$503,_calc!$E$28))&amp;". ")&amp;IF(LEN(IF(LEN(INDEX('Dealer pipeline'!$R$4:$R$503,_calc!$E$28))=0,"",INDEX('Dealer pipeline'!$R$4:$R$503,_calc!$E$28)))=0,"","Owner: "&amp;IF(LEN(INDEX('Dealer pipeline'!$R$4:$R$503,_calc!$E$28))=0,"",INDEX('Dealer pipeline'!$R$4:$R$503,_calc!$E$28))&amp;". ")&amp;IF(LEN(IF(LEN(INDEX('Dealer pipeline'!$S$4:$S$503,_calc!$E$28))=0,"",INDEX('Dealer pipeline'!$S$4:$S$503,_calc!$E$28)))=0,"","Backup: "&amp;IF(LEN(INDEX('Dealer pipeline'!$S$4:$S$503,_calc!$E$28))=0,"",INDEX('Dealer pipeline'!$S$4:$S$503,_calc!$E$28))&amp;". ")&amp;IF(LEN(IF(LEN(INDEX('Dealer pipeline'!$T$4:$T$503,_calc!$E$28))=0,"",INDEX('Dealer pipeline'!$T$4:$T$503,_calc!$E$28)))=0,"",IF(LEN(INDEX('Dealer pipeline'!$T$4:$T$503,_calc!$E$28))=0,"",INDEX('Dealer pipeline'!$T$4:$T$503,_calc!$E$28)))),TRIM(IF(LEN(IF(LEN(INDEX('My equipment'!$C$4:$C$503,(_calc!$E$28-500)))=0,"",INDEX('My equipment'!$C$4:$C$503,(_calc!$E$28-500))))=0,"","Model: "&amp;IF(LEN(INDEX('My equipment'!$C$4:$C$503,(_calc!$E$28-500)))=0,"",INDEX('My equipment'!$C$4:$C$503,(_calc!$E$28-500)))&amp;". ")&amp;IF(LEN(IF(LEN(INDEX('My equipment'!$D$4:$D$503,(_calc!$E$28-500)))=0,"",INDEX('My equipment'!$D$4:$D$503,(_calc!$E$28-500))))=0,"","Serial: "&amp;IF(LEN(INDEX('My equipment'!$D$4:$D$503,(_calc!$E$28-500)))=0,"",INDEX('My equipment'!$D$4:$D$503,(_calc!$E$28-500)))&amp;". ")&amp;IF(LEN(IF(ISNUMBER(INDEX('My equipment'!$J$4:$J$503,(_calc!$E$28-500))),TEXT(INDEX('My equipment'!$J$4:$J$503,(_calc!$E$28-500)),"yyyy-mm-dd"),""))=0,"","Parts end: "&amp;IF(ISNUMBER(INDEX('My equipment'!$J$4:$J$503,(_calc!$E$28-500))),TEXT(INDEX('My equipment'!$J$4:$J$503,(_calc!$E$28-500)),"yyyy-mm-dd"),"")&amp;". ")&amp;IF(LEN(IF(ISNUMBER(INDEX('My equipment'!$L$4:$L$503,(_calc!$E$28-500))),TEXT(INDEX('My equipment'!$L$4:$L$503,(_calc!$E$28-500)),"yyyy-mm-dd"),""))=0,"","Labor end: "&amp;IF(ISNUMBER(INDEX('My equipment'!$L$4:$L$503,(_calc!$E$28-500))),TEXT(INDEX('My equipment'!$L$4:$L$503,(_calc!$E$28-500)),"yyyy-mm-dd"),"")&amp;". ")&amp;IF(LEN(IF(ISNUMBER(INDEX('My equipment'!$P$4:$P$503,(_calc!$E$28-500))),TEXT(INDEX('My equipment'!$P$4:$P$503,(_calc!$E$28-500)),"yyyy-mm-dd"),""))=0,"","Check by: "&amp;IF(ISNUMBER(INDEX('My equipment'!$P$4:$P$503,(_calc!$E$28-500))),TEXT(INDEX('My equipment'!$P$4:$P$503,(_calc!$E$28-500)),"yyyy-mm-dd"),"")&amp;". ")&amp;IF(LEN(IF(LEN(INDEX('My equipment'!$Q$4:$Q$503,(_calc!$E$28-500)))=0,"",INDEX('My equipment'!$Q$4:$Q$503,(_calc!$E$28-500))))=0,"","Claim status: "&amp;IF(LEN(INDEX('My equipment'!$Q$4:$Q$503,(_calc!$E$28-500)))=0,"",INDEX('My equipment'!$Q$4:$Q$503,(_calc!$E$28-500)))&amp;". ")&amp;IF(LEN(IF(LEN(INDEX('My equipment'!$R$4:$R$503,(_calc!$E$28-500)))=0,"",INDEX('My equipment'!$R$4:$R$503,(_calc!$E$28-500))))=0,"","Claims contact: "&amp;IF(LEN(INDEX('My equipment'!$R$4:$R$503,(_calc!$E$28-500)))=0,"",INDEX('My equipment'!$R$4:$R$503,(_calc!$E$28-500)))&amp;". ")&amp;IF(LEN(IF(LEN(INDEX('My equipment'!$S$4:$S$503,(_calc!$E$28-500)))=0,"",INDEX('My equipment'!$S$4:$S$503,(_calc!$E$28-500))))=0,"","Claims email: "&amp;IF(LEN(INDEX('My equipment'!$S$4:$S$503,(_calc!$E$28-500)))=0,"",INDEX('My equipment'!$S$4:$S$503,(_calc!$E$28-500)))&amp;". ")&amp;IF(LEN(IF(LEN(INDEX('My equipment'!$U$4:$U$503,(_calc!$E$28-500)))=0,"",INDEX('My equipment'!$U$4:$U$503,(_calc!$E$28-500))))=0,"","Registered: "&amp;IF(LEN(INDEX('My equipment'!$U$4:$U$503,(_calc!$E$28-500)))=0,"",INDEX('My equipment'!$U$4:$U$503,(_calc!$E$28-500)))&amp;". ")&amp;IF(LEN(IF(LEN(INDEX('My equipment'!$V$4:$V$503,(_calc!$E$28-500)))=0,"",INDEX('My equipment'!$V$4:$V$503,(_calc!$E$28-500))))=0,"","Proof on file: "&amp;IF(LEN(INDEX('My equipment'!$V$4:$V$503,(_calc!$E$28-500)))=0,"",INDEX('My equipment'!$V$4:$V$503,(_calc!$E$28-500)))&amp;". ")&amp;IF(LEN(IF(LEN(INDEX('My equipment'!$W$4:$W$503,(_calc!$E$28-500)))=0,"",INDEX('My equipment'!$W$4:$W$503,(_calc!$E$28-500))))=0,"","Claim ref: "&amp;IF(LEN(INDEX('My equipment'!$W$4:$W$503,(_calc!$E$28-500)))=0,"",INDEX('My equipment'!$W$4:$W$503,(_calc!$E$28-500)))&amp;". ")&amp;IF(LEN(IF(LEN(INDEX('My equipment'!$Y$4:$Y$503,(_calc!$E$28-500)))=0,"",INDEX('My equipment'!$Y$4:$Y$503,(_calc!$E$28-500))))=0,"",IF(LEN(INDEX('My equipment'!$Y$4:$Y$503,(_calc!$E$28-500)))=0,"",INDEX('My equipment'!$Y$4:$Y$503,(_calc!$E$28-500)))))))</f>
        <v/>
      </c>
      <c r="G26" s="54">
        <f>IF(_calc!$E$28="","",IF(_calc!$E$28&lt;=500,"",IF(LEN(INDEX('My equipment'!$X$4:$X$503,(_calc!$E$28-500)))=0,"",INDEX('My equipment'!$X$4:$X$503,(_calc!$E$28-500)))))</f>
        <v/>
      </c>
      <c r="K26" s="54">
        <f>IF(_calc!$E$28="","",IF(_calc!$E$28&lt;=500,"",IF(LEN(INDEX('My equipment'!$T$4:$T$503,(_calc!$E$28-500)))=0,"",INDEX('My equipment'!$T$4:$T$503,(_calc!$E$28-500)))))</f>
        <v/>
      </c>
    </row>
    <row r="27">
      <c r="A27" s="54">
        <f>IF(_calc!$E$29="","",IF(_calc!$E$29&lt;=500,"Warranty – "&amp;IF(LEN(INDEX('Dealer pipeline'!$C$4:$C$503,_calc!$E$29))=0,"",INDEX('Dealer pipeline'!$C$4:$C$503,_calc!$E$29))&amp;" – "&amp;IF(LEN(INDEX('Dealer pipeline'!$D$4:$D$503,_calc!$E$29))=0,"",INDEX('Dealer pipeline'!$D$4:$D$503,_calc!$E$29))&amp;" – "&amp;IF(LEN(INDEX('Dealer pipeline'!$A$4:$A$503,_calc!$E$29))=0,"",INDEX('Dealer pipeline'!$A$4:$A$503,_calc!$E$29)),"Warranty – "&amp;IF(LEN(INDEX('My equipment'!$A$4:$A$503,(_calc!$E$29-500)))=0,"",INDEX('My equipment'!$A$4:$A$503,(_calc!$E$29-500)))&amp;" – "&amp;IF(LEN(INDEX('My equipment'!$D$4:$D$503,(_calc!$E$29-500)))=0,"",INDEX('My equipment'!$D$4:$D$503,(_calc!$E$29-500)))))</f>
        <v/>
      </c>
      <c r="B27" s="54">
        <f>IF(_calc!$E$29="","",IF(_calc!$E$29&lt;=500,IF(ISNUMBER(INDEX('Dealer pipeline'!$M$4:$M$503,_calc!$E$29)),TEXT(INDEX('Dealer pipeline'!$M$4:$M$503,_calc!$E$29),"yyyy-mm-dd"),""),IF(ISNUMBER(INDEX('My equipment'!$M$4:$M$503,(_calc!$E$29-500))),TEXT(INDEX('My equipment'!$M$4:$M$503,(_calc!$E$29-500)),"yyyy-mm-dd"),"")))</f>
        <v/>
      </c>
      <c r="C27" s="54">
        <f>IF(_calc!$E$29="","",IF(_calc!$E$29&lt;=500,"Warranty","Warranty"))</f>
        <v/>
      </c>
      <c r="D27" s="54">
        <f>IF(_calc!$E$29="","",IF(_calc!$E$29&lt;=500,IF(ISNUMBER(INDEX('Dealer pipeline'!$H$4:$H$503,_calc!$E$29)),TEXT(INDEX('Dealer pipeline'!$H$4:$H$503,_calc!$E$29),"yyyy-mm-dd"),""),IF(ISNUMBER(INDEX('My equipment'!$H$4:$H$503,(_calc!$E$29-500))),TEXT(INDEX('My equipment'!$H$4:$H$503,(_calc!$E$29-500)),"yyyy-mm-dd"),"")))</f>
        <v/>
      </c>
      <c r="F27" s="54">
        <f>IF(_calc!$E$29="","",IF(_calc!$E$29&lt;=500,TRIM(IF(LEN(IF(LEN(INDEX('Dealer pipeline'!$A$4:$A$503,_calc!$E$29))=0,"",INDEX('Dealer pipeline'!$A$4:$A$503,_calc!$E$29)))=0,"","Customer: "&amp;IF(LEN(INDEX('Dealer pipeline'!$A$4:$A$503,_calc!$E$29))=0,"",INDEX('Dealer pipeline'!$A$4:$A$503,_calc!$E$29))&amp;". ")&amp;IF(LEN(IF(LEN(INDEX('Dealer pipeline'!$B$4:$B$503,_calc!$E$29))=0,"",INDEX('Dealer pipeline'!$B$4:$B$503,_calc!$E$29)))=0,"","Contact: "&amp;IF(LEN(INDEX('Dealer pipeline'!$B$4:$B$503,_calc!$E$29))=0,"",INDEX('Dealer pipeline'!$B$4:$B$503,_calc!$E$29))&amp;". ")&amp;IF(LEN(IF(LEN(INDEX('Dealer pipeline'!$D$4:$D$503,_calc!$E$29))=0,"",INDEX('Dealer pipeline'!$D$4:$D$503,_calc!$E$29)))=0,"","Serial: "&amp;IF(LEN(INDEX('Dealer pipeline'!$D$4:$D$503,_calc!$E$29))=0,"",INDEX('Dealer pipeline'!$D$4:$D$503,_calc!$E$29))&amp;". ")&amp;IF(LEN(IF(ISNUMBER(INDEX('Dealer pipeline'!$J$4:$J$503,_calc!$E$29)),TEXT(INDEX('Dealer pipeline'!$J$4:$J$503,_calc!$E$29),"yyyy-mm-dd"),""))=0,"","Parts end: "&amp;IF(ISNUMBER(INDEX('Dealer pipeline'!$J$4:$J$503,_calc!$E$29)),TEXT(INDEX('Dealer pipeline'!$J$4:$J$503,_calc!$E$29),"yyyy-mm-dd"),"")&amp;". ")&amp;IF(LEN(IF(ISNUMBER(INDEX('Dealer pipeline'!$L$4:$L$503,_calc!$E$29)),TEXT(INDEX('Dealer pipeline'!$L$4:$L$503,_calc!$E$29),"yyyy-mm-dd"),""))=0,"","Labor end: "&amp;IF(ISNUMBER(INDEX('Dealer pipeline'!$L$4:$L$503,_calc!$E$29)),TEXT(INDEX('Dealer pipeline'!$L$4:$L$503,_calc!$E$29),"yyyy-mm-dd"),"")&amp;". ")&amp;IF(LEN(IF(LEN(INDEX('Dealer pipeline'!$Q$4:$Q$503,_calc!$E$29))=0,"",INDEX('Dealer pipeline'!$Q$4:$Q$503,_calc!$E$29)))=0,"","Status: "&amp;IF(LEN(INDEX('Dealer pipeline'!$Q$4:$Q$503,_calc!$E$29))=0,"",INDEX('Dealer pipeline'!$Q$4:$Q$503,_calc!$E$29))&amp;". ")&amp;IF(LEN(IF(LEN(INDEX('Dealer pipeline'!$P$4:$P$503,_calc!$E$29))=0,"",INDEX('Dealer pipeline'!$P$4:$P$503,_calc!$E$29)))=0,"","Last touch: "&amp;IF(LEN(INDEX('Dealer pipeline'!$P$4:$P$503,_calc!$E$29))=0,"",INDEX('Dealer pipeline'!$P$4:$P$503,_calc!$E$29))&amp;". ")&amp;IF(LEN(IF(LEN(INDEX('Dealer pipeline'!$R$4:$R$503,_calc!$E$29))=0,"",INDEX('Dealer pipeline'!$R$4:$R$503,_calc!$E$29)))=0,"","Owner: "&amp;IF(LEN(INDEX('Dealer pipeline'!$R$4:$R$503,_calc!$E$29))=0,"",INDEX('Dealer pipeline'!$R$4:$R$503,_calc!$E$29))&amp;". ")&amp;IF(LEN(IF(LEN(INDEX('Dealer pipeline'!$S$4:$S$503,_calc!$E$29))=0,"",INDEX('Dealer pipeline'!$S$4:$S$503,_calc!$E$29)))=0,"","Backup: "&amp;IF(LEN(INDEX('Dealer pipeline'!$S$4:$S$503,_calc!$E$29))=0,"",INDEX('Dealer pipeline'!$S$4:$S$503,_calc!$E$29))&amp;". ")&amp;IF(LEN(IF(LEN(INDEX('Dealer pipeline'!$T$4:$T$503,_calc!$E$29))=0,"",INDEX('Dealer pipeline'!$T$4:$T$503,_calc!$E$29)))=0,"",IF(LEN(INDEX('Dealer pipeline'!$T$4:$T$503,_calc!$E$29))=0,"",INDEX('Dealer pipeline'!$T$4:$T$503,_calc!$E$29)))),TRIM(IF(LEN(IF(LEN(INDEX('My equipment'!$C$4:$C$503,(_calc!$E$29-500)))=0,"",INDEX('My equipment'!$C$4:$C$503,(_calc!$E$29-500))))=0,"","Model: "&amp;IF(LEN(INDEX('My equipment'!$C$4:$C$503,(_calc!$E$29-500)))=0,"",INDEX('My equipment'!$C$4:$C$503,(_calc!$E$29-500)))&amp;". ")&amp;IF(LEN(IF(LEN(INDEX('My equipment'!$D$4:$D$503,(_calc!$E$29-500)))=0,"",INDEX('My equipment'!$D$4:$D$503,(_calc!$E$29-500))))=0,"","Serial: "&amp;IF(LEN(INDEX('My equipment'!$D$4:$D$503,(_calc!$E$29-500)))=0,"",INDEX('My equipment'!$D$4:$D$503,(_calc!$E$29-500)))&amp;". ")&amp;IF(LEN(IF(ISNUMBER(INDEX('My equipment'!$J$4:$J$503,(_calc!$E$29-500))),TEXT(INDEX('My equipment'!$J$4:$J$503,(_calc!$E$29-500)),"yyyy-mm-dd"),""))=0,"","Parts end: "&amp;IF(ISNUMBER(INDEX('My equipment'!$J$4:$J$503,(_calc!$E$29-500))),TEXT(INDEX('My equipment'!$J$4:$J$503,(_calc!$E$29-500)),"yyyy-mm-dd"),"")&amp;". ")&amp;IF(LEN(IF(ISNUMBER(INDEX('My equipment'!$L$4:$L$503,(_calc!$E$29-500))),TEXT(INDEX('My equipment'!$L$4:$L$503,(_calc!$E$29-500)),"yyyy-mm-dd"),""))=0,"","Labor end: "&amp;IF(ISNUMBER(INDEX('My equipment'!$L$4:$L$503,(_calc!$E$29-500))),TEXT(INDEX('My equipment'!$L$4:$L$503,(_calc!$E$29-500)),"yyyy-mm-dd"),"")&amp;". ")&amp;IF(LEN(IF(ISNUMBER(INDEX('My equipment'!$P$4:$P$503,(_calc!$E$29-500))),TEXT(INDEX('My equipment'!$P$4:$P$503,(_calc!$E$29-500)),"yyyy-mm-dd"),""))=0,"","Check by: "&amp;IF(ISNUMBER(INDEX('My equipment'!$P$4:$P$503,(_calc!$E$29-500))),TEXT(INDEX('My equipment'!$P$4:$P$503,(_calc!$E$29-500)),"yyyy-mm-dd"),"")&amp;". ")&amp;IF(LEN(IF(LEN(INDEX('My equipment'!$Q$4:$Q$503,(_calc!$E$29-500)))=0,"",INDEX('My equipment'!$Q$4:$Q$503,(_calc!$E$29-500))))=0,"","Claim status: "&amp;IF(LEN(INDEX('My equipment'!$Q$4:$Q$503,(_calc!$E$29-500)))=0,"",INDEX('My equipment'!$Q$4:$Q$503,(_calc!$E$29-500)))&amp;". ")&amp;IF(LEN(IF(LEN(INDEX('My equipment'!$R$4:$R$503,(_calc!$E$29-500)))=0,"",INDEX('My equipment'!$R$4:$R$503,(_calc!$E$29-500))))=0,"","Claims contact: "&amp;IF(LEN(INDEX('My equipment'!$R$4:$R$503,(_calc!$E$29-500)))=0,"",INDEX('My equipment'!$R$4:$R$503,(_calc!$E$29-500)))&amp;". ")&amp;IF(LEN(IF(LEN(INDEX('My equipment'!$S$4:$S$503,(_calc!$E$29-500)))=0,"",INDEX('My equipment'!$S$4:$S$503,(_calc!$E$29-500))))=0,"","Claims email: "&amp;IF(LEN(INDEX('My equipment'!$S$4:$S$503,(_calc!$E$29-500)))=0,"",INDEX('My equipment'!$S$4:$S$503,(_calc!$E$29-500)))&amp;". ")&amp;IF(LEN(IF(LEN(INDEX('My equipment'!$U$4:$U$503,(_calc!$E$29-500)))=0,"",INDEX('My equipment'!$U$4:$U$503,(_calc!$E$29-500))))=0,"","Registered: "&amp;IF(LEN(INDEX('My equipment'!$U$4:$U$503,(_calc!$E$29-500)))=0,"",INDEX('My equipment'!$U$4:$U$503,(_calc!$E$29-500)))&amp;". ")&amp;IF(LEN(IF(LEN(INDEX('My equipment'!$V$4:$V$503,(_calc!$E$29-500)))=0,"",INDEX('My equipment'!$V$4:$V$503,(_calc!$E$29-500))))=0,"","Proof on file: "&amp;IF(LEN(INDEX('My equipment'!$V$4:$V$503,(_calc!$E$29-500)))=0,"",INDEX('My equipment'!$V$4:$V$503,(_calc!$E$29-500)))&amp;". ")&amp;IF(LEN(IF(LEN(INDEX('My equipment'!$W$4:$W$503,(_calc!$E$29-500)))=0,"",INDEX('My equipment'!$W$4:$W$503,(_calc!$E$29-500))))=0,"","Claim ref: "&amp;IF(LEN(INDEX('My equipment'!$W$4:$W$503,(_calc!$E$29-500)))=0,"",INDEX('My equipment'!$W$4:$W$503,(_calc!$E$29-500)))&amp;". ")&amp;IF(LEN(IF(LEN(INDEX('My equipment'!$Y$4:$Y$503,(_calc!$E$29-500)))=0,"",INDEX('My equipment'!$Y$4:$Y$503,(_calc!$E$29-500))))=0,"",IF(LEN(INDEX('My equipment'!$Y$4:$Y$503,(_calc!$E$29-500)))=0,"",INDEX('My equipment'!$Y$4:$Y$503,(_calc!$E$29-500)))))))</f>
        <v/>
      </c>
      <c r="G27" s="54">
        <f>IF(_calc!$E$29="","",IF(_calc!$E$29&lt;=500,"",IF(LEN(INDEX('My equipment'!$X$4:$X$503,(_calc!$E$29-500)))=0,"",INDEX('My equipment'!$X$4:$X$503,(_calc!$E$29-500)))))</f>
        <v/>
      </c>
      <c r="K27" s="54">
        <f>IF(_calc!$E$29="","",IF(_calc!$E$29&lt;=500,"",IF(LEN(INDEX('My equipment'!$T$4:$T$503,(_calc!$E$29-500)))=0,"",INDEX('My equipment'!$T$4:$T$503,(_calc!$E$29-500)))))</f>
        <v/>
      </c>
    </row>
    <row r="28">
      <c r="A28" s="54">
        <f>IF(_calc!$E$30="","",IF(_calc!$E$30&lt;=500,"Warranty – "&amp;IF(LEN(INDEX('Dealer pipeline'!$C$4:$C$503,_calc!$E$30))=0,"",INDEX('Dealer pipeline'!$C$4:$C$503,_calc!$E$30))&amp;" – "&amp;IF(LEN(INDEX('Dealer pipeline'!$D$4:$D$503,_calc!$E$30))=0,"",INDEX('Dealer pipeline'!$D$4:$D$503,_calc!$E$30))&amp;" – "&amp;IF(LEN(INDEX('Dealer pipeline'!$A$4:$A$503,_calc!$E$30))=0,"",INDEX('Dealer pipeline'!$A$4:$A$503,_calc!$E$30)),"Warranty – "&amp;IF(LEN(INDEX('My equipment'!$A$4:$A$503,(_calc!$E$30-500)))=0,"",INDEX('My equipment'!$A$4:$A$503,(_calc!$E$30-500)))&amp;" – "&amp;IF(LEN(INDEX('My equipment'!$D$4:$D$503,(_calc!$E$30-500)))=0,"",INDEX('My equipment'!$D$4:$D$503,(_calc!$E$30-500)))))</f>
        <v/>
      </c>
      <c r="B28" s="54">
        <f>IF(_calc!$E$30="","",IF(_calc!$E$30&lt;=500,IF(ISNUMBER(INDEX('Dealer pipeline'!$M$4:$M$503,_calc!$E$30)),TEXT(INDEX('Dealer pipeline'!$M$4:$M$503,_calc!$E$30),"yyyy-mm-dd"),""),IF(ISNUMBER(INDEX('My equipment'!$M$4:$M$503,(_calc!$E$30-500))),TEXT(INDEX('My equipment'!$M$4:$M$503,(_calc!$E$30-500)),"yyyy-mm-dd"),"")))</f>
        <v/>
      </c>
      <c r="C28" s="54">
        <f>IF(_calc!$E$30="","",IF(_calc!$E$30&lt;=500,"Warranty","Warranty"))</f>
        <v/>
      </c>
      <c r="D28" s="54">
        <f>IF(_calc!$E$30="","",IF(_calc!$E$30&lt;=500,IF(ISNUMBER(INDEX('Dealer pipeline'!$H$4:$H$503,_calc!$E$30)),TEXT(INDEX('Dealer pipeline'!$H$4:$H$503,_calc!$E$30),"yyyy-mm-dd"),""),IF(ISNUMBER(INDEX('My equipment'!$H$4:$H$503,(_calc!$E$30-500))),TEXT(INDEX('My equipment'!$H$4:$H$503,(_calc!$E$30-500)),"yyyy-mm-dd"),"")))</f>
        <v/>
      </c>
      <c r="F28" s="54">
        <f>IF(_calc!$E$30="","",IF(_calc!$E$30&lt;=500,TRIM(IF(LEN(IF(LEN(INDEX('Dealer pipeline'!$A$4:$A$503,_calc!$E$30))=0,"",INDEX('Dealer pipeline'!$A$4:$A$503,_calc!$E$30)))=0,"","Customer: "&amp;IF(LEN(INDEX('Dealer pipeline'!$A$4:$A$503,_calc!$E$30))=0,"",INDEX('Dealer pipeline'!$A$4:$A$503,_calc!$E$30))&amp;". ")&amp;IF(LEN(IF(LEN(INDEX('Dealer pipeline'!$B$4:$B$503,_calc!$E$30))=0,"",INDEX('Dealer pipeline'!$B$4:$B$503,_calc!$E$30)))=0,"","Contact: "&amp;IF(LEN(INDEX('Dealer pipeline'!$B$4:$B$503,_calc!$E$30))=0,"",INDEX('Dealer pipeline'!$B$4:$B$503,_calc!$E$30))&amp;". ")&amp;IF(LEN(IF(LEN(INDEX('Dealer pipeline'!$D$4:$D$503,_calc!$E$30))=0,"",INDEX('Dealer pipeline'!$D$4:$D$503,_calc!$E$30)))=0,"","Serial: "&amp;IF(LEN(INDEX('Dealer pipeline'!$D$4:$D$503,_calc!$E$30))=0,"",INDEX('Dealer pipeline'!$D$4:$D$503,_calc!$E$30))&amp;". ")&amp;IF(LEN(IF(ISNUMBER(INDEX('Dealer pipeline'!$J$4:$J$503,_calc!$E$30)),TEXT(INDEX('Dealer pipeline'!$J$4:$J$503,_calc!$E$30),"yyyy-mm-dd"),""))=0,"","Parts end: "&amp;IF(ISNUMBER(INDEX('Dealer pipeline'!$J$4:$J$503,_calc!$E$30)),TEXT(INDEX('Dealer pipeline'!$J$4:$J$503,_calc!$E$30),"yyyy-mm-dd"),"")&amp;". ")&amp;IF(LEN(IF(ISNUMBER(INDEX('Dealer pipeline'!$L$4:$L$503,_calc!$E$30)),TEXT(INDEX('Dealer pipeline'!$L$4:$L$503,_calc!$E$30),"yyyy-mm-dd"),""))=0,"","Labor end: "&amp;IF(ISNUMBER(INDEX('Dealer pipeline'!$L$4:$L$503,_calc!$E$30)),TEXT(INDEX('Dealer pipeline'!$L$4:$L$503,_calc!$E$30),"yyyy-mm-dd"),"")&amp;". ")&amp;IF(LEN(IF(LEN(INDEX('Dealer pipeline'!$Q$4:$Q$503,_calc!$E$30))=0,"",INDEX('Dealer pipeline'!$Q$4:$Q$503,_calc!$E$30)))=0,"","Status: "&amp;IF(LEN(INDEX('Dealer pipeline'!$Q$4:$Q$503,_calc!$E$30))=0,"",INDEX('Dealer pipeline'!$Q$4:$Q$503,_calc!$E$30))&amp;". ")&amp;IF(LEN(IF(LEN(INDEX('Dealer pipeline'!$P$4:$P$503,_calc!$E$30))=0,"",INDEX('Dealer pipeline'!$P$4:$P$503,_calc!$E$30)))=0,"","Last touch: "&amp;IF(LEN(INDEX('Dealer pipeline'!$P$4:$P$503,_calc!$E$30))=0,"",INDEX('Dealer pipeline'!$P$4:$P$503,_calc!$E$30))&amp;". ")&amp;IF(LEN(IF(LEN(INDEX('Dealer pipeline'!$R$4:$R$503,_calc!$E$30))=0,"",INDEX('Dealer pipeline'!$R$4:$R$503,_calc!$E$30)))=0,"","Owner: "&amp;IF(LEN(INDEX('Dealer pipeline'!$R$4:$R$503,_calc!$E$30))=0,"",INDEX('Dealer pipeline'!$R$4:$R$503,_calc!$E$30))&amp;". ")&amp;IF(LEN(IF(LEN(INDEX('Dealer pipeline'!$S$4:$S$503,_calc!$E$30))=0,"",INDEX('Dealer pipeline'!$S$4:$S$503,_calc!$E$30)))=0,"","Backup: "&amp;IF(LEN(INDEX('Dealer pipeline'!$S$4:$S$503,_calc!$E$30))=0,"",INDEX('Dealer pipeline'!$S$4:$S$503,_calc!$E$30))&amp;". ")&amp;IF(LEN(IF(LEN(INDEX('Dealer pipeline'!$T$4:$T$503,_calc!$E$30))=0,"",INDEX('Dealer pipeline'!$T$4:$T$503,_calc!$E$30)))=0,"",IF(LEN(INDEX('Dealer pipeline'!$T$4:$T$503,_calc!$E$30))=0,"",INDEX('Dealer pipeline'!$T$4:$T$503,_calc!$E$30)))),TRIM(IF(LEN(IF(LEN(INDEX('My equipment'!$C$4:$C$503,(_calc!$E$30-500)))=0,"",INDEX('My equipment'!$C$4:$C$503,(_calc!$E$30-500))))=0,"","Model: "&amp;IF(LEN(INDEX('My equipment'!$C$4:$C$503,(_calc!$E$30-500)))=0,"",INDEX('My equipment'!$C$4:$C$503,(_calc!$E$30-500)))&amp;". ")&amp;IF(LEN(IF(LEN(INDEX('My equipment'!$D$4:$D$503,(_calc!$E$30-500)))=0,"",INDEX('My equipment'!$D$4:$D$503,(_calc!$E$30-500))))=0,"","Serial: "&amp;IF(LEN(INDEX('My equipment'!$D$4:$D$503,(_calc!$E$30-500)))=0,"",INDEX('My equipment'!$D$4:$D$503,(_calc!$E$30-500)))&amp;". ")&amp;IF(LEN(IF(ISNUMBER(INDEX('My equipment'!$J$4:$J$503,(_calc!$E$30-500))),TEXT(INDEX('My equipment'!$J$4:$J$503,(_calc!$E$30-500)),"yyyy-mm-dd"),""))=0,"","Parts end: "&amp;IF(ISNUMBER(INDEX('My equipment'!$J$4:$J$503,(_calc!$E$30-500))),TEXT(INDEX('My equipment'!$J$4:$J$503,(_calc!$E$30-500)),"yyyy-mm-dd"),"")&amp;". ")&amp;IF(LEN(IF(ISNUMBER(INDEX('My equipment'!$L$4:$L$503,(_calc!$E$30-500))),TEXT(INDEX('My equipment'!$L$4:$L$503,(_calc!$E$30-500)),"yyyy-mm-dd"),""))=0,"","Labor end: "&amp;IF(ISNUMBER(INDEX('My equipment'!$L$4:$L$503,(_calc!$E$30-500))),TEXT(INDEX('My equipment'!$L$4:$L$503,(_calc!$E$30-500)),"yyyy-mm-dd"),"")&amp;". ")&amp;IF(LEN(IF(ISNUMBER(INDEX('My equipment'!$P$4:$P$503,(_calc!$E$30-500))),TEXT(INDEX('My equipment'!$P$4:$P$503,(_calc!$E$30-500)),"yyyy-mm-dd"),""))=0,"","Check by: "&amp;IF(ISNUMBER(INDEX('My equipment'!$P$4:$P$503,(_calc!$E$30-500))),TEXT(INDEX('My equipment'!$P$4:$P$503,(_calc!$E$30-500)),"yyyy-mm-dd"),"")&amp;". ")&amp;IF(LEN(IF(LEN(INDEX('My equipment'!$Q$4:$Q$503,(_calc!$E$30-500)))=0,"",INDEX('My equipment'!$Q$4:$Q$503,(_calc!$E$30-500))))=0,"","Claim status: "&amp;IF(LEN(INDEX('My equipment'!$Q$4:$Q$503,(_calc!$E$30-500)))=0,"",INDEX('My equipment'!$Q$4:$Q$503,(_calc!$E$30-500)))&amp;". ")&amp;IF(LEN(IF(LEN(INDEX('My equipment'!$R$4:$R$503,(_calc!$E$30-500)))=0,"",INDEX('My equipment'!$R$4:$R$503,(_calc!$E$30-500))))=0,"","Claims contact: "&amp;IF(LEN(INDEX('My equipment'!$R$4:$R$503,(_calc!$E$30-500)))=0,"",INDEX('My equipment'!$R$4:$R$503,(_calc!$E$30-500)))&amp;". ")&amp;IF(LEN(IF(LEN(INDEX('My equipment'!$S$4:$S$503,(_calc!$E$30-500)))=0,"",INDEX('My equipment'!$S$4:$S$503,(_calc!$E$30-500))))=0,"","Claims email: "&amp;IF(LEN(INDEX('My equipment'!$S$4:$S$503,(_calc!$E$30-500)))=0,"",INDEX('My equipment'!$S$4:$S$503,(_calc!$E$30-500)))&amp;". ")&amp;IF(LEN(IF(LEN(INDEX('My equipment'!$U$4:$U$503,(_calc!$E$30-500)))=0,"",INDEX('My equipment'!$U$4:$U$503,(_calc!$E$30-500))))=0,"","Registered: "&amp;IF(LEN(INDEX('My equipment'!$U$4:$U$503,(_calc!$E$30-500)))=0,"",INDEX('My equipment'!$U$4:$U$503,(_calc!$E$30-500)))&amp;". ")&amp;IF(LEN(IF(LEN(INDEX('My equipment'!$V$4:$V$503,(_calc!$E$30-500)))=0,"",INDEX('My equipment'!$V$4:$V$503,(_calc!$E$30-500))))=0,"","Proof on file: "&amp;IF(LEN(INDEX('My equipment'!$V$4:$V$503,(_calc!$E$30-500)))=0,"",INDEX('My equipment'!$V$4:$V$503,(_calc!$E$30-500)))&amp;". ")&amp;IF(LEN(IF(LEN(INDEX('My equipment'!$W$4:$W$503,(_calc!$E$30-500)))=0,"",INDEX('My equipment'!$W$4:$W$503,(_calc!$E$30-500))))=0,"","Claim ref: "&amp;IF(LEN(INDEX('My equipment'!$W$4:$W$503,(_calc!$E$30-500)))=0,"",INDEX('My equipment'!$W$4:$W$503,(_calc!$E$30-500)))&amp;". ")&amp;IF(LEN(IF(LEN(INDEX('My equipment'!$Y$4:$Y$503,(_calc!$E$30-500)))=0,"",INDEX('My equipment'!$Y$4:$Y$503,(_calc!$E$30-500))))=0,"",IF(LEN(INDEX('My equipment'!$Y$4:$Y$503,(_calc!$E$30-500)))=0,"",INDEX('My equipment'!$Y$4:$Y$503,(_calc!$E$30-500)))))))</f>
        <v/>
      </c>
      <c r="G28" s="54">
        <f>IF(_calc!$E$30="","",IF(_calc!$E$30&lt;=500,"",IF(LEN(INDEX('My equipment'!$X$4:$X$503,(_calc!$E$30-500)))=0,"",INDEX('My equipment'!$X$4:$X$503,(_calc!$E$30-500)))))</f>
        <v/>
      </c>
      <c r="K28" s="54">
        <f>IF(_calc!$E$30="","",IF(_calc!$E$30&lt;=500,"",IF(LEN(INDEX('My equipment'!$T$4:$T$503,(_calc!$E$30-500)))=0,"",INDEX('My equipment'!$T$4:$T$503,(_calc!$E$30-500)))))</f>
        <v/>
      </c>
    </row>
    <row r="29">
      <c r="A29" s="54">
        <f>IF(_calc!$E$31="","",IF(_calc!$E$31&lt;=500,"Warranty – "&amp;IF(LEN(INDEX('Dealer pipeline'!$C$4:$C$503,_calc!$E$31))=0,"",INDEX('Dealer pipeline'!$C$4:$C$503,_calc!$E$31))&amp;" – "&amp;IF(LEN(INDEX('Dealer pipeline'!$D$4:$D$503,_calc!$E$31))=0,"",INDEX('Dealer pipeline'!$D$4:$D$503,_calc!$E$31))&amp;" – "&amp;IF(LEN(INDEX('Dealer pipeline'!$A$4:$A$503,_calc!$E$31))=0,"",INDEX('Dealer pipeline'!$A$4:$A$503,_calc!$E$31)),"Warranty – "&amp;IF(LEN(INDEX('My equipment'!$A$4:$A$503,(_calc!$E$31-500)))=0,"",INDEX('My equipment'!$A$4:$A$503,(_calc!$E$31-500)))&amp;" – "&amp;IF(LEN(INDEX('My equipment'!$D$4:$D$503,(_calc!$E$31-500)))=0,"",INDEX('My equipment'!$D$4:$D$503,(_calc!$E$31-500)))))</f>
        <v/>
      </c>
      <c r="B29" s="54">
        <f>IF(_calc!$E$31="","",IF(_calc!$E$31&lt;=500,IF(ISNUMBER(INDEX('Dealer pipeline'!$M$4:$M$503,_calc!$E$31)),TEXT(INDEX('Dealer pipeline'!$M$4:$M$503,_calc!$E$31),"yyyy-mm-dd"),""),IF(ISNUMBER(INDEX('My equipment'!$M$4:$M$503,(_calc!$E$31-500))),TEXT(INDEX('My equipment'!$M$4:$M$503,(_calc!$E$31-500)),"yyyy-mm-dd"),"")))</f>
        <v/>
      </c>
      <c r="C29" s="54">
        <f>IF(_calc!$E$31="","",IF(_calc!$E$31&lt;=500,"Warranty","Warranty"))</f>
        <v/>
      </c>
      <c r="D29" s="54">
        <f>IF(_calc!$E$31="","",IF(_calc!$E$31&lt;=500,IF(ISNUMBER(INDEX('Dealer pipeline'!$H$4:$H$503,_calc!$E$31)),TEXT(INDEX('Dealer pipeline'!$H$4:$H$503,_calc!$E$31),"yyyy-mm-dd"),""),IF(ISNUMBER(INDEX('My equipment'!$H$4:$H$503,(_calc!$E$31-500))),TEXT(INDEX('My equipment'!$H$4:$H$503,(_calc!$E$31-500)),"yyyy-mm-dd"),"")))</f>
        <v/>
      </c>
      <c r="F29" s="54">
        <f>IF(_calc!$E$31="","",IF(_calc!$E$31&lt;=500,TRIM(IF(LEN(IF(LEN(INDEX('Dealer pipeline'!$A$4:$A$503,_calc!$E$31))=0,"",INDEX('Dealer pipeline'!$A$4:$A$503,_calc!$E$31)))=0,"","Customer: "&amp;IF(LEN(INDEX('Dealer pipeline'!$A$4:$A$503,_calc!$E$31))=0,"",INDEX('Dealer pipeline'!$A$4:$A$503,_calc!$E$31))&amp;". ")&amp;IF(LEN(IF(LEN(INDEX('Dealer pipeline'!$B$4:$B$503,_calc!$E$31))=0,"",INDEX('Dealer pipeline'!$B$4:$B$503,_calc!$E$31)))=0,"","Contact: "&amp;IF(LEN(INDEX('Dealer pipeline'!$B$4:$B$503,_calc!$E$31))=0,"",INDEX('Dealer pipeline'!$B$4:$B$503,_calc!$E$31))&amp;". ")&amp;IF(LEN(IF(LEN(INDEX('Dealer pipeline'!$D$4:$D$503,_calc!$E$31))=0,"",INDEX('Dealer pipeline'!$D$4:$D$503,_calc!$E$31)))=0,"","Serial: "&amp;IF(LEN(INDEX('Dealer pipeline'!$D$4:$D$503,_calc!$E$31))=0,"",INDEX('Dealer pipeline'!$D$4:$D$503,_calc!$E$31))&amp;". ")&amp;IF(LEN(IF(ISNUMBER(INDEX('Dealer pipeline'!$J$4:$J$503,_calc!$E$31)),TEXT(INDEX('Dealer pipeline'!$J$4:$J$503,_calc!$E$31),"yyyy-mm-dd"),""))=0,"","Parts end: "&amp;IF(ISNUMBER(INDEX('Dealer pipeline'!$J$4:$J$503,_calc!$E$31)),TEXT(INDEX('Dealer pipeline'!$J$4:$J$503,_calc!$E$31),"yyyy-mm-dd"),"")&amp;". ")&amp;IF(LEN(IF(ISNUMBER(INDEX('Dealer pipeline'!$L$4:$L$503,_calc!$E$31)),TEXT(INDEX('Dealer pipeline'!$L$4:$L$503,_calc!$E$31),"yyyy-mm-dd"),""))=0,"","Labor end: "&amp;IF(ISNUMBER(INDEX('Dealer pipeline'!$L$4:$L$503,_calc!$E$31)),TEXT(INDEX('Dealer pipeline'!$L$4:$L$503,_calc!$E$31),"yyyy-mm-dd"),"")&amp;". ")&amp;IF(LEN(IF(LEN(INDEX('Dealer pipeline'!$Q$4:$Q$503,_calc!$E$31))=0,"",INDEX('Dealer pipeline'!$Q$4:$Q$503,_calc!$E$31)))=0,"","Status: "&amp;IF(LEN(INDEX('Dealer pipeline'!$Q$4:$Q$503,_calc!$E$31))=0,"",INDEX('Dealer pipeline'!$Q$4:$Q$503,_calc!$E$31))&amp;". ")&amp;IF(LEN(IF(LEN(INDEX('Dealer pipeline'!$P$4:$P$503,_calc!$E$31))=0,"",INDEX('Dealer pipeline'!$P$4:$P$503,_calc!$E$31)))=0,"","Last touch: "&amp;IF(LEN(INDEX('Dealer pipeline'!$P$4:$P$503,_calc!$E$31))=0,"",INDEX('Dealer pipeline'!$P$4:$P$503,_calc!$E$31))&amp;". ")&amp;IF(LEN(IF(LEN(INDEX('Dealer pipeline'!$R$4:$R$503,_calc!$E$31))=0,"",INDEX('Dealer pipeline'!$R$4:$R$503,_calc!$E$31)))=0,"","Owner: "&amp;IF(LEN(INDEX('Dealer pipeline'!$R$4:$R$503,_calc!$E$31))=0,"",INDEX('Dealer pipeline'!$R$4:$R$503,_calc!$E$31))&amp;". ")&amp;IF(LEN(IF(LEN(INDEX('Dealer pipeline'!$S$4:$S$503,_calc!$E$31))=0,"",INDEX('Dealer pipeline'!$S$4:$S$503,_calc!$E$31)))=0,"","Backup: "&amp;IF(LEN(INDEX('Dealer pipeline'!$S$4:$S$503,_calc!$E$31))=0,"",INDEX('Dealer pipeline'!$S$4:$S$503,_calc!$E$31))&amp;". ")&amp;IF(LEN(IF(LEN(INDEX('Dealer pipeline'!$T$4:$T$503,_calc!$E$31))=0,"",INDEX('Dealer pipeline'!$T$4:$T$503,_calc!$E$31)))=0,"",IF(LEN(INDEX('Dealer pipeline'!$T$4:$T$503,_calc!$E$31))=0,"",INDEX('Dealer pipeline'!$T$4:$T$503,_calc!$E$31)))),TRIM(IF(LEN(IF(LEN(INDEX('My equipment'!$C$4:$C$503,(_calc!$E$31-500)))=0,"",INDEX('My equipment'!$C$4:$C$503,(_calc!$E$31-500))))=0,"","Model: "&amp;IF(LEN(INDEX('My equipment'!$C$4:$C$503,(_calc!$E$31-500)))=0,"",INDEX('My equipment'!$C$4:$C$503,(_calc!$E$31-500)))&amp;". ")&amp;IF(LEN(IF(LEN(INDEX('My equipment'!$D$4:$D$503,(_calc!$E$31-500)))=0,"",INDEX('My equipment'!$D$4:$D$503,(_calc!$E$31-500))))=0,"","Serial: "&amp;IF(LEN(INDEX('My equipment'!$D$4:$D$503,(_calc!$E$31-500)))=0,"",INDEX('My equipment'!$D$4:$D$503,(_calc!$E$31-500)))&amp;". ")&amp;IF(LEN(IF(ISNUMBER(INDEX('My equipment'!$J$4:$J$503,(_calc!$E$31-500))),TEXT(INDEX('My equipment'!$J$4:$J$503,(_calc!$E$31-500)),"yyyy-mm-dd"),""))=0,"","Parts end: "&amp;IF(ISNUMBER(INDEX('My equipment'!$J$4:$J$503,(_calc!$E$31-500))),TEXT(INDEX('My equipment'!$J$4:$J$503,(_calc!$E$31-500)),"yyyy-mm-dd"),"")&amp;". ")&amp;IF(LEN(IF(ISNUMBER(INDEX('My equipment'!$L$4:$L$503,(_calc!$E$31-500))),TEXT(INDEX('My equipment'!$L$4:$L$503,(_calc!$E$31-500)),"yyyy-mm-dd"),""))=0,"","Labor end: "&amp;IF(ISNUMBER(INDEX('My equipment'!$L$4:$L$503,(_calc!$E$31-500))),TEXT(INDEX('My equipment'!$L$4:$L$503,(_calc!$E$31-500)),"yyyy-mm-dd"),"")&amp;". ")&amp;IF(LEN(IF(ISNUMBER(INDEX('My equipment'!$P$4:$P$503,(_calc!$E$31-500))),TEXT(INDEX('My equipment'!$P$4:$P$503,(_calc!$E$31-500)),"yyyy-mm-dd"),""))=0,"","Check by: "&amp;IF(ISNUMBER(INDEX('My equipment'!$P$4:$P$503,(_calc!$E$31-500))),TEXT(INDEX('My equipment'!$P$4:$P$503,(_calc!$E$31-500)),"yyyy-mm-dd"),"")&amp;". ")&amp;IF(LEN(IF(LEN(INDEX('My equipment'!$Q$4:$Q$503,(_calc!$E$31-500)))=0,"",INDEX('My equipment'!$Q$4:$Q$503,(_calc!$E$31-500))))=0,"","Claim status: "&amp;IF(LEN(INDEX('My equipment'!$Q$4:$Q$503,(_calc!$E$31-500)))=0,"",INDEX('My equipment'!$Q$4:$Q$503,(_calc!$E$31-500)))&amp;". ")&amp;IF(LEN(IF(LEN(INDEX('My equipment'!$R$4:$R$503,(_calc!$E$31-500)))=0,"",INDEX('My equipment'!$R$4:$R$503,(_calc!$E$31-500))))=0,"","Claims contact: "&amp;IF(LEN(INDEX('My equipment'!$R$4:$R$503,(_calc!$E$31-500)))=0,"",INDEX('My equipment'!$R$4:$R$503,(_calc!$E$31-500)))&amp;". ")&amp;IF(LEN(IF(LEN(INDEX('My equipment'!$S$4:$S$503,(_calc!$E$31-500)))=0,"",INDEX('My equipment'!$S$4:$S$503,(_calc!$E$31-500))))=0,"","Claims email: "&amp;IF(LEN(INDEX('My equipment'!$S$4:$S$503,(_calc!$E$31-500)))=0,"",INDEX('My equipment'!$S$4:$S$503,(_calc!$E$31-500)))&amp;". ")&amp;IF(LEN(IF(LEN(INDEX('My equipment'!$U$4:$U$503,(_calc!$E$31-500)))=0,"",INDEX('My equipment'!$U$4:$U$503,(_calc!$E$31-500))))=0,"","Registered: "&amp;IF(LEN(INDEX('My equipment'!$U$4:$U$503,(_calc!$E$31-500)))=0,"",INDEX('My equipment'!$U$4:$U$503,(_calc!$E$31-500)))&amp;". ")&amp;IF(LEN(IF(LEN(INDEX('My equipment'!$V$4:$V$503,(_calc!$E$31-500)))=0,"",INDEX('My equipment'!$V$4:$V$503,(_calc!$E$31-500))))=0,"","Proof on file: "&amp;IF(LEN(INDEX('My equipment'!$V$4:$V$503,(_calc!$E$31-500)))=0,"",INDEX('My equipment'!$V$4:$V$503,(_calc!$E$31-500)))&amp;". ")&amp;IF(LEN(IF(LEN(INDEX('My equipment'!$W$4:$W$503,(_calc!$E$31-500)))=0,"",INDEX('My equipment'!$W$4:$W$503,(_calc!$E$31-500))))=0,"","Claim ref: "&amp;IF(LEN(INDEX('My equipment'!$W$4:$W$503,(_calc!$E$31-500)))=0,"",INDEX('My equipment'!$W$4:$W$503,(_calc!$E$31-500)))&amp;". ")&amp;IF(LEN(IF(LEN(INDEX('My equipment'!$Y$4:$Y$503,(_calc!$E$31-500)))=0,"",INDEX('My equipment'!$Y$4:$Y$503,(_calc!$E$31-500))))=0,"",IF(LEN(INDEX('My equipment'!$Y$4:$Y$503,(_calc!$E$31-500)))=0,"",INDEX('My equipment'!$Y$4:$Y$503,(_calc!$E$31-500)))))))</f>
        <v/>
      </c>
      <c r="G29" s="54">
        <f>IF(_calc!$E$31="","",IF(_calc!$E$31&lt;=500,"",IF(LEN(INDEX('My equipment'!$X$4:$X$503,(_calc!$E$31-500)))=0,"",INDEX('My equipment'!$X$4:$X$503,(_calc!$E$31-500)))))</f>
        <v/>
      </c>
      <c r="K29" s="54">
        <f>IF(_calc!$E$31="","",IF(_calc!$E$31&lt;=500,"",IF(LEN(INDEX('My equipment'!$T$4:$T$503,(_calc!$E$31-500)))=0,"",INDEX('My equipment'!$T$4:$T$503,(_calc!$E$31-500)))))</f>
        <v/>
      </c>
    </row>
    <row r="30">
      <c r="A30" s="54">
        <f>IF(_calc!$E$32="","",IF(_calc!$E$32&lt;=500,"Warranty – "&amp;IF(LEN(INDEX('Dealer pipeline'!$C$4:$C$503,_calc!$E$32))=0,"",INDEX('Dealer pipeline'!$C$4:$C$503,_calc!$E$32))&amp;" – "&amp;IF(LEN(INDEX('Dealer pipeline'!$D$4:$D$503,_calc!$E$32))=0,"",INDEX('Dealer pipeline'!$D$4:$D$503,_calc!$E$32))&amp;" – "&amp;IF(LEN(INDEX('Dealer pipeline'!$A$4:$A$503,_calc!$E$32))=0,"",INDEX('Dealer pipeline'!$A$4:$A$503,_calc!$E$32)),"Warranty – "&amp;IF(LEN(INDEX('My equipment'!$A$4:$A$503,(_calc!$E$32-500)))=0,"",INDEX('My equipment'!$A$4:$A$503,(_calc!$E$32-500)))&amp;" – "&amp;IF(LEN(INDEX('My equipment'!$D$4:$D$503,(_calc!$E$32-500)))=0,"",INDEX('My equipment'!$D$4:$D$503,(_calc!$E$32-500)))))</f>
        <v/>
      </c>
      <c r="B30" s="54">
        <f>IF(_calc!$E$32="","",IF(_calc!$E$32&lt;=500,IF(ISNUMBER(INDEX('Dealer pipeline'!$M$4:$M$503,_calc!$E$32)),TEXT(INDEX('Dealer pipeline'!$M$4:$M$503,_calc!$E$32),"yyyy-mm-dd"),""),IF(ISNUMBER(INDEX('My equipment'!$M$4:$M$503,(_calc!$E$32-500))),TEXT(INDEX('My equipment'!$M$4:$M$503,(_calc!$E$32-500)),"yyyy-mm-dd"),"")))</f>
        <v/>
      </c>
      <c r="C30" s="54">
        <f>IF(_calc!$E$32="","",IF(_calc!$E$32&lt;=500,"Warranty","Warranty"))</f>
        <v/>
      </c>
      <c r="D30" s="54">
        <f>IF(_calc!$E$32="","",IF(_calc!$E$32&lt;=500,IF(ISNUMBER(INDEX('Dealer pipeline'!$H$4:$H$503,_calc!$E$32)),TEXT(INDEX('Dealer pipeline'!$H$4:$H$503,_calc!$E$32),"yyyy-mm-dd"),""),IF(ISNUMBER(INDEX('My equipment'!$H$4:$H$503,(_calc!$E$32-500))),TEXT(INDEX('My equipment'!$H$4:$H$503,(_calc!$E$32-500)),"yyyy-mm-dd"),"")))</f>
        <v/>
      </c>
      <c r="F30" s="54">
        <f>IF(_calc!$E$32="","",IF(_calc!$E$32&lt;=500,TRIM(IF(LEN(IF(LEN(INDEX('Dealer pipeline'!$A$4:$A$503,_calc!$E$32))=0,"",INDEX('Dealer pipeline'!$A$4:$A$503,_calc!$E$32)))=0,"","Customer: "&amp;IF(LEN(INDEX('Dealer pipeline'!$A$4:$A$503,_calc!$E$32))=0,"",INDEX('Dealer pipeline'!$A$4:$A$503,_calc!$E$32))&amp;". ")&amp;IF(LEN(IF(LEN(INDEX('Dealer pipeline'!$B$4:$B$503,_calc!$E$32))=0,"",INDEX('Dealer pipeline'!$B$4:$B$503,_calc!$E$32)))=0,"","Contact: "&amp;IF(LEN(INDEX('Dealer pipeline'!$B$4:$B$503,_calc!$E$32))=0,"",INDEX('Dealer pipeline'!$B$4:$B$503,_calc!$E$32))&amp;". ")&amp;IF(LEN(IF(LEN(INDEX('Dealer pipeline'!$D$4:$D$503,_calc!$E$32))=0,"",INDEX('Dealer pipeline'!$D$4:$D$503,_calc!$E$32)))=0,"","Serial: "&amp;IF(LEN(INDEX('Dealer pipeline'!$D$4:$D$503,_calc!$E$32))=0,"",INDEX('Dealer pipeline'!$D$4:$D$503,_calc!$E$32))&amp;". ")&amp;IF(LEN(IF(ISNUMBER(INDEX('Dealer pipeline'!$J$4:$J$503,_calc!$E$32)),TEXT(INDEX('Dealer pipeline'!$J$4:$J$503,_calc!$E$32),"yyyy-mm-dd"),""))=0,"","Parts end: "&amp;IF(ISNUMBER(INDEX('Dealer pipeline'!$J$4:$J$503,_calc!$E$32)),TEXT(INDEX('Dealer pipeline'!$J$4:$J$503,_calc!$E$32),"yyyy-mm-dd"),"")&amp;". ")&amp;IF(LEN(IF(ISNUMBER(INDEX('Dealer pipeline'!$L$4:$L$503,_calc!$E$32)),TEXT(INDEX('Dealer pipeline'!$L$4:$L$503,_calc!$E$32),"yyyy-mm-dd"),""))=0,"","Labor end: "&amp;IF(ISNUMBER(INDEX('Dealer pipeline'!$L$4:$L$503,_calc!$E$32)),TEXT(INDEX('Dealer pipeline'!$L$4:$L$503,_calc!$E$32),"yyyy-mm-dd"),"")&amp;". ")&amp;IF(LEN(IF(LEN(INDEX('Dealer pipeline'!$Q$4:$Q$503,_calc!$E$32))=0,"",INDEX('Dealer pipeline'!$Q$4:$Q$503,_calc!$E$32)))=0,"","Status: "&amp;IF(LEN(INDEX('Dealer pipeline'!$Q$4:$Q$503,_calc!$E$32))=0,"",INDEX('Dealer pipeline'!$Q$4:$Q$503,_calc!$E$32))&amp;". ")&amp;IF(LEN(IF(LEN(INDEX('Dealer pipeline'!$P$4:$P$503,_calc!$E$32))=0,"",INDEX('Dealer pipeline'!$P$4:$P$503,_calc!$E$32)))=0,"","Last touch: "&amp;IF(LEN(INDEX('Dealer pipeline'!$P$4:$P$503,_calc!$E$32))=0,"",INDEX('Dealer pipeline'!$P$4:$P$503,_calc!$E$32))&amp;". ")&amp;IF(LEN(IF(LEN(INDEX('Dealer pipeline'!$R$4:$R$503,_calc!$E$32))=0,"",INDEX('Dealer pipeline'!$R$4:$R$503,_calc!$E$32)))=0,"","Owner: "&amp;IF(LEN(INDEX('Dealer pipeline'!$R$4:$R$503,_calc!$E$32))=0,"",INDEX('Dealer pipeline'!$R$4:$R$503,_calc!$E$32))&amp;". ")&amp;IF(LEN(IF(LEN(INDEX('Dealer pipeline'!$S$4:$S$503,_calc!$E$32))=0,"",INDEX('Dealer pipeline'!$S$4:$S$503,_calc!$E$32)))=0,"","Backup: "&amp;IF(LEN(INDEX('Dealer pipeline'!$S$4:$S$503,_calc!$E$32))=0,"",INDEX('Dealer pipeline'!$S$4:$S$503,_calc!$E$32))&amp;". ")&amp;IF(LEN(IF(LEN(INDEX('Dealer pipeline'!$T$4:$T$503,_calc!$E$32))=0,"",INDEX('Dealer pipeline'!$T$4:$T$503,_calc!$E$32)))=0,"",IF(LEN(INDEX('Dealer pipeline'!$T$4:$T$503,_calc!$E$32))=0,"",INDEX('Dealer pipeline'!$T$4:$T$503,_calc!$E$32)))),TRIM(IF(LEN(IF(LEN(INDEX('My equipment'!$C$4:$C$503,(_calc!$E$32-500)))=0,"",INDEX('My equipment'!$C$4:$C$503,(_calc!$E$32-500))))=0,"","Model: "&amp;IF(LEN(INDEX('My equipment'!$C$4:$C$503,(_calc!$E$32-500)))=0,"",INDEX('My equipment'!$C$4:$C$503,(_calc!$E$32-500)))&amp;". ")&amp;IF(LEN(IF(LEN(INDEX('My equipment'!$D$4:$D$503,(_calc!$E$32-500)))=0,"",INDEX('My equipment'!$D$4:$D$503,(_calc!$E$32-500))))=0,"","Serial: "&amp;IF(LEN(INDEX('My equipment'!$D$4:$D$503,(_calc!$E$32-500)))=0,"",INDEX('My equipment'!$D$4:$D$503,(_calc!$E$32-500)))&amp;". ")&amp;IF(LEN(IF(ISNUMBER(INDEX('My equipment'!$J$4:$J$503,(_calc!$E$32-500))),TEXT(INDEX('My equipment'!$J$4:$J$503,(_calc!$E$32-500)),"yyyy-mm-dd"),""))=0,"","Parts end: "&amp;IF(ISNUMBER(INDEX('My equipment'!$J$4:$J$503,(_calc!$E$32-500))),TEXT(INDEX('My equipment'!$J$4:$J$503,(_calc!$E$32-500)),"yyyy-mm-dd"),"")&amp;". ")&amp;IF(LEN(IF(ISNUMBER(INDEX('My equipment'!$L$4:$L$503,(_calc!$E$32-500))),TEXT(INDEX('My equipment'!$L$4:$L$503,(_calc!$E$32-500)),"yyyy-mm-dd"),""))=0,"","Labor end: "&amp;IF(ISNUMBER(INDEX('My equipment'!$L$4:$L$503,(_calc!$E$32-500))),TEXT(INDEX('My equipment'!$L$4:$L$503,(_calc!$E$32-500)),"yyyy-mm-dd"),"")&amp;". ")&amp;IF(LEN(IF(ISNUMBER(INDEX('My equipment'!$P$4:$P$503,(_calc!$E$32-500))),TEXT(INDEX('My equipment'!$P$4:$P$503,(_calc!$E$32-500)),"yyyy-mm-dd"),""))=0,"","Check by: "&amp;IF(ISNUMBER(INDEX('My equipment'!$P$4:$P$503,(_calc!$E$32-500))),TEXT(INDEX('My equipment'!$P$4:$P$503,(_calc!$E$32-500)),"yyyy-mm-dd"),"")&amp;". ")&amp;IF(LEN(IF(LEN(INDEX('My equipment'!$Q$4:$Q$503,(_calc!$E$32-500)))=0,"",INDEX('My equipment'!$Q$4:$Q$503,(_calc!$E$32-500))))=0,"","Claim status: "&amp;IF(LEN(INDEX('My equipment'!$Q$4:$Q$503,(_calc!$E$32-500)))=0,"",INDEX('My equipment'!$Q$4:$Q$503,(_calc!$E$32-500)))&amp;". ")&amp;IF(LEN(IF(LEN(INDEX('My equipment'!$R$4:$R$503,(_calc!$E$32-500)))=0,"",INDEX('My equipment'!$R$4:$R$503,(_calc!$E$32-500))))=0,"","Claims contact: "&amp;IF(LEN(INDEX('My equipment'!$R$4:$R$503,(_calc!$E$32-500)))=0,"",INDEX('My equipment'!$R$4:$R$503,(_calc!$E$32-500)))&amp;". ")&amp;IF(LEN(IF(LEN(INDEX('My equipment'!$S$4:$S$503,(_calc!$E$32-500)))=0,"",INDEX('My equipment'!$S$4:$S$503,(_calc!$E$32-500))))=0,"","Claims email: "&amp;IF(LEN(INDEX('My equipment'!$S$4:$S$503,(_calc!$E$32-500)))=0,"",INDEX('My equipment'!$S$4:$S$503,(_calc!$E$32-500)))&amp;". ")&amp;IF(LEN(IF(LEN(INDEX('My equipment'!$U$4:$U$503,(_calc!$E$32-500)))=0,"",INDEX('My equipment'!$U$4:$U$503,(_calc!$E$32-500))))=0,"","Registered: "&amp;IF(LEN(INDEX('My equipment'!$U$4:$U$503,(_calc!$E$32-500)))=0,"",INDEX('My equipment'!$U$4:$U$503,(_calc!$E$32-500)))&amp;". ")&amp;IF(LEN(IF(LEN(INDEX('My equipment'!$V$4:$V$503,(_calc!$E$32-500)))=0,"",INDEX('My equipment'!$V$4:$V$503,(_calc!$E$32-500))))=0,"","Proof on file: "&amp;IF(LEN(INDEX('My equipment'!$V$4:$V$503,(_calc!$E$32-500)))=0,"",INDEX('My equipment'!$V$4:$V$503,(_calc!$E$32-500)))&amp;". ")&amp;IF(LEN(IF(LEN(INDEX('My equipment'!$W$4:$W$503,(_calc!$E$32-500)))=0,"",INDEX('My equipment'!$W$4:$W$503,(_calc!$E$32-500))))=0,"","Claim ref: "&amp;IF(LEN(INDEX('My equipment'!$W$4:$W$503,(_calc!$E$32-500)))=0,"",INDEX('My equipment'!$W$4:$W$503,(_calc!$E$32-500)))&amp;". ")&amp;IF(LEN(IF(LEN(INDEX('My equipment'!$Y$4:$Y$503,(_calc!$E$32-500)))=0,"",INDEX('My equipment'!$Y$4:$Y$503,(_calc!$E$32-500))))=0,"",IF(LEN(INDEX('My equipment'!$Y$4:$Y$503,(_calc!$E$32-500)))=0,"",INDEX('My equipment'!$Y$4:$Y$503,(_calc!$E$32-500)))))))</f>
        <v/>
      </c>
      <c r="G30" s="54">
        <f>IF(_calc!$E$32="","",IF(_calc!$E$32&lt;=500,"",IF(LEN(INDEX('My equipment'!$X$4:$X$503,(_calc!$E$32-500)))=0,"",INDEX('My equipment'!$X$4:$X$503,(_calc!$E$32-500)))))</f>
        <v/>
      </c>
      <c r="K30" s="54">
        <f>IF(_calc!$E$32="","",IF(_calc!$E$32&lt;=500,"",IF(LEN(INDEX('My equipment'!$T$4:$T$503,(_calc!$E$32-500)))=0,"",INDEX('My equipment'!$T$4:$T$503,(_calc!$E$32-500)))))</f>
        <v/>
      </c>
    </row>
    <row r="31">
      <c r="A31" s="54">
        <f>IF(_calc!$E$33="","",IF(_calc!$E$33&lt;=500,"Warranty – "&amp;IF(LEN(INDEX('Dealer pipeline'!$C$4:$C$503,_calc!$E$33))=0,"",INDEX('Dealer pipeline'!$C$4:$C$503,_calc!$E$33))&amp;" – "&amp;IF(LEN(INDEX('Dealer pipeline'!$D$4:$D$503,_calc!$E$33))=0,"",INDEX('Dealer pipeline'!$D$4:$D$503,_calc!$E$33))&amp;" – "&amp;IF(LEN(INDEX('Dealer pipeline'!$A$4:$A$503,_calc!$E$33))=0,"",INDEX('Dealer pipeline'!$A$4:$A$503,_calc!$E$33)),"Warranty – "&amp;IF(LEN(INDEX('My equipment'!$A$4:$A$503,(_calc!$E$33-500)))=0,"",INDEX('My equipment'!$A$4:$A$503,(_calc!$E$33-500)))&amp;" – "&amp;IF(LEN(INDEX('My equipment'!$D$4:$D$503,(_calc!$E$33-500)))=0,"",INDEX('My equipment'!$D$4:$D$503,(_calc!$E$33-500)))))</f>
        <v/>
      </c>
      <c r="B31" s="54">
        <f>IF(_calc!$E$33="","",IF(_calc!$E$33&lt;=500,IF(ISNUMBER(INDEX('Dealer pipeline'!$M$4:$M$503,_calc!$E$33)),TEXT(INDEX('Dealer pipeline'!$M$4:$M$503,_calc!$E$33),"yyyy-mm-dd"),""),IF(ISNUMBER(INDEX('My equipment'!$M$4:$M$503,(_calc!$E$33-500))),TEXT(INDEX('My equipment'!$M$4:$M$503,(_calc!$E$33-500)),"yyyy-mm-dd"),"")))</f>
        <v/>
      </c>
      <c r="C31" s="54">
        <f>IF(_calc!$E$33="","",IF(_calc!$E$33&lt;=500,"Warranty","Warranty"))</f>
        <v/>
      </c>
      <c r="D31" s="54">
        <f>IF(_calc!$E$33="","",IF(_calc!$E$33&lt;=500,IF(ISNUMBER(INDEX('Dealer pipeline'!$H$4:$H$503,_calc!$E$33)),TEXT(INDEX('Dealer pipeline'!$H$4:$H$503,_calc!$E$33),"yyyy-mm-dd"),""),IF(ISNUMBER(INDEX('My equipment'!$H$4:$H$503,(_calc!$E$33-500))),TEXT(INDEX('My equipment'!$H$4:$H$503,(_calc!$E$33-500)),"yyyy-mm-dd"),"")))</f>
        <v/>
      </c>
      <c r="F31" s="54">
        <f>IF(_calc!$E$33="","",IF(_calc!$E$33&lt;=500,TRIM(IF(LEN(IF(LEN(INDEX('Dealer pipeline'!$A$4:$A$503,_calc!$E$33))=0,"",INDEX('Dealer pipeline'!$A$4:$A$503,_calc!$E$33)))=0,"","Customer: "&amp;IF(LEN(INDEX('Dealer pipeline'!$A$4:$A$503,_calc!$E$33))=0,"",INDEX('Dealer pipeline'!$A$4:$A$503,_calc!$E$33))&amp;". ")&amp;IF(LEN(IF(LEN(INDEX('Dealer pipeline'!$B$4:$B$503,_calc!$E$33))=0,"",INDEX('Dealer pipeline'!$B$4:$B$503,_calc!$E$33)))=0,"","Contact: "&amp;IF(LEN(INDEX('Dealer pipeline'!$B$4:$B$503,_calc!$E$33))=0,"",INDEX('Dealer pipeline'!$B$4:$B$503,_calc!$E$33))&amp;". ")&amp;IF(LEN(IF(LEN(INDEX('Dealer pipeline'!$D$4:$D$503,_calc!$E$33))=0,"",INDEX('Dealer pipeline'!$D$4:$D$503,_calc!$E$33)))=0,"","Serial: "&amp;IF(LEN(INDEX('Dealer pipeline'!$D$4:$D$503,_calc!$E$33))=0,"",INDEX('Dealer pipeline'!$D$4:$D$503,_calc!$E$33))&amp;". ")&amp;IF(LEN(IF(ISNUMBER(INDEX('Dealer pipeline'!$J$4:$J$503,_calc!$E$33)),TEXT(INDEX('Dealer pipeline'!$J$4:$J$503,_calc!$E$33),"yyyy-mm-dd"),""))=0,"","Parts end: "&amp;IF(ISNUMBER(INDEX('Dealer pipeline'!$J$4:$J$503,_calc!$E$33)),TEXT(INDEX('Dealer pipeline'!$J$4:$J$503,_calc!$E$33),"yyyy-mm-dd"),"")&amp;". ")&amp;IF(LEN(IF(ISNUMBER(INDEX('Dealer pipeline'!$L$4:$L$503,_calc!$E$33)),TEXT(INDEX('Dealer pipeline'!$L$4:$L$503,_calc!$E$33),"yyyy-mm-dd"),""))=0,"","Labor end: "&amp;IF(ISNUMBER(INDEX('Dealer pipeline'!$L$4:$L$503,_calc!$E$33)),TEXT(INDEX('Dealer pipeline'!$L$4:$L$503,_calc!$E$33),"yyyy-mm-dd"),"")&amp;". ")&amp;IF(LEN(IF(LEN(INDEX('Dealer pipeline'!$Q$4:$Q$503,_calc!$E$33))=0,"",INDEX('Dealer pipeline'!$Q$4:$Q$503,_calc!$E$33)))=0,"","Status: "&amp;IF(LEN(INDEX('Dealer pipeline'!$Q$4:$Q$503,_calc!$E$33))=0,"",INDEX('Dealer pipeline'!$Q$4:$Q$503,_calc!$E$33))&amp;". ")&amp;IF(LEN(IF(LEN(INDEX('Dealer pipeline'!$P$4:$P$503,_calc!$E$33))=0,"",INDEX('Dealer pipeline'!$P$4:$P$503,_calc!$E$33)))=0,"","Last touch: "&amp;IF(LEN(INDEX('Dealer pipeline'!$P$4:$P$503,_calc!$E$33))=0,"",INDEX('Dealer pipeline'!$P$4:$P$503,_calc!$E$33))&amp;". ")&amp;IF(LEN(IF(LEN(INDEX('Dealer pipeline'!$R$4:$R$503,_calc!$E$33))=0,"",INDEX('Dealer pipeline'!$R$4:$R$503,_calc!$E$33)))=0,"","Owner: "&amp;IF(LEN(INDEX('Dealer pipeline'!$R$4:$R$503,_calc!$E$33))=0,"",INDEX('Dealer pipeline'!$R$4:$R$503,_calc!$E$33))&amp;". ")&amp;IF(LEN(IF(LEN(INDEX('Dealer pipeline'!$S$4:$S$503,_calc!$E$33))=0,"",INDEX('Dealer pipeline'!$S$4:$S$503,_calc!$E$33)))=0,"","Backup: "&amp;IF(LEN(INDEX('Dealer pipeline'!$S$4:$S$503,_calc!$E$33))=0,"",INDEX('Dealer pipeline'!$S$4:$S$503,_calc!$E$33))&amp;". ")&amp;IF(LEN(IF(LEN(INDEX('Dealer pipeline'!$T$4:$T$503,_calc!$E$33))=0,"",INDEX('Dealer pipeline'!$T$4:$T$503,_calc!$E$33)))=0,"",IF(LEN(INDEX('Dealer pipeline'!$T$4:$T$503,_calc!$E$33))=0,"",INDEX('Dealer pipeline'!$T$4:$T$503,_calc!$E$33)))),TRIM(IF(LEN(IF(LEN(INDEX('My equipment'!$C$4:$C$503,(_calc!$E$33-500)))=0,"",INDEX('My equipment'!$C$4:$C$503,(_calc!$E$33-500))))=0,"","Model: "&amp;IF(LEN(INDEX('My equipment'!$C$4:$C$503,(_calc!$E$33-500)))=0,"",INDEX('My equipment'!$C$4:$C$503,(_calc!$E$33-500)))&amp;". ")&amp;IF(LEN(IF(LEN(INDEX('My equipment'!$D$4:$D$503,(_calc!$E$33-500)))=0,"",INDEX('My equipment'!$D$4:$D$503,(_calc!$E$33-500))))=0,"","Serial: "&amp;IF(LEN(INDEX('My equipment'!$D$4:$D$503,(_calc!$E$33-500)))=0,"",INDEX('My equipment'!$D$4:$D$503,(_calc!$E$33-500)))&amp;". ")&amp;IF(LEN(IF(ISNUMBER(INDEX('My equipment'!$J$4:$J$503,(_calc!$E$33-500))),TEXT(INDEX('My equipment'!$J$4:$J$503,(_calc!$E$33-500)),"yyyy-mm-dd"),""))=0,"","Parts end: "&amp;IF(ISNUMBER(INDEX('My equipment'!$J$4:$J$503,(_calc!$E$33-500))),TEXT(INDEX('My equipment'!$J$4:$J$503,(_calc!$E$33-500)),"yyyy-mm-dd"),"")&amp;". ")&amp;IF(LEN(IF(ISNUMBER(INDEX('My equipment'!$L$4:$L$503,(_calc!$E$33-500))),TEXT(INDEX('My equipment'!$L$4:$L$503,(_calc!$E$33-500)),"yyyy-mm-dd"),""))=0,"","Labor end: "&amp;IF(ISNUMBER(INDEX('My equipment'!$L$4:$L$503,(_calc!$E$33-500))),TEXT(INDEX('My equipment'!$L$4:$L$503,(_calc!$E$33-500)),"yyyy-mm-dd"),"")&amp;". ")&amp;IF(LEN(IF(ISNUMBER(INDEX('My equipment'!$P$4:$P$503,(_calc!$E$33-500))),TEXT(INDEX('My equipment'!$P$4:$P$503,(_calc!$E$33-500)),"yyyy-mm-dd"),""))=0,"","Check by: "&amp;IF(ISNUMBER(INDEX('My equipment'!$P$4:$P$503,(_calc!$E$33-500))),TEXT(INDEX('My equipment'!$P$4:$P$503,(_calc!$E$33-500)),"yyyy-mm-dd"),"")&amp;". ")&amp;IF(LEN(IF(LEN(INDEX('My equipment'!$Q$4:$Q$503,(_calc!$E$33-500)))=0,"",INDEX('My equipment'!$Q$4:$Q$503,(_calc!$E$33-500))))=0,"","Claim status: "&amp;IF(LEN(INDEX('My equipment'!$Q$4:$Q$503,(_calc!$E$33-500)))=0,"",INDEX('My equipment'!$Q$4:$Q$503,(_calc!$E$33-500)))&amp;". ")&amp;IF(LEN(IF(LEN(INDEX('My equipment'!$R$4:$R$503,(_calc!$E$33-500)))=0,"",INDEX('My equipment'!$R$4:$R$503,(_calc!$E$33-500))))=0,"","Claims contact: "&amp;IF(LEN(INDEX('My equipment'!$R$4:$R$503,(_calc!$E$33-500)))=0,"",INDEX('My equipment'!$R$4:$R$503,(_calc!$E$33-500)))&amp;". ")&amp;IF(LEN(IF(LEN(INDEX('My equipment'!$S$4:$S$503,(_calc!$E$33-500)))=0,"",INDEX('My equipment'!$S$4:$S$503,(_calc!$E$33-500))))=0,"","Claims email: "&amp;IF(LEN(INDEX('My equipment'!$S$4:$S$503,(_calc!$E$33-500)))=0,"",INDEX('My equipment'!$S$4:$S$503,(_calc!$E$33-500)))&amp;". ")&amp;IF(LEN(IF(LEN(INDEX('My equipment'!$U$4:$U$503,(_calc!$E$33-500)))=0,"",INDEX('My equipment'!$U$4:$U$503,(_calc!$E$33-500))))=0,"","Registered: "&amp;IF(LEN(INDEX('My equipment'!$U$4:$U$503,(_calc!$E$33-500)))=0,"",INDEX('My equipment'!$U$4:$U$503,(_calc!$E$33-500)))&amp;". ")&amp;IF(LEN(IF(LEN(INDEX('My equipment'!$V$4:$V$503,(_calc!$E$33-500)))=0,"",INDEX('My equipment'!$V$4:$V$503,(_calc!$E$33-500))))=0,"","Proof on file: "&amp;IF(LEN(INDEX('My equipment'!$V$4:$V$503,(_calc!$E$33-500)))=0,"",INDEX('My equipment'!$V$4:$V$503,(_calc!$E$33-500)))&amp;". ")&amp;IF(LEN(IF(LEN(INDEX('My equipment'!$W$4:$W$503,(_calc!$E$33-500)))=0,"",INDEX('My equipment'!$W$4:$W$503,(_calc!$E$33-500))))=0,"","Claim ref: "&amp;IF(LEN(INDEX('My equipment'!$W$4:$W$503,(_calc!$E$33-500)))=0,"",INDEX('My equipment'!$W$4:$W$503,(_calc!$E$33-500)))&amp;". ")&amp;IF(LEN(IF(LEN(INDEX('My equipment'!$Y$4:$Y$503,(_calc!$E$33-500)))=0,"",INDEX('My equipment'!$Y$4:$Y$503,(_calc!$E$33-500))))=0,"",IF(LEN(INDEX('My equipment'!$Y$4:$Y$503,(_calc!$E$33-500)))=0,"",INDEX('My equipment'!$Y$4:$Y$503,(_calc!$E$33-500)))))))</f>
        <v/>
      </c>
      <c r="G31" s="54">
        <f>IF(_calc!$E$33="","",IF(_calc!$E$33&lt;=500,"",IF(LEN(INDEX('My equipment'!$X$4:$X$503,(_calc!$E$33-500)))=0,"",INDEX('My equipment'!$X$4:$X$503,(_calc!$E$33-500)))))</f>
        <v/>
      </c>
      <c r="K31" s="54">
        <f>IF(_calc!$E$33="","",IF(_calc!$E$33&lt;=500,"",IF(LEN(INDEX('My equipment'!$T$4:$T$503,(_calc!$E$33-500)))=0,"",INDEX('My equipment'!$T$4:$T$503,(_calc!$E$33-500)))))</f>
        <v/>
      </c>
    </row>
    <row r="32">
      <c r="A32" s="54">
        <f>IF(_calc!$E$34="","",IF(_calc!$E$34&lt;=500,"Warranty – "&amp;IF(LEN(INDEX('Dealer pipeline'!$C$4:$C$503,_calc!$E$34))=0,"",INDEX('Dealer pipeline'!$C$4:$C$503,_calc!$E$34))&amp;" – "&amp;IF(LEN(INDEX('Dealer pipeline'!$D$4:$D$503,_calc!$E$34))=0,"",INDEX('Dealer pipeline'!$D$4:$D$503,_calc!$E$34))&amp;" – "&amp;IF(LEN(INDEX('Dealer pipeline'!$A$4:$A$503,_calc!$E$34))=0,"",INDEX('Dealer pipeline'!$A$4:$A$503,_calc!$E$34)),"Warranty – "&amp;IF(LEN(INDEX('My equipment'!$A$4:$A$503,(_calc!$E$34-500)))=0,"",INDEX('My equipment'!$A$4:$A$503,(_calc!$E$34-500)))&amp;" – "&amp;IF(LEN(INDEX('My equipment'!$D$4:$D$503,(_calc!$E$34-500)))=0,"",INDEX('My equipment'!$D$4:$D$503,(_calc!$E$34-500)))))</f>
        <v/>
      </c>
      <c r="B32" s="54">
        <f>IF(_calc!$E$34="","",IF(_calc!$E$34&lt;=500,IF(ISNUMBER(INDEX('Dealer pipeline'!$M$4:$M$503,_calc!$E$34)),TEXT(INDEX('Dealer pipeline'!$M$4:$M$503,_calc!$E$34),"yyyy-mm-dd"),""),IF(ISNUMBER(INDEX('My equipment'!$M$4:$M$503,(_calc!$E$34-500))),TEXT(INDEX('My equipment'!$M$4:$M$503,(_calc!$E$34-500)),"yyyy-mm-dd"),"")))</f>
        <v/>
      </c>
      <c r="C32" s="54">
        <f>IF(_calc!$E$34="","",IF(_calc!$E$34&lt;=500,"Warranty","Warranty"))</f>
        <v/>
      </c>
      <c r="D32" s="54">
        <f>IF(_calc!$E$34="","",IF(_calc!$E$34&lt;=500,IF(ISNUMBER(INDEX('Dealer pipeline'!$H$4:$H$503,_calc!$E$34)),TEXT(INDEX('Dealer pipeline'!$H$4:$H$503,_calc!$E$34),"yyyy-mm-dd"),""),IF(ISNUMBER(INDEX('My equipment'!$H$4:$H$503,(_calc!$E$34-500))),TEXT(INDEX('My equipment'!$H$4:$H$503,(_calc!$E$34-500)),"yyyy-mm-dd"),"")))</f>
        <v/>
      </c>
      <c r="F32" s="54">
        <f>IF(_calc!$E$34="","",IF(_calc!$E$34&lt;=500,TRIM(IF(LEN(IF(LEN(INDEX('Dealer pipeline'!$A$4:$A$503,_calc!$E$34))=0,"",INDEX('Dealer pipeline'!$A$4:$A$503,_calc!$E$34)))=0,"","Customer: "&amp;IF(LEN(INDEX('Dealer pipeline'!$A$4:$A$503,_calc!$E$34))=0,"",INDEX('Dealer pipeline'!$A$4:$A$503,_calc!$E$34))&amp;". ")&amp;IF(LEN(IF(LEN(INDEX('Dealer pipeline'!$B$4:$B$503,_calc!$E$34))=0,"",INDEX('Dealer pipeline'!$B$4:$B$503,_calc!$E$34)))=0,"","Contact: "&amp;IF(LEN(INDEX('Dealer pipeline'!$B$4:$B$503,_calc!$E$34))=0,"",INDEX('Dealer pipeline'!$B$4:$B$503,_calc!$E$34))&amp;". ")&amp;IF(LEN(IF(LEN(INDEX('Dealer pipeline'!$D$4:$D$503,_calc!$E$34))=0,"",INDEX('Dealer pipeline'!$D$4:$D$503,_calc!$E$34)))=0,"","Serial: "&amp;IF(LEN(INDEX('Dealer pipeline'!$D$4:$D$503,_calc!$E$34))=0,"",INDEX('Dealer pipeline'!$D$4:$D$503,_calc!$E$34))&amp;". ")&amp;IF(LEN(IF(ISNUMBER(INDEX('Dealer pipeline'!$J$4:$J$503,_calc!$E$34)),TEXT(INDEX('Dealer pipeline'!$J$4:$J$503,_calc!$E$34),"yyyy-mm-dd"),""))=0,"","Parts end: "&amp;IF(ISNUMBER(INDEX('Dealer pipeline'!$J$4:$J$503,_calc!$E$34)),TEXT(INDEX('Dealer pipeline'!$J$4:$J$503,_calc!$E$34),"yyyy-mm-dd"),"")&amp;". ")&amp;IF(LEN(IF(ISNUMBER(INDEX('Dealer pipeline'!$L$4:$L$503,_calc!$E$34)),TEXT(INDEX('Dealer pipeline'!$L$4:$L$503,_calc!$E$34),"yyyy-mm-dd"),""))=0,"","Labor end: "&amp;IF(ISNUMBER(INDEX('Dealer pipeline'!$L$4:$L$503,_calc!$E$34)),TEXT(INDEX('Dealer pipeline'!$L$4:$L$503,_calc!$E$34),"yyyy-mm-dd"),"")&amp;". ")&amp;IF(LEN(IF(LEN(INDEX('Dealer pipeline'!$Q$4:$Q$503,_calc!$E$34))=0,"",INDEX('Dealer pipeline'!$Q$4:$Q$503,_calc!$E$34)))=0,"","Status: "&amp;IF(LEN(INDEX('Dealer pipeline'!$Q$4:$Q$503,_calc!$E$34))=0,"",INDEX('Dealer pipeline'!$Q$4:$Q$503,_calc!$E$34))&amp;". ")&amp;IF(LEN(IF(LEN(INDEX('Dealer pipeline'!$P$4:$P$503,_calc!$E$34))=0,"",INDEX('Dealer pipeline'!$P$4:$P$503,_calc!$E$34)))=0,"","Last touch: "&amp;IF(LEN(INDEX('Dealer pipeline'!$P$4:$P$503,_calc!$E$34))=0,"",INDEX('Dealer pipeline'!$P$4:$P$503,_calc!$E$34))&amp;". ")&amp;IF(LEN(IF(LEN(INDEX('Dealer pipeline'!$R$4:$R$503,_calc!$E$34))=0,"",INDEX('Dealer pipeline'!$R$4:$R$503,_calc!$E$34)))=0,"","Owner: "&amp;IF(LEN(INDEX('Dealer pipeline'!$R$4:$R$503,_calc!$E$34))=0,"",INDEX('Dealer pipeline'!$R$4:$R$503,_calc!$E$34))&amp;". ")&amp;IF(LEN(IF(LEN(INDEX('Dealer pipeline'!$S$4:$S$503,_calc!$E$34))=0,"",INDEX('Dealer pipeline'!$S$4:$S$503,_calc!$E$34)))=0,"","Backup: "&amp;IF(LEN(INDEX('Dealer pipeline'!$S$4:$S$503,_calc!$E$34))=0,"",INDEX('Dealer pipeline'!$S$4:$S$503,_calc!$E$34))&amp;". ")&amp;IF(LEN(IF(LEN(INDEX('Dealer pipeline'!$T$4:$T$503,_calc!$E$34))=0,"",INDEX('Dealer pipeline'!$T$4:$T$503,_calc!$E$34)))=0,"",IF(LEN(INDEX('Dealer pipeline'!$T$4:$T$503,_calc!$E$34))=0,"",INDEX('Dealer pipeline'!$T$4:$T$503,_calc!$E$34)))),TRIM(IF(LEN(IF(LEN(INDEX('My equipment'!$C$4:$C$503,(_calc!$E$34-500)))=0,"",INDEX('My equipment'!$C$4:$C$503,(_calc!$E$34-500))))=0,"","Model: "&amp;IF(LEN(INDEX('My equipment'!$C$4:$C$503,(_calc!$E$34-500)))=0,"",INDEX('My equipment'!$C$4:$C$503,(_calc!$E$34-500)))&amp;". ")&amp;IF(LEN(IF(LEN(INDEX('My equipment'!$D$4:$D$503,(_calc!$E$34-500)))=0,"",INDEX('My equipment'!$D$4:$D$503,(_calc!$E$34-500))))=0,"","Serial: "&amp;IF(LEN(INDEX('My equipment'!$D$4:$D$503,(_calc!$E$34-500)))=0,"",INDEX('My equipment'!$D$4:$D$503,(_calc!$E$34-500)))&amp;". ")&amp;IF(LEN(IF(ISNUMBER(INDEX('My equipment'!$J$4:$J$503,(_calc!$E$34-500))),TEXT(INDEX('My equipment'!$J$4:$J$503,(_calc!$E$34-500)),"yyyy-mm-dd"),""))=0,"","Parts end: "&amp;IF(ISNUMBER(INDEX('My equipment'!$J$4:$J$503,(_calc!$E$34-500))),TEXT(INDEX('My equipment'!$J$4:$J$503,(_calc!$E$34-500)),"yyyy-mm-dd"),"")&amp;". ")&amp;IF(LEN(IF(ISNUMBER(INDEX('My equipment'!$L$4:$L$503,(_calc!$E$34-500))),TEXT(INDEX('My equipment'!$L$4:$L$503,(_calc!$E$34-500)),"yyyy-mm-dd"),""))=0,"","Labor end: "&amp;IF(ISNUMBER(INDEX('My equipment'!$L$4:$L$503,(_calc!$E$34-500))),TEXT(INDEX('My equipment'!$L$4:$L$503,(_calc!$E$34-500)),"yyyy-mm-dd"),"")&amp;". ")&amp;IF(LEN(IF(ISNUMBER(INDEX('My equipment'!$P$4:$P$503,(_calc!$E$34-500))),TEXT(INDEX('My equipment'!$P$4:$P$503,(_calc!$E$34-500)),"yyyy-mm-dd"),""))=0,"","Check by: "&amp;IF(ISNUMBER(INDEX('My equipment'!$P$4:$P$503,(_calc!$E$34-500))),TEXT(INDEX('My equipment'!$P$4:$P$503,(_calc!$E$34-500)),"yyyy-mm-dd"),"")&amp;". ")&amp;IF(LEN(IF(LEN(INDEX('My equipment'!$Q$4:$Q$503,(_calc!$E$34-500)))=0,"",INDEX('My equipment'!$Q$4:$Q$503,(_calc!$E$34-500))))=0,"","Claim status: "&amp;IF(LEN(INDEX('My equipment'!$Q$4:$Q$503,(_calc!$E$34-500)))=0,"",INDEX('My equipment'!$Q$4:$Q$503,(_calc!$E$34-500)))&amp;". ")&amp;IF(LEN(IF(LEN(INDEX('My equipment'!$R$4:$R$503,(_calc!$E$34-500)))=0,"",INDEX('My equipment'!$R$4:$R$503,(_calc!$E$34-500))))=0,"","Claims contact: "&amp;IF(LEN(INDEX('My equipment'!$R$4:$R$503,(_calc!$E$34-500)))=0,"",INDEX('My equipment'!$R$4:$R$503,(_calc!$E$34-500)))&amp;". ")&amp;IF(LEN(IF(LEN(INDEX('My equipment'!$S$4:$S$503,(_calc!$E$34-500)))=0,"",INDEX('My equipment'!$S$4:$S$503,(_calc!$E$34-500))))=0,"","Claims email: "&amp;IF(LEN(INDEX('My equipment'!$S$4:$S$503,(_calc!$E$34-500)))=0,"",INDEX('My equipment'!$S$4:$S$503,(_calc!$E$34-500)))&amp;". ")&amp;IF(LEN(IF(LEN(INDEX('My equipment'!$U$4:$U$503,(_calc!$E$34-500)))=0,"",INDEX('My equipment'!$U$4:$U$503,(_calc!$E$34-500))))=0,"","Registered: "&amp;IF(LEN(INDEX('My equipment'!$U$4:$U$503,(_calc!$E$34-500)))=0,"",INDEX('My equipment'!$U$4:$U$503,(_calc!$E$34-500)))&amp;". ")&amp;IF(LEN(IF(LEN(INDEX('My equipment'!$V$4:$V$503,(_calc!$E$34-500)))=0,"",INDEX('My equipment'!$V$4:$V$503,(_calc!$E$34-500))))=0,"","Proof on file: "&amp;IF(LEN(INDEX('My equipment'!$V$4:$V$503,(_calc!$E$34-500)))=0,"",INDEX('My equipment'!$V$4:$V$503,(_calc!$E$34-500)))&amp;". ")&amp;IF(LEN(IF(LEN(INDEX('My equipment'!$W$4:$W$503,(_calc!$E$34-500)))=0,"",INDEX('My equipment'!$W$4:$W$503,(_calc!$E$34-500))))=0,"","Claim ref: "&amp;IF(LEN(INDEX('My equipment'!$W$4:$W$503,(_calc!$E$34-500)))=0,"",INDEX('My equipment'!$W$4:$W$503,(_calc!$E$34-500)))&amp;". ")&amp;IF(LEN(IF(LEN(INDEX('My equipment'!$Y$4:$Y$503,(_calc!$E$34-500)))=0,"",INDEX('My equipment'!$Y$4:$Y$503,(_calc!$E$34-500))))=0,"",IF(LEN(INDEX('My equipment'!$Y$4:$Y$503,(_calc!$E$34-500)))=0,"",INDEX('My equipment'!$Y$4:$Y$503,(_calc!$E$34-500)))))))</f>
        <v/>
      </c>
      <c r="G32" s="54">
        <f>IF(_calc!$E$34="","",IF(_calc!$E$34&lt;=500,"",IF(LEN(INDEX('My equipment'!$X$4:$X$503,(_calc!$E$34-500)))=0,"",INDEX('My equipment'!$X$4:$X$503,(_calc!$E$34-500)))))</f>
        <v/>
      </c>
      <c r="K32" s="54">
        <f>IF(_calc!$E$34="","",IF(_calc!$E$34&lt;=500,"",IF(LEN(INDEX('My equipment'!$T$4:$T$503,(_calc!$E$34-500)))=0,"",INDEX('My equipment'!$T$4:$T$503,(_calc!$E$34-500)))))</f>
        <v/>
      </c>
    </row>
    <row r="33">
      <c r="A33" s="54">
        <f>IF(_calc!$E$35="","",IF(_calc!$E$35&lt;=500,"Warranty – "&amp;IF(LEN(INDEX('Dealer pipeline'!$C$4:$C$503,_calc!$E$35))=0,"",INDEX('Dealer pipeline'!$C$4:$C$503,_calc!$E$35))&amp;" – "&amp;IF(LEN(INDEX('Dealer pipeline'!$D$4:$D$503,_calc!$E$35))=0,"",INDEX('Dealer pipeline'!$D$4:$D$503,_calc!$E$35))&amp;" – "&amp;IF(LEN(INDEX('Dealer pipeline'!$A$4:$A$503,_calc!$E$35))=0,"",INDEX('Dealer pipeline'!$A$4:$A$503,_calc!$E$35)),"Warranty – "&amp;IF(LEN(INDEX('My equipment'!$A$4:$A$503,(_calc!$E$35-500)))=0,"",INDEX('My equipment'!$A$4:$A$503,(_calc!$E$35-500)))&amp;" – "&amp;IF(LEN(INDEX('My equipment'!$D$4:$D$503,(_calc!$E$35-500)))=0,"",INDEX('My equipment'!$D$4:$D$503,(_calc!$E$35-500)))))</f>
        <v/>
      </c>
      <c r="B33" s="54">
        <f>IF(_calc!$E$35="","",IF(_calc!$E$35&lt;=500,IF(ISNUMBER(INDEX('Dealer pipeline'!$M$4:$M$503,_calc!$E$35)),TEXT(INDEX('Dealer pipeline'!$M$4:$M$503,_calc!$E$35),"yyyy-mm-dd"),""),IF(ISNUMBER(INDEX('My equipment'!$M$4:$M$503,(_calc!$E$35-500))),TEXT(INDEX('My equipment'!$M$4:$M$503,(_calc!$E$35-500)),"yyyy-mm-dd"),"")))</f>
        <v/>
      </c>
      <c r="C33" s="54">
        <f>IF(_calc!$E$35="","",IF(_calc!$E$35&lt;=500,"Warranty","Warranty"))</f>
        <v/>
      </c>
      <c r="D33" s="54">
        <f>IF(_calc!$E$35="","",IF(_calc!$E$35&lt;=500,IF(ISNUMBER(INDEX('Dealer pipeline'!$H$4:$H$503,_calc!$E$35)),TEXT(INDEX('Dealer pipeline'!$H$4:$H$503,_calc!$E$35),"yyyy-mm-dd"),""),IF(ISNUMBER(INDEX('My equipment'!$H$4:$H$503,(_calc!$E$35-500))),TEXT(INDEX('My equipment'!$H$4:$H$503,(_calc!$E$35-500)),"yyyy-mm-dd"),"")))</f>
        <v/>
      </c>
      <c r="F33" s="54">
        <f>IF(_calc!$E$35="","",IF(_calc!$E$35&lt;=500,TRIM(IF(LEN(IF(LEN(INDEX('Dealer pipeline'!$A$4:$A$503,_calc!$E$35))=0,"",INDEX('Dealer pipeline'!$A$4:$A$503,_calc!$E$35)))=0,"","Customer: "&amp;IF(LEN(INDEX('Dealer pipeline'!$A$4:$A$503,_calc!$E$35))=0,"",INDEX('Dealer pipeline'!$A$4:$A$503,_calc!$E$35))&amp;". ")&amp;IF(LEN(IF(LEN(INDEX('Dealer pipeline'!$B$4:$B$503,_calc!$E$35))=0,"",INDEX('Dealer pipeline'!$B$4:$B$503,_calc!$E$35)))=0,"","Contact: "&amp;IF(LEN(INDEX('Dealer pipeline'!$B$4:$B$503,_calc!$E$35))=0,"",INDEX('Dealer pipeline'!$B$4:$B$503,_calc!$E$35))&amp;". ")&amp;IF(LEN(IF(LEN(INDEX('Dealer pipeline'!$D$4:$D$503,_calc!$E$35))=0,"",INDEX('Dealer pipeline'!$D$4:$D$503,_calc!$E$35)))=0,"","Serial: "&amp;IF(LEN(INDEX('Dealer pipeline'!$D$4:$D$503,_calc!$E$35))=0,"",INDEX('Dealer pipeline'!$D$4:$D$503,_calc!$E$35))&amp;". ")&amp;IF(LEN(IF(ISNUMBER(INDEX('Dealer pipeline'!$J$4:$J$503,_calc!$E$35)),TEXT(INDEX('Dealer pipeline'!$J$4:$J$503,_calc!$E$35),"yyyy-mm-dd"),""))=0,"","Parts end: "&amp;IF(ISNUMBER(INDEX('Dealer pipeline'!$J$4:$J$503,_calc!$E$35)),TEXT(INDEX('Dealer pipeline'!$J$4:$J$503,_calc!$E$35),"yyyy-mm-dd"),"")&amp;". ")&amp;IF(LEN(IF(ISNUMBER(INDEX('Dealer pipeline'!$L$4:$L$503,_calc!$E$35)),TEXT(INDEX('Dealer pipeline'!$L$4:$L$503,_calc!$E$35),"yyyy-mm-dd"),""))=0,"","Labor end: "&amp;IF(ISNUMBER(INDEX('Dealer pipeline'!$L$4:$L$503,_calc!$E$35)),TEXT(INDEX('Dealer pipeline'!$L$4:$L$503,_calc!$E$35),"yyyy-mm-dd"),"")&amp;". ")&amp;IF(LEN(IF(LEN(INDEX('Dealer pipeline'!$Q$4:$Q$503,_calc!$E$35))=0,"",INDEX('Dealer pipeline'!$Q$4:$Q$503,_calc!$E$35)))=0,"","Status: "&amp;IF(LEN(INDEX('Dealer pipeline'!$Q$4:$Q$503,_calc!$E$35))=0,"",INDEX('Dealer pipeline'!$Q$4:$Q$503,_calc!$E$35))&amp;". ")&amp;IF(LEN(IF(LEN(INDEX('Dealer pipeline'!$P$4:$P$503,_calc!$E$35))=0,"",INDEX('Dealer pipeline'!$P$4:$P$503,_calc!$E$35)))=0,"","Last touch: "&amp;IF(LEN(INDEX('Dealer pipeline'!$P$4:$P$503,_calc!$E$35))=0,"",INDEX('Dealer pipeline'!$P$4:$P$503,_calc!$E$35))&amp;". ")&amp;IF(LEN(IF(LEN(INDEX('Dealer pipeline'!$R$4:$R$503,_calc!$E$35))=0,"",INDEX('Dealer pipeline'!$R$4:$R$503,_calc!$E$35)))=0,"","Owner: "&amp;IF(LEN(INDEX('Dealer pipeline'!$R$4:$R$503,_calc!$E$35))=0,"",INDEX('Dealer pipeline'!$R$4:$R$503,_calc!$E$35))&amp;". ")&amp;IF(LEN(IF(LEN(INDEX('Dealer pipeline'!$S$4:$S$503,_calc!$E$35))=0,"",INDEX('Dealer pipeline'!$S$4:$S$503,_calc!$E$35)))=0,"","Backup: "&amp;IF(LEN(INDEX('Dealer pipeline'!$S$4:$S$503,_calc!$E$35))=0,"",INDEX('Dealer pipeline'!$S$4:$S$503,_calc!$E$35))&amp;". ")&amp;IF(LEN(IF(LEN(INDEX('Dealer pipeline'!$T$4:$T$503,_calc!$E$35))=0,"",INDEX('Dealer pipeline'!$T$4:$T$503,_calc!$E$35)))=0,"",IF(LEN(INDEX('Dealer pipeline'!$T$4:$T$503,_calc!$E$35))=0,"",INDEX('Dealer pipeline'!$T$4:$T$503,_calc!$E$35)))),TRIM(IF(LEN(IF(LEN(INDEX('My equipment'!$C$4:$C$503,(_calc!$E$35-500)))=0,"",INDEX('My equipment'!$C$4:$C$503,(_calc!$E$35-500))))=0,"","Model: "&amp;IF(LEN(INDEX('My equipment'!$C$4:$C$503,(_calc!$E$35-500)))=0,"",INDEX('My equipment'!$C$4:$C$503,(_calc!$E$35-500)))&amp;". ")&amp;IF(LEN(IF(LEN(INDEX('My equipment'!$D$4:$D$503,(_calc!$E$35-500)))=0,"",INDEX('My equipment'!$D$4:$D$503,(_calc!$E$35-500))))=0,"","Serial: "&amp;IF(LEN(INDEX('My equipment'!$D$4:$D$503,(_calc!$E$35-500)))=0,"",INDEX('My equipment'!$D$4:$D$503,(_calc!$E$35-500)))&amp;". ")&amp;IF(LEN(IF(ISNUMBER(INDEX('My equipment'!$J$4:$J$503,(_calc!$E$35-500))),TEXT(INDEX('My equipment'!$J$4:$J$503,(_calc!$E$35-500)),"yyyy-mm-dd"),""))=0,"","Parts end: "&amp;IF(ISNUMBER(INDEX('My equipment'!$J$4:$J$503,(_calc!$E$35-500))),TEXT(INDEX('My equipment'!$J$4:$J$503,(_calc!$E$35-500)),"yyyy-mm-dd"),"")&amp;". ")&amp;IF(LEN(IF(ISNUMBER(INDEX('My equipment'!$L$4:$L$503,(_calc!$E$35-500))),TEXT(INDEX('My equipment'!$L$4:$L$503,(_calc!$E$35-500)),"yyyy-mm-dd"),""))=0,"","Labor end: "&amp;IF(ISNUMBER(INDEX('My equipment'!$L$4:$L$503,(_calc!$E$35-500))),TEXT(INDEX('My equipment'!$L$4:$L$503,(_calc!$E$35-500)),"yyyy-mm-dd"),"")&amp;". ")&amp;IF(LEN(IF(ISNUMBER(INDEX('My equipment'!$P$4:$P$503,(_calc!$E$35-500))),TEXT(INDEX('My equipment'!$P$4:$P$503,(_calc!$E$35-500)),"yyyy-mm-dd"),""))=0,"","Check by: "&amp;IF(ISNUMBER(INDEX('My equipment'!$P$4:$P$503,(_calc!$E$35-500))),TEXT(INDEX('My equipment'!$P$4:$P$503,(_calc!$E$35-500)),"yyyy-mm-dd"),"")&amp;". ")&amp;IF(LEN(IF(LEN(INDEX('My equipment'!$Q$4:$Q$503,(_calc!$E$35-500)))=0,"",INDEX('My equipment'!$Q$4:$Q$503,(_calc!$E$35-500))))=0,"","Claim status: "&amp;IF(LEN(INDEX('My equipment'!$Q$4:$Q$503,(_calc!$E$35-500)))=0,"",INDEX('My equipment'!$Q$4:$Q$503,(_calc!$E$35-500)))&amp;". ")&amp;IF(LEN(IF(LEN(INDEX('My equipment'!$R$4:$R$503,(_calc!$E$35-500)))=0,"",INDEX('My equipment'!$R$4:$R$503,(_calc!$E$35-500))))=0,"","Claims contact: "&amp;IF(LEN(INDEX('My equipment'!$R$4:$R$503,(_calc!$E$35-500)))=0,"",INDEX('My equipment'!$R$4:$R$503,(_calc!$E$35-500)))&amp;". ")&amp;IF(LEN(IF(LEN(INDEX('My equipment'!$S$4:$S$503,(_calc!$E$35-500)))=0,"",INDEX('My equipment'!$S$4:$S$503,(_calc!$E$35-500))))=0,"","Claims email: "&amp;IF(LEN(INDEX('My equipment'!$S$4:$S$503,(_calc!$E$35-500)))=0,"",INDEX('My equipment'!$S$4:$S$503,(_calc!$E$35-500)))&amp;". ")&amp;IF(LEN(IF(LEN(INDEX('My equipment'!$U$4:$U$503,(_calc!$E$35-500)))=0,"",INDEX('My equipment'!$U$4:$U$503,(_calc!$E$35-500))))=0,"","Registered: "&amp;IF(LEN(INDEX('My equipment'!$U$4:$U$503,(_calc!$E$35-500)))=0,"",INDEX('My equipment'!$U$4:$U$503,(_calc!$E$35-500)))&amp;". ")&amp;IF(LEN(IF(LEN(INDEX('My equipment'!$V$4:$V$503,(_calc!$E$35-500)))=0,"",INDEX('My equipment'!$V$4:$V$503,(_calc!$E$35-500))))=0,"","Proof on file: "&amp;IF(LEN(INDEX('My equipment'!$V$4:$V$503,(_calc!$E$35-500)))=0,"",INDEX('My equipment'!$V$4:$V$503,(_calc!$E$35-500)))&amp;". ")&amp;IF(LEN(IF(LEN(INDEX('My equipment'!$W$4:$W$503,(_calc!$E$35-500)))=0,"",INDEX('My equipment'!$W$4:$W$503,(_calc!$E$35-500))))=0,"","Claim ref: "&amp;IF(LEN(INDEX('My equipment'!$W$4:$W$503,(_calc!$E$35-500)))=0,"",INDEX('My equipment'!$W$4:$W$503,(_calc!$E$35-500)))&amp;". ")&amp;IF(LEN(IF(LEN(INDEX('My equipment'!$Y$4:$Y$503,(_calc!$E$35-500)))=0,"",INDEX('My equipment'!$Y$4:$Y$503,(_calc!$E$35-500))))=0,"",IF(LEN(INDEX('My equipment'!$Y$4:$Y$503,(_calc!$E$35-500)))=0,"",INDEX('My equipment'!$Y$4:$Y$503,(_calc!$E$35-500)))))))</f>
        <v/>
      </c>
      <c r="G33" s="54">
        <f>IF(_calc!$E$35="","",IF(_calc!$E$35&lt;=500,"",IF(LEN(INDEX('My equipment'!$X$4:$X$503,(_calc!$E$35-500)))=0,"",INDEX('My equipment'!$X$4:$X$503,(_calc!$E$35-500)))))</f>
        <v/>
      </c>
      <c r="K33" s="54">
        <f>IF(_calc!$E$35="","",IF(_calc!$E$35&lt;=500,"",IF(LEN(INDEX('My equipment'!$T$4:$T$503,(_calc!$E$35-500)))=0,"",INDEX('My equipment'!$T$4:$T$503,(_calc!$E$35-500)))))</f>
        <v/>
      </c>
    </row>
    <row r="34">
      <c r="A34" s="54">
        <f>IF(_calc!$E$36="","",IF(_calc!$E$36&lt;=500,"Warranty – "&amp;IF(LEN(INDEX('Dealer pipeline'!$C$4:$C$503,_calc!$E$36))=0,"",INDEX('Dealer pipeline'!$C$4:$C$503,_calc!$E$36))&amp;" – "&amp;IF(LEN(INDEX('Dealer pipeline'!$D$4:$D$503,_calc!$E$36))=0,"",INDEX('Dealer pipeline'!$D$4:$D$503,_calc!$E$36))&amp;" – "&amp;IF(LEN(INDEX('Dealer pipeline'!$A$4:$A$503,_calc!$E$36))=0,"",INDEX('Dealer pipeline'!$A$4:$A$503,_calc!$E$36)),"Warranty – "&amp;IF(LEN(INDEX('My equipment'!$A$4:$A$503,(_calc!$E$36-500)))=0,"",INDEX('My equipment'!$A$4:$A$503,(_calc!$E$36-500)))&amp;" – "&amp;IF(LEN(INDEX('My equipment'!$D$4:$D$503,(_calc!$E$36-500)))=0,"",INDEX('My equipment'!$D$4:$D$503,(_calc!$E$36-500)))))</f>
        <v/>
      </c>
      <c r="B34" s="54">
        <f>IF(_calc!$E$36="","",IF(_calc!$E$36&lt;=500,IF(ISNUMBER(INDEX('Dealer pipeline'!$M$4:$M$503,_calc!$E$36)),TEXT(INDEX('Dealer pipeline'!$M$4:$M$503,_calc!$E$36),"yyyy-mm-dd"),""),IF(ISNUMBER(INDEX('My equipment'!$M$4:$M$503,(_calc!$E$36-500))),TEXT(INDEX('My equipment'!$M$4:$M$503,(_calc!$E$36-500)),"yyyy-mm-dd"),"")))</f>
        <v/>
      </c>
      <c r="C34" s="54">
        <f>IF(_calc!$E$36="","",IF(_calc!$E$36&lt;=500,"Warranty","Warranty"))</f>
        <v/>
      </c>
      <c r="D34" s="54">
        <f>IF(_calc!$E$36="","",IF(_calc!$E$36&lt;=500,IF(ISNUMBER(INDEX('Dealer pipeline'!$H$4:$H$503,_calc!$E$36)),TEXT(INDEX('Dealer pipeline'!$H$4:$H$503,_calc!$E$36),"yyyy-mm-dd"),""),IF(ISNUMBER(INDEX('My equipment'!$H$4:$H$503,(_calc!$E$36-500))),TEXT(INDEX('My equipment'!$H$4:$H$503,(_calc!$E$36-500)),"yyyy-mm-dd"),"")))</f>
        <v/>
      </c>
      <c r="F34" s="54">
        <f>IF(_calc!$E$36="","",IF(_calc!$E$36&lt;=500,TRIM(IF(LEN(IF(LEN(INDEX('Dealer pipeline'!$A$4:$A$503,_calc!$E$36))=0,"",INDEX('Dealer pipeline'!$A$4:$A$503,_calc!$E$36)))=0,"","Customer: "&amp;IF(LEN(INDEX('Dealer pipeline'!$A$4:$A$503,_calc!$E$36))=0,"",INDEX('Dealer pipeline'!$A$4:$A$503,_calc!$E$36))&amp;". ")&amp;IF(LEN(IF(LEN(INDEX('Dealer pipeline'!$B$4:$B$503,_calc!$E$36))=0,"",INDEX('Dealer pipeline'!$B$4:$B$503,_calc!$E$36)))=0,"","Contact: "&amp;IF(LEN(INDEX('Dealer pipeline'!$B$4:$B$503,_calc!$E$36))=0,"",INDEX('Dealer pipeline'!$B$4:$B$503,_calc!$E$36))&amp;". ")&amp;IF(LEN(IF(LEN(INDEX('Dealer pipeline'!$D$4:$D$503,_calc!$E$36))=0,"",INDEX('Dealer pipeline'!$D$4:$D$503,_calc!$E$36)))=0,"","Serial: "&amp;IF(LEN(INDEX('Dealer pipeline'!$D$4:$D$503,_calc!$E$36))=0,"",INDEX('Dealer pipeline'!$D$4:$D$503,_calc!$E$36))&amp;". ")&amp;IF(LEN(IF(ISNUMBER(INDEX('Dealer pipeline'!$J$4:$J$503,_calc!$E$36)),TEXT(INDEX('Dealer pipeline'!$J$4:$J$503,_calc!$E$36),"yyyy-mm-dd"),""))=0,"","Parts end: "&amp;IF(ISNUMBER(INDEX('Dealer pipeline'!$J$4:$J$503,_calc!$E$36)),TEXT(INDEX('Dealer pipeline'!$J$4:$J$503,_calc!$E$36),"yyyy-mm-dd"),"")&amp;". ")&amp;IF(LEN(IF(ISNUMBER(INDEX('Dealer pipeline'!$L$4:$L$503,_calc!$E$36)),TEXT(INDEX('Dealer pipeline'!$L$4:$L$503,_calc!$E$36),"yyyy-mm-dd"),""))=0,"","Labor end: "&amp;IF(ISNUMBER(INDEX('Dealer pipeline'!$L$4:$L$503,_calc!$E$36)),TEXT(INDEX('Dealer pipeline'!$L$4:$L$503,_calc!$E$36),"yyyy-mm-dd"),"")&amp;". ")&amp;IF(LEN(IF(LEN(INDEX('Dealer pipeline'!$Q$4:$Q$503,_calc!$E$36))=0,"",INDEX('Dealer pipeline'!$Q$4:$Q$503,_calc!$E$36)))=0,"","Status: "&amp;IF(LEN(INDEX('Dealer pipeline'!$Q$4:$Q$503,_calc!$E$36))=0,"",INDEX('Dealer pipeline'!$Q$4:$Q$503,_calc!$E$36))&amp;". ")&amp;IF(LEN(IF(LEN(INDEX('Dealer pipeline'!$P$4:$P$503,_calc!$E$36))=0,"",INDEX('Dealer pipeline'!$P$4:$P$503,_calc!$E$36)))=0,"","Last touch: "&amp;IF(LEN(INDEX('Dealer pipeline'!$P$4:$P$503,_calc!$E$36))=0,"",INDEX('Dealer pipeline'!$P$4:$P$503,_calc!$E$36))&amp;". ")&amp;IF(LEN(IF(LEN(INDEX('Dealer pipeline'!$R$4:$R$503,_calc!$E$36))=0,"",INDEX('Dealer pipeline'!$R$4:$R$503,_calc!$E$36)))=0,"","Owner: "&amp;IF(LEN(INDEX('Dealer pipeline'!$R$4:$R$503,_calc!$E$36))=0,"",INDEX('Dealer pipeline'!$R$4:$R$503,_calc!$E$36))&amp;". ")&amp;IF(LEN(IF(LEN(INDEX('Dealer pipeline'!$S$4:$S$503,_calc!$E$36))=0,"",INDEX('Dealer pipeline'!$S$4:$S$503,_calc!$E$36)))=0,"","Backup: "&amp;IF(LEN(INDEX('Dealer pipeline'!$S$4:$S$503,_calc!$E$36))=0,"",INDEX('Dealer pipeline'!$S$4:$S$503,_calc!$E$36))&amp;". ")&amp;IF(LEN(IF(LEN(INDEX('Dealer pipeline'!$T$4:$T$503,_calc!$E$36))=0,"",INDEX('Dealer pipeline'!$T$4:$T$503,_calc!$E$36)))=0,"",IF(LEN(INDEX('Dealer pipeline'!$T$4:$T$503,_calc!$E$36))=0,"",INDEX('Dealer pipeline'!$T$4:$T$503,_calc!$E$36)))),TRIM(IF(LEN(IF(LEN(INDEX('My equipment'!$C$4:$C$503,(_calc!$E$36-500)))=0,"",INDEX('My equipment'!$C$4:$C$503,(_calc!$E$36-500))))=0,"","Model: "&amp;IF(LEN(INDEX('My equipment'!$C$4:$C$503,(_calc!$E$36-500)))=0,"",INDEX('My equipment'!$C$4:$C$503,(_calc!$E$36-500)))&amp;". ")&amp;IF(LEN(IF(LEN(INDEX('My equipment'!$D$4:$D$503,(_calc!$E$36-500)))=0,"",INDEX('My equipment'!$D$4:$D$503,(_calc!$E$36-500))))=0,"","Serial: "&amp;IF(LEN(INDEX('My equipment'!$D$4:$D$503,(_calc!$E$36-500)))=0,"",INDEX('My equipment'!$D$4:$D$503,(_calc!$E$36-500)))&amp;". ")&amp;IF(LEN(IF(ISNUMBER(INDEX('My equipment'!$J$4:$J$503,(_calc!$E$36-500))),TEXT(INDEX('My equipment'!$J$4:$J$503,(_calc!$E$36-500)),"yyyy-mm-dd"),""))=0,"","Parts end: "&amp;IF(ISNUMBER(INDEX('My equipment'!$J$4:$J$503,(_calc!$E$36-500))),TEXT(INDEX('My equipment'!$J$4:$J$503,(_calc!$E$36-500)),"yyyy-mm-dd"),"")&amp;". ")&amp;IF(LEN(IF(ISNUMBER(INDEX('My equipment'!$L$4:$L$503,(_calc!$E$36-500))),TEXT(INDEX('My equipment'!$L$4:$L$503,(_calc!$E$36-500)),"yyyy-mm-dd"),""))=0,"","Labor end: "&amp;IF(ISNUMBER(INDEX('My equipment'!$L$4:$L$503,(_calc!$E$36-500))),TEXT(INDEX('My equipment'!$L$4:$L$503,(_calc!$E$36-500)),"yyyy-mm-dd"),"")&amp;". ")&amp;IF(LEN(IF(ISNUMBER(INDEX('My equipment'!$P$4:$P$503,(_calc!$E$36-500))),TEXT(INDEX('My equipment'!$P$4:$P$503,(_calc!$E$36-500)),"yyyy-mm-dd"),""))=0,"","Check by: "&amp;IF(ISNUMBER(INDEX('My equipment'!$P$4:$P$503,(_calc!$E$36-500))),TEXT(INDEX('My equipment'!$P$4:$P$503,(_calc!$E$36-500)),"yyyy-mm-dd"),"")&amp;". ")&amp;IF(LEN(IF(LEN(INDEX('My equipment'!$Q$4:$Q$503,(_calc!$E$36-500)))=0,"",INDEX('My equipment'!$Q$4:$Q$503,(_calc!$E$36-500))))=0,"","Claim status: "&amp;IF(LEN(INDEX('My equipment'!$Q$4:$Q$503,(_calc!$E$36-500)))=0,"",INDEX('My equipment'!$Q$4:$Q$503,(_calc!$E$36-500)))&amp;". ")&amp;IF(LEN(IF(LEN(INDEX('My equipment'!$R$4:$R$503,(_calc!$E$36-500)))=0,"",INDEX('My equipment'!$R$4:$R$503,(_calc!$E$36-500))))=0,"","Claims contact: "&amp;IF(LEN(INDEX('My equipment'!$R$4:$R$503,(_calc!$E$36-500)))=0,"",INDEX('My equipment'!$R$4:$R$503,(_calc!$E$36-500)))&amp;". ")&amp;IF(LEN(IF(LEN(INDEX('My equipment'!$S$4:$S$503,(_calc!$E$36-500)))=0,"",INDEX('My equipment'!$S$4:$S$503,(_calc!$E$36-500))))=0,"","Claims email: "&amp;IF(LEN(INDEX('My equipment'!$S$4:$S$503,(_calc!$E$36-500)))=0,"",INDEX('My equipment'!$S$4:$S$503,(_calc!$E$36-500)))&amp;". ")&amp;IF(LEN(IF(LEN(INDEX('My equipment'!$U$4:$U$503,(_calc!$E$36-500)))=0,"",INDEX('My equipment'!$U$4:$U$503,(_calc!$E$36-500))))=0,"","Registered: "&amp;IF(LEN(INDEX('My equipment'!$U$4:$U$503,(_calc!$E$36-500)))=0,"",INDEX('My equipment'!$U$4:$U$503,(_calc!$E$36-500)))&amp;". ")&amp;IF(LEN(IF(LEN(INDEX('My equipment'!$V$4:$V$503,(_calc!$E$36-500)))=0,"",INDEX('My equipment'!$V$4:$V$503,(_calc!$E$36-500))))=0,"","Proof on file: "&amp;IF(LEN(INDEX('My equipment'!$V$4:$V$503,(_calc!$E$36-500)))=0,"",INDEX('My equipment'!$V$4:$V$503,(_calc!$E$36-500)))&amp;". ")&amp;IF(LEN(IF(LEN(INDEX('My equipment'!$W$4:$W$503,(_calc!$E$36-500)))=0,"",INDEX('My equipment'!$W$4:$W$503,(_calc!$E$36-500))))=0,"","Claim ref: "&amp;IF(LEN(INDEX('My equipment'!$W$4:$W$503,(_calc!$E$36-500)))=0,"",INDEX('My equipment'!$W$4:$W$503,(_calc!$E$36-500)))&amp;". ")&amp;IF(LEN(IF(LEN(INDEX('My equipment'!$Y$4:$Y$503,(_calc!$E$36-500)))=0,"",INDEX('My equipment'!$Y$4:$Y$503,(_calc!$E$36-500))))=0,"",IF(LEN(INDEX('My equipment'!$Y$4:$Y$503,(_calc!$E$36-500)))=0,"",INDEX('My equipment'!$Y$4:$Y$503,(_calc!$E$36-500)))))))</f>
        <v/>
      </c>
      <c r="G34" s="54">
        <f>IF(_calc!$E$36="","",IF(_calc!$E$36&lt;=500,"",IF(LEN(INDEX('My equipment'!$X$4:$X$503,(_calc!$E$36-500)))=0,"",INDEX('My equipment'!$X$4:$X$503,(_calc!$E$36-500)))))</f>
        <v/>
      </c>
      <c r="K34" s="54">
        <f>IF(_calc!$E$36="","",IF(_calc!$E$36&lt;=500,"",IF(LEN(INDEX('My equipment'!$T$4:$T$503,(_calc!$E$36-500)))=0,"",INDEX('My equipment'!$T$4:$T$503,(_calc!$E$36-500)))))</f>
        <v/>
      </c>
    </row>
    <row r="35">
      <c r="A35" s="54">
        <f>IF(_calc!$E$37="","",IF(_calc!$E$37&lt;=500,"Warranty – "&amp;IF(LEN(INDEX('Dealer pipeline'!$C$4:$C$503,_calc!$E$37))=0,"",INDEX('Dealer pipeline'!$C$4:$C$503,_calc!$E$37))&amp;" – "&amp;IF(LEN(INDEX('Dealer pipeline'!$D$4:$D$503,_calc!$E$37))=0,"",INDEX('Dealer pipeline'!$D$4:$D$503,_calc!$E$37))&amp;" – "&amp;IF(LEN(INDEX('Dealer pipeline'!$A$4:$A$503,_calc!$E$37))=0,"",INDEX('Dealer pipeline'!$A$4:$A$503,_calc!$E$37)),"Warranty – "&amp;IF(LEN(INDEX('My equipment'!$A$4:$A$503,(_calc!$E$37-500)))=0,"",INDEX('My equipment'!$A$4:$A$503,(_calc!$E$37-500)))&amp;" – "&amp;IF(LEN(INDEX('My equipment'!$D$4:$D$503,(_calc!$E$37-500)))=0,"",INDEX('My equipment'!$D$4:$D$503,(_calc!$E$37-500)))))</f>
        <v/>
      </c>
      <c r="B35" s="54">
        <f>IF(_calc!$E$37="","",IF(_calc!$E$37&lt;=500,IF(ISNUMBER(INDEX('Dealer pipeline'!$M$4:$M$503,_calc!$E$37)),TEXT(INDEX('Dealer pipeline'!$M$4:$M$503,_calc!$E$37),"yyyy-mm-dd"),""),IF(ISNUMBER(INDEX('My equipment'!$M$4:$M$503,(_calc!$E$37-500))),TEXT(INDEX('My equipment'!$M$4:$M$503,(_calc!$E$37-500)),"yyyy-mm-dd"),"")))</f>
        <v/>
      </c>
      <c r="C35" s="54">
        <f>IF(_calc!$E$37="","",IF(_calc!$E$37&lt;=500,"Warranty","Warranty"))</f>
        <v/>
      </c>
      <c r="D35" s="54">
        <f>IF(_calc!$E$37="","",IF(_calc!$E$37&lt;=500,IF(ISNUMBER(INDEX('Dealer pipeline'!$H$4:$H$503,_calc!$E$37)),TEXT(INDEX('Dealer pipeline'!$H$4:$H$503,_calc!$E$37),"yyyy-mm-dd"),""),IF(ISNUMBER(INDEX('My equipment'!$H$4:$H$503,(_calc!$E$37-500))),TEXT(INDEX('My equipment'!$H$4:$H$503,(_calc!$E$37-500)),"yyyy-mm-dd"),"")))</f>
        <v/>
      </c>
      <c r="F35" s="54">
        <f>IF(_calc!$E$37="","",IF(_calc!$E$37&lt;=500,TRIM(IF(LEN(IF(LEN(INDEX('Dealer pipeline'!$A$4:$A$503,_calc!$E$37))=0,"",INDEX('Dealer pipeline'!$A$4:$A$503,_calc!$E$37)))=0,"","Customer: "&amp;IF(LEN(INDEX('Dealer pipeline'!$A$4:$A$503,_calc!$E$37))=0,"",INDEX('Dealer pipeline'!$A$4:$A$503,_calc!$E$37))&amp;". ")&amp;IF(LEN(IF(LEN(INDEX('Dealer pipeline'!$B$4:$B$503,_calc!$E$37))=0,"",INDEX('Dealer pipeline'!$B$4:$B$503,_calc!$E$37)))=0,"","Contact: "&amp;IF(LEN(INDEX('Dealer pipeline'!$B$4:$B$503,_calc!$E$37))=0,"",INDEX('Dealer pipeline'!$B$4:$B$503,_calc!$E$37))&amp;". ")&amp;IF(LEN(IF(LEN(INDEX('Dealer pipeline'!$D$4:$D$503,_calc!$E$37))=0,"",INDEX('Dealer pipeline'!$D$4:$D$503,_calc!$E$37)))=0,"","Serial: "&amp;IF(LEN(INDEX('Dealer pipeline'!$D$4:$D$503,_calc!$E$37))=0,"",INDEX('Dealer pipeline'!$D$4:$D$503,_calc!$E$37))&amp;". ")&amp;IF(LEN(IF(ISNUMBER(INDEX('Dealer pipeline'!$J$4:$J$503,_calc!$E$37)),TEXT(INDEX('Dealer pipeline'!$J$4:$J$503,_calc!$E$37),"yyyy-mm-dd"),""))=0,"","Parts end: "&amp;IF(ISNUMBER(INDEX('Dealer pipeline'!$J$4:$J$503,_calc!$E$37)),TEXT(INDEX('Dealer pipeline'!$J$4:$J$503,_calc!$E$37),"yyyy-mm-dd"),"")&amp;". ")&amp;IF(LEN(IF(ISNUMBER(INDEX('Dealer pipeline'!$L$4:$L$503,_calc!$E$37)),TEXT(INDEX('Dealer pipeline'!$L$4:$L$503,_calc!$E$37),"yyyy-mm-dd"),""))=0,"","Labor end: "&amp;IF(ISNUMBER(INDEX('Dealer pipeline'!$L$4:$L$503,_calc!$E$37)),TEXT(INDEX('Dealer pipeline'!$L$4:$L$503,_calc!$E$37),"yyyy-mm-dd"),"")&amp;". ")&amp;IF(LEN(IF(LEN(INDEX('Dealer pipeline'!$Q$4:$Q$503,_calc!$E$37))=0,"",INDEX('Dealer pipeline'!$Q$4:$Q$503,_calc!$E$37)))=0,"","Status: "&amp;IF(LEN(INDEX('Dealer pipeline'!$Q$4:$Q$503,_calc!$E$37))=0,"",INDEX('Dealer pipeline'!$Q$4:$Q$503,_calc!$E$37))&amp;". ")&amp;IF(LEN(IF(LEN(INDEX('Dealer pipeline'!$P$4:$P$503,_calc!$E$37))=0,"",INDEX('Dealer pipeline'!$P$4:$P$503,_calc!$E$37)))=0,"","Last touch: "&amp;IF(LEN(INDEX('Dealer pipeline'!$P$4:$P$503,_calc!$E$37))=0,"",INDEX('Dealer pipeline'!$P$4:$P$503,_calc!$E$37))&amp;". ")&amp;IF(LEN(IF(LEN(INDEX('Dealer pipeline'!$R$4:$R$503,_calc!$E$37))=0,"",INDEX('Dealer pipeline'!$R$4:$R$503,_calc!$E$37)))=0,"","Owner: "&amp;IF(LEN(INDEX('Dealer pipeline'!$R$4:$R$503,_calc!$E$37))=0,"",INDEX('Dealer pipeline'!$R$4:$R$503,_calc!$E$37))&amp;". ")&amp;IF(LEN(IF(LEN(INDEX('Dealer pipeline'!$S$4:$S$503,_calc!$E$37))=0,"",INDEX('Dealer pipeline'!$S$4:$S$503,_calc!$E$37)))=0,"","Backup: "&amp;IF(LEN(INDEX('Dealer pipeline'!$S$4:$S$503,_calc!$E$37))=0,"",INDEX('Dealer pipeline'!$S$4:$S$503,_calc!$E$37))&amp;". ")&amp;IF(LEN(IF(LEN(INDEX('Dealer pipeline'!$T$4:$T$503,_calc!$E$37))=0,"",INDEX('Dealer pipeline'!$T$4:$T$503,_calc!$E$37)))=0,"",IF(LEN(INDEX('Dealer pipeline'!$T$4:$T$503,_calc!$E$37))=0,"",INDEX('Dealer pipeline'!$T$4:$T$503,_calc!$E$37)))),TRIM(IF(LEN(IF(LEN(INDEX('My equipment'!$C$4:$C$503,(_calc!$E$37-500)))=0,"",INDEX('My equipment'!$C$4:$C$503,(_calc!$E$37-500))))=0,"","Model: "&amp;IF(LEN(INDEX('My equipment'!$C$4:$C$503,(_calc!$E$37-500)))=0,"",INDEX('My equipment'!$C$4:$C$503,(_calc!$E$37-500)))&amp;". ")&amp;IF(LEN(IF(LEN(INDEX('My equipment'!$D$4:$D$503,(_calc!$E$37-500)))=0,"",INDEX('My equipment'!$D$4:$D$503,(_calc!$E$37-500))))=0,"","Serial: "&amp;IF(LEN(INDEX('My equipment'!$D$4:$D$503,(_calc!$E$37-500)))=0,"",INDEX('My equipment'!$D$4:$D$503,(_calc!$E$37-500)))&amp;". ")&amp;IF(LEN(IF(ISNUMBER(INDEX('My equipment'!$J$4:$J$503,(_calc!$E$37-500))),TEXT(INDEX('My equipment'!$J$4:$J$503,(_calc!$E$37-500)),"yyyy-mm-dd"),""))=0,"","Parts end: "&amp;IF(ISNUMBER(INDEX('My equipment'!$J$4:$J$503,(_calc!$E$37-500))),TEXT(INDEX('My equipment'!$J$4:$J$503,(_calc!$E$37-500)),"yyyy-mm-dd"),"")&amp;". ")&amp;IF(LEN(IF(ISNUMBER(INDEX('My equipment'!$L$4:$L$503,(_calc!$E$37-500))),TEXT(INDEX('My equipment'!$L$4:$L$503,(_calc!$E$37-500)),"yyyy-mm-dd"),""))=0,"","Labor end: "&amp;IF(ISNUMBER(INDEX('My equipment'!$L$4:$L$503,(_calc!$E$37-500))),TEXT(INDEX('My equipment'!$L$4:$L$503,(_calc!$E$37-500)),"yyyy-mm-dd"),"")&amp;". ")&amp;IF(LEN(IF(ISNUMBER(INDEX('My equipment'!$P$4:$P$503,(_calc!$E$37-500))),TEXT(INDEX('My equipment'!$P$4:$P$503,(_calc!$E$37-500)),"yyyy-mm-dd"),""))=0,"","Check by: "&amp;IF(ISNUMBER(INDEX('My equipment'!$P$4:$P$503,(_calc!$E$37-500))),TEXT(INDEX('My equipment'!$P$4:$P$503,(_calc!$E$37-500)),"yyyy-mm-dd"),"")&amp;". ")&amp;IF(LEN(IF(LEN(INDEX('My equipment'!$Q$4:$Q$503,(_calc!$E$37-500)))=0,"",INDEX('My equipment'!$Q$4:$Q$503,(_calc!$E$37-500))))=0,"","Claim status: "&amp;IF(LEN(INDEX('My equipment'!$Q$4:$Q$503,(_calc!$E$37-500)))=0,"",INDEX('My equipment'!$Q$4:$Q$503,(_calc!$E$37-500)))&amp;". ")&amp;IF(LEN(IF(LEN(INDEX('My equipment'!$R$4:$R$503,(_calc!$E$37-500)))=0,"",INDEX('My equipment'!$R$4:$R$503,(_calc!$E$37-500))))=0,"","Claims contact: "&amp;IF(LEN(INDEX('My equipment'!$R$4:$R$503,(_calc!$E$37-500)))=0,"",INDEX('My equipment'!$R$4:$R$503,(_calc!$E$37-500)))&amp;". ")&amp;IF(LEN(IF(LEN(INDEX('My equipment'!$S$4:$S$503,(_calc!$E$37-500)))=0,"",INDEX('My equipment'!$S$4:$S$503,(_calc!$E$37-500))))=0,"","Claims email: "&amp;IF(LEN(INDEX('My equipment'!$S$4:$S$503,(_calc!$E$37-500)))=0,"",INDEX('My equipment'!$S$4:$S$503,(_calc!$E$37-500)))&amp;". ")&amp;IF(LEN(IF(LEN(INDEX('My equipment'!$U$4:$U$503,(_calc!$E$37-500)))=0,"",INDEX('My equipment'!$U$4:$U$503,(_calc!$E$37-500))))=0,"","Registered: "&amp;IF(LEN(INDEX('My equipment'!$U$4:$U$503,(_calc!$E$37-500)))=0,"",INDEX('My equipment'!$U$4:$U$503,(_calc!$E$37-500)))&amp;". ")&amp;IF(LEN(IF(LEN(INDEX('My equipment'!$V$4:$V$503,(_calc!$E$37-500)))=0,"",INDEX('My equipment'!$V$4:$V$503,(_calc!$E$37-500))))=0,"","Proof on file: "&amp;IF(LEN(INDEX('My equipment'!$V$4:$V$503,(_calc!$E$37-500)))=0,"",INDEX('My equipment'!$V$4:$V$503,(_calc!$E$37-500)))&amp;". ")&amp;IF(LEN(IF(LEN(INDEX('My equipment'!$W$4:$W$503,(_calc!$E$37-500)))=0,"",INDEX('My equipment'!$W$4:$W$503,(_calc!$E$37-500))))=0,"","Claim ref: "&amp;IF(LEN(INDEX('My equipment'!$W$4:$W$503,(_calc!$E$37-500)))=0,"",INDEX('My equipment'!$W$4:$W$503,(_calc!$E$37-500)))&amp;". ")&amp;IF(LEN(IF(LEN(INDEX('My equipment'!$Y$4:$Y$503,(_calc!$E$37-500)))=0,"",INDEX('My equipment'!$Y$4:$Y$503,(_calc!$E$37-500))))=0,"",IF(LEN(INDEX('My equipment'!$Y$4:$Y$503,(_calc!$E$37-500)))=0,"",INDEX('My equipment'!$Y$4:$Y$503,(_calc!$E$37-500)))))))</f>
        <v/>
      </c>
      <c r="G35" s="54">
        <f>IF(_calc!$E$37="","",IF(_calc!$E$37&lt;=500,"",IF(LEN(INDEX('My equipment'!$X$4:$X$503,(_calc!$E$37-500)))=0,"",INDEX('My equipment'!$X$4:$X$503,(_calc!$E$37-500)))))</f>
        <v/>
      </c>
      <c r="K35" s="54">
        <f>IF(_calc!$E$37="","",IF(_calc!$E$37&lt;=500,"",IF(LEN(INDEX('My equipment'!$T$4:$T$503,(_calc!$E$37-500)))=0,"",INDEX('My equipment'!$T$4:$T$503,(_calc!$E$37-500)))))</f>
        <v/>
      </c>
    </row>
    <row r="36">
      <c r="A36" s="54">
        <f>IF(_calc!$E$38="","",IF(_calc!$E$38&lt;=500,"Warranty – "&amp;IF(LEN(INDEX('Dealer pipeline'!$C$4:$C$503,_calc!$E$38))=0,"",INDEX('Dealer pipeline'!$C$4:$C$503,_calc!$E$38))&amp;" – "&amp;IF(LEN(INDEX('Dealer pipeline'!$D$4:$D$503,_calc!$E$38))=0,"",INDEX('Dealer pipeline'!$D$4:$D$503,_calc!$E$38))&amp;" – "&amp;IF(LEN(INDEX('Dealer pipeline'!$A$4:$A$503,_calc!$E$38))=0,"",INDEX('Dealer pipeline'!$A$4:$A$503,_calc!$E$38)),"Warranty – "&amp;IF(LEN(INDEX('My equipment'!$A$4:$A$503,(_calc!$E$38-500)))=0,"",INDEX('My equipment'!$A$4:$A$503,(_calc!$E$38-500)))&amp;" – "&amp;IF(LEN(INDEX('My equipment'!$D$4:$D$503,(_calc!$E$38-500)))=0,"",INDEX('My equipment'!$D$4:$D$503,(_calc!$E$38-500)))))</f>
        <v/>
      </c>
      <c r="B36" s="54">
        <f>IF(_calc!$E$38="","",IF(_calc!$E$38&lt;=500,IF(ISNUMBER(INDEX('Dealer pipeline'!$M$4:$M$503,_calc!$E$38)),TEXT(INDEX('Dealer pipeline'!$M$4:$M$503,_calc!$E$38),"yyyy-mm-dd"),""),IF(ISNUMBER(INDEX('My equipment'!$M$4:$M$503,(_calc!$E$38-500))),TEXT(INDEX('My equipment'!$M$4:$M$503,(_calc!$E$38-500)),"yyyy-mm-dd"),"")))</f>
        <v/>
      </c>
      <c r="C36" s="54">
        <f>IF(_calc!$E$38="","",IF(_calc!$E$38&lt;=500,"Warranty","Warranty"))</f>
        <v/>
      </c>
      <c r="D36" s="54">
        <f>IF(_calc!$E$38="","",IF(_calc!$E$38&lt;=500,IF(ISNUMBER(INDEX('Dealer pipeline'!$H$4:$H$503,_calc!$E$38)),TEXT(INDEX('Dealer pipeline'!$H$4:$H$503,_calc!$E$38),"yyyy-mm-dd"),""),IF(ISNUMBER(INDEX('My equipment'!$H$4:$H$503,(_calc!$E$38-500))),TEXT(INDEX('My equipment'!$H$4:$H$503,(_calc!$E$38-500)),"yyyy-mm-dd"),"")))</f>
        <v/>
      </c>
      <c r="F36" s="54">
        <f>IF(_calc!$E$38="","",IF(_calc!$E$38&lt;=500,TRIM(IF(LEN(IF(LEN(INDEX('Dealer pipeline'!$A$4:$A$503,_calc!$E$38))=0,"",INDEX('Dealer pipeline'!$A$4:$A$503,_calc!$E$38)))=0,"","Customer: "&amp;IF(LEN(INDEX('Dealer pipeline'!$A$4:$A$503,_calc!$E$38))=0,"",INDEX('Dealer pipeline'!$A$4:$A$503,_calc!$E$38))&amp;". ")&amp;IF(LEN(IF(LEN(INDEX('Dealer pipeline'!$B$4:$B$503,_calc!$E$38))=0,"",INDEX('Dealer pipeline'!$B$4:$B$503,_calc!$E$38)))=0,"","Contact: "&amp;IF(LEN(INDEX('Dealer pipeline'!$B$4:$B$503,_calc!$E$38))=0,"",INDEX('Dealer pipeline'!$B$4:$B$503,_calc!$E$38))&amp;". ")&amp;IF(LEN(IF(LEN(INDEX('Dealer pipeline'!$D$4:$D$503,_calc!$E$38))=0,"",INDEX('Dealer pipeline'!$D$4:$D$503,_calc!$E$38)))=0,"","Serial: "&amp;IF(LEN(INDEX('Dealer pipeline'!$D$4:$D$503,_calc!$E$38))=0,"",INDEX('Dealer pipeline'!$D$4:$D$503,_calc!$E$38))&amp;". ")&amp;IF(LEN(IF(ISNUMBER(INDEX('Dealer pipeline'!$J$4:$J$503,_calc!$E$38)),TEXT(INDEX('Dealer pipeline'!$J$4:$J$503,_calc!$E$38),"yyyy-mm-dd"),""))=0,"","Parts end: "&amp;IF(ISNUMBER(INDEX('Dealer pipeline'!$J$4:$J$503,_calc!$E$38)),TEXT(INDEX('Dealer pipeline'!$J$4:$J$503,_calc!$E$38),"yyyy-mm-dd"),"")&amp;". ")&amp;IF(LEN(IF(ISNUMBER(INDEX('Dealer pipeline'!$L$4:$L$503,_calc!$E$38)),TEXT(INDEX('Dealer pipeline'!$L$4:$L$503,_calc!$E$38),"yyyy-mm-dd"),""))=0,"","Labor end: "&amp;IF(ISNUMBER(INDEX('Dealer pipeline'!$L$4:$L$503,_calc!$E$38)),TEXT(INDEX('Dealer pipeline'!$L$4:$L$503,_calc!$E$38),"yyyy-mm-dd"),"")&amp;". ")&amp;IF(LEN(IF(LEN(INDEX('Dealer pipeline'!$Q$4:$Q$503,_calc!$E$38))=0,"",INDEX('Dealer pipeline'!$Q$4:$Q$503,_calc!$E$38)))=0,"","Status: "&amp;IF(LEN(INDEX('Dealer pipeline'!$Q$4:$Q$503,_calc!$E$38))=0,"",INDEX('Dealer pipeline'!$Q$4:$Q$503,_calc!$E$38))&amp;". ")&amp;IF(LEN(IF(LEN(INDEX('Dealer pipeline'!$P$4:$P$503,_calc!$E$38))=0,"",INDEX('Dealer pipeline'!$P$4:$P$503,_calc!$E$38)))=0,"","Last touch: "&amp;IF(LEN(INDEX('Dealer pipeline'!$P$4:$P$503,_calc!$E$38))=0,"",INDEX('Dealer pipeline'!$P$4:$P$503,_calc!$E$38))&amp;". ")&amp;IF(LEN(IF(LEN(INDEX('Dealer pipeline'!$R$4:$R$503,_calc!$E$38))=0,"",INDEX('Dealer pipeline'!$R$4:$R$503,_calc!$E$38)))=0,"","Owner: "&amp;IF(LEN(INDEX('Dealer pipeline'!$R$4:$R$503,_calc!$E$38))=0,"",INDEX('Dealer pipeline'!$R$4:$R$503,_calc!$E$38))&amp;". ")&amp;IF(LEN(IF(LEN(INDEX('Dealer pipeline'!$S$4:$S$503,_calc!$E$38))=0,"",INDEX('Dealer pipeline'!$S$4:$S$503,_calc!$E$38)))=0,"","Backup: "&amp;IF(LEN(INDEX('Dealer pipeline'!$S$4:$S$503,_calc!$E$38))=0,"",INDEX('Dealer pipeline'!$S$4:$S$503,_calc!$E$38))&amp;". ")&amp;IF(LEN(IF(LEN(INDEX('Dealer pipeline'!$T$4:$T$503,_calc!$E$38))=0,"",INDEX('Dealer pipeline'!$T$4:$T$503,_calc!$E$38)))=0,"",IF(LEN(INDEX('Dealer pipeline'!$T$4:$T$503,_calc!$E$38))=0,"",INDEX('Dealer pipeline'!$T$4:$T$503,_calc!$E$38)))),TRIM(IF(LEN(IF(LEN(INDEX('My equipment'!$C$4:$C$503,(_calc!$E$38-500)))=0,"",INDEX('My equipment'!$C$4:$C$503,(_calc!$E$38-500))))=0,"","Model: "&amp;IF(LEN(INDEX('My equipment'!$C$4:$C$503,(_calc!$E$38-500)))=0,"",INDEX('My equipment'!$C$4:$C$503,(_calc!$E$38-500)))&amp;". ")&amp;IF(LEN(IF(LEN(INDEX('My equipment'!$D$4:$D$503,(_calc!$E$38-500)))=0,"",INDEX('My equipment'!$D$4:$D$503,(_calc!$E$38-500))))=0,"","Serial: "&amp;IF(LEN(INDEX('My equipment'!$D$4:$D$503,(_calc!$E$38-500)))=0,"",INDEX('My equipment'!$D$4:$D$503,(_calc!$E$38-500)))&amp;". ")&amp;IF(LEN(IF(ISNUMBER(INDEX('My equipment'!$J$4:$J$503,(_calc!$E$38-500))),TEXT(INDEX('My equipment'!$J$4:$J$503,(_calc!$E$38-500)),"yyyy-mm-dd"),""))=0,"","Parts end: "&amp;IF(ISNUMBER(INDEX('My equipment'!$J$4:$J$503,(_calc!$E$38-500))),TEXT(INDEX('My equipment'!$J$4:$J$503,(_calc!$E$38-500)),"yyyy-mm-dd"),"")&amp;". ")&amp;IF(LEN(IF(ISNUMBER(INDEX('My equipment'!$L$4:$L$503,(_calc!$E$38-500))),TEXT(INDEX('My equipment'!$L$4:$L$503,(_calc!$E$38-500)),"yyyy-mm-dd"),""))=0,"","Labor end: "&amp;IF(ISNUMBER(INDEX('My equipment'!$L$4:$L$503,(_calc!$E$38-500))),TEXT(INDEX('My equipment'!$L$4:$L$503,(_calc!$E$38-500)),"yyyy-mm-dd"),"")&amp;". ")&amp;IF(LEN(IF(ISNUMBER(INDEX('My equipment'!$P$4:$P$503,(_calc!$E$38-500))),TEXT(INDEX('My equipment'!$P$4:$P$503,(_calc!$E$38-500)),"yyyy-mm-dd"),""))=0,"","Check by: "&amp;IF(ISNUMBER(INDEX('My equipment'!$P$4:$P$503,(_calc!$E$38-500))),TEXT(INDEX('My equipment'!$P$4:$P$503,(_calc!$E$38-500)),"yyyy-mm-dd"),"")&amp;". ")&amp;IF(LEN(IF(LEN(INDEX('My equipment'!$Q$4:$Q$503,(_calc!$E$38-500)))=0,"",INDEX('My equipment'!$Q$4:$Q$503,(_calc!$E$38-500))))=0,"","Claim status: "&amp;IF(LEN(INDEX('My equipment'!$Q$4:$Q$503,(_calc!$E$38-500)))=0,"",INDEX('My equipment'!$Q$4:$Q$503,(_calc!$E$38-500)))&amp;". ")&amp;IF(LEN(IF(LEN(INDEX('My equipment'!$R$4:$R$503,(_calc!$E$38-500)))=0,"",INDEX('My equipment'!$R$4:$R$503,(_calc!$E$38-500))))=0,"","Claims contact: "&amp;IF(LEN(INDEX('My equipment'!$R$4:$R$503,(_calc!$E$38-500)))=0,"",INDEX('My equipment'!$R$4:$R$503,(_calc!$E$38-500)))&amp;". ")&amp;IF(LEN(IF(LEN(INDEX('My equipment'!$S$4:$S$503,(_calc!$E$38-500)))=0,"",INDEX('My equipment'!$S$4:$S$503,(_calc!$E$38-500))))=0,"","Claims email: "&amp;IF(LEN(INDEX('My equipment'!$S$4:$S$503,(_calc!$E$38-500)))=0,"",INDEX('My equipment'!$S$4:$S$503,(_calc!$E$38-500)))&amp;". ")&amp;IF(LEN(IF(LEN(INDEX('My equipment'!$U$4:$U$503,(_calc!$E$38-500)))=0,"",INDEX('My equipment'!$U$4:$U$503,(_calc!$E$38-500))))=0,"","Registered: "&amp;IF(LEN(INDEX('My equipment'!$U$4:$U$503,(_calc!$E$38-500)))=0,"",INDEX('My equipment'!$U$4:$U$503,(_calc!$E$38-500)))&amp;". ")&amp;IF(LEN(IF(LEN(INDEX('My equipment'!$V$4:$V$503,(_calc!$E$38-500)))=0,"",INDEX('My equipment'!$V$4:$V$503,(_calc!$E$38-500))))=0,"","Proof on file: "&amp;IF(LEN(INDEX('My equipment'!$V$4:$V$503,(_calc!$E$38-500)))=0,"",INDEX('My equipment'!$V$4:$V$503,(_calc!$E$38-500)))&amp;". ")&amp;IF(LEN(IF(LEN(INDEX('My equipment'!$W$4:$W$503,(_calc!$E$38-500)))=0,"",INDEX('My equipment'!$W$4:$W$503,(_calc!$E$38-500))))=0,"","Claim ref: "&amp;IF(LEN(INDEX('My equipment'!$W$4:$W$503,(_calc!$E$38-500)))=0,"",INDEX('My equipment'!$W$4:$W$503,(_calc!$E$38-500)))&amp;". ")&amp;IF(LEN(IF(LEN(INDEX('My equipment'!$Y$4:$Y$503,(_calc!$E$38-500)))=0,"",INDEX('My equipment'!$Y$4:$Y$503,(_calc!$E$38-500))))=0,"",IF(LEN(INDEX('My equipment'!$Y$4:$Y$503,(_calc!$E$38-500)))=0,"",INDEX('My equipment'!$Y$4:$Y$503,(_calc!$E$38-500)))))))</f>
        <v/>
      </c>
      <c r="G36" s="54">
        <f>IF(_calc!$E$38="","",IF(_calc!$E$38&lt;=500,"",IF(LEN(INDEX('My equipment'!$X$4:$X$503,(_calc!$E$38-500)))=0,"",INDEX('My equipment'!$X$4:$X$503,(_calc!$E$38-500)))))</f>
        <v/>
      </c>
      <c r="K36" s="54">
        <f>IF(_calc!$E$38="","",IF(_calc!$E$38&lt;=500,"",IF(LEN(INDEX('My equipment'!$T$4:$T$503,(_calc!$E$38-500)))=0,"",INDEX('My equipment'!$T$4:$T$503,(_calc!$E$38-500)))))</f>
        <v/>
      </c>
    </row>
    <row r="37">
      <c r="A37" s="54">
        <f>IF(_calc!$E$39="","",IF(_calc!$E$39&lt;=500,"Warranty – "&amp;IF(LEN(INDEX('Dealer pipeline'!$C$4:$C$503,_calc!$E$39))=0,"",INDEX('Dealer pipeline'!$C$4:$C$503,_calc!$E$39))&amp;" – "&amp;IF(LEN(INDEX('Dealer pipeline'!$D$4:$D$503,_calc!$E$39))=0,"",INDEX('Dealer pipeline'!$D$4:$D$503,_calc!$E$39))&amp;" – "&amp;IF(LEN(INDEX('Dealer pipeline'!$A$4:$A$503,_calc!$E$39))=0,"",INDEX('Dealer pipeline'!$A$4:$A$503,_calc!$E$39)),"Warranty – "&amp;IF(LEN(INDEX('My equipment'!$A$4:$A$503,(_calc!$E$39-500)))=0,"",INDEX('My equipment'!$A$4:$A$503,(_calc!$E$39-500)))&amp;" – "&amp;IF(LEN(INDEX('My equipment'!$D$4:$D$503,(_calc!$E$39-500)))=0,"",INDEX('My equipment'!$D$4:$D$503,(_calc!$E$39-500)))))</f>
        <v/>
      </c>
      <c r="B37" s="54">
        <f>IF(_calc!$E$39="","",IF(_calc!$E$39&lt;=500,IF(ISNUMBER(INDEX('Dealer pipeline'!$M$4:$M$503,_calc!$E$39)),TEXT(INDEX('Dealer pipeline'!$M$4:$M$503,_calc!$E$39),"yyyy-mm-dd"),""),IF(ISNUMBER(INDEX('My equipment'!$M$4:$M$503,(_calc!$E$39-500))),TEXT(INDEX('My equipment'!$M$4:$M$503,(_calc!$E$39-500)),"yyyy-mm-dd"),"")))</f>
        <v/>
      </c>
      <c r="C37" s="54">
        <f>IF(_calc!$E$39="","",IF(_calc!$E$39&lt;=500,"Warranty","Warranty"))</f>
        <v/>
      </c>
      <c r="D37" s="54">
        <f>IF(_calc!$E$39="","",IF(_calc!$E$39&lt;=500,IF(ISNUMBER(INDEX('Dealer pipeline'!$H$4:$H$503,_calc!$E$39)),TEXT(INDEX('Dealer pipeline'!$H$4:$H$503,_calc!$E$39),"yyyy-mm-dd"),""),IF(ISNUMBER(INDEX('My equipment'!$H$4:$H$503,(_calc!$E$39-500))),TEXT(INDEX('My equipment'!$H$4:$H$503,(_calc!$E$39-500)),"yyyy-mm-dd"),"")))</f>
        <v/>
      </c>
      <c r="F37" s="54">
        <f>IF(_calc!$E$39="","",IF(_calc!$E$39&lt;=500,TRIM(IF(LEN(IF(LEN(INDEX('Dealer pipeline'!$A$4:$A$503,_calc!$E$39))=0,"",INDEX('Dealer pipeline'!$A$4:$A$503,_calc!$E$39)))=0,"","Customer: "&amp;IF(LEN(INDEX('Dealer pipeline'!$A$4:$A$503,_calc!$E$39))=0,"",INDEX('Dealer pipeline'!$A$4:$A$503,_calc!$E$39))&amp;". ")&amp;IF(LEN(IF(LEN(INDEX('Dealer pipeline'!$B$4:$B$503,_calc!$E$39))=0,"",INDEX('Dealer pipeline'!$B$4:$B$503,_calc!$E$39)))=0,"","Contact: "&amp;IF(LEN(INDEX('Dealer pipeline'!$B$4:$B$503,_calc!$E$39))=0,"",INDEX('Dealer pipeline'!$B$4:$B$503,_calc!$E$39))&amp;". ")&amp;IF(LEN(IF(LEN(INDEX('Dealer pipeline'!$D$4:$D$503,_calc!$E$39))=0,"",INDEX('Dealer pipeline'!$D$4:$D$503,_calc!$E$39)))=0,"","Serial: "&amp;IF(LEN(INDEX('Dealer pipeline'!$D$4:$D$503,_calc!$E$39))=0,"",INDEX('Dealer pipeline'!$D$4:$D$503,_calc!$E$39))&amp;". ")&amp;IF(LEN(IF(ISNUMBER(INDEX('Dealer pipeline'!$J$4:$J$503,_calc!$E$39)),TEXT(INDEX('Dealer pipeline'!$J$4:$J$503,_calc!$E$39),"yyyy-mm-dd"),""))=0,"","Parts end: "&amp;IF(ISNUMBER(INDEX('Dealer pipeline'!$J$4:$J$503,_calc!$E$39)),TEXT(INDEX('Dealer pipeline'!$J$4:$J$503,_calc!$E$39),"yyyy-mm-dd"),"")&amp;". ")&amp;IF(LEN(IF(ISNUMBER(INDEX('Dealer pipeline'!$L$4:$L$503,_calc!$E$39)),TEXT(INDEX('Dealer pipeline'!$L$4:$L$503,_calc!$E$39),"yyyy-mm-dd"),""))=0,"","Labor end: "&amp;IF(ISNUMBER(INDEX('Dealer pipeline'!$L$4:$L$503,_calc!$E$39)),TEXT(INDEX('Dealer pipeline'!$L$4:$L$503,_calc!$E$39),"yyyy-mm-dd"),"")&amp;". ")&amp;IF(LEN(IF(LEN(INDEX('Dealer pipeline'!$Q$4:$Q$503,_calc!$E$39))=0,"",INDEX('Dealer pipeline'!$Q$4:$Q$503,_calc!$E$39)))=0,"","Status: "&amp;IF(LEN(INDEX('Dealer pipeline'!$Q$4:$Q$503,_calc!$E$39))=0,"",INDEX('Dealer pipeline'!$Q$4:$Q$503,_calc!$E$39))&amp;". ")&amp;IF(LEN(IF(LEN(INDEX('Dealer pipeline'!$P$4:$P$503,_calc!$E$39))=0,"",INDEX('Dealer pipeline'!$P$4:$P$503,_calc!$E$39)))=0,"","Last touch: "&amp;IF(LEN(INDEX('Dealer pipeline'!$P$4:$P$503,_calc!$E$39))=0,"",INDEX('Dealer pipeline'!$P$4:$P$503,_calc!$E$39))&amp;". ")&amp;IF(LEN(IF(LEN(INDEX('Dealer pipeline'!$R$4:$R$503,_calc!$E$39))=0,"",INDEX('Dealer pipeline'!$R$4:$R$503,_calc!$E$39)))=0,"","Owner: "&amp;IF(LEN(INDEX('Dealer pipeline'!$R$4:$R$503,_calc!$E$39))=0,"",INDEX('Dealer pipeline'!$R$4:$R$503,_calc!$E$39))&amp;". ")&amp;IF(LEN(IF(LEN(INDEX('Dealer pipeline'!$S$4:$S$503,_calc!$E$39))=0,"",INDEX('Dealer pipeline'!$S$4:$S$503,_calc!$E$39)))=0,"","Backup: "&amp;IF(LEN(INDEX('Dealer pipeline'!$S$4:$S$503,_calc!$E$39))=0,"",INDEX('Dealer pipeline'!$S$4:$S$503,_calc!$E$39))&amp;". ")&amp;IF(LEN(IF(LEN(INDEX('Dealer pipeline'!$T$4:$T$503,_calc!$E$39))=0,"",INDEX('Dealer pipeline'!$T$4:$T$503,_calc!$E$39)))=0,"",IF(LEN(INDEX('Dealer pipeline'!$T$4:$T$503,_calc!$E$39))=0,"",INDEX('Dealer pipeline'!$T$4:$T$503,_calc!$E$39)))),TRIM(IF(LEN(IF(LEN(INDEX('My equipment'!$C$4:$C$503,(_calc!$E$39-500)))=0,"",INDEX('My equipment'!$C$4:$C$503,(_calc!$E$39-500))))=0,"","Model: "&amp;IF(LEN(INDEX('My equipment'!$C$4:$C$503,(_calc!$E$39-500)))=0,"",INDEX('My equipment'!$C$4:$C$503,(_calc!$E$39-500)))&amp;". ")&amp;IF(LEN(IF(LEN(INDEX('My equipment'!$D$4:$D$503,(_calc!$E$39-500)))=0,"",INDEX('My equipment'!$D$4:$D$503,(_calc!$E$39-500))))=0,"","Serial: "&amp;IF(LEN(INDEX('My equipment'!$D$4:$D$503,(_calc!$E$39-500)))=0,"",INDEX('My equipment'!$D$4:$D$503,(_calc!$E$39-500)))&amp;". ")&amp;IF(LEN(IF(ISNUMBER(INDEX('My equipment'!$J$4:$J$503,(_calc!$E$39-500))),TEXT(INDEX('My equipment'!$J$4:$J$503,(_calc!$E$39-500)),"yyyy-mm-dd"),""))=0,"","Parts end: "&amp;IF(ISNUMBER(INDEX('My equipment'!$J$4:$J$503,(_calc!$E$39-500))),TEXT(INDEX('My equipment'!$J$4:$J$503,(_calc!$E$39-500)),"yyyy-mm-dd"),"")&amp;". ")&amp;IF(LEN(IF(ISNUMBER(INDEX('My equipment'!$L$4:$L$503,(_calc!$E$39-500))),TEXT(INDEX('My equipment'!$L$4:$L$503,(_calc!$E$39-500)),"yyyy-mm-dd"),""))=0,"","Labor end: "&amp;IF(ISNUMBER(INDEX('My equipment'!$L$4:$L$503,(_calc!$E$39-500))),TEXT(INDEX('My equipment'!$L$4:$L$503,(_calc!$E$39-500)),"yyyy-mm-dd"),"")&amp;". ")&amp;IF(LEN(IF(ISNUMBER(INDEX('My equipment'!$P$4:$P$503,(_calc!$E$39-500))),TEXT(INDEX('My equipment'!$P$4:$P$503,(_calc!$E$39-500)),"yyyy-mm-dd"),""))=0,"","Check by: "&amp;IF(ISNUMBER(INDEX('My equipment'!$P$4:$P$503,(_calc!$E$39-500))),TEXT(INDEX('My equipment'!$P$4:$P$503,(_calc!$E$39-500)),"yyyy-mm-dd"),"")&amp;". ")&amp;IF(LEN(IF(LEN(INDEX('My equipment'!$Q$4:$Q$503,(_calc!$E$39-500)))=0,"",INDEX('My equipment'!$Q$4:$Q$503,(_calc!$E$39-500))))=0,"","Claim status: "&amp;IF(LEN(INDEX('My equipment'!$Q$4:$Q$503,(_calc!$E$39-500)))=0,"",INDEX('My equipment'!$Q$4:$Q$503,(_calc!$E$39-500)))&amp;". ")&amp;IF(LEN(IF(LEN(INDEX('My equipment'!$R$4:$R$503,(_calc!$E$39-500)))=0,"",INDEX('My equipment'!$R$4:$R$503,(_calc!$E$39-500))))=0,"","Claims contact: "&amp;IF(LEN(INDEX('My equipment'!$R$4:$R$503,(_calc!$E$39-500)))=0,"",INDEX('My equipment'!$R$4:$R$503,(_calc!$E$39-500)))&amp;". ")&amp;IF(LEN(IF(LEN(INDEX('My equipment'!$S$4:$S$503,(_calc!$E$39-500)))=0,"",INDEX('My equipment'!$S$4:$S$503,(_calc!$E$39-500))))=0,"","Claims email: "&amp;IF(LEN(INDEX('My equipment'!$S$4:$S$503,(_calc!$E$39-500)))=0,"",INDEX('My equipment'!$S$4:$S$503,(_calc!$E$39-500)))&amp;". ")&amp;IF(LEN(IF(LEN(INDEX('My equipment'!$U$4:$U$503,(_calc!$E$39-500)))=0,"",INDEX('My equipment'!$U$4:$U$503,(_calc!$E$39-500))))=0,"","Registered: "&amp;IF(LEN(INDEX('My equipment'!$U$4:$U$503,(_calc!$E$39-500)))=0,"",INDEX('My equipment'!$U$4:$U$503,(_calc!$E$39-500)))&amp;". ")&amp;IF(LEN(IF(LEN(INDEX('My equipment'!$V$4:$V$503,(_calc!$E$39-500)))=0,"",INDEX('My equipment'!$V$4:$V$503,(_calc!$E$39-500))))=0,"","Proof on file: "&amp;IF(LEN(INDEX('My equipment'!$V$4:$V$503,(_calc!$E$39-500)))=0,"",INDEX('My equipment'!$V$4:$V$503,(_calc!$E$39-500)))&amp;". ")&amp;IF(LEN(IF(LEN(INDEX('My equipment'!$W$4:$W$503,(_calc!$E$39-500)))=0,"",INDEX('My equipment'!$W$4:$W$503,(_calc!$E$39-500))))=0,"","Claim ref: "&amp;IF(LEN(INDEX('My equipment'!$W$4:$W$503,(_calc!$E$39-500)))=0,"",INDEX('My equipment'!$W$4:$W$503,(_calc!$E$39-500)))&amp;". ")&amp;IF(LEN(IF(LEN(INDEX('My equipment'!$Y$4:$Y$503,(_calc!$E$39-500)))=0,"",INDEX('My equipment'!$Y$4:$Y$503,(_calc!$E$39-500))))=0,"",IF(LEN(INDEX('My equipment'!$Y$4:$Y$503,(_calc!$E$39-500)))=0,"",INDEX('My equipment'!$Y$4:$Y$503,(_calc!$E$39-500)))))))</f>
        <v/>
      </c>
      <c r="G37" s="54">
        <f>IF(_calc!$E$39="","",IF(_calc!$E$39&lt;=500,"",IF(LEN(INDEX('My equipment'!$X$4:$X$503,(_calc!$E$39-500)))=0,"",INDEX('My equipment'!$X$4:$X$503,(_calc!$E$39-500)))))</f>
        <v/>
      </c>
      <c r="K37" s="54">
        <f>IF(_calc!$E$39="","",IF(_calc!$E$39&lt;=500,"",IF(LEN(INDEX('My equipment'!$T$4:$T$503,(_calc!$E$39-500)))=0,"",INDEX('My equipment'!$T$4:$T$503,(_calc!$E$39-500)))))</f>
        <v/>
      </c>
    </row>
    <row r="38">
      <c r="A38" s="54">
        <f>IF(_calc!$E$40="","",IF(_calc!$E$40&lt;=500,"Warranty – "&amp;IF(LEN(INDEX('Dealer pipeline'!$C$4:$C$503,_calc!$E$40))=0,"",INDEX('Dealer pipeline'!$C$4:$C$503,_calc!$E$40))&amp;" – "&amp;IF(LEN(INDEX('Dealer pipeline'!$D$4:$D$503,_calc!$E$40))=0,"",INDEX('Dealer pipeline'!$D$4:$D$503,_calc!$E$40))&amp;" – "&amp;IF(LEN(INDEX('Dealer pipeline'!$A$4:$A$503,_calc!$E$40))=0,"",INDEX('Dealer pipeline'!$A$4:$A$503,_calc!$E$40)),"Warranty – "&amp;IF(LEN(INDEX('My equipment'!$A$4:$A$503,(_calc!$E$40-500)))=0,"",INDEX('My equipment'!$A$4:$A$503,(_calc!$E$40-500)))&amp;" – "&amp;IF(LEN(INDEX('My equipment'!$D$4:$D$503,(_calc!$E$40-500)))=0,"",INDEX('My equipment'!$D$4:$D$503,(_calc!$E$40-500)))))</f>
        <v/>
      </c>
      <c r="B38" s="54">
        <f>IF(_calc!$E$40="","",IF(_calc!$E$40&lt;=500,IF(ISNUMBER(INDEX('Dealer pipeline'!$M$4:$M$503,_calc!$E$40)),TEXT(INDEX('Dealer pipeline'!$M$4:$M$503,_calc!$E$40),"yyyy-mm-dd"),""),IF(ISNUMBER(INDEX('My equipment'!$M$4:$M$503,(_calc!$E$40-500))),TEXT(INDEX('My equipment'!$M$4:$M$503,(_calc!$E$40-500)),"yyyy-mm-dd"),"")))</f>
        <v/>
      </c>
      <c r="C38" s="54">
        <f>IF(_calc!$E$40="","",IF(_calc!$E$40&lt;=500,"Warranty","Warranty"))</f>
        <v/>
      </c>
      <c r="D38" s="54">
        <f>IF(_calc!$E$40="","",IF(_calc!$E$40&lt;=500,IF(ISNUMBER(INDEX('Dealer pipeline'!$H$4:$H$503,_calc!$E$40)),TEXT(INDEX('Dealer pipeline'!$H$4:$H$503,_calc!$E$40),"yyyy-mm-dd"),""),IF(ISNUMBER(INDEX('My equipment'!$H$4:$H$503,(_calc!$E$40-500))),TEXT(INDEX('My equipment'!$H$4:$H$503,(_calc!$E$40-500)),"yyyy-mm-dd"),"")))</f>
        <v/>
      </c>
      <c r="F38" s="54">
        <f>IF(_calc!$E$40="","",IF(_calc!$E$40&lt;=500,TRIM(IF(LEN(IF(LEN(INDEX('Dealer pipeline'!$A$4:$A$503,_calc!$E$40))=0,"",INDEX('Dealer pipeline'!$A$4:$A$503,_calc!$E$40)))=0,"","Customer: "&amp;IF(LEN(INDEX('Dealer pipeline'!$A$4:$A$503,_calc!$E$40))=0,"",INDEX('Dealer pipeline'!$A$4:$A$503,_calc!$E$40))&amp;". ")&amp;IF(LEN(IF(LEN(INDEX('Dealer pipeline'!$B$4:$B$503,_calc!$E$40))=0,"",INDEX('Dealer pipeline'!$B$4:$B$503,_calc!$E$40)))=0,"","Contact: "&amp;IF(LEN(INDEX('Dealer pipeline'!$B$4:$B$503,_calc!$E$40))=0,"",INDEX('Dealer pipeline'!$B$4:$B$503,_calc!$E$40))&amp;". ")&amp;IF(LEN(IF(LEN(INDEX('Dealer pipeline'!$D$4:$D$503,_calc!$E$40))=0,"",INDEX('Dealer pipeline'!$D$4:$D$503,_calc!$E$40)))=0,"","Serial: "&amp;IF(LEN(INDEX('Dealer pipeline'!$D$4:$D$503,_calc!$E$40))=0,"",INDEX('Dealer pipeline'!$D$4:$D$503,_calc!$E$40))&amp;". ")&amp;IF(LEN(IF(ISNUMBER(INDEX('Dealer pipeline'!$J$4:$J$503,_calc!$E$40)),TEXT(INDEX('Dealer pipeline'!$J$4:$J$503,_calc!$E$40),"yyyy-mm-dd"),""))=0,"","Parts end: "&amp;IF(ISNUMBER(INDEX('Dealer pipeline'!$J$4:$J$503,_calc!$E$40)),TEXT(INDEX('Dealer pipeline'!$J$4:$J$503,_calc!$E$40),"yyyy-mm-dd"),"")&amp;". ")&amp;IF(LEN(IF(ISNUMBER(INDEX('Dealer pipeline'!$L$4:$L$503,_calc!$E$40)),TEXT(INDEX('Dealer pipeline'!$L$4:$L$503,_calc!$E$40),"yyyy-mm-dd"),""))=0,"","Labor end: "&amp;IF(ISNUMBER(INDEX('Dealer pipeline'!$L$4:$L$503,_calc!$E$40)),TEXT(INDEX('Dealer pipeline'!$L$4:$L$503,_calc!$E$40),"yyyy-mm-dd"),"")&amp;". ")&amp;IF(LEN(IF(LEN(INDEX('Dealer pipeline'!$Q$4:$Q$503,_calc!$E$40))=0,"",INDEX('Dealer pipeline'!$Q$4:$Q$503,_calc!$E$40)))=0,"","Status: "&amp;IF(LEN(INDEX('Dealer pipeline'!$Q$4:$Q$503,_calc!$E$40))=0,"",INDEX('Dealer pipeline'!$Q$4:$Q$503,_calc!$E$40))&amp;". ")&amp;IF(LEN(IF(LEN(INDEX('Dealer pipeline'!$P$4:$P$503,_calc!$E$40))=0,"",INDEX('Dealer pipeline'!$P$4:$P$503,_calc!$E$40)))=0,"","Last touch: "&amp;IF(LEN(INDEX('Dealer pipeline'!$P$4:$P$503,_calc!$E$40))=0,"",INDEX('Dealer pipeline'!$P$4:$P$503,_calc!$E$40))&amp;". ")&amp;IF(LEN(IF(LEN(INDEX('Dealer pipeline'!$R$4:$R$503,_calc!$E$40))=0,"",INDEX('Dealer pipeline'!$R$4:$R$503,_calc!$E$40)))=0,"","Owner: "&amp;IF(LEN(INDEX('Dealer pipeline'!$R$4:$R$503,_calc!$E$40))=0,"",INDEX('Dealer pipeline'!$R$4:$R$503,_calc!$E$40))&amp;". ")&amp;IF(LEN(IF(LEN(INDEX('Dealer pipeline'!$S$4:$S$503,_calc!$E$40))=0,"",INDEX('Dealer pipeline'!$S$4:$S$503,_calc!$E$40)))=0,"","Backup: "&amp;IF(LEN(INDEX('Dealer pipeline'!$S$4:$S$503,_calc!$E$40))=0,"",INDEX('Dealer pipeline'!$S$4:$S$503,_calc!$E$40))&amp;". ")&amp;IF(LEN(IF(LEN(INDEX('Dealer pipeline'!$T$4:$T$503,_calc!$E$40))=0,"",INDEX('Dealer pipeline'!$T$4:$T$503,_calc!$E$40)))=0,"",IF(LEN(INDEX('Dealer pipeline'!$T$4:$T$503,_calc!$E$40))=0,"",INDEX('Dealer pipeline'!$T$4:$T$503,_calc!$E$40)))),TRIM(IF(LEN(IF(LEN(INDEX('My equipment'!$C$4:$C$503,(_calc!$E$40-500)))=0,"",INDEX('My equipment'!$C$4:$C$503,(_calc!$E$40-500))))=0,"","Model: "&amp;IF(LEN(INDEX('My equipment'!$C$4:$C$503,(_calc!$E$40-500)))=0,"",INDEX('My equipment'!$C$4:$C$503,(_calc!$E$40-500)))&amp;". ")&amp;IF(LEN(IF(LEN(INDEX('My equipment'!$D$4:$D$503,(_calc!$E$40-500)))=0,"",INDEX('My equipment'!$D$4:$D$503,(_calc!$E$40-500))))=0,"","Serial: "&amp;IF(LEN(INDEX('My equipment'!$D$4:$D$503,(_calc!$E$40-500)))=0,"",INDEX('My equipment'!$D$4:$D$503,(_calc!$E$40-500)))&amp;". ")&amp;IF(LEN(IF(ISNUMBER(INDEX('My equipment'!$J$4:$J$503,(_calc!$E$40-500))),TEXT(INDEX('My equipment'!$J$4:$J$503,(_calc!$E$40-500)),"yyyy-mm-dd"),""))=0,"","Parts end: "&amp;IF(ISNUMBER(INDEX('My equipment'!$J$4:$J$503,(_calc!$E$40-500))),TEXT(INDEX('My equipment'!$J$4:$J$503,(_calc!$E$40-500)),"yyyy-mm-dd"),"")&amp;". ")&amp;IF(LEN(IF(ISNUMBER(INDEX('My equipment'!$L$4:$L$503,(_calc!$E$40-500))),TEXT(INDEX('My equipment'!$L$4:$L$503,(_calc!$E$40-500)),"yyyy-mm-dd"),""))=0,"","Labor end: "&amp;IF(ISNUMBER(INDEX('My equipment'!$L$4:$L$503,(_calc!$E$40-500))),TEXT(INDEX('My equipment'!$L$4:$L$503,(_calc!$E$40-500)),"yyyy-mm-dd"),"")&amp;". ")&amp;IF(LEN(IF(ISNUMBER(INDEX('My equipment'!$P$4:$P$503,(_calc!$E$40-500))),TEXT(INDEX('My equipment'!$P$4:$P$503,(_calc!$E$40-500)),"yyyy-mm-dd"),""))=0,"","Check by: "&amp;IF(ISNUMBER(INDEX('My equipment'!$P$4:$P$503,(_calc!$E$40-500))),TEXT(INDEX('My equipment'!$P$4:$P$503,(_calc!$E$40-500)),"yyyy-mm-dd"),"")&amp;". ")&amp;IF(LEN(IF(LEN(INDEX('My equipment'!$Q$4:$Q$503,(_calc!$E$40-500)))=0,"",INDEX('My equipment'!$Q$4:$Q$503,(_calc!$E$40-500))))=0,"","Claim status: "&amp;IF(LEN(INDEX('My equipment'!$Q$4:$Q$503,(_calc!$E$40-500)))=0,"",INDEX('My equipment'!$Q$4:$Q$503,(_calc!$E$40-500)))&amp;". ")&amp;IF(LEN(IF(LEN(INDEX('My equipment'!$R$4:$R$503,(_calc!$E$40-500)))=0,"",INDEX('My equipment'!$R$4:$R$503,(_calc!$E$40-500))))=0,"","Claims contact: "&amp;IF(LEN(INDEX('My equipment'!$R$4:$R$503,(_calc!$E$40-500)))=0,"",INDEX('My equipment'!$R$4:$R$503,(_calc!$E$40-500)))&amp;". ")&amp;IF(LEN(IF(LEN(INDEX('My equipment'!$S$4:$S$503,(_calc!$E$40-500)))=0,"",INDEX('My equipment'!$S$4:$S$503,(_calc!$E$40-500))))=0,"","Claims email: "&amp;IF(LEN(INDEX('My equipment'!$S$4:$S$503,(_calc!$E$40-500)))=0,"",INDEX('My equipment'!$S$4:$S$503,(_calc!$E$40-500)))&amp;". ")&amp;IF(LEN(IF(LEN(INDEX('My equipment'!$U$4:$U$503,(_calc!$E$40-500)))=0,"",INDEX('My equipment'!$U$4:$U$503,(_calc!$E$40-500))))=0,"","Registered: "&amp;IF(LEN(INDEX('My equipment'!$U$4:$U$503,(_calc!$E$40-500)))=0,"",INDEX('My equipment'!$U$4:$U$503,(_calc!$E$40-500)))&amp;". ")&amp;IF(LEN(IF(LEN(INDEX('My equipment'!$V$4:$V$503,(_calc!$E$40-500)))=0,"",INDEX('My equipment'!$V$4:$V$503,(_calc!$E$40-500))))=0,"","Proof on file: "&amp;IF(LEN(INDEX('My equipment'!$V$4:$V$503,(_calc!$E$40-500)))=0,"",INDEX('My equipment'!$V$4:$V$503,(_calc!$E$40-500)))&amp;". ")&amp;IF(LEN(IF(LEN(INDEX('My equipment'!$W$4:$W$503,(_calc!$E$40-500)))=0,"",INDEX('My equipment'!$W$4:$W$503,(_calc!$E$40-500))))=0,"","Claim ref: "&amp;IF(LEN(INDEX('My equipment'!$W$4:$W$503,(_calc!$E$40-500)))=0,"",INDEX('My equipment'!$W$4:$W$503,(_calc!$E$40-500)))&amp;". ")&amp;IF(LEN(IF(LEN(INDEX('My equipment'!$Y$4:$Y$503,(_calc!$E$40-500)))=0,"",INDEX('My equipment'!$Y$4:$Y$503,(_calc!$E$40-500))))=0,"",IF(LEN(INDEX('My equipment'!$Y$4:$Y$503,(_calc!$E$40-500)))=0,"",INDEX('My equipment'!$Y$4:$Y$503,(_calc!$E$40-500)))))))</f>
        <v/>
      </c>
      <c r="G38" s="54">
        <f>IF(_calc!$E$40="","",IF(_calc!$E$40&lt;=500,"",IF(LEN(INDEX('My equipment'!$X$4:$X$503,(_calc!$E$40-500)))=0,"",INDEX('My equipment'!$X$4:$X$503,(_calc!$E$40-500)))))</f>
        <v/>
      </c>
      <c r="K38" s="54">
        <f>IF(_calc!$E$40="","",IF(_calc!$E$40&lt;=500,"",IF(LEN(INDEX('My equipment'!$T$4:$T$503,(_calc!$E$40-500)))=0,"",INDEX('My equipment'!$T$4:$T$503,(_calc!$E$40-500)))))</f>
        <v/>
      </c>
    </row>
    <row r="39">
      <c r="A39" s="54">
        <f>IF(_calc!$E$41="","",IF(_calc!$E$41&lt;=500,"Warranty – "&amp;IF(LEN(INDEX('Dealer pipeline'!$C$4:$C$503,_calc!$E$41))=0,"",INDEX('Dealer pipeline'!$C$4:$C$503,_calc!$E$41))&amp;" – "&amp;IF(LEN(INDEX('Dealer pipeline'!$D$4:$D$503,_calc!$E$41))=0,"",INDEX('Dealer pipeline'!$D$4:$D$503,_calc!$E$41))&amp;" – "&amp;IF(LEN(INDEX('Dealer pipeline'!$A$4:$A$503,_calc!$E$41))=0,"",INDEX('Dealer pipeline'!$A$4:$A$503,_calc!$E$41)),"Warranty – "&amp;IF(LEN(INDEX('My equipment'!$A$4:$A$503,(_calc!$E$41-500)))=0,"",INDEX('My equipment'!$A$4:$A$503,(_calc!$E$41-500)))&amp;" – "&amp;IF(LEN(INDEX('My equipment'!$D$4:$D$503,(_calc!$E$41-500)))=0,"",INDEX('My equipment'!$D$4:$D$503,(_calc!$E$41-500)))))</f>
        <v/>
      </c>
      <c r="B39" s="54">
        <f>IF(_calc!$E$41="","",IF(_calc!$E$41&lt;=500,IF(ISNUMBER(INDEX('Dealer pipeline'!$M$4:$M$503,_calc!$E$41)),TEXT(INDEX('Dealer pipeline'!$M$4:$M$503,_calc!$E$41),"yyyy-mm-dd"),""),IF(ISNUMBER(INDEX('My equipment'!$M$4:$M$503,(_calc!$E$41-500))),TEXT(INDEX('My equipment'!$M$4:$M$503,(_calc!$E$41-500)),"yyyy-mm-dd"),"")))</f>
        <v/>
      </c>
      <c r="C39" s="54">
        <f>IF(_calc!$E$41="","",IF(_calc!$E$41&lt;=500,"Warranty","Warranty"))</f>
        <v/>
      </c>
      <c r="D39" s="54">
        <f>IF(_calc!$E$41="","",IF(_calc!$E$41&lt;=500,IF(ISNUMBER(INDEX('Dealer pipeline'!$H$4:$H$503,_calc!$E$41)),TEXT(INDEX('Dealer pipeline'!$H$4:$H$503,_calc!$E$41),"yyyy-mm-dd"),""),IF(ISNUMBER(INDEX('My equipment'!$H$4:$H$503,(_calc!$E$41-500))),TEXT(INDEX('My equipment'!$H$4:$H$503,(_calc!$E$41-500)),"yyyy-mm-dd"),"")))</f>
        <v/>
      </c>
      <c r="F39" s="54">
        <f>IF(_calc!$E$41="","",IF(_calc!$E$41&lt;=500,TRIM(IF(LEN(IF(LEN(INDEX('Dealer pipeline'!$A$4:$A$503,_calc!$E$41))=0,"",INDEX('Dealer pipeline'!$A$4:$A$503,_calc!$E$41)))=0,"","Customer: "&amp;IF(LEN(INDEX('Dealer pipeline'!$A$4:$A$503,_calc!$E$41))=0,"",INDEX('Dealer pipeline'!$A$4:$A$503,_calc!$E$41))&amp;". ")&amp;IF(LEN(IF(LEN(INDEX('Dealer pipeline'!$B$4:$B$503,_calc!$E$41))=0,"",INDEX('Dealer pipeline'!$B$4:$B$503,_calc!$E$41)))=0,"","Contact: "&amp;IF(LEN(INDEX('Dealer pipeline'!$B$4:$B$503,_calc!$E$41))=0,"",INDEX('Dealer pipeline'!$B$4:$B$503,_calc!$E$41))&amp;". ")&amp;IF(LEN(IF(LEN(INDEX('Dealer pipeline'!$D$4:$D$503,_calc!$E$41))=0,"",INDEX('Dealer pipeline'!$D$4:$D$503,_calc!$E$41)))=0,"","Serial: "&amp;IF(LEN(INDEX('Dealer pipeline'!$D$4:$D$503,_calc!$E$41))=0,"",INDEX('Dealer pipeline'!$D$4:$D$503,_calc!$E$41))&amp;". ")&amp;IF(LEN(IF(ISNUMBER(INDEX('Dealer pipeline'!$J$4:$J$503,_calc!$E$41)),TEXT(INDEX('Dealer pipeline'!$J$4:$J$503,_calc!$E$41),"yyyy-mm-dd"),""))=0,"","Parts end: "&amp;IF(ISNUMBER(INDEX('Dealer pipeline'!$J$4:$J$503,_calc!$E$41)),TEXT(INDEX('Dealer pipeline'!$J$4:$J$503,_calc!$E$41),"yyyy-mm-dd"),"")&amp;". ")&amp;IF(LEN(IF(ISNUMBER(INDEX('Dealer pipeline'!$L$4:$L$503,_calc!$E$41)),TEXT(INDEX('Dealer pipeline'!$L$4:$L$503,_calc!$E$41),"yyyy-mm-dd"),""))=0,"","Labor end: "&amp;IF(ISNUMBER(INDEX('Dealer pipeline'!$L$4:$L$503,_calc!$E$41)),TEXT(INDEX('Dealer pipeline'!$L$4:$L$503,_calc!$E$41),"yyyy-mm-dd"),"")&amp;". ")&amp;IF(LEN(IF(LEN(INDEX('Dealer pipeline'!$Q$4:$Q$503,_calc!$E$41))=0,"",INDEX('Dealer pipeline'!$Q$4:$Q$503,_calc!$E$41)))=0,"","Status: "&amp;IF(LEN(INDEX('Dealer pipeline'!$Q$4:$Q$503,_calc!$E$41))=0,"",INDEX('Dealer pipeline'!$Q$4:$Q$503,_calc!$E$41))&amp;". ")&amp;IF(LEN(IF(LEN(INDEX('Dealer pipeline'!$P$4:$P$503,_calc!$E$41))=0,"",INDEX('Dealer pipeline'!$P$4:$P$503,_calc!$E$41)))=0,"","Last touch: "&amp;IF(LEN(INDEX('Dealer pipeline'!$P$4:$P$503,_calc!$E$41))=0,"",INDEX('Dealer pipeline'!$P$4:$P$503,_calc!$E$41))&amp;". ")&amp;IF(LEN(IF(LEN(INDEX('Dealer pipeline'!$R$4:$R$503,_calc!$E$41))=0,"",INDEX('Dealer pipeline'!$R$4:$R$503,_calc!$E$41)))=0,"","Owner: "&amp;IF(LEN(INDEX('Dealer pipeline'!$R$4:$R$503,_calc!$E$41))=0,"",INDEX('Dealer pipeline'!$R$4:$R$503,_calc!$E$41))&amp;". ")&amp;IF(LEN(IF(LEN(INDEX('Dealer pipeline'!$S$4:$S$503,_calc!$E$41))=0,"",INDEX('Dealer pipeline'!$S$4:$S$503,_calc!$E$41)))=0,"","Backup: "&amp;IF(LEN(INDEX('Dealer pipeline'!$S$4:$S$503,_calc!$E$41))=0,"",INDEX('Dealer pipeline'!$S$4:$S$503,_calc!$E$41))&amp;". ")&amp;IF(LEN(IF(LEN(INDEX('Dealer pipeline'!$T$4:$T$503,_calc!$E$41))=0,"",INDEX('Dealer pipeline'!$T$4:$T$503,_calc!$E$41)))=0,"",IF(LEN(INDEX('Dealer pipeline'!$T$4:$T$503,_calc!$E$41))=0,"",INDEX('Dealer pipeline'!$T$4:$T$503,_calc!$E$41)))),TRIM(IF(LEN(IF(LEN(INDEX('My equipment'!$C$4:$C$503,(_calc!$E$41-500)))=0,"",INDEX('My equipment'!$C$4:$C$503,(_calc!$E$41-500))))=0,"","Model: "&amp;IF(LEN(INDEX('My equipment'!$C$4:$C$503,(_calc!$E$41-500)))=0,"",INDEX('My equipment'!$C$4:$C$503,(_calc!$E$41-500)))&amp;". ")&amp;IF(LEN(IF(LEN(INDEX('My equipment'!$D$4:$D$503,(_calc!$E$41-500)))=0,"",INDEX('My equipment'!$D$4:$D$503,(_calc!$E$41-500))))=0,"","Serial: "&amp;IF(LEN(INDEX('My equipment'!$D$4:$D$503,(_calc!$E$41-500)))=0,"",INDEX('My equipment'!$D$4:$D$503,(_calc!$E$41-500)))&amp;". ")&amp;IF(LEN(IF(ISNUMBER(INDEX('My equipment'!$J$4:$J$503,(_calc!$E$41-500))),TEXT(INDEX('My equipment'!$J$4:$J$503,(_calc!$E$41-500)),"yyyy-mm-dd"),""))=0,"","Parts end: "&amp;IF(ISNUMBER(INDEX('My equipment'!$J$4:$J$503,(_calc!$E$41-500))),TEXT(INDEX('My equipment'!$J$4:$J$503,(_calc!$E$41-500)),"yyyy-mm-dd"),"")&amp;". ")&amp;IF(LEN(IF(ISNUMBER(INDEX('My equipment'!$L$4:$L$503,(_calc!$E$41-500))),TEXT(INDEX('My equipment'!$L$4:$L$503,(_calc!$E$41-500)),"yyyy-mm-dd"),""))=0,"","Labor end: "&amp;IF(ISNUMBER(INDEX('My equipment'!$L$4:$L$503,(_calc!$E$41-500))),TEXT(INDEX('My equipment'!$L$4:$L$503,(_calc!$E$41-500)),"yyyy-mm-dd"),"")&amp;". ")&amp;IF(LEN(IF(ISNUMBER(INDEX('My equipment'!$P$4:$P$503,(_calc!$E$41-500))),TEXT(INDEX('My equipment'!$P$4:$P$503,(_calc!$E$41-500)),"yyyy-mm-dd"),""))=0,"","Check by: "&amp;IF(ISNUMBER(INDEX('My equipment'!$P$4:$P$503,(_calc!$E$41-500))),TEXT(INDEX('My equipment'!$P$4:$P$503,(_calc!$E$41-500)),"yyyy-mm-dd"),"")&amp;". ")&amp;IF(LEN(IF(LEN(INDEX('My equipment'!$Q$4:$Q$503,(_calc!$E$41-500)))=0,"",INDEX('My equipment'!$Q$4:$Q$503,(_calc!$E$41-500))))=0,"","Claim status: "&amp;IF(LEN(INDEX('My equipment'!$Q$4:$Q$503,(_calc!$E$41-500)))=0,"",INDEX('My equipment'!$Q$4:$Q$503,(_calc!$E$41-500)))&amp;". ")&amp;IF(LEN(IF(LEN(INDEX('My equipment'!$R$4:$R$503,(_calc!$E$41-500)))=0,"",INDEX('My equipment'!$R$4:$R$503,(_calc!$E$41-500))))=0,"","Claims contact: "&amp;IF(LEN(INDEX('My equipment'!$R$4:$R$503,(_calc!$E$41-500)))=0,"",INDEX('My equipment'!$R$4:$R$503,(_calc!$E$41-500)))&amp;". ")&amp;IF(LEN(IF(LEN(INDEX('My equipment'!$S$4:$S$503,(_calc!$E$41-500)))=0,"",INDEX('My equipment'!$S$4:$S$503,(_calc!$E$41-500))))=0,"","Claims email: "&amp;IF(LEN(INDEX('My equipment'!$S$4:$S$503,(_calc!$E$41-500)))=0,"",INDEX('My equipment'!$S$4:$S$503,(_calc!$E$41-500)))&amp;". ")&amp;IF(LEN(IF(LEN(INDEX('My equipment'!$U$4:$U$503,(_calc!$E$41-500)))=0,"",INDEX('My equipment'!$U$4:$U$503,(_calc!$E$41-500))))=0,"","Registered: "&amp;IF(LEN(INDEX('My equipment'!$U$4:$U$503,(_calc!$E$41-500)))=0,"",INDEX('My equipment'!$U$4:$U$503,(_calc!$E$41-500)))&amp;". ")&amp;IF(LEN(IF(LEN(INDEX('My equipment'!$V$4:$V$503,(_calc!$E$41-500)))=0,"",INDEX('My equipment'!$V$4:$V$503,(_calc!$E$41-500))))=0,"","Proof on file: "&amp;IF(LEN(INDEX('My equipment'!$V$4:$V$503,(_calc!$E$41-500)))=0,"",INDEX('My equipment'!$V$4:$V$503,(_calc!$E$41-500)))&amp;". ")&amp;IF(LEN(IF(LEN(INDEX('My equipment'!$W$4:$W$503,(_calc!$E$41-500)))=0,"",INDEX('My equipment'!$W$4:$W$503,(_calc!$E$41-500))))=0,"","Claim ref: "&amp;IF(LEN(INDEX('My equipment'!$W$4:$W$503,(_calc!$E$41-500)))=0,"",INDEX('My equipment'!$W$4:$W$503,(_calc!$E$41-500)))&amp;". ")&amp;IF(LEN(IF(LEN(INDEX('My equipment'!$Y$4:$Y$503,(_calc!$E$41-500)))=0,"",INDEX('My equipment'!$Y$4:$Y$503,(_calc!$E$41-500))))=0,"",IF(LEN(INDEX('My equipment'!$Y$4:$Y$503,(_calc!$E$41-500)))=0,"",INDEX('My equipment'!$Y$4:$Y$503,(_calc!$E$41-500)))))))</f>
        <v/>
      </c>
      <c r="G39" s="54">
        <f>IF(_calc!$E$41="","",IF(_calc!$E$41&lt;=500,"",IF(LEN(INDEX('My equipment'!$X$4:$X$503,(_calc!$E$41-500)))=0,"",INDEX('My equipment'!$X$4:$X$503,(_calc!$E$41-500)))))</f>
        <v/>
      </c>
      <c r="K39" s="54">
        <f>IF(_calc!$E$41="","",IF(_calc!$E$41&lt;=500,"",IF(LEN(INDEX('My equipment'!$T$4:$T$503,(_calc!$E$41-500)))=0,"",INDEX('My equipment'!$T$4:$T$503,(_calc!$E$41-500)))))</f>
        <v/>
      </c>
    </row>
    <row r="40">
      <c r="A40" s="54">
        <f>IF(_calc!$E$42="","",IF(_calc!$E$42&lt;=500,"Warranty – "&amp;IF(LEN(INDEX('Dealer pipeline'!$C$4:$C$503,_calc!$E$42))=0,"",INDEX('Dealer pipeline'!$C$4:$C$503,_calc!$E$42))&amp;" – "&amp;IF(LEN(INDEX('Dealer pipeline'!$D$4:$D$503,_calc!$E$42))=0,"",INDEX('Dealer pipeline'!$D$4:$D$503,_calc!$E$42))&amp;" – "&amp;IF(LEN(INDEX('Dealer pipeline'!$A$4:$A$503,_calc!$E$42))=0,"",INDEX('Dealer pipeline'!$A$4:$A$503,_calc!$E$42)),"Warranty – "&amp;IF(LEN(INDEX('My equipment'!$A$4:$A$503,(_calc!$E$42-500)))=0,"",INDEX('My equipment'!$A$4:$A$503,(_calc!$E$42-500)))&amp;" – "&amp;IF(LEN(INDEX('My equipment'!$D$4:$D$503,(_calc!$E$42-500)))=0,"",INDEX('My equipment'!$D$4:$D$503,(_calc!$E$42-500)))))</f>
        <v/>
      </c>
      <c r="B40" s="54">
        <f>IF(_calc!$E$42="","",IF(_calc!$E$42&lt;=500,IF(ISNUMBER(INDEX('Dealer pipeline'!$M$4:$M$503,_calc!$E$42)),TEXT(INDEX('Dealer pipeline'!$M$4:$M$503,_calc!$E$42),"yyyy-mm-dd"),""),IF(ISNUMBER(INDEX('My equipment'!$M$4:$M$503,(_calc!$E$42-500))),TEXT(INDEX('My equipment'!$M$4:$M$503,(_calc!$E$42-500)),"yyyy-mm-dd"),"")))</f>
        <v/>
      </c>
      <c r="C40" s="54">
        <f>IF(_calc!$E$42="","",IF(_calc!$E$42&lt;=500,"Warranty","Warranty"))</f>
        <v/>
      </c>
      <c r="D40" s="54">
        <f>IF(_calc!$E$42="","",IF(_calc!$E$42&lt;=500,IF(ISNUMBER(INDEX('Dealer pipeline'!$H$4:$H$503,_calc!$E$42)),TEXT(INDEX('Dealer pipeline'!$H$4:$H$503,_calc!$E$42),"yyyy-mm-dd"),""),IF(ISNUMBER(INDEX('My equipment'!$H$4:$H$503,(_calc!$E$42-500))),TEXT(INDEX('My equipment'!$H$4:$H$503,(_calc!$E$42-500)),"yyyy-mm-dd"),"")))</f>
        <v/>
      </c>
      <c r="F40" s="54">
        <f>IF(_calc!$E$42="","",IF(_calc!$E$42&lt;=500,TRIM(IF(LEN(IF(LEN(INDEX('Dealer pipeline'!$A$4:$A$503,_calc!$E$42))=0,"",INDEX('Dealer pipeline'!$A$4:$A$503,_calc!$E$42)))=0,"","Customer: "&amp;IF(LEN(INDEX('Dealer pipeline'!$A$4:$A$503,_calc!$E$42))=0,"",INDEX('Dealer pipeline'!$A$4:$A$503,_calc!$E$42))&amp;". ")&amp;IF(LEN(IF(LEN(INDEX('Dealer pipeline'!$B$4:$B$503,_calc!$E$42))=0,"",INDEX('Dealer pipeline'!$B$4:$B$503,_calc!$E$42)))=0,"","Contact: "&amp;IF(LEN(INDEX('Dealer pipeline'!$B$4:$B$503,_calc!$E$42))=0,"",INDEX('Dealer pipeline'!$B$4:$B$503,_calc!$E$42))&amp;". ")&amp;IF(LEN(IF(LEN(INDEX('Dealer pipeline'!$D$4:$D$503,_calc!$E$42))=0,"",INDEX('Dealer pipeline'!$D$4:$D$503,_calc!$E$42)))=0,"","Serial: "&amp;IF(LEN(INDEX('Dealer pipeline'!$D$4:$D$503,_calc!$E$42))=0,"",INDEX('Dealer pipeline'!$D$4:$D$503,_calc!$E$42))&amp;". ")&amp;IF(LEN(IF(ISNUMBER(INDEX('Dealer pipeline'!$J$4:$J$503,_calc!$E$42)),TEXT(INDEX('Dealer pipeline'!$J$4:$J$503,_calc!$E$42),"yyyy-mm-dd"),""))=0,"","Parts end: "&amp;IF(ISNUMBER(INDEX('Dealer pipeline'!$J$4:$J$503,_calc!$E$42)),TEXT(INDEX('Dealer pipeline'!$J$4:$J$503,_calc!$E$42),"yyyy-mm-dd"),"")&amp;". ")&amp;IF(LEN(IF(ISNUMBER(INDEX('Dealer pipeline'!$L$4:$L$503,_calc!$E$42)),TEXT(INDEX('Dealer pipeline'!$L$4:$L$503,_calc!$E$42),"yyyy-mm-dd"),""))=0,"","Labor end: "&amp;IF(ISNUMBER(INDEX('Dealer pipeline'!$L$4:$L$503,_calc!$E$42)),TEXT(INDEX('Dealer pipeline'!$L$4:$L$503,_calc!$E$42),"yyyy-mm-dd"),"")&amp;". ")&amp;IF(LEN(IF(LEN(INDEX('Dealer pipeline'!$Q$4:$Q$503,_calc!$E$42))=0,"",INDEX('Dealer pipeline'!$Q$4:$Q$503,_calc!$E$42)))=0,"","Status: "&amp;IF(LEN(INDEX('Dealer pipeline'!$Q$4:$Q$503,_calc!$E$42))=0,"",INDEX('Dealer pipeline'!$Q$4:$Q$503,_calc!$E$42))&amp;". ")&amp;IF(LEN(IF(LEN(INDEX('Dealer pipeline'!$P$4:$P$503,_calc!$E$42))=0,"",INDEX('Dealer pipeline'!$P$4:$P$503,_calc!$E$42)))=0,"","Last touch: "&amp;IF(LEN(INDEX('Dealer pipeline'!$P$4:$P$503,_calc!$E$42))=0,"",INDEX('Dealer pipeline'!$P$4:$P$503,_calc!$E$42))&amp;". ")&amp;IF(LEN(IF(LEN(INDEX('Dealer pipeline'!$R$4:$R$503,_calc!$E$42))=0,"",INDEX('Dealer pipeline'!$R$4:$R$503,_calc!$E$42)))=0,"","Owner: "&amp;IF(LEN(INDEX('Dealer pipeline'!$R$4:$R$503,_calc!$E$42))=0,"",INDEX('Dealer pipeline'!$R$4:$R$503,_calc!$E$42))&amp;". ")&amp;IF(LEN(IF(LEN(INDEX('Dealer pipeline'!$S$4:$S$503,_calc!$E$42))=0,"",INDEX('Dealer pipeline'!$S$4:$S$503,_calc!$E$42)))=0,"","Backup: "&amp;IF(LEN(INDEX('Dealer pipeline'!$S$4:$S$503,_calc!$E$42))=0,"",INDEX('Dealer pipeline'!$S$4:$S$503,_calc!$E$42))&amp;". ")&amp;IF(LEN(IF(LEN(INDEX('Dealer pipeline'!$T$4:$T$503,_calc!$E$42))=0,"",INDEX('Dealer pipeline'!$T$4:$T$503,_calc!$E$42)))=0,"",IF(LEN(INDEX('Dealer pipeline'!$T$4:$T$503,_calc!$E$42))=0,"",INDEX('Dealer pipeline'!$T$4:$T$503,_calc!$E$42)))),TRIM(IF(LEN(IF(LEN(INDEX('My equipment'!$C$4:$C$503,(_calc!$E$42-500)))=0,"",INDEX('My equipment'!$C$4:$C$503,(_calc!$E$42-500))))=0,"","Model: "&amp;IF(LEN(INDEX('My equipment'!$C$4:$C$503,(_calc!$E$42-500)))=0,"",INDEX('My equipment'!$C$4:$C$503,(_calc!$E$42-500)))&amp;". ")&amp;IF(LEN(IF(LEN(INDEX('My equipment'!$D$4:$D$503,(_calc!$E$42-500)))=0,"",INDEX('My equipment'!$D$4:$D$503,(_calc!$E$42-500))))=0,"","Serial: "&amp;IF(LEN(INDEX('My equipment'!$D$4:$D$503,(_calc!$E$42-500)))=0,"",INDEX('My equipment'!$D$4:$D$503,(_calc!$E$42-500)))&amp;". ")&amp;IF(LEN(IF(ISNUMBER(INDEX('My equipment'!$J$4:$J$503,(_calc!$E$42-500))),TEXT(INDEX('My equipment'!$J$4:$J$503,(_calc!$E$42-500)),"yyyy-mm-dd"),""))=0,"","Parts end: "&amp;IF(ISNUMBER(INDEX('My equipment'!$J$4:$J$503,(_calc!$E$42-500))),TEXT(INDEX('My equipment'!$J$4:$J$503,(_calc!$E$42-500)),"yyyy-mm-dd"),"")&amp;". ")&amp;IF(LEN(IF(ISNUMBER(INDEX('My equipment'!$L$4:$L$503,(_calc!$E$42-500))),TEXT(INDEX('My equipment'!$L$4:$L$503,(_calc!$E$42-500)),"yyyy-mm-dd"),""))=0,"","Labor end: "&amp;IF(ISNUMBER(INDEX('My equipment'!$L$4:$L$503,(_calc!$E$42-500))),TEXT(INDEX('My equipment'!$L$4:$L$503,(_calc!$E$42-500)),"yyyy-mm-dd"),"")&amp;". ")&amp;IF(LEN(IF(ISNUMBER(INDEX('My equipment'!$P$4:$P$503,(_calc!$E$42-500))),TEXT(INDEX('My equipment'!$P$4:$P$503,(_calc!$E$42-500)),"yyyy-mm-dd"),""))=0,"","Check by: "&amp;IF(ISNUMBER(INDEX('My equipment'!$P$4:$P$503,(_calc!$E$42-500))),TEXT(INDEX('My equipment'!$P$4:$P$503,(_calc!$E$42-500)),"yyyy-mm-dd"),"")&amp;". ")&amp;IF(LEN(IF(LEN(INDEX('My equipment'!$Q$4:$Q$503,(_calc!$E$42-500)))=0,"",INDEX('My equipment'!$Q$4:$Q$503,(_calc!$E$42-500))))=0,"","Claim status: "&amp;IF(LEN(INDEX('My equipment'!$Q$4:$Q$503,(_calc!$E$42-500)))=0,"",INDEX('My equipment'!$Q$4:$Q$503,(_calc!$E$42-500)))&amp;". ")&amp;IF(LEN(IF(LEN(INDEX('My equipment'!$R$4:$R$503,(_calc!$E$42-500)))=0,"",INDEX('My equipment'!$R$4:$R$503,(_calc!$E$42-500))))=0,"","Claims contact: "&amp;IF(LEN(INDEX('My equipment'!$R$4:$R$503,(_calc!$E$42-500)))=0,"",INDEX('My equipment'!$R$4:$R$503,(_calc!$E$42-500)))&amp;". ")&amp;IF(LEN(IF(LEN(INDEX('My equipment'!$S$4:$S$503,(_calc!$E$42-500)))=0,"",INDEX('My equipment'!$S$4:$S$503,(_calc!$E$42-500))))=0,"","Claims email: "&amp;IF(LEN(INDEX('My equipment'!$S$4:$S$503,(_calc!$E$42-500)))=0,"",INDEX('My equipment'!$S$4:$S$503,(_calc!$E$42-500)))&amp;". ")&amp;IF(LEN(IF(LEN(INDEX('My equipment'!$U$4:$U$503,(_calc!$E$42-500)))=0,"",INDEX('My equipment'!$U$4:$U$503,(_calc!$E$42-500))))=0,"","Registered: "&amp;IF(LEN(INDEX('My equipment'!$U$4:$U$503,(_calc!$E$42-500)))=0,"",INDEX('My equipment'!$U$4:$U$503,(_calc!$E$42-500)))&amp;". ")&amp;IF(LEN(IF(LEN(INDEX('My equipment'!$V$4:$V$503,(_calc!$E$42-500)))=0,"",INDEX('My equipment'!$V$4:$V$503,(_calc!$E$42-500))))=0,"","Proof on file: "&amp;IF(LEN(INDEX('My equipment'!$V$4:$V$503,(_calc!$E$42-500)))=0,"",INDEX('My equipment'!$V$4:$V$503,(_calc!$E$42-500)))&amp;". ")&amp;IF(LEN(IF(LEN(INDEX('My equipment'!$W$4:$W$503,(_calc!$E$42-500)))=0,"",INDEX('My equipment'!$W$4:$W$503,(_calc!$E$42-500))))=0,"","Claim ref: "&amp;IF(LEN(INDEX('My equipment'!$W$4:$W$503,(_calc!$E$42-500)))=0,"",INDEX('My equipment'!$W$4:$W$503,(_calc!$E$42-500)))&amp;". ")&amp;IF(LEN(IF(LEN(INDEX('My equipment'!$Y$4:$Y$503,(_calc!$E$42-500)))=0,"",INDEX('My equipment'!$Y$4:$Y$503,(_calc!$E$42-500))))=0,"",IF(LEN(INDEX('My equipment'!$Y$4:$Y$503,(_calc!$E$42-500)))=0,"",INDEX('My equipment'!$Y$4:$Y$503,(_calc!$E$42-500)))))))</f>
        <v/>
      </c>
      <c r="G40" s="54">
        <f>IF(_calc!$E$42="","",IF(_calc!$E$42&lt;=500,"",IF(LEN(INDEX('My equipment'!$X$4:$X$503,(_calc!$E$42-500)))=0,"",INDEX('My equipment'!$X$4:$X$503,(_calc!$E$42-500)))))</f>
        <v/>
      </c>
      <c r="K40" s="54">
        <f>IF(_calc!$E$42="","",IF(_calc!$E$42&lt;=500,"",IF(LEN(INDEX('My equipment'!$T$4:$T$503,(_calc!$E$42-500)))=0,"",INDEX('My equipment'!$T$4:$T$503,(_calc!$E$42-500)))))</f>
        <v/>
      </c>
    </row>
    <row r="41">
      <c r="A41" s="54">
        <f>IF(_calc!$E$43="","",IF(_calc!$E$43&lt;=500,"Warranty – "&amp;IF(LEN(INDEX('Dealer pipeline'!$C$4:$C$503,_calc!$E$43))=0,"",INDEX('Dealer pipeline'!$C$4:$C$503,_calc!$E$43))&amp;" – "&amp;IF(LEN(INDEX('Dealer pipeline'!$D$4:$D$503,_calc!$E$43))=0,"",INDEX('Dealer pipeline'!$D$4:$D$503,_calc!$E$43))&amp;" – "&amp;IF(LEN(INDEX('Dealer pipeline'!$A$4:$A$503,_calc!$E$43))=0,"",INDEX('Dealer pipeline'!$A$4:$A$503,_calc!$E$43)),"Warranty – "&amp;IF(LEN(INDEX('My equipment'!$A$4:$A$503,(_calc!$E$43-500)))=0,"",INDEX('My equipment'!$A$4:$A$503,(_calc!$E$43-500)))&amp;" – "&amp;IF(LEN(INDEX('My equipment'!$D$4:$D$503,(_calc!$E$43-500)))=0,"",INDEX('My equipment'!$D$4:$D$503,(_calc!$E$43-500)))))</f>
        <v/>
      </c>
      <c r="B41" s="54">
        <f>IF(_calc!$E$43="","",IF(_calc!$E$43&lt;=500,IF(ISNUMBER(INDEX('Dealer pipeline'!$M$4:$M$503,_calc!$E$43)),TEXT(INDEX('Dealer pipeline'!$M$4:$M$503,_calc!$E$43),"yyyy-mm-dd"),""),IF(ISNUMBER(INDEX('My equipment'!$M$4:$M$503,(_calc!$E$43-500))),TEXT(INDEX('My equipment'!$M$4:$M$503,(_calc!$E$43-500)),"yyyy-mm-dd"),"")))</f>
        <v/>
      </c>
      <c r="C41" s="54">
        <f>IF(_calc!$E$43="","",IF(_calc!$E$43&lt;=500,"Warranty","Warranty"))</f>
        <v/>
      </c>
      <c r="D41" s="54">
        <f>IF(_calc!$E$43="","",IF(_calc!$E$43&lt;=500,IF(ISNUMBER(INDEX('Dealer pipeline'!$H$4:$H$503,_calc!$E$43)),TEXT(INDEX('Dealer pipeline'!$H$4:$H$503,_calc!$E$43),"yyyy-mm-dd"),""),IF(ISNUMBER(INDEX('My equipment'!$H$4:$H$503,(_calc!$E$43-500))),TEXT(INDEX('My equipment'!$H$4:$H$503,(_calc!$E$43-500)),"yyyy-mm-dd"),"")))</f>
        <v/>
      </c>
      <c r="F41" s="54">
        <f>IF(_calc!$E$43="","",IF(_calc!$E$43&lt;=500,TRIM(IF(LEN(IF(LEN(INDEX('Dealer pipeline'!$A$4:$A$503,_calc!$E$43))=0,"",INDEX('Dealer pipeline'!$A$4:$A$503,_calc!$E$43)))=0,"","Customer: "&amp;IF(LEN(INDEX('Dealer pipeline'!$A$4:$A$503,_calc!$E$43))=0,"",INDEX('Dealer pipeline'!$A$4:$A$503,_calc!$E$43))&amp;". ")&amp;IF(LEN(IF(LEN(INDEX('Dealer pipeline'!$B$4:$B$503,_calc!$E$43))=0,"",INDEX('Dealer pipeline'!$B$4:$B$503,_calc!$E$43)))=0,"","Contact: "&amp;IF(LEN(INDEX('Dealer pipeline'!$B$4:$B$503,_calc!$E$43))=0,"",INDEX('Dealer pipeline'!$B$4:$B$503,_calc!$E$43))&amp;". ")&amp;IF(LEN(IF(LEN(INDEX('Dealer pipeline'!$D$4:$D$503,_calc!$E$43))=0,"",INDEX('Dealer pipeline'!$D$4:$D$503,_calc!$E$43)))=0,"","Serial: "&amp;IF(LEN(INDEX('Dealer pipeline'!$D$4:$D$503,_calc!$E$43))=0,"",INDEX('Dealer pipeline'!$D$4:$D$503,_calc!$E$43))&amp;". ")&amp;IF(LEN(IF(ISNUMBER(INDEX('Dealer pipeline'!$J$4:$J$503,_calc!$E$43)),TEXT(INDEX('Dealer pipeline'!$J$4:$J$503,_calc!$E$43),"yyyy-mm-dd"),""))=0,"","Parts end: "&amp;IF(ISNUMBER(INDEX('Dealer pipeline'!$J$4:$J$503,_calc!$E$43)),TEXT(INDEX('Dealer pipeline'!$J$4:$J$503,_calc!$E$43),"yyyy-mm-dd"),"")&amp;". ")&amp;IF(LEN(IF(ISNUMBER(INDEX('Dealer pipeline'!$L$4:$L$503,_calc!$E$43)),TEXT(INDEX('Dealer pipeline'!$L$4:$L$503,_calc!$E$43),"yyyy-mm-dd"),""))=0,"","Labor end: "&amp;IF(ISNUMBER(INDEX('Dealer pipeline'!$L$4:$L$503,_calc!$E$43)),TEXT(INDEX('Dealer pipeline'!$L$4:$L$503,_calc!$E$43),"yyyy-mm-dd"),"")&amp;". ")&amp;IF(LEN(IF(LEN(INDEX('Dealer pipeline'!$Q$4:$Q$503,_calc!$E$43))=0,"",INDEX('Dealer pipeline'!$Q$4:$Q$503,_calc!$E$43)))=0,"","Status: "&amp;IF(LEN(INDEX('Dealer pipeline'!$Q$4:$Q$503,_calc!$E$43))=0,"",INDEX('Dealer pipeline'!$Q$4:$Q$503,_calc!$E$43))&amp;". ")&amp;IF(LEN(IF(LEN(INDEX('Dealer pipeline'!$P$4:$P$503,_calc!$E$43))=0,"",INDEX('Dealer pipeline'!$P$4:$P$503,_calc!$E$43)))=0,"","Last touch: "&amp;IF(LEN(INDEX('Dealer pipeline'!$P$4:$P$503,_calc!$E$43))=0,"",INDEX('Dealer pipeline'!$P$4:$P$503,_calc!$E$43))&amp;". ")&amp;IF(LEN(IF(LEN(INDEX('Dealer pipeline'!$R$4:$R$503,_calc!$E$43))=0,"",INDEX('Dealer pipeline'!$R$4:$R$503,_calc!$E$43)))=0,"","Owner: "&amp;IF(LEN(INDEX('Dealer pipeline'!$R$4:$R$503,_calc!$E$43))=0,"",INDEX('Dealer pipeline'!$R$4:$R$503,_calc!$E$43))&amp;". ")&amp;IF(LEN(IF(LEN(INDEX('Dealer pipeline'!$S$4:$S$503,_calc!$E$43))=0,"",INDEX('Dealer pipeline'!$S$4:$S$503,_calc!$E$43)))=0,"","Backup: "&amp;IF(LEN(INDEX('Dealer pipeline'!$S$4:$S$503,_calc!$E$43))=0,"",INDEX('Dealer pipeline'!$S$4:$S$503,_calc!$E$43))&amp;". ")&amp;IF(LEN(IF(LEN(INDEX('Dealer pipeline'!$T$4:$T$503,_calc!$E$43))=0,"",INDEX('Dealer pipeline'!$T$4:$T$503,_calc!$E$43)))=0,"",IF(LEN(INDEX('Dealer pipeline'!$T$4:$T$503,_calc!$E$43))=0,"",INDEX('Dealer pipeline'!$T$4:$T$503,_calc!$E$43)))),TRIM(IF(LEN(IF(LEN(INDEX('My equipment'!$C$4:$C$503,(_calc!$E$43-500)))=0,"",INDEX('My equipment'!$C$4:$C$503,(_calc!$E$43-500))))=0,"","Model: "&amp;IF(LEN(INDEX('My equipment'!$C$4:$C$503,(_calc!$E$43-500)))=0,"",INDEX('My equipment'!$C$4:$C$503,(_calc!$E$43-500)))&amp;". ")&amp;IF(LEN(IF(LEN(INDEX('My equipment'!$D$4:$D$503,(_calc!$E$43-500)))=0,"",INDEX('My equipment'!$D$4:$D$503,(_calc!$E$43-500))))=0,"","Serial: "&amp;IF(LEN(INDEX('My equipment'!$D$4:$D$503,(_calc!$E$43-500)))=0,"",INDEX('My equipment'!$D$4:$D$503,(_calc!$E$43-500)))&amp;". ")&amp;IF(LEN(IF(ISNUMBER(INDEX('My equipment'!$J$4:$J$503,(_calc!$E$43-500))),TEXT(INDEX('My equipment'!$J$4:$J$503,(_calc!$E$43-500)),"yyyy-mm-dd"),""))=0,"","Parts end: "&amp;IF(ISNUMBER(INDEX('My equipment'!$J$4:$J$503,(_calc!$E$43-500))),TEXT(INDEX('My equipment'!$J$4:$J$503,(_calc!$E$43-500)),"yyyy-mm-dd"),"")&amp;". ")&amp;IF(LEN(IF(ISNUMBER(INDEX('My equipment'!$L$4:$L$503,(_calc!$E$43-500))),TEXT(INDEX('My equipment'!$L$4:$L$503,(_calc!$E$43-500)),"yyyy-mm-dd"),""))=0,"","Labor end: "&amp;IF(ISNUMBER(INDEX('My equipment'!$L$4:$L$503,(_calc!$E$43-500))),TEXT(INDEX('My equipment'!$L$4:$L$503,(_calc!$E$43-500)),"yyyy-mm-dd"),"")&amp;". ")&amp;IF(LEN(IF(ISNUMBER(INDEX('My equipment'!$P$4:$P$503,(_calc!$E$43-500))),TEXT(INDEX('My equipment'!$P$4:$P$503,(_calc!$E$43-500)),"yyyy-mm-dd"),""))=0,"","Check by: "&amp;IF(ISNUMBER(INDEX('My equipment'!$P$4:$P$503,(_calc!$E$43-500))),TEXT(INDEX('My equipment'!$P$4:$P$503,(_calc!$E$43-500)),"yyyy-mm-dd"),"")&amp;". ")&amp;IF(LEN(IF(LEN(INDEX('My equipment'!$Q$4:$Q$503,(_calc!$E$43-500)))=0,"",INDEX('My equipment'!$Q$4:$Q$503,(_calc!$E$43-500))))=0,"","Claim status: "&amp;IF(LEN(INDEX('My equipment'!$Q$4:$Q$503,(_calc!$E$43-500)))=0,"",INDEX('My equipment'!$Q$4:$Q$503,(_calc!$E$43-500)))&amp;". ")&amp;IF(LEN(IF(LEN(INDEX('My equipment'!$R$4:$R$503,(_calc!$E$43-500)))=0,"",INDEX('My equipment'!$R$4:$R$503,(_calc!$E$43-500))))=0,"","Claims contact: "&amp;IF(LEN(INDEX('My equipment'!$R$4:$R$503,(_calc!$E$43-500)))=0,"",INDEX('My equipment'!$R$4:$R$503,(_calc!$E$43-500)))&amp;". ")&amp;IF(LEN(IF(LEN(INDEX('My equipment'!$S$4:$S$503,(_calc!$E$43-500)))=0,"",INDEX('My equipment'!$S$4:$S$503,(_calc!$E$43-500))))=0,"","Claims email: "&amp;IF(LEN(INDEX('My equipment'!$S$4:$S$503,(_calc!$E$43-500)))=0,"",INDEX('My equipment'!$S$4:$S$503,(_calc!$E$43-500)))&amp;". ")&amp;IF(LEN(IF(LEN(INDEX('My equipment'!$U$4:$U$503,(_calc!$E$43-500)))=0,"",INDEX('My equipment'!$U$4:$U$503,(_calc!$E$43-500))))=0,"","Registered: "&amp;IF(LEN(INDEX('My equipment'!$U$4:$U$503,(_calc!$E$43-500)))=0,"",INDEX('My equipment'!$U$4:$U$503,(_calc!$E$43-500)))&amp;". ")&amp;IF(LEN(IF(LEN(INDEX('My equipment'!$V$4:$V$503,(_calc!$E$43-500)))=0,"",INDEX('My equipment'!$V$4:$V$503,(_calc!$E$43-500))))=0,"","Proof on file: "&amp;IF(LEN(INDEX('My equipment'!$V$4:$V$503,(_calc!$E$43-500)))=0,"",INDEX('My equipment'!$V$4:$V$503,(_calc!$E$43-500)))&amp;". ")&amp;IF(LEN(IF(LEN(INDEX('My equipment'!$W$4:$W$503,(_calc!$E$43-500)))=0,"",INDEX('My equipment'!$W$4:$W$503,(_calc!$E$43-500))))=0,"","Claim ref: "&amp;IF(LEN(INDEX('My equipment'!$W$4:$W$503,(_calc!$E$43-500)))=0,"",INDEX('My equipment'!$W$4:$W$503,(_calc!$E$43-500)))&amp;". ")&amp;IF(LEN(IF(LEN(INDEX('My equipment'!$Y$4:$Y$503,(_calc!$E$43-500)))=0,"",INDEX('My equipment'!$Y$4:$Y$503,(_calc!$E$43-500))))=0,"",IF(LEN(INDEX('My equipment'!$Y$4:$Y$503,(_calc!$E$43-500)))=0,"",INDEX('My equipment'!$Y$4:$Y$503,(_calc!$E$43-500)))))))</f>
        <v/>
      </c>
      <c r="G41" s="54">
        <f>IF(_calc!$E$43="","",IF(_calc!$E$43&lt;=500,"",IF(LEN(INDEX('My equipment'!$X$4:$X$503,(_calc!$E$43-500)))=0,"",INDEX('My equipment'!$X$4:$X$503,(_calc!$E$43-500)))))</f>
        <v/>
      </c>
      <c r="K41" s="54">
        <f>IF(_calc!$E$43="","",IF(_calc!$E$43&lt;=500,"",IF(LEN(INDEX('My equipment'!$T$4:$T$503,(_calc!$E$43-500)))=0,"",INDEX('My equipment'!$T$4:$T$503,(_calc!$E$43-500)))))</f>
        <v/>
      </c>
    </row>
    <row r="42">
      <c r="A42" s="54">
        <f>IF(_calc!$E$44="","",IF(_calc!$E$44&lt;=500,"Warranty – "&amp;IF(LEN(INDEX('Dealer pipeline'!$C$4:$C$503,_calc!$E$44))=0,"",INDEX('Dealer pipeline'!$C$4:$C$503,_calc!$E$44))&amp;" – "&amp;IF(LEN(INDEX('Dealer pipeline'!$D$4:$D$503,_calc!$E$44))=0,"",INDEX('Dealer pipeline'!$D$4:$D$503,_calc!$E$44))&amp;" – "&amp;IF(LEN(INDEX('Dealer pipeline'!$A$4:$A$503,_calc!$E$44))=0,"",INDEX('Dealer pipeline'!$A$4:$A$503,_calc!$E$44)),"Warranty – "&amp;IF(LEN(INDEX('My equipment'!$A$4:$A$503,(_calc!$E$44-500)))=0,"",INDEX('My equipment'!$A$4:$A$503,(_calc!$E$44-500)))&amp;" – "&amp;IF(LEN(INDEX('My equipment'!$D$4:$D$503,(_calc!$E$44-500)))=0,"",INDEX('My equipment'!$D$4:$D$503,(_calc!$E$44-500)))))</f>
        <v/>
      </c>
      <c r="B42" s="54">
        <f>IF(_calc!$E$44="","",IF(_calc!$E$44&lt;=500,IF(ISNUMBER(INDEX('Dealer pipeline'!$M$4:$M$503,_calc!$E$44)),TEXT(INDEX('Dealer pipeline'!$M$4:$M$503,_calc!$E$44),"yyyy-mm-dd"),""),IF(ISNUMBER(INDEX('My equipment'!$M$4:$M$503,(_calc!$E$44-500))),TEXT(INDEX('My equipment'!$M$4:$M$503,(_calc!$E$44-500)),"yyyy-mm-dd"),"")))</f>
        <v/>
      </c>
      <c r="C42" s="54">
        <f>IF(_calc!$E$44="","",IF(_calc!$E$44&lt;=500,"Warranty","Warranty"))</f>
        <v/>
      </c>
      <c r="D42" s="54">
        <f>IF(_calc!$E$44="","",IF(_calc!$E$44&lt;=500,IF(ISNUMBER(INDEX('Dealer pipeline'!$H$4:$H$503,_calc!$E$44)),TEXT(INDEX('Dealer pipeline'!$H$4:$H$503,_calc!$E$44),"yyyy-mm-dd"),""),IF(ISNUMBER(INDEX('My equipment'!$H$4:$H$503,(_calc!$E$44-500))),TEXT(INDEX('My equipment'!$H$4:$H$503,(_calc!$E$44-500)),"yyyy-mm-dd"),"")))</f>
        <v/>
      </c>
      <c r="F42" s="54">
        <f>IF(_calc!$E$44="","",IF(_calc!$E$44&lt;=500,TRIM(IF(LEN(IF(LEN(INDEX('Dealer pipeline'!$A$4:$A$503,_calc!$E$44))=0,"",INDEX('Dealer pipeline'!$A$4:$A$503,_calc!$E$44)))=0,"","Customer: "&amp;IF(LEN(INDEX('Dealer pipeline'!$A$4:$A$503,_calc!$E$44))=0,"",INDEX('Dealer pipeline'!$A$4:$A$503,_calc!$E$44))&amp;". ")&amp;IF(LEN(IF(LEN(INDEX('Dealer pipeline'!$B$4:$B$503,_calc!$E$44))=0,"",INDEX('Dealer pipeline'!$B$4:$B$503,_calc!$E$44)))=0,"","Contact: "&amp;IF(LEN(INDEX('Dealer pipeline'!$B$4:$B$503,_calc!$E$44))=0,"",INDEX('Dealer pipeline'!$B$4:$B$503,_calc!$E$44))&amp;". ")&amp;IF(LEN(IF(LEN(INDEX('Dealer pipeline'!$D$4:$D$503,_calc!$E$44))=0,"",INDEX('Dealer pipeline'!$D$4:$D$503,_calc!$E$44)))=0,"","Serial: "&amp;IF(LEN(INDEX('Dealer pipeline'!$D$4:$D$503,_calc!$E$44))=0,"",INDEX('Dealer pipeline'!$D$4:$D$503,_calc!$E$44))&amp;". ")&amp;IF(LEN(IF(ISNUMBER(INDEX('Dealer pipeline'!$J$4:$J$503,_calc!$E$44)),TEXT(INDEX('Dealer pipeline'!$J$4:$J$503,_calc!$E$44),"yyyy-mm-dd"),""))=0,"","Parts end: "&amp;IF(ISNUMBER(INDEX('Dealer pipeline'!$J$4:$J$503,_calc!$E$44)),TEXT(INDEX('Dealer pipeline'!$J$4:$J$503,_calc!$E$44),"yyyy-mm-dd"),"")&amp;". ")&amp;IF(LEN(IF(ISNUMBER(INDEX('Dealer pipeline'!$L$4:$L$503,_calc!$E$44)),TEXT(INDEX('Dealer pipeline'!$L$4:$L$503,_calc!$E$44),"yyyy-mm-dd"),""))=0,"","Labor end: "&amp;IF(ISNUMBER(INDEX('Dealer pipeline'!$L$4:$L$503,_calc!$E$44)),TEXT(INDEX('Dealer pipeline'!$L$4:$L$503,_calc!$E$44),"yyyy-mm-dd"),"")&amp;". ")&amp;IF(LEN(IF(LEN(INDEX('Dealer pipeline'!$Q$4:$Q$503,_calc!$E$44))=0,"",INDEX('Dealer pipeline'!$Q$4:$Q$503,_calc!$E$44)))=0,"","Status: "&amp;IF(LEN(INDEX('Dealer pipeline'!$Q$4:$Q$503,_calc!$E$44))=0,"",INDEX('Dealer pipeline'!$Q$4:$Q$503,_calc!$E$44))&amp;". ")&amp;IF(LEN(IF(LEN(INDEX('Dealer pipeline'!$P$4:$P$503,_calc!$E$44))=0,"",INDEX('Dealer pipeline'!$P$4:$P$503,_calc!$E$44)))=0,"","Last touch: "&amp;IF(LEN(INDEX('Dealer pipeline'!$P$4:$P$503,_calc!$E$44))=0,"",INDEX('Dealer pipeline'!$P$4:$P$503,_calc!$E$44))&amp;". ")&amp;IF(LEN(IF(LEN(INDEX('Dealer pipeline'!$R$4:$R$503,_calc!$E$44))=0,"",INDEX('Dealer pipeline'!$R$4:$R$503,_calc!$E$44)))=0,"","Owner: "&amp;IF(LEN(INDEX('Dealer pipeline'!$R$4:$R$503,_calc!$E$44))=0,"",INDEX('Dealer pipeline'!$R$4:$R$503,_calc!$E$44))&amp;". ")&amp;IF(LEN(IF(LEN(INDEX('Dealer pipeline'!$S$4:$S$503,_calc!$E$44))=0,"",INDEX('Dealer pipeline'!$S$4:$S$503,_calc!$E$44)))=0,"","Backup: "&amp;IF(LEN(INDEX('Dealer pipeline'!$S$4:$S$503,_calc!$E$44))=0,"",INDEX('Dealer pipeline'!$S$4:$S$503,_calc!$E$44))&amp;". ")&amp;IF(LEN(IF(LEN(INDEX('Dealer pipeline'!$T$4:$T$503,_calc!$E$44))=0,"",INDEX('Dealer pipeline'!$T$4:$T$503,_calc!$E$44)))=0,"",IF(LEN(INDEX('Dealer pipeline'!$T$4:$T$503,_calc!$E$44))=0,"",INDEX('Dealer pipeline'!$T$4:$T$503,_calc!$E$44)))),TRIM(IF(LEN(IF(LEN(INDEX('My equipment'!$C$4:$C$503,(_calc!$E$44-500)))=0,"",INDEX('My equipment'!$C$4:$C$503,(_calc!$E$44-500))))=0,"","Model: "&amp;IF(LEN(INDEX('My equipment'!$C$4:$C$503,(_calc!$E$44-500)))=0,"",INDEX('My equipment'!$C$4:$C$503,(_calc!$E$44-500)))&amp;". ")&amp;IF(LEN(IF(LEN(INDEX('My equipment'!$D$4:$D$503,(_calc!$E$44-500)))=0,"",INDEX('My equipment'!$D$4:$D$503,(_calc!$E$44-500))))=0,"","Serial: "&amp;IF(LEN(INDEX('My equipment'!$D$4:$D$503,(_calc!$E$44-500)))=0,"",INDEX('My equipment'!$D$4:$D$503,(_calc!$E$44-500)))&amp;". ")&amp;IF(LEN(IF(ISNUMBER(INDEX('My equipment'!$J$4:$J$503,(_calc!$E$44-500))),TEXT(INDEX('My equipment'!$J$4:$J$503,(_calc!$E$44-500)),"yyyy-mm-dd"),""))=0,"","Parts end: "&amp;IF(ISNUMBER(INDEX('My equipment'!$J$4:$J$503,(_calc!$E$44-500))),TEXT(INDEX('My equipment'!$J$4:$J$503,(_calc!$E$44-500)),"yyyy-mm-dd"),"")&amp;". ")&amp;IF(LEN(IF(ISNUMBER(INDEX('My equipment'!$L$4:$L$503,(_calc!$E$44-500))),TEXT(INDEX('My equipment'!$L$4:$L$503,(_calc!$E$44-500)),"yyyy-mm-dd"),""))=0,"","Labor end: "&amp;IF(ISNUMBER(INDEX('My equipment'!$L$4:$L$503,(_calc!$E$44-500))),TEXT(INDEX('My equipment'!$L$4:$L$503,(_calc!$E$44-500)),"yyyy-mm-dd"),"")&amp;". ")&amp;IF(LEN(IF(ISNUMBER(INDEX('My equipment'!$P$4:$P$503,(_calc!$E$44-500))),TEXT(INDEX('My equipment'!$P$4:$P$503,(_calc!$E$44-500)),"yyyy-mm-dd"),""))=0,"","Check by: "&amp;IF(ISNUMBER(INDEX('My equipment'!$P$4:$P$503,(_calc!$E$44-500))),TEXT(INDEX('My equipment'!$P$4:$P$503,(_calc!$E$44-500)),"yyyy-mm-dd"),"")&amp;". ")&amp;IF(LEN(IF(LEN(INDEX('My equipment'!$Q$4:$Q$503,(_calc!$E$44-500)))=0,"",INDEX('My equipment'!$Q$4:$Q$503,(_calc!$E$44-500))))=0,"","Claim status: "&amp;IF(LEN(INDEX('My equipment'!$Q$4:$Q$503,(_calc!$E$44-500)))=0,"",INDEX('My equipment'!$Q$4:$Q$503,(_calc!$E$44-500)))&amp;". ")&amp;IF(LEN(IF(LEN(INDEX('My equipment'!$R$4:$R$503,(_calc!$E$44-500)))=0,"",INDEX('My equipment'!$R$4:$R$503,(_calc!$E$44-500))))=0,"","Claims contact: "&amp;IF(LEN(INDEX('My equipment'!$R$4:$R$503,(_calc!$E$44-500)))=0,"",INDEX('My equipment'!$R$4:$R$503,(_calc!$E$44-500)))&amp;". ")&amp;IF(LEN(IF(LEN(INDEX('My equipment'!$S$4:$S$503,(_calc!$E$44-500)))=0,"",INDEX('My equipment'!$S$4:$S$503,(_calc!$E$44-500))))=0,"","Claims email: "&amp;IF(LEN(INDEX('My equipment'!$S$4:$S$503,(_calc!$E$44-500)))=0,"",INDEX('My equipment'!$S$4:$S$503,(_calc!$E$44-500)))&amp;". ")&amp;IF(LEN(IF(LEN(INDEX('My equipment'!$U$4:$U$503,(_calc!$E$44-500)))=0,"",INDEX('My equipment'!$U$4:$U$503,(_calc!$E$44-500))))=0,"","Registered: "&amp;IF(LEN(INDEX('My equipment'!$U$4:$U$503,(_calc!$E$44-500)))=0,"",INDEX('My equipment'!$U$4:$U$503,(_calc!$E$44-500)))&amp;". ")&amp;IF(LEN(IF(LEN(INDEX('My equipment'!$V$4:$V$503,(_calc!$E$44-500)))=0,"",INDEX('My equipment'!$V$4:$V$503,(_calc!$E$44-500))))=0,"","Proof on file: "&amp;IF(LEN(INDEX('My equipment'!$V$4:$V$503,(_calc!$E$44-500)))=0,"",INDEX('My equipment'!$V$4:$V$503,(_calc!$E$44-500)))&amp;". ")&amp;IF(LEN(IF(LEN(INDEX('My equipment'!$W$4:$W$503,(_calc!$E$44-500)))=0,"",INDEX('My equipment'!$W$4:$W$503,(_calc!$E$44-500))))=0,"","Claim ref: "&amp;IF(LEN(INDEX('My equipment'!$W$4:$W$503,(_calc!$E$44-500)))=0,"",INDEX('My equipment'!$W$4:$W$503,(_calc!$E$44-500)))&amp;". ")&amp;IF(LEN(IF(LEN(INDEX('My equipment'!$Y$4:$Y$503,(_calc!$E$44-500)))=0,"",INDEX('My equipment'!$Y$4:$Y$503,(_calc!$E$44-500))))=0,"",IF(LEN(INDEX('My equipment'!$Y$4:$Y$503,(_calc!$E$44-500)))=0,"",INDEX('My equipment'!$Y$4:$Y$503,(_calc!$E$44-500)))))))</f>
        <v/>
      </c>
      <c r="G42" s="54">
        <f>IF(_calc!$E$44="","",IF(_calc!$E$44&lt;=500,"",IF(LEN(INDEX('My equipment'!$X$4:$X$503,(_calc!$E$44-500)))=0,"",INDEX('My equipment'!$X$4:$X$503,(_calc!$E$44-500)))))</f>
        <v/>
      </c>
      <c r="K42" s="54">
        <f>IF(_calc!$E$44="","",IF(_calc!$E$44&lt;=500,"",IF(LEN(INDEX('My equipment'!$T$4:$T$503,(_calc!$E$44-500)))=0,"",INDEX('My equipment'!$T$4:$T$503,(_calc!$E$44-500)))))</f>
        <v/>
      </c>
    </row>
    <row r="43">
      <c r="A43" s="54">
        <f>IF(_calc!$E$45="","",IF(_calc!$E$45&lt;=500,"Warranty – "&amp;IF(LEN(INDEX('Dealer pipeline'!$C$4:$C$503,_calc!$E$45))=0,"",INDEX('Dealer pipeline'!$C$4:$C$503,_calc!$E$45))&amp;" – "&amp;IF(LEN(INDEX('Dealer pipeline'!$D$4:$D$503,_calc!$E$45))=0,"",INDEX('Dealer pipeline'!$D$4:$D$503,_calc!$E$45))&amp;" – "&amp;IF(LEN(INDEX('Dealer pipeline'!$A$4:$A$503,_calc!$E$45))=0,"",INDEX('Dealer pipeline'!$A$4:$A$503,_calc!$E$45)),"Warranty – "&amp;IF(LEN(INDEX('My equipment'!$A$4:$A$503,(_calc!$E$45-500)))=0,"",INDEX('My equipment'!$A$4:$A$503,(_calc!$E$45-500)))&amp;" – "&amp;IF(LEN(INDEX('My equipment'!$D$4:$D$503,(_calc!$E$45-500)))=0,"",INDEX('My equipment'!$D$4:$D$503,(_calc!$E$45-500)))))</f>
        <v/>
      </c>
      <c r="B43" s="54">
        <f>IF(_calc!$E$45="","",IF(_calc!$E$45&lt;=500,IF(ISNUMBER(INDEX('Dealer pipeline'!$M$4:$M$503,_calc!$E$45)),TEXT(INDEX('Dealer pipeline'!$M$4:$M$503,_calc!$E$45),"yyyy-mm-dd"),""),IF(ISNUMBER(INDEX('My equipment'!$M$4:$M$503,(_calc!$E$45-500))),TEXT(INDEX('My equipment'!$M$4:$M$503,(_calc!$E$45-500)),"yyyy-mm-dd"),"")))</f>
        <v/>
      </c>
      <c r="C43" s="54">
        <f>IF(_calc!$E$45="","",IF(_calc!$E$45&lt;=500,"Warranty","Warranty"))</f>
        <v/>
      </c>
      <c r="D43" s="54">
        <f>IF(_calc!$E$45="","",IF(_calc!$E$45&lt;=500,IF(ISNUMBER(INDEX('Dealer pipeline'!$H$4:$H$503,_calc!$E$45)),TEXT(INDEX('Dealer pipeline'!$H$4:$H$503,_calc!$E$45),"yyyy-mm-dd"),""),IF(ISNUMBER(INDEX('My equipment'!$H$4:$H$503,(_calc!$E$45-500))),TEXT(INDEX('My equipment'!$H$4:$H$503,(_calc!$E$45-500)),"yyyy-mm-dd"),"")))</f>
        <v/>
      </c>
      <c r="F43" s="54">
        <f>IF(_calc!$E$45="","",IF(_calc!$E$45&lt;=500,TRIM(IF(LEN(IF(LEN(INDEX('Dealer pipeline'!$A$4:$A$503,_calc!$E$45))=0,"",INDEX('Dealer pipeline'!$A$4:$A$503,_calc!$E$45)))=0,"","Customer: "&amp;IF(LEN(INDEX('Dealer pipeline'!$A$4:$A$503,_calc!$E$45))=0,"",INDEX('Dealer pipeline'!$A$4:$A$503,_calc!$E$45))&amp;". ")&amp;IF(LEN(IF(LEN(INDEX('Dealer pipeline'!$B$4:$B$503,_calc!$E$45))=0,"",INDEX('Dealer pipeline'!$B$4:$B$503,_calc!$E$45)))=0,"","Contact: "&amp;IF(LEN(INDEX('Dealer pipeline'!$B$4:$B$503,_calc!$E$45))=0,"",INDEX('Dealer pipeline'!$B$4:$B$503,_calc!$E$45))&amp;". ")&amp;IF(LEN(IF(LEN(INDEX('Dealer pipeline'!$D$4:$D$503,_calc!$E$45))=0,"",INDEX('Dealer pipeline'!$D$4:$D$503,_calc!$E$45)))=0,"","Serial: "&amp;IF(LEN(INDEX('Dealer pipeline'!$D$4:$D$503,_calc!$E$45))=0,"",INDEX('Dealer pipeline'!$D$4:$D$503,_calc!$E$45))&amp;". ")&amp;IF(LEN(IF(ISNUMBER(INDEX('Dealer pipeline'!$J$4:$J$503,_calc!$E$45)),TEXT(INDEX('Dealer pipeline'!$J$4:$J$503,_calc!$E$45),"yyyy-mm-dd"),""))=0,"","Parts end: "&amp;IF(ISNUMBER(INDEX('Dealer pipeline'!$J$4:$J$503,_calc!$E$45)),TEXT(INDEX('Dealer pipeline'!$J$4:$J$503,_calc!$E$45),"yyyy-mm-dd"),"")&amp;". ")&amp;IF(LEN(IF(ISNUMBER(INDEX('Dealer pipeline'!$L$4:$L$503,_calc!$E$45)),TEXT(INDEX('Dealer pipeline'!$L$4:$L$503,_calc!$E$45),"yyyy-mm-dd"),""))=0,"","Labor end: "&amp;IF(ISNUMBER(INDEX('Dealer pipeline'!$L$4:$L$503,_calc!$E$45)),TEXT(INDEX('Dealer pipeline'!$L$4:$L$503,_calc!$E$45),"yyyy-mm-dd"),"")&amp;". ")&amp;IF(LEN(IF(LEN(INDEX('Dealer pipeline'!$Q$4:$Q$503,_calc!$E$45))=0,"",INDEX('Dealer pipeline'!$Q$4:$Q$503,_calc!$E$45)))=0,"","Status: "&amp;IF(LEN(INDEX('Dealer pipeline'!$Q$4:$Q$503,_calc!$E$45))=0,"",INDEX('Dealer pipeline'!$Q$4:$Q$503,_calc!$E$45))&amp;". ")&amp;IF(LEN(IF(LEN(INDEX('Dealer pipeline'!$P$4:$P$503,_calc!$E$45))=0,"",INDEX('Dealer pipeline'!$P$4:$P$503,_calc!$E$45)))=0,"","Last touch: "&amp;IF(LEN(INDEX('Dealer pipeline'!$P$4:$P$503,_calc!$E$45))=0,"",INDEX('Dealer pipeline'!$P$4:$P$503,_calc!$E$45))&amp;". ")&amp;IF(LEN(IF(LEN(INDEX('Dealer pipeline'!$R$4:$R$503,_calc!$E$45))=0,"",INDEX('Dealer pipeline'!$R$4:$R$503,_calc!$E$45)))=0,"","Owner: "&amp;IF(LEN(INDEX('Dealer pipeline'!$R$4:$R$503,_calc!$E$45))=0,"",INDEX('Dealer pipeline'!$R$4:$R$503,_calc!$E$45))&amp;". ")&amp;IF(LEN(IF(LEN(INDEX('Dealer pipeline'!$S$4:$S$503,_calc!$E$45))=0,"",INDEX('Dealer pipeline'!$S$4:$S$503,_calc!$E$45)))=0,"","Backup: "&amp;IF(LEN(INDEX('Dealer pipeline'!$S$4:$S$503,_calc!$E$45))=0,"",INDEX('Dealer pipeline'!$S$4:$S$503,_calc!$E$45))&amp;". ")&amp;IF(LEN(IF(LEN(INDEX('Dealer pipeline'!$T$4:$T$503,_calc!$E$45))=0,"",INDEX('Dealer pipeline'!$T$4:$T$503,_calc!$E$45)))=0,"",IF(LEN(INDEX('Dealer pipeline'!$T$4:$T$503,_calc!$E$45))=0,"",INDEX('Dealer pipeline'!$T$4:$T$503,_calc!$E$45)))),TRIM(IF(LEN(IF(LEN(INDEX('My equipment'!$C$4:$C$503,(_calc!$E$45-500)))=0,"",INDEX('My equipment'!$C$4:$C$503,(_calc!$E$45-500))))=0,"","Model: "&amp;IF(LEN(INDEX('My equipment'!$C$4:$C$503,(_calc!$E$45-500)))=0,"",INDEX('My equipment'!$C$4:$C$503,(_calc!$E$45-500)))&amp;". ")&amp;IF(LEN(IF(LEN(INDEX('My equipment'!$D$4:$D$503,(_calc!$E$45-500)))=0,"",INDEX('My equipment'!$D$4:$D$503,(_calc!$E$45-500))))=0,"","Serial: "&amp;IF(LEN(INDEX('My equipment'!$D$4:$D$503,(_calc!$E$45-500)))=0,"",INDEX('My equipment'!$D$4:$D$503,(_calc!$E$45-500)))&amp;". ")&amp;IF(LEN(IF(ISNUMBER(INDEX('My equipment'!$J$4:$J$503,(_calc!$E$45-500))),TEXT(INDEX('My equipment'!$J$4:$J$503,(_calc!$E$45-500)),"yyyy-mm-dd"),""))=0,"","Parts end: "&amp;IF(ISNUMBER(INDEX('My equipment'!$J$4:$J$503,(_calc!$E$45-500))),TEXT(INDEX('My equipment'!$J$4:$J$503,(_calc!$E$45-500)),"yyyy-mm-dd"),"")&amp;". ")&amp;IF(LEN(IF(ISNUMBER(INDEX('My equipment'!$L$4:$L$503,(_calc!$E$45-500))),TEXT(INDEX('My equipment'!$L$4:$L$503,(_calc!$E$45-500)),"yyyy-mm-dd"),""))=0,"","Labor end: "&amp;IF(ISNUMBER(INDEX('My equipment'!$L$4:$L$503,(_calc!$E$45-500))),TEXT(INDEX('My equipment'!$L$4:$L$503,(_calc!$E$45-500)),"yyyy-mm-dd"),"")&amp;". ")&amp;IF(LEN(IF(ISNUMBER(INDEX('My equipment'!$P$4:$P$503,(_calc!$E$45-500))),TEXT(INDEX('My equipment'!$P$4:$P$503,(_calc!$E$45-500)),"yyyy-mm-dd"),""))=0,"","Check by: "&amp;IF(ISNUMBER(INDEX('My equipment'!$P$4:$P$503,(_calc!$E$45-500))),TEXT(INDEX('My equipment'!$P$4:$P$503,(_calc!$E$45-500)),"yyyy-mm-dd"),"")&amp;". ")&amp;IF(LEN(IF(LEN(INDEX('My equipment'!$Q$4:$Q$503,(_calc!$E$45-500)))=0,"",INDEX('My equipment'!$Q$4:$Q$503,(_calc!$E$45-500))))=0,"","Claim status: "&amp;IF(LEN(INDEX('My equipment'!$Q$4:$Q$503,(_calc!$E$45-500)))=0,"",INDEX('My equipment'!$Q$4:$Q$503,(_calc!$E$45-500)))&amp;". ")&amp;IF(LEN(IF(LEN(INDEX('My equipment'!$R$4:$R$503,(_calc!$E$45-500)))=0,"",INDEX('My equipment'!$R$4:$R$503,(_calc!$E$45-500))))=0,"","Claims contact: "&amp;IF(LEN(INDEX('My equipment'!$R$4:$R$503,(_calc!$E$45-500)))=0,"",INDEX('My equipment'!$R$4:$R$503,(_calc!$E$45-500)))&amp;". ")&amp;IF(LEN(IF(LEN(INDEX('My equipment'!$S$4:$S$503,(_calc!$E$45-500)))=0,"",INDEX('My equipment'!$S$4:$S$503,(_calc!$E$45-500))))=0,"","Claims email: "&amp;IF(LEN(INDEX('My equipment'!$S$4:$S$503,(_calc!$E$45-500)))=0,"",INDEX('My equipment'!$S$4:$S$503,(_calc!$E$45-500)))&amp;". ")&amp;IF(LEN(IF(LEN(INDEX('My equipment'!$U$4:$U$503,(_calc!$E$45-500)))=0,"",INDEX('My equipment'!$U$4:$U$503,(_calc!$E$45-500))))=0,"","Registered: "&amp;IF(LEN(INDEX('My equipment'!$U$4:$U$503,(_calc!$E$45-500)))=0,"",INDEX('My equipment'!$U$4:$U$503,(_calc!$E$45-500)))&amp;". ")&amp;IF(LEN(IF(LEN(INDEX('My equipment'!$V$4:$V$503,(_calc!$E$45-500)))=0,"",INDEX('My equipment'!$V$4:$V$503,(_calc!$E$45-500))))=0,"","Proof on file: "&amp;IF(LEN(INDEX('My equipment'!$V$4:$V$503,(_calc!$E$45-500)))=0,"",INDEX('My equipment'!$V$4:$V$503,(_calc!$E$45-500)))&amp;". ")&amp;IF(LEN(IF(LEN(INDEX('My equipment'!$W$4:$W$503,(_calc!$E$45-500)))=0,"",INDEX('My equipment'!$W$4:$W$503,(_calc!$E$45-500))))=0,"","Claim ref: "&amp;IF(LEN(INDEX('My equipment'!$W$4:$W$503,(_calc!$E$45-500)))=0,"",INDEX('My equipment'!$W$4:$W$503,(_calc!$E$45-500)))&amp;". ")&amp;IF(LEN(IF(LEN(INDEX('My equipment'!$Y$4:$Y$503,(_calc!$E$45-500)))=0,"",INDEX('My equipment'!$Y$4:$Y$503,(_calc!$E$45-500))))=0,"",IF(LEN(INDEX('My equipment'!$Y$4:$Y$503,(_calc!$E$45-500)))=0,"",INDEX('My equipment'!$Y$4:$Y$503,(_calc!$E$45-500)))))))</f>
        <v/>
      </c>
      <c r="G43" s="54">
        <f>IF(_calc!$E$45="","",IF(_calc!$E$45&lt;=500,"",IF(LEN(INDEX('My equipment'!$X$4:$X$503,(_calc!$E$45-500)))=0,"",INDEX('My equipment'!$X$4:$X$503,(_calc!$E$45-500)))))</f>
        <v/>
      </c>
      <c r="K43" s="54">
        <f>IF(_calc!$E$45="","",IF(_calc!$E$45&lt;=500,"",IF(LEN(INDEX('My equipment'!$T$4:$T$503,(_calc!$E$45-500)))=0,"",INDEX('My equipment'!$T$4:$T$503,(_calc!$E$45-500)))))</f>
        <v/>
      </c>
    </row>
    <row r="44">
      <c r="A44" s="54">
        <f>IF(_calc!$E$46="","",IF(_calc!$E$46&lt;=500,"Warranty – "&amp;IF(LEN(INDEX('Dealer pipeline'!$C$4:$C$503,_calc!$E$46))=0,"",INDEX('Dealer pipeline'!$C$4:$C$503,_calc!$E$46))&amp;" – "&amp;IF(LEN(INDEX('Dealer pipeline'!$D$4:$D$503,_calc!$E$46))=0,"",INDEX('Dealer pipeline'!$D$4:$D$503,_calc!$E$46))&amp;" – "&amp;IF(LEN(INDEX('Dealer pipeline'!$A$4:$A$503,_calc!$E$46))=0,"",INDEX('Dealer pipeline'!$A$4:$A$503,_calc!$E$46)),"Warranty – "&amp;IF(LEN(INDEX('My equipment'!$A$4:$A$503,(_calc!$E$46-500)))=0,"",INDEX('My equipment'!$A$4:$A$503,(_calc!$E$46-500)))&amp;" – "&amp;IF(LEN(INDEX('My equipment'!$D$4:$D$503,(_calc!$E$46-500)))=0,"",INDEX('My equipment'!$D$4:$D$503,(_calc!$E$46-500)))))</f>
        <v/>
      </c>
      <c r="B44" s="54">
        <f>IF(_calc!$E$46="","",IF(_calc!$E$46&lt;=500,IF(ISNUMBER(INDEX('Dealer pipeline'!$M$4:$M$503,_calc!$E$46)),TEXT(INDEX('Dealer pipeline'!$M$4:$M$503,_calc!$E$46),"yyyy-mm-dd"),""),IF(ISNUMBER(INDEX('My equipment'!$M$4:$M$503,(_calc!$E$46-500))),TEXT(INDEX('My equipment'!$M$4:$M$503,(_calc!$E$46-500)),"yyyy-mm-dd"),"")))</f>
        <v/>
      </c>
      <c r="C44" s="54">
        <f>IF(_calc!$E$46="","",IF(_calc!$E$46&lt;=500,"Warranty","Warranty"))</f>
        <v/>
      </c>
      <c r="D44" s="54">
        <f>IF(_calc!$E$46="","",IF(_calc!$E$46&lt;=500,IF(ISNUMBER(INDEX('Dealer pipeline'!$H$4:$H$503,_calc!$E$46)),TEXT(INDEX('Dealer pipeline'!$H$4:$H$503,_calc!$E$46),"yyyy-mm-dd"),""),IF(ISNUMBER(INDEX('My equipment'!$H$4:$H$503,(_calc!$E$46-500))),TEXT(INDEX('My equipment'!$H$4:$H$503,(_calc!$E$46-500)),"yyyy-mm-dd"),"")))</f>
        <v/>
      </c>
      <c r="F44" s="54">
        <f>IF(_calc!$E$46="","",IF(_calc!$E$46&lt;=500,TRIM(IF(LEN(IF(LEN(INDEX('Dealer pipeline'!$A$4:$A$503,_calc!$E$46))=0,"",INDEX('Dealer pipeline'!$A$4:$A$503,_calc!$E$46)))=0,"","Customer: "&amp;IF(LEN(INDEX('Dealer pipeline'!$A$4:$A$503,_calc!$E$46))=0,"",INDEX('Dealer pipeline'!$A$4:$A$503,_calc!$E$46))&amp;". ")&amp;IF(LEN(IF(LEN(INDEX('Dealer pipeline'!$B$4:$B$503,_calc!$E$46))=0,"",INDEX('Dealer pipeline'!$B$4:$B$503,_calc!$E$46)))=0,"","Contact: "&amp;IF(LEN(INDEX('Dealer pipeline'!$B$4:$B$503,_calc!$E$46))=0,"",INDEX('Dealer pipeline'!$B$4:$B$503,_calc!$E$46))&amp;". ")&amp;IF(LEN(IF(LEN(INDEX('Dealer pipeline'!$D$4:$D$503,_calc!$E$46))=0,"",INDEX('Dealer pipeline'!$D$4:$D$503,_calc!$E$46)))=0,"","Serial: "&amp;IF(LEN(INDEX('Dealer pipeline'!$D$4:$D$503,_calc!$E$46))=0,"",INDEX('Dealer pipeline'!$D$4:$D$503,_calc!$E$46))&amp;". ")&amp;IF(LEN(IF(ISNUMBER(INDEX('Dealer pipeline'!$J$4:$J$503,_calc!$E$46)),TEXT(INDEX('Dealer pipeline'!$J$4:$J$503,_calc!$E$46),"yyyy-mm-dd"),""))=0,"","Parts end: "&amp;IF(ISNUMBER(INDEX('Dealer pipeline'!$J$4:$J$503,_calc!$E$46)),TEXT(INDEX('Dealer pipeline'!$J$4:$J$503,_calc!$E$46),"yyyy-mm-dd"),"")&amp;". ")&amp;IF(LEN(IF(ISNUMBER(INDEX('Dealer pipeline'!$L$4:$L$503,_calc!$E$46)),TEXT(INDEX('Dealer pipeline'!$L$4:$L$503,_calc!$E$46),"yyyy-mm-dd"),""))=0,"","Labor end: "&amp;IF(ISNUMBER(INDEX('Dealer pipeline'!$L$4:$L$503,_calc!$E$46)),TEXT(INDEX('Dealer pipeline'!$L$4:$L$503,_calc!$E$46),"yyyy-mm-dd"),"")&amp;". ")&amp;IF(LEN(IF(LEN(INDEX('Dealer pipeline'!$Q$4:$Q$503,_calc!$E$46))=0,"",INDEX('Dealer pipeline'!$Q$4:$Q$503,_calc!$E$46)))=0,"","Status: "&amp;IF(LEN(INDEX('Dealer pipeline'!$Q$4:$Q$503,_calc!$E$46))=0,"",INDEX('Dealer pipeline'!$Q$4:$Q$503,_calc!$E$46))&amp;". ")&amp;IF(LEN(IF(LEN(INDEX('Dealer pipeline'!$P$4:$P$503,_calc!$E$46))=0,"",INDEX('Dealer pipeline'!$P$4:$P$503,_calc!$E$46)))=0,"","Last touch: "&amp;IF(LEN(INDEX('Dealer pipeline'!$P$4:$P$503,_calc!$E$46))=0,"",INDEX('Dealer pipeline'!$P$4:$P$503,_calc!$E$46))&amp;". ")&amp;IF(LEN(IF(LEN(INDEX('Dealer pipeline'!$R$4:$R$503,_calc!$E$46))=0,"",INDEX('Dealer pipeline'!$R$4:$R$503,_calc!$E$46)))=0,"","Owner: "&amp;IF(LEN(INDEX('Dealer pipeline'!$R$4:$R$503,_calc!$E$46))=0,"",INDEX('Dealer pipeline'!$R$4:$R$503,_calc!$E$46))&amp;". ")&amp;IF(LEN(IF(LEN(INDEX('Dealer pipeline'!$S$4:$S$503,_calc!$E$46))=0,"",INDEX('Dealer pipeline'!$S$4:$S$503,_calc!$E$46)))=0,"","Backup: "&amp;IF(LEN(INDEX('Dealer pipeline'!$S$4:$S$503,_calc!$E$46))=0,"",INDEX('Dealer pipeline'!$S$4:$S$503,_calc!$E$46))&amp;". ")&amp;IF(LEN(IF(LEN(INDEX('Dealer pipeline'!$T$4:$T$503,_calc!$E$46))=0,"",INDEX('Dealer pipeline'!$T$4:$T$503,_calc!$E$46)))=0,"",IF(LEN(INDEX('Dealer pipeline'!$T$4:$T$503,_calc!$E$46))=0,"",INDEX('Dealer pipeline'!$T$4:$T$503,_calc!$E$46)))),TRIM(IF(LEN(IF(LEN(INDEX('My equipment'!$C$4:$C$503,(_calc!$E$46-500)))=0,"",INDEX('My equipment'!$C$4:$C$503,(_calc!$E$46-500))))=0,"","Model: "&amp;IF(LEN(INDEX('My equipment'!$C$4:$C$503,(_calc!$E$46-500)))=0,"",INDEX('My equipment'!$C$4:$C$503,(_calc!$E$46-500)))&amp;". ")&amp;IF(LEN(IF(LEN(INDEX('My equipment'!$D$4:$D$503,(_calc!$E$46-500)))=0,"",INDEX('My equipment'!$D$4:$D$503,(_calc!$E$46-500))))=0,"","Serial: "&amp;IF(LEN(INDEX('My equipment'!$D$4:$D$503,(_calc!$E$46-500)))=0,"",INDEX('My equipment'!$D$4:$D$503,(_calc!$E$46-500)))&amp;". ")&amp;IF(LEN(IF(ISNUMBER(INDEX('My equipment'!$J$4:$J$503,(_calc!$E$46-500))),TEXT(INDEX('My equipment'!$J$4:$J$503,(_calc!$E$46-500)),"yyyy-mm-dd"),""))=0,"","Parts end: "&amp;IF(ISNUMBER(INDEX('My equipment'!$J$4:$J$503,(_calc!$E$46-500))),TEXT(INDEX('My equipment'!$J$4:$J$503,(_calc!$E$46-500)),"yyyy-mm-dd"),"")&amp;". ")&amp;IF(LEN(IF(ISNUMBER(INDEX('My equipment'!$L$4:$L$503,(_calc!$E$46-500))),TEXT(INDEX('My equipment'!$L$4:$L$503,(_calc!$E$46-500)),"yyyy-mm-dd"),""))=0,"","Labor end: "&amp;IF(ISNUMBER(INDEX('My equipment'!$L$4:$L$503,(_calc!$E$46-500))),TEXT(INDEX('My equipment'!$L$4:$L$503,(_calc!$E$46-500)),"yyyy-mm-dd"),"")&amp;". ")&amp;IF(LEN(IF(ISNUMBER(INDEX('My equipment'!$P$4:$P$503,(_calc!$E$46-500))),TEXT(INDEX('My equipment'!$P$4:$P$503,(_calc!$E$46-500)),"yyyy-mm-dd"),""))=0,"","Check by: "&amp;IF(ISNUMBER(INDEX('My equipment'!$P$4:$P$503,(_calc!$E$46-500))),TEXT(INDEX('My equipment'!$P$4:$P$503,(_calc!$E$46-500)),"yyyy-mm-dd"),"")&amp;". ")&amp;IF(LEN(IF(LEN(INDEX('My equipment'!$Q$4:$Q$503,(_calc!$E$46-500)))=0,"",INDEX('My equipment'!$Q$4:$Q$503,(_calc!$E$46-500))))=0,"","Claim status: "&amp;IF(LEN(INDEX('My equipment'!$Q$4:$Q$503,(_calc!$E$46-500)))=0,"",INDEX('My equipment'!$Q$4:$Q$503,(_calc!$E$46-500)))&amp;". ")&amp;IF(LEN(IF(LEN(INDEX('My equipment'!$R$4:$R$503,(_calc!$E$46-500)))=0,"",INDEX('My equipment'!$R$4:$R$503,(_calc!$E$46-500))))=0,"","Claims contact: "&amp;IF(LEN(INDEX('My equipment'!$R$4:$R$503,(_calc!$E$46-500)))=0,"",INDEX('My equipment'!$R$4:$R$503,(_calc!$E$46-500)))&amp;". ")&amp;IF(LEN(IF(LEN(INDEX('My equipment'!$S$4:$S$503,(_calc!$E$46-500)))=0,"",INDEX('My equipment'!$S$4:$S$503,(_calc!$E$46-500))))=0,"","Claims email: "&amp;IF(LEN(INDEX('My equipment'!$S$4:$S$503,(_calc!$E$46-500)))=0,"",INDEX('My equipment'!$S$4:$S$503,(_calc!$E$46-500)))&amp;". ")&amp;IF(LEN(IF(LEN(INDEX('My equipment'!$U$4:$U$503,(_calc!$E$46-500)))=0,"",INDEX('My equipment'!$U$4:$U$503,(_calc!$E$46-500))))=0,"","Registered: "&amp;IF(LEN(INDEX('My equipment'!$U$4:$U$503,(_calc!$E$46-500)))=0,"",INDEX('My equipment'!$U$4:$U$503,(_calc!$E$46-500)))&amp;". ")&amp;IF(LEN(IF(LEN(INDEX('My equipment'!$V$4:$V$503,(_calc!$E$46-500)))=0,"",INDEX('My equipment'!$V$4:$V$503,(_calc!$E$46-500))))=0,"","Proof on file: "&amp;IF(LEN(INDEX('My equipment'!$V$4:$V$503,(_calc!$E$46-500)))=0,"",INDEX('My equipment'!$V$4:$V$503,(_calc!$E$46-500)))&amp;". ")&amp;IF(LEN(IF(LEN(INDEX('My equipment'!$W$4:$W$503,(_calc!$E$46-500)))=0,"",INDEX('My equipment'!$W$4:$W$503,(_calc!$E$46-500))))=0,"","Claim ref: "&amp;IF(LEN(INDEX('My equipment'!$W$4:$W$503,(_calc!$E$46-500)))=0,"",INDEX('My equipment'!$W$4:$W$503,(_calc!$E$46-500)))&amp;". ")&amp;IF(LEN(IF(LEN(INDEX('My equipment'!$Y$4:$Y$503,(_calc!$E$46-500)))=0,"",INDEX('My equipment'!$Y$4:$Y$503,(_calc!$E$46-500))))=0,"",IF(LEN(INDEX('My equipment'!$Y$4:$Y$503,(_calc!$E$46-500)))=0,"",INDEX('My equipment'!$Y$4:$Y$503,(_calc!$E$46-500)))))))</f>
        <v/>
      </c>
      <c r="G44" s="54">
        <f>IF(_calc!$E$46="","",IF(_calc!$E$46&lt;=500,"",IF(LEN(INDEX('My equipment'!$X$4:$X$503,(_calc!$E$46-500)))=0,"",INDEX('My equipment'!$X$4:$X$503,(_calc!$E$46-500)))))</f>
        <v/>
      </c>
      <c r="K44" s="54">
        <f>IF(_calc!$E$46="","",IF(_calc!$E$46&lt;=500,"",IF(LEN(INDEX('My equipment'!$T$4:$T$503,(_calc!$E$46-500)))=0,"",INDEX('My equipment'!$T$4:$T$503,(_calc!$E$46-500)))))</f>
        <v/>
      </c>
    </row>
    <row r="45">
      <c r="A45" s="54">
        <f>IF(_calc!$E$47="","",IF(_calc!$E$47&lt;=500,"Warranty – "&amp;IF(LEN(INDEX('Dealer pipeline'!$C$4:$C$503,_calc!$E$47))=0,"",INDEX('Dealer pipeline'!$C$4:$C$503,_calc!$E$47))&amp;" – "&amp;IF(LEN(INDEX('Dealer pipeline'!$D$4:$D$503,_calc!$E$47))=0,"",INDEX('Dealer pipeline'!$D$4:$D$503,_calc!$E$47))&amp;" – "&amp;IF(LEN(INDEX('Dealer pipeline'!$A$4:$A$503,_calc!$E$47))=0,"",INDEX('Dealer pipeline'!$A$4:$A$503,_calc!$E$47)),"Warranty – "&amp;IF(LEN(INDEX('My equipment'!$A$4:$A$503,(_calc!$E$47-500)))=0,"",INDEX('My equipment'!$A$4:$A$503,(_calc!$E$47-500)))&amp;" – "&amp;IF(LEN(INDEX('My equipment'!$D$4:$D$503,(_calc!$E$47-500)))=0,"",INDEX('My equipment'!$D$4:$D$503,(_calc!$E$47-500)))))</f>
        <v/>
      </c>
      <c r="B45" s="54">
        <f>IF(_calc!$E$47="","",IF(_calc!$E$47&lt;=500,IF(ISNUMBER(INDEX('Dealer pipeline'!$M$4:$M$503,_calc!$E$47)),TEXT(INDEX('Dealer pipeline'!$M$4:$M$503,_calc!$E$47),"yyyy-mm-dd"),""),IF(ISNUMBER(INDEX('My equipment'!$M$4:$M$503,(_calc!$E$47-500))),TEXT(INDEX('My equipment'!$M$4:$M$503,(_calc!$E$47-500)),"yyyy-mm-dd"),"")))</f>
        <v/>
      </c>
      <c r="C45" s="54">
        <f>IF(_calc!$E$47="","",IF(_calc!$E$47&lt;=500,"Warranty","Warranty"))</f>
        <v/>
      </c>
      <c r="D45" s="54">
        <f>IF(_calc!$E$47="","",IF(_calc!$E$47&lt;=500,IF(ISNUMBER(INDEX('Dealer pipeline'!$H$4:$H$503,_calc!$E$47)),TEXT(INDEX('Dealer pipeline'!$H$4:$H$503,_calc!$E$47),"yyyy-mm-dd"),""),IF(ISNUMBER(INDEX('My equipment'!$H$4:$H$503,(_calc!$E$47-500))),TEXT(INDEX('My equipment'!$H$4:$H$503,(_calc!$E$47-500)),"yyyy-mm-dd"),"")))</f>
        <v/>
      </c>
      <c r="F45" s="54">
        <f>IF(_calc!$E$47="","",IF(_calc!$E$47&lt;=500,TRIM(IF(LEN(IF(LEN(INDEX('Dealer pipeline'!$A$4:$A$503,_calc!$E$47))=0,"",INDEX('Dealer pipeline'!$A$4:$A$503,_calc!$E$47)))=0,"","Customer: "&amp;IF(LEN(INDEX('Dealer pipeline'!$A$4:$A$503,_calc!$E$47))=0,"",INDEX('Dealer pipeline'!$A$4:$A$503,_calc!$E$47))&amp;". ")&amp;IF(LEN(IF(LEN(INDEX('Dealer pipeline'!$B$4:$B$503,_calc!$E$47))=0,"",INDEX('Dealer pipeline'!$B$4:$B$503,_calc!$E$47)))=0,"","Contact: "&amp;IF(LEN(INDEX('Dealer pipeline'!$B$4:$B$503,_calc!$E$47))=0,"",INDEX('Dealer pipeline'!$B$4:$B$503,_calc!$E$47))&amp;". ")&amp;IF(LEN(IF(LEN(INDEX('Dealer pipeline'!$D$4:$D$503,_calc!$E$47))=0,"",INDEX('Dealer pipeline'!$D$4:$D$503,_calc!$E$47)))=0,"","Serial: "&amp;IF(LEN(INDEX('Dealer pipeline'!$D$4:$D$503,_calc!$E$47))=0,"",INDEX('Dealer pipeline'!$D$4:$D$503,_calc!$E$47))&amp;". ")&amp;IF(LEN(IF(ISNUMBER(INDEX('Dealer pipeline'!$J$4:$J$503,_calc!$E$47)),TEXT(INDEX('Dealer pipeline'!$J$4:$J$503,_calc!$E$47),"yyyy-mm-dd"),""))=0,"","Parts end: "&amp;IF(ISNUMBER(INDEX('Dealer pipeline'!$J$4:$J$503,_calc!$E$47)),TEXT(INDEX('Dealer pipeline'!$J$4:$J$503,_calc!$E$47),"yyyy-mm-dd"),"")&amp;". ")&amp;IF(LEN(IF(ISNUMBER(INDEX('Dealer pipeline'!$L$4:$L$503,_calc!$E$47)),TEXT(INDEX('Dealer pipeline'!$L$4:$L$503,_calc!$E$47),"yyyy-mm-dd"),""))=0,"","Labor end: "&amp;IF(ISNUMBER(INDEX('Dealer pipeline'!$L$4:$L$503,_calc!$E$47)),TEXT(INDEX('Dealer pipeline'!$L$4:$L$503,_calc!$E$47),"yyyy-mm-dd"),"")&amp;". ")&amp;IF(LEN(IF(LEN(INDEX('Dealer pipeline'!$Q$4:$Q$503,_calc!$E$47))=0,"",INDEX('Dealer pipeline'!$Q$4:$Q$503,_calc!$E$47)))=0,"","Status: "&amp;IF(LEN(INDEX('Dealer pipeline'!$Q$4:$Q$503,_calc!$E$47))=0,"",INDEX('Dealer pipeline'!$Q$4:$Q$503,_calc!$E$47))&amp;". ")&amp;IF(LEN(IF(LEN(INDEX('Dealer pipeline'!$P$4:$P$503,_calc!$E$47))=0,"",INDEX('Dealer pipeline'!$P$4:$P$503,_calc!$E$47)))=0,"","Last touch: "&amp;IF(LEN(INDEX('Dealer pipeline'!$P$4:$P$503,_calc!$E$47))=0,"",INDEX('Dealer pipeline'!$P$4:$P$503,_calc!$E$47))&amp;". ")&amp;IF(LEN(IF(LEN(INDEX('Dealer pipeline'!$R$4:$R$503,_calc!$E$47))=0,"",INDEX('Dealer pipeline'!$R$4:$R$503,_calc!$E$47)))=0,"","Owner: "&amp;IF(LEN(INDEX('Dealer pipeline'!$R$4:$R$503,_calc!$E$47))=0,"",INDEX('Dealer pipeline'!$R$4:$R$503,_calc!$E$47))&amp;". ")&amp;IF(LEN(IF(LEN(INDEX('Dealer pipeline'!$S$4:$S$503,_calc!$E$47))=0,"",INDEX('Dealer pipeline'!$S$4:$S$503,_calc!$E$47)))=0,"","Backup: "&amp;IF(LEN(INDEX('Dealer pipeline'!$S$4:$S$503,_calc!$E$47))=0,"",INDEX('Dealer pipeline'!$S$4:$S$503,_calc!$E$47))&amp;". ")&amp;IF(LEN(IF(LEN(INDEX('Dealer pipeline'!$T$4:$T$503,_calc!$E$47))=0,"",INDEX('Dealer pipeline'!$T$4:$T$503,_calc!$E$47)))=0,"",IF(LEN(INDEX('Dealer pipeline'!$T$4:$T$503,_calc!$E$47))=0,"",INDEX('Dealer pipeline'!$T$4:$T$503,_calc!$E$47)))),TRIM(IF(LEN(IF(LEN(INDEX('My equipment'!$C$4:$C$503,(_calc!$E$47-500)))=0,"",INDEX('My equipment'!$C$4:$C$503,(_calc!$E$47-500))))=0,"","Model: "&amp;IF(LEN(INDEX('My equipment'!$C$4:$C$503,(_calc!$E$47-500)))=0,"",INDEX('My equipment'!$C$4:$C$503,(_calc!$E$47-500)))&amp;". ")&amp;IF(LEN(IF(LEN(INDEX('My equipment'!$D$4:$D$503,(_calc!$E$47-500)))=0,"",INDEX('My equipment'!$D$4:$D$503,(_calc!$E$47-500))))=0,"","Serial: "&amp;IF(LEN(INDEX('My equipment'!$D$4:$D$503,(_calc!$E$47-500)))=0,"",INDEX('My equipment'!$D$4:$D$503,(_calc!$E$47-500)))&amp;". ")&amp;IF(LEN(IF(ISNUMBER(INDEX('My equipment'!$J$4:$J$503,(_calc!$E$47-500))),TEXT(INDEX('My equipment'!$J$4:$J$503,(_calc!$E$47-500)),"yyyy-mm-dd"),""))=0,"","Parts end: "&amp;IF(ISNUMBER(INDEX('My equipment'!$J$4:$J$503,(_calc!$E$47-500))),TEXT(INDEX('My equipment'!$J$4:$J$503,(_calc!$E$47-500)),"yyyy-mm-dd"),"")&amp;". ")&amp;IF(LEN(IF(ISNUMBER(INDEX('My equipment'!$L$4:$L$503,(_calc!$E$47-500))),TEXT(INDEX('My equipment'!$L$4:$L$503,(_calc!$E$47-500)),"yyyy-mm-dd"),""))=0,"","Labor end: "&amp;IF(ISNUMBER(INDEX('My equipment'!$L$4:$L$503,(_calc!$E$47-500))),TEXT(INDEX('My equipment'!$L$4:$L$503,(_calc!$E$47-500)),"yyyy-mm-dd"),"")&amp;". ")&amp;IF(LEN(IF(ISNUMBER(INDEX('My equipment'!$P$4:$P$503,(_calc!$E$47-500))),TEXT(INDEX('My equipment'!$P$4:$P$503,(_calc!$E$47-500)),"yyyy-mm-dd"),""))=0,"","Check by: "&amp;IF(ISNUMBER(INDEX('My equipment'!$P$4:$P$503,(_calc!$E$47-500))),TEXT(INDEX('My equipment'!$P$4:$P$503,(_calc!$E$47-500)),"yyyy-mm-dd"),"")&amp;". ")&amp;IF(LEN(IF(LEN(INDEX('My equipment'!$Q$4:$Q$503,(_calc!$E$47-500)))=0,"",INDEX('My equipment'!$Q$4:$Q$503,(_calc!$E$47-500))))=0,"","Claim status: "&amp;IF(LEN(INDEX('My equipment'!$Q$4:$Q$503,(_calc!$E$47-500)))=0,"",INDEX('My equipment'!$Q$4:$Q$503,(_calc!$E$47-500)))&amp;". ")&amp;IF(LEN(IF(LEN(INDEX('My equipment'!$R$4:$R$503,(_calc!$E$47-500)))=0,"",INDEX('My equipment'!$R$4:$R$503,(_calc!$E$47-500))))=0,"","Claims contact: "&amp;IF(LEN(INDEX('My equipment'!$R$4:$R$503,(_calc!$E$47-500)))=0,"",INDEX('My equipment'!$R$4:$R$503,(_calc!$E$47-500)))&amp;". ")&amp;IF(LEN(IF(LEN(INDEX('My equipment'!$S$4:$S$503,(_calc!$E$47-500)))=0,"",INDEX('My equipment'!$S$4:$S$503,(_calc!$E$47-500))))=0,"","Claims email: "&amp;IF(LEN(INDEX('My equipment'!$S$4:$S$503,(_calc!$E$47-500)))=0,"",INDEX('My equipment'!$S$4:$S$503,(_calc!$E$47-500)))&amp;". ")&amp;IF(LEN(IF(LEN(INDEX('My equipment'!$U$4:$U$503,(_calc!$E$47-500)))=0,"",INDEX('My equipment'!$U$4:$U$503,(_calc!$E$47-500))))=0,"","Registered: "&amp;IF(LEN(INDEX('My equipment'!$U$4:$U$503,(_calc!$E$47-500)))=0,"",INDEX('My equipment'!$U$4:$U$503,(_calc!$E$47-500)))&amp;". ")&amp;IF(LEN(IF(LEN(INDEX('My equipment'!$V$4:$V$503,(_calc!$E$47-500)))=0,"",INDEX('My equipment'!$V$4:$V$503,(_calc!$E$47-500))))=0,"","Proof on file: "&amp;IF(LEN(INDEX('My equipment'!$V$4:$V$503,(_calc!$E$47-500)))=0,"",INDEX('My equipment'!$V$4:$V$503,(_calc!$E$47-500)))&amp;". ")&amp;IF(LEN(IF(LEN(INDEX('My equipment'!$W$4:$W$503,(_calc!$E$47-500)))=0,"",INDEX('My equipment'!$W$4:$W$503,(_calc!$E$47-500))))=0,"","Claim ref: "&amp;IF(LEN(INDEX('My equipment'!$W$4:$W$503,(_calc!$E$47-500)))=0,"",INDEX('My equipment'!$W$4:$W$503,(_calc!$E$47-500)))&amp;". ")&amp;IF(LEN(IF(LEN(INDEX('My equipment'!$Y$4:$Y$503,(_calc!$E$47-500)))=0,"",INDEX('My equipment'!$Y$4:$Y$503,(_calc!$E$47-500))))=0,"",IF(LEN(INDEX('My equipment'!$Y$4:$Y$503,(_calc!$E$47-500)))=0,"",INDEX('My equipment'!$Y$4:$Y$503,(_calc!$E$47-500)))))))</f>
        <v/>
      </c>
      <c r="G45" s="54">
        <f>IF(_calc!$E$47="","",IF(_calc!$E$47&lt;=500,"",IF(LEN(INDEX('My equipment'!$X$4:$X$503,(_calc!$E$47-500)))=0,"",INDEX('My equipment'!$X$4:$X$503,(_calc!$E$47-500)))))</f>
        <v/>
      </c>
      <c r="K45" s="54">
        <f>IF(_calc!$E$47="","",IF(_calc!$E$47&lt;=500,"",IF(LEN(INDEX('My equipment'!$T$4:$T$503,(_calc!$E$47-500)))=0,"",INDEX('My equipment'!$T$4:$T$503,(_calc!$E$47-500)))))</f>
        <v/>
      </c>
    </row>
    <row r="46">
      <c r="A46" s="54">
        <f>IF(_calc!$E$48="","",IF(_calc!$E$48&lt;=500,"Warranty – "&amp;IF(LEN(INDEX('Dealer pipeline'!$C$4:$C$503,_calc!$E$48))=0,"",INDEX('Dealer pipeline'!$C$4:$C$503,_calc!$E$48))&amp;" – "&amp;IF(LEN(INDEX('Dealer pipeline'!$D$4:$D$503,_calc!$E$48))=0,"",INDEX('Dealer pipeline'!$D$4:$D$503,_calc!$E$48))&amp;" – "&amp;IF(LEN(INDEX('Dealer pipeline'!$A$4:$A$503,_calc!$E$48))=0,"",INDEX('Dealer pipeline'!$A$4:$A$503,_calc!$E$48)),"Warranty – "&amp;IF(LEN(INDEX('My equipment'!$A$4:$A$503,(_calc!$E$48-500)))=0,"",INDEX('My equipment'!$A$4:$A$503,(_calc!$E$48-500)))&amp;" – "&amp;IF(LEN(INDEX('My equipment'!$D$4:$D$503,(_calc!$E$48-500)))=0,"",INDEX('My equipment'!$D$4:$D$503,(_calc!$E$48-500)))))</f>
        <v/>
      </c>
      <c r="B46" s="54">
        <f>IF(_calc!$E$48="","",IF(_calc!$E$48&lt;=500,IF(ISNUMBER(INDEX('Dealer pipeline'!$M$4:$M$503,_calc!$E$48)),TEXT(INDEX('Dealer pipeline'!$M$4:$M$503,_calc!$E$48),"yyyy-mm-dd"),""),IF(ISNUMBER(INDEX('My equipment'!$M$4:$M$503,(_calc!$E$48-500))),TEXT(INDEX('My equipment'!$M$4:$M$503,(_calc!$E$48-500)),"yyyy-mm-dd"),"")))</f>
        <v/>
      </c>
      <c r="C46" s="54">
        <f>IF(_calc!$E$48="","",IF(_calc!$E$48&lt;=500,"Warranty","Warranty"))</f>
        <v/>
      </c>
      <c r="D46" s="54">
        <f>IF(_calc!$E$48="","",IF(_calc!$E$48&lt;=500,IF(ISNUMBER(INDEX('Dealer pipeline'!$H$4:$H$503,_calc!$E$48)),TEXT(INDEX('Dealer pipeline'!$H$4:$H$503,_calc!$E$48),"yyyy-mm-dd"),""),IF(ISNUMBER(INDEX('My equipment'!$H$4:$H$503,(_calc!$E$48-500))),TEXT(INDEX('My equipment'!$H$4:$H$503,(_calc!$E$48-500)),"yyyy-mm-dd"),"")))</f>
        <v/>
      </c>
      <c r="F46" s="54">
        <f>IF(_calc!$E$48="","",IF(_calc!$E$48&lt;=500,TRIM(IF(LEN(IF(LEN(INDEX('Dealer pipeline'!$A$4:$A$503,_calc!$E$48))=0,"",INDEX('Dealer pipeline'!$A$4:$A$503,_calc!$E$48)))=0,"","Customer: "&amp;IF(LEN(INDEX('Dealer pipeline'!$A$4:$A$503,_calc!$E$48))=0,"",INDEX('Dealer pipeline'!$A$4:$A$503,_calc!$E$48))&amp;". ")&amp;IF(LEN(IF(LEN(INDEX('Dealer pipeline'!$B$4:$B$503,_calc!$E$48))=0,"",INDEX('Dealer pipeline'!$B$4:$B$503,_calc!$E$48)))=0,"","Contact: "&amp;IF(LEN(INDEX('Dealer pipeline'!$B$4:$B$503,_calc!$E$48))=0,"",INDEX('Dealer pipeline'!$B$4:$B$503,_calc!$E$48))&amp;". ")&amp;IF(LEN(IF(LEN(INDEX('Dealer pipeline'!$D$4:$D$503,_calc!$E$48))=0,"",INDEX('Dealer pipeline'!$D$4:$D$503,_calc!$E$48)))=0,"","Serial: "&amp;IF(LEN(INDEX('Dealer pipeline'!$D$4:$D$503,_calc!$E$48))=0,"",INDEX('Dealer pipeline'!$D$4:$D$503,_calc!$E$48))&amp;". ")&amp;IF(LEN(IF(ISNUMBER(INDEX('Dealer pipeline'!$J$4:$J$503,_calc!$E$48)),TEXT(INDEX('Dealer pipeline'!$J$4:$J$503,_calc!$E$48),"yyyy-mm-dd"),""))=0,"","Parts end: "&amp;IF(ISNUMBER(INDEX('Dealer pipeline'!$J$4:$J$503,_calc!$E$48)),TEXT(INDEX('Dealer pipeline'!$J$4:$J$503,_calc!$E$48),"yyyy-mm-dd"),"")&amp;". ")&amp;IF(LEN(IF(ISNUMBER(INDEX('Dealer pipeline'!$L$4:$L$503,_calc!$E$48)),TEXT(INDEX('Dealer pipeline'!$L$4:$L$503,_calc!$E$48),"yyyy-mm-dd"),""))=0,"","Labor end: "&amp;IF(ISNUMBER(INDEX('Dealer pipeline'!$L$4:$L$503,_calc!$E$48)),TEXT(INDEX('Dealer pipeline'!$L$4:$L$503,_calc!$E$48),"yyyy-mm-dd"),"")&amp;". ")&amp;IF(LEN(IF(LEN(INDEX('Dealer pipeline'!$Q$4:$Q$503,_calc!$E$48))=0,"",INDEX('Dealer pipeline'!$Q$4:$Q$503,_calc!$E$48)))=0,"","Status: "&amp;IF(LEN(INDEX('Dealer pipeline'!$Q$4:$Q$503,_calc!$E$48))=0,"",INDEX('Dealer pipeline'!$Q$4:$Q$503,_calc!$E$48))&amp;". ")&amp;IF(LEN(IF(LEN(INDEX('Dealer pipeline'!$P$4:$P$503,_calc!$E$48))=0,"",INDEX('Dealer pipeline'!$P$4:$P$503,_calc!$E$48)))=0,"","Last touch: "&amp;IF(LEN(INDEX('Dealer pipeline'!$P$4:$P$503,_calc!$E$48))=0,"",INDEX('Dealer pipeline'!$P$4:$P$503,_calc!$E$48))&amp;". ")&amp;IF(LEN(IF(LEN(INDEX('Dealer pipeline'!$R$4:$R$503,_calc!$E$48))=0,"",INDEX('Dealer pipeline'!$R$4:$R$503,_calc!$E$48)))=0,"","Owner: "&amp;IF(LEN(INDEX('Dealer pipeline'!$R$4:$R$503,_calc!$E$48))=0,"",INDEX('Dealer pipeline'!$R$4:$R$503,_calc!$E$48))&amp;". ")&amp;IF(LEN(IF(LEN(INDEX('Dealer pipeline'!$S$4:$S$503,_calc!$E$48))=0,"",INDEX('Dealer pipeline'!$S$4:$S$503,_calc!$E$48)))=0,"","Backup: "&amp;IF(LEN(INDEX('Dealer pipeline'!$S$4:$S$503,_calc!$E$48))=0,"",INDEX('Dealer pipeline'!$S$4:$S$503,_calc!$E$48))&amp;". ")&amp;IF(LEN(IF(LEN(INDEX('Dealer pipeline'!$T$4:$T$503,_calc!$E$48))=0,"",INDEX('Dealer pipeline'!$T$4:$T$503,_calc!$E$48)))=0,"",IF(LEN(INDEX('Dealer pipeline'!$T$4:$T$503,_calc!$E$48))=0,"",INDEX('Dealer pipeline'!$T$4:$T$503,_calc!$E$48)))),TRIM(IF(LEN(IF(LEN(INDEX('My equipment'!$C$4:$C$503,(_calc!$E$48-500)))=0,"",INDEX('My equipment'!$C$4:$C$503,(_calc!$E$48-500))))=0,"","Model: "&amp;IF(LEN(INDEX('My equipment'!$C$4:$C$503,(_calc!$E$48-500)))=0,"",INDEX('My equipment'!$C$4:$C$503,(_calc!$E$48-500)))&amp;". ")&amp;IF(LEN(IF(LEN(INDEX('My equipment'!$D$4:$D$503,(_calc!$E$48-500)))=0,"",INDEX('My equipment'!$D$4:$D$503,(_calc!$E$48-500))))=0,"","Serial: "&amp;IF(LEN(INDEX('My equipment'!$D$4:$D$503,(_calc!$E$48-500)))=0,"",INDEX('My equipment'!$D$4:$D$503,(_calc!$E$48-500)))&amp;". ")&amp;IF(LEN(IF(ISNUMBER(INDEX('My equipment'!$J$4:$J$503,(_calc!$E$48-500))),TEXT(INDEX('My equipment'!$J$4:$J$503,(_calc!$E$48-500)),"yyyy-mm-dd"),""))=0,"","Parts end: "&amp;IF(ISNUMBER(INDEX('My equipment'!$J$4:$J$503,(_calc!$E$48-500))),TEXT(INDEX('My equipment'!$J$4:$J$503,(_calc!$E$48-500)),"yyyy-mm-dd"),"")&amp;". ")&amp;IF(LEN(IF(ISNUMBER(INDEX('My equipment'!$L$4:$L$503,(_calc!$E$48-500))),TEXT(INDEX('My equipment'!$L$4:$L$503,(_calc!$E$48-500)),"yyyy-mm-dd"),""))=0,"","Labor end: "&amp;IF(ISNUMBER(INDEX('My equipment'!$L$4:$L$503,(_calc!$E$48-500))),TEXT(INDEX('My equipment'!$L$4:$L$503,(_calc!$E$48-500)),"yyyy-mm-dd"),"")&amp;". ")&amp;IF(LEN(IF(ISNUMBER(INDEX('My equipment'!$P$4:$P$503,(_calc!$E$48-500))),TEXT(INDEX('My equipment'!$P$4:$P$503,(_calc!$E$48-500)),"yyyy-mm-dd"),""))=0,"","Check by: "&amp;IF(ISNUMBER(INDEX('My equipment'!$P$4:$P$503,(_calc!$E$48-500))),TEXT(INDEX('My equipment'!$P$4:$P$503,(_calc!$E$48-500)),"yyyy-mm-dd"),"")&amp;". ")&amp;IF(LEN(IF(LEN(INDEX('My equipment'!$Q$4:$Q$503,(_calc!$E$48-500)))=0,"",INDEX('My equipment'!$Q$4:$Q$503,(_calc!$E$48-500))))=0,"","Claim status: "&amp;IF(LEN(INDEX('My equipment'!$Q$4:$Q$503,(_calc!$E$48-500)))=0,"",INDEX('My equipment'!$Q$4:$Q$503,(_calc!$E$48-500)))&amp;". ")&amp;IF(LEN(IF(LEN(INDEX('My equipment'!$R$4:$R$503,(_calc!$E$48-500)))=0,"",INDEX('My equipment'!$R$4:$R$503,(_calc!$E$48-500))))=0,"","Claims contact: "&amp;IF(LEN(INDEX('My equipment'!$R$4:$R$503,(_calc!$E$48-500)))=0,"",INDEX('My equipment'!$R$4:$R$503,(_calc!$E$48-500)))&amp;". ")&amp;IF(LEN(IF(LEN(INDEX('My equipment'!$S$4:$S$503,(_calc!$E$48-500)))=0,"",INDEX('My equipment'!$S$4:$S$503,(_calc!$E$48-500))))=0,"","Claims email: "&amp;IF(LEN(INDEX('My equipment'!$S$4:$S$503,(_calc!$E$48-500)))=0,"",INDEX('My equipment'!$S$4:$S$503,(_calc!$E$48-500)))&amp;". ")&amp;IF(LEN(IF(LEN(INDEX('My equipment'!$U$4:$U$503,(_calc!$E$48-500)))=0,"",INDEX('My equipment'!$U$4:$U$503,(_calc!$E$48-500))))=0,"","Registered: "&amp;IF(LEN(INDEX('My equipment'!$U$4:$U$503,(_calc!$E$48-500)))=0,"",INDEX('My equipment'!$U$4:$U$503,(_calc!$E$48-500)))&amp;". ")&amp;IF(LEN(IF(LEN(INDEX('My equipment'!$V$4:$V$503,(_calc!$E$48-500)))=0,"",INDEX('My equipment'!$V$4:$V$503,(_calc!$E$48-500))))=0,"","Proof on file: "&amp;IF(LEN(INDEX('My equipment'!$V$4:$V$503,(_calc!$E$48-500)))=0,"",INDEX('My equipment'!$V$4:$V$503,(_calc!$E$48-500)))&amp;". ")&amp;IF(LEN(IF(LEN(INDEX('My equipment'!$W$4:$W$503,(_calc!$E$48-500)))=0,"",INDEX('My equipment'!$W$4:$W$503,(_calc!$E$48-500))))=0,"","Claim ref: "&amp;IF(LEN(INDEX('My equipment'!$W$4:$W$503,(_calc!$E$48-500)))=0,"",INDEX('My equipment'!$W$4:$W$503,(_calc!$E$48-500)))&amp;". ")&amp;IF(LEN(IF(LEN(INDEX('My equipment'!$Y$4:$Y$503,(_calc!$E$48-500)))=0,"",INDEX('My equipment'!$Y$4:$Y$503,(_calc!$E$48-500))))=0,"",IF(LEN(INDEX('My equipment'!$Y$4:$Y$503,(_calc!$E$48-500)))=0,"",INDEX('My equipment'!$Y$4:$Y$503,(_calc!$E$48-500)))))))</f>
        <v/>
      </c>
      <c r="G46" s="54">
        <f>IF(_calc!$E$48="","",IF(_calc!$E$48&lt;=500,"",IF(LEN(INDEX('My equipment'!$X$4:$X$503,(_calc!$E$48-500)))=0,"",INDEX('My equipment'!$X$4:$X$503,(_calc!$E$48-500)))))</f>
        <v/>
      </c>
      <c r="K46" s="54">
        <f>IF(_calc!$E$48="","",IF(_calc!$E$48&lt;=500,"",IF(LEN(INDEX('My equipment'!$T$4:$T$503,(_calc!$E$48-500)))=0,"",INDEX('My equipment'!$T$4:$T$503,(_calc!$E$48-500)))))</f>
        <v/>
      </c>
    </row>
    <row r="47">
      <c r="A47" s="54">
        <f>IF(_calc!$E$49="","",IF(_calc!$E$49&lt;=500,"Warranty – "&amp;IF(LEN(INDEX('Dealer pipeline'!$C$4:$C$503,_calc!$E$49))=0,"",INDEX('Dealer pipeline'!$C$4:$C$503,_calc!$E$49))&amp;" – "&amp;IF(LEN(INDEX('Dealer pipeline'!$D$4:$D$503,_calc!$E$49))=0,"",INDEX('Dealer pipeline'!$D$4:$D$503,_calc!$E$49))&amp;" – "&amp;IF(LEN(INDEX('Dealer pipeline'!$A$4:$A$503,_calc!$E$49))=0,"",INDEX('Dealer pipeline'!$A$4:$A$503,_calc!$E$49)),"Warranty – "&amp;IF(LEN(INDEX('My equipment'!$A$4:$A$503,(_calc!$E$49-500)))=0,"",INDEX('My equipment'!$A$4:$A$503,(_calc!$E$49-500)))&amp;" – "&amp;IF(LEN(INDEX('My equipment'!$D$4:$D$503,(_calc!$E$49-500)))=0,"",INDEX('My equipment'!$D$4:$D$503,(_calc!$E$49-500)))))</f>
        <v/>
      </c>
      <c r="B47" s="54">
        <f>IF(_calc!$E$49="","",IF(_calc!$E$49&lt;=500,IF(ISNUMBER(INDEX('Dealer pipeline'!$M$4:$M$503,_calc!$E$49)),TEXT(INDEX('Dealer pipeline'!$M$4:$M$503,_calc!$E$49),"yyyy-mm-dd"),""),IF(ISNUMBER(INDEX('My equipment'!$M$4:$M$503,(_calc!$E$49-500))),TEXT(INDEX('My equipment'!$M$4:$M$503,(_calc!$E$49-500)),"yyyy-mm-dd"),"")))</f>
        <v/>
      </c>
      <c r="C47" s="54">
        <f>IF(_calc!$E$49="","",IF(_calc!$E$49&lt;=500,"Warranty","Warranty"))</f>
        <v/>
      </c>
      <c r="D47" s="54">
        <f>IF(_calc!$E$49="","",IF(_calc!$E$49&lt;=500,IF(ISNUMBER(INDEX('Dealer pipeline'!$H$4:$H$503,_calc!$E$49)),TEXT(INDEX('Dealer pipeline'!$H$4:$H$503,_calc!$E$49),"yyyy-mm-dd"),""),IF(ISNUMBER(INDEX('My equipment'!$H$4:$H$503,(_calc!$E$49-500))),TEXT(INDEX('My equipment'!$H$4:$H$503,(_calc!$E$49-500)),"yyyy-mm-dd"),"")))</f>
        <v/>
      </c>
      <c r="F47" s="54">
        <f>IF(_calc!$E$49="","",IF(_calc!$E$49&lt;=500,TRIM(IF(LEN(IF(LEN(INDEX('Dealer pipeline'!$A$4:$A$503,_calc!$E$49))=0,"",INDEX('Dealer pipeline'!$A$4:$A$503,_calc!$E$49)))=0,"","Customer: "&amp;IF(LEN(INDEX('Dealer pipeline'!$A$4:$A$503,_calc!$E$49))=0,"",INDEX('Dealer pipeline'!$A$4:$A$503,_calc!$E$49))&amp;". ")&amp;IF(LEN(IF(LEN(INDEX('Dealer pipeline'!$B$4:$B$503,_calc!$E$49))=0,"",INDEX('Dealer pipeline'!$B$4:$B$503,_calc!$E$49)))=0,"","Contact: "&amp;IF(LEN(INDEX('Dealer pipeline'!$B$4:$B$503,_calc!$E$49))=0,"",INDEX('Dealer pipeline'!$B$4:$B$503,_calc!$E$49))&amp;". ")&amp;IF(LEN(IF(LEN(INDEX('Dealer pipeline'!$D$4:$D$503,_calc!$E$49))=0,"",INDEX('Dealer pipeline'!$D$4:$D$503,_calc!$E$49)))=0,"","Serial: "&amp;IF(LEN(INDEX('Dealer pipeline'!$D$4:$D$503,_calc!$E$49))=0,"",INDEX('Dealer pipeline'!$D$4:$D$503,_calc!$E$49))&amp;". ")&amp;IF(LEN(IF(ISNUMBER(INDEX('Dealer pipeline'!$J$4:$J$503,_calc!$E$49)),TEXT(INDEX('Dealer pipeline'!$J$4:$J$503,_calc!$E$49),"yyyy-mm-dd"),""))=0,"","Parts end: "&amp;IF(ISNUMBER(INDEX('Dealer pipeline'!$J$4:$J$503,_calc!$E$49)),TEXT(INDEX('Dealer pipeline'!$J$4:$J$503,_calc!$E$49),"yyyy-mm-dd"),"")&amp;". ")&amp;IF(LEN(IF(ISNUMBER(INDEX('Dealer pipeline'!$L$4:$L$503,_calc!$E$49)),TEXT(INDEX('Dealer pipeline'!$L$4:$L$503,_calc!$E$49),"yyyy-mm-dd"),""))=0,"","Labor end: "&amp;IF(ISNUMBER(INDEX('Dealer pipeline'!$L$4:$L$503,_calc!$E$49)),TEXT(INDEX('Dealer pipeline'!$L$4:$L$503,_calc!$E$49),"yyyy-mm-dd"),"")&amp;". ")&amp;IF(LEN(IF(LEN(INDEX('Dealer pipeline'!$Q$4:$Q$503,_calc!$E$49))=0,"",INDEX('Dealer pipeline'!$Q$4:$Q$503,_calc!$E$49)))=0,"","Status: "&amp;IF(LEN(INDEX('Dealer pipeline'!$Q$4:$Q$503,_calc!$E$49))=0,"",INDEX('Dealer pipeline'!$Q$4:$Q$503,_calc!$E$49))&amp;". ")&amp;IF(LEN(IF(LEN(INDEX('Dealer pipeline'!$P$4:$P$503,_calc!$E$49))=0,"",INDEX('Dealer pipeline'!$P$4:$P$503,_calc!$E$49)))=0,"","Last touch: "&amp;IF(LEN(INDEX('Dealer pipeline'!$P$4:$P$503,_calc!$E$49))=0,"",INDEX('Dealer pipeline'!$P$4:$P$503,_calc!$E$49))&amp;". ")&amp;IF(LEN(IF(LEN(INDEX('Dealer pipeline'!$R$4:$R$503,_calc!$E$49))=0,"",INDEX('Dealer pipeline'!$R$4:$R$503,_calc!$E$49)))=0,"","Owner: "&amp;IF(LEN(INDEX('Dealer pipeline'!$R$4:$R$503,_calc!$E$49))=0,"",INDEX('Dealer pipeline'!$R$4:$R$503,_calc!$E$49))&amp;". ")&amp;IF(LEN(IF(LEN(INDEX('Dealer pipeline'!$S$4:$S$503,_calc!$E$49))=0,"",INDEX('Dealer pipeline'!$S$4:$S$503,_calc!$E$49)))=0,"","Backup: "&amp;IF(LEN(INDEX('Dealer pipeline'!$S$4:$S$503,_calc!$E$49))=0,"",INDEX('Dealer pipeline'!$S$4:$S$503,_calc!$E$49))&amp;". ")&amp;IF(LEN(IF(LEN(INDEX('Dealer pipeline'!$T$4:$T$503,_calc!$E$49))=0,"",INDEX('Dealer pipeline'!$T$4:$T$503,_calc!$E$49)))=0,"",IF(LEN(INDEX('Dealer pipeline'!$T$4:$T$503,_calc!$E$49))=0,"",INDEX('Dealer pipeline'!$T$4:$T$503,_calc!$E$49)))),TRIM(IF(LEN(IF(LEN(INDEX('My equipment'!$C$4:$C$503,(_calc!$E$49-500)))=0,"",INDEX('My equipment'!$C$4:$C$503,(_calc!$E$49-500))))=0,"","Model: "&amp;IF(LEN(INDEX('My equipment'!$C$4:$C$503,(_calc!$E$49-500)))=0,"",INDEX('My equipment'!$C$4:$C$503,(_calc!$E$49-500)))&amp;". ")&amp;IF(LEN(IF(LEN(INDEX('My equipment'!$D$4:$D$503,(_calc!$E$49-500)))=0,"",INDEX('My equipment'!$D$4:$D$503,(_calc!$E$49-500))))=0,"","Serial: "&amp;IF(LEN(INDEX('My equipment'!$D$4:$D$503,(_calc!$E$49-500)))=0,"",INDEX('My equipment'!$D$4:$D$503,(_calc!$E$49-500)))&amp;". ")&amp;IF(LEN(IF(ISNUMBER(INDEX('My equipment'!$J$4:$J$503,(_calc!$E$49-500))),TEXT(INDEX('My equipment'!$J$4:$J$503,(_calc!$E$49-500)),"yyyy-mm-dd"),""))=0,"","Parts end: "&amp;IF(ISNUMBER(INDEX('My equipment'!$J$4:$J$503,(_calc!$E$49-500))),TEXT(INDEX('My equipment'!$J$4:$J$503,(_calc!$E$49-500)),"yyyy-mm-dd"),"")&amp;". ")&amp;IF(LEN(IF(ISNUMBER(INDEX('My equipment'!$L$4:$L$503,(_calc!$E$49-500))),TEXT(INDEX('My equipment'!$L$4:$L$503,(_calc!$E$49-500)),"yyyy-mm-dd"),""))=0,"","Labor end: "&amp;IF(ISNUMBER(INDEX('My equipment'!$L$4:$L$503,(_calc!$E$49-500))),TEXT(INDEX('My equipment'!$L$4:$L$503,(_calc!$E$49-500)),"yyyy-mm-dd"),"")&amp;". ")&amp;IF(LEN(IF(ISNUMBER(INDEX('My equipment'!$P$4:$P$503,(_calc!$E$49-500))),TEXT(INDEX('My equipment'!$P$4:$P$503,(_calc!$E$49-500)),"yyyy-mm-dd"),""))=0,"","Check by: "&amp;IF(ISNUMBER(INDEX('My equipment'!$P$4:$P$503,(_calc!$E$49-500))),TEXT(INDEX('My equipment'!$P$4:$P$503,(_calc!$E$49-500)),"yyyy-mm-dd"),"")&amp;". ")&amp;IF(LEN(IF(LEN(INDEX('My equipment'!$Q$4:$Q$503,(_calc!$E$49-500)))=0,"",INDEX('My equipment'!$Q$4:$Q$503,(_calc!$E$49-500))))=0,"","Claim status: "&amp;IF(LEN(INDEX('My equipment'!$Q$4:$Q$503,(_calc!$E$49-500)))=0,"",INDEX('My equipment'!$Q$4:$Q$503,(_calc!$E$49-500)))&amp;". ")&amp;IF(LEN(IF(LEN(INDEX('My equipment'!$R$4:$R$503,(_calc!$E$49-500)))=0,"",INDEX('My equipment'!$R$4:$R$503,(_calc!$E$49-500))))=0,"","Claims contact: "&amp;IF(LEN(INDEX('My equipment'!$R$4:$R$503,(_calc!$E$49-500)))=0,"",INDEX('My equipment'!$R$4:$R$503,(_calc!$E$49-500)))&amp;". ")&amp;IF(LEN(IF(LEN(INDEX('My equipment'!$S$4:$S$503,(_calc!$E$49-500)))=0,"",INDEX('My equipment'!$S$4:$S$503,(_calc!$E$49-500))))=0,"","Claims email: "&amp;IF(LEN(INDEX('My equipment'!$S$4:$S$503,(_calc!$E$49-500)))=0,"",INDEX('My equipment'!$S$4:$S$503,(_calc!$E$49-500)))&amp;". ")&amp;IF(LEN(IF(LEN(INDEX('My equipment'!$U$4:$U$503,(_calc!$E$49-500)))=0,"",INDEX('My equipment'!$U$4:$U$503,(_calc!$E$49-500))))=0,"","Registered: "&amp;IF(LEN(INDEX('My equipment'!$U$4:$U$503,(_calc!$E$49-500)))=0,"",INDEX('My equipment'!$U$4:$U$503,(_calc!$E$49-500)))&amp;". ")&amp;IF(LEN(IF(LEN(INDEX('My equipment'!$V$4:$V$503,(_calc!$E$49-500)))=0,"",INDEX('My equipment'!$V$4:$V$503,(_calc!$E$49-500))))=0,"","Proof on file: "&amp;IF(LEN(INDEX('My equipment'!$V$4:$V$503,(_calc!$E$49-500)))=0,"",INDEX('My equipment'!$V$4:$V$503,(_calc!$E$49-500)))&amp;". ")&amp;IF(LEN(IF(LEN(INDEX('My equipment'!$W$4:$W$503,(_calc!$E$49-500)))=0,"",INDEX('My equipment'!$W$4:$W$503,(_calc!$E$49-500))))=0,"","Claim ref: "&amp;IF(LEN(INDEX('My equipment'!$W$4:$W$503,(_calc!$E$49-500)))=0,"",INDEX('My equipment'!$W$4:$W$503,(_calc!$E$49-500)))&amp;". ")&amp;IF(LEN(IF(LEN(INDEX('My equipment'!$Y$4:$Y$503,(_calc!$E$49-500)))=0,"",INDEX('My equipment'!$Y$4:$Y$503,(_calc!$E$49-500))))=0,"",IF(LEN(INDEX('My equipment'!$Y$4:$Y$503,(_calc!$E$49-500)))=0,"",INDEX('My equipment'!$Y$4:$Y$503,(_calc!$E$49-500)))))))</f>
        <v/>
      </c>
      <c r="G47" s="54">
        <f>IF(_calc!$E$49="","",IF(_calc!$E$49&lt;=500,"",IF(LEN(INDEX('My equipment'!$X$4:$X$503,(_calc!$E$49-500)))=0,"",INDEX('My equipment'!$X$4:$X$503,(_calc!$E$49-500)))))</f>
        <v/>
      </c>
      <c r="K47" s="54">
        <f>IF(_calc!$E$49="","",IF(_calc!$E$49&lt;=500,"",IF(LEN(INDEX('My equipment'!$T$4:$T$503,(_calc!$E$49-500)))=0,"",INDEX('My equipment'!$T$4:$T$503,(_calc!$E$49-500)))))</f>
        <v/>
      </c>
    </row>
    <row r="48">
      <c r="A48" s="54">
        <f>IF(_calc!$E$50="","",IF(_calc!$E$50&lt;=500,"Warranty – "&amp;IF(LEN(INDEX('Dealer pipeline'!$C$4:$C$503,_calc!$E$50))=0,"",INDEX('Dealer pipeline'!$C$4:$C$503,_calc!$E$50))&amp;" – "&amp;IF(LEN(INDEX('Dealer pipeline'!$D$4:$D$503,_calc!$E$50))=0,"",INDEX('Dealer pipeline'!$D$4:$D$503,_calc!$E$50))&amp;" – "&amp;IF(LEN(INDEX('Dealer pipeline'!$A$4:$A$503,_calc!$E$50))=0,"",INDEX('Dealer pipeline'!$A$4:$A$503,_calc!$E$50)),"Warranty – "&amp;IF(LEN(INDEX('My equipment'!$A$4:$A$503,(_calc!$E$50-500)))=0,"",INDEX('My equipment'!$A$4:$A$503,(_calc!$E$50-500)))&amp;" – "&amp;IF(LEN(INDEX('My equipment'!$D$4:$D$503,(_calc!$E$50-500)))=0,"",INDEX('My equipment'!$D$4:$D$503,(_calc!$E$50-500)))))</f>
        <v/>
      </c>
      <c r="B48" s="54">
        <f>IF(_calc!$E$50="","",IF(_calc!$E$50&lt;=500,IF(ISNUMBER(INDEX('Dealer pipeline'!$M$4:$M$503,_calc!$E$50)),TEXT(INDEX('Dealer pipeline'!$M$4:$M$503,_calc!$E$50),"yyyy-mm-dd"),""),IF(ISNUMBER(INDEX('My equipment'!$M$4:$M$503,(_calc!$E$50-500))),TEXT(INDEX('My equipment'!$M$4:$M$503,(_calc!$E$50-500)),"yyyy-mm-dd"),"")))</f>
        <v/>
      </c>
      <c r="C48" s="54">
        <f>IF(_calc!$E$50="","",IF(_calc!$E$50&lt;=500,"Warranty","Warranty"))</f>
        <v/>
      </c>
      <c r="D48" s="54">
        <f>IF(_calc!$E$50="","",IF(_calc!$E$50&lt;=500,IF(ISNUMBER(INDEX('Dealer pipeline'!$H$4:$H$503,_calc!$E$50)),TEXT(INDEX('Dealer pipeline'!$H$4:$H$503,_calc!$E$50),"yyyy-mm-dd"),""),IF(ISNUMBER(INDEX('My equipment'!$H$4:$H$503,(_calc!$E$50-500))),TEXT(INDEX('My equipment'!$H$4:$H$503,(_calc!$E$50-500)),"yyyy-mm-dd"),"")))</f>
        <v/>
      </c>
      <c r="F48" s="54">
        <f>IF(_calc!$E$50="","",IF(_calc!$E$50&lt;=500,TRIM(IF(LEN(IF(LEN(INDEX('Dealer pipeline'!$A$4:$A$503,_calc!$E$50))=0,"",INDEX('Dealer pipeline'!$A$4:$A$503,_calc!$E$50)))=0,"","Customer: "&amp;IF(LEN(INDEX('Dealer pipeline'!$A$4:$A$503,_calc!$E$50))=0,"",INDEX('Dealer pipeline'!$A$4:$A$503,_calc!$E$50))&amp;". ")&amp;IF(LEN(IF(LEN(INDEX('Dealer pipeline'!$B$4:$B$503,_calc!$E$50))=0,"",INDEX('Dealer pipeline'!$B$4:$B$503,_calc!$E$50)))=0,"","Contact: "&amp;IF(LEN(INDEX('Dealer pipeline'!$B$4:$B$503,_calc!$E$50))=0,"",INDEX('Dealer pipeline'!$B$4:$B$503,_calc!$E$50))&amp;". ")&amp;IF(LEN(IF(LEN(INDEX('Dealer pipeline'!$D$4:$D$503,_calc!$E$50))=0,"",INDEX('Dealer pipeline'!$D$4:$D$503,_calc!$E$50)))=0,"","Serial: "&amp;IF(LEN(INDEX('Dealer pipeline'!$D$4:$D$503,_calc!$E$50))=0,"",INDEX('Dealer pipeline'!$D$4:$D$503,_calc!$E$50))&amp;". ")&amp;IF(LEN(IF(ISNUMBER(INDEX('Dealer pipeline'!$J$4:$J$503,_calc!$E$50)),TEXT(INDEX('Dealer pipeline'!$J$4:$J$503,_calc!$E$50),"yyyy-mm-dd"),""))=0,"","Parts end: "&amp;IF(ISNUMBER(INDEX('Dealer pipeline'!$J$4:$J$503,_calc!$E$50)),TEXT(INDEX('Dealer pipeline'!$J$4:$J$503,_calc!$E$50),"yyyy-mm-dd"),"")&amp;". ")&amp;IF(LEN(IF(ISNUMBER(INDEX('Dealer pipeline'!$L$4:$L$503,_calc!$E$50)),TEXT(INDEX('Dealer pipeline'!$L$4:$L$503,_calc!$E$50),"yyyy-mm-dd"),""))=0,"","Labor end: "&amp;IF(ISNUMBER(INDEX('Dealer pipeline'!$L$4:$L$503,_calc!$E$50)),TEXT(INDEX('Dealer pipeline'!$L$4:$L$503,_calc!$E$50),"yyyy-mm-dd"),"")&amp;". ")&amp;IF(LEN(IF(LEN(INDEX('Dealer pipeline'!$Q$4:$Q$503,_calc!$E$50))=0,"",INDEX('Dealer pipeline'!$Q$4:$Q$503,_calc!$E$50)))=0,"","Status: "&amp;IF(LEN(INDEX('Dealer pipeline'!$Q$4:$Q$503,_calc!$E$50))=0,"",INDEX('Dealer pipeline'!$Q$4:$Q$503,_calc!$E$50))&amp;". ")&amp;IF(LEN(IF(LEN(INDEX('Dealer pipeline'!$P$4:$P$503,_calc!$E$50))=0,"",INDEX('Dealer pipeline'!$P$4:$P$503,_calc!$E$50)))=0,"","Last touch: "&amp;IF(LEN(INDEX('Dealer pipeline'!$P$4:$P$503,_calc!$E$50))=0,"",INDEX('Dealer pipeline'!$P$4:$P$503,_calc!$E$50))&amp;". ")&amp;IF(LEN(IF(LEN(INDEX('Dealer pipeline'!$R$4:$R$503,_calc!$E$50))=0,"",INDEX('Dealer pipeline'!$R$4:$R$503,_calc!$E$50)))=0,"","Owner: "&amp;IF(LEN(INDEX('Dealer pipeline'!$R$4:$R$503,_calc!$E$50))=0,"",INDEX('Dealer pipeline'!$R$4:$R$503,_calc!$E$50))&amp;". ")&amp;IF(LEN(IF(LEN(INDEX('Dealer pipeline'!$S$4:$S$503,_calc!$E$50))=0,"",INDEX('Dealer pipeline'!$S$4:$S$503,_calc!$E$50)))=0,"","Backup: "&amp;IF(LEN(INDEX('Dealer pipeline'!$S$4:$S$503,_calc!$E$50))=0,"",INDEX('Dealer pipeline'!$S$4:$S$503,_calc!$E$50))&amp;". ")&amp;IF(LEN(IF(LEN(INDEX('Dealer pipeline'!$T$4:$T$503,_calc!$E$50))=0,"",INDEX('Dealer pipeline'!$T$4:$T$503,_calc!$E$50)))=0,"",IF(LEN(INDEX('Dealer pipeline'!$T$4:$T$503,_calc!$E$50))=0,"",INDEX('Dealer pipeline'!$T$4:$T$503,_calc!$E$50)))),TRIM(IF(LEN(IF(LEN(INDEX('My equipment'!$C$4:$C$503,(_calc!$E$50-500)))=0,"",INDEX('My equipment'!$C$4:$C$503,(_calc!$E$50-500))))=0,"","Model: "&amp;IF(LEN(INDEX('My equipment'!$C$4:$C$503,(_calc!$E$50-500)))=0,"",INDEX('My equipment'!$C$4:$C$503,(_calc!$E$50-500)))&amp;". ")&amp;IF(LEN(IF(LEN(INDEX('My equipment'!$D$4:$D$503,(_calc!$E$50-500)))=0,"",INDEX('My equipment'!$D$4:$D$503,(_calc!$E$50-500))))=0,"","Serial: "&amp;IF(LEN(INDEX('My equipment'!$D$4:$D$503,(_calc!$E$50-500)))=0,"",INDEX('My equipment'!$D$4:$D$503,(_calc!$E$50-500)))&amp;". ")&amp;IF(LEN(IF(ISNUMBER(INDEX('My equipment'!$J$4:$J$503,(_calc!$E$50-500))),TEXT(INDEX('My equipment'!$J$4:$J$503,(_calc!$E$50-500)),"yyyy-mm-dd"),""))=0,"","Parts end: "&amp;IF(ISNUMBER(INDEX('My equipment'!$J$4:$J$503,(_calc!$E$50-500))),TEXT(INDEX('My equipment'!$J$4:$J$503,(_calc!$E$50-500)),"yyyy-mm-dd"),"")&amp;". ")&amp;IF(LEN(IF(ISNUMBER(INDEX('My equipment'!$L$4:$L$503,(_calc!$E$50-500))),TEXT(INDEX('My equipment'!$L$4:$L$503,(_calc!$E$50-500)),"yyyy-mm-dd"),""))=0,"","Labor end: "&amp;IF(ISNUMBER(INDEX('My equipment'!$L$4:$L$503,(_calc!$E$50-500))),TEXT(INDEX('My equipment'!$L$4:$L$503,(_calc!$E$50-500)),"yyyy-mm-dd"),"")&amp;". ")&amp;IF(LEN(IF(ISNUMBER(INDEX('My equipment'!$P$4:$P$503,(_calc!$E$50-500))),TEXT(INDEX('My equipment'!$P$4:$P$503,(_calc!$E$50-500)),"yyyy-mm-dd"),""))=0,"","Check by: "&amp;IF(ISNUMBER(INDEX('My equipment'!$P$4:$P$503,(_calc!$E$50-500))),TEXT(INDEX('My equipment'!$P$4:$P$503,(_calc!$E$50-500)),"yyyy-mm-dd"),"")&amp;". ")&amp;IF(LEN(IF(LEN(INDEX('My equipment'!$Q$4:$Q$503,(_calc!$E$50-500)))=0,"",INDEX('My equipment'!$Q$4:$Q$503,(_calc!$E$50-500))))=0,"","Claim status: "&amp;IF(LEN(INDEX('My equipment'!$Q$4:$Q$503,(_calc!$E$50-500)))=0,"",INDEX('My equipment'!$Q$4:$Q$503,(_calc!$E$50-500)))&amp;". ")&amp;IF(LEN(IF(LEN(INDEX('My equipment'!$R$4:$R$503,(_calc!$E$50-500)))=0,"",INDEX('My equipment'!$R$4:$R$503,(_calc!$E$50-500))))=0,"","Claims contact: "&amp;IF(LEN(INDEX('My equipment'!$R$4:$R$503,(_calc!$E$50-500)))=0,"",INDEX('My equipment'!$R$4:$R$503,(_calc!$E$50-500)))&amp;". ")&amp;IF(LEN(IF(LEN(INDEX('My equipment'!$S$4:$S$503,(_calc!$E$50-500)))=0,"",INDEX('My equipment'!$S$4:$S$503,(_calc!$E$50-500))))=0,"","Claims email: "&amp;IF(LEN(INDEX('My equipment'!$S$4:$S$503,(_calc!$E$50-500)))=0,"",INDEX('My equipment'!$S$4:$S$503,(_calc!$E$50-500)))&amp;". ")&amp;IF(LEN(IF(LEN(INDEX('My equipment'!$U$4:$U$503,(_calc!$E$50-500)))=0,"",INDEX('My equipment'!$U$4:$U$503,(_calc!$E$50-500))))=0,"","Registered: "&amp;IF(LEN(INDEX('My equipment'!$U$4:$U$503,(_calc!$E$50-500)))=0,"",INDEX('My equipment'!$U$4:$U$503,(_calc!$E$50-500)))&amp;". ")&amp;IF(LEN(IF(LEN(INDEX('My equipment'!$V$4:$V$503,(_calc!$E$50-500)))=0,"",INDEX('My equipment'!$V$4:$V$503,(_calc!$E$50-500))))=0,"","Proof on file: "&amp;IF(LEN(INDEX('My equipment'!$V$4:$V$503,(_calc!$E$50-500)))=0,"",INDEX('My equipment'!$V$4:$V$503,(_calc!$E$50-500)))&amp;". ")&amp;IF(LEN(IF(LEN(INDEX('My equipment'!$W$4:$W$503,(_calc!$E$50-500)))=0,"",INDEX('My equipment'!$W$4:$W$503,(_calc!$E$50-500))))=0,"","Claim ref: "&amp;IF(LEN(INDEX('My equipment'!$W$4:$W$503,(_calc!$E$50-500)))=0,"",INDEX('My equipment'!$W$4:$W$503,(_calc!$E$50-500)))&amp;". ")&amp;IF(LEN(IF(LEN(INDEX('My equipment'!$Y$4:$Y$503,(_calc!$E$50-500)))=0,"",INDEX('My equipment'!$Y$4:$Y$503,(_calc!$E$50-500))))=0,"",IF(LEN(INDEX('My equipment'!$Y$4:$Y$503,(_calc!$E$50-500)))=0,"",INDEX('My equipment'!$Y$4:$Y$503,(_calc!$E$50-500)))))))</f>
        <v/>
      </c>
      <c r="G48" s="54">
        <f>IF(_calc!$E$50="","",IF(_calc!$E$50&lt;=500,"",IF(LEN(INDEX('My equipment'!$X$4:$X$503,(_calc!$E$50-500)))=0,"",INDEX('My equipment'!$X$4:$X$503,(_calc!$E$50-500)))))</f>
        <v/>
      </c>
      <c r="K48" s="54">
        <f>IF(_calc!$E$50="","",IF(_calc!$E$50&lt;=500,"",IF(LEN(INDEX('My equipment'!$T$4:$T$503,(_calc!$E$50-500)))=0,"",INDEX('My equipment'!$T$4:$T$503,(_calc!$E$50-500)))))</f>
        <v/>
      </c>
    </row>
    <row r="49">
      <c r="A49" s="54">
        <f>IF(_calc!$E$51="","",IF(_calc!$E$51&lt;=500,"Warranty – "&amp;IF(LEN(INDEX('Dealer pipeline'!$C$4:$C$503,_calc!$E$51))=0,"",INDEX('Dealer pipeline'!$C$4:$C$503,_calc!$E$51))&amp;" – "&amp;IF(LEN(INDEX('Dealer pipeline'!$D$4:$D$503,_calc!$E$51))=0,"",INDEX('Dealer pipeline'!$D$4:$D$503,_calc!$E$51))&amp;" – "&amp;IF(LEN(INDEX('Dealer pipeline'!$A$4:$A$503,_calc!$E$51))=0,"",INDEX('Dealer pipeline'!$A$4:$A$503,_calc!$E$51)),"Warranty – "&amp;IF(LEN(INDEX('My equipment'!$A$4:$A$503,(_calc!$E$51-500)))=0,"",INDEX('My equipment'!$A$4:$A$503,(_calc!$E$51-500)))&amp;" – "&amp;IF(LEN(INDEX('My equipment'!$D$4:$D$503,(_calc!$E$51-500)))=0,"",INDEX('My equipment'!$D$4:$D$503,(_calc!$E$51-500)))))</f>
        <v/>
      </c>
      <c r="B49" s="54">
        <f>IF(_calc!$E$51="","",IF(_calc!$E$51&lt;=500,IF(ISNUMBER(INDEX('Dealer pipeline'!$M$4:$M$503,_calc!$E$51)),TEXT(INDEX('Dealer pipeline'!$M$4:$M$503,_calc!$E$51),"yyyy-mm-dd"),""),IF(ISNUMBER(INDEX('My equipment'!$M$4:$M$503,(_calc!$E$51-500))),TEXT(INDEX('My equipment'!$M$4:$M$503,(_calc!$E$51-500)),"yyyy-mm-dd"),"")))</f>
        <v/>
      </c>
      <c r="C49" s="54">
        <f>IF(_calc!$E$51="","",IF(_calc!$E$51&lt;=500,"Warranty","Warranty"))</f>
        <v/>
      </c>
      <c r="D49" s="54">
        <f>IF(_calc!$E$51="","",IF(_calc!$E$51&lt;=500,IF(ISNUMBER(INDEX('Dealer pipeline'!$H$4:$H$503,_calc!$E$51)),TEXT(INDEX('Dealer pipeline'!$H$4:$H$503,_calc!$E$51),"yyyy-mm-dd"),""),IF(ISNUMBER(INDEX('My equipment'!$H$4:$H$503,(_calc!$E$51-500))),TEXT(INDEX('My equipment'!$H$4:$H$503,(_calc!$E$51-500)),"yyyy-mm-dd"),"")))</f>
        <v/>
      </c>
      <c r="F49" s="54">
        <f>IF(_calc!$E$51="","",IF(_calc!$E$51&lt;=500,TRIM(IF(LEN(IF(LEN(INDEX('Dealer pipeline'!$A$4:$A$503,_calc!$E$51))=0,"",INDEX('Dealer pipeline'!$A$4:$A$503,_calc!$E$51)))=0,"","Customer: "&amp;IF(LEN(INDEX('Dealer pipeline'!$A$4:$A$503,_calc!$E$51))=0,"",INDEX('Dealer pipeline'!$A$4:$A$503,_calc!$E$51))&amp;". ")&amp;IF(LEN(IF(LEN(INDEX('Dealer pipeline'!$B$4:$B$503,_calc!$E$51))=0,"",INDEX('Dealer pipeline'!$B$4:$B$503,_calc!$E$51)))=0,"","Contact: "&amp;IF(LEN(INDEX('Dealer pipeline'!$B$4:$B$503,_calc!$E$51))=0,"",INDEX('Dealer pipeline'!$B$4:$B$503,_calc!$E$51))&amp;". ")&amp;IF(LEN(IF(LEN(INDEX('Dealer pipeline'!$D$4:$D$503,_calc!$E$51))=0,"",INDEX('Dealer pipeline'!$D$4:$D$503,_calc!$E$51)))=0,"","Serial: "&amp;IF(LEN(INDEX('Dealer pipeline'!$D$4:$D$503,_calc!$E$51))=0,"",INDEX('Dealer pipeline'!$D$4:$D$503,_calc!$E$51))&amp;". ")&amp;IF(LEN(IF(ISNUMBER(INDEX('Dealer pipeline'!$J$4:$J$503,_calc!$E$51)),TEXT(INDEX('Dealer pipeline'!$J$4:$J$503,_calc!$E$51),"yyyy-mm-dd"),""))=0,"","Parts end: "&amp;IF(ISNUMBER(INDEX('Dealer pipeline'!$J$4:$J$503,_calc!$E$51)),TEXT(INDEX('Dealer pipeline'!$J$4:$J$503,_calc!$E$51),"yyyy-mm-dd"),"")&amp;". ")&amp;IF(LEN(IF(ISNUMBER(INDEX('Dealer pipeline'!$L$4:$L$503,_calc!$E$51)),TEXT(INDEX('Dealer pipeline'!$L$4:$L$503,_calc!$E$51),"yyyy-mm-dd"),""))=0,"","Labor end: "&amp;IF(ISNUMBER(INDEX('Dealer pipeline'!$L$4:$L$503,_calc!$E$51)),TEXT(INDEX('Dealer pipeline'!$L$4:$L$503,_calc!$E$51),"yyyy-mm-dd"),"")&amp;". ")&amp;IF(LEN(IF(LEN(INDEX('Dealer pipeline'!$Q$4:$Q$503,_calc!$E$51))=0,"",INDEX('Dealer pipeline'!$Q$4:$Q$503,_calc!$E$51)))=0,"","Status: "&amp;IF(LEN(INDEX('Dealer pipeline'!$Q$4:$Q$503,_calc!$E$51))=0,"",INDEX('Dealer pipeline'!$Q$4:$Q$503,_calc!$E$51))&amp;". ")&amp;IF(LEN(IF(LEN(INDEX('Dealer pipeline'!$P$4:$P$503,_calc!$E$51))=0,"",INDEX('Dealer pipeline'!$P$4:$P$503,_calc!$E$51)))=0,"","Last touch: "&amp;IF(LEN(INDEX('Dealer pipeline'!$P$4:$P$503,_calc!$E$51))=0,"",INDEX('Dealer pipeline'!$P$4:$P$503,_calc!$E$51))&amp;". ")&amp;IF(LEN(IF(LEN(INDEX('Dealer pipeline'!$R$4:$R$503,_calc!$E$51))=0,"",INDEX('Dealer pipeline'!$R$4:$R$503,_calc!$E$51)))=0,"","Owner: "&amp;IF(LEN(INDEX('Dealer pipeline'!$R$4:$R$503,_calc!$E$51))=0,"",INDEX('Dealer pipeline'!$R$4:$R$503,_calc!$E$51))&amp;". ")&amp;IF(LEN(IF(LEN(INDEX('Dealer pipeline'!$S$4:$S$503,_calc!$E$51))=0,"",INDEX('Dealer pipeline'!$S$4:$S$503,_calc!$E$51)))=0,"","Backup: "&amp;IF(LEN(INDEX('Dealer pipeline'!$S$4:$S$503,_calc!$E$51))=0,"",INDEX('Dealer pipeline'!$S$4:$S$503,_calc!$E$51))&amp;". ")&amp;IF(LEN(IF(LEN(INDEX('Dealer pipeline'!$T$4:$T$503,_calc!$E$51))=0,"",INDEX('Dealer pipeline'!$T$4:$T$503,_calc!$E$51)))=0,"",IF(LEN(INDEX('Dealer pipeline'!$T$4:$T$503,_calc!$E$51))=0,"",INDEX('Dealer pipeline'!$T$4:$T$503,_calc!$E$51)))),TRIM(IF(LEN(IF(LEN(INDEX('My equipment'!$C$4:$C$503,(_calc!$E$51-500)))=0,"",INDEX('My equipment'!$C$4:$C$503,(_calc!$E$51-500))))=0,"","Model: "&amp;IF(LEN(INDEX('My equipment'!$C$4:$C$503,(_calc!$E$51-500)))=0,"",INDEX('My equipment'!$C$4:$C$503,(_calc!$E$51-500)))&amp;". ")&amp;IF(LEN(IF(LEN(INDEX('My equipment'!$D$4:$D$503,(_calc!$E$51-500)))=0,"",INDEX('My equipment'!$D$4:$D$503,(_calc!$E$51-500))))=0,"","Serial: "&amp;IF(LEN(INDEX('My equipment'!$D$4:$D$503,(_calc!$E$51-500)))=0,"",INDEX('My equipment'!$D$4:$D$503,(_calc!$E$51-500)))&amp;". ")&amp;IF(LEN(IF(ISNUMBER(INDEX('My equipment'!$J$4:$J$503,(_calc!$E$51-500))),TEXT(INDEX('My equipment'!$J$4:$J$503,(_calc!$E$51-500)),"yyyy-mm-dd"),""))=0,"","Parts end: "&amp;IF(ISNUMBER(INDEX('My equipment'!$J$4:$J$503,(_calc!$E$51-500))),TEXT(INDEX('My equipment'!$J$4:$J$503,(_calc!$E$51-500)),"yyyy-mm-dd"),"")&amp;". ")&amp;IF(LEN(IF(ISNUMBER(INDEX('My equipment'!$L$4:$L$503,(_calc!$E$51-500))),TEXT(INDEX('My equipment'!$L$4:$L$503,(_calc!$E$51-500)),"yyyy-mm-dd"),""))=0,"","Labor end: "&amp;IF(ISNUMBER(INDEX('My equipment'!$L$4:$L$503,(_calc!$E$51-500))),TEXT(INDEX('My equipment'!$L$4:$L$503,(_calc!$E$51-500)),"yyyy-mm-dd"),"")&amp;". ")&amp;IF(LEN(IF(ISNUMBER(INDEX('My equipment'!$P$4:$P$503,(_calc!$E$51-500))),TEXT(INDEX('My equipment'!$P$4:$P$503,(_calc!$E$51-500)),"yyyy-mm-dd"),""))=0,"","Check by: "&amp;IF(ISNUMBER(INDEX('My equipment'!$P$4:$P$503,(_calc!$E$51-500))),TEXT(INDEX('My equipment'!$P$4:$P$503,(_calc!$E$51-500)),"yyyy-mm-dd"),"")&amp;". ")&amp;IF(LEN(IF(LEN(INDEX('My equipment'!$Q$4:$Q$503,(_calc!$E$51-500)))=0,"",INDEX('My equipment'!$Q$4:$Q$503,(_calc!$E$51-500))))=0,"","Claim status: "&amp;IF(LEN(INDEX('My equipment'!$Q$4:$Q$503,(_calc!$E$51-500)))=0,"",INDEX('My equipment'!$Q$4:$Q$503,(_calc!$E$51-500)))&amp;". ")&amp;IF(LEN(IF(LEN(INDEX('My equipment'!$R$4:$R$503,(_calc!$E$51-500)))=0,"",INDEX('My equipment'!$R$4:$R$503,(_calc!$E$51-500))))=0,"","Claims contact: "&amp;IF(LEN(INDEX('My equipment'!$R$4:$R$503,(_calc!$E$51-500)))=0,"",INDEX('My equipment'!$R$4:$R$503,(_calc!$E$51-500)))&amp;". ")&amp;IF(LEN(IF(LEN(INDEX('My equipment'!$S$4:$S$503,(_calc!$E$51-500)))=0,"",INDEX('My equipment'!$S$4:$S$503,(_calc!$E$51-500))))=0,"","Claims email: "&amp;IF(LEN(INDEX('My equipment'!$S$4:$S$503,(_calc!$E$51-500)))=0,"",INDEX('My equipment'!$S$4:$S$503,(_calc!$E$51-500)))&amp;". ")&amp;IF(LEN(IF(LEN(INDEX('My equipment'!$U$4:$U$503,(_calc!$E$51-500)))=0,"",INDEX('My equipment'!$U$4:$U$503,(_calc!$E$51-500))))=0,"","Registered: "&amp;IF(LEN(INDEX('My equipment'!$U$4:$U$503,(_calc!$E$51-500)))=0,"",INDEX('My equipment'!$U$4:$U$503,(_calc!$E$51-500)))&amp;". ")&amp;IF(LEN(IF(LEN(INDEX('My equipment'!$V$4:$V$503,(_calc!$E$51-500)))=0,"",INDEX('My equipment'!$V$4:$V$503,(_calc!$E$51-500))))=0,"","Proof on file: "&amp;IF(LEN(INDEX('My equipment'!$V$4:$V$503,(_calc!$E$51-500)))=0,"",INDEX('My equipment'!$V$4:$V$503,(_calc!$E$51-500)))&amp;". ")&amp;IF(LEN(IF(LEN(INDEX('My equipment'!$W$4:$W$503,(_calc!$E$51-500)))=0,"",INDEX('My equipment'!$W$4:$W$503,(_calc!$E$51-500))))=0,"","Claim ref: "&amp;IF(LEN(INDEX('My equipment'!$W$4:$W$503,(_calc!$E$51-500)))=0,"",INDEX('My equipment'!$W$4:$W$503,(_calc!$E$51-500)))&amp;". ")&amp;IF(LEN(IF(LEN(INDEX('My equipment'!$Y$4:$Y$503,(_calc!$E$51-500)))=0,"",INDEX('My equipment'!$Y$4:$Y$503,(_calc!$E$51-500))))=0,"",IF(LEN(INDEX('My equipment'!$Y$4:$Y$503,(_calc!$E$51-500)))=0,"",INDEX('My equipment'!$Y$4:$Y$503,(_calc!$E$51-500)))))))</f>
        <v/>
      </c>
      <c r="G49" s="54">
        <f>IF(_calc!$E$51="","",IF(_calc!$E$51&lt;=500,"",IF(LEN(INDEX('My equipment'!$X$4:$X$503,(_calc!$E$51-500)))=0,"",INDEX('My equipment'!$X$4:$X$503,(_calc!$E$51-500)))))</f>
        <v/>
      </c>
      <c r="K49" s="54">
        <f>IF(_calc!$E$51="","",IF(_calc!$E$51&lt;=500,"",IF(LEN(INDEX('My equipment'!$T$4:$T$503,(_calc!$E$51-500)))=0,"",INDEX('My equipment'!$T$4:$T$503,(_calc!$E$51-500)))))</f>
        <v/>
      </c>
    </row>
    <row r="50">
      <c r="A50" s="54">
        <f>IF(_calc!$E$52="","",IF(_calc!$E$52&lt;=500,"Warranty – "&amp;IF(LEN(INDEX('Dealer pipeline'!$C$4:$C$503,_calc!$E$52))=0,"",INDEX('Dealer pipeline'!$C$4:$C$503,_calc!$E$52))&amp;" – "&amp;IF(LEN(INDEX('Dealer pipeline'!$D$4:$D$503,_calc!$E$52))=0,"",INDEX('Dealer pipeline'!$D$4:$D$503,_calc!$E$52))&amp;" – "&amp;IF(LEN(INDEX('Dealer pipeline'!$A$4:$A$503,_calc!$E$52))=0,"",INDEX('Dealer pipeline'!$A$4:$A$503,_calc!$E$52)),"Warranty – "&amp;IF(LEN(INDEX('My equipment'!$A$4:$A$503,(_calc!$E$52-500)))=0,"",INDEX('My equipment'!$A$4:$A$503,(_calc!$E$52-500)))&amp;" – "&amp;IF(LEN(INDEX('My equipment'!$D$4:$D$503,(_calc!$E$52-500)))=0,"",INDEX('My equipment'!$D$4:$D$503,(_calc!$E$52-500)))))</f>
        <v/>
      </c>
      <c r="B50" s="54">
        <f>IF(_calc!$E$52="","",IF(_calc!$E$52&lt;=500,IF(ISNUMBER(INDEX('Dealer pipeline'!$M$4:$M$503,_calc!$E$52)),TEXT(INDEX('Dealer pipeline'!$M$4:$M$503,_calc!$E$52),"yyyy-mm-dd"),""),IF(ISNUMBER(INDEX('My equipment'!$M$4:$M$503,(_calc!$E$52-500))),TEXT(INDEX('My equipment'!$M$4:$M$503,(_calc!$E$52-500)),"yyyy-mm-dd"),"")))</f>
        <v/>
      </c>
      <c r="C50" s="54">
        <f>IF(_calc!$E$52="","",IF(_calc!$E$52&lt;=500,"Warranty","Warranty"))</f>
        <v/>
      </c>
      <c r="D50" s="54">
        <f>IF(_calc!$E$52="","",IF(_calc!$E$52&lt;=500,IF(ISNUMBER(INDEX('Dealer pipeline'!$H$4:$H$503,_calc!$E$52)),TEXT(INDEX('Dealer pipeline'!$H$4:$H$503,_calc!$E$52),"yyyy-mm-dd"),""),IF(ISNUMBER(INDEX('My equipment'!$H$4:$H$503,(_calc!$E$52-500))),TEXT(INDEX('My equipment'!$H$4:$H$503,(_calc!$E$52-500)),"yyyy-mm-dd"),"")))</f>
        <v/>
      </c>
      <c r="F50" s="54">
        <f>IF(_calc!$E$52="","",IF(_calc!$E$52&lt;=500,TRIM(IF(LEN(IF(LEN(INDEX('Dealer pipeline'!$A$4:$A$503,_calc!$E$52))=0,"",INDEX('Dealer pipeline'!$A$4:$A$503,_calc!$E$52)))=0,"","Customer: "&amp;IF(LEN(INDEX('Dealer pipeline'!$A$4:$A$503,_calc!$E$52))=0,"",INDEX('Dealer pipeline'!$A$4:$A$503,_calc!$E$52))&amp;". ")&amp;IF(LEN(IF(LEN(INDEX('Dealer pipeline'!$B$4:$B$503,_calc!$E$52))=0,"",INDEX('Dealer pipeline'!$B$4:$B$503,_calc!$E$52)))=0,"","Contact: "&amp;IF(LEN(INDEX('Dealer pipeline'!$B$4:$B$503,_calc!$E$52))=0,"",INDEX('Dealer pipeline'!$B$4:$B$503,_calc!$E$52))&amp;". ")&amp;IF(LEN(IF(LEN(INDEX('Dealer pipeline'!$D$4:$D$503,_calc!$E$52))=0,"",INDEX('Dealer pipeline'!$D$4:$D$503,_calc!$E$52)))=0,"","Serial: "&amp;IF(LEN(INDEX('Dealer pipeline'!$D$4:$D$503,_calc!$E$52))=0,"",INDEX('Dealer pipeline'!$D$4:$D$503,_calc!$E$52))&amp;". ")&amp;IF(LEN(IF(ISNUMBER(INDEX('Dealer pipeline'!$J$4:$J$503,_calc!$E$52)),TEXT(INDEX('Dealer pipeline'!$J$4:$J$503,_calc!$E$52),"yyyy-mm-dd"),""))=0,"","Parts end: "&amp;IF(ISNUMBER(INDEX('Dealer pipeline'!$J$4:$J$503,_calc!$E$52)),TEXT(INDEX('Dealer pipeline'!$J$4:$J$503,_calc!$E$52),"yyyy-mm-dd"),"")&amp;". ")&amp;IF(LEN(IF(ISNUMBER(INDEX('Dealer pipeline'!$L$4:$L$503,_calc!$E$52)),TEXT(INDEX('Dealer pipeline'!$L$4:$L$503,_calc!$E$52),"yyyy-mm-dd"),""))=0,"","Labor end: "&amp;IF(ISNUMBER(INDEX('Dealer pipeline'!$L$4:$L$503,_calc!$E$52)),TEXT(INDEX('Dealer pipeline'!$L$4:$L$503,_calc!$E$52),"yyyy-mm-dd"),"")&amp;". ")&amp;IF(LEN(IF(LEN(INDEX('Dealer pipeline'!$Q$4:$Q$503,_calc!$E$52))=0,"",INDEX('Dealer pipeline'!$Q$4:$Q$503,_calc!$E$52)))=0,"","Status: "&amp;IF(LEN(INDEX('Dealer pipeline'!$Q$4:$Q$503,_calc!$E$52))=0,"",INDEX('Dealer pipeline'!$Q$4:$Q$503,_calc!$E$52))&amp;". ")&amp;IF(LEN(IF(LEN(INDEX('Dealer pipeline'!$P$4:$P$503,_calc!$E$52))=0,"",INDEX('Dealer pipeline'!$P$4:$P$503,_calc!$E$52)))=0,"","Last touch: "&amp;IF(LEN(INDEX('Dealer pipeline'!$P$4:$P$503,_calc!$E$52))=0,"",INDEX('Dealer pipeline'!$P$4:$P$503,_calc!$E$52))&amp;". ")&amp;IF(LEN(IF(LEN(INDEX('Dealer pipeline'!$R$4:$R$503,_calc!$E$52))=0,"",INDEX('Dealer pipeline'!$R$4:$R$503,_calc!$E$52)))=0,"","Owner: "&amp;IF(LEN(INDEX('Dealer pipeline'!$R$4:$R$503,_calc!$E$52))=0,"",INDEX('Dealer pipeline'!$R$4:$R$503,_calc!$E$52))&amp;". ")&amp;IF(LEN(IF(LEN(INDEX('Dealer pipeline'!$S$4:$S$503,_calc!$E$52))=0,"",INDEX('Dealer pipeline'!$S$4:$S$503,_calc!$E$52)))=0,"","Backup: "&amp;IF(LEN(INDEX('Dealer pipeline'!$S$4:$S$503,_calc!$E$52))=0,"",INDEX('Dealer pipeline'!$S$4:$S$503,_calc!$E$52))&amp;". ")&amp;IF(LEN(IF(LEN(INDEX('Dealer pipeline'!$T$4:$T$503,_calc!$E$52))=0,"",INDEX('Dealer pipeline'!$T$4:$T$503,_calc!$E$52)))=0,"",IF(LEN(INDEX('Dealer pipeline'!$T$4:$T$503,_calc!$E$52))=0,"",INDEX('Dealer pipeline'!$T$4:$T$503,_calc!$E$52)))),TRIM(IF(LEN(IF(LEN(INDEX('My equipment'!$C$4:$C$503,(_calc!$E$52-500)))=0,"",INDEX('My equipment'!$C$4:$C$503,(_calc!$E$52-500))))=0,"","Model: "&amp;IF(LEN(INDEX('My equipment'!$C$4:$C$503,(_calc!$E$52-500)))=0,"",INDEX('My equipment'!$C$4:$C$503,(_calc!$E$52-500)))&amp;". ")&amp;IF(LEN(IF(LEN(INDEX('My equipment'!$D$4:$D$503,(_calc!$E$52-500)))=0,"",INDEX('My equipment'!$D$4:$D$503,(_calc!$E$52-500))))=0,"","Serial: "&amp;IF(LEN(INDEX('My equipment'!$D$4:$D$503,(_calc!$E$52-500)))=0,"",INDEX('My equipment'!$D$4:$D$503,(_calc!$E$52-500)))&amp;". ")&amp;IF(LEN(IF(ISNUMBER(INDEX('My equipment'!$J$4:$J$503,(_calc!$E$52-500))),TEXT(INDEX('My equipment'!$J$4:$J$503,(_calc!$E$52-500)),"yyyy-mm-dd"),""))=0,"","Parts end: "&amp;IF(ISNUMBER(INDEX('My equipment'!$J$4:$J$503,(_calc!$E$52-500))),TEXT(INDEX('My equipment'!$J$4:$J$503,(_calc!$E$52-500)),"yyyy-mm-dd"),"")&amp;". ")&amp;IF(LEN(IF(ISNUMBER(INDEX('My equipment'!$L$4:$L$503,(_calc!$E$52-500))),TEXT(INDEX('My equipment'!$L$4:$L$503,(_calc!$E$52-500)),"yyyy-mm-dd"),""))=0,"","Labor end: "&amp;IF(ISNUMBER(INDEX('My equipment'!$L$4:$L$503,(_calc!$E$52-500))),TEXT(INDEX('My equipment'!$L$4:$L$503,(_calc!$E$52-500)),"yyyy-mm-dd"),"")&amp;". ")&amp;IF(LEN(IF(ISNUMBER(INDEX('My equipment'!$P$4:$P$503,(_calc!$E$52-500))),TEXT(INDEX('My equipment'!$P$4:$P$503,(_calc!$E$52-500)),"yyyy-mm-dd"),""))=0,"","Check by: "&amp;IF(ISNUMBER(INDEX('My equipment'!$P$4:$P$503,(_calc!$E$52-500))),TEXT(INDEX('My equipment'!$P$4:$P$503,(_calc!$E$52-500)),"yyyy-mm-dd"),"")&amp;". ")&amp;IF(LEN(IF(LEN(INDEX('My equipment'!$Q$4:$Q$503,(_calc!$E$52-500)))=0,"",INDEX('My equipment'!$Q$4:$Q$503,(_calc!$E$52-500))))=0,"","Claim status: "&amp;IF(LEN(INDEX('My equipment'!$Q$4:$Q$503,(_calc!$E$52-500)))=0,"",INDEX('My equipment'!$Q$4:$Q$503,(_calc!$E$52-500)))&amp;". ")&amp;IF(LEN(IF(LEN(INDEX('My equipment'!$R$4:$R$503,(_calc!$E$52-500)))=0,"",INDEX('My equipment'!$R$4:$R$503,(_calc!$E$52-500))))=0,"","Claims contact: "&amp;IF(LEN(INDEX('My equipment'!$R$4:$R$503,(_calc!$E$52-500)))=0,"",INDEX('My equipment'!$R$4:$R$503,(_calc!$E$52-500)))&amp;". ")&amp;IF(LEN(IF(LEN(INDEX('My equipment'!$S$4:$S$503,(_calc!$E$52-500)))=0,"",INDEX('My equipment'!$S$4:$S$503,(_calc!$E$52-500))))=0,"","Claims email: "&amp;IF(LEN(INDEX('My equipment'!$S$4:$S$503,(_calc!$E$52-500)))=0,"",INDEX('My equipment'!$S$4:$S$503,(_calc!$E$52-500)))&amp;". ")&amp;IF(LEN(IF(LEN(INDEX('My equipment'!$U$4:$U$503,(_calc!$E$52-500)))=0,"",INDEX('My equipment'!$U$4:$U$503,(_calc!$E$52-500))))=0,"","Registered: "&amp;IF(LEN(INDEX('My equipment'!$U$4:$U$503,(_calc!$E$52-500)))=0,"",INDEX('My equipment'!$U$4:$U$503,(_calc!$E$52-500)))&amp;". ")&amp;IF(LEN(IF(LEN(INDEX('My equipment'!$V$4:$V$503,(_calc!$E$52-500)))=0,"",INDEX('My equipment'!$V$4:$V$503,(_calc!$E$52-500))))=0,"","Proof on file: "&amp;IF(LEN(INDEX('My equipment'!$V$4:$V$503,(_calc!$E$52-500)))=0,"",INDEX('My equipment'!$V$4:$V$503,(_calc!$E$52-500)))&amp;". ")&amp;IF(LEN(IF(LEN(INDEX('My equipment'!$W$4:$W$503,(_calc!$E$52-500)))=0,"",INDEX('My equipment'!$W$4:$W$503,(_calc!$E$52-500))))=0,"","Claim ref: "&amp;IF(LEN(INDEX('My equipment'!$W$4:$W$503,(_calc!$E$52-500)))=0,"",INDEX('My equipment'!$W$4:$W$503,(_calc!$E$52-500)))&amp;". ")&amp;IF(LEN(IF(LEN(INDEX('My equipment'!$Y$4:$Y$503,(_calc!$E$52-500)))=0,"",INDEX('My equipment'!$Y$4:$Y$503,(_calc!$E$52-500))))=0,"",IF(LEN(INDEX('My equipment'!$Y$4:$Y$503,(_calc!$E$52-500)))=0,"",INDEX('My equipment'!$Y$4:$Y$503,(_calc!$E$52-500)))))))</f>
        <v/>
      </c>
      <c r="G50" s="54">
        <f>IF(_calc!$E$52="","",IF(_calc!$E$52&lt;=500,"",IF(LEN(INDEX('My equipment'!$X$4:$X$503,(_calc!$E$52-500)))=0,"",INDEX('My equipment'!$X$4:$X$503,(_calc!$E$52-500)))))</f>
        <v/>
      </c>
      <c r="K50" s="54">
        <f>IF(_calc!$E$52="","",IF(_calc!$E$52&lt;=500,"",IF(LEN(INDEX('My equipment'!$T$4:$T$503,(_calc!$E$52-500)))=0,"",INDEX('My equipment'!$T$4:$T$503,(_calc!$E$52-500)))))</f>
        <v/>
      </c>
    </row>
    <row r="51">
      <c r="A51" s="54">
        <f>IF(_calc!$E$53="","",IF(_calc!$E$53&lt;=500,"Warranty – "&amp;IF(LEN(INDEX('Dealer pipeline'!$C$4:$C$503,_calc!$E$53))=0,"",INDEX('Dealer pipeline'!$C$4:$C$503,_calc!$E$53))&amp;" – "&amp;IF(LEN(INDEX('Dealer pipeline'!$D$4:$D$503,_calc!$E$53))=0,"",INDEX('Dealer pipeline'!$D$4:$D$503,_calc!$E$53))&amp;" – "&amp;IF(LEN(INDEX('Dealer pipeline'!$A$4:$A$503,_calc!$E$53))=0,"",INDEX('Dealer pipeline'!$A$4:$A$503,_calc!$E$53)),"Warranty – "&amp;IF(LEN(INDEX('My equipment'!$A$4:$A$503,(_calc!$E$53-500)))=0,"",INDEX('My equipment'!$A$4:$A$503,(_calc!$E$53-500)))&amp;" – "&amp;IF(LEN(INDEX('My equipment'!$D$4:$D$503,(_calc!$E$53-500)))=0,"",INDEX('My equipment'!$D$4:$D$503,(_calc!$E$53-500)))))</f>
        <v/>
      </c>
      <c r="B51" s="54">
        <f>IF(_calc!$E$53="","",IF(_calc!$E$53&lt;=500,IF(ISNUMBER(INDEX('Dealer pipeline'!$M$4:$M$503,_calc!$E$53)),TEXT(INDEX('Dealer pipeline'!$M$4:$M$503,_calc!$E$53),"yyyy-mm-dd"),""),IF(ISNUMBER(INDEX('My equipment'!$M$4:$M$503,(_calc!$E$53-500))),TEXT(INDEX('My equipment'!$M$4:$M$503,(_calc!$E$53-500)),"yyyy-mm-dd"),"")))</f>
        <v/>
      </c>
      <c r="C51" s="54">
        <f>IF(_calc!$E$53="","",IF(_calc!$E$53&lt;=500,"Warranty","Warranty"))</f>
        <v/>
      </c>
      <c r="D51" s="54">
        <f>IF(_calc!$E$53="","",IF(_calc!$E$53&lt;=500,IF(ISNUMBER(INDEX('Dealer pipeline'!$H$4:$H$503,_calc!$E$53)),TEXT(INDEX('Dealer pipeline'!$H$4:$H$503,_calc!$E$53),"yyyy-mm-dd"),""),IF(ISNUMBER(INDEX('My equipment'!$H$4:$H$503,(_calc!$E$53-500))),TEXT(INDEX('My equipment'!$H$4:$H$503,(_calc!$E$53-500)),"yyyy-mm-dd"),"")))</f>
        <v/>
      </c>
      <c r="F51" s="54">
        <f>IF(_calc!$E$53="","",IF(_calc!$E$53&lt;=500,TRIM(IF(LEN(IF(LEN(INDEX('Dealer pipeline'!$A$4:$A$503,_calc!$E$53))=0,"",INDEX('Dealer pipeline'!$A$4:$A$503,_calc!$E$53)))=0,"","Customer: "&amp;IF(LEN(INDEX('Dealer pipeline'!$A$4:$A$503,_calc!$E$53))=0,"",INDEX('Dealer pipeline'!$A$4:$A$503,_calc!$E$53))&amp;". ")&amp;IF(LEN(IF(LEN(INDEX('Dealer pipeline'!$B$4:$B$503,_calc!$E$53))=0,"",INDEX('Dealer pipeline'!$B$4:$B$503,_calc!$E$53)))=0,"","Contact: "&amp;IF(LEN(INDEX('Dealer pipeline'!$B$4:$B$503,_calc!$E$53))=0,"",INDEX('Dealer pipeline'!$B$4:$B$503,_calc!$E$53))&amp;". ")&amp;IF(LEN(IF(LEN(INDEX('Dealer pipeline'!$D$4:$D$503,_calc!$E$53))=0,"",INDEX('Dealer pipeline'!$D$4:$D$503,_calc!$E$53)))=0,"","Serial: "&amp;IF(LEN(INDEX('Dealer pipeline'!$D$4:$D$503,_calc!$E$53))=0,"",INDEX('Dealer pipeline'!$D$4:$D$503,_calc!$E$53))&amp;". ")&amp;IF(LEN(IF(ISNUMBER(INDEX('Dealer pipeline'!$J$4:$J$503,_calc!$E$53)),TEXT(INDEX('Dealer pipeline'!$J$4:$J$503,_calc!$E$53),"yyyy-mm-dd"),""))=0,"","Parts end: "&amp;IF(ISNUMBER(INDEX('Dealer pipeline'!$J$4:$J$503,_calc!$E$53)),TEXT(INDEX('Dealer pipeline'!$J$4:$J$503,_calc!$E$53),"yyyy-mm-dd"),"")&amp;". ")&amp;IF(LEN(IF(ISNUMBER(INDEX('Dealer pipeline'!$L$4:$L$503,_calc!$E$53)),TEXT(INDEX('Dealer pipeline'!$L$4:$L$503,_calc!$E$53),"yyyy-mm-dd"),""))=0,"","Labor end: "&amp;IF(ISNUMBER(INDEX('Dealer pipeline'!$L$4:$L$503,_calc!$E$53)),TEXT(INDEX('Dealer pipeline'!$L$4:$L$503,_calc!$E$53),"yyyy-mm-dd"),"")&amp;". ")&amp;IF(LEN(IF(LEN(INDEX('Dealer pipeline'!$Q$4:$Q$503,_calc!$E$53))=0,"",INDEX('Dealer pipeline'!$Q$4:$Q$503,_calc!$E$53)))=0,"","Status: "&amp;IF(LEN(INDEX('Dealer pipeline'!$Q$4:$Q$503,_calc!$E$53))=0,"",INDEX('Dealer pipeline'!$Q$4:$Q$503,_calc!$E$53))&amp;". ")&amp;IF(LEN(IF(LEN(INDEX('Dealer pipeline'!$P$4:$P$503,_calc!$E$53))=0,"",INDEX('Dealer pipeline'!$P$4:$P$503,_calc!$E$53)))=0,"","Last touch: "&amp;IF(LEN(INDEX('Dealer pipeline'!$P$4:$P$503,_calc!$E$53))=0,"",INDEX('Dealer pipeline'!$P$4:$P$503,_calc!$E$53))&amp;". ")&amp;IF(LEN(IF(LEN(INDEX('Dealer pipeline'!$R$4:$R$503,_calc!$E$53))=0,"",INDEX('Dealer pipeline'!$R$4:$R$503,_calc!$E$53)))=0,"","Owner: "&amp;IF(LEN(INDEX('Dealer pipeline'!$R$4:$R$503,_calc!$E$53))=0,"",INDEX('Dealer pipeline'!$R$4:$R$503,_calc!$E$53))&amp;". ")&amp;IF(LEN(IF(LEN(INDEX('Dealer pipeline'!$S$4:$S$503,_calc!$E$53))=0,"",INDEX('Dealer pipeline'!$S$4:$S$503,_calc!$E$53)))=0,"","Backup: "&amp;IF(LEN(INDEX('Dealer pipeline'!$S$4:$S$503,_calc!$E$53))=0,"",INDEX('Dealer pipeline'!$S$4:$S$503,_calc!$E$53))&amp;". ")&amp;IF(LEN(IF(LEN(INDEX('Dealer pipeline'!$T$4:$T$503,_calc!$E$53))=0,"",INDEX('Dealer pipeline'!$T$4:$T$503,_calc!$E$53)))=0,"",IF(LEN(INDEX('Dealer pipeline'!$T$4:$T$503,_calc!$E$53))=0,"",INDEX('Dealer pipeline'!$T$4:$T$503,_calc!$E$53)))),TRIM(IF(LEN(IF(LEN(INDEX('My equipment'!$C$4:$C$503,(_calc!$E$53-500)))=0,"",INDEX('My equipment'!$C$4:$C$503,(_calc!$E$53-500))))=0,"","Model: "&amp;IF(LEN(INDEX('My equipment'!$C$4:$C$503,(_calc!$E$53-500)))=0,"",INDEX('My equipment'!$C$4:$C$503,(_calc!$E$53-500)))&amp;". ")&amp;IF(LEN(IF(LEN(INDEX('My equipment'!$D$4:$D$503,(_calc!$E$53-500)))=0,"",INDEX('My equipment'!$D$4:$D$503,(_calc!$E$53-500))))=0,"","Serial: "&amp;IF(LEN(INDEX('My equipment'!$D$4:$D$503,(_calc!$E$53-500)))=0,"",INDEX('My equipment'!$D$4:$D$503,(_calc!$E$53-500)))&amp;". ")&amp;IF(LEN(IF(ISNUMBER(INDEX('My equipment'!$J$4:$J$503,(_calc!$E$53-500))),TEXT(INDEX('My equipment'!$J$4:$J$503,(_calc!$E$53-500)),"yyyy-mm-dd"),""))=0,"","Parts end: "&amp;IF(ISNUMBER(INDEX('My equipment'!$J$4:$J$503,(_calc!$E$53-500))),TEXT(INDEX('My equipment'!$J$4:$J$503,(_calc!$E$53-500)),"yyyy-mm-dd"),"")&amp;". ")&amp;IF(LEN(IF(ISNUMBER(INDEX('My equipment'!$L$4:$L$503,(_calc!$E$53-500))),TEXT(INDEX('My equipment'!$L$4:$L$503,(_calc!$E$53-500)),"yyyy-mm-dd"),""))=0,"","Labor end: "&amp;IF(ISNUMBER(INDEX('My equipment'!$L$4:$L$503,(_calc!$E$53-500))),TEXT(INDEX('My equipment'!$L$4:$L$503,(_calc!$E$53-500)),"yyyy-mm-dd"),"")&amp;". ")&amp;IF(LEN(IF(ISNUMBER(INDEX('My equipment'!$P$4:$P$503,(_calc!$E$53-500))),TEXT(INDEX('My equipment'!$P$4:$P$503,(_calc!$E$53-500)),"yyyy-mm-dd"),""))=0,"","Check by: "&amp;IF(ISNUMBER(INDEX('My equipment'!$P$4:$P$503,(_calc!$E$53-500))),TEXT(INDEX('My equipment'!$P$4:$P$503,(_calc!$E$53-500)),"yyyy-mm-dd"),"")&amp;". ")&amp;IF(LEN(IF(LEN(INDEX('My equipment'!$Q$4:$Q$503,(_calc!$E$53-500)))=0,"",INDEX('My equipment'!$Q$4:$Q$503,(_calc!$E$53-500))))=0,"","Claim status: "&amp;IF(LEN(INDEX('My equipment'!$Q$4:$Q$503,(_calc!$E$53-500)))=0,"",INDEX('My equipment'!$Q$4:$Q$503,(_calc!$E$53-500)))&amp;". ")&amp;IF(LEN(IF(LEN(INDEX('My equipment'!$R$4:$R$503,(_calc!$E$53-500)))=0,"",INDEX('My equipment'!$R$4:$R$503,(_calc!$E$53-500))))=0,"","Claims contact: "&amp;IF(LEN(INDEX('My equipment'!$R$4:$R$503,(_calc!$E$53-500)))=0,"",INDEX('My equipment'!$R$4:$R$503,(_calc!$E$53-500)))&amp;". ")&amp;IF(LEN(IF(LEN(INDEX('My equipment'!$S$4:$S$503,(_calc!$E$53-500)))=0,"",INDEX('My equipment'!$S$4:$S$503,(_calc!$E$53-500))))=0,"","Claims email: "&amp;IF(LEN(INDEX('My equipment'!$S$4:$S$503,(_calc!$E$53-500)))=0,"",INDEX('My equipment'!$S$4:$S$503,(_calc!$E$53-500)))&amp;". ")&amp;IF(LEN(IF(LEN(INDEX('My equipment'!$U$4:$U$503,(_calc!$E$53-500)))=0,"",INDEX('My equipment'!$U$4:$U$503,(_calc!$E$53-500))))=0,"","Registered: "&amp;IF(LEN(INDEX('My equipment'!$U$4:$U$503,(_calc!$E$53-500)))=0,"",INDEX('My equipment'!$U$4:$U$503,(_calc!$E$53-500)))&amp;". ")&amp;IF(LEN(IF(LEN(INDEX('My equipment'!$V$4:$V$503,(_calc!$E$53-500)))=0,"",INDEX('My equipment'!$V$4:$V$503,(_calc!$E$53-500))))=0,"","Proof on file: "&amp;IF(LEN(INDEX('My equipment'!$V$4:$V$503,(_calc!$E$53-500)))=0,"",INDEX('My equipment'!$V$4:$V$503,(_calc!$E$53-500)))&amp;". ")&amp;IF(LEN(IF(LEN(INDEX('My equipment'!$W$4:$W$503,(_calc!$E$53-500)))=0,"",INDEX('My equipment'!$W$4:$W$503,(_calc!$E$53-500))))=0,"","Claim ref: "&amp;IF(LEN(INDEX('My equipment'!$W$4:$W$503,(_calc!$E$53-500)))=0,"",INDEX('My equipment'!$W$4:$W$503,(_calc!$E$53-500)))&amp;". ")&amp;IF(LEN(IF(LEN(INDEX('My equipment'!$Y$4:$Y$503,(_calc!$E$53-500)))=0,"",INDEX('My equipment'!$Y$4:$Y$503,(_calc!$E$53-500))))=0,"",IF(LEN(INDEX('My equipment'!$Y$4:$Y$503,(_calc!$E$53-500)))=0,"",INDEX('My equipment'!$Y$4:$Y$503,(_calc!$E$53-500)))))))</f>
        <v/>
      </c>
      <c r="G51" s="54">
        <f>IF(_calc!$E$53="","",IF(_calc!$E$53&lt;=500,"",IF(LEN(INDEX('My equipment'!$X$4:$X$503,(_calc!$E$53-500)))=0,"",INDEX('My equipment'!$X$4:$X$503,(_calc!$E$53-500)))))</f>
        <v/>
      </c>
      <c r="K51" s="54">
        <f>IF(_calc!$E$53="","",IF(_calc!$E$53&lt;=500,"",IF(LEN(INDEX('My equipment'!$T$4:$T$503,(_calc!$E$53-500)))=0,"",INDEX('My equipment'!$T$4:$T$503,(_calc!$E$53-500)))))</f>
        <v/>
      </c>
    </row>
    <row r="52">
      <c r="A52" s="54">
        <f>IF(_calc!$E$54="","",IF(_calc!$E$54&lt;=500,"Warranty – "&amp;IF(LEN(INDEX('Dealer pipeline'!$C$4:$C$503,_calc!$E$54))=0,"",INDEX('Dealer pipeline'!$C$4:$C$503,_calc!$E$54))&amp;" – "&amp;IF(LEN(INDEX('Dealer pipeline'!$D$4:$D$503,_calc!$E$54))=0,"",INDEX('Dealer pipeline'!$D$4:$D$503,_calc!$E$54))&amp;" – "&amp;IF(LEN(INDEX('Dealer pipeline'!$A$4:$A$503,_calc!$E$54))=0,"",INDEX('Dealer pipeline'!$A$4:$A$503,_calc!$E$54)),"Warranty – "&amp;IF(LEN(INDEX('My equipment'!$A$4:$A$503,(_calc!$E$54-500)))=0,"",INDEX('My equipment'!$A$4:$A$503,(_calc!$E$54-500)))&amp;" – "&amp;IF(LEN(INDEX('My equipment'!$D$4:$D$503,(_calc!$E$54-500)))=0,"",INDEX('My equipment'!$D$4:$D$503,(_calc!$E$54-500)))))</f>
        <v/>
      </c>
      <c r="B52" s="54">
        <f>IF(_calc!$E$54="","",IF(_calc!$E$54&lt;=500,IF(ISNUMBER(INDEX('Dealer pipeline'!$M$4:$M$503,_calc!$E$54)),TEXT(INDEX('Dealer pipeline'!$M$4:$M$503,_calc!$E$54),"yyyy-mm-dd"),""),IF(ISNUMBER(INDEX('My equipment'!$M$4:$M$503,(_calc!$E$54-500))),TEXT(INDEX('My equipment'!$M$4:$M$503,(_calc!$E$54-500)),"yyyy-mm-dd"),"")))</f>
        <v/>
      </c>
      <c r="C52" s="54">
        <f>IF(_calc!$E$54="","",IF(_calc!$E$54&lt;=500,"Warranty","Warranty"))</f>
        <v/>
      </c>
      <c r="D52" s="54">
        <f>IF(_calc!$E$54="","",IF(_calc!$E$54&lt;=500,IF(ISNUMBER(INDEX('Dealer pipeline'!$H$4:$H$503,_calc!$E$54)),TEXT(INDEX('Dealer pipeline'!$H$4:$H$503,_calc!$E$54),"yyyy-mm-dd"),""),IF(ISNUMBER(INDEX('My equipment'!$H$4:$H$503,(_calc!$E$54-500))),TEXT(INDEX('My equipment'!$H$4:$H$503,(_calc!$E$54-500)),"yyyy-mm-dd"),"")))</f>
        <v/>
      </c>
      <c r="F52" s="54">
        <f>IF(_calc!$E$54="","",IF(_calc!$E$54&lt;=500,TRIM(IF(LEN(IF(LEN(INDEX('Dealer pipeline'!$A$4:$A$503,_calc!$E$54))=0,"",INDEX('Dealer pipeline'!$A$4:$A$503,_calc!$E$54)))=0,"","Customer: "&amp;IF(LEN(INDEX('Dealer pipeline'!$A$4:$A$503,_calc!$E$54))=0,"",INDEX('Dealer pipeline'!$A$4:$A$503,_calc!$E$54))&amp;". ")&amp;IF(LEN(IF(LEN(INDEX('Dealer pipeline'!$B$4:$B$503,_calc!$E$54))=0,"",INDEX('Dealer pipeline'!$B$4:$B$503,_calc!$E$54)))=0,"","Contact: "&amp;IF(LEN(INDEX('Dealer pipeline'!$B$4:$B$503,_calc!$E$54))=0,"",INDEX('Dealer pipeline'!$B$4:$B$503,_calc!$E$54))&amp;". ")&amp;IF(LEN(IF(LEN(INDEX('Dealer pipeline'!$D$4:$D$503,_calc!$E$54))=0,"",INDEX('Dealer pipeline'!$D$4:$D$503,_calc!$E$54)))=0,"","Serial: "&amp;IF(LEN(INDEX('Dealer pipeline'!$D$4:$D$503,_calc!$E$54))=0,"",INDEX('Dealer pipeline'!$D$4:$D$503,_calc!$E$54))&amp;". ")&amp;IF(LEN(IF(ISNUMBER(INDEX('Dealer pipeline'!$J$4:$J$503,_calc!$E$54)),TEXT(INDEX('Dealer pipeline'!$J$4:$J$503,_calc!$E$54),"yyyy-mm-dd"),""))=0,"","Parts end: "&amp;IF(ISNUMBER(INDEX('Dealer pipeline'!$J$4:$J$503,_calc!$E$54)),TEXT(INDEX('Dealer pipeline'!$J$4:$J$503,_calc!$E$54),"yyyy-mm-dd"),"")&amp;". ")&amp;IF(LEN(IF(ISNUMBER(INDEX('Dealer pipeline'!$L$4:$L$503,_calc!$E$54)),TEXT(INDEX('Dealer pipeline'!$L$4:$L$503,_calc!$E$54),"yyyy-mm-dd"),""))=0,"","Labor end: "&amp;IF(ISNUMBER(INDEX('Dealer pipeline'!$L$4:$L$503,_calc!$E$54)),TEXT(INDEX('Dealer pipeline'!$L$4:$L$503,_calc!$E$54),"yyyy-mm-dd"),"")&amp;". ")&amp;IF(LEN(IF(LEN(INDEX('Dealer pipeline'!$Q$4:$Q$503,_calc!$E$54))=0,"",INDEX('Dealer pipeline'!$Q$4:$Q$503,_calc!$E$54)))=0,"","Status: "&amp;IF(LEN(INDEX('Dealer pipeline'!$Q$4:$Q$503,_calc!$E$54))=0,"",INDEX('Dealer pipeline'!$Q$4:$Q$503,_calc!$E$54))&amp;". ")&amp;IF(LEN(IF(LEN(INDEX('Dealer pipeline'!$P$4:$P$503,_calc!$E$54))=0,"",INDEX('Dealer pipeline'!$P$4:$P$503,_calc!$E$54)))=0,"","Last touch: "&amp;IF(LEN(INDEX('Dealer pipeline'!$P$4:$P$503,_calc!$E$54))=0,"",INDEX('Dealer pipeline'!$P$4:$P$503,_calc!$E$54))&amp;". ")&amp;IF(LEN(IF(LEN(INDEX('Dealer pipeline'!$R$4:$R$503,_calc!$E$54))=0,"",INDEX('Dealer pipeline'!$R$4:$R$503,_calc!$E$54)))=0,"","Owner: "&amp;IF(LEN(INDEX('Dealer pipeline'!$R$4:$R$503,_calc!$E$54))=0,"",INDEX('Dealer pipeline'!$R$4:$R$503,_calc!$E$54))&amp;". ")&amp;IF(LEN(IF(LEN(INDEX('Dealer pipeline'!$S$4:$S$503,_calc!$E$54))=0,"",INDEX('Dealer pipeline'!$S$4:$S$503,_calc!$E$54)))=0,"","Backup: "&amp;IF(LEN(INDEX('Dealer pipeline'!$S$4:$S$503,_calc!$E$54))=0,"",INDEX('Dealer pipeline'!$S$4:$S$503,_calc!$E$54))&amp;". ")&amp;IF(LEN(IF(LEN(INDEX('Dealer pipeline'!$T$4:$T$503,_calc!$E$54))=0,"",INDEX('Dealer pipeline'!$T$4:$T$503,_calc!$E$54)))=0,"",IF(LEN(INDEX('Dealer pipeline'!$T$4:$T$503,_calc!$E$54))=0,"",INDEX('Dealer pipeline'!$T$4:$T$503,_calc!$E$54)))),TRIM(IF(LEN(IF(LEN(INDEX('My equipment'!$C$4:$C$503,(_calc!$E$54-500)))=0,"",INDEX('My equipment'!$C$4:$C$503,(_calc!$E$54-500))))=0,"","Model: "&amp;IF(LEN(INDEX('My equipment'!$C$4:$C$503,(_calc!$E$54-500)))=0,"",INDEX('My equipment'!$C$4:$C$503,(_calc!$E$54-500)))&amp;". ")&amp;IF(LEN(IF(LEN(INDEX('My equipment'!$D$4:$D$503,(_calc!$E$54-500)))=0,"",INDEX('My equipment'!$D$4:$D$503,(_calc!$E$54-500))))=0,"","Serial: "&amp;IF(LEN(INDEX('My equipment'!$D$4:$D$503,(_calc!$E$54-500)))=0,"",INDEX('My equipment'!$D$4:$D$503,(_calc!$E$54-500)))&amp;". ")&amp;IF(LEN(IF(ISNUMBER(INDEX('My equipment'!$J$4:$J$503,(_calc!$E$54-500))),TEXT(INDEX('My equipment'!$J$4:$J$503,(_calc!$E$54-500)),"yyyy-mm-dd"),""))=0,"","Parts end: "&amp;IF(ISNUMBER(INDEX('My equipment'!$J$4:$J$503,(_calc!$E$54-500))),TEXT(INDEX('My equipment'!$J$4:$J$503,(_calc!$E$54-500)),"yyyy-mm-dd"),"")&amp;". ")&amp;IF(LEN(IF(ISNUMBER(INDEX('My equipment'!$L$4:$L$503,(_calc!$E$54-500))),TEXT(INDEX('My equipment'!$L$4:$L$503,(_calc!$E$54-500)),"yyyy-mm-dd"),""))=0,"","Labor end: "&amp;IF(ISNUMBER(INDEX('My equipment'!$L$4:$L$503,(_calc!$E$54-500))),TEXT(INDEX('My equipment'!$L$4:$L$503,(_calc!$E$54-500)),"yyyy-mm-dd"),"")&amp;". ")&amp;IF(LEN(IF(ISNUMBER(INDEX('My equipment'!$P$4:$P$503,(_calc!$E$54-500))),TEXT(INDEX('My equipment'!$P$4:$P$503,(_calc!$E$54-500)),"yyyy-mm-dd"),""))=0,"","Check by: "&amp;IF(ISNUMBER(INDEX('My equipment'!$P$4:$P$503,(_calc!$E$54-500))),TEXT(INDEX('My equipment'!$P$4:$P$503,(_calc!$E$54-500)),"yyyy-mm-dd"),"")&amp;". ")&amp;IF(LEN(IF(LEN(INDEX('My equipment'!$Q$4:$Q$503,(_calc!$E$54-500)))=0,"",INDEX('My equipment'!$Q$4:$Q$503,(_calc!$E$54-500))))=0,"","Claim status: "&amp;IF(LEN(INDEX('My equipment'!$Q$4:$Q$503,(_calc!$E$54-500)))=0,"",INDEX('My equipment'!$Q$4:$Q$503,(_calc!$E$54-500)))&amp;". ")&amp;IF(LEN(IF(LEN(INDEX('My equipment'!$R$4:$R$503,(_calc!$E$54-500)))=0,"",INDEX('My equipment'!$R$4:$R$503,(_calc!$E$54-500))))=0,"","Claims contact: "&amp;IF(LEN(INDEX('My equipment'!$R$4:$R$503,(_calc!$E$54-500)))=0,"",INDEX('My equipment'!$R$4:$R$503,(_calc!$E$54-500)))&amp;". ")&amp;IF(LEN(IF(LEN(INDEX('My equipment'!$S$4:$S$503,(_calc!$E$54-500)))=0,"",INDEX('My equipment'!$S$4:$S$503,(_calc!$E$54-500))))=0,"","Claims email: "&amp;IF(LEN(INDEX('My equipment'!$S$4:$S$503,(_calc!$E$54-500)))=0,"",INDEX('My equipment'!$S$4:$S$503,(_calc!$E$54-500)))&amp;". ")&amp;IF(LEN(IF(LEN(INDEX('My equipment'!$U$4:$U$503,(_calc!$E$54-500)))=0,"",INDEX('My equipment'!$U$4:$U$503,(_calc!$E$54-500))))=0,"","Registered: "&amp;IF(LEN(INDEX('My equipment'!$U$4:$U$503,(_calc!$E$54-500)))=0,"",INDEX('My equipment'!$U$4:$U$503,(_calc!$E$54-500)))&amp;". ")&amp;IF(LEN(IF(LEN(INDEX('My equipment'!$V$4:$V$503,(_calc!$E$54-500)))=0,"",INDEX('My equipment'!$V$4:$V$503,(_calc!$E$54-500))))=0,"","Proof on file: "&amp;IF(LEN(INDEX('My equipment'!$V$4:$V$503,(_calc!$E$54-500)))=0,"",INDEX('My equipment'!$V$4:$V$503,(_calc!$E$54-500)))&amp;". ")&amp;IF(LEN(IF(LEN(INDEX('My equipment'!$W$4:$W$503,(_calc!$E$54-500)))=0,"",INDEX('My equipment'!$W$4:$W$503,(_calc!$E$54-500))))=0,"","Claim ref: "&amp;IF(LEN(INDEX('My equipment'!$W$4:$W$503,(_calc!$E$54-500)))=0,"",INDEX('My equipment'!$W$4:$W$503,(_calc!$E$54-500)))&amp;". ")&amp;IF(LEN(IF(LEN(INDEX('My equipment'!$Y$4:$Y$503,(_calc!$E$54-500)))=0,"",INDEX('My equipment'!$Y$4:$Y$503,(_calc!$E$54-500))))=0,"",IF(LEN(INDEX('My equipment'!$Y$4:$Y$503,(_calc!$E$54-500)))=0,"",INDEX('My equipment'!$Y$4:$Y$503,(_calc!$E$54-500)))))))</f>
        <v/>
      </c>
      <c r="G52" s="54">
        <f>IF(_calc!$E$54="","",IF(_calc!$E$54&lt;=500,"",IF(LEN(INDEX('My equipment'!$X$4:$X$503,(_calc!$E$54-500)))=0,"",INDEX('My equipment'!$X$4:$X$503,(_calc!$E$54-500)))))</f>
        <v/>
      </c>
      <c r="K52" s="54">
        <f>IF(_calc!$E$54="","",IF(_calc!$E$54&lt;=500,"",IF(LEN(INDEX('My equipment'!$T$4:$T$503,(_calc!$E$54-500)))=0,"",INDEX('My equipment'!$T$4:$T$503,(_calc!$E$54-500)))))</f>
        <v/>
      </c>
    </row>
    <row r="53">
      <c r="A53" s="54">
        <f>IF(_calc!$E$55="","",IF(_calc!$E$55&lt;=500,"Warranty – "&amp;IF(LEN(INDEX('Dealer pipeline'!$C$4:$C$503,_calc!$E$55))=0,"",INDEX('Dealer pipeline'!$C$4:$C$503,_calc!$E$55))&amp;" – "&amp;IF(LEN(INDEX('Dealer pipeline'!$D$4:$D$503,_calc!$E$55))=0,"",INDEX('Dealer pipeline'!$D$4:$D$503,_calc!$E$55))&amp;" – "&amp;IF(LEN(INDEX('Dealer pipeline'!$A$4:$A$503,_calc!$E$55))=0,"",INDEX('Dealer pipeline'!$A$4:$A$503,_calc!$E$55)),"Warranty – "&amp;IF(LEN(INDEX('My equipment'!$A$4:$A$503,(_calc!$E$55-500)))=0,"",INDEX('My equipment'!$A$4:$A$503,(_calc!$E$55-500)))&amp;" – "&amp;IF(LEN(INDEX('My equipment'!$D$4:$D$503,(_calc!$E$55-500)))=0,"",INDEX('My equipment'!$D$4:$D$503,(_calc!$E$55-500)))))</f>
        <v/>
      </c>
      <c r="B53" s="54">
        <f>IF(_calc!$E$55="","",IF(_calc!$E$55&lt;=500,IF(ISNUMBER(INDEX('Dealer pipeline'!$M$4:$M$503,_calc!$E$55)),TEXT(INDEX('Dealer pipeline'!$M$4:$M$503,_calc!$E$55),"yyyy-mm-dd"),""),IF(ISNUMBER(INDEX('My equipment'!$M$4:$M$503,(_calc!$E$55-500))),TEXT(INDEX('My equipment'!$M$4:$M$503,(_calc!$E$55-500)),"yyyy-mm-dd"),"")))</f>
        <v/>
      </c>
      <c r="C53" s="54">
        <f>IF(_calc!$E$55="","",IF(_calc!$E$55&lt;=500,"Warranty","Warranty"))</f>
        <v/>
      </c>
      <c r="D53" s="54">
        <f>IF(_calc!$E$55="","",IF(_calc!$E$55&lt;=500,IF(ISNUMBER(INDEX('Dealer pipeline'!$H$4:$H$503,_calc!$E$55)),TEXT(INDEX('Dealer pipeline'!$H$4:$H$503,_calc!$E$55),"yyyy-mm-dd"),""),IF(ISNUMBER(INDEX('My equipment'!$H$4:$H$503,(_calc!$E$55-500))),TEXT(INDEX('My equipment'!$H$4:$H$503,(_calc!$E$55-500)),"yyyy-mm-dd"),"")))</f>
        <v/>
      </c>
      <c r="F53" s="54">
        <f>IF(_calc!$E$55="","",IF(_calc!$E$55&lt;=500,TRIM(IF(LEN(IF(LEN(INDEX('Dealer pipeline'!$A$4:$A$503,_calc!$E$55))=0,"",INDEX('Dealer pipeline'!$A$4:$A$503,_calc!$E$55)))=0,"","Customer: "&amp;IF(LEN(INDEX('Dealer pipeline'!$A$4:$A$503,_calc!$E$55))=0,"",INDEX('Dealer pipeline'!$A$4:$A$503,_calc!$E$55))&amp;". ")&amp;IF(LEN(IF(LEN(INDEX('Dealer pipeline'!$B$4:$B$503,_calc!$E$55))=0,"",INDEX('Dealer pipeline'!$B$4:$B$503,_calc!$E$55)))=0,"","Contact: "&amp;IF(LEN(INDEX('Dealer pipeline'!$B$4:$B$503,_calc!$E$55))=0,"",INDEX('Dealer pipeline'!$B$4:$B$503,_calc!$E$55))&amp;". ")&amp;IF(LEN(IF(LEN(INDEX('Dealer pipeline'!$D$4:$D$503,_calc!$E$55))=0,"",INDEX('Dealer pipeline'!$D$4:$D$503,_calc!$E$55)))=0,"","Serial: "&amp;IF(LEN(INDEX('Dealer pipeline'!$D$4:$D$503,_calc!$E$55))=0,"",INDEX('Dealer pipeline'!$D$4:$D$503,_calc!$E$55))&amp;". ")&amp;IF(LEN(IF(ISNUMBER(INDEX('Dealer pipeline'!$J$4:$J$503,_calc!$E$55)),TEXT(INDEX('Dealer pipeline'!$J$4:$J$503,_calc!$E$55),"yyyy-mm-dd"),""))=0,"","Parts end: "&amp;IF(ISNUMBER(INDEX('Dealer pipeline'!$J$4:$J$503,_calc!$E$55)),TEXT(INDEX('Dealer pipeline'!$J$4:$J$503,_calc!$E$55),"yyyy-mm-dd"),"")&amp;". ")&amp;IF(LEN(IF(ISNUMBER(INDEX('Dealer pipeline'!$L$4:$L$503,_calc!$E$55)),TEXT(INDEX('Dealer pipeline'!$L$4:$L$503,_calc!$E$55),"yyyy-mm-dd"),""))=0,"","Labor end: "&amp;IF(ISNUMBER(INDEX('Dealer pipeline'!$L$4:$L$503,_calc!$E$55)),TEXT(INDEX('Dealer pipeline'!$L$4:$L$503,_calc!$E$55),"yyyy-mm-dd"),"")&amp;". ")&amp;IF(LEN(IF(LEN(INDEX('Dealer pipeline'!$Q$4:$Q$503,_calc!$E$55))=0,"",INDEX('Dealer pipeline'!$Q$4:$Q$503,_calc!$E$55)))=0,"","Status: "&amp;IF(LEN(INDEX('Dealer pipeline'!$Q$4:$Q$503,_calc!$E$55))=0,"",INDEX('Dealer pipeline'!$Q$4:$Q$503,_calc!$E$55))&amp;". ")&amp;IF(LEN(IF(LEN(INDEX('Dealer pipeline'!$P$4:$P$503,_calc!$E$55))=0,"",INDEX('Dealer pipeline'!$P$4:$P$503,_calc!$E$55)))=0,"","Last touch: "&amp;IF(LEN(INDEX('Dealer pipeline'!$P$4:$P$503,_calc!$E$55))=0,"",INDEX('Dealer pipeline'!$P$4:$P$503,_calc!$E$55))&amp;". ")&amp;IF(LEN(IF(LEN(INDEX('Dealer pipeline'!$R$4:$R$503,_calc!$E$55))=0,"",INDEX('Dealer pipeline'!$R$4:$R$503,_calc!$E$55)))=0,"","Owner: "&amp;IF(LEN(INDEX('Dealer pipeline'!$R$4:$R$503,_calc!$E$55))=0,"",INDEX('Dealer pipeline'!$R$4:$R$503,_calc!$E$55))&amp;". ")&amp;IF(LEN(IF(LEN(INDEX('Dealer pipeline'!$S$4:$S$503,_calc!$E$55))=0,"",INDEX('Dealer pipeline'!$S$4:$S$503,_calc!$E$55)))=0,"","Backup: "&amp;IF(LEN(INDEX('Dealer pipeline'!$S$4:$S$503,_calc!$E$55))=0,"",INDEX('Dealer pipeline'!$S$4:$S$503,_calc!$E$55))&amp;". ")&amp;IF(LEN(IF(LEN(INDEX('Dealer pipeline'!$T$4:$T$503,_calc!$E$55))=0,"",INDEX('Dealer pipeline'!$T$4:$T$503,_calc!$E$55)))=0,"",IF(LEN(INDEX('Dealer pipeline'!$T$4:$T$503,_calc!$E$55))=0,"",INDEX('Dealer pipeline'!$T$4:$T$503,_calc!$E$55)))),TRIM(IF(LEN(IF(LEN(INDEX('My equipment'!$C$4:$C$503,(_calc!$E$55-500)))=0,"",INDEX('My equipment'!$C$4:$C$503,(_calc!$E$55-500))))=0,"","Model: "&amp;IF(LEN(INDEX('My equipment'!$C$4:$C$503,(_calc!$E$55-500)))=0,"",INDEX('My equipment'!$C$4:$C$503,(_calc!$E$55-500)))&amp;". ")&amp;IF(LEN(IF(LEN(INDEX('My equipment'!$D$4:$D$503,(_calc!$E$55-500)))=0,"",INDEX('My equipment'!$D$4:$D$503,(_calc!$E$55-500))))=0,"","Serial: "&amp;IF(LEN(INDEX('My equipment'!$D$4:$D$503,(_calc!$E$55-500)))=0,"",INDEX('My equipment'!$D$4:$D$503,(_calc!$E$55-500)))&amp;". ")&amp;IF(LEN(IF(ISNUMBER(INDEX('My equipment'!$J$4:$J$503,(_calc!$E$55-500))),TEXT(INDEX('My equipment'!$J$4:$J$503,(_calc!$E$55-500)),"yyyy-mm-dd"),""))=0,"","Parts end: "&amp;IF(ISNUMBER(INDEX('My equipment'!$J$4:$J$503,(_calc!$E$55-500))),TEXT(INDEX('My equipment'!$J$4:$J$503,(_calc!$E$55-500)),"yyyy-mm-dd"),"")&amp;". ")&amp;IF(LEN(IF(ISNUMBER(INDEX('My equipment'!$L$4:$L$503,(_calc!$E$55-500))),TEXT(INDEX('My equipment'!$L$4:$L$503,(_calc!$E$55-500)),"yyyy-mm-dd"),""))=0,"","Labor end: "&amp;IF(ISNUMBER(INDEX('My equipment'!$L$4:$L$503,(_calc!$E$55-500))),TEXT(INDEX('My equipment'!$L$4:$L$503,(_calc!$E$55-500)),"yyyy-mm-dd"),"")&amp;". ")&amp;IF(LEN(IF(ISNUMBER(INDEX('My equipment'!$P$4:$P$503,(_calc!$E$55-500))),TEXT(INDEX('My equipment'!$P$4:$P$503,(_calc!$E$55-500)),"yyyy-mm-dd"),""))=0,"","Check by: "&amp;IF(ISNUMBER(INDEX('My equipment'!$P$4:$P$503,(_calc!$E$55-500))),TEXT(INDEX('My equipment'!$P$4:$P$503,(_calc!$E$55-500)),"yyyy-mm-dd"),"")&amp;". ")&amp;IF(LEN(IF(LEN(INDEX('My equipment'!$Q$4:$Q$503,(_calc!$E$55-500)))=0,"",INDEX('My equipment'!$Q$4:$Q$503,(_calc!$E$55-500))))=0,"","Claim status: "&amp;IF(LEN(INDEX('My equipment'!$Q$4:$Q$503,(_calc!$E$55-500)))=0,"",INDEX('My equipment'!$Q$4:$Q$503,(_calc!$E$55-500)))&amp;". ")&amp;IF(LEN(IF(LEN(INDEX('My equipment'!$R$4:$R$503,(_calc!$E$55-500)))=0,"",INDEX('My equipment'!$R$4:$R$503,(_calc!$E$55-500))))=0,"","Claims contact: "&amp;IF(LEN(INDEX('My equipment'!$R$4:$R$503,(_calc!$E$55-500)))=0,"",INDEX('My equipment'!$R$4:$R$503,(_calc!$E$55-500)))&amp;". ")&amp;IF(LEN(IF(LEN(INDEX('My equipment'!$S$4:$S$503,(_calc!$E$55-500)))=0,"",INDEX('My equipment'!$S$4:$S$503,(_calc!$E$55-500))))=0,"","Claims email: "&amp;IF(LEN(INDEX('My equipment'!$S$4:$S$503,(_calc!$E$55-500)))=0,"",INDEX('My equipment'!$S$4:$S$503,(_calc!$E$55-500)))&amp;". ")&amp;IF(LEN(IF(LEN(INDEX('My equipment'!$U$4:$U$503,(_calc!$E$55-500)))=0,"",INDEX('My equipment'!$U$4:$U$503,(_calc!$E$55-500))))=0,"","Registered: "&amp;IF(LEN(INDEX('My equipment'!$U$4:$U$503,(_calc!$E$55-500)))=0,"",INDEX('My equipment'!$U$4:$U$503,(_calc!$E$55-500)))&amp;". ")&amp;IF(LEN(IF(LEN(INDEX('My equipment'!$V$4:$V$503,(_calc!$E$55-500)))=0,"",INDEX('My equipment'!$V$4:$V$503,(_calc!$E$55-500))))=0,"","Proof on file: "&amp;IF(LEN(INDEX('My equipment'!$V$4:$V$503,(_calc!$E$55-500)))=0,"",INDEX('My equipment'!$V$4:$V$503,(_calc!$E$55-500)))&amp;". ")&amp;IF(LEN(IF(LEN(INDEX('My equipment'!$W$4:$W$503,(_calc!$E$55-500)))=0,"",INDEX('My equipment'!$W$4:$W$503,(_calc!$E$55-500))))=0,"","Claim ref: "&amp;IF(LEN(INDEX('My equipment'!$W$4:$W$503,(_calc!$E$55-500)))=0,"",INDEX('My equipment'!$W$4:$W$503,(_calc!$E$55-500)))&amp;". ")&amp;IF(LEN(IF(LEN(INDEX('My equipment'!$Y$4:$Y$503,(_calc!$E$55-500)))=0,"",INDEX('My equipment'!$Y$4:$Y$503,(_calc!$E$55-500))))=0,"",IF(LEN(INDEX('My equipment'!$Y$4:$Y$503,(_calc!$E$55-500)))=0,"",INDEX('My equipment'!$Y$4:$Y$503,(_calc!$E$55-500)))))))</f>
        <v/>
      </c>
      <c r="G53" s="54">
        <f>IF(_calc!$E$55="","",IF(_calc!$E$55&lt;=500,"",IF(LEN(INDEX('My equipment'!$X$4:$X$503,(_calc!$E$55-500)))=0,"",INDEX('My equipment'!$X$4:$X$503,(_calc!$E$55-500)))))</f>
        <v/>
      </c>
      <c r="K53" s="54">
        <f>IF(_calc!$E$55="","",IF(_calc!$E$55&lt;=500,"",IF(LEN(INDEX('My equipment'!$T$4:$T$503,(_calc!$E$55-500)))=0,"",INDEX('My equipment'!$T$4:$T$503,(_calc!$E$55-500)))))</f>
        <v/>
      </c>
    </row>
    <row r="54">
      <c r="A54" s="54">
        <f>IF(_calc!$E$56="","",IF(_calc!$E$56&lt;=500,"Warranty – "&amp;IF(LEN(INDEX('Dealer pipeline'!$C$4:$C$503,_calc!$E$56))=0,"",INDEX('Dealer pipeline'!$C$4:$C$503,_calc!$E$56))&amp;" – "&amp;IF(LEN(INDEX('Dealer pipeline'!$D$4:$D$503,_calc!$E$56))=0,"",INDEX('Dealer pipeline'!$D$4:$D$503,_calc!$E$56))&amp;" – "&amp;IF(LEN(INDEX('Dealer pipeline'!$A$4:$A$503,_calc!$E$56))=0,"",INDEX('Dealer pipeline'!$A$4:$A$503,_calc!$E$56)),"Warranty – "&amp;IF(LEN(INDEX('My equipment'!$A$4:$A$503,(_calc!$E$56-500)))=0,"",INDEX('My equipment'!$A$4:$A$503,(_calc!$E$56-500)))&amp;" – "&amp;IF(LEN(INDEX('My equipment'!$D$4:$D$503,(_calc!$E$56-500)))=0,"",INDEX('My equipment'!$D$4:$D$503,(_calc!$E$56-500)))))</f>
        <v/>
      </c>
      <c r="B54" s="54">
        <f>IF(_calc!$E$56="","",IF(_calc!$E$56&lt;=500,IF(ISNUMBER(INDEX('Dealer pipeline'!$M$4:$M$503,_calc!$E$56)),TEXT(INDEX('Dealer pipeline'!$M$4:$M$503,_calc!$E$56),"yyyy-mm-dd"),""),IF(ISNUMBER(INDEX('My equipment'!$M$4:$M$503,(_calc!$E$56-500))),TEXT(INDEX('My equipment'!$M$4:$M$503,(_calc!$E$56-500)),"yyyy-mm-dd"),"")))</f>
        <v/>
      </c>
      <c r="C54" s="54">
        <f>IF(_calc!$E$56="","",IF(_calc!$E$56&lt;=500,"Warranty","Warranty"))</f>
        <v/>
      </c>
      <c r="D54" s="54">
        <f>IF(_calc!$E$56="","",IF(_calc!$E$56&lt;=500,IF(ISNUMBER(INDEX('Dealer pipeline'!$H$4:$H$503,_calc!$E$56)),TEXT(INDEX('Dealer pipeline'!$H$4:$H$503,_calc!$E$56),"yyyy-mm-dd"),""),IF(ISNUMBER(INDEX('My equipment'!$H$4:$H$503,(_calc!$E$56-500))),TEXT(INDEX('My equipment'!$H$4:$H$503,(_calc!$E$56-500)),"yyyy-mm-dd"),"")))</f>
        <v/>
      </c>
      <c r="F54" s="54">
        <f>IF(_calc!$E$56="","",IF(_calc!$E$56&lt;=500,TRIM(IF(LEN(IF(LEN(INDEX('Dealer pipeline'!$A$4:$A$503,_calc!$E$56))=0,"",INDEX('Dealer pipeline'!$A$4:$A$503,_calc!$E$56)))=0,"","Customer: "&amp;IF(LEN(INDEX('Dealer pipeline'!$A$4:$A$503,_calc!$E$56))=0,"",INDEX('Dealer pipeline'!$A$4:$A$503,_calc!$E$56))&amp;". ")&amp;IF(LEN(IF(LEN(INDEX('Dealer pipeline'!$B$4:$B$503,_calc!$E$56))=0,"",INDEX('Dealer pipeline'!$B$4:$B$503,_calc!$E$56)))=0,"","Contact: "&amp;IF(LEN(INDEX('Dealer pipeline'!$B$4:$B$503,_calc!$E$56))=0,"",INDEX('Dealer pipeline'!$B$4:$B$503,_calc!$E$56))&amp;". ")&amp;IF(LEN(IF(LEN(INDEX('Dealer pipeline'!$D$4:$D$503,_calc!$E$56))=0,"",INDEX('Dealer pipeline'!$D$4:$D$503,_calc!$E$56)))=0,"","Serial: "&amp;IF(LEN(INDEX('Dealer pipeline'!$D$4:$D$503,_calc!$E$56))=0,"",INDEX('Dealer pipeline'!$D$4:$D$503,_calc!$E$56))&amp;". ")&amp;IF(LEN(IF(ISNUMBER(INDEX('Dealer pipeline'!$J$4:$J$503,_calc!$E$56)),TEXT(INDEX('Dealer pipeline'!$J$4:$J$503,_calc!$E$56),"yyyy-mm-dd"),""))=0,"","Parts end: "&amp;IF(ISNUMBER(INDEX('Dealer pipeline'!$J$4:$J$503,_calc!$E$56)),TEXT(INDEX('Dealer pipeline'!$J$4:$J$503,_calc!$E$56),"yyyy-mm-dd"),"")&amp;". ")&amp;IF(LEN(IF(ISNUMBER(INDEX('Dealer pipeline'!$L$4:$L$503,_calc!$E$56)),TEXT(INDEX('Dealer pipeline'!$L$4:$L$503,_calc!$E$56),"yyyy-mm-dd"),""))=0,"","Labor end: "&amp;IF(ISNUMBER(INDEX('Dealer pipeline'!$L$4:$L$503,_calc!$E$56)),TEXT(INDEX('Dealer pipeline'!$L$4:$L$503,_calc!$E$56),"yyyy-mm-dd"),"")&amp;". ")&amp;IF(LEN(IF(LEN(INDEX('Dealer pipeline'!$Q$4:$Q$503,_calc!$E$56))=0,"",INDEX('Dealer pipeline'!$Q$4:$Q$503,_calc!$E$56)))=0,"","Status: "&amp;IF(LEN(INDEX('Dealer pipeline'!$Q$4:$Q$503,_calc!$E$56))=0,"",INDEX('Dealer pipeline'!$Q$4:$Q$503,_calc!$E$56))&amp;". ")&amp;IF(LEN(IF(LEN(INDEX('Dealer pipeline'!$P$4:$P$503,_calc!$E$56))=0,"",INDEX('Dealer pipeline'!$P$4:$P$503,_calc!$E$56)))=0,"","Last touch: "&amp;IF(LEN(INDEX('Dealer pipeline'!$P$4:$P$503,_calc!$E$56))=0,"",INDEX('Dealer pipeline'!$P$4:$P$503,_calc!$E$56))&amp;". ")&amp;IF(LEN(IF(LEN(INDEX('Dealer pipeline'!$R$4:$R$503,_calc!$E$56))=0,"",INDEX('Dealer pipeline'!$R$4:$R$503,_calc!$E$56)))=0,"","Owner: "&amp;IF(LEN(INDEX('Dealer pipeline'!$R$4:$R$503,_calc!$E$56))=0,"",INDEX('Dealer pipeline'!$R$4:$R$503,_calc!$E$56))&amp;". ")&amp;IF(LEN(IF(LEN(INDEX('Dealer pipeline'!$S$4:$S$503,_calc!$E$56))=0,"",INDEX('Dealer pipeline'!$S$4:$S$503,_calc!$E$56)))=0,"","Backup: "&amp;IF(LEN(INDEX('Dealer pipeline'!$S$4:$S$503,_calc!$E$56))=0,"",INDEX('Dealer pipeline'!$S$4:$S$503,_calc!$E$56))&amp;". ")&amp;IF(LEN(IF(LEN(INDEX('Dealer pipeline'!$T$4:$T$503,_calc!$E$56))=0,"",INDEX('Dealer pipeline'!$T$4:$T$503,_calc!$E$56)))=0,"",IF(LEN(INDEX('Dealer pipeline'!$T$4:$T$503,_calc!$E$56))=0,"",INDEX('Dealer pipeline'!$T$4:$T$503,_calc!$E$56)))),TRIM(IF(LEN(IF(LEN(INDEX('My equipment'!$C$4:$C$503,(_calc!$E$56-500)))=0,"",INDEX('My equipment'!$C$4:$C$503,(_calc!$E$56-500))))=0,"","Model: "&amp;IF(LEN(INDEX('My equipment'!$C$4:$C$503,(_calc!$E$56-500)))=0,"",INDEX('My equipment'!$C$4:$C$503,(_calc!$E$56-500)))&amp;". ")&amp;IF(LEN(IF(LEN(INDEX('My equipment'!$D$4:$D$503,(_calc!$E$56-500)))=0,"",INDEX('My equipment'!$D$4:$D$503,(_calc!$E$56-500))))=0,"","Serial: "&amp;IF(LEN(INDEX('My equipment'!$D$4:$D$503,(_calc!$E$56-500)))=0,"",INDEX('My equipment'!$D$4:$D$503,(_calc!$E$56-500)))&amp;". ")&amp;IF(LEN(IF(ISNUMBER(INDEX('My equipment'!$J$4:$J$503,(_calc!$E$56-500))),TEXT(INDEX('My equipment'!$J$4:$J$503,(_calc!$E$56-500)),"yyyy-mm-dd"),""))=0,"","Parts end: "&amp;IF(ISNUMBER(INDEX('My equipment'!$J$4:$J$503,(_calc!$E$56-500))),TEXT(INDEX('My equipment'!$J$4:$J$503,(_calc!$E$56-500)),"yyyy-mm-dd"),"")&amp;". ")&amp;IF(LEN(IF(ISNUMBER(INDEX('My equipment'!$L$4:$L$503,(_calc!$E$56-500))),TEXT(INDEX('My equipment'!$L$4:$L$503,(_calc!$E$56-500)),"yyyy-mm-dd"),""))=0,"","Labor end: "&amp;IF(ISNUMBER(INDEX('My equipment'!$L$4:$L$503,(_calc!$E$56-500))),TEXT(INDEX('My equipment'!$L$4:$L$503,(_calc!$E$56-500)),"yyyy-mm-dd"),"")&amp;". ")&amp;IF(LEN(IF(ISNUMBER(INDEX('My equipment'!$P$4:$P$503,(_calc!$E$56-500))),TEXT(INDEX('My equipment'!$P$4:$P$503,(_calc!$E$56-500)),"yyyy-mm-dd"),""))=0,"","Check by: "&amp;IF(ISNUMBER(INDEX('My equipment'!$P$4:$P$503,(_calc!$E$56-500))),TEXT(INDEX('My equipment'!$P$4:$P$503,(_calc!$E$56-500)),"yyyy-mm-dd"),"")&amp;". ")&amp;IF(LEN(IF(LEN(INDEX('My equipment'!$Q$4:$Q$503,(_calc!$E$56-500)))=0,"",INDEX('My equipment'!$Q$4:$Q$503,(_calc!$E$56-500))))=0,"","Claim status: "&amp;IF(LEN(INDEX('My equipment'!$Q$4:$Q$503,(_calc!$E$56-500)))=0,"",INDEX('My equipment'!$Q$4:$Q$503,(_calc!$E$56-500)))&amp;". ")&amp;IF(LEN(IF(LEN(INDEX('My equipment'!$R$4:$R$503,(_calc!$E$56-500)))=0,"",INDEX('My equipment'!$R$4:$R$503,(_calc!$E$56-500))))=0,"","Claims contact: "&amp;IF(LEN(INDEX('My equipment'!$R$4:$R$503,(_calc!$E$56-500)))=0,"",INDEX('My equipment'!$R$4:$R$503,(_calc!$E$56-500)))&amp;". ")&amp;IF(LEN(IF(LEN(INDEX('My equipment'!$S$4:$S$503,(_calc!$E$56-500)))=0,"",INDEX('My equipment'!$S$4:$S$503,(_calc!$E$56-500))))=0,"","Claims email: "&amp;IF(LEN(INDEX('My equipment'!$S$4:$S$503,(_calc!$E$56-500)))=0,"",INDEX('My equipment'!$S$4:$S$503,(_calc!$E$56-500)))&amp;". ")&amp;IF(LEN(IF(LEN(INDEX('My equipment'!$U$4:$U$503,(_calc!$E$56-500)))=0,"",INDEX('My equipment'!$U$4:$U$503,(_calc!$E$56-500))))=0,"","Registered: "&amp;IF(LEN(INDEX('My equipment'!$U$4:$U$503,(_calc!$E$56-500)))=0,"",INDEX('My equipment'!$U$4:$U$503,(_calc!$E$56-500)))&amp;". ")&amp;IF(LEN(IF(LEN(INDEX('My equipment'!$V$4:$V$503,(_calc!$E$56-500)))=0,"",INDEX('My equipment'!$V$4:$V$503,(_calc!$E$56-500))))=0,"","Proof on file: "&amp;IF(LEN(INDEX('My equipment'!$V$4:$V$503,(_calc!$E$56-500)))=0,"",INDEX('My equipment'!$V$4:$V$503,(_calc!$E$56-500)))&amp;". ")&amp;IF(LEN(IF(LEN(INDEX('My equipment'!$W$4:$W$503,(_calc!$E$56-500)))=0,"",INDEX('My equipment'!$W$4:$W$503,(_calc!$E$56-500))))=0,"","Claim ref: "&amp;IF(LEN(INDEX('My equipment'!$W$4:$W$503,(_calc!$E$56-500)))=0,"",INDEX('My equipment'!$W$4:$W$503,(_calc!$E$56-500)))&amp;". ")&amp;IF(LEN(IF(LEN(INDEX('My equipment'!$Y$4:$Y$503,(_calc!$E$56-500)))=0,"",INDEX('My equipment'!$Y$4:$Y$503,(_calc!$E$56-500))))=0,"",IF(LEN(INDEX('My equipment'!$Y$4:$Y$503,(_calc!$E$56-500)))=0,"",INDEX('My equipment'!$Y$4:$Y$503,(_calc!$E$56-500)))))))</f>
        <v/>
      </c>
      <c r="G54" s="54">
        <f>IF(_calc!$E$56="","",IF(_calc!$E$56&lt;=500,"",IF(LEN(INDEX('My equipment'!$X$4:$X$503,(_calc!$E$56-500)))=0,"",INDEX('My equipment'!$X$4:$X$503,(_calc!$E$56-500)))))</f>
        <v/>
      </c>
      <c r="K54" s="54">
        <f>IF(_calc!$E$56="","",IF(_calc!$E$56&lt;=500,"",IF(LEN(INDEX('My equipment'!$T$4:$T$503,(_calc!$E$56-500)))=0,"",INDEX('My equipment'!$T$4:$T$503,(_calc!$E$56-500)))))</f>
        <v/>
      </c>
    </row>
    <row r="55">
      <c r="A55" s="54">
        <f>IF(_calc!$E$57="","",IF(_calc!$E$57&lt;=500,"Warranty – "&amp;IF(LEN(INDEX('Dealer pipeline'!$C$4:$C$503,_calc!$E$57))=0,"",INDEX('Dealer pipeline'!$C$4:$C$503,_calc!$E$57))&amp;" – "&amp;IF(LEN(INDEX('Dealer pipeline'!$D$4:$D$503,_calc!$E$57))=0,"",INDEX('Dealer pipeline'!$D$4:$D$503,_calc!$E$57))&amp;" – "&amp;IF(LEN(INDEX('Dealer pipeline'!$A$4:$A$503,_calc!$E$57))=0,"",INDEX('Dealer pipeline'!$A$4:$A$503,_calc!$E$57)),"Warranty – "&amp;IF(LEN(INDEX('My equipment'!$A$4:$A$503,(_calc!$E$57-500)))=0,"",INDEX('My equipment'!$A$4:$A$503,(_calc!$E$57-500)))&amp;" – "&amp;IF(LEN(INDEX('My equipment'!$D$4:$D$503,(_calc!$E$57-500)))=0,"",INDEX('My equipment'!$D$4:$D$503,(_calc!$E$57-500)))))</f>
        <v/>
      </c>
      <c r="B55" s="54">
        <f>IF(_calc!$E$57="","",IF(_calc!$E$57&lt;=500,IF(ISNUMBER(INDEX('Dealer pipeline'!$M$4:$M$503,_calc!$E$57)),TEXT(INDEX('Dealer pipeline'!$M$4:$M$503,_calc!$E$57),"yyyy-mm-dd"),""),IF(ISNUMBER(INDEX('My equipment'!$M$4:$M$503,(_calc!$E$57-500))),TEXT(INDEX('My equipment'!$M$4:$M$503,(_calc!$E$57-500)),"yyyy-mm-dd"),"")))</f>
        <v/>
      </c>
      <c r="C55" s="54">
        <f>IF(_calc!$E$57="","",IF(_calc!$E$57&lt;=500,"Warranty","Warranty"))</f>
        <v/>
      </c>
      <c r="D55" s="54">
        <f>IF(_calc!$E$57="","",IF(_calc!$E$57&lt;=500,IF(ISNUMBER(INDEX('Dealer pipeline'!$H$4:$H$503,_calc!$E$57)),TEXT(INDEX('Dealer pipeline'!$H$4:$H$503,_calc!$E$57),"yyyy-mm-dd"),""),IF(ISNUMBER(INDEX('My equipment'!$H$4:$H$503,(_calc!$E$57-500))),TEXT(INDEX('My equipment'!$H$4:$H$503,(_calc!$E$57-500)),"yyyy-mm-dd"),"")))</f>
        <v/>
      </c>
      <c r="F55" s="54">
        <f>IF(_calc!$E$57="","",IF(_calc!$E$57&lt;=500,TRIM(IF(LEN(IF(LEN(INDEX('Dealer pipeline'!$A$4:$A$503,_calc!$E$57))=0,"",INDEX('Dealer pipeline'!$A$4:$A$503,_calc!$E$57)))=0,"","Customer: "&amp;IF(LEN(INDEX('Dealer pipeline'!$A$4:$A$503,_calc!$E$57))=0,"",INDEX('Dealer pipeline'!$A$4:$A$503,_calc!$E$57))&amp;". ")&amp;IF(LEN(IF(LEN(INDEX('Dealer pipeline'!$B$4:$B$503,_calc!$E$57))=0,"",INDEX('Dealer pipeline'!$B$4:$B$503,_calc!$E$57)))=0,"","Contact: "&amp;IF(LEN(INDEX('Dealer pipeline'!$B$4:$B$503,_calc!$E$57))=0,"",INDEX('Dealer pipeline'!$B$4:$B$503,_calc!$E$57))&amp;". ")&amp;IF(LEN(IF(LEN(INDEX('Dealer pipeline'!$D$4:$D$503,_calc!$E$57))=0,"",INDEX('Dealer pipeline'!$D$4:$D$503,_calc!$E$57)))=0,"","Serial: "&amp;IF(LEN(INDEX('Dealer pipeline'!$D$4:$D$503,_calc!$E$57))=0,"",INDEX('Dealer pipeline'!$D$4:$D$503,_calc!$E$57))&amp;". ")&amp;IF(LEN(IF(ISNUMBER(INDEX('Dealer pipeline'!$J$4:$J$503,_calc!$E$57)),TEXT(INDEX('Dealer pipeline'!$J$4:$J$503,_calc!$E$57),"yyyy-mm-dd"),""))=0,"","Parts end: "&amp;IF(ISNUMBER(INDEX('Dealer pipeline'!$J$4:$J$503,_calc!$E$57)),TEXT(INDEX('Dealer pipeline'!$J$4:$J$503,_calc!$E$57),"yyyy-mm-dd"),"")&amp;". ")&amp;IF(LEN(IF(ISNUMBER(INDEX('Dealer pipeline'!$L$4:$L$503,_calc!$E$57)),TEXT(INDEX('Dealer pipeline'!$L$4:$L$503,_calc!$E$57),"yyyy-mm-dd"),""))=0,"","Labor end: "&amp;IF(ISNUMBER(INDEX('Dealer pipeline'!$L$4:$L$503,_calc!$E$57)),TEXT(INDEX('Dealer pipeline'!$L$4:$L$503,_calc!$E$57),"yyyy-mm-dd"),"")&amp;". ")&amp;IF(LEN(IF(LEN(INDEX('Dealer pipeline'!$Q$4:$Q$503,_calc!$E$57))=0,"",INDEX('Dealer pipeline'!$Q$4:$Q$503,_calc!$E$57)))=0,"","Status: "&amp;IF(LEN(INDEX('Dealer pipeline'!$Q$4:$Q$503,_calc!$E$57))=0,"",INDEX('Dealer pipeline'!$Q$4:$Q$503,_calc!$E$57))&amp;". ")&amp;IF(LEN(IF(LEN(INDEX('Dealer pipeline'!$P$4:$P$503,_calc!$E$57))=0,"",INDEX('Dealer pipeline'!$P$4:$P$503,_calc!$E$57)))=0,"","Last touch: "&amp;IF(LEN(INDEX('Dealer pipeline'!$P$4:$P$503,_calc!$E$57))=0,"",INDEX('Dealer pipeline'!$P$4:$P$503,_calc!$E$57))&amp;". ")&amp;IF(LEN(IF(LEN(INDEX('Dealer pipeline'!$R$4:$R$503,_calc!$E$57))=0,"",INDEX('Dealer pipeline'!$R$4:$R$503,_calc!$E$57)))=0,"","Owner: "&amp;IF(LEN(INDEX('Dealer pipeline'!$R$4:$R$503,_calc!$E$57))=0,"",INDEX('Dealer pipeline'!$R$4:$R$503,_calc!$E$57))&amp;". ")&amp;IF(LEN(IF(LEN(INDEX('Dealer pipeline'!$S$4:$S$503,_calc!$E$57))=0,"",INDEX('Dealer pipeline'!$S$4:$S$503,_calc!$E$57)))=0,"","Backup: "&amp;IF(LEN(INDEX('Dealer pipeline'!$S$4:$S$503,_calc!$E$57))=0,"",INDEX('Dealer pipeline'!$S$4:$S$503,_calc!$E$57))&amp;". ")&amp;IF(LEN(IF(LEN(INDEX('Dealer pipeline'!$T$4:$T$503,_calc!$E$57))=0,"",INDEX('Dealer pipeline'!$T$4:$T$503,_calc!$E$57)))=0,"",IF(LEN(INDEX('Dealer pipeline'!$T$4:$T$503,_calc!$E$57))=0,"",INDEX('Dealer pipeline'!$T$4:$T$503,_calc!$E$57)))),TRIM(IF(LEN(IF(LEN(INDEX('My equipment'!$C$4:$C$503,(_calc!$E$57-500)))=0,"",INDEX('My equipment'!$C$4:$C$503,(_calc!$E$57-500))))=0,"","Model: "&amp;IF(LEN(INDEX('My equipment'!$C$4:$C$503,(_calc!$E$57-500)))=0,"",INDEX('My equipment'!$C$4:$C$503,(_calc!$E$57-500)))&amp;". ")&amp;IF(LEN(IF(LEN(INDEX('My equipment'!$D$4:$D$503,(_calc!$E$57-500)))=0,"",INDEX('My equipment'!$D$4:$D$503,(_calc!$E$57-500))))=0,"","Serial: "&amp;IF(LEN(INDEX('My equipment'!$D$4:$D$503,(_calc!$E$57-500)))=0,"",INDEX('My equipment'!$D$4:$D$503,(_calc!$E$57-500)))&amp;". ")&amp;IF(LEN(IF(ISNUMBER(INDEX('My equipment'!$J$4:$J$503,(_calc!$E$57-500))),TEXT(INDEX('My equipment'!$J$4:$J$503,(_calc!$E$57-500)),"yyyy-mm-dd"),""))=0,"","Parts end: "&amp;IF(ISNUMBER(INDEX('My equipment'!$J$4:$J$503,(_calc!$E$57-500))),TEXT(INDEX('My equipment'!$J$4:$J$503,(_calc!$E$57-500)),"yyyy-mm-dd"),"")&amp;". ")&amp;IF(LEN(IF(ISNUMBER(INDEX('My equipment'!$L$4:$L$503,(_calc!$E$57-500))),TEXT(INDEX('My equipment'!$L$4:$L$503,(_calc!$E$57-500)),"yyyy-mm-dd"),""))=0,"","Labor end: "&amp;IF(ISNUMBER(INDEX('My equipment'!$L$4:$L$503,(_calc!$E$57-500))),TEXT(INDEX('My equipment'!$L$4:$L$503,(_calc!$E$57-500)),"yyyy-mm-dd"),"")&amp;". ")&amp;IF(LEN(IF(ISNUMBER(INDEX('My equipment'!$P$4:$P$503,(_calc!$E$57-500))),TEXT(INDEX('My equipment'!$P$4:$P$503,(_calc!$E$57-500)),"yyyy-mm-dd"),""))=0,"","Check by: "&amp;IF(ISNUMBER(INDEX('My equipment'!$P$4:$P$503,(_calc!$E$57-500))),TEXT(INDEX('My equipment'!$P$4:$P$503,(_calc!$E$57-500)),"yyyy-mm-dd"),"")&amp;". ")&amp;IF(LEN(IF(LEN(INDEX('My equipment'!$Q$4:$Q$503,(_calc!$E$57-500)))=0,"",INDEX('My equipment'!$Q$4:$Q$503,(_calc!$E$57-500))))=0,"","Claim status: "&amp;IF(LEN(INDEX('My equipment'!$Q$4:$Q$503,(_calc!$E$57-500)))=0,"",INDEX('My equipment'!$Q$4:$Q$503,(_calc!$E$57-500)))&amp;". ")&amp;IF(LEN(IF(LEN(INDEX('My equipment'!$R$4:$R$503,(_calc!$E$57-500)))=0,"",INDEX('My equipment'!$R$4:$R$503,(_calc!$E$57-500))))=0,"","Claims contact: "&amp;IF(LEN(INDEX('My equipment'!$R$4:$R$503,(_calc!$E$57-500)))=0,"",INDEX('My equipment'!$R$4:$R$503,(_calc!$E$57-500)))&amp;". ")&amp;IF(LEN(IF(LEN(INDEX('My equipment'!$S$4:$S$503,(_calc!$E$57-500)))=0,"",INDEX('My equipment'!$S$4:$S$503,(_calc!$E$57-500))))=0,"","Claims email: "&amp;IF(LEN(INDEX('My equipment'!$S$4:$S$503,(_calc!$E$57-500)))=0,"",INDEX('My equipment'!$S$4:$S$503,(_calc!$E$57-500)))&amp;". ")&amp;IF(LEN(IF(LEN(INDEX('My equipment'!$U$4:$U$503,(_calc!$E$57-500)))=0,"",INDEX('My equipment'!$U$4:$U$503,(_calc!$E$57-500))))=0,"","Registered: "&amp;IF(LEN(INDEX('My equipment'!$U$4:$U$503,(_calc!$E$57-500)))=0,"",INDEX('My equipment'!$U$4:$U$503,(_calc!$E$57-500)))&amp;". ")&amp;IF(LEN(IF(LEN(INDEX('My equipment'!$V$4:$V$503,(_calc!$E$57-500)))=0,"",INDEX('My equipment'!$V$4:$V$503,(_calc!$E$57-500))))=0,"","Proof on file: "&amp;IF(LEN(INDEX('My equipment'!$V$4:$V$503,(_calc!$E$57-500)))=0,"",INDEX('My equipment'!$V$4:$V$503,(_calc!$E$57-500)))&amp;". ")&amp;IF(LEN(IF(LEN(INDEX('My equipment'!$W$4:$W$503,(_calc!$E$57-500)))=0,"",INDEX('My equipment'!$W$4:$W$503,(_calc!$E$57-500))))=0,"","Claim ref: "&amp;IF(LEN(INDEX('My equipment'!$W$4:$W$503,(_calc!$E$57-500)))=0,"",INDEX('My equipment'!$W$4:$W$503,(_calc!$E$57-500)))&amp;". ")&amp;IF(LEN(IF(LEN(INDEX('My equipment'!$Y$4:$Y$503,(_calc!$E$57-500)))=0,"",INDEX('My equipment'!$Y$4:$Y$503,(_calc!$E$57-500))))=0,"",IF(LEN(INDEX('My equipment'!$Y$4:$Y$503,(_calc!$E$57-500)))=0,"",INDEX('My equipment'!$Y$4:$Y$503,(_calc!$E$57-500)))))))</f>
        <v/>
      </c>
      <c r="G55" s="54">
        <f>IF(_calc!$E$57="","",IF(_calc!$E$57&lt;=500,"",IF(LEN(INDEX('My equipment'!$X$4:$X$503,(_calc!$E$57-500)))=0,"",INDEX('My equipment'!$X$4:$X$503,(_calc!$E$57-500)))))</f>
        <v/>
      </c>
      <c r="K55" s="54">
        <f>IF(_calc!$E$57="","",IF(_calc!$E$57&lt;=500,"",IF(LEN(INDEX('My equipment'!$T$4:$T$503,(_calc!$E$57-500)))=0,"",INDEX('My equipment'!$T$4:$T$503,(_calc!$E$57-500)))))</f>
        <v/>
      </c>
    </row>
    <row r="56">
      <c r="A56" s="54">
        <f>IF(_calc!$E$58="","",IF(_calc!$E$58&lt;=500,"Warranty – "&amp;IF(LEN(INDEX('Dealer pipeline'!$C$4:$C$503,_calc!$E$58))=0,"",INDEX('Dealer pipeline'!$C$4:$C$503,_calc!$E$58))&amp;" – "&amp;IF(LEN(INDEX('Dealer pipeline'!$D$4:$D$503,_calc!$E$58))=0,"",INDEX('Dealer pipeline'!$D$4:$D$503,_calc!$E$58))&amp;" – "&amp;IF(LEN(INDEX('Dealer pipeline'!$A$4:$A$503,_calc!$E$58))=0,"",INDEX('Dealer pipeline'!$A$4:$A$503,_calc!$E$58)),"Warranty – "&amp;IF(LEN(INDEX('My equipment'!$A$4:$A$503,(_calc!$E$58-500)))=0,"",INDEX('My equipment'!$A$4:$A$503,(_calc!$E$58-500)))&amp;" – "&amp;IF(LEN(INDEX('My equipment'!$D$4:$D$503,(_calc!$E$58-500)))=0,"",INDEX('My equipment'!$D$4:$D$503,(_calc!$E$58-500)))))</f>
        <v/>
      </c>
      <c r="B56" s="54">
        <f>IF(_calc!$E$58="","",IF(_calc!$E$58&lt;=500,IF(ISNUMBER(INDEX('Dealer pipeline'!$M$4:$M$503,_calc!$E$58)),TEXT(INDEX('Dealer pipeline'!$M$4:$M$503,_calc!$E$58),"yyyy-mm-dd"),""),IF(ISNUMBER(INDEX('My equipment'!$M$4:$M$503,(_calc!$E$58-500))),TEXT(INDEX('My equipment'!$M$4:$M$503,(_calc!$E$58-500)),"yyyy-mm-dd"),"")))</f>
        <v/>
      </c>
      <c r="C56" s="54">
        <f>IF(_calc!$E$58="","",IF(_calc!$E$58&lt;=500,"Warranty","Warranty"))</f>
        <v/>
      </c>
      <c r="D56" s="54">
        <f>IF(_calc!$E$58="","",IF(_calc!$E$58&lt;=500,IF(ISNUMBER(INDEX('Dealer pipeline'!$H$4:$H$503,_calc!$E$58)),TEXT(INDEX('Dealer pipeline'!$H$4:$H$503,_calc!$E$58),"yyyy-mm-dd"),""),IF(ISNUMBER(INDEX('My equipment'!$H$4:$H$503,(_calc!$E$58-500))),TEXT(INDEX('My equipment'!$H$4:$H$503,(_calc!$E$58-500)),"yyyy-mm-dd"),"")))</f>
        <v/>
      </c>
      <c r="F56" s="54">
        <f>IF(_calc!$E$58="","",IF(_calc!$E$58&lt;=500,TRIM(IF(LEN(IF(LEN(INDEX('Dealer pipeline'!$A$4:$A$503,_calc!$E$58))=0,"",INDEX('Dealer pipeline'!$A$4:$A$503,_calc!$E$58)))=0,"","Customer: "&amp;IF(LEN(INDEX('Dealer pipeline'!$A$4:$A$503,_calc!$E$58))=0,"",INDEX('Dealer pipeline'!$A$4:$A$503,_calc!$E$58))&amp;". ")&amp;IF(LEN(IF(LEN(INDEX('Dealer pipeline'!$B$4:$B$503,_calc!$E$58))=0,"",INDEX('Dealer pipeline'!$B$4:$B$503,_calc!$E$58)))=0,"","Contact: "&amp;IF(LEN(INDEX('Dealer pipeline'!$B$4:$B$503,_calc!$E$58))=0,"",INDEX('Dealer pipeline'!$B$4:$B$503,_calc!$E$58))&amp;". ")&amp;IF(LEN(IF(LEN(INDEX('Dealer pipeline'!$D$4:$D$503,_calc!$E$58))=0,"",INDEX('Dealer pipeline'!$D$4:$D$503,_calc!$E$58)))=0,"","Serial: "&amp;IF(LEN(INDEX('Dealer pipeline'!$D$4:$D$503,_calc!$E$58))=0,"",INDEX('Dealer pipeline'!$D$4:$D$503,_calc!$E$58))&amp;". ")&amp;IF(LEN(IF(ISNUMBER(INDEX('Dealer pipeline'!$J$4:$J$503,_calc!$E$58)),TEXT(INDEX('Dealer pipeline'!$J$4:$J$503,_calc!$E$58),"yyyy-mm-dd"),""))=0,"","Parts end: "&amp;IF(ISNUMBER(INDEX('Dealer pipeline'!$J$4:$J$503,_calc!$E$58)),TEXT(INDEX('Dealer pipeline'!$J$4:$J$503,_calc!$E$58),"yyyy-mm-dd"),"")&amp;". ")&amp;IF(LEN(IF(ISNUMBER(INDEX('Dealer pipeline'!$L$4:$L$503,_calc!$E$58)),TEXT(INDEX('Dealer pipeline'!$L$4:$L$503,_calc!$E$58),"yyyy-mm-dd"),""))=0,"","Labor end: "&amp;IF(ISNUMBER(INDEX('Dealer pipeline'!$L$4:$L$503,_calc!$E$58)),TEXT(INDEX('Dealer pipeline'!$L$4:$L$503,_calc!$E$58),"yyyy-mm-dd"),"")&amp;". ")&amp;IF(LEN(IF(LEN(INDEX('Dealer pipeline'!$Q$4:$Q$503,_calc!$E$58))=0,"",INDEX('Dealer pipeline'!$Q$4:$Q$503,_calc!$E$58)))=0,"","Status: "&amp;IF(LEN(INDEX('Dealer pipeline'!$Q$4:$Q$503,_calc!$E$58))=0,"",INDEX('Dealer pipeline'!$Q$4:$Q$503,_calc!$E$58))&amp;". ")&amp;IF(LEN(IF(LEN(INDEX('Dealer pipeline'!$P$4:$P$503,_calc!$E$58))=0,"",INDEX('Dealer pipeline'!$P$4:$P$503,_calc!$E$58)))=0,"","Last touch: "&amp;IF(LEN(INDEX('Dealer pipeline'!$P$4:$P$503,_calc!$E$58))=0,"",INDEX('Dealer pipeline'!$P$4:$P$503,_calc!$E$58))&amp;". ")&amp;IF(LEN(IF(LEN(INDEX('Dealer pipeline'!$R$4:$R$503,_calc!$E$58))=0,"",INDEX('Dealer pipeline'!$R$4:$R$503,_calc!$E$58)))=0,"","Owner: "&amp;IF(LEN(INDEX('Dealer pipeline'!$R$4:$R$503,_calc!$E$58))=0,"",INDEX('Dealer pipeline'!$R$4:$R$503,_calc!$E$58))&amp;". ")&amp;IF(LEN(IF(LEN(INDEX('Dealer pipeline'!$S$4:$S$503,_calc!$E$58))=0,"",INDEX('Dealer pipeline'!$S$4:$S$503,_calc!$E$58)))=0,"","Backup: "&amp;IF(LEN(INDEX('Dealer pipeline'!$S$4:$S$503,_calc!$E$58))=0,"",INDEX('Dealer pipeline'!$S$4:$S$503,_calc!$E$58))&amp;". ")&amp;IF(LEN(IF(LEN(INDEX('Dealer pipeline'!$T$4:$T$503,_calc!$E$58))=0,"",INDEX('Dealer pipeline'!$T$4:$T$503,_calc!$E$58)))=0,"",IF(LEN(INDEX('Dealer pipeline'!$T$4:$T$503,_calc!$E$58))=0,"",INDEX('Dealer pipeline'!$T$4:$T$503,_calc!$E$58)))),TRIM(IF(LEN(IF(LEN(INDEX('My equipment'!$C$4:$C$503,(_calc!$E$58-500)))=0,"",INDEX('My equipment'!$C$4:$C$503,(_calc!$E$58-500))))=0,"","Model: "&amp;IF(LEN(INDEX('My equipment'!$C$4:$C$503,(_calc!$E$58-500)))=0,"",INDEX('My equipment'!$C$4:$C$503,(_calc!$E$58-500)))&amp;". ")&amp;IF(LEN(IF(LEN(INDEX('My equipment'!$D$4:$D$503,(_calc!$E$58-500)))=0,"",INDEX('My equipment'!$D$4:$D$503,(_calc!$E$58-500))))=0,"","Serial: "&amp;IF(LEN(INDEX('My equipment'!$D$4:$D$503,(_calc!$E$58-500)))=0,"",INDEX('My equipment'!$D$4:$D$503,(_calc!$E$58-500)))&amp;". ")&amp;IF(LEN(IF(ISNUMBER(INDEX('My equipment'!$J$4:$J$503,(_calc!$E$58-500))),TEXT(INDEX('My equipment'!$J$4:$J$503,(_calc!$E$58-500)),"yyyy-mm-dd"),""))=0,"","Parts end: "&amp;IF(ISNUMBER(INDEX('My equipment'!$J$4:$J$503,(_calc!$E$58-500))),TEXT(INDEX('My equipment'!$J$4:$J$503,(_calc!$E$58-500)),"yyyy-mm-dd"),"")&amp;". ")&amp;IF(LEN(IF(ISNUMBER(INDEX('My equipment'!$L$4:$L$503,(_calc!$E$58-500))),TEXT(INDEX('My equipment'!$L$4:$L$503,(_calc!$E$58-500)),"yyyy-mm-dd"),""))=0,"","Labor end: "&amp;IF(ISNUMBER(INDEX('My equipment'!$L$4:$L$503,(_calc!$E$58-500))),TEXT(INDEX('My equipment'!$L$4:$L$503,(_calc!$E$58-500)),"yyyy-mm-dd"),"")&amp;". ")&amp;IF(LEN(IF(ISNUMBER(INDEX('My equipment'!$P$4:$P$503,(_calc!$E$58-500))),TEXT(INDEX('My equipment'!$P$4:$P$503,(_calc!$E$58-500)),"yyyy-mm-dd"),""))=0,"","Check by: "&amp;IF(ISNUMBER(INDEX('My equipment'!$P$4:$P$503,(_calc!$E$58-500))),TEXT(INDEX('My equipment'!$P$4:$P$503,(_calc!$E$58-500)),"yyyy-mm-dd"),"")&amp;". ")&amp;IF(LEN(IF(LEN(INDEX('My equipment'!$Q$4:$Q$503,(_calc!$E$58-500)))=0,"",INDEX('My equipment'!$Q$4:$Q$503,(_calc!$E$58-500))))=0,"","Claim status: "&amp;IF(LEN(INDEX('My equipment'!$Q$4:$Q$503,(_calc!$E$58-500)))=0,"",INDEX('My equipment'!$Q$4:$Q$503,(_calc!$E$58-500)))&amp;". ")&amp;IF(LEN(IF(LEN(INDEX('My equipment'!$R$4:$R$503,(_calc!$E$58-500)))=0,"",INDEX('My equipment'!$R$4:$R$503,(_calc!$E$58-500))))=0,"","Claims contact: "&amp;IF(LEN(INDEX('My equipment'!$R$4:$R$503,(_calc!$E$58-500)))=0,"",INDEX('My equipment'!$R$4:$R$503,(_calc!$E$58-500)))&amp;". ")&amp;IF(LEN(IF(LEN(INDEX('My equipment'!$S$4:$S$503,(_calc!$E$58-500)))=0,"",INDEX('My equipment'!$S$4:$S$503,(_calc!$E$58-500))))=0,"","Claims email: "&amp;IF(LEN(INDEX('My equipment'!$S$4:$S$503,(_calc!$E$58-500)))=0,"",INDEX('My equipment'!$S$4:$S$503,(_calc!$E$58-500)))&amp;". ")&amp;IF(LEN(IF(LEN(INDEX('My equipment'!$U$4:$U$503,(_calc!$E$58-500)))=0,"",INDEX('My equipment'!$U$4:$U$503,(_calc!$E$58-500))))=0,"","Registered: "&amp;IF(LEN(INDEX('My equipment'!$U$4:$U$503,(_calc!$E$58-500)))=0,"",INDEX('My equipment'!$U$4:$U$503,(_calc!$E$58-500)))&amp;". ")&amp;IF(LEN(IF(LEN(INDEX('My equipment'!$V$4:$V$503,(_calc!$E$58-500)))=0,"",INDEX('My equipment'!$V$4:$V$503,(_calc!$E$58-500))))=0,"","Proof on file: "&amp;IF(LEN(INDEX('My equipment'!$V$4:$V$503,(_calc!$E$58-500)))=0,"",INDEX('My equipment'!$V$4:$V$503,(_calc!$E$58-500)))&amp;". ")&amp;IF(LEN(IF(LEN(INDEX('My equipment'!$W$4:$W$503,(_calc!$E$58-500)))=0,"",INDEX('My equipment'!$W$4:$W$503,(_calc!$E$58-500))))=0,"","Claim ref: "&amp;IF(LEN(INDEX('My equipment'!$W$4:$W$503,(_calc!$E$58-500)))=0,"",INDEX('My equipment'!$W$4:$W$503,(_calc!$E$58-500)))&amp;". ")&amp;IF(LEN(IF(LEN(INDEX('My equipment'!$Y$4:$Y$503,(_calc!$E$58-500)))=0,"",INDEX('My equipment'!$Y$4:$Y$503,(_calc!$E$58-500))))=0,"",IF(LEN(INDEX('My equipment'!$Y$4:$Y$503,(_calc!$E$58-500)))=0,"",INDEX('My equipment'!$Y$4:$Y$503,(_calc!$E$58-500)))))))</f>
        <v/>
      </c>
      <c r="G56" s="54">
        <f>IF(_calc!$E$58="","",IF(_calc!$E$58&lt;=500,"",IF(LEN(INDEX('My equipment'!$X$4:$X$503,(_calc!$E$58-500)))=0,"",INDEX('My equipment'!$X$4:$X$503,(_calc!$E$58-500)))))</f>
        <v/>
      </c>
      <c r="K56" s="54">
        <f>IF(_calc!$E$58="","",IF(_calc!$E$58&lt;=500,"",IF(LEN(INDEX('My equipment'!$T$4:$T$503,(_calc!$E$58-500)))=0,"",INDEX('My equipment'!$T$4:$T$503,(_calc!$E$58-500)))))</f>
        <v/>
      </c>
    </row>
    <row r="57">
      <c r="A57" s="54">
        <f>IF(_calc!$E$59="","",IF(_calc!$E$59&lt;=500,"Warranty – "&amp;IF(LEN(INDEX('Dealer pipeline'!$C$4:$C$503,_calc!$E$59))=0,"",INDEX('Dealer pipeline'!$C$4:$C$503,_calc!$E$59))&amp;" – "&amp;IF(LEN(INDEX('Dealer pipeline'!$D$4:$D$503,_calc!$E$59))=0,"",INDEX('Dealer pipeline'!$D$4:$D$503,_calc!$E$59))&amp;" – "&amp;IF(LEN(INDEX('Dealer pipeline'!$A$4:$A$503,_calc!$E$59))=0,"",INDEX('Dealer pipeline'!$A$4:$A$503,_calc!$E$59)),"Warranty – "&amp;IF(LEN(INDEX('My equipment'!$A$4:$A$503,(_calc!$E$59-500)))=0,"",INDEX('My equipment'!$A$4:$A$503,(_calc!$E$59-500)))&amp;" – "&amp;IF(LEN(INDEX('My equipment'!$D$4:$D$503,(_calc!$E$59-500)))=0,"",INDEX('My equipment'!$D$4:$D$503,(_calc!$E$59-500)))))</f>
        <v/>
      </c>
      <c r="B57" s="54">
        <f>IF(_calc!$E$59="","",IF(_calc!$E$59&lt;=500,IF(ISNUMBER(INDEX('Dealer pipeline'!$M$4:$M$503,_calc!$E$59)),TEXT(INDEX('Dealer pipeline'!$M$4:$M$503,_calc!$E$59),"yyyy-mm-dd"),""),IF(ISNUMBER(INDEX('My equipment'!$M$4:$M$503,(_calc!$E$59-500))),TEXT(INDEX('My equipment'!$M$4:$M$503,(_calc!$E$59-500)),"yyyy-mm-dd"),"")))</f>
        <v/>
      </c>
      <c r="C57" s="54">
        <f>IF(_calc!$E$59="","",IF(_calc!$E$59&lt;=500,"Warranty","Warranty"))</f>
        <v/>
      </c>
      <c r="D57" s="54">
        <f>IF(_calc!$E$59="","",IF(_calc!$E$59&lt;=500,IF(ISNUMBER(INDEX('Dealer pipeline'!$H$4:$H$503,_calc!$E$59)),TEXT(INDEX('Dealer pipeline'!$H$4:$H$503,_calc!$E$59),"yyyy-mm-dd"),""),IF(ISNUMBER(INDEX('My equipment'!$H$4:$H$503,(_calc!$E$59-500))),TEXT(INDEX('My equipment'!$H$4:$H$503,(_calc!$E$59-500)),"yyyy-mm-dd"),"")))</f>
        <v/>
      </c>
      <c r="F57" s="54">
        <f>IF(_calc!$E$59="","",IF(_calc!$E$59&lt;=500,TRIM(IF(LEN(IF(LEN(INDEX('Dealer pipeline'!$A$4:$A$503,_calc!$E$59))=0,"",INDEX('Dealer pipeline'!$A$4:$A$503,_calc!$E$59)))=0,"","Customer: "&amp;IF(LEN(INDEX('Dealer pipeline'!$A$4:$A$503,_calc!$E$59))=0,"",INDEX('Dealer pipeline'!$A$4:$A$503,_calc!$E$59))&amp;". ")&amp;IF(LEN(IF(LEN(INDEX('Dealer pipeline'!$B$4:$B$503,_calc!$E$59))=0,"",INDEX('Dealer pipeline'!$B$4:$B$503,_calc!$E$59)))=0,"","Contact: "&amp;IF(LEN(INDEX('Dealer pipeline'!$B$4:$B$503,_calc!$E$59))=0,"",INDEX('Dealer pipeline'!$B$4:$B$503,_calc!$E$59))&amp;". ")&amp;IF(LEN(IF(LEN(INDEX('Dealer pipeline'!$D$4:$D$503,_calc!$E$59))=0,"",INDEX('Dealer pipeline'!$D$4:$D$503,_calc!$E$59)))=0,"","Serial: "&amp;IF(LEN(INDEX('Dealer pipeline'!$D$4:$D$503,_calc!$E$59))=0,"",INDEX('Dealer pipeline'!$D$4:$D$503,_calc!$E$59))&amp;". ")&amp;IF(LEN(IF(ISNUMBER(INDEX('Dealer pipeline'!$J$4:$J$503,_calc!$E$59)),TEXT(INDEX('Dealer pipeline'!$J$4:$J$503,_calc!$E$59),"yyyy-mm-dd"),""))=0,"","Parts end: "&amp;IF(ISNUMBER(INDEX('Dealer pipeline'!$J$4:$J$503,_calc!$E$59)),TEXT(INDEX('Dealer pipeline'!$J$4:$J$503,_calc!$E$59),"yyyy-mm-dd"),"")&amp;". ")&amp;IF(LEN(IF(ISNUMBER(INDEX('Dealer pipeline'!$L$4:$L$503,_calc!$E$59)),TEXT(INDEX('Dealer pipeline'!$L$4:$L$503,_calc!$E$59),"yyyy-mm-dd"),""))=0,"","Labor end: "&amp;IF(ISNUMBER(INDEX('Dealer pipeline'!$L$4:$L$503,_calc!$E$59)),TEXT(INDEX('Dealer pipeline'!$L$4:$L$503,_calc!$E$59),"yyyy-mm-dd"),"")&amp;". ")&amp;IF(LEN(IF(LEN(INDEX('Dealer pipeline'!$Q$4:$Q$503,_calc!$E$59))=0,"",INDEX('Dealer pipeline'!$Q$4:$Q$503,_calc!$E$59)))=0,"","Status: "&amp;IF(LEN(INDEX('Dealer pipeline'!$Q$4:$Q$503,_calc!$E$59))=0,"",INDEX('Dealer pipeline'!$Q$4:$Q$503,_calc!$E$59))&amp;". ")&amp;IF(LEN(IF(LEN(INDEX('Dealer pipeline'!$P$4:$P$503,_calc!$E$59))=0,"",INDEX('Dealer pipeline'!$P$4:$P$503,_calc!$E$59)))=0,"","Last touch: "&amp;IF(LEN(INDEX('Dealer pipeline'!$P$4:$P$503,_calc!$E$59))=0,"",INDEX('Dealer pipeline'!$P$4:$P$503,_calc!$E$59))&amp;". ")&amp;IF(LEN(IF(LEN(INDEX('Dealer pipeline'!$R$4:$R$503,_calc!$E$59))=0,"",INDEX('Dealer pipeline'!$R$4:$R$503,_calc!$E$59)))=0,"","Owner: "&amp;IF(LEN(INDEX('Dealer pipeline'!$R$4:$R$503,_calc!$E$59))=0,"",INDEX('Dealer pipeline'!$R$4:$R$503,_calc!$E$59))&amp;". ")&amp;IF(LEN(IF(LEN(INDEX('Dealer pipeline'!$S$4:$S$503,_calc!$E$59))=0,"",INDEX('Dealer pipeline'!$S$4:$S$503,_calc!$E$59)))=0,"","Backup: "&amp;IF(LEN(INDEX('Dealer pipeline'!$S$4:$S$503,_calc!$E$59))=0,"",INDEX('Dealer pipeline'!$S$4:$S$503,_calc!$E$59))&amp;". ")&amp;IF(LEN(IF(LEN(INDEX('Dealer pipeline'!$T$4:$T$503,_calc!$E$59))=0,"",INDEX('Dealer pipeline'!$T$4:$T$503,_calc!$E$59)))=0,"",IF(LEN(INDEX('Dealer pipeline'!$T$4:$T$503,_calc!$E$59))=0,"",INDEX('Dealer pipeline'!$T$4:$T$503,_calc!$E$59)))),TRIM(IF(LEN(IF(LEN(INDEX('My equipment'!$C$4:$C$503,(_calc!$E$59-500)))=0,"",INDEX('My equipment'!$C$4:$C$503,(_calc!$E$59-500))))=0,"","Model: "&amp;IF(LEN(INDEX('My equipment'!$C$4:$C$503,(_calc!$E$59-500)))=0,"",INDEX('My equipment'!$C$4:$C$503,(_calc!$E$59-500)))&amp;". ")&amp;IF(LEN(IF(LEN(INDEX('My equipment'!$D$4:$D$503,(_calc!$E$59-500)))=0,"",INDEX('My equipment'!$D$4:$D$503,(_calc!$E$59-500))))=0,"","Serial: "&amp;IF(LEN(INDEX('My equipment'!$D$4:$D$503,(_calc!$E$59-500)))=0,"",INDEX('My equipment'!$D$4:$D$503,(_calc!$E$59-500)))&amp;". ")&amp;IF(LEN(IF(ISNUMBER(INDEX('My equipment'!$J$4:$J$503,(_calc!$E$59-500))),TEXT(INDEX('My equipment'!$J$4:$J$503,(_calc!$E$59-500)),"yyyy-mm-dd"),""))=0,"","Parts end: "&amp;IF(ISNUMBER(INDEX('My equipment'!$J$4:$J$503,(_calc!$E$59-500))),TEXT(INDEX('My equipment'!$J$4:$J$503,(_calc!$E$59-500)),"yyyy-mm-dd"),"")&amp;". ")&amp;IF(LEN(IF(ISNUMBER(INDEX('My equipment'!$L$4:$L$503,(_calc!$E$59-500))),TEXT(INDEX('My equipment'!$L$4:$L$503,(_calc!$E$59-500)),"yyyy-mm-dd"),""))=0,"","Labor end: "&amp;IF(ISNUMBER(INDEX('My equipment'!$L$4:$L$503,(_calc!$E$59-500))),TEXT(INDEX('My equipment'!$L$4:$L$503,(_calc!$E$59-500)),"yyyy-mm-dd"),"")&amp;". ")&amp;IF(LEN(IF(ISNUMBER(INDEX('My equipment'!$P$4:$P$503,(_calc!$E$59-500))),TEXT(INDEX('My equipment'!$P$4:$P$503,(_calc!$E$59-500)),"yyyy-mm-dd"),""))=0,"","Check by: "&amp;IF(ISNUMBER(INDEX('My equipment'!$P$4:$P$503,(_calc!$E$59-500))),TEXT(INDEX('My equipment'!$P$4:$P$503,(_calc!$E$59-500)),"yyyy-mm-dd"),"")&amp;". ")&amp;IF(LEN(IF(LEN(INDEX('My equipment'!$Q$4:$Q$503,(_calc!$E$59-500)))=0,"",INDEX('My equipment'!$Q$4:$Q$503,(_calc!$E$59-500))))=0,"","Claim status: "&amp;IF(LEN(INDEX('My equipment'!$Q$4:$Q$503,(_calc!$E$59-500)))=0,"",INDEX('My equipment'!$Q$4:$Q$503,(_calc!$E$59-500)))&amp;". ")&amp;IF(LEN(IF(LEN(INDEX('My equipment'!$R$4:$R$503,(_calc!$E$59-500)))=0,"",INDEX('My equipment'!$R$4:$R$503,(_calc!$E$59-500))))=0,"","Claims contact: "&amp;IF(LEN(INDEX('My equipment'!$R$4:$R$503,(_calc!$E$59-500)))=0,"",INDEX('My equipment'!$R$4:$R$503,(_calc!$E$59-500)))&amp;". ")&amp;IF(LEN(IF(LEN(INDEX('My equipment'!$S$4:$S$503,(_calc!$E$59-500)))=0,"",INDEX('My equipment'!$S$4:$S$503,(_calc!$E$59-500))))=0,"","Claims email: "&amp;IF(LEN(INDEX('My equipment'!$S$4:$S$503,(_calc!$E$59-500)))=0,"",INDEX('My equipment'!$S$4:$S$503,(_calc!$E$59-500)))&amp;". ")&amp;IF(LEN(IF(LEN(INDEX('My equipment'!$U$4:$U$503,(_calc!$E$59-500)))=0,"",INDEX('My equipment'!$U$4:$U$503,(_calc!$E$59-500))))=0,"","Registered: "&amp;IF(LEN(INDEX('My equipment'!$U$4:$U$503,(_calc!$E$59-500)))=0,"",INDEX('My equipment'!$U$4:$U$503,(_calc!$E$59-500)))&amp;". ")&amp;IF(LEN(IF(LEN(INDEX('My equipment'!$V$4:$V$503,(_calc!$E$59-500)))=0,"",INDEX('My equipment'!$V$4:$V$503,(_calc!$E$59-500))))=0,"","Proof on file: "&amp;IF(LEN(INDEX('My equipment'!$V$4:$V$503,(_calc!$E$59-500)))=0,"",INDEX('My equipment'!$V$4:$V$503,(_calc!$E$59-500)))&amp;". ")&amp;IF(LEN(IF(LEN(INDEX('My equipment'!$W$4:$W$503,(_calc!$E$59-500)))=0,"",INDEX('My equipment'!$W$4:$W$503,(_calc!$E$59-500))))=0,"","Claim ref: "&amp;IF(LEN(INDEX('My equipment'!$W$4:$W$503,(_calc!$E$59-500)))=0,"",INDEX('My equipment'!$W$4:$W$503,(_calc!$E$59-500)))&amp;". ")&amp;IF(LEN(IF(LEN(INDEX('My equipment'!$Y$4:$Y$503,(_calc!$E$59-500)))=0,"",INDEX('My equipment'!$Y$4:$Y$503,(_calc!$E$59-500))))=0,"",IF(LEN(INDEX('My equipment'!$Y$4:$Y$503,(_calc!$E$59-500)))=0,"",INDEX('My equipment'!$Y$4:$Y$503,(_calc!$E$59-500)))))))</f>
        <v/>
      </c>
      <c r="G57" s="54">
        <f>IF(_calc!$E$59="","",IF(_calc!$E$59&lt;=500,"",IF(LEN(INDEX('My equipment'!$X$4:$X$503,(_calc!$E$59-500)))=0,"",INDEX('My equipment'!$X$4:$X$503,(_calc!$E$59-500)))))</f>
        <v/>
      </c>
      <c r="K57" s="54">
        <f>IF(_calc!$E$59="","",IF(_calc!$E$59&lt;=500,"",IF(LEN(INDEX('My equipment'!$T$4:$T$503,(_calc!$E$59-500)))=0,"",INDEX('My equipment'!$T$4:$T$503,(_calc!$E$59-500)))))</f>
        <v/>
      </c>
    </row>
    <row r="58">
      <c r="A58" s="54">
        <f>IF(_calc!$E$60="","",IF(_calc!$E$60&lt;=500,"Warranty – "&amp;IF(LEN(INDEX('Dealer pipeline'!$C$4:$C$503,_calc!$E$60))=0,"",INDEX('Dealer pipeline'!$C$4:$C$503,_calc!$E$60))&amp;" – "&amp;IF(LEN(INDEX('Dealer pipeline'!$D$4:$D$503,_calc!$E$60))=0,"",INDEX('Dealer pipeline'!$D$4:$D$503,_calc!$E$60))&amp;" – "&amp;IF(LEN(INDEX('Dealer pipeline'!$A$4:$A$503,_calc!$E$60))=0,"",INDEX('Dealer pipeline'!$A$4:$A$503,_calc!$E$60)),"Warranty – "&amp;IF(LEN(INDEX('My equipment'!$A$4:$A$503,(_calc!$E$60-500)))=0,"",INDEX('My equipment'!$A$4:$A$503,(_calc!$E$60-500)))&amp;" – "&amp;IF(LEN(INDEX('My equipment'!$D$4:$D$503,(_calc!$E$60-500)))=0,"",INDEX('My equipment'!$D$4:$D$503,(_calc!$E$60-500)))))</f>
        <v/>
      </c>
      <c r="B58" s="54">
        <f>IF(_calc!$E$60="","",IF(_calc!$E$60&lt;=500,IF(ISNUMBER(INDEX('Dealer pipeline'!$M$4:$M$503,_calc!$E$60)),TEXT(INDEX('Dealer pipeline'!$M$4:$M$503,_calc!$E$60),"yyyy-mm-dd"),""),IF(ISNUMBER(INDEX('My equipment'!$M$4:$M$503,(_calc!$E$60-500))),TEXT(INDEX('My equipment'!$M$4:$M$503,(_calc!$E$60-500)),"yyyy-mm-dd"),"")))</f>
        <v/>
      </c>
      <c r="C58" s="54">
        <f>IF(_calc!$E$60="","",IF(_calc!$E$60&lt;=500,"Warranty","Warranty"))</f>
        <v/>
      </c>
      <c r="D58" s="54">
        <f>IF(_calc!$E$60="","",IF(_calc!$E$60&lt;=500,IF(ISNUMBER(INDEX('Dealer pipeline'!$H$4:$H$503,_calc!$E$60)),TEXT(INDEX('Dealer pipeline'!$H$4:$H$503,_calc!$E$60),"yyyy-mm-dd"),""),IF(ISNUMBER(INDEX('My equipment'!$H$4:$H$503,(_calc!$E$60-500))),TEXT(INDEX('My equipment'!$H$4:$H$503,(_calc!$E$60-500)),"yyyy-mm-dd"),"")))</f>
        <v/>
      </c>
      <c r="F58" s="54">
        <f>IF(_calc!$E$60="","",IF(_calc!$E$60&lt;=500,TRIM(IF(LEN(IF(LEN(INDEX('Dealer pipeline'!$A$4:$A$503,_calc!$E$60))=0,"",INDEX('Dealer pipeline'!$A$4:$A$503,_calc!$E$60)))=0,"","Customer: "&amp;IF(LEN(INDEX('Dealer pipeline'!$A$4:$A$503,_calc!$E$60))=0,"",INDEX('Dealer pipeline'!$A$4:$A$503,_calc!$E$60))&amp;". ")&amp;IF(LEN(IF(LEN(INDEX('Dealer pipeline'!$B$4:$B$503,_calc!$E$60))=0,"",INDEX('Dealer pipeline'!$B$4:$B$503,_calc!$E$60)))=0,"","Contact: "&amp;IF(LEN(INDEX('Dealer pipeline'!$B$4:$B$503,_calc!$E$60))=0,"",INDEX('Dealer pipeline'!$B$4:$B$503,_calc!$E$60))&amp;". ")&amp;IF(LEN(IF(LEN(INDEX('Dealer pipeline'!$D$4:$D$503,_calc!$E$60))=0,"",INDEX('Dealer pipeline'!$D$4:$D$503,_calc!$E$60)))=0,"","Serial: "&amp;IF(LEN(INDEX('Dealer pipeline'!$D$4:$D$503,_calc!$E$60))=0,"",INDEX('Dealer pipeline'!$D$4:$D$503,_calc!$E$60))&amp;". ")&amp;IF(LEN(IF(ISNUMBER(INDEX('Dealer pipeline'!$J$4:$J$503,_calc!$E$60)),TEXT(INDEX('Dealer pipeline'!$J$4:$J$503,_calc!$E$60),"yyyy-mm-dd"),""))=0,"","Parts end: "&amp;IF(ISNUMBER(INDEX('Dealer pipeline'!$J$4:$J$503,_calc!$E$60)),TEXT(INDEX('Dealer pipeline'!$J$4:$J$503,_calc!$E$60),"yyyy-mm-dd"),"")&amp;". ")&amp;IF(LEN(IF(ISNUMBER(INDEX('Dealer pipeline'!$L$4:$L$503,_calc!$E$60)),TEXT(INDEX('Dealer pipeline'!$L$4:$L$503,_calc!$E$60),"yyyy-mm-dd"),""))=0,"","Labor end: "&amp;IF(ISNUMBER(INDEX('Dealer pipeline'!$L$4:$L$503,_calc!$E$60)),TEXT(INDEX('Dealer pipeline'!$L$4:$L$503,_calc!$E$60),"yyyy-mm-dd"),"")&amp;". ")&amp;IF(LEN(IF(LEN(INDEX('Dealer pipeline'!$Q$4:$Q$503,_calc!$E$60))=0,"",INDEX('Dealer pipeline'!$Q$4:$Q$503,_calc!$E$60)))=0,"","Status: "&amp;IF(LEN(INDEX('Dealer pipeline'!$Q$4:$Q$503,_calc!$E$60))=0,"",INDEX('Dealer pipeline'!$Q$4:$Q$503,_calc!$E$60))&amp;". ")&amp;IF(LEN(IF(LEN(INDEX('Dealer pipeline'!$P$4:$P$503,_calc!$E$60))=0,"",INDEX('Dealer pipeline'!$P$4:$P$503,_calc!$E$60)))=0,"","Last touch: "&amp;IF(LEN(INDEX('Dealer pipeline'!$P$4:$P$503,_calc!$E$60))=0,"",INDEX('Dealer pipeline'!$P$4:$P$503,_calc!$E$60))&amp;". ")&amp;IF(LEN(IF(LEN(INDEX('Dealer pipeline'!$R$4:$R$503,_calc!$E$60))=0,"",INDEX('Dealer pipeline'!$R$4:$R$503,_calc!$E$60)))=0,"","Owner: "&amp;IF(LEN(INDEX('Dealer pipeline'!$R$4:$R$503,_calc!$E$60))=0,"",INDEX('Dealer pipeline'!$R$4:$R$503,_calc!$E$60))&amp;". ")&amp;IF(LEN(IF(LEN(INDEX('Dealer pipeline'!$S$4:$S$503,_calc!$E$60))=0,"",INDEX('Dealer pipeline'!$S$4:$S$503,_calc!$E$60)))=0,"","Backup: "&amp;IF(LEN(INDEX('Dealer pipeline'!$S$4:$S$503,_calc!$E$60))=0,"",INDEX('Dealer pipeline'!$S$4:$S$503,_calc!$E$60))&amp;". ")&amp;IF(LEN(IF(LEN(INDEX('Dealer pipeline'!$T$4:$T$503,_calc!$E$60))=0,"",INDEX('Dealer pipeline'!$T$4:$T$503,_calc!$E$60)))=0,"",IF(LEN(INDEX('Dealer pipeline'!$T$4:$T$503,_calc!$E$60))=0,"",INDEX('Dealer pipeline'!$T$4:$T$503,_calc!$E$60)))),TRIM(IF(LEN(IF(LEN(INDEX('My equipment'!$C$4:$C$503,(_calc!$E$60-500)))=0,"",INDEX('My equipment'!$C$4:$C$503,(_calc!$E$60-500))))=0,"","Model: "&amp;IF(LEN(INDEX('My equipment'!$C$4:$C$503,(_calc!$E$60-500)))=0,"",INDEX('My equipment'!$C$4:$C$503,(_calc!$E$60-500)))&amp;". ")&amp;IF(LEN(IF(LEN(INDEX('My equipment'!$D$4:$D$503,(_calc!$E$60-500)))=0,"",INDEX('My equipment'!$D$4:$D$503,(_calc!$E$60-500))))=0,"","Serial: "&amp;IF(LEN(INDEX('My equipment'!$D$4:$D$503,(_calc!$E$60-500)))=0,"",INDEX('My equipment'!$D$4:$D$503,(_calc!$E$60-500)))&amp;". ")&amp;IF(LEN(IF(ISNUMBER(INDEX('My equipment'!$J$4:$J$503,(_calc!$E$60-500))),TEXT(INDEX('My equipment'!$J$4:$J$503,(_calc!$E$60-500)),"yyyy-mm-dd"),""))=0,"","Parts end: "&amp;IF(ISNUMBER(INDEX('My equipment'!$J$4:$J$503,(_calc!$E$60-500))),TEXT(INDEX('My equipment'!$J$4:$J$503,(_calc!$E$60-500)),"yyyy-mm-dd"),"")&amp;". ")&amp;IF(LEN(IF(ISNUMBER(INDEX('My equipment'!$L$4:$L$503,(_calc!$E$60-500))),TEXT(INDEX('My equipment'!$L$4:$L$503,(_calc!$E$60-500)),"yyyy-mm-dd"),""))=0,"","Labor end: "&amp;IF(ISNUMBER(INDEX('My equipment'!$L$4:$L$503,(_calc!$E$60-500))),TEXT(INDEX('My equipment'!$L$4:$L$503,(_calc!$E$60-500)),"yyyy-mm-dd"),"")&amp;". ")&amp;IF(LEN(IF(ISNUMBER(INDEX('My equipment'!$P$4:$P$503,(_calc!$E$60-500))),TEXT(INDEX('My equipment'!$P$4:$P$503,(_calc!$E$60-500)),"yyyy-mm-dd"),""))=0,"","Check by: "&amp;IF(ISNUMBER(INDEX('My equipment'!$P$4:$P$503,(_calc!$E$60-500))),TEXT(INDEX('My equipment'!$P$4:$P$503,(_calc!$E$60-500)),"yyyy-mm-dd"),"")&amp;". ")&amp;IF(LEN(IF(LEN(INDEX('My equipment'!$Q$4:$Q$503,(_calc!$E$60-500)))=0,"",INDEX('My equipment'!$Q$4:$Q$503,(_calc!$E$60-500))))=0,"","Claim status: "&amp;IF(LEN(INDEX('My equipment'!$Q$4:$Q$503,(_calc!$E$60-500)))=0,"",INDEX('My equipment'!$Q$4:$Q$503,(_calc!$E$60-500)))&amp;". ")&amp;IF(LEN(IF(LEN(INDEX('My equipment'!$R$4:$R$503,(_calc!$E$60-500)))=0,"",INDEX('My equipment'!$R$4:$R$503,(_calc!$E$60-500))))=0,"","Claims contact: "&amp;IF(LEN(INDEX('My equipment'!$R$4:$R$503,(_calc!$E$60-500)))=0,"",INDEX('My equipment'!$R$4:$R$503,(_calc!$E$60-500)))&amp;". ")&amp;IF(LEN(IF(LEN(INDEX('My equipment'!$S$4:$S$503,(_calc!$E$60-500)))=0,"",INDEX('My equipment'!$S$4:$S$503,(_calc!$E$60-500))))=0,"","Claims email: "&amp;IF(LEN(INDEX('My equipment'!$S$4:$S$503,(_calc!$E$60-500)))=0,"",INDEX('My equipment'!$S$4:$S$503,(_calc!$E$60-500)))&amp;". ")&amp;IF(LEN(IF(LEN(INDEX('My equipment'!$U$4:$U$503,(_calc!$E$60-500)))=0,"",INDEX('My equipment'!$U$4:$U$503,(_calc!$E$60-500))))=0,"","Registered: "&amp;IF(LEN(INDEX('My equipment'!$U$4:$U$503,(_calc!$E$60-500)))=0,"",INDEX('My equipment'!$U$4:$U$503,(_calc!$E$60-500)))&amp;". ")&amp;IF(LEN(IF(LEN(INDEX('My equipment'!$V$4:$V$503,(_calc!$E$60-500)))=0,"",INDEX('My equipment'!$V$4:$V$503,(_calc!$E$60-500))))=0,"","Proof on file: "&amp;IF(LEN(INDEX('My equipment'!$V$4:$V$503,(_calc!$E$60-500)))=0,"",INDEX('My equipment'!$V$4:$V$503,(_calc!$E$60-500)))&amp;". ")&amp;IF(LEN(IF(LEN(INDEX('My equipment'!$W$4:$W$503,(_calc!$E$60-500)))=0,"",INDEX('My equipment'!$W$4:$W$503,(_calc!$E$60-500))))=0,"","Claim ref: "&amp;IF(LEN(INDEX('My equipment'!$W$4:$W$503,(_calc!$E$60-500)))=0,"",INDEX('My equipment'!$W$4:$W$503,(_calc!$E$60-500)))&amp;". ")&amp;IF(LEN(IF(LEN(INDEX('My equipment'!$Y$4:$Y$503,(_calc!$E$60-500)))=0,"",INDEX('My equipment'!$Y$4:$Y$503,(_calc!$E$60-500))))=0,"",IF(LEN(INDEX('My equipment'!$Y$4:$Y$503,(_calc!$E$60-500)))=0,"",INDEX('My equipment'!$Y$4:$Y$503,(_calc!$E$60-500)))))))</f>
        <v/>
      </c>
      <c r="G58" s="54">
        <f>IF(_calc!$E$60="","",IF(_calc!$E$60&lt;=500,"",IF(LEN(INDEX('My equipment'!$X$4:$X$503,(_calc!$E$60-500)))=0,"",INDEX('My equipment'!$X$4:$X$503,(_calc!$E$60-500)))))</f>
        <v/>
      </c>
      <c r="K58" s="54">
        <f>IF(_calc!$E$60="","",IF(_calc!$E$60&lt;=500,"",IF(LEN(INDEX('My equipment'!$T$4:$T$503,(_calc!$E$60-500)))=0,"",INDEX('My equipment'!$T$4:$T$503,(_calc!$E$60-500)))))</f>
        <v/>
      </c>
    </row>
    <row r="59">
      <c r="A59" s="54">
        <f>IF(_calc!$E$61="","",IF(_calc!$E$61&lt;=500,"Warranty – "&amp;IF(LEN(INDEX('Dealer pipeline'!$C$4:$C$503,_calc!$E$61))=0,"",INDEX('Dealer pipeline'!$C$4:$C$503,_calc!$E$61))&amp;" – "&amp;IF(LEN(INDEX('Dealer pipeline'!$D$4:$D$503,_calc!$E$61))=0,"",INDEX('Dealer pipeline'!$D$4:$D$503,_calc!$E$61))&amp;" – "&amp;IF(LEN(INDEX('Dealer pipeline'!$A$4:$A$503,_calc!$E$61))=0,"",INDEX('Dealer pipeline'!$A$4:$A$503,_calc!$E$61)),"Warranty – "&amp;IF(LEN(INDEX('My equipment'!$A$4:$A$503,(_calc!$E$61-500)))=0,"",INDEX('My equipment'!$A$4:$A$503,(_calc!$E$61-500)))&amp;" – "&amp;IF(LEN(INDEX('My equipment'!$D$4:$D$503,(_calc!$E$61-500)))=0,"",INDEX('My equipment'!$D$4:$D$503,(_calc!$E$61-500)))))</f>
        <v/>
      </c>
      <c r="B59" s="54">
        <f>IF(_calc!$E$61="","",IF(_calc!$E$61&lt;=500,IF(ISNUMBER(INDEX('Dealer pipeline'!$M$4:$M$503,_calc!$E$61)),TEXT(INDEX('Dealer pipeline'!$M$4:$M$503,_calc!$E$61),"yyyy-mm-dd"),""),IF(ISNUMBER(INDEX('My equipment'!$M$4:$M$503,(_calc!$E$61-500))),TEXT(INDEX('My equipment'!$M$4:$M$503,(_calc!$E$61-500)),"yyyy-mm-dd"),"")))</f>
        <v/>
      </c>
      <c r="C59" s="54">
        <f>IF(_calc!$E$61="","",IF(_calc!$E$61&lt;=500,"Warranty","Warranty"))</f>
        <v/>
      </c>
      <c r="D59" s="54">
        <f>IF(_calc!$E$61="","",IF(_calc!$E$61&lt;=500,IF(ISNUMBER(INDEX('Dealer pipeline'!$H$4:$H$503,_calc!$E$61)),TEXT(INDEX('Dealer pipeline'!$H$4:$H$503,_calc!$E$61),"yyyy-mm-dd"),""),IF(ISNUMBER(INDEX('My equipment'!$H$4:$H$503,(_calc!$E$61-500))),TEXT(INDEX('My equipment'!$H$4:$H$503,(_calc!$E$61-500)),"yyyy-mm-dd"),"")))</f>
        <v/>
      </c>
      <c r="F59" s="54">
        <f>IF(_calc!$E$61="","",IF(_calc!$E$61&lt;=500,TRIM(IF(LEN(IF(LEN(INDEX('Dealer pipeline'!$A$4:$A$503,_calc!$E$61))=0,"",INDEX('Dealer pipeline'!$A$4:$A$503,_calc!$E$61)))=0,"","Customer: "&amp;IF(LEN(INDEX('Dealer pipeline'!$A$4:$A$503,_calc!$E$61))=0,"",INDEX('Dealer pipeline'!$A$4:$A$503,_calc!$E$61))&amp;". ")&amp;IF(LEN(IF(LEN(INDEX('Dealer pipeline'!$B$4:$B$503,_calc!$E$61))=0,"",INDEX('Dealer pipeline'!$B$4:$B$503,_calc!$E$61)))=0,"","Contact: "&amp;IF(LEN(INDEX('Dealer pipeline'!$B$4:$B$503,_calc!$E$61))=0,"",INDEX('Dealer pipeline'!$B$4:$B$503,_calc!$E$61))&amp;". ")&amp;IF(LEN(IF(LEN(INDEX('Dealer pipeline'!$D$4:$D$503,_calc!$E$61))=0,"",INDEX('Dealer pipeline'!$D$4:$D$503,_calc!$E$61)))=0,"","Serial: "&amp;IF(LEN(INDEX('Dealer pipeline'!$D$4:$D$503,_calc!$E$61))=0,"",INDEX('Dealer pipeline'!$D$4:$D$503,_calc!$E$61))&amp;". ")&amp;IF(LEN(IF(ISNUMBER(INDEX('Dealer pipeline'!$J$4:$J$503,_calc!$E$61)),TEXT(INDEX('Dealer pipeline'!$J$4:$J$503,_calc!$E$61),"yyyy-mm-dd"),""))=0,"","Parts end: "&amp;IF(ISNUMBER(INDEX('Dealer pipeline'!$J$4:$J$503,_calc!$E$61)),TEXT(INDEX('Dealer pipeline'!$J$4:$J$503,_calc!$E$61),"yyyy-mm-dd"),"")&amp;". ")&amp;IF(LEN(IF(ISNUMBER(INDEX('Dealer pipeline'!$L$4:$L$503,_calc!$E$61)),TEXT(INDEX('Dealer pipeline'!$L$4:$L$503,_calc!$E$61),"yyyy-mm-dd"),""))=0,"","Labor end: "&amp;IF(ISNUMBER(INDEX('Dealer pipeline'!$L$4:$L$503,_calc!$E$61)),TEXT(INDEX('Dealer pipeline'!$L$4:$L$503,_calc!$E$61),"yyyy-mm-dd"),"")&amp;". ")&amp;IF(LEN(IF(LEN(INDEX('Dealer pipeline'!$Q$4:$Q$503,_calc!$E$61))=0,"",INDEX('Dealer pipeline'!$Q$4:$Q$503,_calc!$E$61)))=0,"","Status: "&amp;IF(LEN(INDEX('Dealer pipeline'!$Q$4:$Q$503,_calc!$E$61))=0,"",INDEX('Dealer pipeline'!$Q$4:$Q$503,_calc!$E$61))&amp;". ")&amp;IF(LEN(IF(LEN(INDEX('Dealer pipeline'!$P$4:$P$503,_calc!$E$61))=0,"",INDEX('Dealer pipeline'!$P$4:$P$503,_calc!$E$61)))=0,"","Last touch: "&amp;IF(LEN(INDEX('Dealer pipeline'!$P$4:$P$503,_calc!$E$61))=0,"",INDEX('Dealer pipeline'!$P$4:$P$503,_calc!$E$61))&amp;". ")&amp;IF(LEN(IF(LEN(INDEX('Dealer pipeline'!$R$4:$R$503,_calc!$E$61))=0,"",INDEX('Dealer pipeline'!$R$4:$R$503,_calc!$E$61)))=0,"","Owner: "&amp;IF(LEN(INDEX('Dealer pipeline'!$R$4:$R$503,_calc!$E$61))=0,"",INDEX('Dealer pipeline'!$R$4:$R$503,_calc!$E$61))&amp;". ")&amp;IF(LEN(IF(LEN(INDEX('Dealer pipeline'!$S$4:$S$503,_calc!$E$61))=0,"",INDEX('Dealer pipeline'!$S$4:$S$503,_calc!$E$61)))=0,"","Backup: "&amp;IF(LEN(INDEX('Dealer pipeline'!$S$4:$S$503,_calc!$E$61))=0,"",INDEX('Dealer pipeline'!$S$4:$S$503,_calc!$E$61))&amp;". ")&amp;IF(LEN(IF(LEN(INDEX('Dealer pipeline'!$T$4:$T$503,_calc!$E$61))=0,"",INDEX('Dealer pipeline'!$T$4:$T$503,_calc!$E$61)))=0,"",IF(LEN(INDEX('Dealer pipeline'!$T$4:$T$503,_calc!$E$61))=0,"",INDEX('Dealer pipeline'!$T$4:$T$503,_calc!$E$61)))),TRIM(IF(LEN(IF(LEN(INDEX('My equipment'!$C$4:$C$503,(_calc!$E$61-500)))=0,"",INDEX('My equipment'!$C$4:$C$503,(_calc!$E$61-500))))=0,"","Model: "&amp;IF(LEN(INDEX('My equipment'!$C$4:$C$503,(_calc!$E$61-500)))=0,"",INDEX('My equipment'!$C$4:$C$503,(_calc!$E$61-500)))&amp;". ")&amp;IF(LEN(IF(LEN(INDEX('My equipment'!$D$4:$D$503,(_calc!$E$61-500)))=0,"",INDEX('My equipment'!$D$4:$D$503,(_calc!$E$61-500))))=0,"","Serial: "&amp;IF(LEN(INDEX('My equipment'!$D$4:$D$503,(_calc!$E$61-500)))=0,"",INDEX('My equipment'!$D$4:$D$503,(_calc!$E$61-500)))&amp;". ")&amp;IF(LEN(IF(ISNUMBER(INDEX('My equipment'!$J$4:$J$503,(_calc!$E$61-500))),TEXT(INDEX('My equipment'!$J$4:$J$503,(_calc!$E$61-500)),"yyyy-mm-dd"),""))=0,"","Parts end: "&amp;IF(ISNUMBER(INDEX('My equipment'!$J$4:$J$503,(_calc!$E$61-500))),TEXT(INDEX('My equipment'!$J$4:$J$503,(_calc!$E$61-500)),"yyyy-mm-dd"),"")&amp;". ")&amp;IF(LEN(IF(ISNUMBER(INDEX('My equipment'!$L$4:$L$503,(_calc!$E$61-500))),TEXT(INDEX('My equipment'!$L$4:$L$503,(_calc!$E$61-500)),"yyyy-mm-dd"),""))=0,"","Labor end: "&amp;IF(ISNUMBER(INDEX('My equipment'!$L$4:$L$503,(_calc!$E$61-500))),TEXT(INDEX('My equipment'!$L$4:$L$503,(_calc!$E$61-500)),"yyyy-mm-dd"),"")&amp;". ")&amp;IF(LEN(IF(ISNUMBER(INDEX('My equipment'!$P$4:$P$503,(_calc!$E$61-500))),TEXT(INDEX('My equipment'!$P$4:$P$503,(_calc!$E$61-500)),"yyyy-mm-dd"),""))=0,"","Check by: "&amp;IF(ISNUMBER(INDEX('My equipment'!$P$4:$P$503,(_calc!$E$61-500))),TEXT(INDEX('My equipment'!$P$4:$P$503,(_calc!$E$61-500)),"yyyy-mm-dd"),"")&amp;". ")&amp;IF(LEN(IF(LEN(INDEX('My equipment'!$Q$4:$Q$503,(_calc!$E$61-500)))=0,"",INDEX('My equipment'!$Q$4:$Q$503,(_calc!$E$61-500))))=0,"","Claim status: "&amp;IF(LEN(INDEX('My equipment'!$Q$4:$Q$503,(_calc!$E$61-500)))=0,"",INDEX('My equipment'!$Q$4:$Q$503,(_calc!$E$61-500)))&amp;". ")&amp;IF(LEN(IF(LEN(INDEX('My equipment'!$R$4:$R$503,(_calc!$E$61-500)))=0,"",INDEX('My equipment'!$R$4:$R$503,(_calc!$E$61-500))))=0,"","Claims contact: "&amp;IF(LEN(INDEX('My equipment'!$R$4:$R$503,(_calc!$E$61-500)))=0,"",INDEX('My equipment'!$R$4:$R$503,(_calc!$E$61-500)))&amp;". ")&amp;IF(LEN(IF(LEN(INDEX('My equipment'!$S$4:$S$503,(_calc!$E$61-500)))=0,"",INDEX('My equipment'!$S$4:$S$503,(_calc!$E$61-500))))=0,"","Claims email: "&amp;IF(LEN(INDEX('My equipment'!$S$4:$S$503,(_calc!$E$61-500)))=0,"",INDEX('My equipment'!$S$4:$S$503,(_calc!$E$61-500)))&amp;". ")&amp;IF(LEN(IF(LEN(INDEX('My equipment'!$U$4:$U$503,(_calc!$E$61-500)))=0,"",INDEX('My equipment'!$U$4:$U$503,(_calc!$E$61-500))))=0,"","Registered: "&amp;IF(LEN(INDEX('My equipment'!$U$4:$U$503,(_calc!$E$61-500)))=0,"",INDEX('My equipment'!$U$4:$U$503,(_calc!$E$61-500)))&amp;". ")&amp;IF(LEN(IF(LEN(INDEX('My equipment'!$V$4:$V$503,(_calc!$E$61-500)))=0,"",INDEX('My equipment'!$V$4:$V$503,(_calc!$E$61-500))))=0,"","Proof on file: "&amp;IF(LEN(INDEX('My equipment'!$V$4:$V$503,(_calc!$E$61-500)))=0,"",INDEX('My equipment'!$V$4:$V$503,(_calc!$E$61-500)))&amp;". ")&amp;IF(LEN(IF(LEN(INDEX('My equipment'!$W$4:$W$503,(_calc!$E$61-500)))=0,"",INDEX('My equipment'!$W$4:$W$503,(_calc!$E$61-500))))=0,"","Claim ref: "&amp;IF(LEN(INDEX('My equipment'!$W$4:$W$503,(_calc!$E$61-500)))=0,"",INDEX('My equipment'!$W$4:$W$503,(_calc!$E$61-500)))&amp;". ")&amp;IF(LEN(IF(LEN(INDEX('My equipment'!$Y$4:$Y$503,(_calc!$E$61-500)))=0,"",INDEX('My equipment'!$Y$4:$Y$503,(_calc!$E$61-500))))=0,"",IF(LEN(INDEX('My equipment'!$Y$4:$Y$503,(_calc!$E$61-500)))=0,"",INDEX('My equipment'!$Y$4:$Y$503,(_calc!$E$61-500)))))))</f>
        <v/>
      </c>
      <c r="G59" s="54">
        <f>IF(_calc!$E$61="","",IF(_calc!$E$61&lt;=500,"",IF(LEN(INDEX('My equipment'!$X$4:$X$503,(_calc!$E$61-500)))=0,"",INDEX('My equipment'!$X$4:$X$503,(_calc!$E$61-500)))))</f>
        <v/>
      </c>
      <c r="K59" s="54">
        <f>IF(_calc!$E$61="","",IF(_calc!$E$61&lt;=500,"",IF(LEN(INDEX('My equipment'!$T$4:$T$503,(_calc!$E$61-500)))=0,"",INDEX('My equipment'!$T$4:$T$503,(_calc!$E$61-500)))))</f>
        <v/>
      </c>
    </row>
    <row r="60">
      <c r="A60" s="54">
        <f>IF(_calc!$E$62="","",IF(_calc!$E$62&lt;=500,"Warranty – "&amp;IF(LEN(INDEX('Dealer pipeline'!$C$4:$C$503,_calc!$E$62))=0,"",INDEX('Dealer pipeline'!$C$4:$C$503,_calc!$E$62))&amp;" – "&amp;IF(LEN(INDEX('Dealer pipeline'!$D$4:$D$503,_calc!$E$62))=0,"",INDEX('Dealer pipeline'!$D$4:$D$503,_calc!$E$62))&amp;" – "&amp;IF(LEN(INDEX('Dealer pipeline'!$A$4:$A$503,_calc!$E$62))=0,"",INDEX('Dealer pipeline'!$A$4:$A$503,_calc!$E$62)),"Warranty – "&amp;IF(LEN(INDEX('My equipment'!$A$4:$A$503,(_calc!$E$62-500)))=0,"",INDEX('My equipment'!$A$4:$A$503,(_calc!$E$62-500)))&amp;" – "&amp;IF(LEN(INDEX('My equipment'!$D$4:$D$503,(_calc!$E$62-500)))=0,"",INDEX('My equipment'!$D$4:$D$503,(_calc!$E$62-500)))))</f>
        <v/>
      </c>
      <c r="B60" s="54">
        <f>IF(_calc!$E$62="","",IF(_calc!$E$62&lt;=500,IF(ISNUMBER(INDEX('Dealer pipeline'!$M$4:$M$503,_calc!$E$62)),TEXT(INDEX('Dealer pipeline'!$M$4:$M$503,_calc!$E$62),"yyyy-mm-dd"),""),IF(ISNUMBER(INDEX('My equipment'!$M$4:$M$503,(_calc!$E$62-500))),TEXT(INDEX('My equipment'!$M$4:$M$503,(_calc!$E$62-500)),"yyyy-mm-dd"),"")))</f>
        <v/>
      </c>
      <c r="C60" s="54">
        <f>IF(_calc!$E$62="","",IF(_calc!$E$62&lt;=500,"Warranty","Warranty"))</f>
        <v/>
      </c>
      <c r="D60" s="54">
        <f>IF(_calc!$E$62="","",IF(_calc!$E$62&lt;=500,IF(ISNUMBER(INDEX('Dealer pipeline'!$H$4:$H$503,_calc!$E$62)),TEXT(INDEX('Dealer pipeline'!$H$4:$H$503,_calc!$E$62),"yyyy-mm-dd"),""),IF(ISNUMBER(INDEX('My equipment'!$H$4:$H$503,(_calc!$E$62-500))),TEXT(INDEX('My equipment'!$H$4:$H$503,(_calc!$E$62-500)),"yyyy-mm-dd"),"")))</f>
        <v/>
      </c>
      <c r="F60" s="54">
        <f>IF(_calc!$E$62="","",IF(_calc!$E$62&lt;=500,TRIM(IF(LEN(IF(LEN(INDEX('Dealer pipeline'!$A$4:$A$503,_calc!$E$62))=0,"",INDEX('Dealer pipeline'!$A$4:$A$503,_calc!$E$62)))=0,"","Customer: "&amp;IF(LEN(INDEX('Dealer pipeline'!$A$4:$A$503,_calc!$E$62))=0,"",INDEX('Dealer pipeline'!$A$4:$A$503,_calc!$E$62))&amp;". ")&amp;IF(LEN(IF(LEN(INDEX('Dealer pipeline'!$B$4:$B$503,_calc!$E$62))=0,"",INDEX('Dealer pipeline'!$B$4:$B$503,_calc!$E$62)))=0,"","Contact: "&amp;IF(LEN(INDEX('Dealer pipeline'!$B$4:$B$503,_calc!$E$62))=0,"",INDEX('Dealer pipeline'!$B$4:$B$503,_calc!$E$62))&amp;". ")&amp;IF(LEN(IF(LEN(INDEX('Dealer pipeline'!$D$4:$D$503,_calc!$E$62))=0,"",INDEX('Dealer pipeline'!$D$4:$D$503,_calc!$E$62)))=0,"","Serial: "&amp;IF(LEN(INDEX('Dealer pipeline'!$D$4:$D$503,_calc!$E$62))=0,"",INDEX('Dealer pipeline'!$D$4:$D$503,_calc!$E$62))&amp;". ")&amp;IF(LEN(IF(ISNUMBER(INDEX('Dealer pipeline'!$J$4:$J$503,_calc!$E$62)),TEXT(INDEX('Dealer pipeline'!$J$4:$J$503,_calc!$E$62),"yyyy-mm-dd"),""))=0,"","Parts end: "&amp;IF(ISNUMBER(INDEX('Dealer pipeline'!$J$4:$J$503,_calc!$E$62)),TEXT(INDEX('Dealer pipeline'!$J$4:$J$503,_calc!$E$62),"yyyy-mm-dd"),"")&amp;". ")&amp;IF(LEN(IF(ISNUMBER(INDEX('Dealer pipeline'!$L$4:$L$503,_calc!$E$62)),TEXT(INDEX('Dealer pipeline'!$L$4:$L$503,_calc!$E$62),"yyyy-mm-dd"),""))=0,"","Labor end: "&amp;IF(ISNUMBER(INDEX('Dealer pipeline'!$L$4:$L$503,_calc!$E$62)),TEXT(INDEX('Dealer pipeline'!$L$4:$L$503,_calc!$E$62),"yyyy-mm-dd"),"")&amp;". ")&amp;IF(LEN(IF(LEN(INDEX('Dealer pipeline'!$Q$4:$Q$503,_calc!$E$62))=0,"",INDEX('Dealer pipeline'!$Q$4:$Q$503,_calc!$E$62)))=0,"","Status: "&amp;IF(LEN(INDEX('Dealer pipeline'!$Q$4:$Q$503,_calc!$E$62))=0,"",INDEX('Dealer pipeline'!$Q$4:$Q$503,_calc!$E$62))&amp;". ")&amp;IF(LEN(IF(LEN(INDEX('Dealer pipeline'!$P$4:$P$503,_calc!$E$62))=0,"",INDEX('Dealer pipeline'!$P$4:$P$503,_calc!$E$62)))=0,"","Last touch: "&amp;IF(LEN(INDEX('Dealer pipeline'!$P$4:$P$503,_calc!$E$62))=0,"",INDEX('Dealer pipeline'!$P$4:$P$503,_calc!$E$62))&amp;". ")&amp;IF(LEN(IF(LEN(INDEX('Dealer pipeline'!$R$4:$R$503,_calc!$E$62))=0,"",INDEX('Dealer pipeline'!$R$4:$R$503,_calc!$E$62)))=0,"","Owner: "&amp;IF(LEN(INDEX('Dealer pipeline'!$R$4:$R$503,_calc!$E$62))=0,"",INDEX('Dealer pipeline'!$R$4:$R$503,_calc!$E$62))&amp;". ")&amp;IF(LEN(IF(LEN(INDEX('Dealer pipeline'!$S$4:$S$503,_calc!$E$62))=0,"",INDEX('Dealer pipeline'!$S$4:$S$503,_calc!$E$62)))=0,"","Backup: "&amp;IF(LEN(INDEX('Dealer pipeline'!$S$4:$S$503,_calc!$E$62))=0,"",INDEX('Dealer pipeline'!$S$4:$S$503,_calc!$E$62))&amp;". ")&amp;IF(LEN(IF(LEN(INDEX('Dealer pipeline'!$T$4:$T$503,_calc!$E$62))=0,"",INDEX('Dealer pipeline'!$T$4:$T$503,_calc!$E$62)))=0,"",IF(LEN(INDEX('Dealer pipeline'!$T$4:$T$503,_calc!$E$62))=0,"",INDEX('Dealer pipeline'!$T$4:$T$503,_calc!$E$62)))),TRIM(IF(LEN(IF(LEN(INDEX('My equipment'!$C$4:$C$503,(_calc!$E$62-500)))=0,"",INDEX('My equipment'!$C$4:$C$503,(_calc!$E$62-500))))=0,"","Model: "&amp;IF(LEN(INDEX('My equipment'!$C$4:$C$503,(_calc!$E$62-500)))=0,"",INDEX('My equipment'!$C$4:$C$503,(_calc!$E$62-500)))&amp;". ")&amp;IF(LEN(IF(LEN(INDEX('My equipment'!$D$4:$D$503,(_calc!$E$62-500)))=0,"",INDEX('My equipment'!$D$4:$D$503,(_calc!$E$62-500))))=0,"","Serial: "&amp;IF(LEN(INDEX('My equipment'!$D$4:$D$503,(_calc!$E$62-500)))=0,"",INDEX('My equipment'!$D$4:$D$503,(_calc!$E$62-500)))&amp;". ")&amp;IF(LEN(IF(ISNUMBER(INDEX('My equipment'!$J$4:$J$503,(_calc!$E$62-500))),TEXT(INDEX('My equipment'!$J$4:$J$503,(_calc!$E$62-500)),"yyyy-mm-dd"),""))=0,"","Parts end: "&amp;IF(ISNUMBER(INDEX('My equipment'!$J$4:$J$503,(_calc!$E$62-500))),TEXT(INDEX('My equipment'!$J$4:$J$503,(_calc!$E$62-500)),"yyyy-mm-dd"),"")&amp;". ")&amp;IF(LEN(IF(ISNUMBER(INDEX('My equipment'!$L$4:$L$503,(_calc!$E$62-500))),TEXT(INDEX('My equipment'!$L$4:$L$503,(_calc!$E$62-500)),"yyyy-mm-dd"),""))=0,"","Labor end: "&amp;IF(ISNUMBER(INDEX('My equipment'!$L$4:$L$503,(_calc!$E$62-500))),TEXT(INDEX('My equipment'!$L$4:$L$503,(_calc!$E$62-500)),"yyyy-mm-dd"),"")&amp;". ")&amp;IF(LEN(IF(ISNUMBER(INDEX('My equipment'!$P$4:$P$503,(_calc!$E$62-500))),TEXT(INDEX('My equipment'!$P$4:$P$503,(_calc!$E$62-500)),"yyyy-mm-dd"),""))=0,"","Check by: "&amp;IF(ISNUMBER(INDEX('My equipment'!$P$4:$P$503,(_calc!$E$62-500))),TEXT(INDEX('My equipment'!$P$4:$P$503,(_calc!$E$62-500)),"yyyy-mm-dd"),"")&amp;". ")&amp;IF(LEN(IF(LEN(INDEX('My equipment'!$Q$4:$Q$503,(_calc!$E$62-500)))=0,"",INDEX('My equipment'!$Q$4:$Q$503,(_calc!$E$62-500))))=0,"","Claim status: "&amp;IF(LEN(INDEX('My equipment'!$Q$4:$Q$503,(_calc!$E$62-500)))=0,"",INDEX('My equipment'!$Q$4:$Q$503,(_calc!$E$62-500)))&amp;". ")&amp;IF(LEN(IF(LEN(INDEX('My equipment'!$R$4:$R$503,(_calc!$E$62-500)))=0,"",INDEX('My equipment'!$R$4:$R$503,(_calc!$E$62-500))))=0,"","Claims contact: "&amp;IF(LEN(INDEX('My equipment'!$R$4:$R$503,(_calc!$E$62-500)))=0,"",INDEX('My equipment'!$R$4:$R$503,(_calc!$E$62-500)))&amp;". ")&amp;IF(LEN(IF(LEN(INDEX('My equipment'!$S$4:$S$503,(_calc!$E$62-500)))=0,"",INDEX('My equipment'!$S$4:$S$503,(_calc!$E$62-500))))=0,"","Claims email: "&amp;IF(LEN(INDEX('My equipment'!$S$4:$S$503,(_calc!$E$62-500)))=0,"",INDEX('My equipment'!$S$4:$S$503,(_calc!$E$62-500)))&amp;". ")&amp;IF(LEN(IF(LEN(INDEX('My equipment'!$U$4:$U$503,(_calc!$E$62-500)))=0,"",INDEX('My equipment'!$U$4:$U$503,(_calc!$E$62-500))))=0,"","Registered: "&amp;IF(LEN(INDEX('My equipment'!$U$4:$U$503,(_calc!$E$62-500)))=0,"",INDEX('My equipment'!$U$4:$U$503,(_calc!$E$62-500)))&amp;". ")&amp;IF(LEN(IF(LEN(INDEX('My equipment'!$V$4:$V$503,(_calc!$E$62-500)))=0,"",INDEX('My equipment'!$V$4:$V$503,(_calc!$E$62-500))))=0,"","Proof on file: "&amp;IF(LEN(INDEX('My equipment'!$V$4:$V$503,(_calc!$E$62-500)))=0,"",INDEX('My equipment'!$V$4:$V$503,(_calc!$E$62-500)))&amp;". ")&amp;IF(LEN(IF(LEN(INDEX('My equipment'!$W$4:$W$503,(_calc!$E$62-500)))=0,"",INDEX('My equipment'!$W$4:$W$503,(_calc!$E$62-500))))=0,"","Claim ref: "&amp;IF(LEN(INDEX('My equipment'!$W$4:$W$503,(_calc!$E$62-500)))=0,"",INDEX('My equipment'!$W$4:$W$503,(_calc!$E$62-500)))&amp;". ")&amp;IF(LEN(IF(LEN(INDEX('My equipment'!$Y$4:$Y$503,(_calc!$E$62-500)))=0,"",INDEX('My equipment'!$Y$4:$Y$503,(_calc!$E$62-500))))=0,"",IF(LEN(INDEX('My equipment'!$Y$4:$Y$503,(_calc!$E$62-500)))=0,"",INDEX('My equipment'!$Y$4:$Y$503,(_calc!$E$62-500)))))))</f>
        <v/>
      </c>
      <c r="G60" s="54">
        <f>IF(_calc!$E$62="","",IF(_calc!$E$62&lt;=500,"",IF(LEN(INDEX('My equipment'!$X$4:$X$503,(_calc!$E$62-500)))=0,"",INDEX('My equipment'!$X$4:$X$503,(_calc!$E$62-500)))))</f>
        <v/>
      </c>
      <c r="K60" s="54">
        <f>IF(_calc!$E$62="","",IF(_calc!$E$62&lt;=500,"",IF(LEN(INDEX('My equipment'!$T$4:$T$503,(_calc!$E$62-500)))=0,"",INDEX('My equipment'!$T$4:$T$503,(_calc!$E$62-500)))))</f>
        <v/>
      </c>
    </row>
    <row r="61">
      <c r="A61" s="54">
        <f>IF(_calc!$E$63="","",IF(_calc!$E$63&lt;=500,"Warranty – "&amp;IF(LEN(INDEX('Dealer pipeline'!$C$4:$C$503,_calc!$E$63))=0,"",INDEX('Dealer pipeline'!$C$4:$C$503,_calc!$E$63))&amp;" – "&amp;IF(LEN(INDEX('Dealer pipeline'!$D$4:$D$503,_calc!$E$63))=0,"",INDEX('Dealer pipeline'!$D$4:$D$503,_calc!$E$63))&amp;" – "&amp;IF(LEN(INDEX('Dealer pipeline'!$A$4:$A$503,_calc!$E$63))=0,"",INDEX('Dealer pipeline'!$A$4:$A$503,_calc!$E$63)),"Warranty – "&amp;IF(LEN(INDEX('My equipment'!$A$4:$A$503,(_calc!$E$63-500)))=0,"",INDEX('My equipment'!$A$4:$A$503,(_calc!$E$63-500)))&amp;" – "&amp;IF(LEN(INDEX('My equipment'!$D$4:$D$503,(_calc!$E$63-500)))=0,"",INDEX('My equipment'!$D$4:$D$503,(_calc!$E$63-500)))))</f>
        <v/>
      </c>
      <c r="B61" s="54">
        <f>IF(_calc!$E$63="","",IF(_calc!$E$63&lt;=500,IF(ISNUMBER(INDEX('Dealer pipeline'!$M$4:$M$503,_calc!$E$63)),TEXT(INDEX('Dealer pipeline'!$M$4:$M$503,_calc!$E$63),"yyyy-mm-dd"),""),IF(ISNUMBER(INDEX('My equipment'!$M$4:$M$503,(_calc!$E$63-500))),TEXT(INDEX('My equipment'!$M$4:$M$503,(_calc!$E$63-500)),"yyyy-mm-dd"),"")))</f>
        <v/>
      </c>
      <c r="C61" s="54">
        <f>IF(_calc!$E$63="","",IF(_calc!$E$63&lt;=500,"Warranty","Warranty"))</f>
        <v/>
      </c>
      <c r="D61" s="54">
        <f>IF(_calc!$E$63="","",IF(_calc!$E$63&lt;=500,IF(ISNUMBER(INDEX('Dealer pipeline'!$H$4:$H$503,_calc!$E$63)),TEXT(INDEX('Dealer pipeline'!$H$4:$H$503,_calc!$E$63),"yyyy-mm-dd"),""),IF(ISNUMBER(INDEX('My equipment'!$H$4:$H$503,(_calc!$E$63-500))),TEXT(INDEX('My equipment'!$H$4:$H$503,(_calc!$E$63-500)),"yyyy-mm-dd"),"")))</f>
        <v/>
      </c>
      <c r="F61" s="54">
        <f>IF(_calc!$E$63="","",IF(_calc!$E$63&lt;=500,TRIM(IF(LEN(IF(LEN(INDEX('Dealer pipeline'!$A$4:$A$503,_calc!$E$63))=0,"",INDEX('Dealer pipeline'!$A$4:$A$503,_calc!$E$63)))=0,"","Customer: "&amp;IF(LEN(INDEX('Dealer pipeline'!$A$4:$A$503,_calc!$E$63))=0,"",INDEX('Dealer pipeline'!$A$4:$A$503,_calc!$E$63))&amp;". ")&amp;IF(LEN(IF(LEN(INDEX('Dealer pipeline'!$B$4:$B$503,_calc!$E$63))=0,"",INDEX('Dealer pipeline'!$B$4:$B$503,_calc!$E$63)))=0,"","Contact: "&amp;IF(LEN(INDEX('Dealer pipeline'!$B$4:$B$503,_calc!$E$63))=0,"",INDEX('Dealer pipeline'!$B$4:$B$503,_calc!$E$63))&amp;". ")&amp;IF(LEN(IF(LEN(INDEX('Dealer pipeline'!$D$4:$D$503,_calc!$E$63))=0,"",INDEX('Dealer pipeline'!$D$4:$D$503,_calc!$E$63)))=0,"","Serial: "&amp;IF(LEN(INDEX('Dealer pipeline'!$D$4:$D$503,_calc!$E$63))=0,"",INDEX('Dealer pipeline'!$D$4:$D$503,_calc!$E$63))&amp;". ")&amp;IF(LEN(IF(ISNUMBER(INDEX('Dealer pipeline'!$J$4:$J$503,_calc!$E$63)),TEXT(INDEX('Dealer pipeline'!$J$4:$J$503,_calc!$E$63),"yyyy-mm-dd"),""))=0,"","Parts end: "&amp;IF(ISNUMBER(INDEX('Dealer pipeline'!$J$4:$J$503,_calc!$E$63)),TEXT(INDEX('Dealer pipeline'!$J$4:$J$503,_calc!$E$63),"yyyy-mm-dd"),"")&amp;". ")&amp;IF(LEN(IF(ISNUMBER(INDEX('Dealer pipeline'!$L$4:$L$503,_calc!$E$63)),TEXT(INDEX('Dealer pipeline'!$L$4:$L$503,_calc!$E$63),"yyyy-mm-dd"),""))=0,"","Labor end: "&amp;IF(ISNUMBER(INDEX('Dealer pipeline'!$L$4:$L$503,_calc!$E$63)),TEXT(INDEX('Dealer pipeline'!$L$4:$L$503,_calc!$E$63),"yyyy-mm-dd"),"")&amp;". ")&amp;IF(LEN(IF(LEN(INDEX('Dealer pipeline'!$Q$4:$Q$503,_calc!$E$63))=0,"",INDEX('Dealer pipeline'!$Q$4:$Q$503,_calc!$E$63)))=0,"","Status: "&amp;IF(LEN(INDEX('Dealer pipeline'!$Q$4:$Q$503,_calc!$E$63))=0,"",INDEX('Dealer pipeline'!$Q$4:$Q$503,_calc!$E$63))&amp;". ")&amp;IF(LEN(IF(LEN(INDEX('Dealer pipeline'!$P$4:$P$503,_calc!$E$63))=0,"",INDEX('Dealer pipeline'!$P$4:$P$503,_calc!$E$63)))=0,"","Last touch: "&amp;IF(LEN(INDEX('Dealer pipeline'!$P$4:$P$503,_calc!$E$63))=0,"",INDEX('Dealer pipeline'!$P$4:$P$503,_calc!$E$63))&amp;". ")&amp;IF(LEN(IF(LEN(INDEX('Dealer pipeline'!$R$4:$R$503,_calc!$E$63))=0,"",INDEX('Dealer pipeline'!$R$4:$R$503,_calc!$E$63)))=0,"","Owner: "&amp;IF(LEN(INDEX('Dealer pipeline'!$R$4:$R$503,_calc!$E$63))=0,"",INDEX('Dealer pipeline'!$R$4:$R$503,_calc!$E$63))&amp;". ")&amp;IF(LEN(IF(LEN(INDEX('Dealer pipeline'!$S$4:$S$503,_calc!$E$63))=0,"",INDEX('Dealer pipeline'!$S$4:$S$503,_calc!$E$63)))=0,"","Backup: "&amp;IF(LEN(INDEX('Dealer pipeline'!$S$4:$S$503,_calc!$E$63))=0,"",INDEX('Dealer pipeline'!$S$4:$S$503,_calc!$E$63))&amp;". ")&amp;IF(LEN(IF(LEN(INDEX('Dealer pipeline'!$T$4:$T$503,_calc!$E$63))=0,"",INDEX('Dealer pipeline'!$T$4:$T$503,_calc!$E$63)))=0,"",IF(LEN(INDEX('Dealer pipeline'!$T$4:$T$503,_calc!$E$63))=0,"",INDEX('Dealer pipeline'!$T$4:$T$503,_calc!$E$63)))),TRIM(IF(LEN(IF(LEN(INDEX('My equipment'!$C$4:$C$503,(_calc!$E$63-500)))=0,"",INDEX('My equipment'!$C$4:$C$503,(_calc!$E$63-500))))=0,"","Model: "&amp;IF(LEN(INDEX('My equipment'!$C$4:$C$503,(_calc!$E$63-500)))=0,"",INDEX('My equipment'!$C$4:$C$503,(_calc!$E$63-500)))&amp;". ")&amp;IF(LEN(IF(LEN(INDEX('My equipment'!$D$4:$D$503,(_calc!$E$63-500)))=0,"",INDEX('My equipment'!$D$4:$D$503,(_calc!$E$63-500))))=0,"","Serial: "&amp;IF(LEN(INDEX('My equipment'!$D$4:$D$503,(_calc!$E$63-500)))=0,"",INDEX('My equipment'!$D$4:$D$503,(_calc!$E$63-500)))&amp;". ")&amp;IF(LEN(IF(ISNUMBER(INDEX('My equipment'!$J$4:$J$503,(_calc!$E$63-500))),TEXT(INDEX('My equipment'!$J$4:$J$503,(_calc!$E$63-500)),"yyyy-mm-dd"),""))=0,"","Parts end: "&amp;IF(ISNUMBER(INDEX('My equipment'!$J$4:$J$503,(_calc!$E$63-500))),TEXT(INDEX('My equipment'!$J$4:$J$503,(_calc!$E$63-500)),"yyyy-mm-dd"),"")&amp;". ")&amp;IF(LEN(IF(ISNUMBER(INDEX('My equipment'!$L$4:$L$503,(_calc!$E$63-500))),TEXT(INDEX('My equipment'!$L$4:$L$503,(_calc!$E$63-500)),"yyyy-mm-dd"),""))=0,"","Labor end: "&amp;IF(ISNUMBER(INDEX('My equipment'!$L$4:$L$503,(_calc!$E$63-500))),TEXT(INDEX('My equipment'!$L$4:$L$503,(_calc!$E$63-500)),"yyyy-mm-dd"),"")&amp;". ")&amp;IF(LEN(IF(ISNUMBER(INDEX('My equipment'!$P$4:$P$503,(_calc!$E$63-500))),TEXT(INDEX('My equipment'!$P$4:$P$503,(_calc!$E$63-500)),"yyyy-mm-dd"),""))=0,"","Check by: "&amp;IF(ISNUMBER(INDEX('My equipment'!$P$4:$P$503,(_calc!$E$63-500))),TEXT(INDEX('My equipment'!$P$4:$P$503,(_calc!$E$63-500)),"yyyy-mm-dd"),"")&amp;". ")&amp;IF(LEN(IF(LEN(INDEX('My equipment'!$Q$4:$Q$503,(_calc!$E$63-500)))=0,"",INDEX('My equipment'!$Q$4:$Q$503,(_calc!$E$63-500))))=0,"","Claim status: "&amp;IF(LEN(INDEX('My equipment'!$Q$4:$Q$503,(_calc!$E$63-500)))=0,"",INDEX('My equipment'!$Q$4:$Q$503,(_calc!$E$63-500)))&amp;". ")&amp;IF(LEN(IF(LEN(INDEX('My equipment'!$R$4:$R$503,(_calc!$E$63-500)))=0,"",INDEX('My equipment'!$R$4:$R$503,(_calc!$E$63-500))))=0,"","Claims contact: "&amp;IF(LEN(INDEX('My equipment'!$R$4:$R$503,(_calc!$E$63-500)))=0,"",INDEX('My equipment'!$R$4:$R$503,(_calc!$E$63-500)))&amp;". ")&amp;IF(LEN(IF(LEN(INDEX('My equipment'!$S$4:$S$503,(_calc!$E$63-500)))=0,"",INDEX('My equipment'!$S$4:$S$503,(_calc!$E$63-500))))=0,"","Claims email: "&amp;IF(LEN(INDEX('My equipment'!$S$4:$S$503,(_calc!$E$63-500)))=0,"",INDEX('My equipment'!$S$4:$S$503,(_calc!$E$63-500)))&amp;". ")&amp;IF(LEN(IF(LEN(INDEX('My equipment'!$U$4:$U$503,(_calc!$E$63-500)))=0,"",INDEX('My equipment'!$U$4:$U$503,(_calc!$E$63-500))))=0,"","Registered: "&amp;IF(LEN(INDEX('My equipment'!$U$4:$U$503,(_calc!$E$63-500)))=0,"",INDEX('My equipment'!$U$4:$U$503,(_calc!$E$63-500)))&amp;". ")&amp;IF(LEN(IF(LEN(INDEX('My equipment'!$V$4:$V$503,(_calc!$E$63-500)))=0,"",INDEX('My equipment'!$V$4:$V$503,(_calc!$E$63-500))))=0,"","Proof on file: "&amp;IF(LEN(INDEX('My equipment'!$V$4:$V$503,(_calc!$E$63-500)))=0,"",INDEX('My equipment'!$V$4:$V$503,(_calc!$E$63-500)))&amp;". ")&amp;IF(LEN(IF(LEN(INDEX('My equipment'!$W$4:$W$503,(_calc!$E$63-500)))=0,"",INDEX('My equipment'!$W$4:$W$503,(_calc!$E$63-500))))=0,"","Claim ref: "&amp;IF(LEN(INDEX('My equipment'!$W$4:$W$503,(_calc!$E$63-500)))=0,"",INDEX('My equipment'!$W$4:$W$503,(_calc!$E$63-500)))&amp;". ")&amp;IF(LEN(IF(LEN(INDEX('My equipment'!$Y$4:$Y$503,(_calc!$E$63-500)))=0,"",INDEX('My equipment'!$Y$4:$Y$503,(_calc!$E$63-500))))=0,"",IF(LEN(INDEX('My equipment'!$Y$4:$Y$503,(_calc!$E$63-500)))=0,"",INDEX('My equipment'!$Y$4:$Y$503,(_calc!$E$63-500)))))))</f>
        <v/>
      </c>
      <c r="G61" s="54">
        <f>IF(_calc!$E$63="","",IF(_calc!$E$63&lt;=500,"",IF(LEN(INDEX('My equipment'!$X$4:$X$503,(_calc!$E$63-500)))=0,"",INDEX('My equipment'!$X$4:$X$503,(_calc!$E$63-500)))))</f>
        <v/>
      </c>
      <c r="K61" s="54">
        <f>IF(_calc!$E$63="","",IF(_calc!$E$63&lt;=500,"",IF(LEN(INDEX('My equipment'!$T$4:$T$503,(_calc!$E$63-500)))=0,"",INDEX('My equipment'!$T$4:$T$503,(_calc!$E$63-500)))))</f>
        <v/>
      </c>
    </row>
    <row r="62">
      <c r="A62" s="54">
        <f>IF(_calc!$E$64="","",IF(_calc!$E$64&lt;=500,"Warranty – "&amp;IF(LEN(INDEX('Dealer pipeline'!$C$4:$C$503,_calc!$E$64))=0,"",INDEX('Dealer pipeline'!$C$4:$C$503,_calc!$E$64))&amp;" – "&amp;IF(LEN(INDEX('Dealer pipeline'!$D$4:$D$503,_calc!$E$64))=0,"",INDEX('Dealer pipeline'!$D$4:$D$503,_calc!$E$64))&amp;" – "&amp;IF(LEN(INDEX('Dealer pipeline'!$A$4:$A$503,_calc!$E$64))=0,"",INDEX('Dealer pipeline'!$A$4:$A$503,_calc!$E$64)),"Warranty – "&amp;IF(LEN(INDEX('My equipment'!$A$4:$A$503,(_calc!$E$64-500)))=0,"",INDEX('My equipment'!$A$4:$A$503,(_calc!$E$64-500)))&amp;" – "&amp;IF(LEN(INDEX('My equipment'!$D$4:$D$503,(_calc!$E$64-500)))=0,"",INDEX('My equipment'!$D$4:$D$503,(_calc!$E$64-500)))))</f>
        <v/>
      </c>
      <c r="B62" s="54">
        <f>IF(_calc!$E$64="","",IF(_calc!$E$64&lt;=500,IF(ISNUMBER(INDEX('Dealer pipeline'!$M$4:$M$503,_calc!$E$64)),TEXT(INDEX('Dealer pipeline'!$M$4:$M$503,_calc!$E$64),"yyyy-mm-dd"),""),IF(ISNUMBER(INDEX('My equipment'!$M$4:$M$503,(_calc!$E$64-500))),TEXT(INDEX('My equipment'!$M$4:$M$503,(_calc!$E$64-500)),"yyyy-mm-dd"),"")))</f>
        <v/>
      </c>
      <c r="C62" s="54">
        <f>IF(_calc!$E$64="","",IF(_calc!$E$64&lt;=500,"Warranty","Warranty"))</f>
        <v/>
      </c>
      <c r="D62" s="54">
        <f>IF(_calc!$E$64="","",IF(_calc!$E$64&lt;=500,IF(ISNUMBER(INDEX('Dealer pipeline'!$H$4:$H$503,_calc!$E$64)),TEXT(INDEX('Dealer pipeline'!$H$4:$H$503,_calc!$E$64),"yyyy-mm-dd"),""),IF(ISNUMBER(INDEX('My equipment'!$H$4:$H$503,(_calc!$E$64-500))),TEXT(INDEX('My equipment'!$H$4:$H$503,(_calc!$E$64-500)),"yyyy-mm-dd"),"")))</f>
        <v/>
      </c>
      <c r="F62" s="54">
        <f>IF(_calc!$E$64="","",IF(_calc!$E$64&lt;=500,TRIM(IF(LEN(IF(LEN(INDEX('Dealer pipeline'!$A$4:$A$503,_calc!$E$64))=0,"",INDEX('Dealer pipeline'!$A$4:$A$503,_calc!$E$64)))=0,"","Customer: "&amp;IF(LEN(INDEX('Dealer pipeline'!$A$4:$A$503,_calc!$E$64))=0,"",INDEX('Dealer pipeline'!$A$4:$A$503,_calc!$E$64))&amp;". ")&amp;IF(LEN(IF(LEN(INDEX('Dealer pipeline'!$B$4:$B$503,_calc!$E$64))=0,"",INDEX('Dealer pipeline'!$B$4:$B$503,_calc!$E$64)))=0,"","Contact: "&amp;IF(LEN(INDEX('Dealer pipeline'!$B$4:$B$503,_calc!$E$64))=0,"",INDEX('Dealer pipeline'!$B$4:$B$503,_calc!$E$64))&amp;". ")&amp;IF(LEN(IF(LEN(INDEX('Dealer pipeline'!$D$4:$D$503,_calc!$E$64))=0,"",INDEX('Dealer pipeline'!$D$4:$D$503,_calc!$E$64)))=0,"","Serial: "&amp;IF(LEN(INDEX('Dealer pipeline'!$D$4:$D$503,_calc!$E$64))=0,"",INDEX('Dealer pipeline'!$D$4:$D$503,_calc!$E$64))&amp;". ")&amp;IF(LEN(IF(ISNUMBER(INDEX('Dealer pipeline'!$J$4:$J$503,_calc!$E$64)),TEXT(INDEX('Dealer pipeline'!$J$4:$J$503,_calc!$E$64),"yyyy-mm-dd"),""))=0,"","Parts end: "&amp;IF(ISNUMBER(INDEX('Dealer pipeline'!$J$4:$J$503,_calc!$E$64)),TEXT(INDEX('Dealer pipeline'!$J$4:$J$503,_calc!$E$64),"yyyy-mm-dd"),"")&amp;". ")&amp;IF(LEN(IF(ISNUMBER(INDEX('Dealer pipeline'!$L$4:$L$503,_calc!$E$64)),TEXT(INDEX('Dealer pipeline'!$L$4:$L$503,_calc!$E$64),"yyyy-mm-dd"),""))=0,"","Labor end: "&amp;IF(ISNUMBER(INDEX('Dealer pipeline'!$L$4:$L$503,_calc!$E$64)),TEXT(INDEX('Dealer pipeline'!$L$4:$L$503,_calc!$E$64),"yyyy-mm-dd"),"")&amp;". ")&amp;IF(LEN(IF(LEN(INDEX('Dealer pipeline'!$Q$4:$Q$503,_calc!$E$64))=0,"",INDEX('Dealer pipeline'!$Q$4:$Q$503,_calc!$E$64)))=0,"","Status: "&amp;IF(LEN(INDEX('Dealer pipeline'!$Q$4:$Q$503,_calc!$E$64))=0,"",INDEX('Dealer pipeline'!$Q$4:$Q$503,_calc!$E$64))&amp;". ")&amp;IF(LEN(IF(LEN(INDEX('Dealer pipeline'!$P$4:$P$503,_calc!$E$64))=0,"",INDEX('Dealer pipeline'!$P$4:$P$503,_calc!$E$64)))=0,"","Last touch: "&amp;IF(LEN(INDEX('Dealer pipeline'!$P$4:$P$503,_calc!$E$64))=0,"",INDEX('Dealer pipeline'!$P$4:$P$503,_calc!$E$64))&amp;". ")&amp;IF(LEN(IF(LEN(INDEX('Dealer pipeline'!$R$4:$R$503,_calc!$E$64))=0,"",INDEX('Dealer pipeline'!$R$4:$R$503,_calc!$E$64)))=0,"","Owner: "&amp;IF(LEN(INDEX('Dealer pipeline'!$R$4:$R$503,_calc!$E$64))=0,"",INDEX('Dealer pipeline'!$R$4:$R$503,_calc!$E$64))&amp;". ")&amp;IF(LEN(IF(LEN(INDEX('Dealer pipeline'!$S$4:$S$503,_calc!$E$64))=0,"",INDEX('Dealer pipeline'!$S$4:$S$503,_calc!$E$64)))=0,"","Backup: "&amp;IF(LEN(INDEX('Dealer pipeline'!$S$4:$S$503,_calc!$E$64))=0,"",INDEX('Dealer pipeline'!$S$4:$S$503,_calc!$E$64))&amp;". ")&amp;IF(LEN(IF(LEN(INDEX('Dealer pipeline'!$T$4:$T$503,_calc!$E$64))=0,"",INDEX('Dealer pipeline'!$T$4:$T$503,_calc!$E$64)))=0,"",IF(LEN(INDEX('Dealer pipeline'!$T$4:$T$503,_calc!$E$64))=0,"",INDEX('Dealer pipeline'!$T$4:$T$503,_calc!$E$64)))),TRIM(IF(LEN(IF(LEN(INDEX('My equipment'!$C$4:$C$503,(_calc!$E$64-500)))=0,"",INDEX('My equipment'!$C$4:$C$503,(_calc!$E$64-500))))=0,"","Model: "&amp;IF(LEN(INDEX('My equipment'!$C$4:$C$503,(_calc!$E$64-500)))=0,"",INDEX('My equipment'!$C$4:$C$503,(_calc!$E$64-500)))&amp;". ")&amp;IF(LEN(IF(LEN(INDEX('My equipment'!$D$4:$D$503,(_calc!$E$64-500)))=0,"",INDEX('My equipment'!$D$4:$D$503,(_calc!$E$64-500))))=0,"","Serial: "&amp;IF(LEN(INDEX('My equipment'!$D$4:$D$503,(_calc!$E$64-500)))=0,"",INDEX('My equipment'!$D$4:$D$503,(_calc!$E$64-500)))&amp;". ")&amp;IF(LEN(IF(ISNUMBER(INDEX('My equipment'!$J$4:$J$503,(_calc!$E$64-500))),TEXT(INDEX('My equipment'!$J$4:$J$503,(_calc!$E$64-500)),"yyyy-mm-dd"),""))=0,"","Parts end: "&amp;IF(ISNUMBER(INDEX('My equipment'!$J$4:$J$503,(_calc!$E$64-500))),TEXT(INDEX('My equipment'!$J$4:$J$503,(_calc!$E$64-500)),"yyyy-mm-dd"),"")&amp;". ")&amp;IF(LEN(IF(ISNUMBER(INDEX('My equipment'!$L$4:$L$503,(_calc!$E$64-500))),TEXT(INDEX('My equipment'!$L$4:$L$503,(_calc!$E$64-500)),"yyyy-mm-dd"),""))=0,"","Labor end: "&amp;IF(ISNUMBER(INDEX('My equipment'!$L$4:$L$503,(_calc!$E$64-500))),TEXT(INDEX('My equipment'!$L$4:$L$503,(_calc!$E$64-500)),"yyyy-mm-dd"),"")&amp;". ")&amp;IF(LEN(IF(ISNUMBER(INDEX('My equipment'!$P$4:$P$503,(_calc!$E$64-500))),TEXT(INDEX('My equipment'!$P$4:$P$503,(_calc!$E$64-500)),"yyyy-mm-dd"),""))=0,"","Check by: "&amp;IF(ISNUMBER(INDEX('My equipment'!$P$4:$P$503,(_calc!$E$64-500))),TEXT(INDEX('My equipment'!$P$4:$P$503,(_calc!$E$64-500)),"yyyy-mm-dd"),"")&amp;". ")&amp;IF(LEN(IF(LEN(INDEX('My equipment'!$Q$4:$Q$503,(_calc!$E$64-500)))=0,"",INDEX('My equipment'!$Q$4:$Q$503,(_calc!$E$64-500))))=0,"","Claim status: "&amp;IF(LEN(INDEX('My equipment'!$Q$4:$Q$503,(_calc!$E$64-500)))=0,"",INDEX('My equipment'!$Q$4:$Q$503,(_calc!$E$64-500)))&amp;". ")&amp;IF(LEN(IF(LEN(INDEX('My equipment'!$R$4:$R$503,(_calc!$E$64-500)))=0,"",INDEX('My equipment'!$R$4:$R$503,(_calc!$E$64-500))))=0,"","Claims contact: "&amp;IF(LEN(INDEX('My equipment'!$R$4:$R$503,(_calc!$E$64-500)))=0,"",INDEX('My equipment'!$R$4:$R$503,(_calc!$E$64-500)))&amp;". ")&amp;IF(LEN(IF(LEN(INDEX('My equipment'!$S$4:$S$503,(_calc!$E$64-500)))=0,"",INDEX('My equipment'!$S$4:$S$503,(_calc!$E$64-500))))=0,"","Claims email: "&amp;IF(LEN(INDEX('My equipment'!$S$4:$S$503,(_calc!$E$64-500)))=0,"",INDEX('My equipment'!$S$4:$S$503,(_calc!$E$64-500)))&amp;". ")&amp;IF(LEN(IF(LEN(INDEX('My equipment'!$U$4:$U$503,(_calc!$E$64-500)))=0,"",INDEX('My equipment'!$U$4:$U$503,(_calc!$E$64-500))))=0,"","Registered: "&amp;IF(LEN(INDEX('My equipment'!$U$4:$U$503,(_calc!$E$64-500)))=0,"",INDEX('My equipment'!$U$4:$U$503,(_calc!$E$64-500)))&amp;". ")&amp;IF(LEN(IF(LEN(INDEX('My equipment'!$V$4:$V$503,(_calc!$E$64-500)))=0,"",INDEX('My equipment'!$V$4:$V$503,(_calc!$E$64-500))))=0,"","Proof on file: "&amp;IF(LEN(INDEX('My equipment'!$V$4:$V$503,(_calc!$E$64-500)))=0,"",INDEX('My equipment'!$V$4:$V$503,(_calc!$E$64-500)))&amp;". ")&amp;IF(LEN(IF(LEN(INDEX('My equipment'!$W$4:$W$503,(_calc!$E$64-500)))=0,"",INDEX('My equipment'!$W$4:$W$503,(_calc!$E$64-500))))=0,"","Claim ref: "&amp;IF(LEN(INDEX('My equipment'!$W$4:$W$503,(_calc!$E$64-500)))=0,"",INDEX('My equipment'!$W$4:$W$503,(_calc!$E$64-500)))&amp;". ")&amp;IF(LEN(IF(LEN(INDEX('My equipment'!$Y$4:$Y$503,(_calc!$E$64-500)))=0,"",INDEX('My equipment'!$Y$4:$Y$503,(_calc!$E$64-500))))=0,"",IF(LEN(INDEX('My equipment'!$Y$4:$Y$503,(_calc!$E$64-500)))=0,"",INDEX('My equipment'!$Y$4:$Y$503,(_calc!$E$64-500)))))))</f>
        <v/>
      </c>
      <c r="G62" s="54">
        <f>IF(_calc!$E$64="","",IF(_calc!$E$64&lt;=500,"",IF(LEN(INDEX('My equipment'!$X$4:$X$503,(_calc!$E$64-500)))=0,"",INDEX('My equipment'!$X$4:$X$503,(_calc!$E$64-500)))))</f>
        <v/>
      </c>
      <c r="K62" s="54">
        <f>IF(_calc!$E$64="","",IF(_calc!$E$64&lt;=500,"",IF(LEN(INDEX('My equipment'!$T$4:$T$503,(_calc!$E$64-500)))=0,"",INDEX('My equipment'!$T$4:$T$503,(_calc!$E$64-500)))))</f>
        <v/>
      </c>
    </row>
    <row r="63">
      <c r="A63" s="54">
        <f>IF(_calc!$E$65="","",IF(_calc!$E$65&lt;=500,"Warranty – "&amp;IF(LEN(INDEX('Dealer pipeline'!$C$4:$C$503,_calc!$E$65))=0,"",INDEX('Dealer pipeline'!$C$4:$C$503,_calc!$E$65))&amp;" – "&amp;IF(LEN(INDEX('Dealer pipeline'!$D$4:$D$503,_calc!$E$65))=0,"",INDEX('Dealer pipeline'!$D$4:$D$503,_calc!$E$65))&amp;" – "&amp;IF(LEN(INDEX('Dealer pipeline'!$A$4:$A$503,_calc!$E$65))=0,"",INDEX('Dealer pipeline'!$A$4:$A$503,_calc!$E$65)),"Warranty – "&amp;IF(LEN(INDEX('My equipment'!$A$4:$A$503,(_calc!$E$65-500)))=0,"",INDEX('My equipment'!$A$4:$A$503,(_calc!$E$65-500)))&amp;" – "&amp;IF(LEN(INDEX('My equipment'!$D$4:$D$503,(_calc!$E$65-500)))=0,"",INDEX('My equipment'!$D$4:$D$503,(_calc!$E$65-500)))))</f>
        <v/>
      </c>
      <c r="B63" s="54">
        <f>IF(_calc!$E$65="","",IF(_calc!$E$65&lt;=500,IF(ISNUMBER(INDEX('Dealer pipeline'!$M$4:$M$503,_calc!$E$65)),TEXT(INDEX('Dealer pipeline'!$M$4:$M$503,_calc!$E$65),"yyyy-mm-dd"),""),IF(ISNUMBER(INDEX('My equipment'!$M$4:$M$503,(_calc!$E$65-500))),TEXT(INDEX('My equipment'!$M$4:$M$503,(_calc!$E$65-500)),"yyyy-mm-dd"),"")))</f>
        <v/>
      </c>
      <c r="C63" s="54">
        <f>IF(_calc!$E$65="","",IF(_calc!$E$65&lt;=500,"Warranty","Warranty"))</f>
        <v/>
      </c>
      <c r="D63" s="54">
        <f>IF(_calc!$E$65="","",IF(_calc!$E$65&lt;=500,IF(ISNUMBER(INDEX('Dealer pipeline'!$H$4:$H$503,_calc!$E$65)),TEXT(INDEX('Dealer pipeline'!$H$4:$H$503,_calc!$E$65),"yyyy-mm-dd"),""),IF(ISNUMBER(INDEX('My equipment'!$H$4:$H$503,(_calc!$E$65-500))),TEXT(INDEX('My equipment'!$H$4:$H$503,(_calc!$E$65-500)),"yyyy-mm-dd"),"")))</f>
        <v/>
      </c>
      <c r="F63" s="54">
        <f>IF(_calc!$E$65="","",IF(_calc!$E$65&lt;=500,TRIM(IF(LEN(IF(LEN(INDEX('Dealer pipeline'!$A$4:$A$503,_calc!$E$65))=0,"",INDEX('Dealer pipeline'!$A$4:$A$503,_calc!$E$65)))=0,"","Customer: "&amp;IF(LEN(INDEX('Dealer pipeline'!$A$4:$A$503,_calc!$E$65))=0,"",INDEX('Dealer pipeline'!$A$4:$A$503,_calc!$E$65))&amp;". ")&amp;IF(LEN(IF(LEN(INDEX('Dealer pipeline'!$B$4:$B$503,_calc!$E$65))=0,"",INDEX('Dealer pipeline'!$B$4:$B$503,_calc!$E$65)))=0,"","Contact: "&amp;IF(LEN(INDEX('Dealer pipeline'!$B$4:$B$503,_calc!$E$65))=0,"",INDEX('Dealer pipeline'!$B$4:$B$503,_calc!$E$65))&amp;". ")&amp;IF(LEN(IF(LEN(INDEX('Dealer pipeline'!$D$4:$D$503,_calc!$E$65))=0,"",INDEX('Dealer pipeline'!$D$4:$D$503,_calc!$E$65)))=0,"","Serial: "&amp;IF(LEN(INDEX('Dealer pipeline'!$D$4:$D$503,_calc!$E$65))=0,"",INDEX('Dealer pipeline'!$D$4:$D$503,_calc!$E$65))&amp;". ")&amp;IF(LEN(IF(ISNUMBER(INDEX('Dealer pipeline'!$J$4:$J$503,_calc!$E$65)),TEXT(INDEX('Dealer pipeline'!$J$4:$J$503,_calc!$E$65),"yyyy-mm-dd"),""))=0,"","Parts end: "&amp;IF(ISNUMBER(INDEX('Dealer pipeline'!$J$4:$J$503,_calc!$E$65)),TEXT(INDEX('Dealer pipeline'!$J$4:$J$503,_calc!$E$65),"yyyy-mm-dd"),"")&amp;". ")&amp;IF(LEN(IF(ISNUMBER(INDEX('Dealer pipeline'!$L$4:$L$503,_calc!$E$65)),TEXT(INDEX('Dealer pipeline'!$L$4:$L$503,_calc!$E$65),"yyyy-mm-dd"),""))=0,"","Labor end: "&amp;IF(ISNUMBER(INDEX('Dealer pipeline'!$L$4:$L$503,_calc!$E$65)),TEXT(INDEX('Dealer pipeline'!$L$4:$L$503,_calc!$E$65),"yyyy-mm-dd"),"")&amp;". ")&amp;IF(LEN(IF(LEN(INDEX('Dealer pipeline'!$Q$4:$Q$503,_calc!$E$65))=0,"",INDEX('Dealer pipeline'!$Q$4:$Q$503,_calc!$E$65)))=0,"","Status: "&amp;IF(LEN(INDEX('Dealer pipeline'!$Q$4:$Q$503,_calc!$E$65))=0,"",INDEX('Dealer pipeline'!$Q$4:$Q$503,_calc!$E$65))&amp;". ")&amp;IF(LEN(IF(LEN(INDEX('Dealer pipeline'!$P$4:$P$503,_calc!$E$65))=0,"",INDEX('Dealer pipeline'!$P$4:$P$503,_calc!$E$65)))=0,"","Last touch: "&amp;IF(LEN(INDEX('Dealer pipeline'!$P$4:$P$503,_calc!$E$65))=0,"",INDEX('Dealer pipeline'!$P$4:$P$503,_calc!$E$65))&amp;". ")&amp;IF(LEN(IF(LEN(INDEX('Dealer pipeline'!$R$4:$R$503,_calc!$E$65))=0,"",INDEX('Dealer pipeline'!$R$4:$R$503,_calc!$E$65)))=0,"","Owner: "&amp;IF(LEN(INDEX('Dealer pipeline'!$R$4:$R$503,_calc!$E$65))=0,"",INDEX('Dealer pipeline'!$R$4:$R$503,_calc!$E$65))&amp;". ")&amp;IF(LEN(IF(LEN(INDEX('Dealer pipeline'!$S$4:$S$503,_calc!$E$65))=0,"",INDEX('Dealer pipeline'!$S$4:$S$503,_calc!$E$65)))=0,"","Backup: "&amp;IF(LEN(INDEX('Dealer pipeline'!$S$4:$S$503,_calc!$E$65))=0,"",INDEX('Dealer pipeline'!$S$4:$S$503,_calc!$E$65))&amp;". ")&amp;IF(LEN(IF(LEN(INDEX('Dealer pipeline'!$T$4:$T$503,_calc!$E$65))=0,"",INDEX('Dealer pipeline'!$T$4:$T$503,_calc!$E$65)))=0,"",IF(LEN(INDEX('Dealer pipeline'!$T$4:$T$503,_calc!$E$65))=0,"",INDEX('Dealer pipeline'!$T$4:$T$503,_calc!$E$65)))),TRIM(IF(LEN(IF(LEN(INDEX('My equipment'!$C$4:$C$503,(_calc!$E$65-500)))=0,"",INDEX('My equipment'!$C$4:$C$503,(_calc!$E$65-500))))=0,"","Model: "&amp;IF(LEN(INDEX('My equipment'!$C$4:$C$503,(_calc!$E$65-500)))=0,"",INDEX('My equipment'!$C$4:$C$503,(_calc!$E$65-500)))&amp;". ")&amp;IF(LEN(IF(LEN(INDEX('My equipment'!$D$4:$D$503,(_calc!$E$65-500)))=0,"",INDEX('My equipment'!$D$4:$D$503,(_calc!$E$65-500))))=0,"","Serial: "&amp;IF(LEN(INDEX('My equipment'!$D$4:$D$503,(_calc!$E$65-500)))=0,"",INDEX('My equipment'!$D$4:$D$503,(_calc!$E$65-500)))&amp;". ")&amp;IF(LEN(IF(ISNUMBER(INDEX('My equipment'!$J$4:$J$503,(_calc!$E$65-500))),TEXT(INDEX('My equipment'!$J$4:$J$503,(_calc!$E$65-500)),"yyyy-mm-dd"),""))=0,"","Parts end: "&amp;IF(ISNUMBER(INDEX('My equipment'!$J$4:$J$503,(_calc!$E$65-500))),TEXT(INDEX('My equipment'!$J$4:$J$503,(_calc!$E$65-500)),"yyyy-mm-dd"),"")&amp;". ")&amp;IF(LEN(IF(ISNUMBER(INDEX('My equipment'!$L$4:$L$503,(_calc!$E$65-500))),TEXT(INDEX('My equipment'!$L$4:$L$503,(_calc!$E$65-500)),"yyyy-mm-dd"),""))=0,"","Labor end: "&amp;IF(ISNUMBER(INDEX('My equipment'!$L$4:$L$503,(_calc!$E$65-500))),TEXT(INDEX('My equipment'!$L$4:$L$503,(_calc!$E$65-500)),"yyyy-mm-dd"),"")&amp;". ")&amp;IF(LEN(IF(ISNUMBER(INDEX('My equipment'!$P$4:$P$503,(_calc!$E$65-500))),TEXT(INDEX('My equipment'!$P$4:$P$503,(_calc!$E$65-500)),"yyyy-mm-dd"),""))=0,"","Check by: "&amp;IF(ISNUMBER(INDEX('My equipment'!$P$4:$P$503,(_calc!$E$65-500))),TEXT(INDEX('My equipment'!$P$4:$P$503,(_calc!$E$65-500)),"yyyy-mm-dd"),"")&amp;". ")&amp;IF(LEN(IF(LEN(INDEX('My equipment'!$Q$4:$Q$503,(_calc!$E$65-500)))=0,"",INDEX('My equipment'!$Q$4:$Q$503,(_calc!$E$65-500))))=0,"","Claim status: "&amp;IF(LEN(INDEX('My equipment'!$Q$4:$Q$503,(_calc!$E$65-500)))=0,"",INDEX('My equipment'!$Q$4:$Q$503,(_calc!$E$65-500)))&amp;". ")&amp;IF(LEN(IF(LEN(INDEX('My equipment'!$R$4:$R$503,(_calc!$E$65-500)))=0,"",INDEX('My equipment'!$R$4:$R$503,(_calc!$E$65-500))))=0,"","Claims contact: "&amp;IF(LEN(INDEX('My equipment'!$R$4:$R$503,(_calc!$E$65-500)))=0,"",INDEX('My equipment'!$R$4:$R$503,(_calc!$E$65-500)))&amp;". ")&amp;IF(LEN(IF(LEN(INDEX('My equipment'!$S$4:$S$503,(_calc!$E$65-500)))=0,"",INDEX('My equipment'!$S$4:$S$503,(_calc!$E$65-500))))=0,"","Claims email: "&amp;IF(LEN(INDEX('My equipment'!$S$4:$S$503,(_calc!$E$65-500)))=0,"",INDEX('My equipment'!$S$4:$S$503,(_calc!$E$65-500)))&amp;". ")&amp;IF(LEN(IF(LEN(INDEX('My equipment'!$U$4:$U$503,(_calc!$E$65-500)))=0,"",INDEX('My equipment'!$U$4:$U$503,(_calc!$E$65-500))))=0,"","Registered: "&amp;IF(LEN(INDEX('My equipment'!$U$4:$U$503,(_calc!$E$65-500)))=0,"",INDEX('My equipment'!$U$4:$U$503,(_calc!$E$65-500)))&amp;". ")&amp;IF(LEN(IF(LEN(INDEX('My equipment'!$V$4:$V$503,(_calc!$E$65-500)))=0,"",INDEX('My equipment'!$V$4:$V$503,(_calc!$E$65-500))))=0,"","Proof on file: "&amp;IF(LEN(INDEX('My equipment'!$V$4:$V$503,(_calc!$E$65-500)))=0,"",INDEX('My equipment'!$V$4:$V$503,(_calc!$E$65-500)))&amp;". ")&amp;IF(LEN(IF(LEN(INDEX('My equipment'!$W$4:$W$503,(_calc!$E$65-500)))=0,"",INDEX('My equipment'!$W$4:$W$503,(_calc!$E$65-500))))=0,"","Claim ref: "&amp;IF(LEN(INDEX('My equipment'!$W$4:$W$503,(_calc!$E$65-500)))=0,"",INDEX('My equipment'!$W$4:$W$503,(_calc!$E$65-500)))&amp;". ")&amp;IF(LEN(IF(LEN(INDEX('My equipment'!$Y$4:$Y$503,(_calc!$E$65-500)))=0,"",INDEX('My equipment'!$Y$4:$Y$503,(_calc!$E$65-500))))=0,"",IF(LEN(INDEX('My equipment'!$Y$4:$Y$503,(_calc!$E$65-500)))=0,"",INDEX('My equipment'!$Y$4:$Y$503,(_calc!$E$65-500)))))))</f>
        <v/>
      </c>
      <c r="G63" s="54">
        <f>IF(_calc!$E$65="","",IF(_calc!$E$65&lt;=500,"",IF(LEN(INDEX('My equipment'!$X$4:$X$503,(_calc!$E$65-500)))=0,"",INDEX('My equipment'!$X$4:$X$503,(_calc!$E$65-500)))))</f>
        <v/>
      </c>
      <c r="K63" s="54">
        <f>IF(_calc!$E$65="","",IF(_calc!$E$65&lt;=500,"",IF(LEN(INDEX('My equipment'!$T$4:$T$503,(_calc!$E$65-500)))=0,"",INDEX('My equipment'!$T$4:$T$503,(_calc!$E$65-500)))))</f>
        <v/>
      </c>
    </row>
    <row r="64">
      <c r="A64" s="54">
        <f>IF(_calc!$E$66="","",IF(_calc!$E$66&lt;=500,"Warranty – "&amp;IF(LEN(INDEX('Dealer pipeline'!$C$4:$C$503,_calc!$E$66))=0,"",INDEX('Dealer pipeline'!$C$4:$C$503,_calc!$E$66))&amp;" – "&amp;IF(LEN(INDEX('Dealer pipeline'!$D$4:$D$503,_calc!$E$66))=0,"",INDEX('Dealer pipeline'!$D$4:$D$503,_calc!$E$66))&amp;" – "&amp;IF(LEN(INDEX('Dealer pipeline'!$A$4:$A$503,_calc!$E$66))=0,"",INDEX('Dealer pipeline'!$A$4:$A$503,_calc!$E$66)),"Warranty – "&amp;IF(LEN(INDEX('My equipment'!$A$4:$A$503,(_calc!$E$66-500)))=0,"",INDEX('My equipment'!$A$4:$A$503,(_calc!$E$66-500)))&amp;" – "&amp;IF(LEN(INDEX('My equipment'!$D$4:$D$503,(_calc!$E$66-500)))=0,"",INDEX('My equipment'!$D$4:$D$503,(_calc!$E$66-500)))))</f>
        <v/>
      </c>
      <c r="B64" s="54">
        <f>IF(_calc!$E$66="","",IF(_calc!$E$66&lt;=500,IF(ISNUMBER(INDEX('Dealer pipeline'!$M$4:$M$503,_calc!$E$66)),TEXT(INDEX('Dealer pipeline'!$M$4:$M$503,_calc!$E$66),"yyyy-mm-dd"),""),IF(ISNUMBER(INDEX('My equipment'!$M$4:$M$503,(_calc!$E$66-500))),TEXT(INDEX('My equipment'!$M$4:$M$503,(_calc!$E$66-500)),"yyyy-mm-dd"),"")))</f>
        <v/>
      </c>
      <c r="C64" s="54">
        <f>IF(_calc!$E$66="","",IF(_calc!$E$66&lt;=500,"Warranty","Warranty"))</f>
        <v/>
      </c>
      <c r="D64" s="54">
        <f>IF(_calc!$E$66="","",IF(_calc!$E$66&lt;=500,IF(ISNUMBER(INDEX('Dealer pipeline'!$H$4:$H$503,_calc!$E$66)),TEXT(INDEX('Dealer pipeline'!$H$4:$H$503,_calc!$E$66),"yyyy-mm-dd"),""),IF(ISNUMBER(INDEX('My equipment'!$H$4:$H$503,(_calc!$E$66-500))),TEXT(INDEX('My equipment'!$H$4:$H$503,(_calc!$E$66-500)),"yyyy-mm-dd"),"")))</f>
        <v/>
      </c>
      <c r="F64" s="54">
        <f>IF(_calc!$E$66="","",IF(_calc!$E$66&lt;=500,TRIM(IF(LEN(IF(LEN(INDEX('Dealer pipeline'!$A$4:$A$503,_calc!$E$66))=0,"",INDEX('Dealer pipeline'!$A$4:$A$503,_calc!$E$66)))=0,"","Customer: "&amp;IF(LEN(INDEX('Dealer pipeline'!$A$4:$A$503,_calc!$E$66))=0,"",INDEX('Dealer pipeline'!$A$4:$A$503,_calc!$E$66))&amp;". ")&amp;IF(LEN(IF(LEN(INDEX('Dealer pipeline'!$B$4:$B$503,_calc!$E$66))=0,"",INDEX('Dealer pipeline'!$B$4:$B$503,_calc!$E$66)))=0,"","Contact: "&amp;IF(LEN(INDEX('Dealer pipeline'!$B$4:$B$503,_calc!$E$66))=0,"",INDEX('Dealer pipeline'!$B$4:$B$503,_calc!$E$66))&amp;". ")&amp;IF(LEN(IF(LEN(INDEX('Dealer pipeline'!$D$4:$D$503,_calc!$E$66))=0,"",INDEX('Dealer pipeline'!$D$4:$D$503,_calc!$E$66)))=0,"","Serial: "&amp;IF(LEN(INDEX('Dealer pipeline'!$D$4:$D$503,_calc!$E$66))=0,"",INDEX('Dealer pipeline'!$D$4:$D$503,_calc!$E$66))&amp;". ")&amp;IF(LEN(IF(ISNUMBER(INDEX('Dealer pipeline'!$J$4:$J$503,_calc!$E$66)),TEXT(INDEX('Dealer pipeline'!$J$4:$J$503,_calc!$E$66),"yyyy-mm-dd"),""))=0,"","Parts end: "&amp;IF(ISNUMBER(INDEX('Dealer pipeline'!$J$4:$J$503,_calc!$E$66)),TEXT(INDEX('Dealer pipeline'!$J$4:$J$503,_calc!$E$66),"yyyy-mm-dd"),"")&amp;". ")&amp;IF(LEN(IF(ISNUMBER(INDEX('Dealer pipeline'!$L$4:$L$503,_calc!$E$66)),TEXT(INDEX('Dealer pipeline'!$L$4:$L$503,_calc!$E$66),"yyyy-mm-dd"),""))=0,"","Labor end: "&amp;IF(ISNUMBER(INDEX('Dealer pipeline'!$L$4:$L$503,_calc!$E$66)),TEXT(INDEX('Dealer pipeline'!$L$4:$L$503,_calc!$E$66),"yyyy-mm-dd"),"")&amp;". ")&amp;IF(LEN(IF(LEN(INDEX('Dealer pipeline'!$Q$4:$Q$503,_calc!$E$66))=0,"",INDEX('Dealer pipeline'!$Q$4:$Q$503,_calc!$E$66)))=0,"","Status: "&amp;IF(LEN(INDEX('Dealer pipeline'!$Q$4:$Q$503,_calc!$E$66))=0,"",INDEX('Dealer pipeline'!$Q$4:$Q$503,_calc!$E$66))&amp;". ")&amp;IF(LEN(IF(LEN(INDEX('Dealer pipeline'!$P$4:$P$503,_calc!$E$66))=0,"",INDEX('Dealer pipeline'!$P$4:$P$503,_calc!$E$66)))=0,"","Last touch: "&amp;IF(LEN(INDEX('Dealer pipeline'!$P$4:$P$503,_calc!$E$66))=0,"",INDEX('Dealer pipeline'!$P$4:$P$503,_calc!$E$66))&amp;". ")&amp;IF(LEN(IF(LEN(INDEX('Dealer pipeline'!$R$4:$R$503,_calc!$E$66))=0,"",INDEX('Dealer pipeline'!$R$4:$R$503,_calc!$E$66)))=0,"","Owner: "&amp;IF(LEN(INDEX('Dealer pipeline'!$R$4:$R$503,_calc!$E$66))=0,"",INDEX('Dealer pipeline'!$R$4:$R$503,_calc!$E$66))&amp;". ")&amp;IF(LEN(IF(LEN(INDEX('Dealer pipeline'!$S$4:$S$503,_calc!$E$66))=0,"",INDEX('Dealer pipeline'!$S$4:$S$503,_calc!$E$66)))=0,"","Backup: "&amp;IF(LEN(INDEX('Dealer pipeline'!$S$4:$S$503,_calc!$E$66))=0,"",INDEX('Dealer pipeline'!$S$4:$S$503,_calc!$E$66))&amp;". ")&amp;IF(LEN(IF(LEN(INDEX('Dealer pipeline'!$T$4:$T$503,_calc!$E$66))=0,"",INDEX('Dealer pipeline'!$T$4:$T$503,_calc!$E$66)))=0,"",IF(LEN(INDEX('Dealer pipeline'!$T$4:$T$503,_calc!$E$66))=0,"",INDEX('Dealer pipeline'!$T$4:$T$503,_calc!$E$66)))),TRIM(IF(LEN(IF(LEN(INDEX('My equipment'!$C$4:$C$503,(_calc!$E$66-500)))=0,"",INDEX('My equipment'!$C$4:$C$503,(_calc!$E$66-500))))=0,"","Model: "&amp;IF(LEN(INDEX('My equipment'!$C$4:$C$503,(_calc!$E$66-500)))=0,"",INDEX('My equipment'!$C$4:$C$503,(_calc!$E$66-500)))&amp;". ")&amp;IF(LEN(IF(LEN(INDEX('My equipment'!$D$4:$D$503,(_calc!$E$66-500)))=0,"",INDEX('My equipment'!$D$4:$D$503,(_calc!$E$66-500))))=0,"","Serial: "&amp;IF(LEN(INDEX('My equipment'!$D$4:$D$503,(_calc!$E$66-500)))=0,"",INDEX('My equipment'!$D$4:$D$503,(_calc!$E$66-500)))&amp;". ")&amp;IF(LEN(IF(ISNUMBER(INDEX('My equipment'!$J$4:$J$503,(_calc!$E$66-500))),TEXT(INDEX('My equipment'!$J$4:$J$503,(_calc!$E$66-500)),"yyyy-mm-dd"),""))=0,"","Parts end: "&amp;IF(ISNUMBER(INDEX('My equipment'!$J$4:$J$503,(_calc!$E$66-500))),TEXT(INDEX('My equipment'!$J$4:$J$503,(_calc!$E$66-500)),"yyyy-mm-dd"),"")&amp;". ")&amp;IF(LEN(IF(ISNUMBER(INDEX('My equipment'!$L$4:$L$503,(_calc!$E$66-500))),TEXT(INDEX('My equipment'!$L$4:$L$503,(_calc!$E$66-500)),"yyyy-mm-dd"),""))=0,"","Labor end: "&amp;IF(ISNUMBER(INDEX('My equipment'!$L$4:$L$503,(_calc!$E$66-500))),TEXT(INDEX('My equipment'!$L$4:$L$503,(_calc!$E$66-500)),"yyyy-mm-dd"),"")&amp;". ")&amp;IF(LEN(IF(ISNUMBER(INDEX('My equipment'!$P$4:$P$503,(_calc!$E$66-500))),TEXT(INDEX('My equipment'!$P$4:$P$503,(_calc!$E$66-500)),"yyyy-mm-dd"),""))=0,"","Check by: "&amp;IF(ISNUMBER(INDEX('My equipment'!$P$4:$P$503,(_calc!$E$66-500))),TEXT(INDEX('My equipment'!$P$4:$P$503,(_calc!$E$66-500)),"yyyy-mm-dd"),"")&amp;". ")&amp;IF(LEN(IF(LEN(INDEX('My equipment'!$Q$4:$Q$503,(_calc!$E$66-500)))=0,"",INDEX('My equipment'!$Q$4:$Q$503,(_calc!$E$66-500))))=0,"","Claim status: "&amp;IF(LEN(INDEX('My equipment'!$Q$4:$Q$503,(_calc!$E$66-500)))=0,"",INDEX('My equipment'!$Q$4:$Q$503,(_calc!$E$66-500)))&amp;". ")&amp;IF(LEN(IF(LEN(INDEX('My equipment'!$R$4:$R$503,(_calc!$E$66-500)))=0,"",INDEX('My equipment'!$R$4:$R$503,(_calc!$E$66-500))))=0,"","Claims contact: "&amp;IF(LEN(INDEX('My equipment'!$R$4:$R$503,(_calc!$E$66-500)))=0,"",INDEX('My equipment'!$R$4:$R$503,(_calc!$E$66-500)))&amp;". ")&amp;IF(LEN(IF(LEN(INDEX('My equipment'!$S$4:$S$503,(_calc!$E$66-500)))=0,"",INDEX('My equipment'!$S$4:$S$503,(_calc!$E$66-500))))=0,"","Claims email: "&amp;IF(LEN(INDEX('My equipment'!$S$4:$S$503,(_calc!$E$66-500)))=0,"",INDEX('My equipment'!$S$4:$S$503,(_calc!$E$66-500)))&amp;". ")&amp;IF(LEN(IF(LEN(INDEX('My equipment'!$U$4:$U$503,(_calc!$E$66-500)))=0,"",INDEX('My equipment'!$U$4:$U$503,(_calc!$E$66-500))))=0,"","Registered: "&amp;IF(LEN(INDEX('My equipment'!$U$4:$U$503,(_calc!$E$66-500)))=0,"",INDEX('My equipment'!$U$4:$U$503,(_calc!$E$66-500)))&amp;". ")&amp;IF(LEN(IF(LEN(INDEX('My equipment'!$V$4:$V$503,(_calc!$E$66-500)))=0,"",INDEX('My equipment'!$V$4:$V$503,(_calc!$E$66-500))))=0,"","Proof on file: "&amp;IF(LEN(INDEX('My equipment'!$V$4:$V$503,(_calc!$E$66-500)))=0,"",INDEX('My equipment'!$V$4:$V$503,(_calc!$E$66-500)))&amp;". ")&amp;IF(LEN(IF(LEN(INDEX('My equipment'!$W$4:$W$503,(_calc!$E$66-500)))=0,"",INDEX('My equipment'!$W$4:$W$503,(_calc!$E$66-500))))=0,"","Claim ref: "&amp;IF(LEN(INDEX('My equipment'!$W$4:$W$503,(_calc!$E$66-500)))=0,"",INDEX('My equipment'!$W$4:$W$503,(_calc!$E$66-500)))&amp;". ")&amp;IF(LEN(IF(LEN(INDEX('My equipment'!$Y$4:$Y$503,(_calc!$E$66-500)))=0,"",INDEX('My equipment'!$Y$4:$Y$503,(_calc!$E$66-500))))=0,"",IF(LEN(INDEX('My equipment'!$Y$4:$Y$503,(_calc!$E$66-500)))=0,"",INDEX('My equipment'!$Y$4:$Y$503,(_calc!$E$66-500)))))))</f>
        <v/>
      </c>
      <c r="G64" s="54">
        <f>IF(_calc!$E$66="","",IF(_calc!$E$66&lt;=500,"",IF(LEN(INDEX('My equipment'!$X$4:$X$503,(_calc!$E$66-500)))=0,"",INDEX('My equipment'!$X$4:$X$503,(_calc!$E$66-500)))))</f>
        <v/>
      </c>
      <c r="K64" s="54">
        <f>IF(_calc!$E$66="","",IF(_calc!$E$66&lt;=500,"",IF(LEN(INDEX('My equipment'!$T$4:$T$503,(_calc!$E$66-500)))=0,"",INDEX('My equipment'!$T$4:$T$503,(_calc!$E$66-500)))))</f>
        <v/>
      </c>
    </row>
    <row r="65">
      <c r="A65" s="54">
        <f>IF(_calc!$E$67="","",IF(_calc!$E$67&lt;=500,"Warranty – "&amp;IF(LEN(INDEX('Dealer pipeline'!$C$4:$C$503,_calc!$E$67))=0,"",INDEX('Dealer pipeline'!$C$4:$C$503,_calc!$E$67))&amp;" – "&amp;IF(LEN(INDEX('Dealer pipeline'!$D$4:$D$503,_calc!$E$67))=0,"",INDEX('Dealer pipeline'!$D$4:$D$503,_calc!$E$67))&amp;" – "&amp;IF(LEN(INDEX('Dealer pipeline'!$A$4:$A$503,_calc!$E$67))=0,"",INDEX('Dealer pipeline'!$A$4:$A$503,_calc!$E$67)),"Warranty – "&amp;IF(LEN(INDEX('My equipment'!$A$4:$A$503,(_calc!$E$67-500)))=0,"",INDEX('My equipment'!$A$4:$A$503,(_calc!$E$67-500)))&amp;" – "&amp;IF(LEN(INDEX('My equipment'!$D$4:$D$503,(_calc!$E$67-500)))=0,"",INDEX('My equipment'!$D$4:$D$503,(_calc!$E$67-500)))))</f>
        <v/>
      </c>
      <c r="B65" s="54">
        <f>IF(_calc!$E$67="","",IF(_calc!$E$67&lt;=500,IF(ISNUMBER(INDEX('Dealer pipeline'!$M$4:$M$503,_calc!$E$67)),TEXT(INDEX('Dealer pipeline'!$M$4:$M$503,_calc!$E$67),"yyyy-mm-dd"),""),IF(ISNUMBER(INDEX('My equipment'!$M$4:$M$503,(_calc!$E$67-500))),TEXT(INDEX('My equipment'!$M$4:$M$503,(_calc!$E$67-500)),"yyyy-mm-dd"),"")))</f>
        <v/>
      </c>
      <c r="C65" s="54">
        <f>IF(_calc!$E$67="","",IF(_calc!$E$67&lt;=500,"Warranty","Warranty"))</f>
        <v/>
      </c>
      <c r="D65" s="54">
        <f>IF(_calc!$E$67="","",IF(_calc!$E$67&lt;=500,IF(ISNUMBER(INDEX('Dealer pipeline'!$H$4:$H$503,_calc!$E$67)),TEXT(INDEX('Dealer pipeline'!$H$4:$H$503,_calc!$E$67),"yyyy-mm-dd"),""),IF(ISNUMBER(INDEX('My equipment'!$H$4:$H$503,(_calc!$E$67-500))),TEXT(INDEX('My equipment'!$H$4:$H$503,(_calc!$E$67-500)),"yyyy-mm-dd"),"")))</f>
        <v/>
      </c>
      <c r="F65" s="54">
        <f>IF(_calc!$E$67="","",IF(_calc!$E$67&lt;=500,TRIM(IF(LEN(IF(LEN(INDEX('Dealer pipeline'!$A$4:$A$503,_calc!$E$67))=0,"",INDEX('Dealer pipeline'!$A$4:$A$503,_calc!$E$67)))=0,"","Customer: "&amp;IF(LEN(INDEX('Dealer pipeline'!$A$4:$A$503,_calc!$E$67))=0,"",INDEX('Dealer pipeline'!$A$4:$A$503,_calc!$E$67))&amp;". ")&amp;IF(LEN(IF(LEN(INDEX('Dealer pipeline'!$B$4:$B$503,_calc!$E$67))=0,"",INDEX('Dealer pipeline'!$B$4:$B$503,_calc!$E$67)))=0,"","Contact: "&amp;IF(LEN(INDEX('Dealer pipeline'!$B$4:$B$503,_calc!$E$67))=0,"",INDEX('Dealer pipeline'!$B$4:$B$503,_calc!$E$67))&amp;". ")&amp;IF(LEN(IF(LEN(INDEX('Dealer pipeline'!$D$4:$D$503,_calc!$E$67))=0,"",INDEX('Dealer pipeline'!$D$4:$D$503,_calc!$E$67)))=0,"","Serial: "&amp;IF(LEN(INDEX('Dealer pipeline'!$D$4:$D$503,_calc!$E$67))=0,"",INDEX('Dealer pipeline'!$D$4:$D$503,_calc!$E$67))&amp;". ")&amp;IF(LEN(IF(ISNUMBER(INDEX('Dealer pipeline'!$J$4:$J$503,_calc!$E$67)),TEXT(INDEX('Dealer pipeline'!$J$4:$J$503,_calc!$E$67),"yyyy-mm-dd"),""))=0,"","Parts end: "&amp;IF(ISNUMBER(INDEX('Dealer pipeline'!$J$4:$J$503,_calc!$E$67)),TEXT(INDEX('Dealer pipeline'!$J$4:$J$503,_calc!$E$67),"yyyy-mm-dd"),"")&amp;". ")&amp;IF(LEN(IF(ISNUMBER(INDEX('Dealer pipeline'!$L$4:$L$503,_calc!$E$67)),TEXT(INDEX('Dealer pipeline'!$L$4:$L$503,_calc!$E$67),"yyyy-mm-dd"),""))=0,"","Labor end: "&amp;IF(ISNUMBER(INDEX('Dealer pipeline'!$L$4:$L$503,_calc!$E$67)),TEXT(INDEX('Dealer pipeline'!$L$4:$L$503,_calc!$E$67),"yyyy-mm-dd"),"")&amp;". ")&amp;IF(LEN(IF(LEN(INDEX('Dealer pipeline'!$Q$4:$Q$503,_calc!$E$67))=0,"",INDEX('Dealer pipeline'!$Q$4:$Q$503,_calc!$E$67)))=0,"","Status: "&amp;IF(LEN(INDEX('Dealer pipeline'!$Q$4:$Q$503,_calc!$E$67))=0,"",INDEX('Dealer pipeline'!$Q$4:$Q$503,_calc!$E$67))&amp;". ")&amp;IF(LEN(IF(LEN(INDEX('Dealer pipeline'!$P$4:$P$503,_calc!$E$67))=0,"",INDEX('Dealer pipeline'!$P$4:$P$503,_calc!$E$67)))=0,"","Last touch: "&amp;IF(LEN(INDEX('Dealer pipeline'!$P$4:$P$503,_calc!$E$67))=0,"",INDEX('Dealer pipeline'!$P$4:$P$503,_calc!$E$67))&amp;". ")&amp;IF(LEN(IF(LEN(INDEX('Dealer pipeline'!$R$4:$R$503,_calc!$E$67))=0,"",INDEX('Dealer pipeline'!$R$4:$R$503,_calc!$E$67)))=0,"","Owner: "&amp;IF(LEN(INDEX('Dealer pipeline'!$R$4:$R$503,_calc!$E$67))=0,"",INDEX('Dealer pipeline'!$R$4:$R$503,_calc!$E$67))&amp;". ")&amp;IF(LEN(IF(LEN(INDEX('Dealer pipeline'!$S$4:$S$503,_calc!$E$67))=0,"",INDEX('Dealer pipeline'!$S$4:$S$503,_calc!$E$67)))=0,"","Backup: "&amp;IF(LEN(INDEX('Dealer pipeline'!$S$4:$S$503,_calc!$E$67))=0,"",INDEX('Dealer pipeline'!$S$4:$S$503,_calc!$E$67))&amp;". ")&amp;IF(LEN(IF(LEN(INDEX('Dealer pipeline'!$T$4:$T$503,_calc!$E$67))=0,"",INDEX('Dealer pipeline'!$T$4:$T$503,_calc!$E$67)))=0,"",IF(LEN(INDEX('Dealer pipeline'!$T$4:$T$503,_calc!$E$67))=0,"",INDEX('Dealer pipeline'!$T$4:$T$503,_calc!$E$67)))),TRIM(IF(LEN(IF(LEN(INDEX('My equipment'!$C$4:$C$503,(_calc!$E$67-500)))=0,"",INDEX('My equipment'!$C$4:$C$503,(_calc!$E$67-500))))=0,"","Model: "&amp;IF(LEN(INDEX('My equipment'!$C$4:$C$503,(_calc!$E$67-500)))=0,"",INDEX('My equipment'!$C$4:$C$503,(_calc!$E$67-500)))&amp;". ")&amp;IF(LEN(IF(LEN(INDEX('My equipment'!$D$4:$D$503,(_calc!$E$67-500)))=0,"",INDEX('My equipment'!$D$4:$D$503,(_calc!$E$67-500))))=0,"","Serial: "&amp;IF(LEN(INDEX('My equipment'!$D$4:$D$503,(_calc!$E$67-500)))=0,"",INDEX('My equipment'!$D$4:$D$503,(_calc!$E$67-500)))&amp;". ")&amp;IF(LEN(IF(ISNUMBER(INDEX('My equipment'!$J$4:$J$503,(_calc!$E$67-500))),TEXT(INDEX('My equipment'!$J$4:$J$503,(_calc!$E$67-500)),"yyyy-mm-dd"),""))=0,"","Parts end: "&amp;IF(ISNUMBER(INDEX('My equipment'!$J$4:$J$503,(_calc!$E$67-500))),TEXT(INDEX('My equipment'!$J$4:$J$503,(_calc!$E$67-500)),"yyyy-mm-dd"),"")&amp;". ")&amp;IF(LEN(IF(ISNUMBER(INDEX('My equipment'!$L$4:$L$503,(_calc!$E$67-500))),TEXT(INDEX('My equipment'!$L$4:$L$503,(_calc!$E$67-500)),"yyyy-mm-dd"),""))=0,"","Labor end: "&amp;IF(ISNUMBER(INDEX('My equipment'!$L$4:$L$503,(_calc!$E$67-500))),TEXT(INDEX('My equipment'!$L$4:$L$503,(_calc!$E$67-500)),"yyyy-mm-dd"),"")&amp;". ")&amp;IF(LEN(IF(ISNUMBER(INDEX('My equipment'!$P$4:$P$503,(_calc!$E$67-500))),TEXT(INDEX('My equipment'!$P$4:$P$503,(_calc!$E$67-500)),"yyyy-mm-dd"),""))=0,"","Check by: "&amp;IF(ISNUMBER(INDEX('My equipment'!$P$4:$P$503,(_calc!$E$67-500))),TEXT(INDEX('My equipment'!$P$4:$P$503,(_calc!$E$67-500)),"yyyy-mm-dd"),"")&amp;". ")&amp;IF(LEN(IF(LEN(INDEX('My equipment'!$Q$4:$Q$503,(_calc!$E$67-500)))=0,"",INDEX('My equipment'!$Q$4:$Q$503,(_calc!$E$67-500))))=0,"","Claim status: "&amp;IF(LEN(INDEX('My equipment'!$Q$4:$Q$503,(_calc!$E$67-500)))=0,"",INDEX('My equipment'!$Q$4:$Q$503,(_calc!$E$67-500)))&amp;". ")&amp;IF(LEN(IF(LEN(INDEX('My equipment'!$R$4:$R$503,(_calc!$E$67-500)))=0,"",INDEX('My equipment'!$R$4:$R$503,(_calc!$E$67-500))))=0,"","Claims contact: "&amp;IF(LEN(INDEX('My equipment'!$R$4:$R$503,(_calc!$E$67-500)))=0,"",INDEX('My equipment'!$R$4:$R$503,(_calc!$E$67-500)))&amp;". ")&amp;IF(LEN(IF(LEN(INDEX('My equipment'!$S$4:$S$503,(_calc!$E$67-500)))=0,"",INDEX('My equipment'!$S$4:$S$503,(_calc!$E$67-500))))=0,"","Claims email: "&amp;IF(LEN(INDEX('My equipment'!$S$4:$S$503,(_calc!$E$67-500)))=0,"",INDEX('My equipment'!$S$4:$S$503,(_calc!$E$67-500)))&amp;". ")&amp;IF(LEN(IF(LEN(INDEX('My equipment'!$U$4:$U$503,(_calc!$E$67-500)))=0,"",INDEX('My equipment'!$U$4:$U$503,(_calc!$E$67-500))))=0,"","Registered: "&amp;IF(LEN(INDEX('My equipment'!$U$4:$U$503,(_calc!$E$67-500)))=0,"",INDEX('My equipment'!$U$4:$U$503,(_calc!$E$67-500)))&amp;". ")&amp;IF(LEN(IF(LEN(INDEX('My equipment'!$V$4:$V$503,(_calc!$E$67-500)))=0,"",INDEX('My equipment'!$V$4:$V$503,(_calc!$E$67-500))))=0,"","Proof on file: "&amp;IF(LEN(INDEX('My equipment'!$V$4:$V$503,(_calc!$E$67-500)))=0,"",INDEX('My equipment'!$V$4:$V$503,(_calc!$E$67-500)))&amp;". ")&amp;IF(LEN(IF(LEN(INDEX('My equipment'!$W$4:$W$503,(_calc!$E$67-500)))=0,"",INDEX('My equipment'!$W$4:$W$503,(_calc!$E$67-500))))=0,"","Claim ref: "&amp;IF(LEN(INDEX('My equipment'!$W$4:$W$503,(_calc!$E$67-500)))=0,"",INDEX('My equipment'!$W$4:$W$503,(_calc!$E$67-500)))&amp;". ")&amp;IF(LEN(IF(LEN(INDEX('My equipment'!$Y$4:$Y$503,(_calc!$E$67-500)))=0,"",INDEX('My equipment'!$Y$4:$Y$503,(_calc!$E$67-500))))=0,"",IF(LEN(INDEX('My equipment'!$Y$4:$Y$503,(_calc!$E$67-500)))=0,"",INDEX('My equipment'!$Y$4:$Y$503,(_calc!$E$67-500)))))))</f>
        <v/>
      </c>
      <c r="G65" s="54">
        <f>IF(_calc!$E$67="","",IF(_calc!$E$67&lt;=500,"",IF(LEN(INDEX('My equipment'!$X$4:$X$503,(_calc!$E$67-500)))=0,"",INDEX('My equipment'!$X$4:$X$503,(_calc!$E$67-500)))))</f>
        <v/>
      </c>
      <c r="K65" s="54">
        <f>IF(_calc!$E$67="","",IF(_calc!$E$67&lt;=500,"",IF(LEN(INDEX('My equipment'!$T$4:$T$503,(_calc!$E$67-500)))=0,"",INDEX('My equipment'!$T$4:$T$503,(_calc!$E$67-500)))))</f>
        <v/>
      </c>
    </row>
    <row r="66">
      <c r="A66" s="54">
        <f>IF(_calc!$E$68="","",IF(_calc!$E$68&lt;=500,"Warranty – "&amp;IF(LEN(INDEX('Dealer pipeline'!$C$4:$C$503,_calc!$E$68))=0,"",INDEX('Dealer pipeline'!$C$4:$C$503,_calc!$E$68))&amp;" – "&amp;IF(LEN(INDEX('Dealer pipeline'!$D$4:$D$503,_calc!$E$68))=0,"",INDEX('Dealer pipeline'!$D$4:$D$503,_calc!$E$68))&amp;" – "&amp;IF(LEN(INDEX('Dealer pipeline'!$A$4:$A$503,_calc!$E$68))=0,"",INDEX('Dealer pipeline'!$A$4:$A$503,_calc!$E$68)),"Warranty – "&amp;IF(LEN(INDEX('My equipment'!$A$4:$A$503,(_calc!$E$68-500)))=0,"",INDEX('My equipment'!$A$4:$A$503,(_calc!$E$68-500)))&amp;" – "&amp;IF(LEN(INDEX('My equipment'!$D$4:$D$503,(_calc!$E$68-500)))=0,"",INDEX('My equipment'!$D$4:$D$503,(_calc!$E$68-500)))))</f>
        <v/>
      </c>
      <c r="B66" s="54">
        <f>IF(_calc!$E$68="","",IF(_calc!$E$68&lt;=500,IF(ISNUMBER(INDEX('Dealer pipeline'!$M$4:$M$503,_calc!$E$68)),TEXT(INDEX('Dealer pipeline'!$M$4:$M$503,_calc!$E$68),"yyyy-mm-dd"),""),IF(ISNUMBER(INDEX('My equipment'!$M$4:$M$503,(_calc!$E$68-500))),TEXT(INDEX('My equipment'!$M$4:$M$503,(_calc!$E$68-500)),"yyyy-mm-dd"),"")))</f>
        <v/>
      </c>
      <c r="C66" s="54">
        <f>IF(_calc!$E$68="","",IF(_calc!$E$68&lt;=500,"Warranty","Warranty"))</f>
        <v/>
      </c>
      <c r="D66" s="54">
        <f>IF(_calc!$E$68="","",IF(_calc!$E$68&lt;=500,IF(ISNUMBER(INDEX('Dealer pipeline'!$H$4:$H$503,_calc!$E$68)),TEXT(INDEX('Dealer pipeline'!$H$4:$H$503,_calc!$E$68),"yyyy-mm-dd"),""),IF(ISNUMBER(INDEX('My equipment'!$H$4:$H$503,(_calc!$E$68-500))),TEXT(INDEX('My equipment'!$H$4:$H$503,(_calc!$E$68-500)),"yyyy-mm-dd"),"")))</f>
        <v/>
      </c>
      <c r="F66" s="54">
        <f>IF(_calc!$E$68="","",IF(_calc!$E$68&lt;=500,TRIM(IF(LEN(IF(LEN(INDEX('Dealer pipeline'!$A$4:$A$503,_calc!$E$68))=0,"",INDEX('Dealer pipeline'!$A$4:$A$503,_calc!$E$68)))=0,"","Customer: "&amp;IF(LEN(INDEX('Dealer pipeline'!$A$4:$A$503,_calc!$E$68))=0,"",INDEX('Dealer pipeline'!$A$4:$A$503,_calc!$E$68))&amp;". ")&amp;IF(LEN(IF(LEN(INDEX('Dealer pipeline'!$B$4:$B$503,_calc!$E$68))=0,"",INDEX('Dealer pipeline'!$B$4:$B$503,_calc!$E$68)))=0,"","Contact: "&amp;IF(LEN(INDEX('Dealer pipeline'!$B$4:$B$503,_calc!$E$68))=0,"",INDEX('Dealer pipeline'!$B$4:$B$503,_calc!$E$68))&amp;". ")&amp;IF(LEN(IF(LEN(INDEX('Dealer pipeline'!$D$4:$D$503,_calc!$E$68))=0,"",INDEX('Dealer pipeline'!$D$4:$D$503,_calc!$E$68)))=0,"","Serial: "&amp;IF(LEN(INDEX('Dealer pipeline'!$D$4:$D$503,_calc!$E$68))=0,"",INDEX('Dealer pipeline'!$D$4:$D$503,_calc!$E$68))&amp;". ")&amp;IF(LEN(IF(ISNUMBER(INDEX('Dealer pipeline'!$J$4:$J$503,_calc!$E$68)),TEXT(INDEX('Dealer pipeline'!$J$4:$J$503,_calc!$E$68),"yyyy-mm-dd"),""))=0,"","Parts end: "&amp;IF(ISNUMBER(INDEX('Dealer pipeline'!$J$4:$J$503,_calc!$E$68)),TEXT(INDEX('Dealer pipeline'!$J$4:$J$503,_calc!$E$68),"yyyy-mm-dd"),"")&amp;". ")&amp;IF(LEN(IF(ISNUMBER(INDEX('Dealer pipeline'!$L$4:$L$503,_calc!$E$68)),TEXT(INDEX('Dealer pipeline'!$L$4:$L$503,_calc!$E$68),"yyyy-mm-dd"),""))=0,"","Labor end: "&amp;IF(ISNUMBER(INDEX('Dealer pipeline'!$L$4:$L$503,_calc!$E$68)),TEXT(INDEX('Dealer pipeline'!$L$4:$L$503,_calc!$E$68),"yyyy-mm-dd"),"")&amp;". ")&amp;IF(LEN(IF(LEN(INDEX('Dealer pipeline'!$Q$4:$Q$503,_calc!$E$68))=0,"",INDEX('Dealer pipeline'!$Q$4:$Q$503,_calc!$E$68)))=0,"","Status: "&amp;IF(LEN(INDEX('Dealer pipeline'!$Q$4:$Q$503,_calc!$E$68))=0,"",INDEX('Dealer pipeline'!$Q$4:$Q$503,_calc!$E$68))&amp;". ")&amp;IF(LEN(IF(LEN(INDEX('Dealer pipeline'!$P$4:$P$503,_calc!$E$68))=0,"",INDEX('Dealer pipeline'!$P$4:$P$503,_calc!$E$68)))=0,"","Last touch: "&amp;IF(LEN(INDEX('Dealer pipeline'!$P$4:$P$503,_calc!$E$68))=0,"",INDEX('Dealer pipeline'!$P$4:$P$503,_calc!$E$68))&amp;". ")&amp;IF(LEN(IF(LEN(INDEX('Dealer pipeline'!$R$4:$R$503,_calc!$E$68))=0,"",INDEX('Dealer pipeline'!$R$4:$R$503,_calc!$E$68)))=0,"","Owner: "&amp;IF(LEN(INDEX('Dealer pipeline'!$R$4:$R$503,_calc!$E$68))=0,"",INDEX('Dealer pipeline'!$R$4:$R$503,_calc!$E$68))&amp;". ")&amp;IF(LEN(IF(LEN(INDEX('Dealer pipeline'!$S$4:$S$503,_calc!$E$68))=0,"",INDEX('Dealer pipeline'!$S$4:$S$503,_calc!$E$68)))=0,"","Backup: "&amp;IF(LEN(INDEX('Dealer pipeline'!$S$4:$S$503,_calc!$E$68))=0,"",INDEX('Dealer pipeline'!$S$4:$S$503,_calc!$E$68))&amp;". ")&amp;IF(LEN(IF(LEN(INDEX('Dealer pipeline'!$T$4:$T$503,_calc!$E$68))=0,"",INDEX('Dealer pipeline'!$T$4:$T$503,_calc!$E$68)))=0,"",IF(LEN(INDEX('Dealer pipeline'!$T$4:$T$503,_calc!$E$68))=0,"",INDEX('Dealer pipeline'!$T$4:$T$503,_calc!$E$68)))),TRIM(IF(LEN(IF(LEN(INDEX('My equipment'!$C$4:$C$503,(_calc!$E$68-500)))=0,"",INDEX('My equipment'!$C$4:$C$503,(_calc!$E$68-500))))=0,"","Model: "&amp;IF(LEN(INDEX('My equipment'!$C$4:$C$503,(_calc!$E$68-500)))=0,"",INDEX('My equipment'!$C$4:$C$503,(_calc!$E$68-500)))&amp;". ")&amp;IF(LEN(IF(LEN(INDEX('My equipment'!$D$4:$D$503,(_calc!$E$68-500)))=0,"",INDEX('My equipment'!$D$4:$D$503,(_calc!$E$68-500))))=0,"","Serial: "&amp;IF(LEN(INDEX('My equipment'!$D$4:$D$503,(_calc!$E$68-500)))=0,"",INDEX('My equipment'!$D$4:$D$503,(_calc!$E$68-500)))&amp;". ")&amp;IF(LEN(IF(ISNUMBER(INDEX('My equipment'!$J$4:$J$503,(_calc!$E$68-500))),TEXT(INDEX('My equipment'!$J$4:$J$503,(_calc!$E$68-500)),"yyyy-mm-dd"),""))=0,"","Parts end: "&amp;IF(ISNUMBER(INDEX('My equipment'!$J$4:$J$503,(_calc!$E$68-500))),TEXT(INDEX('My equipment'!$J$4:$J$503,(_calc!$E$68-500)),"yyyy-mm-dd"),"")&amp;". ")&amp;IF(LEN(IF(ISNUMBER(INDEX('My equipment'!$L$4:$L$503,(_calc!$E$68-500))),TEXT(INDEX('My equipment'!$L$4:$L$503,(_calc!$E$68-500)),"yyyy-mm-dd"),""))=0,"","Labor end: "&amp;IF(ISNUMBER(INDEX('My equipment'!$L$4:$L$503,(_calc!$E$68-500))),TEXT(INDEX('My equipment'!$L$4:$L$503,(_calc!$E$68-500)),"yyyy-mm-dd"),"")&amp;". ")&amp;IF(LEN(IF(ISNUMBER(INDEX('My equipment'!$P$4:$P$503,(_calc!$E$68-500))),TEXT(INDEX('My equipment'!$P$4:$P$503,(_calc!$E$68-500)),"yyyy-mm-dd"),""))=0,"","Check by: "&amp;IF(ISNUMBER(INDEX('My equipment'!$P$4:$P$503,(_calc!$E$68-500))),TEXT(INDEX('My equipment'!$P$4:$P$503,(_calc!$E$68-500)),"yyyy-mm-dd"),"")&amp;". ")&amp;IF(LEN(IF(LEN(INDEX('My equipment'!$Q$4:$Q$503,(_calc!$E$68-500)))=0,"",INDEX('My equipment'!$Q$4:$Q$503,(_calc!$E$68-500))))=0,"","Claim status: "&amp;IF(LEN(INDEX('My equipment'!$Q$4:$Q$503,(_calc!$E$68-500)))=0,"",INDEX('My equipment'!$Q$4:$Q$503,(_calc!$E$68-500)))&amp;". ")&amp;IF(LEN(IF(LEN(INDEX('My equipment'!$R$4:$R$503,(_calc!$E$68-500)))=0,"",INDEX('My equipment'!$R$4:$R$503,(_calc!$E$68-500))))=0,"","Claims contact: "&amp;IF(LEN(INDEX('My equipment'!$R$4:$R$503,(_calc!$E$68-500)))=0,"",INDEX('My equipment'!$R$4:$R$503,(_calc!$E$68-500)))&amp;". ")&amp;IF(LEN(IF(LEN(INDEX('My equipment'!$S$4:$S$503,(_calc!$E$68-500)))=0,"",INDEX('My equipment'!$S$4:$S$503,(_calc!$E$68-500))))=0,"","Claims email: "&amp;IF(LEN(INDEX('My equipment'!$S$4:$S$503,(_calc!$E$68-500)))=0,"",INDEX('My equipment'!$S$4:$S$503,(_calc!$E$68-500)))&amp;". ")&amp;IF(LEN(IF(LEN(INDEX('My equipment'!$U$4:$U$503,(_calc!$E$68-500)))=0,"",INDEX('My equipment'!$U$4:$U$503,(_calc!$E$68-500))))=0,"","Registered: "&amp;IF(LEN(INDEX('My equipment'!$U$4:$U$503,(_calc!$E$68-500)))=0,"",INDEX('My equipment'!$U$4:$U$503,(_calc!$E$68-500)))&amp;". ")&amp;IF(LEN(IF(LEN(INDEX('My equipment'!$V$4:$V$503,(_calc!$E$68-500)))=0,"",INDEX('My equipment'!$V$4:$V$503,(_calc!$E$68-500))))=0,"","Proof on file: "&amp;IF(LEN(INDEX('My equipment'!$V$4:$V$503,(_calc!$E$68-500)))=0,"",INDEX('My equipment'!$V$4:$V$503,(_calc!$E$68-500)))&amp;". ")&amp;IF(LEN(IF(LEN(INDEX('My equipment'!$W$4:$W$503,(_calc!$E$68-500)))=0,"",INDEX('My equipment'!$W$4:$W$503,(_calc!$E$68-500))))=0,"","Claim ref: "&amp;IF(LEN(INDEX('My equipment'!$W$4:$W$503,(_calc!$E$68-500)))=0,"",INDEX('My equipment'!$W$4:$W$503,(_calc!$E$68-500)))&amp;". ")&amp;IF(LEN(IF(LEN(INDEX('My equipment'!$Y$4:$Y$503,(_calc!$E$68-500)))=0,"",INDEX('My equipment'!$Y$4:$Y$503,(_calc!$E$68-500))))=0,"",IF(LEN(INDEX('My equipment'!$Y$4:$Y$503,(_calc!$E$68-500)))=0,"",INDEX('My equipment'!$Y$4:$Y$503,(_calc!$E$68-500)))))))</f>
        <v/>
      </c>
      <c r="G66" s="54">
        <f>IF(_calc!$E$68="","",IF(_calc!$E$68&lt;=500,"",IF(LEN(INDEX('My equipment'!$X$4:$X$503,(_calc!$E$68-500)))=0,"",INDEX('My equipment'!$X$4:$X$503,(_calc!$E$68-500)))))</f>
        <v/>
      </c>
      <c r="K66" s="54">
        <f>IF(_calc!$E$68="","",IF(_calc!$E$68&lt;=500,"",IF(LEN(INDEX('My equipment'!$T$4:$T$503,(_calc!$E$68-500)))=0,"",INDEX('My equipment'!$T$4:$T$503,(_calc!$E$68-500)))))</f>
        <v/>
      </c>
    </row>
    <row r="67">
      <c r="A67" s="54">
        <f>IF(_calc!$E$69="","",IF(_calc!$E$69&lt;=500,"Warranty – "&amp;IF(LEN(INDEX('Dealer pipeline'!$C$4:$C$503,_calc!$E$69))=0,"",INDEX('Dealer pipeline'!$C$4:$C$503,_calc!$E$69))&amp;" – "&amp;IF(LEN(INDEX('Dealer pipeline'!$D$4:$D$503,_calc!$E$69))=0,"",INDEX('Dealer pipeline'!$D$4:$D$503,_calc!$E$69))&amp;" – "&amp;IF(LEN(INDEX('Dealer pipeline'!$A$4:$A$503,_calc!$E$69))=0,"",INDEX('Dealer pipeline'!$A$4:$A$503,_calc!$E$69)),"Warranty – "&amp;IF(LEN(INDEX('My equipment'!$A$4:$A$503,(_calc!$E$69-500)))=0,"",INDEX('My equipment'!$A$4:$A$503,(_calc!$E$69-500)))&amp;" – "&amp;IF(LEN(INDEX('My equipment'!$D$4:$D$503,(_calc!$E$69-500)))=0,"",INDEX('My equipment'!$D$4:$D$503,(_calc!$E$69-500)))))</f>
        <v/>
      </c>
      <c r="B67" s="54">
        <f>IF(_calc!$E$69="","",IF(_calc!$E$69&lt;=500,IF(ISNUMBER(INDEX('Dealer pipeline'!$M$4:$M$503,_calc!$E$69)),TEXT(INDEX('Dealer pipeline'!$M$4:$M$503,_calc!$E$69),"yyyy-mm-dd"),""),IF(ISNUMBER(INDEX('My equipment'!$M$4:$M$503,(_calc!$E$69-500))),TEXT(INDEX('My equipment'!$M$4:$M$503,(_calc!$E$69-500)),"yyyy-mm-dd"),"")))</f>
        <v/>
      </c>
      <c r="C67" s="54">
        <f>IF(_calc!$E$69="","",IF(_calc!$E$69&lt;=500,"Warranty","Warranty"))</f>
        <v/>
      </c>
      <c r="D67" s="54">
        <f>IF(_calc!$E$69="","",IF(_calc!$E$69&lt;=500,IF(ISNUMBER(INDEX('Dealer pipeline'!$H$4:$H$503,_calc!$E$69)),TEXT(INDEX('Dealer pipeline'!$H$4:$H$503,_calc!$E$69),"yyyy-mm-dd"),""),IF(ISNUMBER(INDEX('My equipment'!$H$4:$H$503,(_calc!$E$69-500))),TEXT(INDEX('My equipment'!$H$4:$H$503,(_calc!$E$69-500)),"yyyy-mm-dd"),"")))</f>
        <v/>
      </c>
      <c r="F67" s="54">
        <f>IF(_calc!$E$69="","",IF(_calc!$E$69&lt;=500,TRIM(IF(LEN(IF(LEN(INDEX('Dealer pipeline'!$A$4:$A$503,_calc!$E$69))=0,"",INDEX('Dealer pipeline'!$A$4:$A$503,_calc!$E$69)))=0,"","Customer: "&amp;IF(LEN(INDEX('Dealer pipeline'!$A$4:$A$503,_calc!$E$69))=0,"",INDEX('Dealer pipeline'!$A$4:$A$503,_calc!$E$69))&amp;". ")&amp;IF(LEN(IF(LEN(INDEX('Dealer pipeline'!$B$4:$B$503,_calc!$E$69))=0,"",INDEX('Dealer pipeline'!$B$4:$B$503,_calc!$E$69)))=0,"","Contact: "&amp;IF(LEN(INDEX('Dealer pipeline'!$B$4:$B$503,_calc!$E$69))=0,"",INDEX('Dealer pipeline'!$B$4:$B$503,_calc!$E$69))&amp;". ")&amp;IF(LEN(IF(LEN(INDEX('Dealer pipeline'!$D$4:$D$503,_calc!$E$69))=0,"",INDEX('Dealer pipeline'!$D$4:$D$503,_calc!$E$69)))=0,"","Serial: "&amp;IF(LEN(INDEX('Dealer pipeline'!$D$4:$D$503,_calc!$E$69))=0,"",INDEX('Dealer pipeline'!$D$4:$D$503,_calc!$E$69))&amp;". ")&amp;IF(LEN(IF(ISNUMBER(INDEX('Dealer pipeline'!$J$4:$J$503,_calc!$E$69)),TEXT(INDEX('Dealer pipeline'!$J$4:$J$503,_calc!$E$69),"yyyy-mm-dd"),""))=0,"","Parts end: "&amp;IF(ISNUMBER(INDEX('Dealer pipeline'!$J$4:$J$503,_calc!$E$69)),TEXT(INDEX('Dealer pipeline'!$J$4:$J$503,_calc!$E$69),"yyyy-mm-dd"),"")&amp;". ")&amp;IF(LEN(IF(ISNUMBER(INDEX('Dealer pipeline'!$L$4:$L$503,_calc!$E$69)),TEXT(INDEX('Dealer pipeline'!$L$4:$L$503,_calc!$E$69),"yyyy-mm-dd"),""))=0,"","Labor end: "&amp;IF(ISNUMBER(INDEX('Dealer pipeline'!$L$4:$L$503,_calc!$E$69)),TEXT(INDEX('Dealer pipeline'!$L$4:$L$503,_calc!$E$69),"yyyy-mm-dd"),"")&amp;". ")&amp;IF(LEN(IF(LEN(INDEX('Dealer pipeline'!$Q$4:$Q$503,_calc!$E$69))=0,"",INDEX('Dealer pipeline'!$Q$4:$Q$503,_calc!$E$69)))=0,"","Status: "&amp;IF(LEN(INDEX('Dealer pipeline'!$Q$4:$Q$503,_calc!$E$69))=0,"",INDEX('Dealer pipeline'!$Q$4:$Q$503,_calc!$E$69))&amp;". ")&amp;IF(LEN(IF(LEN(INDEX('Dealer pipeline'!$P$4:$P$503,_calc!$E$69))=0,"",INDEX('Dealer pipeline'!$P$4:$P$503,_calc!$E$69)))=0,"","Last touch: "&amp;IF(LEN(INDEX('Dealer pipeline'!$P$4:$P$503,_calc!$E$69))=0,"",INDEX('Dealer pipeline'!$P$4:$P$503,_calc!$E$69))&amp;". ")&amp;IF(LEN(IF(LEN(INDEX('Dealer pipeline'!$R$4:$R$503,_calc!$E$69))=0,"",INDEX('Dealer pipeline'!$R$4:$R$503,_calc!$E$69)))=0,"","Owner: "&amp;IF(LEN(INDEX('Dealer pipeline'!$R$4:$R$503,_calc!$E$69))=0,"",INDEX('Dealer pipeline'!$R$4:$R$503,_calc!$E$69))&amp;". ")&amp;IF(LEN(IF(LEN(INDEX('Dealer pipeline'!$S$4:$S$503,_calc!$E$69))=0,"",INDEX('Dealer pipeline'!$S$4:$S$503,_calc!$E$69)))=0,"","Backup: "&amp;IF(LEN(INDEX('Dealer pipeline'!$S$4:$S$503,_calc!$E$69))=0,"",INDEX('Dealer pipeline'!$S$4:$S$503,_calc!$E$69))&amp;". ")&amp;IF(LEN(IF(LEN(INDEX('Dealer pipeline'!$T$4:$T$503,_calc!$E$69))=0,"",INDEX('Dealer pipeline'!$T$4:$T$503,_calc!$E$69)))=0,"",IF(LEN(INDEX('Dealer pipeline'!$T$4:$T$503,_calc!$E$69))=0,"",INDEX('Dealer pipeline'!$T$4:$T$503,_calc!$E$69)))),TRIM(IF(LEN(IF(LEN(INDEX('My equipment'!$C$4:$C$503,(_calc!$E$69-500)))=0,"",INDEX('My equipment'!$C$4:$C$503,(_calc!$E$69-500))))=0,"","Model: "&amp;IF(LEN(INDEX('My equipment'!$C$4:$C$503,(_calc!$E$69-500)))=0,"",INDEX('My equipment'!$C$4:$C$503,(_calc!$E$69-500)))&amp;". ")&amp;IF(LEN(IF(LEN(INDEX('My equipment'!$D$4:$D$503,(_calc!$E$69-500)))=0,"",INDEX('My equipment'!$D$4:$D$503,(_calc!$E$69-500))))=0,"","Serial: "&amp;IF(LEN(INDEX('My equipment'!$D$4:$D$503,(_calc!$E$69-500)))=0,"",INDEX('My equipment'!$D$4:$D$503,(_calc!$E$69-500)))&amp;". ")&amp;IF(LEN(IF(ISNUMBER(INDEX('My equipment'!$J$4:$J$503,(_calc!$E$69-500))),TEXT(INDEX('My equipment'!$J$4:$J$503,(_calc!$E$69-500)),"yyyy-mm-dd"),""))=0,"","Parts end: "&amp;IF(ISNUMBER(INDEX('My equipment'!$J$4:$J$503,(_calc!$E$69-500))),TEXT(INDEX('My equipment'!$J$4:$J$503,(_calc!$E$69-500)),"yyyy-mm-dd"),"")&amp;". ")&amp;IF(LEN(IF(ISNUMBER(INDEX('My equipment'!$L$4:$L$503,(_calc!$E$69-500))),TEXT(INDEX('My equipment'!$L$4:$L$503,(_calc!$E$69-500)),"yyyy-mm-dd"),""))=0,"","Labor end: "&amp;IF(ISNUMBER(INDEX('My equipment'!$L$4:$L$503,(_calc!$E$69-500))),TEXT(INDEX('My equipment'!$L$4:$L$503,(_calc!$E$69-500)),"yyyy-mm-dd"),"")&amp;". ")&amp;IF(LEN(IF(ISNUMBER(INDEX('My equipment'!$P$4:$P$503,(_calc!$E$69-500))),TEXT(INDEX('My equipment'!$P$4:$P$503,(_calc!$E$69-500)),"yyyy-mm-dd"),""))=0,"","Check by: "&amp;IF(ISNUMBER(INDEX('My equipment'!$P$4:$P$503,(_calc!$E$69-500))),TEXT(INDEX('My equipment'!$P$4:$P$503,(_calc!$E$69-500)),"yyyy-mm-dd"),"")&amp;". ")&amp;IF(LEN(IF(LEN(INDEX('My equipment'!$Q$4:$Q$503,(_calc!$E$69-500)))=0,"",INDEX('My equipment'!$Q$4:$Q$503,(_calc!$E$69-500))))=0,"","Claim status: "&amp;IF(LEN(INDEX('My equipment'!$Q$4:$Q$503,(_calc!$E$69-500)))=0,"",INDEX('My equipment'!$Q$4:$Q$503,(_calc!$E$69-500)))&amp;". ")&amp;IF(LEN(IF(LEN(INDEX('My equipment'!$R$4:$R$503,(_calc!$E$69-500)))=0,"",INDEX('My equipment'!$R$4:$R$503,(_calc!$E$69-500))))=0,"","Claims contact: "&amp;IF(LEN(INDEX('My equipment'!$R$4:$R$503,(_calc!$E$69-500)))=0,"",INDEX('My equipment'!$R$4:$R$503,(_calc!$E$69-500)))&amp;". ")&amp;IF(LEN(IF(LEN(INDEX('My equipment'!$S$4:$S$503,(_calc!$E$69-500)))=0,"",INDEX('My equipment'!$S$4:$S$503,(_calc!$E$69-500))))=0,"","Claims email: "&amp;IF(LEN(INDEX('My equipment'!$S$4:$S$503,(_calc!$E$69-500)))=0,"",INDEX('My equipment'!$S$4:$S$503,(_calc!$E$69-500)))&amp;". ")&amp;IF(LEN(IF(LEN(INDEX('My equipment'!$U$4:$U$503,(_calc!$E$69-500)))=0,"",INDEX('My equipment'!$U$4:$U$503,(_calc!$E$69-500))))=0,"","Registered: "&amp;IF(LEN(INDEX('My equipment'!$U$4:$U$503,(_calc!$E$69-500)))=0,"",INDEX('My equipment'!$U$4:$U$503,(_calc!$E$69-500)))&amp;". ")&amp;IF(LEN(IF(LEN(INDEX('My equipment'!$V$4:$V$503,(_calc!$E$69-500)))=0,"",INDEX('My equipment'!$V$4:$V$503,(_calc!$E$69-500))))=0,"","Proof on file: "&amp;IF(LEN(INDEX('My equipment'!$V$4:$V$503,(_calc!$E$69-500)))=0,"",INDEX('My equipment'!$V$4:$V$503,(_calc!$E$69-500)))&amp;". ")&amp;IF(LEN(IF(LEN(INDEX('My equipment'!$W$4:$W$503,(_calc!$E$69-500)))=0,"",INDEX('My equipment'!$W$4:$W$503,(_calc!$E$69-500))))=0,"","Claim ref: "&amp;IF(LEN(INDEX('My equipment'!$W$4:$W$503,(_calc!$E$69-500)))=0,"",INDEX('My equipment'!$W$4:$W$503,(_calc!$E$69-500)))&amp;". ")&amp;IF(LEN(IF(LEN(INDEX('My equipment'!$Y$4:$Y$503,(_calc!$E$69-500)))=0,"",INDEX('My equipment'!$Y$4:$Y$503,(_calc!$E$69-500))))=0,"",IF(LEN(INDEX('My equipment'!$Y$4:$Y$503,(_calc!$E$69-500)))=0,"",INDEX('My equipment'!$Y$4:$Y$503,(_calc!$E$69-500)))))))</f>
        <v/>
      </c>
      <c r="G67" s="54">
        <f>IF(_calc!$E$69="","",IF(_calc!$E$69&lt;=500,"",IF(LEN(INDEX('My equipment'!$X$4:$X$503,(_calc!$E$69-500)))=0,"",INDEX('My equipment'!$X$4:$X$503,(_calc!$E$69-500)))))</f>
        <v/>
      </c>
      <c r="K67" s="54">
        <f>IF(_calc!$E$69="","",IF(_calc!$E$69&lt;=500,"",IF(LEN(INDEX('My equipment'!$T$4:$T$503,(_calc!$E$69-500)))=0,"",INDEX('My equipment'!$T$4:$T$503,(_calc!$E$69-500)))))</f>
        <v/>
      </c>
    </row>
    <row r="68">
      <c r="A68" s="54">
        <f>IF(_calc!$E$70="","",IF(_calc!$E$70&lt;=500,"Warranty – "&amp;IF(LEN(INDEX('Dealer pipeline'!$C$4:$C$503,_calc!$E$70))=0,"",INDEX('Dealer pipeline'!$C$4:$C$503,_calc!$E$70))&amp;" – "&amp;IF(LEN(INDEX('Dealer pipeline'!$D$4:$D$503,_calc!$E$70))=0,"",INDEX('Dealer pipeline'!$D$4:$D$503,_calc!$E$70))&amp;" – "&amp;IF(LEN(INDEX('Dealer pipeline'!$A$4:$A$503,_calc!$E$70))=0,"",INDEX('Dealer pipeline'!$A$4:$A$503,_calc!$E$70)),"Warranty – "&amp;IF(LEN(INDEX('My equipment'!$A$4:$A$503,(_calc!$E$70-500)))=0,"",INDEX('My equipment'!$A$4:$A$503,(_calc!$E$70-500)))&amp;" – "&amp;IF(LEN(INDEX('My equipment'!$D$4:$D$503,(_calc!$E$70-500)))=0,"",INDEX('My equipment'!$D$4:$D$503,(_calc!$E$70-500)))))</f>
        <v/>
      </c>
      <c r="B68" s="54">
        <f>IF(_calc!$E$70="","",IF(_calc!$E$70&lt;=500,IF(ISNUMBER(INDEX('Dealer pipeline'!$M$4:$M$503,_calc!$E$70)),TEXT(INDEX('Dealer pipeline'!$M$4:$M$503,_calc!$E$70),"yyyy-mm-dd"),""),IF(ISNUMBER(INDEX('My equipment'!$M$4:$M$503,(_calc!$E$70-500))),TEXT(INDEX('My equipment'!$M$4:$M$503,(_calc!$E$70-500)),"yyyy-mm-dd"),"")))</f>
        <v/>
      </c>
      <c r="C68" s="54">
        <f>IF(_calc!$E$70="","",IF(_calc!$E$70&lt;=500,"Warranty","Warranty"))</f>
        <v/>
      </c>
      <c r="D68" s="54">
        <f>IF(_calc!$E$70="","",IF(_calc!$E$70&lt;=500,IF(ISNUMBER(INDEX('Dealer pipeline'!$H$4:$H$503,_calc!$E$70)),TEXT(INDEX('Dealer pipeline'!$H$4:$H$503,_calc!$E$70),"yyyy-mm-dd"),""),IF(ISNUMBER(INDEX('My equipment'!$H$4:$H$503,(_calc!$E$70-500))),TEXT(INDEX('My equipment'!$H$4:$H$503,(_calc!$E$70-500)),"yyyy-mm-dd"),"")))</f>
        <v/>
      </c>
      <c r="F68" s="54">
        <f>IF(_calc!$E$70="","",IF(_calc!$E$70&lt;=500,TRIM(IF(LEN(IF(LEN(INDEX('Dealer pipeline'!$A$4:$A$503,_calc!$E$70))=0,"",INDEX('Dealer pipeline'!$A$4:$A$503,_calc!$E$70)))=0,"","Customer: "&amp;IF(LEN(INDEX('Dealer pipeline'!$A$4:$A$503,_calc!$E$70))=0,"",INDEX('Dealer pipeline'!$A$4:$A$503,_calc!$E$70))&amp;". ")&amp;IF(LEN(IF(LEN(INDEX('Dealer pipeline'!$B$4:$B$503,_calc!$E$70))=0,"",INDEX('Dealer pipeline'!$B$4:$B$503,_calc!$E$70)))=0,"","Contact: "&amp;IF(LEN(INDEX('Dealer pipeline'!$B$4:$B$503,_calc!$E$70))=0,"",INDEX('Dealer pipeline'!$B$4:$B$503,_calc!$E$70))&amp;". ")&amp;IF(LEN(IF(LEN(INDEX('Dealer pipeline'!$D$4:$D$503,_calc!$E$70))=0,"",INDEX('Dealer pipeline'!$D$4:$D$503,_calc!$E$70)))=0,"","Serial: "&amp;IF(LEN(INDEX('Dealer pipeline'!$D$4:$D$503,_calc!$E$70))=0,"",INDEX('Dealer pipeline'!$D$4:$D$503,_calc!$E$70))&amp;". ")&amp;IF(LEN(IF(ISNUMBER(INDEX('Dealer pipeline'!$J$4:$J$503,_calc!$E$70)),TEXT(INDEX('Dealer pipeline'!$J$4:$J$503,_calc!$E$70),"yyyy-mm-dd"),""))=0,"","Parts end: "&amp;IF(ISNUMBER(INDEX('Dealer pipeline'!$J$4:$J$503,_calc!$E$70)),TEXT(INDEX('Dealer pipeline'!$J$4:$J$503,_calc!$E$70),"yyyy-mm-dd"),"")&amp;". ")&amp;IF(LEN(IF(ISNUMBER(INDEX('Dealer pipeline'!$L$4:$L$503,_calc!$E$70)),TEXT(INDEX('Dealer pipeline'!$L$4:$L$503,_calc!$E$70),"yyyy-mm-dd"),""))=0,"","Labor end: "&amp;IF(ISNUMBER(INDEX('Dealer pipeline'!$L$4:$L$503,_calc!$E$70)),TEXT(INDEX('Dealer pipeline'!$L$4:$L$503,_calc!$E$70),"yyyy-mm-dd"),"")&amp;". ")&amp;IF(LEN(IF(LEN(INDEX('Dealer pipeline'!$Q$4:$Q$503,_calc!$E$70))=0,"",INDEX('Dealer pipeline'!$Q$4:$Q$503,_calc!$E$70)))=0,"","Status: "&amp;IF(LEN(INDEX('Dealer pipeline'!$Q$4:$Q$503,_calc!$E$70))=0,"",INDEX('Dealer pipeline'!$Q$4:$Q$503,_calc!$E$70))&amp;". ")&amp;IF(LEN(IF(LEN(INDEX('Dealer pipeline'!$P$4:$P$503,_calc!$E$70))=0,"",INDEX('Dealer pipeline'!$P$4:$P$503,_calc!$E$70)))=0,"","Last touch: "&amp;IF(LEN(INDEX('Dealer pipeline'!$P$4:$P$503,_calc!$E$70))=0,"",INDEX('Dealer pipeline'!$P$4:$P$503,_calc!$E$70))&amp;". ")&amp;IF(LEN(IF(LEN(INDEX('Dealer pipeline'!$R$4:$R$503,_calc!$E$70))=0,"",INDEX('Dealer pipeline'!$R$4:$R$503,_calc!$E$70)))=0,"","Owner: "&amp;IF(LEN(INDEX('Dealer pipeline'!$R$4:$R$503,_calc!$E$70))=0,"",INDEX('Dealer pipeline'!$R$4:$R$503,_calc!$E$70))&amp;". ")&amp;IF(LEN(IF(LEN(INDEX('Dealer pipeline'!$S$4:$S$503,_calc!$E$70))=0,"",INDEX('Dealer pipeline'!$S$4:$S$503,_calc!$E$70)))=0,"","Backup: "&amp;IF(LEN(INDEX('Dealer pipeline'!$S$4:$S$503,_calc!$E$70))=0,"",INDEX('Dealer pipeline'!$S$4:$S$503,_calc!$E$70))&amp;". ")&amp;IF(LEN(IF(LEN(INDEX('Dealer pipeline'!$T$4:$T$503,_calc!$E$70))=0,"",INDEX('Dealer pipeline'!$T$4:$T$503,_calc!$E$70)))=0,"",IF(LEN(INDEX('Dealer pipeline'!$T$4:$T$503,_calc!$E$70))=0,"",INDEX('Dealer pipeline'!$T$4:$T$503,_calc!$E$70)))),TRIM(IF(LEN(IF(LEN(INDEX('My equipment'!$C$4:$C$503,(_calc!$E$70-500)))=0,"",INDEX('My equipment'!$C$4:$C$503,(_calc!$E$70-500))))=0,"","Model: "&amp;IF(LEN(INDEX('My equipment'!$C$4:$C$503,(_calc!$E$70-500)))=0,"",INDEX('My equipment'!$C$4:$C$503,(_calc!$E$70-500)))&amp;". ")&amp;IF(LEN(IF(LEN(INDEX('My equipment'!$D$4:$D$503,(_calc!$E$70-500)))=0,"",INDEX('My equipment'!$D$4:$D$503,(_calc!$E$70-500))))=0,"","Serial: "&amp;IF(LEN(INDEX('My equipment'!$D$4:$D$503,(_calc!$E$70-500)))=0,"",INDEX('My equipment'!$D$4:$D$503,(_calc!$E$70-500)))&amp;". ")&amp;IF(LEN(IF(ISNUMBER(INDEX('My equipment'!$J$4:$J$503,(_calc!$E$70-500))),TEXT(INDEX('My equipment'!$J$4:$J$503,(_calc!$E$70-500)),"yyyy-mm-dd"),""))=0,"","Parts end: "&amp;IF(ISNUMBER(INDEX('My equipment'!$J$4:$J$503,(_calc!$E$70-500))),TEXT(INDEX('My equipment'!$J$4:$J$503,(_calc!$E$70-500)),"yyyy-mm-dd"),"")&amp;". ")&amp;IF(LEN(IF(ISNUMBER(INDEX('My equipment'!$L$4:$L$503,(_calc!$E$70-500))),TEXT(INDEX('My equipment'!$L$4:$L$503,(_calc!$E$70-500)),"yyyy-mm-dd"),""))=0,"","Labor end: "&amp;IF(ISNUMBER(INDEX('My equipment'!$L$4:$L$503,(_calc!$E$70-500))),TEXT(INDEX('My equipment'!$L$4:$L$503,(_calc!$E$70-500)),"yyyy-mm-dd"),"")&amp;". ")&amp;IF(LEN(IF(ISNUMBER(INDEX('My equipment'!$P$4:$P$503,(_calc!$E$70-500))),TEXT(INDEX('My equipment'!$P$4:$P$503,(_calc!$E$70-500)),"yyyy-mm-dd"),""))=0,"","Check by: "&amp;IF(ISNUMBER(INDEX('My equipment'!$P$4:$P$503,(_calc!$E$70-500))),TEXT(INDEX('My equipment'!$P$4:$P$503,(_calc!$E$70-500)),"yyyy-mm-dd"),"")&amp;". ")&amp;IF(LEN(IF(LEN(INDEX('My equipment'!$Q$4:$Q$503,(_calc!$E$70-500)))=0,"",INDEX('My equipment'!$Q$4:$Q$503,(_calc!$E$70-500))))=0,"","Claim status: "&amp;IF(LEN(INDEX('My equipment'!$Q$4:$Q$503,(_calc!$E$70-500)))=0,"",INDEX('My equipment'!$Q$4:$Q$503,(_calc!$E$70-500)))&amp;". ")&amp;IF(LEN(IF(LEN(INDEX('My equipment'!$R$4:$R$503,(_calc!$E$70-500)))=0,"",INDEX('My equipment'!$R$4:$R$503,(_calc!$E$70-500))))=0,"","Claims contact: "&amp;IF(LEN(INDEX('My equipment'!$R$4:$R$503,(_calc!$E$70-500)))=0,"",INDEX('My equipment'!$R$4:$R$503,(_calc!$E$70-500)))&amp;". ")&amp;IF(LEN(IF(LEN(INDEX('My equipment'!$S$4:$S$503,(_calc!$E$70-500)))=0,"",INDEX('My equipment'!$S$4:$S$503,(_calc!$E$70-500))))=0,"","Claims email: "&amp;IF(LEN(INDEX('My equipment'!$S$4:$S$503,(_calc!$E$70-500)))=0,"",INDEX('My equipment'!$S$4:$S$503,(_calc!$E$70-500)))&amp;". ")&amp;IF(LEN(IF(LEN(INDEX('My equipment'!$U$4:$U$503,(_calc!$E$70-500)))=0,"",INDEX('My equipment'!$U$4:$U$503,(_calc!$E$70-500))))=0,"","Registered: "&amp;IF(LEN(INDEX('My equipment'!$U$4:$U$503,(_calc!$E$70-500)))=0,"",INDEX('My equipment'!$U$4:$U$503,(_calc!$E$70-500)))&amp;". ")&amp;IF(LEN(IF(LEN(INDEX('My equipment'!$V$4:$V$503,(_calc!$E$70-500)))=0,"",INDEX('My equipment'!$V$4:$V$503,(_calc!$E$70-500))))=0,"","Proof on file: "&amp;IF(LEN(INDEX('My equipment'!$V$4:$V$503,(_calc!$E$70-500)))=0,"",INDEX('My equipment'!$V$4:$V$503,(_calc!$E$70-500)))&amp;". ")&amp;IF(LEN(IF(LEN(INDEX('My equipment'!$W$4:$W$503,(_calc!$E$70-500)))=0,"",INDEX('My equipment'!$W$4:$W$503,(_calc!$E$70-500))))=0,"","Claim ref: "&amp;IF(LEN(INDEX('My equipment'!$W$4:$W$503,(_calc!$E$70-500)))=0,"",INDEX('My equipment'!$W$4:$W$503,(_calc!$E$70-500)))&amp;". ")&amp;IF(LEN(IF(LEN(INDEX('My equipment'!$Y$4:$Y$503,(_calc!$E$70-500)))=0,"",INDEX('My equipment'!$Y$4:$Y$503,(_calc!$E$70-500))))=0,"",IF(LEN(INDEX('My equipment'!$Y$4:$Y$503,(_calc!$E$70-500)))=0,"",INDEX('My equipment'!$Y$4:$Y$503,(_calc!$E$70-500)))))))</f>
        <v/>
      </c>
      <c r="G68" s="54">
        <f>IF(_calc!$E$70="","",IF(_calc!$E$70&lt;=500,"",IF(LEN(INDEX('My equipment'!$X$4:$X$503,(_calc!$E$70-500)))=0,"",INDEX('My equipment'!$X$4:$X$503,(_calc!$E$70-500)))))</f>
        <v/>
      </c>
      <c r="K68" s="54">
        <f>IF(_calc!$E$70="","",IF(_calc!$E$70&lt;=500,"",IF(LEN(INDEX('My equipment'!$T$4:$T$503,(_calc!$E$70-500)))=0,"",INDEX('My equipment'!$T$4:$T$503,(_calc!$E$70-500)))))</f>
        <v/>
      </c>
    </row>
    <row r="69">
      <c r="A69" s="54">
        <f>IF(_calc!$E$71="","",IF(_calc!$E$71&lt;=500,"Warranty – "&amp;IF(LEN(INDEX('Dealer pipeline'!$C$4:$C$503,_calc!$E$71))=0,"",INDEX('Dealer pipeline'!$C$4:$C$503,_calc!$E$71))&amp;" – "&amp;IF(LEN(INDEX('Dealer pipeline'!$D$4:$D$503,_calc!$E$71))=0,"",INDEX('Dealer pipeline'!$D$4:$D$503,_calc!$E$71))&amp;" – "&amp;IF(LEN(INDEX('Dealer pipeline'!$A$4:$A$503,_calc!$E$71))=0,"",INDEX('Dealer pipeline'!$A$4:$A$503,_calc!$E$71)),"Warranty – "&amp;IF(LEN(INDEX('My equipment'!$A$4:$A$503,(_calc!$E$71-500)))=0,"",INDEX('My equipment'!$A$4:$A$503,(_calc!$E$71-500)))&amp;" – "&amp;IF(LEN(INDEX('My equipment'!$D$4:$D$503,(_calc!$E$71-500)))=0,"",INDEX('My equipment'!$D$4:$D$503,(_calc!$E$71-500)))))</f>
        <v/>
      </c>
      <c r="B69" s="54">
        <f>IF(_calc!$E$71="","",IF(_calc!$E$71&lt;=500,IF(ISNUMBER(INDEX('Dealer pipeline'!$M$4:$M$503,_calc!$E$71)),TEXT(INDEX('Dealer pipeline'!$M$4:$M$503,_calc!$E$71),"yyyy-mm-dd"),""),IF(ISNUMBER(INDEX('My equipment'!$M$4:$M$503,(_calc!$E$71-500))),TEXT(INDEX('My equipment'!$M$4:$M$503,(_calc!$E$71-500)),"yyyy-mm-dd"),"")))</f>
        <v/>
      </c>
      <c r="C69" s="54">
        <f>IF(_calc!$E$71="","",IF(_calc!$E$71&lt;=500,"Warranty","Warranty"))</f>
        <v/>
      </c>
      <c r="D69" s="54">
        <f>IF(_calc!$E$71="","",IF(_calc!$E$71&lt;=500,IF(ISNUMBER(INDEX('Dealer pipeline'!$H$4:$H$503,_calc!$E$71)),TEXT(INDEX('Dealer pipeline'!$H$4:$H$503,_calc!$E$71),"yyyy-mm-dd"),""),IF(ISNUMBER(INDEX('My equipment'!$H$4:$H$503,(_calc!$E$71-500))),TEXT(INDEX('My equipment'!$H$4:$H$503,(_calc!$E$71-500)),"yyyy-mm-dd"),"")))</f>
        <v/>
      </c>
      <c r="F69" s="54">
        <f>IF(_calc!$E$71="","",IF(_calc!$E$71&lt;=500,TRIM(IF(LEN(IF(LEN(INDEX('Dealer pipeline'!$A$4:$A$503,_calc!$E$71))=0,"",INDEX('Dealer pipeline'!$A$4:$A$503,_calc!$E$71)))=0,"","Customer: "&amp;IF(LEN(INDEX('Dealer pipeline'!$A$4:$A$503,_calc!$E$71))=0,"",INDEX('Dealer pipeline'!$A$4:$A$503,_calc!$E$71))&amp;". ")&amp;IF(LEN(IF(LEN(INDEX('Dealer pipeline'!$B$4:$B$503,_calc!$E$71))=0,"",INDEX('Dealer pipeline'!$B$4:$B$503,_calc!$E$71)))=0,"","Contact: "&amp;IF(LEN(INDEX('Dealer pipeline'!$B$4:$B$503,_calc!$E$71))=0,"",INDEX('Dealer pipeline'!$B$4:$B$503,_calc!$E$71))&amp;". ")&amp;IF(LEN(IF(LEN(INDEX('Dealer pipeline'!$D$4:$D$503,_calc!$E$71))=0,"",INDEX('Dealer pipeline'!$D$4:$D$503,_calc!$E$71)))=0,"","Serial: "&amp;IF(LEN(INDEX('Dealer pipeline'!$D$4:$D$503,_calc!$E$71))=0,"",INDEX('Dealer pipeline'!$D$4:$D$503,_calc!$E$71))&amp;". ")&amp;IF(LEN(IF(ISNUMBER(INDEX('Dealer pipeline'!$J$4:$J$503,_calc!$E$71)),TEXT(INDEX('Dealer pipeline'!$J$4:$J$503,_calc!$E$71),"yyyy-mm-dd"),""))=0,"","Parts end: "&amp;IF(ISNUMBER(INDEX('Dealer pipeline'!$J$4:$J$503,_calc!$E$71)),TEXT(INDEX('Dealer pipeline'!$J$4:$J$503,_calc!$E$71),"yyyy-mm-dd"),"")&amp;". ")&amp;IF(LEN(IF(ISNUMBER(INDEX('Dealer pipeline'!$L$4:$L$503,_calc!$E$71)),TEXT(INDEX('Dealer pipeline'!$L$4:$L$503,_calc!$E$71),"yyyy-mm-dd"),""))=0,"","Labor end: "&amp;IF(ISNUMBER(INDEX('Dealer pipeline'!$L$4:$L$503,_calc!$E$71)),TEXT(INDEX('Dealer pipeline'!$L$4:$L$503,_calc!$E$71),"yyyy-mm-dd"),"")&amp;". ")&amp;IF(LEN(IF(LEN(INDEX('Dealer pipeline'!$Q$4:$Q$503,_calc!$E$71))=0,"",INDEX('Dealer pipeline'!$Q$4:$Q$503,_calc!$E$71)))=0,"","Status: "&amp;IF(LEN(INDEX('Dealer pipeline'!$Q$4:$Q$503,_calc!$E$71))=0,"",INDEX('Dealer pipeline'!$Q$4:$Q$503,_calc!$E$71))&amp;". ")&amp;IF(LEN(IF(LEN(INDEX('Dealer pipeline'!$P$4:$P$503,_calc!$E$71))=0,"",INDEX('Dealer pipeline'!$P$4:$P$503,_calc!$E$71)))=0,"","Last touch: "&amp;IF(LEN(INDEX('Dealer pipeline'!$P$4:$P$503,_calc!$E$71))=0,"",INDEX('Dealer pipeline'!$P$4:$P$503,_calc!$E$71))&amp;". ")&amp;IF(LEN(IF(LEN(INDEX('Dealer pipeline'!$R$4:$R$503,_calc!$E$71))=0,"",INDEX('Dealer pipeline'!$R$4:$R$503,_calc!$E$71)))=0,"","Owner: "&amp;IF(LEN(INDEX('Dealer pipeline'!$R$4:$R$503,_calc!$E$71))=0,"",INDEX('Dealer pipeline'!$R$4:$R$503,_calc!$E$71))&amp;". ")&amp;IF(LEN(IF(LEN(INDEX('Dealer pipeline'!$S$4:$S$503,_calc!$E$71))=0,"",INDEX('Dealer pipeline'!$S$4:$S$503,_calc!$E$71)))=0,"","Backup: "&amp;IF(LEN(INDEX('Dealer pipeline'!$S$4:$S$503,_calc!$E$71))=0,"",INDEX('Dealer pipeline'!$S$4:$S$503,_calc!$E$71))&amp;". ")&amp;IF(LEN(IF(LEN(INDEX('Dealer pipeline'!$T$4:$T$503,_calc!$E$71))=0,"",INDEX('Dealer pipeline'!$T$4:$T$503,_calc!$E$71)))=0,"",IF(LEN(INDEX('Dealer pipeline'!$T$4:$T$503,_calc!$E$71))=0,"",INDEX('Dealer pipeline'!$T$4:$T$503,_calc!$E$71)))),TRIM(IF(LEN(IF(LEN(INDEX('My equipment'!$C$4:$C$503,(_calc!$E$71-500)))=0,"",INDEX('My equipment'!$C$4:$C$503,(_calc!$E$71-500))))=0,"","Model: "&amp;IF(LEN(INDEX('My equipment'!$C$4:$C$503,(_calc!$E$71-500)))=0,"",INDEX('My equipment'!$C$4:$C$503,(_calc!$E$71-500)))&amp;". ")&amp;IF(LEN(IF(LEN(INDEX('My equipment'!$D$4:$D$503,(_calc!$E$71-500)))=0,"",INDEX('My equipment'!$D$4:$D$503,(_calc!$E$71-500))))=0,"","Serial: "&amp;IF(LEN(INDEX('My equipment'!$D$4:$D$503,(_calc!$E$71-500)))=0,"",INDEX('My equipment'!$D$4:$D$503,(_calc!$E$71-500)))&amp;". ")&amp;IF(LEN(IF(ISNUMBER(INDEX('My equipment'!$J$4:$J$503,(_calc!$E$71-500))),TEXT(INDEX('My equipment'!$J$4:$J$503,(_calc!$E$71-500)),"yyyy-mm-dd"),""))=0,"","Parts end: "&amp;IF(ISNUMBER(INDEX('My equipment'!$J$4:$J$503,(_calc!$E$71-500))),TEXT(INDEX('My equipment'!$J$4:$J$503,(_calc!$E$71-500)),"yyyy-mm-dd"),"")&amp;". ")&amp;IF(LEN(IF(ISNUMBER(INDEX('My equipment'!$L$4:$L$503,(_calc!$E$71-500))),TEXT(INDEX('My equipment'!$L$4:$L$503,(_calc!$E$71-500)),"yyyy-mm-dd"),""))=0,"","Labor end: "&amp;IF(ISNUMBER(INDEX('My equipment'!$L$4:$L$503,(_calc!$E$71-500))),TEXT(INDEX('My equipment'!$L$4:$L$503,(_calc!$E$71-500)),"yyyy-mm-dd"),"")&amp;". ")&amp;IF(LEN(IF(ISNUMBER(INDEX('My equipment'!$P$4:$P$503,(_calc!$E$71-500))),TEXT(INDEX('My equipment'!$P$4:$P$503,(_calc!$E$71-500)),"yyyy-mm-dd"),""))=0,"","Check by: "&amp;IF(ISNUMBER(INDEX('My equipment'!$P$4:$P$503,(_calc!$E$71-500))),TEXT(INDEX('My equipment'!$P$4:$P$503,(_calc!$E$71-500)),"yyyy-mm-dd"),"")&amp;". ")&amp;IF(LEN(IF(LEN(INDEX('My equipment'!$Q$4:$Q$503,(_calc!$E$71-500)))=0,"",INDEX('My equipment'!$Q$4:$Q$503,(_calc!$E$71-500))))=0,"","Claim status: "&amp;IF(LEN(INDEX('My equipment'!$Q$4:$Q$503,(_calc!$E$71-500)))=0,"",INDEX('My equipment'!$Q$4:$Q$503,(_calc!$E$71-500)))&amp;". ")&amp;IF(LEN(IF(LEN(INDEX('My equipment'!$R$4:$R$503,(_calc!$E$71-500)))=0,"",INDEX('My equipment'!$R$4:$R$503,(_calc!$E$71-500))))=0,"","Claims contact: "&amp;IF(LEN(INDEX('My equipment'!$R$4:$R$503,(_calc!$E$71-500)))=0,"",INDEX('My equipment'!$R$4:$R$503,(_calc!$E$71-500)))&amp;". ")&amp;IF(LEN(IF(LEN(INDEX('My equipment'!$S$4:$S$503,(_calc!$E$71-500)))=0,"",INDEX('My equipment'!$S$4:$S$503,(_calc!$E$71-500))))=0,"","Claims email: "&amp;IF(LEN(INDEX('My equipment'!$S$4:$S$503,(_calc!$E$71-500)))=0,"",INDEX('My equipment'!$S$4:$S$503,(_calc!$E$71-500)))&amp;". ")&amp;IF(LEN(IF(LEN(INDEX('My equipment'!$U$4:$U$503,(_calc!$E$71-500)))=0,"",INDEX('My equipment'!$U$4:$U$503,(_calc!$E$71-500))))=0,"","Registered: "&amp;IF(LEN(INDEX('My equipment'!$U$4:$U$503,(_calc!$E$71-500)))=0,"",INDEX('My equipment'!$U$4:$U$503,(_calc!$E$71-500)))&amp;". ")&amp;IF(LEN(IF(LEN(INDEX('My equipment'!$V$4:$V$503,(_calc!$E$71-500)))=0,"",INDEX('My equipment'!$V$4:$V$503,(_calc!$E$71-500))))=0,"","Proof on file: "&amp;IF(LEN(INDEX('My equipment'!$V$4:$V$503,(_calc!$E$71-500)))=0,"",INDEX('My equipment'!$V$4:$V$503,(_calc!$E$71-500)))&amp;". ")&amp;IF(LEN(IF(LEN(INDEX('My equipment'!$W$4:$W$503,(_calc!$E$71-500)))=0,"",INDEX('My equipment'!$W$4:$W$503,(_calc!$E$71-500))))=0,"","Claim ref: "&amp;IF(LEN(INDEX('My equipment'!$W$4:$W$503,(_calc!$E$71-500)))=0,"",INDEX('My equipment'!$W$4:$W$503,(_calc!$E$71-500)))&amp;". ")&amp;IF(LEN(IF(LEN(INDEX('My equipment'!$Y$4:$Y$503,(_calc!$E$71-500)))=0,"",INDEX('My equipment'!$Y$4:$Y$503,(_calc!$E$71-500))))=0,"",IF(LEN(INDEX('My equipment'!$Y$4:$Y$503,(_calc!$E$71-500)))=0,"",INDEX('My equipment'!$Y$4:$Y$503,(_calc!$E$71-500)))))))</f>
        <v/>
      </c>
      <c r="G69" s="54">
        <f>IF(_calc!$E$71="","",IF(_calc!$E$71&lt;=500,"",IF(LEN(INDEX('My equipment'!$X$4:$X$503,(_calc!$E$71-500)))=0,"",INDEX('My equipment'!$X$4:$X$503,(_calc!$E$71-500)))))</f>
        <v/>
      </c>
      <c r="K69" s="54">
        <f>IF(_calc!$E$71="","",IF(_calc!$E$71&lt;=500,"",IF(LEN(INDEX('My equipment'!$T$4:$T$503,(_calc!$E$71-500)))=0,"",INDEX('My equipment'!$T$4:$T$503,(_calc!$E$71-500)))))</f>
        <v/>
      </c>
    </row>
    <row r="70">
      <c r="A70" s="54">
        <f>IF(_calc!$E$72="","",IF(_calc!$E$72&lt;=500,"Warranty – "&amp;IF(LEN(INDEX('Dealer pipeline'!$C$4:$C$503,_calc!$E$72))=0,"",INDEX('Dealer pipeline'!$C$4:$C$503,_calc!$E$72))&amp;" – "&amp;IF(LEN(INDEX('Dealer pipeline'!$D$4:$D$503,_calc!$E$72))=0,"",INDEX('Dealer pipeline'!$D$4:$D$503,_calc!$E$72))&amp;" – "&amp;IF(LEN(INDEX('Dealer pipeline'!$A$4:$A$503,_calc!$E$72))=0,"",INDEX('Dealer pipeline'!$A$4:$A$503,_calc!$E$72)),"Warranty – "&amp;IF(LEN(INDEX('My equipment'!$A$4:$A$503,(_calc!$E$72-500)))=0,"",INDEX('My equipment'!$A$4:$A$503,(_calc!$E$72-500)))&amp;" – "&amp;IF(LEN(INDEX('My equipment'!$D$4:$D$503,(_calc!$E$72-500)))=0,"",INDEX('My equipment'!$D$4:$D$503,(_calc!$E$72-500)))))</f>
        <v/>
      </c>
      <c r="B70" s="54">
        <f>IF(_calc!$E$72="","",IF(_calc!$E$72&lt;=500,IF(ISNUMBER(INDEX('Dealer pipeline'!$M$4:$M$503,_calc!$E$72)),TEXT(INDEX('Dealer pipeline'!$M$4:$M$503,_calc!$E$72),"yyyy-mm-dd"),""),IF(ISNUMBER(INDEX('My equipment'!$M$4:$M$503,(_calc!$E$72-500))),TEXT(INDEX('My equipment'!$M$4:$M$503,(_calc!$E$72-500)),"yyyy-mm-dd"),"")))</f>
        <v/>
      </c>
      <c r="C70" s="54">
        <f>IF(_calc!$E$72="","",IF(_calc!$E$72&lt;=500,"Warranty","Warranty"))</f>
        <v/>
      </c>
      <c r="D70" s="54">
        <f>IF(_calc!$E$72="","",IF(_calc!$E$72&lt;=500,IF(ISNUMBER(INDEX('Dealer pipeline'!$H$4:$H$503,_calc!$E$72)),TEXT(INDEX('Dealer pipeline'!$H$4:$H$503,_calc!$E$72),"yyyy-mm-dd"),""),IF(ISNUMBER(INDEX('My equipment'!$H$4:$H$503,(_calc!$E$72-500))),TEXT(INDEX('My equipment'!$H$4:$H$503,(_calc!$E$72-500)),"yyyy-mm-dd"),"")))</f>
        <v/>
      </c>
      <c r="F70" s="54">
        <f>IF(_calc!$E$72="","",IF(_calc!$E$72&lt;=500,TRIM(IF(LEN(IF(LEN(INDEX('Dealer pipeline'!$A$4:$A$503,_calc!$E$72))=0,"",INDEX('Dealer pipeline'!$A$4:$A$503,_calc!$E$72)))=0,"","Customer: "&amp;IF(LEN(INDEX('Dealer pipeline'!$A$4:$A$503,_calc!$E$72))=0,"",INDEX('Dealer pipeline'!$A$4:$A$503,_calc!$E$72))&amp;". ")&amp;IF(LEN(IF(LEN(INDEX('Dealer pipeline'!$B$4:$B$503,_calc!$E$72))=0,"",INDEX('Dealer pipeline'!$B$4:$B$503,_calc!$E$72)))=0,"","Contact: "&amp;IF(LEN(INDEX('Dealer pipeline'!$B$4:$B$503,_calc!$E$72))=0,"",INDEX('Dealer pipeline'!$B$4:$B$503,_calc!$E$72))&amp;". ")&amp;IF(LEN(IF(LEN(INDEX('Dealer pipeline'!$D$4:$D$503,_calc!$E$72))=0,"",INDEX('Dealer pipeline'!$D$4:$D$503,_calc!$E$72)))=0,"","Serial: "&amp;IF(LEN(INDEX('Dealer pipeline'!$D$4:$D$503,_calc!$E$72))=0,"",INDEX('Dealer pipeline'!$D$4:$D$503,_calc!$E$72))&amp;". ")&amp;IF(LEN(IF(ISNUMBER(INDEX('Dealer pipeline'!$J$4:$J$503,_calc!$E$72)),TEXT(INDEX('Dealer pipeline'!$J$4:$J$503,_calc!$E$72),"yyyy-mm-dd"),""))=0,"","Parts end: "&amp;IF(ISNUMBER(INDEX('Dealer pipeline'!$J$4:$J$503,_calc!$E$72)),TEXT(INDEX('Dealer pipeline'!$J$4:$J$503,_calc!$E$72),"yyyy-mm-dd"),"")&amp;". ")&amp;IF(LEN(IF(ISNUMBER(INDEX('Dealer pipeline'!$L$4:$L$503,_calc!$E$72)),TEXT(INDEX('Dealer pipeline'!$L$4:$L$503,_calc!$E$72),"yyyy-mm-dd"),""))=0,"","Labor end: "&amp;IF(ISNUMBER(INDEX('Dealer pipeline'!$L$4:$L$503,_calc!$E$72)),TEXT(INDEX('Dealer pipeline'!$L$4:$L$503,_calc!$E$72),"yyyy-mm-dd"),"")&amp;". ")&amp;IF(LEN(IF(LEN(INDEX('Dealer pipeline'!$Q$4:$Q$503,_calc!$E$72))=0,"",INDEX('Dealer pipeline'!$Q$4:$Q$503,_calc!$E$72)))=0,"","Status: "&amp;IF(LEN(INDEX('Dealer pipeline'!$Q$4:$Q$503,_calc!$E$72))=0,"",INDEX('Dealer pipeline'!$Q$4:$Q$503,_calc!$E$72))&amp;". ")&amp;IF(LEN(IF(LEN(INDEX('Dealer pipeline'!$P$4:$P$503,_calc!$E$72))=0,"",INDEX('Dealer pipeline'!$P$4:$P$503,_calc!$E$72)))=0,"","Last touch: "&amp;IF(LEN(INDEX('Dealer pipeline'!$P$4:$P$503,_calc!$E$72))=0,"",INDEX('Dealer pipeline'!$P$4:$P$503,_calc!$E$72))&amp;". ")&amp;IF(LEN(IF(LEN(INDEX('Dealer pipeline'!$R$4:$R$503,_calc!$E$72))=0,"",INDEX('Dealer pipeline'!$R$4:$R$503,_calc!$E$72)))=0,"","Owner: "&amp;IF(LEN(INDEX('Dealer pipeline'!$R$4:$R$503,_calc!$E$72))=0,"",INDEX('Dealer pipeline'!$R$4:$R$503,_calc!$E$72))&amp;". ")&amp;IF(LEN(IF(LEN(INDEX('Dealer pipeline'!$S$4:$S$503,_calc!$E$72))=0,"",INDEX('Dealer pipeline'!$S$4:$S$503,_calc!$E$72)))=0,"","Backup: "&amp;IF(LEN(INDEX('Dealer pipeline'!$S$4:$S$503,_calc!$E$72))=0,"",INDEX('Dealer pipeline'!$S$4:$S$503,_calc!$E$72))&amp;". ")&amp;IF(LEN(IF(LEN(INDEX('Dealer pipeline'!$T$4:$T$503,_calc!$E$72))=0,"",INDEX('Dealer pipeline'!$T$4:$T$503,_calc!$E$72)))=0,"",IF(LEN(INDEX('Dealer pipeline'!$T$4:$T$503,_calc!$E$72))=0,"",INDEX('Dealer pipeline'!$T$4:$T$503,_calc!$E$72)))),TRIM(IF(LEN(IF(LEN(INDEX('My equipment'!$C$4:$C$503,(_calc!$E$72-500)))=0,"",INDEX('My equipment'!$C$4:$C$503,(_calc!$E$72-500))))=0,"","Model: "&amp;IF(LEN(INDEX('My equipment'!$C$4:$C$503,(_calc!$E$72-500)))=0,"",INDEX('My equipment'!$C$4:$C$503,(_calc!$E$72-500)))&amp;". ")&amp;IF(LEN(IF(LEN(INDEX('My equipment'!$D$4:$D$503,(_calc!$E$72-500)))=0,"",INDEX('My equipment'!$D$4:$D$503,(_calc!$E$72-500))))=0,"","Serial: "&amp;IF(LEN(INDEX('My equipment'!$D$4:$D$503,(_calc!$E$72-500)))=0,"",INDEX('My equipment'!$D$4:$D$503,(_calc!$E$72-500)))&amp;". ")&amp;IF(LEN(IF(ISNUMBER(INDEX('My equipment'!$J$4:$J$503,(_calc!$E$72-500))),TEXT(INDEX('My equipment'!$J$4:$J$503,(_calc!$E$72-500)),"yyyy-mm-dd"),""))=0,"","Parts end: "&amp;IF(ISNUMBER(INDEX('My equipment'!$J$4:$J$503,(_calc!$E$72-500))),TEXT(INDEX('My equipment'!$J$4:$J$503,(_calc!$E$72-500)),"yyyy-mm-dd"),"")&amp;". ")&amp;IF(LEN(IF(ISNUMBER(INDEX('My equipment'!$L$4:$L$503,(_calc!$E$72-500))),TEXT(INDEX('My equipment'!$L$4:$L$503,(_calc!$E$72-500)),"yyyy-mm-dd"),""))=0,"","Labor end: "&amp;IF(ISNUMBER(INDEX('My equipment'!$L$4:$L$503,(_calc!$E$72-500))),TEXT(INDEX('My equipment'!$L$4:$L$503,(_calc!$E$72-500)),"yyyy-mm-dd"),"")&amp;". ")&amp;IF(LEN(IF(ISNUMBER(INDEX('My equipment'!$P$4:$P$503,(_calc!$E$72-500))),TEXT(INDEX('My equipment'!$P$4:$P$503,(_calc!$E$72-500)),"yyyy-mm-dd"),""))=0,"","Check by: "&amp;IF(ISNUMBER(INDEX('My equipment'!$P$4:$P$503,(_calc!$E$72-500))),TEXT(INDEX('My equipment'!$P$4:$P$503,(_calc!$E$72-500)),"yyyy-mm-dd"),"")&amp;". ")&amp;IF(LEN(IF(LEN(INDEX('My equipment'!$Q$4:$Q$503,(_calc!$E$72-500)))=0,"",INDEX('My equipment'!$Q$4:$Q$503,(_calc!$E$72-500))))=0,"","Claim status: "&amp;IF(LEN(INDEX('My equipment'!$Q$4:$Q$503,(_calc!$E$72-500)))=0,"",INDEX('My equipment'!$Q$4:$Q$503,(_calc!$E$72-500)))&amp;". ")&amp;IF(LEN(IF(LEN(INDEX('My equipment'!$R$4:$R$503,(_calc!$E$72-500)))=0,"",INDEX('My equipment'!$R$4:$R$503,(_calc!$E$72-500))))=0,"","Claims contact: "&amp;IF(LEN(INDEX('My equipment'!$R$4:$R$503,(_calc!$E$72-500)))=0,"",INDEX('My equipment'!$R$4:$R$503,(_calc!$E$72-500)))&amp;". ")&amp;IF(LEN(IF(LEN(INDEX('My equipment'!$S$4:$S$503,(_calc!$E$72-500)))=0,"",INDEX('My equipment'!$S$4:$S$503,(_calc!$E$72-500))))=0,"","Claims email: "&amp;IF(LEN(INDEX('My equipment'!$S$4:$S$503,(_calc!$E$72-500)))=0,"",INDEX('My equipment'!$S$4:$S$503,(_calc!$E$72-500)))&amp;". ")&amp;IF(LEN(IF(LEN(INDEX('My equipment'!$U$4:$U$503,(_calc!$E$72-500)))=0,"",INDEX('My equipment'!$U$4:$U$503,(_calc!$E$72-500))))=0,"","Registered: "&amp;IF(LEN(INDEX('My equipment'!$U$4:$U$503,(_calc!$E$72-500)))=0,"",INDEX('My equipment'!$U$4:$U$503,(_calc!$E$72-500)))&amp;". ")&amp;IF(LEN(IF(LEN(INDEX('My equipment'!$V$4:$V$503,(_calc!$E$72-500)))=0,"",INDEX('My equipment'!$V$4:$V$503,(_calc!$E$72-500))))=0,"","Proof on file: "&amp;IF(LEN(INDEX('My equipment'!$V$4:$V$503,(_calc!$E$72-500)))=0,"",INDEX('My equipment'!$V$4:$V$503,(_calc!$E$72-500)))&amp;". ")&amp;IF(LEN(IF(LEN(INDEX('My equipment'!$W$4:$W$503,(_calc!$E$72-500)))=0,"",INDEX('My equipment'!$W$4:$W$503,(_calc!$E$72-500))))=0,"","Claim ref: "&amp;IF(LEN(INDEX('My equipment'!$W$4:$W$503,(_calc!$E$72-500)))=0,"",INDEX('My equipment'!$W$4:$W$503,(_calc!$E$72-500)))&amp;". ")&amp;IF(LEN(IF(LEN(INDEX('My equipment'!$Y$4:$Y$503,(_calc!$E$72-500)))=0,"",INDEX('My equipment'!$Y$4:$Y$503,(_calc!$E$72-500))))=0,"",IF(LEN(INDEX('My equipment'!$Y$4:$Y$503,(_calc!$E$72-500)))=0,"",INDEX('My equipment'!$Y$4:$Y$503,(_calc!$E$72-500)))))))</f>
        <v/>
      </c>
      <c r="G70" s="54">
        <f>IF(_calc!$E$72="","",IF(_calc!$E$72&lt;=500,"",IF(LEN(INDEX('My equipment'!$X$4:$X$503,(_calc!$E$72-500)))=0,"",INDEX('My equipment'!$X$4:$X$503,(_calc!$E$72-500)))))</f>
        <v/>
      </c>
      <c r="K70" s="54">
        <f>IF(_calc!$E$72="","",IF(_calc!$E$72&lt;=500,"",IF(LEN(INDEX('My equipment'!$T$4:$T$503,(_calc!$E$72-500)))=0,"",INDEX('My equipment'!$T$4:$T$503,(_calc!$E$72-500)))))</f>
        <v/>
      </c>
    </row>
    <row r="71">
      <c r="A71" s="54">
        <f>IF(_calc!$E$73="","",IF(_calc!$E$73&lt;=500,"Warranty – "&amp;IF(LEN(INDEX('Dealer pipeline'!$C$4:$C$503,_calc!$E$73))=0,"",INDEX('Dealer pipeline'!$C$4:$C$503,_calc!$E$73))&amp;" – "&amp;IF(LEN(INDEX('Dealer pipeline'!$D$4:$D$503,_calc!$E$73))=0,"",INDEX('Dealer pipeline'!$D$4:$D$503,_calc!$E$73))&amp;" – "&amp;IF(LEN(INDEX('Dealer pipeline'!$A$4:$A$503,_calc!$E$73))=0,"",INDEX('Dealer pipeline'!$A$4:$A$503,_calc!$E$73)),"Warranty – "&amp;IF(LEN(INDEX('My equipment'!$A$4:$A$503,(_calc!$E$73-500)))=0,"",INDEX('My equipment'!$A$4:$A$503,(_calc!$E$73-500)))&amp;" – "&amp;IF(LEN(INDEX('My equipment'!$D$4:$D$503,(_calc!$E$73-500)))=0,"",INDEX('My equipment'!$D$4:$D$503,(_calc!$E$73-500)))))</f>
        <v/>
      </c>
      <c r="B71" s="54">
        <f>IF(_calc!$E$73="","",IF(_calc!$E$73&lt;=500,IF(ISNUMBER(INDEX('Dealer pipeline'!$M$4:$M$503,_calc!$E$73)),TEXT(INDEX('Dealer pipeline'!$M$4:$M$503,_calc!$E$73),"yyyy-mm-dd"),""),IF(ISNUMBER(INDEX('My equipment'!$M$4:$M$503,(_calc!$E$73-500))),TEXT(INDEX('My equipment'!$M$4:$M$503,(_calc!$E$73-500)),"yyyy-mm-dd"),"")))</f>
        <v/>
      </c>
      <c r="C71" s="54">
        <f>IF(_calc!$E$73="","",IF(_calc!$E$73&lt;=500,"Warranty","Warranty"))</f>
        <v/>
      </c>
      <c r="D71" s="54">
        <f>IF(_calc!$E$73="","",IF(_calc!$E$73&lt;=500,IF(ISNUMBER(INDEX('Dealer pipeline'!$H$4:$H$503,_calc!$E$73)),TEXT(INDEX('Dealer pipeline'!$H$4:$H$503,_calc!$E$73),"yyyy-mm-dd"),""),IF(ISNUMBER(INDEX('My equipment'!$H$4:$H$503,(_calc!$E$73-500))),TEXT(INDEX('My equipment'!$H$4:$H$503,(_calc!$E$73-500)),"yyyy-mm-dd"),"")))</f>
        <v/>
      </c>
      <c r="F71" s="54">
        <f>IF(_calc!$E$73="","",IF(_calc!$E$73&lt;=500,TRIM(IF(LEN(IF(LEN(INDEX('Dealer pipeline'!$A$4:$A$503,_calc!$E$73))=0,"",INDEX('Dealer pipeline'!$A$4:$A$503,_calc!$E$73)))=0,"","Customer: "&amp;IF(LEN(INDEX('Dealer pipeline'!$A$4:$A$503,_calc!$E$73))=0,"",INDEX('Dealer pipeline'!$A$4:$A$503,_calc!$E$73))&amp;". ")&amp;IF(LEN(IF(LEN(INDEX('Dealer pipeline'!$B$4:$B$503,_calc!$E$73))=0,"",INDEX('Dealer pipeline'!$B$4:$B$503,_calc!$E$73)))=0,"","Contact: "&amp;IF(LEN(INDEX('Dealer pipeline'!$B$4:$B$503,_calc!$E$73))=0,"",INDEX('Dealer pipeline'!$B$4:$B$503,_calc!$E$73))&amp;". ")&amp;IF(LEN(IF(LEN(INDEX('Dealer pipeline'!$D$4:$D$503,_calc!$E$73))=0,"",INDEX('Dealer pipeline'!$D$4:$D$503,_calc!$E$73)))=0,"","Serial: "&amp;IF(LEN(INDEX('Dealer pipeline'!$D$4:$D$503,_calc!$E$73))=0,"",INDEX('Dealer pipeline'!$D$4:$D$503,_calc!$E$73))&amp;". ")&amp;IF(LEN(IF(ISNUMBER(INDEX('Dealer pipeline'!$J$4:$J$503,_calc!$E$73)),TEXT(INDEX('Dealer pipeline'!$J$4:$J$503,_calc!$E$73),"yyyy-mm-dd"),""))=0,"","Parts end: "&amp;IF(ISNUMBER(INDEX('Dealer pipeline'!$J$4:$J$503,_calc!$E$73)),TEXT(INDEX('Dealer pipeline'!$J$4:$J$503,_calc!$E$73),"yyyy-mm-dd"),"")&amp;". ")&amp;IF(LEN(IF(ISNUMBER(INDEX('Dealer pipeline'!$L$4:$L$503,_calc!$E$73)),TEXT(INDEX('Dealer pipeline'!$L$4:$L$503,_calc!$E$73),"yyyy-mm-dd"),""))=0,"","Labor end: "&amp;IF(ISNUMBER(INDEX('Dealer pipeline'!$L$4:$L$503,_calc!$E$73)),TEXT(INDEX('Dealer pipeline'!$L$4:$L$503,_calc!$E$73),"yyyy-mm-dd"),"")&amp;". ")&amp;IF(LEN(IF(LEN(INDEX('Dealer pipeline'!$Q$4:$Q$503,_calc!$E$73))=0,"",INDEX('Dealer pipeline'!$Q$4:$Q$503,_calc!$E$73)))=0,"","Status: "&amp;IF(LEN(INDEX('Dealer pipeline'!$Q$4:$Q$503,_calc!$E$73))=0,"",INDEX('Dealer pipeline'!$Q$4:$Q$503,_calc!$E$73))&amp;". ")&amp;IF(LEN(IF(LEN(INDEX('Dealer pipeline'!$P$4:$P$503,_calc!$E$73))=0,"",INDEX('Dealer pipeline'!$P$4:$P$503,_calc!$E$73)))=0,"","Last touch: "&amp;IF(LEN(INDEX('Dealer pipeline'!$P$4:$P$503,_calc!$E$73))=0,"",INDEX('Dealer pipeline'!$P$4:$P$503,_calc!$E$73))&amp;". ")&amp;IF(LEN(IF(LEN(INDEX('Dealer pipeline'!$R$4:$R$503,_calc!$E$73))=0,"",INDEX('Dealer pipeline'!$R$4:$R$503,_calc!$E$73)))=0,"","Owner: "&amp;IF(LEN(INDEX('Dealer pipeline'!$R$4:$R$503,_calc!$E$73))=0,"",INDEX('Dealer pipeline'!$R$4:$R$503,_calc!$E$73))&amp;". ")&amp;IF(LEN(IF(LEN(INDEX('Dealer pipeline'!$S$4:$S$503,_calc!$E$73))=0,"",INDEX('Dealer pipeline'!$S$4:$S$503,_calc!$E$73)))=0,"","Backup: "&amp;IF(LEN(INDEX('Dealer pipeline'!$S$4:$S$503,_calc!$E$73))=0,"",INDEX('Dealer pipeline'!$S$4:$S$503,_calc!$E$73))&amp;". ")&amp;IF(LEN(IF(LEN(INDEX('Dealer pipeline'!$T$4:$T$503,_calc!$E$73))=0,"",INDEX('Dealer pipeline'!$T$4:$T$503,_calc!$E$73)))=0,"",IF(LEN(INDEX('Dealer pipeline'!$T$4:$T$503,_calc!$E$73))=0,"",INDEX('Dealer pipeline'!$T$4:$T$503,_calc!$E$73)))),TRIM(IF(LEN(IF(LEN(INDEX('My equipment'!$C$4:$C$503,(_calc!$E$73-500)))=0,"",INDEX('My equipment'!$C$4:$C$503,(_calc!$E$73-500))))=0,"","Model: "&amp;IF(LEN(INDEX('My equipment'!$C$4:$C$503,(_calc!$E$73-500)))=0,"",INDEX('My equipment'!$C$4:$C$503,(_calc!$E$73-500)))&amp;". ")&amp;IF(LEN(IF(LEN(INDEX('My equipment'!$D$4:$D$503,(_calc!$E$73-500)))=0,"",INDEX('My equipment'!$D$4:$D$503,(_calc!$E$73-500))))=0,"","Serial: "&amp;IF(LEN(INDEX('My equipment'!$D$4:$D$503,(_calc!$E$73-500)))=0,"",INDEX('My equipment'!$D$4:$D$503,(_calc!$E$73-500)))&amp;". ")&amp;IF(LEN(IF(ISNUMBER(INDEX('My equipment'!$J$4:$J$503,(_calc!$E$73-500))),TEXT(INDEX('My equipment'!$J$4:$J$503,(_calc!$E$73-500)),"yyyy-mm-dd"),""))=0,"","Parts end: "&amp;IF(ISNUMBER(INDEX('My equipment'!$J$4:$J$503,(_calc!$E$73-500))),TEXT(INDEX('My equipment'!$J$4:$J$503,(_calc!$E$73-500)),"yyyy-mm-dd"),"")&amp;". ")&amp;IF(LEN(IF(ISNUMBER(INDEX('My equipment'!$L$4:$L$503,(_calc!$E$73-500))),TEXT(INDEX('My equipment'!$L$4:$L$503,(_calc!$E$73-500)),"yyyy-mm-dd"),""))=0,"","Labor end: "&amp;IF(ISNUMBER(INDEX('My equipment'!$L$4:$L$503,(_calc!$E$73-500))),TEXT(INDEX('My equipment'!$L$4:$L$503,(_calc!$E$73-500)),"yyyy-mm-dd"),"")&amp;". ")&amp;IF(LEN(IF(ISNUMBER(INDEX('My equipment'!$P$4:$P$503,(_calc!$E$73-500))),TEXT(INDEX('My equipment'!$P$4:$P$503,(_calc!$E$73-500)),"yyyy-mm-dd"),""))=0,"","Check by: "&amp;IF(ISNUMBER(INDEX('My equipment'!$P$4:$P$503,(_calc!$E$73-500))),TEXT(INDEX('My equipment'!$P$4:$P$503,(_calc!$E$73-500)),"yyyy-mm-dd"),"")&amp;". ")&amp;IF(LEN(IF(LEN(INDEX('My equipment'!$Q$4:$Q$503,(_calc!$E$73-500)))=0,"",INDEX('My equipment'!$Q$4:$Q$503,(_calc!$E$73-500))))=0,"","Claim status: "&amp;IF(LEN(INDEX('My equipment'!$Q$4:$Q$503,(_calc!$E$73-500)))=0,"",INDEX('My equipment'!$Q$4:$Q$503,(_calc!$E$73-500)))&amp;". ")&amp;IF(LEN(IF(LEN(INDEX('My equipment'!$R$4:$R$503,(_calc!$E$73-500)))=0,"",INDEX('My equipment'!$R$4:$R$503,(_calc!$E$73-500))))=0,"","Claims contact: "&amp;IF(LEN(INDEX('My equipment'!$R$4:$R$503,(_calc!$E$73-500)))=0,"",INDEX('My equipment'!$R$4:$R$503,(_calc!$E$73-500)))&amp;". ")&amp;IF(LEN(IF(LEN(INDEX('My equipment'!$S$4:$S$503,(_calc!$E$73-500)))=0,"",INDEX('My equipment'!$S$4:$S$503,(_calc!$E$73-500))))=0,"","Claims email: "&amp;IF(LEN(INDEX('My equipment'!$S$4:$S$503,(_calc!$E$73-500)))=0,"",INDEX('My equipment'!$S$4:$S$503,(_calc!$E$73-500)))&amp;". ")&amp;IF(LEN(IF(LEN(INDEX('My equipment'!$U$4:$U$503,(_calc!$E$73-500)))=0,"",INDEX('My equipment'!$U$4:$U$503,(_calc!$E$73-500))))=0,"","Registered: "&amp;IF(LEN(INDEX('My equipment'!$U$4:$U$503,(_calc!$E$73-500)))=0,"",INDEX('My equipment'!$U$4:$U$503,(_calc!$E$73-500)))&amp;". ")&amp;IF(LEN(IF(LEN(INDEX('My equipment'!$V$4:$V$503,(_calc!$E$73-500)))=0,"",INDEX('My equipment'!$V$4:$V$503,(_calc!$E$73-500))))=0,"","Proof on file: "&amp;IF(LEN(INDEX('My equipment'!$V$4:$V$503,(_calc!$E$73-500)))=0,"",INDEX('My equipment'!$V$4:$V$503,(_calc!$E$73-500)))&amp;". ")&amp;IF(LEN(IF(LEN(INDEX('My equipment'!$W$4:$W$503,(_calc!$E$73-500)))=0,"",INDEX('My equipment'!$W$4:$W$503,(_calc!$E$73-500))))=0,"","Claim ref: "&amp;IF(LEN(INDEX('My equipment'!$W$4:$W$503,(_calc!$E$73-500)))=0,"",INDEX('My equipment'!$W$4:$W$503,(_calc!$E$73-500)))&amp;". ")&amp;IF(LEN(IF(LEN(INDEX('My equipment'!$Y$4:$Y$503,(_calc!$E$73-500)))=0,"",INDEX('My equipment'!$Y$4:$Y$503,(_calc!$E$73-500))))=0,"",IF(LEN(INDEX('My equipment'!$Y$4:$Y$503,(_calc!$E$73-500)))=0,"",INDEX('My equipment'!$Y$4:$Y$503,(_calc!$E$73-500)))))))</f>
        <v/>
      </c>
      <c r="G71" s="54">
        <f>IF(_calc!$E$73="","",IF(_calc!$E$73&lt;=500,"",IF(LEN(INDEX('My equipment'!$X$4:$X$503,(_calc!$E$73-500)))=0,"",INDEX('My equipment'!$X$4:$X$503,(_calc!$E$73-500)))))</f>
        <v/>
      </c>
      <c r="K71" s="54">
        <f>IF(_calc!$E$73="","",IF(_calc!$E$73&lt;=500,"",IF(LEN(INDEX('My equipment'!$T$4:$T$503,(_calc!$E$73-500)))=0,"",INDEX('My equipment'!$T$4:$T$503,(_calc!$E$73-500)))))</f>
        <v/>
      </c>
    </row>
    <row r="72">
      <c r="A72" s="54">
        <f>IF(_calc!$E$74="","",IF(_calc!$E$74&lt;=500,"Warranty – "&amp;IF(LEN(INDEX('Dealer pipeline'!$C$4:$C$503,_calc!$E$74))=0,"",INDEX('Dealer pipeline'!$C$4:$C$503,_calc!$E$74))&amp;" – "&amp;IF(LEN(INDEX('Dealer pipeline'!$D$4:$D$503,_calc!$E$74))=0,"",INDEX('Dealer pipeline'!$D$4:$D$503,_calc!$E$74))&amp;" – "&amp;IF(LEN(INDEX('Dealer pipeline'!$A$4:$A$503,_calc!$E$74))=0,"",INDEX('Dealer pipeline'!$A$4:$A$503,_calc!$E$74)),"Warranty – "&amp;IF(LEN(INDEX('My equipment'!$A$4:$A$503,(_calc!$E$74-500)))=0,"",INDEX('My equipment'!$A$4:$A$503,(_calc!$E$74-500)))&amp;" – "&amp;IF(LEN(INDEX('My equipment'!$D$4:$D$503,(_calc!$E$74-500)))=0,"",INDEX('My equipment'!$D$4:$D$503,(_calc!$E$74-500)))))</f>
        <v/>
      </c>
      <c r="B72" s="54">
        <f>IF(_calc!$E$74="","",IF(_calc!$E$74&lt;=500,IF(ISNUMBER(INDEX('Dealer pipeline'!$M$4:$M$503,_calc!$E$74)),TEXT(INDEX('Dealer pipeline'!$M$4:$M$503,_calc!$E$74),"yyyy-mm-dd"),""),IF(ISNUMBER(INDEX('My equipment'!$M$4:$M$503,(_calc!$E$74-500))),TEXT(INDEX('My equipment'!$M$4:$M$503,(_calc!$E$74-500)),"yyyy-mm-dd"),"")))</f>
        <v/>
      </c>
      <c r="C72" s="54">
        <f>IF(_calc!$E$74="","",IF(_calc!$E$74&lt;=500,"Warranty","Warranty"))</f>
        <v/>
      </c>
      <c r="D72" s="54">
        <f>IF(_calc!$E$74="","",IF(_calc!$E$74&lt;=500,IF(ISNUMBER(INDEX('Dealer pipeline'!$H$4:$H$503,_calc!$E$74)),TEXT(INDEX('Dealer pipeline'!$H$4:$H$503,_calc!$E$74),"yyyy-mm-dd"),""),IF(ISNUMBER(INDEX('My equipment'!$H$4:$H$503,(_calc!$E$74-500))),TEXT(INDEX('My equipment'!$H$4:$H$503,(_calc!$E$74-500)),"yyyy-mm-dd"),"")))</f>
        <v/>
      </c>
      <c r="F72" s="54">
        <f>IF(_calc!$E$74="","",IF(_calc!$E$74&lt;=500,TRIM(IF(LEN(IF(LEN(INDEX('Dealer pipeline'!$A$4:$A$503,_calc!$E$74))=0,"",INDEX('Dealer pipeline'!$A$4:$A$503,_calc!$E$74)))=0,"","Customer: "&amp;IF(LEN(INDEX('Dealer pipeline'!$A$4:$A$503,_calc!$E$74))=0,"",INDEX('Dealer pipeline'!$A$4:$A$503,_calc!$E$74))&amp;". ")&amp;IF(LEN(IF(LEN(INDEX('Dealer pipeline'!$B$4:$B$503,_calc!$E$74))=0,"",INDEX('Dealer pipeline'!$B$4:$B$503,_calc!$E$74)))=0,"","Contact: "&amp;IF(LEN(INDEX('Dealer pipeline'!$B$4:$B$503,_calc!$E$74))=0,"",INDEX('Dealer pipeline'!$B$4:$B$503,_calc!$E$74))&amp;". ")&amp;IF(LEN(IF(LEN(INDEX('Dealer pipeline'!$D$4:$D$503,_calc!$E$74))=0,"",INDEX('Dealer pipeline'!$D$4:$D$503,_calc!$E$74)))=0,"","Serial: "&amp;IF(LEN(INDEX('Dealer pipeline'!$D$4:$D$503,_calc!$E$74))=0,"",INDEX('Dealer pipeline'!$D$4:$D$503,_calc!$E$74))&amp;". ")&amp;IF(LEN(IF(ISNUMBER(INDEX('Dealer pipeline'!$J$4:$J$503,_calc!$E$74)),TEXT(INDEX('Dealer pipeline'!$J$4:$J$503,_calc!$E$74),"yyyy-mm-dd"),""))=0,"","Parts end: "&amp;IF(ISNUMBER(INDEX('Dealer pipeline'!$J$4:$J$503,_calc!$E$74)),TEXT(INDEX('Dealer pipeline'!$J$4:$J$503,_calc!$E$74),"yyyy-mm-dd"),"")&amp;". ")&amp;IF(LEN(IF(ISNUMBER(INDEX('Dealer pipeline'!$L$4:$L$503,_calc!$E$74)),TEXT(INDEX('Dealer pipeline'!$L$4:$L$503,_calc!$E$74),"yyyy-mm-dd"),""))=0,"","Labor end: "&amp;IF(ISNUMBER(INDEX('Dealer pipeline'!$L$4:$L$503,_calc!$E$74)),TEXT(INDEX('Dealer pipeline'!$L$4:$L$503,_calc!$E$74),"yyyy-mm-dd"),"")&amp;". ")&amp;IF(LEN(IF(LEN(INDEX('Dealer pipeline'!$Q$4:$Q$503,_calc!$E$74))=0,"",INDEX('Dealer pipeline'!$Q$4:$Q$503,_calc!$E$74)))=0,"","Status: "&amp;IF(LEN(INDEX('Dealer pipeline'!$Q$4:$Q$503,_calc!$E$74))=0,"",INDEX('Dealer pipeline'!$Q$4:$Q$503,_calc!$E$74))&amp;". ")&amp;IF(LEN(IF(LEN(INDEX('Dealer pipeline'!$P$4:$P$503,_calc!$E$74))=0,"",INDEX('Dealer pipeline'!$P$4:$P$503,_calc!$E$74)))=0,"","Last touch: "&amp;IF(LEN(INDEX('Dealer pipeline'!$P$4:$P$503,_calc!$E$74))=0,"",INDEX('Dealer pipeline'!$P$4:$P$503,_calc!$E$74))&amp;". ")&amp;IF(LEN(IF(LEN(INDEX('Dealer pipeline'!$R$4:$R$503,_calc!$E$74))=0,"",INDEX('Dealer pipeline'!$R$4:$R$503,_calc!$E$74)))=0,"","Owner: "&amp;IF(LEN(INDEX('Dealer pipeline'!$R$4:$R$503,_calc!$E$74))=0,"",INDEX('Dealer pipeline'!$R$4:$R$503,_calc!$E$74))&amp;". ")&amp;IF(LEN(IF(LEN(INDEX('Dealer pipeline'!$S$4:$S$503,_calc!$E$74))=0,"",INDEX('Dealer pipeline'!$S$4:$S$503,_calc!$E$74)))=0,"","Backup: "&amp;IF(LEN(INDEX('Dealer pipeline'!$S$4:$S$503,_calc!$E$74))=0,"",INDEX('Dealer pipeline'!$S$4:$S$503,_calc!$E$74))&amp;". ")&amp;IF(LEN(IF(LEN(INDEX('Dealer pipeline'!$T$4:$T$503,_calc!$E$74))=0,"",INDEX('Dealer pipeline'!$T$4:$T$503,_calc!$E$74)))=0,"",IF(LEN(INDEX('Dealer pipeline'!$T$4:$T$503,_calc!$E$74))=0,"",INDEX('Dealer pipeline'!$T$4:$T$503,_calc!$E$74)))),TRIM(IF(LEN(IF(LEN(INDEX('My equipment'!$C$4:$C$503,(_calc!$E$74-500)))=0,"",INDEX('My equipment'!$C$4:$C$503,(_calc!$E$74-500))))=0,"","Model: "&amp;IF(LEN(INDEX('My equipment'!$C$4:$C$503,(_calc!$E$74-500)))=0,"",INDEX('My equipment'!$C$4:$C$503,(_calc!$E$74-500)))&amp;". ")&amp;IF(LEN(IF(LEN(INDEX('My equipment'!$D$4:$D$503,(_calc!$E$74-500)))=0,"",INDEX('My equipment'!$D$4:$D$503,(_calc!$E$74-500))))=0,"","Serial: "&amp;IF(LEN(INDEX('My equipment'!$D$4:$D$503,(_calc!$E$74-500)))=0,"",INDEX('My equipment'!$D$4:$D$503,(_calc!$E$74-500)))&amp;". ")&amp;IF(LEN(IF(ISNUMBER(INDEX('My equipment'!$J$4:$J$503,(_calc!$E$74-500))),TEXT(INDEX('My equipment'!$J$4:$J$503,(_calc!$E$74-500)),"yyyy-mm-dd"),""))=0,"","Parts end: "&amp;IF(ISNUMBER(INDEX('My equipment'!$J$4:$J$503,(_calc!$E$74-500))),TEXT(INDEX('My equipment'!$J$4:$J$503,(_calc!$E$74-500)),"yyyy-mm-dd"),"")&amp;". ")&amp;IF(LEN(IF(ISNUMBER(INDEX('My equipment'!$L$4:$L$503,(_calc!$E$74-500))),TEXT(INDEX('My equipment'!$L$4:$L$503,(_calc!$E$74-500)),"yyyy-mm-dd"),""))=0,"","Labor end: "&amp;IF(ISNUMBER(INDEX('My equipment'!$L$4:$L$503,(_calc!$E$74-500))),TEXT(INDEX('My equipment'!$L$4:$L$503,(_calc!$E$74-500)),"yyyy-mm-dd"),"")&amp;". ")&amp;IF(LEN(IF(ISNUMBER(INDEX('My equipment'!$P$4:$P$503,(_calc!$E$74-500))),TEXT(INDEX('My equipment'!$P$4:$P$503,(_calc!$E$74-500)),"yyyy-mm-dd"),""))=0,"","Check by: "&amp;IF(ISNUMBER(INDEX('My equipment'!$P$4:$P$503,(_calc!$E$74-500))),TEXT(INDEX('My equipment'!$P$4:$P$503,(_calc!$E$74-500)),"yyyy-mm-dd"),"")&amp;". ")&amp;IF(LEN(IF(LEN(INDEX('My equipment'!$Q$4:$Q$503,(_calc!$E$74-500)))=0,"",INDEX('My equipment'!$Q$4:$Q$503,(_calc!$E$74-500))))=0,"","Claim status: "&amp;IF(LEN(INDEX('My equipment'!$Q$4:$Q$503,(_calc!$E$74-500)))=0,"",INDEX('My equipment'!$Q$4:$Q$503,(_calc!$E$74-500)))&amp;". ")&amp;IF(LEN(IF(LEN(INDEX('My equipment'!$R$4:$R$503,(_calc!$E$74-500)))=0,"",INDEX('My equipment'!$R$4:$R$503,(_calc!$E$74-500))))=0,"","Claims contact: "&amp;IF(LEN(INDEX('My equipment'!$R$4:$R$503,(_calc!$E$74-500)))=0,"",INDEX('My equipment'!$R$4:$R$503,(_calc!$E$74-500)))&amp;". ")&amp;IF(LEN(IF(LEN(INDEX('My equipment'!$S$4:$S$503,(_calc!$E$74-500)))=0,"",INDEX('My equipment'!$S$4:$S$503,(_calc!$E$74-500))))=0,"","Claims email: "&amp;IF(LEN(INDEX('My equipment'!$S$4:$S$503,(_calc!$E$74-500)))=0,"",INDEX('My equipment'!$S$4:$S$503,(_calc!$E$74-500)))&amp;". ")&amp;IF(LEN(IF(LEN(INDEX('My equipment'!$U$4:$U$503,(_calc!$E$74-500)))=0,"",INDEX('My equipment'!$U$4:$U$503,(_calc!$E$74-500))))=0,"","Registered: "&amp;IF(LEN(INDEX('My equipment'!$U$4:$U$503,(_calc!$E$74-500)))=0,"",INDEX('My equipment'!$U$4:$U$503,(_calc!$E$74-500)))&amp;". ")&amp;IF(LEN(IF(LEN(INDEX('My equipment'!$V$4:$V$503,(_calc!$E$74-500)))=0,"",INDEX('My equipment'!$V$4:$V$503,(_calc!$E$74-500))))=0,"","Proof on file: "&amp;IF(LEN(INDEX('My equipment'!$V$4:$V$503,(_calc!$E$74-500)))=0,"",INDEX('My equipment'!$V$4:$V$503,(_calc!$E$74-500)))&amp;". ")&amp;IF(LEN(IF(LEN(INDEX('My equipment'!$W$4:$W$503,(_calc!$E$74-500)))=0,"",INDEX('My equipment'!$W$4:$W$503,(_calc!$E$74-500))))=0,"","Claim ref: "&amp;IF(LEN(INDEX('My equipment'!$W$4:$W$503,(_calc!$E$74-500)))=0,"",INDEX('My equipment'!$W$4:$W$503,(_calc!$E$74-500)))&amp;". ")&amp;IF(LEN(IF(LEN(INDEX('My equipment'!$Y$4:$Y$503,(_calc!$E$74-500)))=0,"",INDEX('My equipment'!$Y$4:$Y$503,(_calc!$E$74-500))))=0,"",IF(LEN(INDEX('My equipment'!$Y$4:$Y$503,(_calc!$E$74-500)))=0,"",INDEX('My equipment'!$Y$4:$Y$503,(_calc!$E$74-500)))))))</f>
        <v/>
      </c>
      <c r="G72" s="54">
        <f>IF(_calc!$E$74="","",IF(_calc!$E$74&lt;=500,"",IF(LEN(INDEX('My equipment'!$X$4:$X$503,(_calc!$E$74-500)))=0,"",INDEX('My equipment'!$X$4:$X$503,(_calc!$E$74-500)))))</f>
        <v/>
      </c>
      <c r="K72" s="54">
        <f>IF(_calc!$E$74="","",IF(_calc!$E$74&lt;=500,"",IF(LEN(INDEX('My equipment'!$T$4:$T$503,(_calc!$E$74-500)))=0,"",INDEX('My equipment'!$T$4:$T$503,(_calc!$E$74-500)))))</f>
        <v/>
      </c>
    </row>
    <row r="73">
      <c r="A73" s="54">
        <f>IF(_calc!$E$75="","",IF(_calc!$E$75&lt;=500,"Warranty – "&amp;IF(LEN(INDEX('Dealer pipeline'!$C$4:$C$503,_calc!$E$75))=0,"",INDEX('Dealer pipeline'!$C$4:$C$503,_calc!$E$75))&amp;" – "&amp;IF(LEN(INDEX('Dealer pipeline'!$D$4:$D$503,_calc!$E$75))=0,"",INDEX('Dealer pipeline'!$D$4:$D$503,_calc!$E$75))&amp;" – "&amp;IF(LEN(INDEX('Dealer pipeline'!$A$4:$A$503,_calc!$E$75))=0,"",INDEX('Dealer pipeline'!$A$4:$A$503,_calc!$E$75)),"Warranty – "&amp;IF(LEN(INDEX('My equipment'!$A$4:$A$503,(_calc!$E$75-500)))=0,"",INDEX('My equipment'!$A$4:$A$503,(_calc!$E$75-500)))&amp;" – "&amp;IF(LEN(INDEX('My equipment'!$D$4:$D$503,(_calc!$E$75-500)))=0,"",INDEX('My equipment'!$D$4:$D$503,(_calc!$E$75-500)))))</f>
        <v/>
      </c>
      <c r="B73" s="54">
        <f>IF(_calc!$E$75="","",IF(_calc!$E$75&lt;=500,IF(ISNUMBER(INDEX('Dealer pipeline'!$M$4:$M$503,_calc!$E$75)),TEXT(INDEX('Dealer pipeline'!$M$4:$M$503,_calc!$E$75),"yyyy-mm-dd"),""),IF(ISNUMBER(INDEX('My equipment'!$M$4:$M$503,(_calc!$E$75-500))),TEXT(INDEX('My equipment'!$M$4:$M$503,(_calc!$E$75-500)),"yyyy-mm-dd"),"")))</f>
        <v/>
      </c>
      <c r="C73" s="54">
        <f>IF(_calc!$E$75="","",IF(_calc!$E$75&lt;=500,"Warranty","Warranty"))</f>
        <v/>
      </c>
      <c r="D73" s="54">
        <f>IF(_calc!$E$75="","",IF(_calc!$E$75&lt;=500,IF(ISNUMBER(INDEX('Dealer pipeline'!$H$4:$H$503,_calc!$E$75)),TEXT(INDEX('Dealer pipeline'!$H$4:$H$503,_calc!$E$75),"yyyy-mm-dd"),""),IF(ISNUMBER(INDEX('My equipment'!$H$4:$H$503,(_calc!$E$75-500))),TEXT(INDEX('My equipment'!$H$4:$H$503,(_calc!$E$75-500)),"yyyy-mm-dd"),"")))</f>
        <v/>
      </c>
      <c r="F73" s="54">
        <f>IF(_calc!$E$75="","",IF(_calc!$E$75&lt;=500,TRIM(IF(LEN(IF(LEN(INDEX('Dealer pipeline'!$A$4:$A$503,_calc!$E$75))=0,"",INDEX('Dealer pipeline'!$A$4:$A$503,_calc!$E$75)))=0,"","Customer: "&amp;IF(LEN(INDEX('Dealer pipeline'!$A$4:$A$503,_calc!$E$75))=0,"",INDEX('Dealer pipeline'!$A$4:$A$503,_calc!$E$75))&amp;". ")&amp;IF(LEN(IF(LEN(INDEX('Dealer pipeline'!$B$4:$B$503,_calc!$E$75))=0,"",INDEX('Dealer pipeline'!$B$4:$B$503,_calc!$E$75)))=0,"","Contact: "&amp;IF(LEN(INDEX('Dealer pipeline'!$B$4:$B$503,_calc!$E$75))=0,"",INDEX('Dealer pipeline'!$B$4:$B$503,_calc!$E$75))&amp;". ")&amp;IF(LEN(IF(LEN(INDEX('Dealer pipeline'!$D$4:$D$503,_calc!$E$75))=0,"",INDEX('Dealer pipeline'!$D$4:$D$503,_calc!$E$75)))=0,"","Serial: "&amp;IF(LEN(INDEX('Dealer pipeline'!$D$4:$D$503,_calc!$E$75))=0,"",INDEX('Dealer pipeline'!$D$4:$D$503,_calc!$E$75))&amp;". ")&amp;IF(LEN(IF(ISNUMBER(INDEX('Dealer pipeline'!$J$4:$J$503,_calc!$E$75)),TEXT(INDEX('Dealer pipeline'!$J$4:$J$503,_calc!$E$75),"yyyy-mm-dd"),""))=0,"","Parts end: "&amp;IF(ISNUMBER(INDEX('Dealer pipeline'!$J$4:$J$503,_calc!$E$75)),TEXT(INDEX('Dealer pipeline'!$J$4:$J$503,_calc!$E$75),"yyyy-mm-dd"),"")&amp;". ")&amp;IF(LEN(IF(ISNUMBER(INDEX('Dealer pipeline'!$L$4:$L$503,_calc!$E$75)),TEXT(INDEX('Dealer pipeline'!$L$4:$L$503,_calc!$E$75),"yyyy-mm-dd"),""))=0,"","Labor end: "&amp;IF(ISNUMBER(INDEX('Dealer pipeline'!$L$4:$L$503,_calc!$E$75)),TEXT(INDEX('Dealer pipeline'!$L$4:$L$503,_calc!$E$75),"yyyy-mm-dd"),"")&amp;". ")&amp;IF(LEN(IF(LEN(INDEX('Dealer pipeline'!$Q$4:$Q$503,_calc!$E$75))=0,"",INDEX('Dealer pipeline'!$Q$4:$Q$503,_calc!$E$75)))=0,"","Status: "&amp;IF(LEN(INDEX('Dealer pipeline'!$Q$4:$Q$503,_calc!$E$75))=0,"",INDEX('Dealer pipeline'!$Q$4:$Q$503,_calc!$E$75))&amp;". ")&amp;IF(LEN(IF(LEN(INDEX('Dealer pipeline'!$P$4:$P$503,_calc!$E$75))=0,"",INDEX('Dealer pipeline'!$P$4:$P$503,_calc!$E$75)))=0,"","Last touch: "&amp;IF(LEN(INDEX('Dealer pipeline'!$P$4:$P$503,_calc!$E$75))=0,"",INDEX('Dealer pipeline'!$P$4:$P$503,_calc!$E$75))&amp;". ")&amp;IF(LEN(IF(LEN(INDEX('Dealer pipeline'!$R$4:$R$503,_calc!$E$75))=0,"",INDEX('Dealer pipeline'!$R$4:$R$503,_calc!$E$75)))=0,"","Owner: "&amp;IF(LEN(INDEX('Dealer pipeline'!$R$4:$R$503,_calc!$E$75))=0,"",INDEX('Dealer pipeline'!$R$4:$R$503,_calc!$E$75))&amp;". ")&amp;IF(LEN(IF(LEN(INDEX('Dealer pipeline'!$S$4:$S$503,_calc!$E$75))=0,"",INDEX('Dealer pipeline'!$S$4:$S$503,_calc!$E$75)))=0,"","Backup: "&amp;IF(LEN(INDEX('Dealer pipeline'!$S$4:$S$503,_calc!$E$75))=0,"",INDEX('Dealer pipeline'!$S$4:$S$503,_calc!$E$75))&amp;". ")&amp;IF(LEN(IF(LEN(INDEX('Dealer pipeline'!$T$4:$T$503,_calc!$E$75))=0,"",INDEX('Dealer pipeline'!$T$4:$T$503,_calc!$E$75)))=0,"",IF(LEN(INDEX('Dealer pipeline'!$T$4:$T$503,_calc!$E$75))=0,"",INDEX('Dealer pipeline'!$T$4:$T$503,_calc!$E$75)))),TRIM(IF(LEN(IF(LEN(INDEX('My equipment'!$C$4:$C$503,(_calc!$E$75-500)))=0,"",INDEX('My equipment'!$C$4:$C$503,(_calc!$E$75-500))))=0,"","Model: "&amp;IF(LEN(INDEX('My equipment'!$C$4:$C$503,(_calc!$E$75-500)))=0,"",INDEX('My equipment'!$C$4:$C$503,(_calc!$E$75-500)))&amp;". ")&amp;IF(LEN(IF(LEN(INDEX('My equipment'!$D$4:$D$503,(_calc!$E$75-500)))=0,"",INDEX('My equipment'!$D$4:$D$503,(_calc!$E$75-500))))=0,"","Serial: "&amp;IF(LEN(INDEX('My equipment'!$D$4:$D$503,(_calc!$E$75-500)))=0,"",INDEX('My equipment'!$D$4:$D$503,(_calc!$E$75-500)))&amp;". ")&amp;IF(LEN(IF(ISNUMBER(INDEX('My equipment'!$J$4:$J$503,(_calc!$E$75-500))),TEXT(INDEX('My equipment'!$J$4:$J$503,(_calc!$E$75-500)),"yyyy-mm-dd"),""))=0,"","Parts end: "&amp;IF(ISNUMBER(INDEX('My equipment'!$J$4:$J$503,(_calc!$E$75-500))),TEXT(INDEX('My equipment'!$J$4:$J$503,(_calc!$E$75-500)),"yyyy-mm-dd"),"")&amp;". ")&amp;IF(LEN(IF(ISNUMBER(INDEX('My equipment'!$L$4:$L$503,(_calc!$E$75-500))),TEXT(INDEX('My equipment'!$L$4:$L$503,(_calc!$E$75-500)),"yyyy-mm-dd"),""))=0,"","Labor end: "&amp;IF(ISNUMBER(INDEX('My equipment'!$L$4:$L$503,(_calc!$E$75-500))),TEXT(INDEX('My equipment'!$L$4:$L$503,(_calc!$E$75-500)),"yyyy-mm-dd"),"")&amp;". ")&amp;IF(LEN(IF(ISNUMBER(INDEX('My equipment'!$P$4:$P$503,(_calc!$E$75-500))),TEXT(INDEX('My equipment'!$P$4:$P$503,(_calc!$E$75-500)),"yyyy-mm-dd"),""))=0,"","Check by: "&amp;IF(ISNUMBER(INDEX('My equipment'!$P$4:$P$503,(_calc!$E$75-500))),TEXT(INDEX('My equipment'!$P$4:$P$503,(_calc!$E$75-500)),"yyyy-mm-dd"),"")&amp;". ")&amp;IF(LEN(IF(LEN(INDEX('My equipment'!$Q$4:$Q$503,(_calc!$E$75-500)))=0,"",INDEX('My equipment'!$Q$4:$Q$503,(_calc!$E$75-500))))=0,"","Claim status: "&amp;IF(LEN(INDEX('My equipment'!$Q$4:$Q$503,(_calc!$E$75-500)))=0,"",INDEX('My equipment'!$Q$4:$Q$503,(_calc!$E$75-500)))&amp;". ")&amp;IF(LEN(IF(LEN(INDEX('My equipment'!$R$4:$R$503,(_calc!$E$75-500)))=0,"",INDEX('My equipment'!$R$4:$R$503,(_calc!$E$75-500))))=0,"","Claims contact: "&amp;IF(LEN(INDEX('My equipment'!$R$4:$R$503,(_calc!$E$75-500)))=0,"",INDEX('My equipment'!$R$4:$R$503,(_calc!$E$75-500)))&amp;". ")&amp;IF(LEN(IF(LEN(INDEX('My equipment'!$S$4:$S$503,(_calc!$E$75-500)))=0,"",INDEX('My equipment'!$S$4:$S$503,(_calc!$E$75-500))))=0,"","Claims email: "&amp;IF(LEN(INDEX('My equipment'!$S$4:$S$503,(_calc!$E$75-500)))=0,"",INDEX('My equipment'!$S$4:$S$503,(_calc!$E$75-500)))&amp;". ")&amp;IF(LEN(IF(LEN(INDEX('My equipment'!$U$4:$U$503,(_calc!$E$75-500)))=0,"",INDEX('My equipment'!$U$4:$U$503,(_calc!$E$75-500))))=0,"","Registered: "&amp;IF(LEN(INDEX('My equipment'!$U$4:$U$503,(_calc!$E$75-500)))=0,"",INDEX('My equipment'!$U$4:$U$503,(_calc!$E$75-500)))&amp;". ")&amp;IF(LEN(IF(LEN(INDEX('My equipment'!$V$4:$V$503,(_calc!$E$75-500)))=0,"",INDEX('My equipment'!$V$4:$V$503,(_calc!$E$75-500))))=0,"","Proof on file: "&amp;IF(LEN(INDEX('My equipment'!$V$4:$V$503,(_calc!$E$75-500)))=0,"",INDEX('My equipment'!$V$4:$V$503,(_calc!$E$75-500)))&amp;". ")&amp;IF(LEN(IF(LEN(INDEX('My equipment'!$W$4:$W$503,(_calc!$E$75-500)))=0,"",INDEX('My equipment'!$W$4:$W$503,(_calc!$E$75-500))))=0,"","Claim ref: "&amp;IF(LEN(INDEX('My equipment'!$W$4:$W$503,(_calc!$E$75-500)))=0,"",INDEX('My equipment'!$W$4:$W$503,(_calc!$E$75-500)))&amp;". ")&amp;IF(LEN(IF(LEN(INDEX('My equipment'!$Y$4:$Y$503,(_calc!$E$75-500)))=0,"",INDEX('My equipment'!$Y$4:$Y$503,(_calc!$E$75-500))))=0,"",IF(LEN(INDEX('My equipment'!$Y$4:$Y$503,(_calc!$E$75-500)))=0,"",INDEX('My equipment'!$Y$4:$Y$503,(_calc!$E$75-500)))))))</f>
        <v/>
      </c>
      <c r="G73" s="54">
        <f>IF(_calc!$E$75="","",IF(_calc!$E$75&lt;=500,"",IF(LEN(INDEX('My equipment'!$X$4:$X$503,(_calc!$E$75-500)))=0,"",INDEX('My equipment'!$X$4:$X$503,(_calc!$E$75-500)))))</f>
        <v/>
      </c>
      <c r="K73" s="54">
        <f>IF(_calc!$E$75="","",IF(_calc!$E$75&lt;=500,"",IF(LEN(INDEX('My equipment'!$T$4:$T$503,(_calc!$E$75-500)))=0,"",INDEX('My equipment'!$T$4:$T$503,(_calc!$E$75-500)))))</f>
        <v/>
      </c>
    </row>
    <row r="74">
      <c r="A74" s="54">
        <f>IF(_calc!$E$76="","",IF(_calc!$E$76&lt;=500,"Warranty – "&amp;IF(LEN(INDEX('Dealer pipeline'!$C$4:$C$503,_calc!$E$76))=0,"",INDEX('Dealer pipeline'!$C$4:$C$503,_calc!$E$76))&amp;" – "&amp;IF(LEN(INDEX('Dealer pipeline'!$D$4:$D$503,_calc!$E$76))=0,"",INDEX('Dealer pipeline'!$D$4:$D$503,_calc!$E$76))&amp;" – "&amp;IF(LEN(INDEX('Dealer pipeline'!$A$4:$A$503,_calc!$E$76))=0,"",INDEX('Dealer pipeline'!$A$4:$A$503,_calc!$E$76)),"Warranty – "&amp;IF(LEN(INDEX('My equipment'!$A$4:$A$503,(_calc!$E$76-500)))=0,"",INDEX('My equipment'!$A$4:$A$503,(_calc!$E$76-500)))&amp;" – "&amp;IF(LEN(INDEX('My equipment'!$D$4:$D$503,(_calc!$E$76-500)))=0,"",INDEX('My equipment'!$D$4:$D$503,(_calc!$E$76-500)))))</f>
        <v/>
      </c>
      <c r="B74" s="54">
        <f>IF(_calc!$E$76="","",IF(_calc!$E$76&lt;=500,IF(ISNUMBER(INDEX('Dealer pipeline'!$M$4:$M$503,_calc!$E$76)),TEXT(INDEX('Dealer pipeline'!$M$4:$M$503,_calc!$E$76),"yyyy-mm-dd"),""),IF(ISNUMBER(INDEX('My equipment'!$M$4:$M$503,(_calc!$E$76-500))),TEXT(INDEX('My equipment'!$M$4:$M$503,(_calc!$E$76-500)),"yyyy-mm-dd"),"")))</f>
        <v/>
      </c>
      <c r="C74" s="54">
        <f>IF(_calc!$E$76="","",IF(_calc!$E$76&lt;=500,"Warranty","Warranty"))</f>
        <v/>
      </c>
      <c r="D74" s="54">
        <f>IF(_calc!$E$76="","",IF(_calc!$E$76&lt;=500,IF(ISNUMBER(INDEX('Dealer pipeline'!$H$4:$H$503,_calc!$E$76)),TEXT(INDEX('Dealer pipeline'!$H$4:$H$503,_calc!$E$76),"yyyy-mm-dd"),""),IF(ISNUMBER(INDEX('My equipment'!$H$4:$H$503,(_calc!$E$76-500))),TEXT(INDEX('My equipment'!$H$4:$H$503,(_calc!$E$76-500)),"yyyy-mm-dd"),"")))</f>
        <v/>
      </c>
      <c r="F74" s="54">
        <f>IF(_calc!$E$76="","",IF(_calc!$E$76&lt;=500,TRIM(IF(LEN(IF(LEN(INDEX('Dealer pipeline'!$A$4:$A$503,_calc!$E$76))=0,"",INDEX('Dealer pipeline'!$A$4:$A$503,_calc!$E$76)))=0,"","Customer: "&amp;IF(LEN(INDEX('Dealer pipeline'!$A$4:$A$503,_calc!$E$76))=0,"",INDEX('Dealer pipeline'!$A$4:$A$503,_calc!$E$76))&amp;". ")&amp;IF(LEN(IF(LEN(INDEX('Dealer pipeline'!$B$4:$B$503,_calc!$E$76))=0,"",INDEX('Dealer pipeline'!$B$4:$B$503,_calc!$E$76)))=0,"","Contact: "&amp;IF(LEN(INDEX('Dealer pipeline'!$B$4:$B$503,_calc!$E$76))=0,"",INDEX('Dealer pipeline'!$B$4:$B$503,_calc!$E$76))&amp;". ")&amp;IF(LEN(IF(LEN(INDEX('Dealer pipeline'!$D$4:$D$503,_calc!$E$76))=0,"",INDEX('Dealer pipeline'!$D$4:$D$503,_calc!$E$76)))=0,"","Serial: "&amp;IF(LEN(INDEX('Dealer pipeline'!$D$4:$D$503,_calc!$E$76))=0,"",INDEX('Dealer pipeline'!$D$4:$D$503,_calc!$E$76))&amp;". ")&amp;IF(LEN(IF(ISNUMBER(INDEX('Dealer pipeline'!$J$4:$J$503,_calc!$E$76)),TEXT(INDEX('Dealer pipeline'!$J$4:$J$503,_calc!$E$76),"yyyy-mm-dd"),""))=0,"","Parts end: "&amp;IF(ISNUMBER(INDEX('Dealer pipeline'!$J$4:$J$503,_calc!$E$76)),TEXT(INDEX('Dealer pipeline'!$J$4:$J$503,_calc!$E$76),"yyyy-mm-dd"),"")&amp;". ")&amp;IF(LEN(IF(ISNUMBER(INDEX('Dealer pipeline'!$L$4:$L$503,_calc!$E$76)),TEXT(INDEX('Dealer pipeline'!$L$4:$L$503,_calc!$E$76),"yyyy-mm-dd"),""))=0,"","Labor end: "&amp;IF(ISNUMBER(INDEX('Dealer pipeline'!$L$4:$L$503,_calc!$E$76)),TEXT(INDEX('Dealer pipeline'!$L$4:$L$503,_calc!$E$76),"yyyy-mm-dd"),"")&amp;". ")&amp;IF(LEN(IF(LEN(INDEX('Dealer pipeline'!$Q$4:$Q$503,_calc!$E$76))=0,"",INDEX('Dealer pipeline'!$Q$4:$Q$503,_calc!$E$76)))=0,"","Status: "&amp;IF(LEN(INDEX('Dealer pipeline'!$Q$4:$Q$503,_calc!$E$76))=0,"",INDEX('Dealer pipeline'!$Q$4:$Q$503,_calc!$E$76))&amp;". ")&amp;IF(LEN(IF(LEN(INDEX('Dealer pipeline'!$P$4:$P$503,_calc!$E$76))=0,"",INDEX('Dealer pipeline'!$P$4:$P$503,_calc!$E$76)))=0,"","Last touch: "&amp;IF(LEN(INDEX('Dealer pipeline'!$P$4:$P$503,_calc!$E$76))=0,"",INDEX('Dealer pipeline'!$P$4:$P$503,_calc!$E$76))&amp;". ")&amp;IF(LEN(IF(LEN(INDEX('Dealer pipeline'!$R$4:$R$503,_calc!$E$76))=0,"",INDEX('Dealer pipeline'!$R$4:$R$503,_calc!$E$76)))=0,"","Owner: "&amp;IF(LEN(INDEX('Dealer pipeline'!$R$4:$R$503,_calc!$E$76))=0,"",INDEX('Dealer pipeline'!$R$4:$R$503,_calc!$E$76))&amp;". ")&amp;IF(LEN(IF(LEN(INDEX('Dealer pipeline'!$S$4:$S$503,_calc!$E$76))=0,"",INDEX('Dealer pipeline'!$S$4:$S$503,_calc!$E$76)))=0,"","Backup: "&amp;IF(LEN(INDEX('Dealer pipeline'!$S$4:$S$503,_calc!$E$76))=0,"",INDEX('Dealer pipeline'!$S$4:$S$503,_calc!$E$76))&amp;". ")&amp;IF(LEN(IF(LEN(INDEX('Dealer pipeline'!$T$4:$T$503,_calc!$E$76))=0,"",INDEX('Dealer pipeline'!$T$4:$T$503,_calc!$E$76)))=0,"",IF(LEN(INDEX('Dealer pipeline'!$T$4:$T$503,_calc!$E$76))=0,"",INDEX('Dealer pipeline'!$T$4:$T$503,_calc!$E$76)))),TRIM(IF(LEN(IF(LEN(INDEX('My equipment'!$C$4:$C$503,(_calc!$E$76-500)))=0,"",INDEX('My equipment'!$C$4:$C$503,(_calc!$E$76-500))))=0,"","Model: "&amp;IF(LEN(INDEX('My equipment'!$C$4:$C$503,(_calc!$E$76-500)))=0,"",INDEX('My equipment'!$C$4:$C$503,(_calc!$E$76-500)))&amp;". ")&amp;IF(LEN(IF(LEN(INDEX('My equipment'!$D$4:$D$503,(_calc!$E$76-500)))=0,"",INDEX('My equipment'!$D$4:$D$503,(_calc!$E$76-500))))=0,"","Serial: "&amp;IF(LEN(INDEX('My equipment'!$D$4:$D$503,(_calc!$E$76-500)))=0,"",INDEX('My equipment'!$D$4:$D$503,(_calc!$E$76-500)))&amp;". ")&amp;IF(LEN(IF(ISNUMBER(INDEX('My equipment'!$J$4:$J$503,(_calc!$E$76-500))),TEXT(INDEX('My equipment'!$J$4:$J$503,(_calc!$E$76-500)),"yyyy-mm-dd"),""))=0,"","Parts end: "&amp;IF(ISNUMBER(INDEX('My equipment'!$J$4:$J$503,(_calc!$E$76-500))),TEXT(INDEX('My equipment'!$J$4:$J$503,(_calc!$E$76-500)),"yyyy-mm-dd"),"")&amp;". ")&amp;IF(LEN(IF(ISNUMBER(INDEX('My equipment'!$L$4:$L$503,(_calc!$E$76-500))),TEXT(INDEX('My equipment'!$L$4:$L$503,(_calc!$E$76-500)),"yyyy-mm-dd"),""))=0,"","Labor end: "&amp;IF(ISNUMBER(INDEX('My equipment'!$L$4:$L$503,(_calc!$E$76-500))),TEXT(INDEX('My equipment'!$L$4:$L$503,(_calc!$E$76-500)),"yyyy-mm-dd"),"")&amp;". ")&amp;IF(LEN(IF(ISNUMBER(INDEX('My equipment'!$P$4:$P$503,(_calc!$E$76-500))),TEXT(INDEX('My equipment'!$P$4:$P$503,(_calc!$E$76-500)),"yyyy-mm-dd"),""))=0,"","Check by: "&amp;IF(ISNUMBER(INDEX('My equipment'!$P$4:$P$503,(_calc!$E$76-500))),TEXT(INDEX('My equipment'!$P$4:$P$503,(_calc!$E$76-500)),"yyyy-mm-dd"),"")&amp;". ")&amp;IF(LEN(IF(LEN(INDEX('My equipment'!$Q$4:$Q$503,(_calc!$E$76-500)))=0,"",INDEX('My equipment'!$Q$4:$Q$503,(_calc!$E$76-500))))=0,"","Claim status: "&amp;IF(LEN(INDEX('My equipment'!$Q$4:$Q$503,(_calc!$E$76-500)))=0,"",INDEX('My equipment'!$Q$4:$Q$503,(_calc!$E$76-500)))&amp;". ")&amp;IF(LEN(IF(LEN(INDEX('My equipment'!$R$4:$R$503,(_calc!$E$76-500)))=0,"",INDEX('My equipment'!$R$4:$R$503,(_calc!$E$76-500))))=0,"","Claims contact: "&amp;IF(LEN(INDEX('My equipment'!$R$4:$R$503,(_calc!$E$76-500)))=0,"",INDEX('My equipment'!$R$4:$R$503,(_calc!$E$76-500)))&amp;". ")&amp;IF(LEN(IF(LEN(INDEX('My equipment'!$S$4:$S$503,(_calc!$E$76-500)))=0,"",INDEX('My equipment'!$S$4:$S$503,(_calc!$E$76-500))))=0,"","Claims email: "&amp;IF(LEN(INDEX('My equipment'!$S$4:$S$503,(_calc!$E$76-500)))=0,"",INDEX('My equipment'!$S$4:$S$503,(_calc!$E$76-500)))&amp;". ")&amp;IF(LEN(IF(LEN(INDEX('My equipment'!$U$4:$U$503,(_calc!$E$76-500)))=0,"",INDEX('My equipment'!$U$4:$U$503,(_calc!$E$76-500))))=0,"","Registered: "&amp;IF(LEN(INDEX('My equipment'!$U$4:$U$503,(_calc!$E$76-500)))=0,"",INDEX('My equipment'!$U$4:$U$503,(_calc!$E$76-500)))&amp;". ")&amp;IF(LEN(IF(LEN(INDEX('My equipment'!$V$4:$V$503,(_calc!$E$76-500)))=0,"",INDEX('My equipment'!$V$4:$V$503,(_calc!$E$76-500))))=0,"","Proof on file: "&amp;IF(LEN(INDEX('My equipment'!$V$4:$V$503,(_calc!$E$76-500)))=0,"",INDEX('My equipment'!$V$4:$V$503,(_calc!$E$76-500)))&amp;". ")&amp;IF(LEN(IF(LEN(INDEX('My equipment'!$W$4:$W$503,(_calc!$E$76-500)))=0,"",INDEX('My equipment'!$W$4:$W$503,(_calc!$E$76-500))))=0,"","Claim ref: "&amp;IF(LEN(INDEX('My equipment'!$W$4:$W$503,(_calc!$E$76-500)))=0,"",INDEX('My equipment'!$W$4:$W$503,(_calc!$E$76-500)))&amp;". ")&amp;IF(LEN(IF(LEN(INDEX('My equipment'!$Y$4:$Y$503,(_calc!$E$76-500)))=0,"",INDEX('My equipment'!$Y$4:$Y$503,(_calc!$E$76-500))))=0,"",IF(LEN(INDEX('My equipment'!$Y$4:$Y$503,(_calc!$E$76-500)))=0,"",INDEX('My equipment'!$Y$4:$Y$503,(_calc!$E$76-500)))))))</f>
        <v/>
      </c>
      <c r="G74" s="54">
        <f>IF(_calc!$E$76="","",IF(_calc!$E$76&lt;=500,"",IF(LEN(INDEX('My equipment'!$X$4:$X$503,(_calc!$E$76-500)))=0,"",INDEX('My equipment'!$X$4:$X$503,(_calc!$E$76-500)))))</f>
        <v/>
      </c>
      <c r="K74" s="54">
        <f>IF(_calc!$E$76="","",IF(_calc!$E$76&lt;=500,"",IF(LEN(INDEX('My equipment'!$T$4:$T$503,(_calc!$E$76-500)))=0,"",INDEX('My equipment'!$T$4:$T$503,(_calc!$E$76-500)))))</f>
        <v/>
      </c>
    </row>
    <row r="75">
      <c r="A75" s="54">
        <f>IF(_calc!$E$77="","",IF(_calc!$E$77&lt;=500,"Warranty – "&amp;IF(LEN(INDEX('Dealer pipeline'!$C$4:$C$503,_calc!$E$77))=0,"",INDEX('Dealer pipeline'!$C$4:$C$503,_calc!$E$77))&amp;" – "&amp;IF(LEN(INDEX('Dealer pipeline'!$D$4:$D$503,_calc!$E$77))=0,"",INDEX('Dealer pipeline'!$D$4:$D$503,_calc!$E$77))&amp;" – "&amp;IF(LEN(INDEX('Dealer pipeline'!$A$4:$A$503,_calc!$E$77))=0,"",INDEX('Dealer pipeline'!$A$4:$A$503,_calc!$E$77)),"Warranty – "&amp;IF(LEN(INDEX('My equipment'!$A$4:$A$503,(_calc!$E$77-500)))=0,"",INDEX('My equipment'!$A$4:$A$503,(_calc!$E$77-500)))&amp;" – "&amp;IF(LEN(INDEX('My equipment'!$D$4:$D$503,(_calc!$E$77-500)))=0,"",INDEX('My equipment'!$D$4:$D$503,(_calc!$E$77-500)))))</f>
        <v/>
      </c>
      <c r="B75" s="54">
        <f>IF(_calc!$E$77="","",IF(_calc!$E$77&lt;=500,IF(ISNUMBER(INDEX('Dealer pipeline'!$M$4:$M$503,_calc!$E$77)),TEXT(INDEX('Dealer pipeline'!$M$4:$M$503,_calc!$E$77),"yyyy-mm-dd"),""),IF(ISNUMBER(INDEX('My equipment'!$M$4:$M$503,(_calc!$E$77-500))),TEXT(INDEX('My equipment'!$M$4:$M$503,(_calc!$E$77-500)),"yyyy-mm-dd"),"")))</f>
        <v/>
      </c>
      <c r="C75" s="54">
        <f>IF(_calc!$E$77="","",IF(_calc!$E$77&lt;=500,"Warranty","Warranty"))</f>
        <v/>
      </c>
      <c r="D75" s="54">
        <f>IF(_calc!$E$77="","",IF(_calc!$E$77&lt;=500,IF(ISNUMBER(INDEX('Dealer pipeline'!$H$4:$H$503,_calc!$E$77)),TEXT(INDEX('Dealer pipeline'!$H$4:$H$503,_calc!$E$77),"yyyy-mm-dd"),""),IF(ISNUMBER(INDEX('My equipment'!$H$4:$H$503,(_calc!$E$77-500))),TEXT(INDEX('My equipment'!$H$4:$H$503,(_calc!$E$77-500)),"yyyy-mm-dd"),"")))</f>
        <v/>
      </c>
      <c r="F75" s="54">
        <f>IF(_calc!$E$77="","",IF(_calc!$E$77&lt;=500,TRIM(IF(LEN(IF(LEN(INDEX('Dealer pipeline'!$A$4:$A$503,_calc!$E$77))=0,"",INDEX('Dealer pipeline'!$A$4:$A$503,_calc!$E$77)))=0,"","Customer: "&amp;IF(LEN(INDEX('Dealer pipeline'!$A$4:$A$503,_calc!$E$77))=0,"",INDEX('Dealer pipeline'!$A$4:$A$503,_calc!$E$77))&amp;". ")&amp;IF(LEN(IF(LEN(INDEX('Dealer pipeline'!$B$4:$B$503,_calc!$E$77))=0,"",INDEX('Dealer pipeline'!$B$4:$B$503,_calc!$E$77)))=0,"","Contact: "&amp;IF(LEN(INDEX('Dealer pipeline'!$B$4:$B$503,_calc!$E$77))=0,"",INDEX('Dealer pipeline'!$B$4:$B$503,_calc!$E$77))&amp;". ")&amp;IF(LEN(IF(LEN(INDEX('Dealer pipeline'!$D$4:$D$503,_calc!$E$77))=0,"",INDEX('Dealer pipeline'!$D$4:$D$503,_calc!$E$77)))=0,"","Serial: "&amp;IF(LEN(INDEX('Dealer pipeline'!$D$4:$D$503,_calc!$E$77))=0,"",INDEX('Dealer pipeline'!$D$4:$D$503,_calc!$E$77))&amp;". ")&amp;IF(LEN(IF(ISNUMBER(INDEX('Dealer pipeline'!$J$4:$J$503,_calc!$E$77)),TEXT(INDEX('Dealer pipeline'!$J$4:$J$503,_calc!$E$77),"yyyy-mm-dd"),""))=0,"","Parts end: "&amp;IF(ISNUMBER(INDEX('Dealer pipeline'!$J$4:$J$503,_calc!$E$77)),TEXT(INDEX('Dealer pipeline'!$J$4:$J$503,_calc!$E$77),"yyyy-mm-dd"),"")&amp;". ")&amp;IF(LEN(IF(ISNUMBER(INDEX('Dealer pipeline'!$L$4:$L$503,_calc!$E$77)),TEXT(INDEX('Dealer pipeline'!$L$4:$L$503,_calc!$E$77),"yyyy-mm-dd"),""))=0,"","Labor end: "&amp;IF(ISNUMBER(INDEX('Dealer pipeline'!$L$4:$L$503,_calc!$E$77)),TEXT(INDEX('Dealer pipeline'!$L$4:$L$503,_calc!$E$77),"yyyy-mm-dd"),"")&amp;". ")&amp;IF(LEN(IF(LEN(INDEX('Dealer pipeline'!$Q$4:$Q$503,_calc!$E$77))=0,"",INDEX('Dealer pipeline'!$Q$4:$Q$503,_calc!$E$77)))=0,"","Status: "&amp;IF(LEN(INDEX('Dealer pipeline'!$Q$4:$Q$503,_calc!$E$77))=0,"",INDEX('Dealer pipeline'!$Q$4:$Q$503,_calc!$E$77))&amp;". ")&amp;IF(LEN(IF(LEN(INDEX('Dealer pipeline'!$P$4:$P$503,_calc!$E$77))=0,"",INDEX('Dealer pipeline'!$P$4:$P$503,_calc!$E$77)))=0,"","Last touch: "&amp;IF(LEN(INDEX('Dealer pipeline'!$P$4:$P$503,_calc!$E$77))=0,"",INDEX('Dealer pipeline'!$P$4:$P$503,_calc!$E$77))&amp;". ")&amp;IF(LEN(IF(LEN(INDEX('Dealer pipeline'!$R$4:$R$503,_calc!$E$77))=0,"",INDEX('Dealer pipeline'!$R$4:$R$503,_calc!$E$77)))=0,"","Owner: "&amp;IF(LEN(INDEX('Dealer pipeline'!$R$4:$R$503,_calc!$E$77))=0,"",INDEX('Dealer pipeline'!$R$4:$R$503,_calc!$E$77))&amp;". ")&amp;IF(LEN(IF(LEN(INDEX('Dealer pipeline'!$S$4:$S$503,_calc!$E$77))=0,"",INDEX('Dealer pipeline'!$S$4:$S$503,_calc!$E$77)))=0,"","Backup: "&amp;IF(LEN(INDEX('Dealer pipeline'!$S$4:$S$503,_calc!$E$77))=0,"",INDEX('Dealer pipeline'!$S$4:$S$503,_calc!$E$77))&amp;". ")&amp;IF(LEN(IF(LEN(INDEX('Dealer pipeline'!$T$4:$T$503,_calc!$E$77))=0,"",INDEX('Dealer pipeline'!$T$4:$T$503,_calc!$E$77)))=0,"",IF(LEN(INDEX('Dealer pipeline'!$T$4:$T$503,_calc!$E$77))=0,"",INDEX('Dealer pipeline'!$T$4:$T$503,_calc!$E$77)))),TRIM(IF(LEN(IF(LEN(INDEX('My equipment'!$C$4:$C$503,(_calc!$E$77-500)))=0,"",INDEX('My equipment'!$C$4:$C$503,(_calc!$E$77-500))))=0,"","Model: "&amp;IF(LEN(INDEX('My equipment'!$C$4:$C$503,(_calc!$E$77-500)))=0,"",INDEX('My equipment'!$C$4:$C$503,(_calc!$E$77-500)))&amp;". ")&amp;IF(LEN(IF(LEN(INDEX('My equipment'!$D$4:$D$503,(_calc!$E$77-500)))=0,"",INDEX('My equipment'!$D$4:$D$503,(_calc!$E$77-500))))=0,"","Serial: "&amp;IF(LEN(INDEX('My equipment'!$D$4:$D$503,(_calc!$E$77-500)))=0,"",INDEX('My equipment'!$D$4:$D$503,(_calc!$E$77-500)))&amp;". ")&amp;IF(LEN(IF(ISNUMBER(INDEX('My equipment'!$J$4:$J$503,(_calc!$E$77-500))),TEXT(INDEX('My equipment'!$J$4:$J$503,(_calc!$E$77-500)),"yyyy-mm-dd"),""))=0,"","Parts end: "&amp;IF(ISNUMBER(INDEX('My equipment'!$J$4:$J$503,(_calc!$E$77-500))),TEXT(INDEX('My equipment'!$J$4:$J$503,(_calc!$E$77-500)),"yyyy-mm-dd"),"")&amp;". ")&amp;IF(LEN(IF(ISNUMBER(INDEX('My equipment'!$L$4:$L$503,(_calc!$E$77-500))),TEXT(INDEX('My equipment'!$L$4:$L$503,(_calc!$E$77-500)),"yyyy-mm-dd"),""))=0,"","Labor end: "&amp;IF(ISNUMBER(INDEX('My equipment'!$L$4:$L$503,(_calc!$E$77-500))),TEXT(INDEX('My equipment'!$L$4:$L$503,(_calc!$E$77-500)),"yyyy-mm-dd"),"")&amp;". ")&amp;IF(LEN(IF(ISNUMBER(INDEX('My equipment'!$P$4:$P$503,(_calc!$E$77-500))),TEXT(INDEX('My equipment'!$P$4:$P$503,(_calc!$E$77-500)),"yyyy-mm-dd"),""))=0,"","Check by: "&amp;IF(ISNUMBER(INDEX('My equipment'!$P$4:$P$503,(_calc!$E$77-500))),TEXT(INDEX('My equipment'!$P$4:$P$503,(_calc!$E$77-500)),"yyyy-mm-dd"),"")&amp;". ")&amp;IF(LEN(IF(LEN(INDEX('My equipment'!$Q$4:$Q$503,(_calc!$E$77-500)))=0,"",INDEX('My equipment'!$Q$4:$Q$503,(_calc!$E$77-500))))=0,"","Claim status: "&amp;IF(LEN(INDEX('My equipment'!$Q$4:$Q$503,(_calc!$E$77-500)))=0,"",INDEX('My equipment'!$Q$4:$Q$503,(_calc!$E$77-500)))&amp;". ")&amp;IF(LEN(IF(LEN(INDEX('My equipment'!$R$4:$R$503,(_calc!$E$77-500)))=0,"",INDEX('My equipment'!$R$4:$R$503,(_calc!$E$77-500))))=0,"","Claims contact: "&amp;IF(LEN(INDEX('My equipment'!$R$4:$R$503,(_calc!$E$77-500)))=0,"",INDEX('My equipment'!$R$4:$R$503,(_calc!$E$77-500)))&amp;". ")&amp;IF(LEN(IF(LEN(INDEX('My equipment'!$S$4:$S$503,(_calc!$E$77-500)))=0,"",INDEX('My equipment'!$S$4:$S$503,(_calc!$E$77-500))))=0,"","Claims email: "&amp;IF(LEN(INDEX('My equipment'!$S$4:$S$503,(_calc!$E$77-500)))=0,"",INDEX('My equipment'!$S$4:$S$503,(_calc!$E$77-500)))&amp;". ")&amp;IF(LEN(IF(LEN(INDEX('My equipment'!$U$4:$U$503,(_calc!$E$77-500)))=0,"",INDEX('My equipment'!$U$4:$U$503,(_calc!$E$77-500))))=0,"","Registered: "&amp;IF(LEN(INDEX('My equipment'!$U$4:$U$503,(_calc!$E$77-500)))=0,"",INDEX('My equipment'!$U$4:$U$503,(_calc!$E$77-500)))&amp;". ")&amp;IF(LEN(IF(LEN(INDEX('My equipment'!$V$4:$V$503,(_calc!$E$77-500)))=0,"",INDEX('My equipment'!$V$4:$V$503,(_calc!$E$77-500))))=0,"","Proof on file: "&amp;IF(LEN(INDEX('My equipment'!$V$4:$V$503,(_calc!$E$77-500)))=0,"",INDEX('My equipment'!$V$4:$V$503,(_calc!$E$77-500)))&amp;". ")&amp;IF(LEN(IF(LEN(INDEX('My equipment'!$W$4:$W$503,(_calc!$E$77-500)))=0,"",INDEX('My equipment'!$W$4:$W$503,(_calc!$E$77-500))))=0,"","Claim ref: "&amp;IF(LEN(INDEX('My equipment'!$W$4:$W$503,(_calc!$E$77-500)))=0,"",INDEX('My equipment'!$W$4:$W$503,(_calc!$E$77-500)))&amp;". ")&amp;IF(LEN(IF(LEN(INDEX('My equipment'!$Y$4:$Y$503,(_calc!$E$77-500)))=0,"",INDEX('My equipment'!$Y$4:$Y$503,(_calc!$E$77-500))))=0,"",IF(LEN(INDEX('My equipment'!$Y$4:$Y$503,(_calc!$E$77-500)))=0,"",INDEX('My equipment'!$Y$4:$Y$503,(_calc!$E$77-500)))))))</f>
        <v/>
      </c>
      <c r="G75" s="54">
        <f>IF(_calc!$E$77="","",IF(_calc!$E$77&lt;=500,"",IF(LEN(INDEX('My equipment'!$X$4:$X$503,(_calc!$E$77-500)))=0,"",INDEX('My equipment'!$X$4:$X$503,(_calc!$E$77-500)))))</f>
        <v/>
      </c>
      <c r="K75" s="54">
        <f>IF(_calc!$E$77="","",IF(_calc!$E$77&lt;=500,"",IF(LEN(INDEX('My equipment'!$T$4:$T$503,(_calc!$E$77-500)))=0,"",INDEX('My equipment'!$T$4:$T$503,(_calc!$E$77-500)))))</f>
        <v/>
      </c>
    </row>
    <row r="76">
      <c r="A76" s="54">
        <f>IF(_calc!$E$78="","",IF(_calc!$E$78&lt;=500,"Warranty – "&amp;IF(LEN(INDEX('Dealer pipeline'!$C$4:$C$503,_calc!$E$78))=0,"",INDEX('Dealer pipeline'!$C$4:$C$503,_calc!$E$78))&amp;" – "&amp;IF(LEN(INDEX('Dealer pipeline'!$D$4:$D$503,_calc!$E$78))=0,"",INDEX('Dealer pipeline'!$D$4:$D$503,_calc!$E$78))&amp;" – "&amp;IF(LEN(INDEX('Dealer pipeline'!$A$4:$A$503,_calc!$E$78))=0,"",INDEX('Dealer pipeline'!$A$4:$A$503,_calc!$E$78)),"Warranty – "&amp;IF(LEN(INDEX('My equipment'!$A$4:$A$503,(_calc!$E$78-500)))=0,"",INDEX('My equipment'!$A$4:$A$503,(_calc!$E$78-500)))&amp;" – "&amp;IF(LEN(INDEX('My equipment'!$D$4:$D$503,(_calc!$E$78-500)))=0,"",INDEX('My equipment'!$D$4:$D$503,(_calc!$E$78-500)))))</f>
        <v/>
      </c>
      <c r="B76" s="54">
        <f>IF(_calc!$E$78="","",IF(_calc!$E$78&lt;=500,IF(ISNUMBER(INDEX('Dealer pipeline'!$M$4:$M$503,_calc!$E$78)),TEXT(INDEX('Dealer pipeline'!$M$4:$M$503,_calc!$E$78),"yyyy-mm-dd"),""),IF(ISNUMBER(INDEX('My equipment'!$M$4:$M$503,(_calc!$E$78-500))),TEXT(INDEX('My equipment'!$M$4:$M$503,(_calc!$E$78-500)),"yyyy-mm-dd"),"")))</f>
        <v/>
      </c>
      <c r="C76" s="54">
        <f>IF(_calc!$E$78="","",IF(_calc!$E$78&lt;=500,"Warranty","Warranty"))</f>
        <v/>
      </c>
      <c r="D76" s="54">
        <f>IF(_calc!$E$78="","",IF(_calc!$E$78&lt;=500,IF(ISNUMBER(INDEX('Dealer pipeline'!$H$4:$H$503,_calc!$E$78)),TEXT(INDEX('Dealer pipeline'!$H$4:$H$503,_calc!$E$78),"yyyy-mm-dd"),""),IF(ISNUMBER(INDEX('My equipment'!$H$4:$H$503,(_calc!$E$78-500))),TEXT(INDEX('My equipment'!$H$4:$H$503,(_calc!$E$78-500)),"yyyy-mm-dd"),"")))</f>
        <v/>
      </c>
      <c r="F76" s="54">
        <f>IF(_calc!$E$78="","",IF(_calc!$E$78&lt;=500,TRIM(IF(LEN(IF(LEN(INDEX('Dealer pipeline'!$A$4:$A$503,_calc!$E$78))=0,"",INDEX('Dealer pipeline'!$A$4:$A$503,_calc!$E$78)))=0,"","Customer: "&amp;IF(LEN(INDEX('Dealer pipeline'!$A$4:$A$503,_calc!$E$78))=0,"",INDEX('Dealer pipeline'!$A$4:$A$503,_calc!$E$78))&amp;". ")&amp;IF(LEN(IF(LEN(INDEX('Dealer pipeline'!$B$4:$B$503,_calc!$E$78))=0,"",INDEX('Dealer pipeline'!$B$4:$B$503,_calc!$E$78)))=0,"","Contact: "&amp;IF(LEN(INDEX('Dealer pipeline'!$B$4:$B$503,_calc!$E$78))=0,"",INDEX('Dealer pipeline'!$B$4:$B$503,_calc!$E$78))&amp;". ")&amp;IF(LEN(IF(LEN(INDEX('Dealer pipeline'!$D$4:$D$503,_calc!$E$78))=0,"",INDEX('Dealer pipeline'!$D$4:$D$503,_calc!$E$78)))=0,"","Serial: "&amp;IF(LEN(INDEX('Dealer pipeline'!$D$4:$D$503,_calc!$E$78))=0,"",INDEX('Dealer pipeline'!$D$4:$D$503,_calc!$E$78))&amp;". ")&amp;IF(LEN(IF(ISNUMBER(INDEX('Dealer pipeline'!$J$4:$J$503,_calc!$E$78)),TEXT(INDEX('Dealer pipeline'!$J$4:$J$503,_calc!$E$78),"yyyy-mm-dd"),""))=0,"","Parts end: "&amp;IF(ISNUMBER(INDEX('Dealer pipeline'!$J$4:$J$503,_calc!$E$78)),TEXT(INDEX('Dealer pipeline'!$J$4:$J$503,_calc!$E$78),"yyyy-mm-dd"),"")&amp;". ")&amp;IF(LEN(IF(ISNUMBER(INDEX('Dealer pipeline'!$L$4:$L$503,_calc!$E$78)),TEXT(INDEX('Dealer pipeline'!$L$4:$L$503,_calc!$E$78),"yyyy-mm-dd"),""))=0,"","Labor end: "&amp;IF(ISNUMBER(INDEX('Dealer pipeline'!$L$4:$L$503,_calc!$E$78)),TEXT(INDEX('Dealer pipeline'!$L$4:$L$503,_calc!$E$78),"yyyy-mm-dd"),"")&amp;". ")&amp;IF(LEN(IF(LEN(INDEX('Dealer pipeline'!$Q$4:$Q$503,_calc!$E$78))=0,"",INDEX('Dealer pipeline'!$Q$4:$Q$503,_calc!$E$78)))=0,"","Status: "&amp;IF(LEN(INDEX('Dealer pipeline'!$Q$4:$Q$503,_calc!$E$78))=0,"",INDEX('Dealer pipeline'!$Q$4:$Q$503,_calc!$E$78))&amp;". ")&amp;IF(LEN(IF(LEN(INDEX('Dealer pipeline'!$P$4:$P$503,_calc!$E$78))=0,"",INDEX('Dealer pipeline'!$P$4:$P$503,_calc!$E$78)))=0,"","Last touch: "&amp;IF(LEN(INDEX('Dealer pipeline'!$P$4:$P$503,_calc!$E$78))=0,"",INDEX('Dealer pipeline'!$P$4:$P$503,_calc!$E$78))&amp;". ")&amp;IF(LEN(IF(LEN(INDEX('Dealer pipeline'!$R$4:$R$503,_calc!$E$78))=0,"",INDEX('Dealer pipeline'!$R$4:$R$503,_calc!$E$78)))=0,"","Owner: "&amp;IF(LEN(INDEX('Dealer pipeline'!$R$4:$R$503,_calc!$E$78))=0,"",INDEX('Dealer pipeline'!$R$4:$R$503,_calc!$E$78))&amp;". ")&amp;IF(LEN(IF(LEN(INDEX('Dealer pipeline'!$S$4:$S$503,_calc!$E$78))=0,"",INDEX('Dealer pipeline'!$S$4:$S$503,_calc!$E$78)))=0,"","Backup: "&amp;IF(LEN(INDEX('Dealer pipeline'!$S$4:$S$503,_calc!$E$78))=0,"",INDEX('Dealer pipeline'!$S$4:$S$503,_calc!$E$78))&amp;". ")&amp;IF(LEN(IF(LEN(INDEX('Dealer pipeline'!$T$4:$T$503,_calc!$E$78))=0,"",INDEX('Dealer pipeline'!$T$4:$T$503,_calc!$E$78)))=0,"",IF(LEN(INDEX('Dealer pipeline'!$T$4:$T$503,_calc!$E$78))=0,"",INDEX('Dealer pipeline'!$T$4:$T$503,_calc!$E$78)))),TRIM(IF(LEN(IF(LEN(INDEX('My equipment'!$C$4:$C$503,(_calc!$E$78-500)))=0,"",INDEX('My equipment'!$C$4:$C$503,(_calc!$E$78-500))))=0,"","Model: "&amp;IF(LEN(INDEX('My equipment'!$C$4:$C$503,(_calc!$E$78-500)))=0,"",INDEX('My equipment'!$C$4:$C$503,(_calc!$E$78-500)))&amp;". ")&amp;IF(LEN(IF(LEN(INDEX('My equipment'!$D$4:$D$503,(_calc!$E$78-500)))=0,"",INDEX('My equipment'!$D$4:$D$503,(_calc!$E$78-500))))=0,"","Serial: "&amp;IF(LEN(INDEX('My equipment'!$D$4:$D$503,(_calc!$E$78-500)))=0,"",INDEX('My equipment'!$D$4:$D$503,(_calc!$E$78-500)))&amp;". ")&amp;IF(LEN(IF(ISNUMBER(INDEX('My equipment'!$J$4:$J$503,(_calc!$E$78-500))),TEXT(INDEX('My equipment'!$J$4:$J$503,(_calc!$E$78-500)),"yyyy-mm-dd"),""))=0,"","Parts end: "&amp;IF(ISNUMBER(INDEX('My equipment'!$J$4:$J$503,(_calc!$E$78-500))),TEXT(INDEX('My equipment'!$J$4:$J$503,(_calc!$E$78-500)),"yyyy-mm-dd"),"")&amp;". ")&amp;IF(LEN(IF(ISNUMBER(INDEX('My equipment'!$L$4:$L$503,(_calc!$E$78-500))),TEXT(INDEX('My equipment'!$L$4:$L$503,(_calc!$E$78-500)),"yyyy-mm-dd"),""))=0,"","Labor end: "&amp;IF(ISNUMBER(INDEX('My equipment'!$L$4:$L$503,(_calc!$E$78-500))),TEXT(INDEX('My equipment'!$L$4:$L$503,(_calc!$E$78-500)),"yyyy-mm-dd"),"")&amp;". ")&amp;IF(LEN(IF(ISNUMBER(INDEX('My equipment'!$P$4:$P$503,(_calc!$E$78-500))),TEXT(INDEX('My equipment'!$P$4:$P$503,(_calc!$E$78-500)),"yyyy-mm-dd"),""))=0,"","Check by: "&amp;IF(ISNUMBER(INDEX('My equipment'!$P$4:$P$503,(_calc!$E$78-500))),TEXT(INDEX('My equipment'!$P$4:$P$503,(_calc!$E$78-500)),"yyyy-mm-dd"),"")&amp;". ")&amp;IF(LEN(IF(LEN(INDEX('My equipment'!$Q$4:$Q$503,(_calc!$E$78-500)))=0,"",INDEX('My equipment'!$Q$4:$Q$503,(_calc!$E$78-500))))=0,"","Claim status: "&amp;IF(LEN(INDEX('My equipment'!$Q$4:$Q$503,(_calc!$E$78-500)))=0,"",INDEX('My equipment'!$Q$4:$Q$503,(_calc!$E$78-500)))&amp;". ")&amp;IF(LEN(IF(LEN(INDEX('My equipment'!$R$4:$R$503,(_calc!$E$78-500)))=0,"",INDEX('My equipment'!$R$4:$R$503,(_calc!$E$78-500))))=0,"","Claims contact: "&amp;IF(LEN(INDEX('My equipment'!$R$4:$R$503,(_calc!$E$78-500)))=0,"",INDEX('My equipment'!$R$4:$R$503,(_calc!$E$78-500)))&amp;". ")&amp;IF(LEN(IF(LEN(INDEX('My equipment'!$S$4:$S$503,(_calc!$E$78-500)))=0,"",INDEX('My equipment'!$S$4:$S$503,(_calc!$E$78-500))))=0,"","Claims email: "&amp;IF(LEN(INDEX('My equipment'!$S$4:$S$503,(_calc!$E$78-500)))=0,"",INDEX('My equipment'!$S$4:$S$503,(_calc!$E$78-500)))&amp;". ")&amp;IF(LEN(IF(LEN(INDEX('My equipment'!$U$4:$U$503,(_calc!$E$78-500)))=0,"",INDEX('My equipment'!$U$4:$U$503,(_calc!$E$78-500))))=0,"","Registered: "&amp;IF(LEN(INDEX('My equipment'!$U$4:$U$503,(_calc!$E$78-500)))=0,"",INDEX('My equipment'!$U$4:$U$503,(_calc!$E$78-500)))&amp;". ")&amp;IF(LEN(IF(LEN(INDEX('My equipment'!$V$4:$V$503,(_calc!$E$78-500)))=0,"",INDEX('My equipment'!$V$4:$V$503,(_calc!$E$78-500))))=0,"","Proof on file: "&amp;IF(LEN(INDEX('My equipment'!$V$4:$V$503,(_calc!$E$78-500)))=0,"",INDEX('My equipment'!$V$4:$V$503,(_calc!$E$78-500)))&amp;". ")&amp;IF(LEN(IF(LEN(INDEX('My equipment'!$W$4:$W$503,(_calc!$E$78-500)))=0,"",INDEX('My equipment'!$W$4:$W$503,(_calc!$E$78-500))))=0,"","Claim ref: "&amp;IF(LEN(INDEX('My equipment'!$W$4:$W$503,(_calc!$E$78-500)))=0,"",INDEX('My equipment'!$W$4:$W$503,(_calc!$E$78-500)))&amp;". ")&amp;IF(LEN(IF(LEN(INDEX('My equipment'!$Y$4:$Y$503,(_calc!$E$78-500)))=0,"",INDEX('My equipment'!$Y$4:$Y$503,(_calc!$E$78-500))))=0,"",IF(LEN(INDEX('My equipment'!$Y$4:$Y$503,(_calc!$E$78-500)))=0,"",INDEX('My equipment'!$Y$4:$Y$503,(_calc!$E$78-500)))))))</f>
        <v/>
      </c>
      <c r="G76" s="54">
        <f>IF(_calc!$E$78="","",IF(_calc!$E$78&lt;=500,"",IF(LEN(INDEX('My equipment'!$X$4:$X$503,(_calc!$E$78-500)))=0,"",INDEX('My equipment'!$X$4:$X$503,(_calc!$E$78-500)))))</f>
        <v/>
      </c>
      <c r="K76" s="54">
        <f>IF(_calc!$E$78="","",IF(_calc!$E$78&lt;=500,"",IF(LEN(INDEX('My equipment'!$T$4:$T$503,(_calc!$E$78-500)))=0,"",INDEX('My equipment'!$T$4:$T$503,(_calc!$E$78-500)))))</f>
        <v/>
      </c>
    </row>
    <row r="77">
      <c r="A77" s="54">
        <f>IF(_calc!$E$79="","",IF(_calc!$E$79&lt;=500,"Warranty – "&amp;IF(LEN(INDEX('Dealer pipeline'!$C$4:$C$503,_calc!$E$79))=0,"",INDEX('Dealer pipeline'!$C$4:$C$503,_calc!$E$79))&amp;" – "&amp;IF(LEN(INDEX('Dealer pipeline'!$D$4:$D$503,_calc!$E$79))=0,"",INDEX('Dealer pipeline'!$D$4:$D$503,_calc!$E$79))&amp;" – "&amp;IF(LEN(INDEX('Dealer pipeline'!$A$4:$A$503,_calc!$E$79))=0,"",INDEX('Dealer pipeline'!$A$4:$A$503,_calc!$E$79)),"Warranty – "&amp;IF(LEN(INDEX('My equipment'!$A$4:$A$503,(_calc!$E$79-500)))=0,"",INDEX('My equipment'!$A$4:$A$503,(_calc!$E$79-500)))&amp;" – "&amp;IF(LEN(INDEX('My equipment'!$D$4:$D$503,(_calc!$E$79-500)))=0,"",INDEX('My equipment'!$D$4:$D$503,(_calc!$E$79-500)))))</f>
        <v/>
      </c>
      <c r="B77" s="54">
        <f>IF(_calc!$E$79="","",IF(_calc!$E$79&lt;=500,IF(ISNUMBER(INDEX('Dealer pipeline'!$M$4:$M$503,_calc!$E$79)),TEXT(INDEX('Dealer pipeline'!$M$4:$M$503,_calc!$E$79),"yyyy-mm-dd"),""),IF(ISNUMBER(INDEX('My equipment'!$M$4:$M$503,(_calc!$E$79-500))),TEXT(INDEX('My equipment'!$M$4:$M$503,(_calc!$E$79-500)),"yyyy-mm-dd"),"")))</f>
        <v/>
      </c>
      <c r="C77" s="54">
        <f>IF(_calc!$E$79="","",IF(_calc!$E$79&lt;=500,"Warranty","Warranty"))</f>
        <v/>
      </c>
      <c r="D77" s="54">
        <f>IF(_calc!$E$79="","",IF(_calc!$E$79&lt;=500,IF(ISNUMBER(INDEX('Dealer pipeline'!$H$4:$H$503,_calc!$E$79)),TEXT(INDEX('Dealer pipeline'!$H$4:$H$503,_calc!$E$79),"yyyy-mm-dd"),""),IF(ISNUMBER(INDEX('My equipment'!$H$4:$H$503,(_calc!$E$79-500))),TEXT(INDEX('My equipment'!$H$4:$H$503,(_calc!$E$79-500)),"yyyy-mm-dd"),"")))</f>
        <v/>
      </c>
      <c r="F77" s="54">
        <f>IF(_calc!$E$79="","",IF(_calc!$E$79&lt;=500,TRIM(IF(LEN(IF(LEN(INDEX('Dealer pipeline'!$A$4:$A$503,_calc!$E$79))=0,"",INDEX('Dealer pipeline'!$A$4:$A$503,_calc!$E$79)))=0,"","Customer: "&amp;IF(LEN(INDEX('Dealer pipeline'!$A$4:$A$503,_calc!$E$79))=0,"",INDEX('Dealer pipeline'!$A$4:$A$503,_calc!$E$79))&amp;". ")&amp;IF(LEN(IF(LEN(INDEX('Dealer pipeline'!$B$4:$B$503,_calc!$E$79))=0,"",INDEX('Dealer pipeline'!$B$4:$B$503,_calc!$E$79)))=0,"","Contact: "&amp;IF(LEN(INDEX('Dealer pipeline'!$B$4:$B$503,_calc!$E$79))=0,"",INDEX('Dealer pipeline'!$B$4:$B$503,_calc!$E$79))&amp;". ")&amp;IF(LEN(IF(LEN(INDEX('Dealer pipeline'!$D$4:$D$503,_calc!$E$79))=0,"",INDEX('Dealer pipeline'!$D$4:$D$503,_calc!$E$79)))=0,"","Serial: "&amp;IF(LEN(INDEX('Dealer pipeline'!$D$4:$D$503,_calc!$E$79))=0,"",INDEX('Dealer pipeline'!$D$4:$D$503,_calc!$E$79))&amp;". ")&amp;IF(LEN(IF(ISNUMBER(INDEX('Dealer pipeline'!$J$4:$J$503,_calc!$E$79)),TEXT(INDEX('Dealer pipeline'!$J$4:$J$503,_calc!$E$79),"yyyy-mm-dd"),""))=0,"","Parts end: "&amp;IF(ISNUMBER(INDEX('Dealer pipeline'!$J$4:$J$503,_calc!$E$79)),TEXT(INDEX('Dealer pipeline'!$J$4:$J$503,_calc!$E$79),"yyyy-mm-dd"),"")&amp;". ")&amp;IF(LEN(IF(ISNUMBER(INDEX('Dealer pipeline'!$L$4:$L$503,_calc!$E$79)),TEXT(INDEX('Dealer pipeline'!$L$4:$L$503,_calc!$E$79),"yyyy-mm-dd"),""))=0,"","Labor end: "&amp;IF(ISNUMBER(INDEX('Dealer pipeline'!$L$4:$L$503,_calc!$E$79)),TEXT(INDEX('Dealer pipeline'!$L$4:$L$503,_calc!$E$79),"yyyy-mm-dd"),"")&amp;". ")&amp;IF(LEN(IF(LEN(INDEX('Dealer pipeline'!$Q$4:$Q$503,_calc!$E$79))=0,"",INDEX('Dealer pipeline'!$Q$4:$Q$503,_calc!$E$79)))=0,"","Status: "&amp;IF(LEN(INDEX('Dealer pipeline'!$Q$4:$Q$503,_calc!$E$79))=0,"",INDEX('Dealer pipeline'!$Q$4:$Q$503,_calc!$E$79))&amp;". ")&amp;IF(LEN(IF(LEN(INDEX('Dealer pipeline'!$P$4:$P$503,_calc!$E$79))=0,"",INDEX('Dealer pipeline'!$P$4:$P$503,_calc!$E$79)))=0,"","Last touch: "&amp;IF(LEN(INDEX('Dealer pipeline'!$P$4:$P$503,_calc!$E$79))=0,"",INDEX('Dealer pipeline'!$P$4:$P$503,_calc!$E$79))&amp;". ")&amp;IF(LEN(IF(LEN(INDEX('Dealer pipeline'!$R$4:$R$503,_calc!$E$79))=0,"",INDEX('Dealer pipeline'!$R$4:$R$503,_calc!$E$79)))=0,"","Owner: "&amp;IF(LEN(INDEX('Dealer pipeline'!$R$4:$R$503,_calc!$E$79))=0,"",INDEX('Dealer pipeline'!$R$4:$R$503,_calc!$E$79))&amp;". ")&amp;IF(LEN(IF(LEN(INDEX('Dealer pipeline'!$S$4:$S$503,_calc!$E$79))=0,"",INDEX('Dealer pipeline'!$S$4:$S$503,_calc!$E$79)))=0,"","Backup: "&amp;IF(LEN(INDEX('Dealer pipeline'!$S$4:$S$503,_calc!$E$79))=0,"",INDEX('Dealer pipeline'!$S$4:$S$503,_calc!$E$79))&amp;". ")&amp;IF(LEN(IF(LEN(INDEX('Dealer pipeline'!$T$4:$T$503,_calc!$E$79))=0,"",INDEX('Dealer pipeline'!$T$4:$T$503,_calc!$E$79)))=0,"",IF(LEN(INDEX('Dealer pipeline'!$T$4:$T$503,_calc!$E$79))=0,"",INDEX('Dealer pipeline'!$T$4:$T$503,_calc!$E$79)))),TRIM(IF(LEN(IF(LEN(INDEX('My equipment'!$C$4:$C$503,(_calc!$E$79-500)))=0,"",INDEX('My equipment'!$C$4:$C$503,(_calc!$E$79-500))))=0,"","Model: "&amp;IF(LEN(INDEX('My equipment'!$C$4:$C$503,(_calc!$E$79-500)))=0,"",INDEX('My equipment'!$C$4:$C$503,(_calc!$E$79-500)))&amp;". ")&amp;IF(LEN(IF(LEN(INDEX('My equipment'!$D$4:$D$503,(_calc!$E$79-500)))=0,"",INDEX('My equipment'!$D$4:$D$503,(_calc!$E$79-500))))=0,"","Serial: "&amp;IF(LEN(INDEX('My equipment'!$D$4:$D$503,(_calc!$E$79-500)))=0,"",INDEX('My equipment'!$D$4:$D$503,(_calc!$E$79-500)))&amp;". ")&amp;IF(LEN(IF(ISNUMBER(INDEX('My equipment'!$J$4:$J$503,(_calc!$E$79-500))),TEXT(INDEX('My equipment'!$J$4:$J$503,(_calc!$E$79-500)),"yyyy-mm-dd"),""))=0,"","Parts end: "&amp;IF(ISNUMBER(INDEX('My equipment'!$J$4:$J$503,(_calc!$E$79-500))),TEXT(INDEX('My equipment'!$J$4:$J$503,(_calc!$E$79-500)),"yyyy-mm-dd"),"")&amp;". ")&amp;IF(LEN(IF(ISNUMBER(INDEX('My equipment'!$L$4:$L$503,(_calc!$E$79-500))),TEXT(INDEX('My equipment'!$L$4:$L$503,(_calc!$E$79-500)),"yyyy-mm-dd"),""))=0,"","Labor end: "&amp;IF(ISNUMBER(INDEX('My equipment'!$L$4:$L$503,(_calc!$E$79-500))),TEXT(INDEX('My equipment'!$L$4:$L$503,(_calc!$E$79-500)),"yyyy-mm-dd"),"")&amp;". ")&amp;IF(LEN(IF(ISNUMBER(INDEX('My equipment'!$P$4:$P$503,(_calc!$E$79-500))),TEXT(INDEX('My equipment'!$P$4:$P$503,(_calc!$E$79-500)),"yyyy-mm-dd"),""))=0,"","Check by: "&amp;IF(ISNUMBER(INDEX('My equipment'!$P$4:$P$503,(_calc!$E$79-500))),TEXT(INDEX('My equipment'!$P$4:$P$503,(_calc!$E$79-500)),"yyyy-mm-dd"),"")&amp;". ")&amp;IF(LEN(IF(LEN(INDEX('My equipment'!$Q$4:$Q$503,(_calc!$E$79-500)))=0,"",INDEX('My equipment'!$Q$4:$Q$503,(_calc!$E$79-500))))=0,"","Claim status: "&amp;IF(LEN(INDEX('My equipment'!$Q$4:$Q$503,(_calc!$E$79-500)))=0,"",INDEX('My equipment'!$Q$4:$Q$503,(_calc!$E$79-500)))&amp;". ")&amp;IF(LEN(IF(LEN(INDEX('My equipment'!$R$4:$R$503,(_calc!$E$79-500)))=0,"",INDEX('My equipment'!$R$4:$R$503,(_calc!$E$79-500))))=0,"","Claims contact: "&amp;IF(LEN(INDEX('My equipment'!$R$4:$R$503,(_calc!$E$79-500)))=0,"",INDEX('My equipment'!$R$4:$R$503,(_calc!$E$79-500)))&amp;". ")&amp;IF(LEN(IF(LEN(INDEX('My equipment'!$S$4:$S$503,(_calc!$E$79-500)))=0,"",INDEX('My equipment'!$S$4:$S$503,(_calc!$E$79-500))))=0,"","Claims email: "&amp;IF(LEN(INDEX('My equipment'!$S$4:$S$503,(_calc!$E$79-500)))=0,"",INDEX('My equipment'!$S$4:$S$503,(_calc!$E$79-500)))&amp;". ")&amp;IF(LEN(IF(LEN(INDEX('My equipment'!$U$4:$U$503,(_calc!$E$79-500)))=0,"",INDEX('My equipment'!$U$4:$U$503,(_calc!$E$79-500))))=0,"","Registered: "&amp;IF(LEN(INDEX('My equipment'!$U$4:$U$503,(_calc!$E$79-500)))=0,"",INDEX('My equipment'!$U$4:$U$503,(_calc!$E$79-500)))&amp;". ")&amp;IF(LEN(IF(LEN(INDEX('My equipment'!$V$4:$V$503,(_calc!$E$79-500)))=0,"",INDEX('My equipment'!$V$4:$V$503,(_calc!$E$79-500))))=0,"","Proof on file: "&amp;IF(LEN(INDEX('My equipment'!$V$4:$V$503,(_calc!$E$79-500)))=0,"",INDEX('My equipment'!$V$4:$V$503,(_calc!$E$79-500)))&amp;". ")&amp;IF(LEN(IF(LEN(INDEX('My equipment'!$W$4:$W$503,(_calc!$E$79-500)))=0,"",INDEX('My equipment'!$W$4:$W$503,(_calc!$E$79-500))))=0,"","Claim ref: "&amp;IF(LEN(INDEX('My equipment'!$W$4:$W$503,(_calc!$E$79-500)))=0,"",INDEX('My equipment'!$W$4:$W$503,(_calc!$E$79-500)))&amp;". ")&amp;IF(LEN(IF(LEN(INDEX('My equipment'!$Y$4:$Y$503,(_calc!$E$79-500)))=0,"",INDEX('My equipment'!$Y$4:$Y$503,(_calc!$E$79-500))))=0,"",IF(LEN(INDEX('My equipment'!$Y$4:$Y$503,(_calc!$E$79-500)))=0,"",INDEX('My equipment'!$Y$4:$Y$503,(_calc!$E$79-500)))))))</f>
        <v/>
      </c>
      <c r="G77" s="54">
        <f>IF(_calc!$E$79="","",IF(_calc!$E$79&lt;=500,"",IF(LEN(INDEX('My equipment'!$X$4:$X$503,(_calc!$E$79-500)))=0,"",INDEX('My equipment'!$X$4:$X$503,(_calc!$E$79-500)))))</f>
        <v/>
      </c>
      <c r="K77" s="54">
        <f>IF(_calc!$E$79="","",IF(_calc!$E$79&lt;=500,"",IF(LEN(INDEX('My equipment'!$T$4:$T$503,(_calc!$E$79-500)))=0,"",INDEX('My equipment'!$T$4:$T$503,(_calc!$E$79-500)))))</f>
        <v/>
      </c>
    </row>
    <row r="78">
      <c r="A78" s="54">
        <f>IF(_calc!$E$80="","",IF(_calc!$E$80&lt;=500,"Warranty – "&amp;IF(LEN(INDEX('Dealer pipeline'!$C$4:$C$503,_calc!$E$80))=0,"",INDEX('Dealer pipeline'!$C$4:$C$503,_calc!$E$80))&amp;" – "&amp;IF(LEN(INDEX('Dealer pipeline'!$D$4:$D$503,_calc!$E$80))=0,"",INDEX('Dealer pipeline'!$D$4:$D$503,_calc!$E$80))&amp;" – "&amp;IF(LEN(INDEX('Dealer pipeline'!$A$4:$A$503,_calc!$E$80))=0,"",INDEX('Dealer pipeline'!$A$4:$A$503,_calc!$E$80)),"Warranty – "&amp;IF(LEN(INDEX('My equipment'!$A$4:$A$503,(_calc!$E$80-500)))=0,"",INDEX('My equipment'!$A$4:$A$503,(_calc!$E$80-500)))&amp;" – "&amp;IF(LEN(INDEX('My equipment'!$D$4:$D$503,(_calc!$E$80-500)))=0,"",INDEX('My equipment'!$D$4:$D$503,(_calc!$E$80-500)))))</f>
        <v/>
      </c>
      <c r="B78" s="54">
        <f>IF(_calc!$E$80="","",IF(_calc!$E$80&lt;=500,IF(ISNUMBER(INDEX('Dealer pipeline'!$M$4:$M$503,_calc!$E$80)),TEXT(INDEX('Dealer pipeline'!$M$4:$M$503,_calc!$E$80),"yyyy-mm-dd"),""),IF(ISNUMBER(INDEX('My equipment'!$M$4:$M$503,(_calc!$E$80-500))),TEXT(INDEX('My equipment'!$M$4:$M$503,(_calc!$E$80-500)),"yyyy-mm-dd"),"")))</f>
        <v/>
      </c>
      <c r="C78" s="54">
        <f>IF(_calc!$E$80="","",IF(_calc!$E$80&lt;=500,"Warranty","Warranty"))</f>
        <v/>
      </c>
      <c r="D78" s="54">
        <f>IF(_calc!$E$80="","",IF(_calc!$E$80&lt;=500,IF(ISNUMBER(INDEX('Dealer pipeline'!$H$4:$H$503,_calc!$E$80)),TEXT(INDEX('Dealer pipeline'!$H$4:$H$503,_calc!$E$80),"yyyy-mm-dd"),""),IF(ISNUMBER(INDEX('My equipment'!$H$4:$H$503,(_calc!$E$80-500))),TEXT(INDEX('My equipment'!$H$4:$H$503,(_calc!$E$80-500)),"yyyy-mm-dd"),"")))</f>
        <v/>
      </c>
      <c r="F78" s="54">
        <f>IF(_calc!$E$80="","",IF(_calc!$E$80&lt;=500,TRIM(IF(LEN(IF(LEN(INDEX('Dealer pipeline'!$A$4:$A$503,_calc!$E$80))=0,"",INDEX('Dealer pipeline'!$A$4:$A$503,_calc!$E$80)))=0,"","Customer: "&amp;IF(LEN(INDEX('Dealer pipeline'!$A$4:$A$503,_calc!$E$80))=0,"",INDEX('Dealer pipeline'!$A$4:$A$503,_calc!$E$80))&amp;". ")&amp;IF(LEN(IF(LEN(INDEX('Dealer pipeline'!$B$4:$B$503,_calc!$E$80))=0,"",INDEX('Dealer pipeline'!$B$4:$B$503,_calc!$E$80)))=0,"","Contact: "&amp;IF(LEN(INDEX('Dealer pipeline'!$B$4:$B$503,_calc!$E$80))=0,"",INDEX('Dealer pipeline'!$B$4:$B$503,_calc!$E$80))&amp;". ")&amp;IF(LEN(IF(LEN(INDEX('Dealer pipeline'!$D$4:$D$503,_calc!$E$80))=0,"",INDEX('Dealer pipeline'!$D$4:$D$503,_calc!$E$80)))=0,"","Serial: "&amp;IF(LEN(INDEX('Dealer pipeline'!$D$4:$D$503,_calc!$E$80))=0,"",INDEX('Dealer pipeline'!$D$4:$D$503,_calc!$E$80))&amp;". ")&amp;IF(LEN(IF(ISNUMBER(INDEX('Dealer pipeline'!$J$4:$J$503,_calc!$E$80)),TEXT(INDEX('Dealer pipeline'!$J$4:$J$503,_calc!$E$80),"yyyy-mm-dd"),""))=0,"","Parts end: "&amp;IF(ISNUMBER(INDEX('Dealer pipeline'!$J$4:$J$503,_calc!$E$80)),TEXT(INDEX('Dealer pipeline'!$J$4:$J$503,_calc!$E$80),"yyyy-mm-dd"),"")&amp;". ")&amp;IF(LEN(IF(ISNUMBER(INDEX('Dealer pipeline'!$L$4:$L$503,_calc!$E$80)),TEXT(INDEX('Dealer pipeline'!$L$4:$L$503,_calc!$E$80),"yyyy-mm-dd"),""))=0,"","Labor end: "&amp;IF(ISNUMBER(INDEX('Dealer pipeline'!$L$4:$L$503,_calc!$E$80)),TEXT(INDEX('Dealer pipeline'!$L$4:$L$503,_calc!$E$80),"yyyy-mm-dd"),"")&amp;". ")&amp;IF(LEN(IF(LEN(INDEX('Dealer pipeline'!$Q$4:$Q$503,_calc!$E$80))=0,"",INDEX('Dealer pipeline'!$Q$4:$Q$503,_calc!$E$80)))=0,"","Status: "&amp;IF(LEN(INDEX('Dealer pipeline'!$Q$4:$Q$503,_calc!$E$80))=0,"",INDEX('Dealer pipeline'!$Q$4:$Q$503,_calc!$E$80))&amp;". ")&amp;IF(LEN(IF(LEN(INDEX('Dealer pipeline'!$P$4:$P$503,_calc!$E$80))=0,"",INDEX('Dealer pipeline'!$P$4:$P$503,_calc!$E$80)))=0,"","Last touch: "&amp;IF(LEN(INDEX('Dealer pipeline'!$P$4:$P$503,_calc!$E$80))=0,"",INDEX('Dealer pipeline'!$P$4:$P$503,_calc!$E$80))&amp;". ")&amp;IF(LEN(IF(LEN(INDEX('Dealer pipeline'!$R$4:$R$503,_calc!$E$80))=0,"",INDEX('Dealer pipeline'!$R$4:$R$503,_calc!$E$80)))=0,"","Owner: "&amp;IF(LEN(INDEX('Dealer pipeline'!$R$4:$R$503,_calc!$E$80))=0,"",INDEX('Dealer pipeline'!$R$4:$R$503,_calc!$E$80))&amp;". ")&amp;IF(LEN(IF(LEN(INDEX('Dealer pipeline'!$S$4:$S$503,_calc!$E$80))=0,"",INDEX('Dealer pipeline'!$S$4:$S$503,_calc!$E$80)))=0,"","Backup: "&amp;IF(LEN(INDEX('Dealer pipeline'!$S$4:$S$503,_calc!$E$80))=0,"",INDEX('Dealer pipeline'!$S$4:$S$503,_calc!$E$80))&amp;". ")&amp;IF(LEN(IF(LEN(INDEX('Dealer pipeline'!$T$4:$T$503,_calc!$E$80))=0,"",INDEX('Dealer pipeline'!$T$4:$T$503,_calc!$E$80)))=0,"",IF(LEN(INDEX('Dealer pipeline'!$T$4:$T$503,_calc!$E$80))=0,"",INDEX('Dealer pipeline'!$T$4:$T$503,_calc!$E$80)))),TRIM(IF(LEN(IF(LEN(INDEX('My equipment'!$C$4:$C$503,(_calc!$E$80-500)))=0,"",INDEX('My equipment'!$C$4:$C$503,(_calc!$E$80-500))))=0,"","Model: "&amp;IF(LEN(INDEX('My equipment'!$C$4:$C$503,(_calc!$E$80-500)))=0,"",INDEX('My equipment'!$C$4:$C$503,(_calc!$E$80-500)))&amp;". ")&amp;IF(LEN(IF(LEN(INDEX('My equipment'!$D$4:$D$503,(_calc!$E$80-500)))=0,"",INDEX('My equipment'!$D$4:$D$503,(_calc!$E$80-500))))=0,"","Serial: "&amp;IF(LEN(INDEX('My equipment'!$D$4:$D$503,(_calc!$E$80-500)))=0,"",INDEX('My equipment'!$D$4:$D$503,(_calc!$E$80-500)))&amp;". ")&amp;IF(LEN(IF(ISNUMBER(INDEX('My equipment'!$J$4:$J$503,(_calc!$E$80-500))),TEXT(INDEX('My equipment'!$J$4:$J$503,(_calc!$E$80-500)),"yyyy-mm-dd"),""))=0,"","Parts end: "&amp;IF(ISNUMBER(INDEX('My equipment'!$J$4:$J$503,(_calc!$E$80-500))),TEXT(INDEX('My equipment'!$J$4:$J$503,(_calc!$E$80-500)),"yyyy-mm-dd"),"")&amp;". ")&amp;IF(LEN(IF(ISNUMBER(INDEX('My equipment'!$L$4:$L$503,(_calc!$E$80-500))),TEXT(INDEX('My equipment'!$L$4:$L$503,(_calc!$E$80-500)),"yyyy-mm-dd"),""))=0,"","Labor end: "&amp;IF(ISNUMBER(INDEX('My equipment'!$L$4:$L$503,(_calc!$E$80-500))),TEXT(INDEX('My equipment'!$L$4:$L$503,(_calc!$E$80-500)),"yyyy-mm-dd"),"")&amp;". ")&amp;IF(LEN(IF(ISNUMBER(INDEX('My equipment'!$P$4:$P$503,(_calc!$E$80-500))),TEXT(INDEX('My equipment'!$P$4:$P$503,(_calc!$E$80-500)),"yyyy-mm-dd"),""))=0,"","Check by: "&amp;IF(ISNUMBER(INDEX('My equipment'!$P$4:$P$503,(_calc!$E$80-500))),TEXT(INDEX('My equipment'!$P$4:$P$503,(_calc!$E$80-500)),"yyyy-mm-dd"),"")&amp;". ")&amp;IF(LEN(IF(LEN(INDEX('My equipment'!$Q$4:$Q$503,(_calc!$E$80-500)))=0,"",INDEX('My equipment'!$Q$4:$Q$503,(_calc!$E$80-500))))=0,"","Claim status: "&amp;IF(LEN(INDEX('My equipment'!$Q$4:$Q$503,(_calc!$E$80-500)))=0,"",INDEX('My equipment'!$Q$4:$Q$503,(_calc!$E$80-500)))&amp;". ")&amp;IF(LEN(IF(LEN(INDEX('My equipment'!$R$4:$R$503,(_calc!$E$80-500)))=0,"",INDEX('My equipment'!$R$4:$R$503,(_calc!$E$80-500))))=0,"","Claims contact: "&amp;IF(LEN(INDEX('My equipment'!$R$4:$R$503,(_calc!$E$80-500)))=0,"",INDEX('My equipment'!$R$4:$R$503,(_calc!$E$80-500)))&amp;". ")&amp;IF(LEN(IF(LEN(INDEX('My equipment'!$S$4:$S$503,(_calc!$E$80-500)))=0,"",INDEX('My equipment'!$S$4:$S$503,(_calc!$E$80-500))))=0,"","Claims email: "&amp;IF(LEN(INDEX('My equipment'!$S$4:$S$503,(_calc!$E$80-500)))=0,"",INDEX('My equipment'!$S$4:$S$503,(_calc!$E$80-500)))&amp;". ")&amp;IF(LEN(IF(LEN(INDEX('My equipment'!$U$4:$U$503,(_calc!$E$80-500)))=0,"",INDEX('My equipment'!$U$4:$U$503,(_calc!$E$80-500))))=0,"","Registered: "&amp;IF(LEN(INDEX('My equipment'!$U$4:$U$503,(_calc!$E$80-500)))=0,"",INDEX('My equipment'!$U$4:$U$503,(_calc!$E$80-500)))&amp;". ")&amp;IF(LEN(IF(LEN(INDEX('My equipment'!$V$4:$V$503,(_calc!$E$80-500)))=0,"",INDEX('My equipment'!$V$4:$V$503,(_calc!$E$80-500))))=0,"","Proof on file: "&amp;IF(LEN(INDEX('My equipment'!$V$4:$V$503,(_calc!$E$80-500)))=0,"",INDEX('My equipment'!$V$4:$V$503,(_calc!$E$80-500)))&amp;". ")&amp;IF(LEN(IF(LEN(INDEX('My equipment'!$W$4:$W$503,(_calc!$E$80-500)))=0,"",INDEX('My equipment'!$W$4:$W$503,(_calc!$E$80-500))))=0,"","Claim ref: "&amp;IF(LEN(INDEX('My equipment'!$W$4:$W$503,(_calc!$E$80-500)))=0,"",INDEX('My equipment'!$W$4:$W$503,(_calc!$E$80-500)))&amp;". ")&amp;IF(LEN(IF(LEN(INDEX('My equipment'!$Y$4:$Y$503,(_calc!$E$80-500)))=0,"",INDEX('My equipment'!$Y$4:$Y$503,(_calc!$E$80-500))))=0,"",IF(LEN(INDEX('My equipment'!$Y$4:$Y$503,(_calc!$E$80-500)))=0,"",INDEX('My equipment'!$Y$4:$Y$503,(_calc!$E$80-500)))))))</f>
        <v/>
      </c>
      <c r="G78" s="54">
        <f>IF(_calc!$E$80="","",IF(_calc!$E$80&lt;=500,"",IF(LEN(INDEX('My equipment'!$X$4:$X$503,(_calc!$E$80-500)))=0,"",INDEX('My equipment'!$X$4:$X$503,(_calc!$E$80-500)))))</f>
        <v/>
      </c>
      <c r="K78" s="54">
        <f>IF(_calc!$E$80="","",IF(_calc!$E$80&lt;=500,"",IF(LEN(INDEX('My equipment'!$T$4:$T$503,(_calc!$E$80-500)))=0,"",INDEX('My equipment'!$T$4:$T$503,(_calc!$E$80-500)))))</f>
        <v/>
      </c>
    </row>
    <row r="79">
      <c r="A79" s="54">
        <f>IF(_calc!$E$81="","",IF(_calc!$E$81&lt;=500,"Warranty – "&amp;IF(LEN(INDEX('Dealer pipeline'!$C$4:$C$503,_calc!$E$81))=0,"",INDEX('Dealer pipeline'!$C$4:$C$503,_calc!$E$81))&amp;" – "&amp;IF(LEN(INDEX('Dealer pipeline'!$D$4:$D$503,_calc!$E$81))=0,"",INDEX('Dealer pipeline'!$D$4:$D$503,_calc!$E$81))&amp;" – "&amp;IF(LEN(INDEX('Dealer pipeline'!$A$4:$A$503,_calc!$E$81))=0,"",INDEX('Dealer pipeline'!$A$4:$A$503,_calc!$E$81)),"Warranty – "&amp;IF(LEN(INDEX('My equipment'!$A$4:$A$503,(_calc!$E$81-500)))=0,"",INDEX('My equipment'!$A$4:$A$503,(_calc!$E$81-500)))&amp;" – "&amp;IF(LEN(INDEX('My equipment'!$D$4:$D$503,(_calc!$E$81-500)))=0,"",INDEX('My equipment'!$D$4:$D$503,(_calc!$E$81-500)))))</f>
        <v/>
      </c>
      <c r="B79" s="54">
        <f>IF(_calc!$E$81="","",IF(_calc!$E$81&lt;=500,IF(ISNUMBER(INDEX('Dealer pipeline'!$M$4:$M$503,_calc!$E$81)),TEXT(INDEX('Dealer pipeline'!$M$4:$M$503,_calc!$E$81),"yyyy-mm-dd"),""),IF(ISNUMBER(INDEX('My equipment'!$M$4:$M$503,(_calc!$E$81-500))),TEXT(INDEX('My equipment'!$M$4:$M$503,(_calc!$E$81-500)),"yyyy-mm-dd"),"")))</f>
        <v/>
      </c>
      <c r="C79" s="54">
        <f>IF(_calc!$E$81="","",IF(_calc!$E$81&lt;=500,"Warranty","Warranty"))</f>
        <v/>
      </c>
      <c r="D79" s="54">
        <f>IF(_calc!$E$81="","",IF(_calc!$E$81&lt;=500,IF(ISNUMBER(INDEX('Dealer pipeline'!$H$4:$H$503,_calc!$E$81)),TEXT(INDEX('Dealer pipeline'!$H$4:$H$503,_calc!$E$81),"yyyy-mm-dd"),""),IF(ISNUMBER(INDEX('My equipment'!$H$4:$H$503,(_calc!$E$81-500))),TEXT(INDEX('My equipment'!$H$4:$H$503,(_calc!$E$81-500)),"yyyy-mm-dd"),"")))</f>
        <v/>
      </c>
      <c r="F79" s="54">
        <f>IF(_calc!$E$81="","",IF(_calc!$E$81&lt;=500,TRIM(IF(LEN(IF(LEN(INDEX('Dealer pipeline'!$A$4:$A$503,_calc!$E$81))=0,"",INDEX('Dealer pipeline'!$A$4:$A$503,_calc!$E$81)))=0,"","Customer: "&amp;IF(LEN(INDEX('Dealer pipeline'!$A$4:$A$503,_calc!$E$81))=0,"",INDEX('Dealer pipeline'!$A$4:$A$503,_calc!$E$81))&amp;". ")&amp;IF(LEN(IF(LEN(INDEX('Dealer pipeline'!$B$4:$B$503,_calc!$E$81))=0,"",INDEX('Dealer pipeline'!$B$4:$B$503,_calc!$E$81)))=0,"","Contact: "&amp;IF(LEN(INDEX('Dealer pipeline'!$B$4:$B$503,_calc!$E$81))=0,"",INDEX('Dealer pipeline'!$B$4:$B$503,_calc!$E$81))&amp;". ")&amp;IF(LEN(IF(LEN(INDEX('Dealer pipeline'!$D$4:$D$503,_calc!$E$81))=0,"",INDEX('Dealer pipeline'!$D$4:$D$503,_calc!$E$81)))=0,"","Serial: "&amp;IF(LEN(INDEX('Dealer pipeline'!$D$4:$D$503,_calc!$E$81))=0,"",INDEX('Dealer pipeline'!$D$4:$D$503,_calc!$E$81))&amp;". ")&amp;IF(LEN(IF(ISNUMBER(INDEX('Dealer pipeline'!$J$4:$J$503,_calc!$E$81)),TEXT(INDEX('Dealer pipeline'!$J$4:$J$503,_calc!$E$81),"yyyy-mm-dd"),""))=0,"","Parts end: "&amp;IF(ISNUMBER(INDEX('Dealer pipeline'!$J$4:$J$503,_calc!$E$81)),TEXT(INDEX('Dealer pipeline'!$J$4:$J$503,_calc!$E$81),"yyyy-mm-dd"),"")&amp;". ")&amp;IF(LEN(IF(ISNUMBER(INDEX('Dealer pipeline'!$L$4:$L$503,_calc!$E$81)),TEXT(INDEX('Dealer pipeline'!$L$4:$L$503,_calc!$E$81),"yyyy-mm-dd"),""))=0,"","Labor end: "&amp;IF(ISNUMBER(INDEX('Dealer pipeline'!$L$4:$L$503,_calc!$E$81)),TEXT(INDEX('Dealer pipeline'!$L$4:$L$503,_calc!$E$81),"yyyy-mm-dd"),"")&amp;". ")&amp;IF(LEN(IF(LEN(INDEX('Dealer pipeline'!$Q$4:$Q$503,_calc!$E$81))=0,"",INDEX('Dealer pipeline'!$Q$4:$Q$503,_calc!$E$81)))=0,"","Status: "&amp;IF(LEN(INDEX('Dealer pipeline'!$Q$4:$Q$503,_calc!$E$81))=0,"",INDEX('Dealer pipeline'!$Q$4:$Q$503,_calc!$E$81))&amp;". ")&amp;IF(LEN(IF(LEN(INDEX('Dealer pipeline'!$P$4:$P$503,_calc!$E$81))=0,"",INDEX('Dealer pipeline'!$P$4:$P$503,_calc!$E$81)))=0,"","Last touch: "&amp;IF(LEN(INDEX('Dealer pipeline'!$P$4:$P$503,_calc!$E$81))=0,"",INDEX('Dealer pipeline'!$P$4:$P$503,_calc!$E$81))&amp;". ")&amp;IF(LEN(IF(LEN(INDEX('Dealer pipeline'!$R$4:$R$503,_calc!$E$81))=0,"",INDEX('Dealer pipeline'!$R$4:$R$503,_calc!$E$81)))=0,"","Owner: "&amp;IF(LEN(INDEX('Dealer pipeline'!$R$4:$R$503,_calc!$E$81))=0,"",INDEX('Dealer pipeline'!$R$4:$R$503,_calc!$E$81))&amp;". ")&amp;IF(LEN(IF(LEN(INDEX('Dealer pipeline'!$S$4:$S$503,_calc!$E$81))=0,"",INDEX('Dealer pipeline'!$S$4:$S$503,_calc!$E$81)))=0,"","Backup: "&amp;IF(LEN(INDEX('Dealer pipeline'!$S$4:$S$503,_calc!$E$81))=0,"",INDEX('Dealer pipeline'!$S$4:$S$503,_calc!$E$81))&amp;". ")&amp;IF(LEN(IF(LEN(INDEX('Dealer pipeline'!$T$4:$T$503,_calc!$E$81))=0,"",INDEX('Dealer pipeline'!$T$4:$T$503,_calc!$E$81)))=0,"",IF(LEN(INDEX('Dealer pipeline'!$T$4:$T$503,_calc!$E$81))=0,"",INDEX('Dealer pipeline'!$T$4:$T$503,_calc!$E$81)))),TRIM(IF(LEN(IF(LEN(INDEX('My equipment'!$C$4:$C$503,(_calc!$E$81-500)))=0,"",INDEX('My equipment'!$C$4:$C$503,(_calc!$E$81-500))))=0,"","Model: "&amp;IF(LEN(INDEX('My equipment'!$C$4:$C$503,(_calc!$E$81-500)))=0,"",INDEX('My equipment'!$C$4:$C$503,(_calc!$E$81-500)))&amp;". ")&amp;IF(LEN(IF(LEN(INDEX('My equipment'!$D$4:$D$503,(_calc!$E$81-500)))=0,"",INDEX('My equipment'!$D$4:$D$503,(_calc!$E$81-500))))=0,"","Serial: "&amp;IF(LEN(INDEX('My equipment'!$D$4:$D$503,(_calc!$E$81-500)))=0,"",INDEX('My equipment'!$D$4:$D$503,(_calc!$E$81-500)))&amp;". ")&amp;IF(LEN(IF(ISNUMBER(INDEX('My equipment'!$J$4:$J$503,(_calc!$E$81-500))),TEXT(INDEX('My equipment'!$J$4:$J$503,(_calc!$E$81-500)),"yyyy-mm-dd"),""))=0,"","Parts end: "&amp;IF(ISNUMBER(INDEX('My equipment'!$J$4:$J$503,(_calc!$E$81-500))),TEXT(INDEX('My equipment'!$J$4:$J$503,(_calc!$E$81-500)),"yyyy-mm-dd"),"")&amp;". ")&amp;IF(LEN(IF(ISNUMBER(INDEX('My equipment'!$L$4:$L$503,(_calc!$E$81-500))),TEXT(INDEX('My equipment'!$L$4:$L$503,(_calc!$E$81-500)),"yyyy-mm-dd"),""))=0,"","Labor end: "&amp;IF(ISNUMBER(INDEX('My equipment'!$L$4:$L$503,(_calc!$E$81-500))),TEXT(INDEX('My equipment'!$L$4:$L$503,(_calc!$E$81-500)),"yyyy-mm-dd"),"")&amp;". ")&amp;IF(LEN(IF(ISNUMBER(INDEX('My equipment'!$P$4:$P$503,(_calc!$E$81-500))),TEXT(INDEX('My equipment'!$P$4:$P$503,(_calc!$E$81-500)),"yyyy-mm-dd"),""))=0,"","Check by: "&amp;IF(ISNUMBER(INDEX('My equipment'!$P$4:$P$503,(_calc!$E$81-500))),TEXT(INDEX('My equipment'!$P$4:$P$503,(_calc!$E$81-500)),"yyyy-mm-dd"),"")&amp;". ")&amp;IF(LEN(IF(LEN(INDEX('My equipment'!$Q$4:$Q$503,(_calc!$E$81-500)))=0,"",INDEX('My equipment'!$Q$4:$Q$503,(_calc!$E$81-500))))=0,"","Claim status: "&amp;IF(LEN(INDEX('My equipment'!$Q$4:$Q$503,(_calc!$E$81-500)))=0,"",INDEX('My equipment'!$Q$4:$Q$503,(_calc!$E$81-500)))&amp;". ")&amp;IF(LEN(IF(LEN(INDEX('My equipment'!$R$4:$R$503,(_calc!$E$81-500)))=0,"",INDEX('My equipment'!$R$4:$R$503,(_calc!$E$81-500))))=0,"","Claims contact: "&amp;IF(LEN(INDEX('My equipment'!$R$4:$R$503,(_calc!$E$81-500)))=0,"",INDEX('My equipment'!$R$4:$R$503,(_calc!$E$81-500)))&amp;". ")&amp;IF(LEN(IF(LEN(INDEX('My equipment'!$S$4:$S$503,(_calc!$E$81-500)))=0,"",INDEX('My equipment'!$S$4:$S$503,(_calc!$E$81-500))))=0,"","Claims email: "&amp;IF(LEN(INDEX('My equipment'!$S$4:$S$503,(_calc!$E$81-500)))=0,"",INDEX('My equipment'!$S$4:$S$503,(_calc!$E$81-500)))&amp;". ")&amp;IF(LEN(IF(LEN(INDEX('My equipment'!$U$4:$U$503,(_calc!$E$81-500)))=0,"",INDEX('My equipment'!$U$4:$U$503,(_calc!$E$81-500))))=0,"","Registered: "&amp;IF(LEN(INDEX('My equipment'!$U$4:$U$503,(_calc!$E$81-500)))=0,"",INDEX('My equipment'!$U$4:$U$503,(_calc!$E$81-500)))&amp;". ")&amp;IF(LEN(IF(LEN(INDEX('My equipment'!$V$4:$V$503,(_calc!$E$81-500)))=0,"",INDEX('My equipment'!$V$4:$V$503,(_calc!$E$81-500))))=0,"","Proof on file: "&amp;IF(LEN(INDEX('My equipment'!$V$4:$V$503,(_calc!$E$81-500)))=0,"",INDEX('My equipment'!$V$4:$V$503,(_calc!$E$81-500)))&amp;". ")&amp;IF(LEN(IF(LEN(INDEX('My equipment'!$W$4:$W$503,(_calc!$E$81-500)))=0,"",INDEX('My equipment'!$W$4:$W$503,(_calc!$E$81-500))))=0,"","Claim ref: "&amp;IF(LEN(INDEX('My equipment'!$W$4:$W$503,(_calc!$E$81-500)))=0,"",INDEX('My equipment'!$W$4:$W$503,(_calc!$E$81-500)))&amp;". ")&amp;IF(LEN(IF(LEN(INDEX('My equipment'!$Y$4:$Y$503,(_calc!$E$81-500)))=0,"",INDEX('My equipment'!$Y$4:$Y$503,(_calc!$E$81-500))))=0,"",IF(LEN(INDEX('My equipment'!$Y$4:$Y$503,(_calc!$E$81-500)))=0,"",INDEX('My equipment'!$Y$4:$Y$503,(_calc!$E$81-500)))))))</f>
        <v/>
      </c>
      <c r="G79" s="54">
        <f>IF(_calc!$E$81="","",IF(_calc!$E$81&lt;=500,"",IF(LEN(INDEX('My equipment'!$X$4:$X$503,(_calc!$E$81-500)))=0,"",INDEX('My equipment'!$X$4:$X$503,(_calc!$E$81-500)))))</f>
        <v/>
      </c>
      <c r="K79" s="54">
        <f>IF(_calc!$E$81="","",IF(_calc!$E$81&lt;=500,"",IF(LEN(INDEX('My equipment'!$T$4:$T$503,(_calc!$E$81-500)))=0,"",INDEX('My equipment'!$T$4:$T$503,(_calc!$E$81-500)))))</f>
        <v/>
      </c>
    </row>
    <row r="80">
      <c r="A80" s="54">
        <f>IF(_calc!$E$82="","",IF(_calc!$E$82&lt;=500,"Warranty – "&amp;IF(LEN(INDEX('Dealer pipeline'!$C$4:$C$503,_calc!$E$82))=0,"",INDEX('Dealer pipeline'!$C$4:$C$503,_calc!$E$82))&amp;" – "&amp;IF(LEN(INDEX('Dealer pipeline'!$D$4:$D$503,_calc!$E$82))=0,"",INDEX('Dealer pipeline'!$D$4:$D$503,_calc!$E$82))&amp;" – "&amp;IF(LEN(INDEX('Dealer pipeline'!$A$4:$A$503,_calc!$E$82))=0,"",INDEX('Dealer pipeline'!$A$4:$A$503,_calc!$E$82)),"Warranty – "&amp;IF(LEN(INDEX('My equipment'!$A$4:$A$503,(_calc!$E$82-500)))=0,"",INDEX('My equipment'!$A$4:$A$503,(_calc!$E$82-500)))&amp;" – "&amp;IF(LEN(INDEX('My equipment'!$D$4:$D$503,(_calc!$E$82-500)))=0,"",INDEX('My equipment'!$D$4:$D$503,(_calc!$E$82-500)))))</f>
        <v/>
      </c>
      <c r="B80" s="54">
        <f>IF(_calc!$E$82="","",IF(_calc!$E$82&lt;=500,IF(ISNUMBER(INDEX('Dealer pipeline'!$M$4:$M$503,_calc!$E$82)),TEXT(INDEX('Dealer pipeline'!$M$4:$M$503,_calc!$E$82),"yyyy-mm-dd"),""),IF(ISNUMBER(INDEX('My equipment'!$M$4:$M$503,(_calc!$E$82-500))),TEXT(INDEX('My equipment'!$M$4:$M$503,(_calc!$E$82-500)),"yyyy-mm-dd"),"")))</f>
        <v/>
      </c>
      <c r="C80" s="54">
        <f>IF(_calc!$E$82="","",IF(_calc!$E$82&lt;=500,"Warranty","Warranty"))</f>
        <v/>
      </c>
      <c r="D80" s="54">
        <f>IF(_calc!$E$82="","",IF(_calc!$E$82&lt;=500,IF(ISNUMBER(INDEX('Dealer pipeline'!$H$4:$H$503,_calc!$E$82)),TEXT(INDEX('Dealer pipeline'!$H$4:$H$503,_calc!$E$82),"yyyy-mm-dd"),""),IF(ISNUMBER(INDEX('My equipment'!$H$4:$H$503,(_calc!$E$82-500))),TEXT(INDEX('My equipment'!$H$4:$H$503,(_calc!$E$82-500)),"yyyy-mm-dd"),"")))</f>
        <v/>
      </c>
      <c r="F80" s="54">
        <f>IF(_calc!$E$82="","",IF(_calc!$E$82&lt;=500,TRIM(IF(LEN(IF(LEN(INDEX('Dealer pipeline'!$A$4:$A$503,_calc!$E$82))=0,"",INDEX('Dealer pipeline'!$A$4:$A$503,_calc!$E$82)))=0,"","Customer: "&amp;IF(LEN(INDEX('Dealer pipeline'!$A$4:$A$503,_calc!$E$82))=0,"",INDEX('Dealer pipeline'!$A$4:$A$503,_calc!$E$82))&amp;". ")&amp;IF(LEN(IF(LEN(INDEX('Dealer pipeline'!$B$4:$B$503,_calc!$E$82))=0,"",INDEX('Dealer pipeline'!$B$4:$B$503,_calc!$E$82)))=0,"","Contact: "&amp;IF(LEN(INDEX('Dealer pipeline'!$B$4:$B$503,_calc!$E$82))=0,"",INDEX('Dealer pipeline'!$B$4:$B$503,_calc!$E$82))&amp;". ")&amp;IF(LEN(IF(LEN(INDEX('Dealer pipeline'!$D$4:$D$503,_calc!$E$82))=0,"",INDEX('Dealer pipeline'!$D$4:$D$503,_calc!$E$82)))=0,"","Serial: "&amp;IF(LEN(INDEX('Dealer pipeline'!$D$4:$D$503,_calc!$E$82))=0,"",INDEX('Dealer pipeline'!$D$4:$D$503,_calc!$E$82))&amp;". ")&amp;IF(LEN(IF(ISNUMBER(INDEX('Dealer pipeline'!$J$4:$J$503,_calc!$E$82)),TEXT(INDEX('Dealer pipeline'!$J$4:$J$503,_calc!$E$82),"yyyy-mm-dd"),""))=0,"","Parts end: "&amp;IF(ISNUMBER(INDEX('Dealer pipeline'!$J$4:$J$503,_calc!$E$82)),TEXT(INDEX('Dealer pipeline'!$J$4:$J$503,_calc!$E$82),"yyyy-mm-dd"),"")&amp;". ")&amp;IF(LEN(IF(ISNUMBER(INDEX('Dealer pipeline'!$L$4:$L$503,_calc!$E$82)),TEXT(INDEX('Dealer pipeline'!$L$4:$L$503,_calc!$E$82),"yyyy-mm-dd"),""))=0,"","Labor end: "&amp;IF(ISNUMBER(INDEX('Dealer pipeline'!$L$4:$L$503,_calc!$E$82)),TEXT(INDEX('Dealer pipeline'!$L$4:$L$503,_calc!$E$82),"yyyy-mm-dd"),"")&amp;". ")&amp;IF(LEN(IF(LEN(INDEX('Dealer pipeline'!$Q$4:$Q$503,_calc!$E$82))=0,"",INDEX('Dealer pipeline'!$Q$4:$Q$503,_calc!$E$82)))=0,"","Status: "&amp;IF(LEN(INDEX('Dealer pipeline'!$Q$4:$Q$503,_calc!$E$82))=0,"",INDEX('Dealer pipeline'!$Q$4:$Q$503,_calc!$E$82))&amp;". ")&amp;IF(LEN(IF(LEN(INDEX('Dealer pipeline'!$P$4:$P$503,_calc!$E$82))=0,"",INDEX('Dealer pipeline'!$P$4:$P$503,_calc!$E$82)))=0,"","Last touch: "&amp;IF(LEN(INDEX('Dealer pipeline'!$P$4:$P$503,_calc!$E$82))=0,"",INDEX('Dealer pipeline'!$P$4:$P$503,_calc!$E$82))&amp;". ")&amp;IF(LEN(IF(LEN(INDEX('Dealer pipeline'!$R$4:$R$503,_calc!$E$82))=0,"",INDEX('Dealer pipeline'!$R$4:$R$503,_calc!$E$82)))=0,"","Owner: "&amp;IF(LEN(INDEX('Dealer pipeline'!$R$4:$R$503,_calc!$E$82))=0,"",INDEX('Dealer pipeline'!$R$4:$R$503,_calc!$E$82))&amp;". ")&amp;IF(LEN(IF(LEN(INDEX('Dealer pipeline'!$S$4:$S$503,_calc!$E$82))=0,"",INDEX('Dealer pipeline'!$S$4:$S$503,_calc!$E$82)))=0,"","Backup: "&amp;IF(LEN(INDEX('Dealer pipeline'!$S$4:$S$503,_calc!$E$82))=0,"",INDEX('Dealer pipeline'!$S$4:$S$503,_calc!$E$82))&amp;". ")&amp;IF(LEN(IF(LEN(INDEX('Dealer pipeline'!$T$4:$T$503,_calc!$E$82))=0,"",INDEX('Dealer pipeline'!$T$4:$T$503,_calc!$E$82)))=0,"",IF(LEN(INDEX('Dealer pipeline'!$T$4:$T$503,_calc!$E$82))=0,"",INDEX('Dealer pipeline'!$T$4:$T$503,_calc!$E$82)))),TRIM(IF(LEN(IF(LEN(INDEX('My equipment'!$C$4:$C$503,(_calc!$E$82-500)))=0,"",INDEX('My equipment'!$C$4:$C$503,(_calc!$E$82-500))))=0,"","Model: "&amp;IF(LEN(INDEX('My equipment'!$C$4:$C$503,(_calc!$E$82-500)))=0,"",INDEX('My equipment'!$C$4:$C$503,(_calc!$E$82-500)))&amp;". ")&amp;IF(LEN(IF(LEN(INDEX('My equipment'!$D$4:$D$503,(_calc!$E$82-500)))=0,"",INDEX('My equipment'!$D$4:$D$503,(_calc!$E$82-500))))=0,"","Serial: "&amp;IF(LEN(INDEX('My equipment'!$D$4:$D$503,(_calc!$E$82-500)))=0,"",INDEX('My equipment'!$D$4:$D$503,(_calc!$E$82-500)))&amp;". ")&amp;IF(LEN(IF(ISNUMBER(INDEX('My equipment'!$J$4:$J$503,(_calc!$E$82-500))),TEXT(INDEX('My equipment'!$J$4:$J$503,(_calc!$E$82-500)),"yyyy-mm-dd"),""))=0,"","Parts end: "&amp;IF(ISNUMBER(INDEX('My equipment'!$J$4:$J$503,(_calc!$E$82-500))),TEXT(INDEX('My equipment'!$J$4:$J$503,(_calc!$E$82-500)),"yyyy-mm-dd"),"")&amp;". ")&amp;IF(LEN(IF(ISNUMBER(INDEX('My equipment'!$L$4:$L$503,(_calc!$E$82-500))),TEXT(INDEX('My equipment'!$L$4:$L$503,(_calc!$E$82-500)),"yyyy-mm-dd"),""))=0,"","Labor end: "&amp;IF(ISNUMBER(INDEX('My equipment'!$L$4:$L$503,(_calc!$E$82-500))),TEXT(INDEX('My equipment'!$L$4:$L$503,(_calc!$E$82-500)),"yyyy-mm-dd"),"")&amp;". ")&amp;IF(LEN(IF(ISNUMBER(INDEX('My equipment'!$P$4:$P$503,(_calc!$E$82-500))),TEXT(INDEX('My equipment'!$P$4:$P$503,(_calc!$E$82-500)),"yyyy-mm-dd"),""))=0,"","Check by: "&amp;IF(ISNUMBER(INDEX('My equipment'!$P$4:$P$503,(_calc!$E$82-500))),TEXT(INDEX('My equipment'!$P$4:$P$503,(_calc!$E$82-500)),"yyyy-mm-dd"),"")&amp;". ")&amp;IF(LEN(IF(LEN(INDEX('My equipment'!$Q$4:$Q$503,(_calc!$E$82-500)))=0,"",INDEX('My equipment'!$Q$4:$Q$503,(_calc!$E$82-500))))=0,"","Claim status: "&amp;IF(LEN(INDEX('My equipment'!$Q$4:$Q$503,(_calc!$E$82-500)))=0,"",INDEX('My equipment'!$Q$4:$Q$503,(_calc!$E$82-500)))&amp;". ")&amp;IF(LEN(IF(LEN(INDEX('My equipment'!$R$4:$R$503,(_calc!$E$82-500)))=0,"",INDEX('My equipment'!$R$4:$R$503,(_calc!$E$82-500))))=0,"","Claims contact: "&amp;IF(LEN(INDEX('My equipment'!$R$4:$R$503,(_calc!$E$82-500)))=0,"",INDEX('My equipment'!$R$4:$R$503,(_calc!$E$82-500)))&amp;". ")&amp;IF(LEN(IF(LEN(INDEX('My equipment'!$S$4:$S$503,(_calc!$E$82-500)))=0,"",INDEX('My equipment'!$S$4:$S$503,(_calc!$E$82-500))))=0,"","Claims email: "&amp;IF(LEN(INDEX('My equipment'!$S$4:$S$503,(_calc!$E$82-500)))=0,"",INDEX('My equipment'!$S$4:$S$503,(_calc!$E$82-500)))&amp;". ")&amp;IF(LEN(IF(LEN(INDEX('My equipment'!$U$4:$U$503,(_calc!$E$82-500)))=0,"",INDEX('My equipment'!$U$4:$U$503,(_calc!$E$82-500))))=0,"","Registered: "&amp;IF(LEN(INDEX('My equipment'!$U$4:$U$503,(_calc!$E$82-500)))=0,"",INDEX('My equipment'!$U$4:$U$503,(_calc!$E$82-500)))&amp;". ")&amp;IF(LEN(IF(LEN(INDEX('My equipment'!$V$4:$V$503,(_calc!$E$82-500)))=0,"",INDEX('My equipment'!$V$4:$V$503,(_calc!$E$82-500))))=0,"","Proof on file: "&amp;IF(LEN(INDEX('My equipment'!$V$4:$V$503,(_calc!$E$82-500)))=0,"",INDEX('My equipment'!$V$4:$V$503,(_calc!$E$82-500)))&amp;". ")&amp;IF(LEN(IF(LEN(INDEX('My equipment'!$W$4:$W$503,(_calc!$E$82-500)))=0,"",INDEX('My equipment'!$W$4:$W$503,(_calc!$E$82-500))))=0,"","Claim ref: "&amp;IF(LEN(INDEX('My equipment'!$W$4:$W$503,(_calc!$E$82-500)))=0,"",INDEX('My equipment'!$W$4:$W$503,(_calc!$E$82-500)))&amp;". ")&amp;IF(LEN(IF(LEN(INDEX('My equipment'!$Y$4:$Y$503,(_calc!$E$82-500)))=0,"",INDEX('My equipment'!$Y$4:$Y$503,(_calc!$E$82-500))))=0,"",IF(LEN(INDEX('My equipment'!$Y$4:$Y$503,(_calc!$E$82-500)))=0,"",INDEX('My equipment'!$Y$4:$Y$503,(_calc!$E$82-500)))))))</f>
        <v/>
      </c>
      <c r="G80" s="54">
        <f>IF(_calc!$E$82="","",IF(_calc!$E$82&lt;=500,"",IF(LEN(INDEX('My equipment'!$X$4:$X$503,(_calc!$E$82-500)))=0,"",INDEX('My equipment'!$X$4:$X$503,(_calc!$E$82-500)))))</f>
        <v/>
      </c>
      <c r="K80" s="54">
        <f>IF(_calc!$E$82="","",IF(_calc!$E$82&lt;=500,"",IF(LEN(INDEX('My equipment'!$T$4:$T$503,(_calc!$E$82-500)))=0,"",INDEX('My equipment'!$T$4:$T$503,(_calc!$E$82-500)))))</f>
        <v/>
      </c>
    </row>
    <row r="81">
      <c r="A81" s="54">
        <f>IF(_calc!$E$83="","",IF(_calc!$E$83&lt;=500,"Warranty – "&amp;IF(LEN(INDEX('Dealer pipeline'!$C$4:$C$503,_calc!$E$83))=0,"",INDEX('Dealer pipeline'!$C$4:$C$503,_calc!$E$83))&amp;" – "&amp;IF(LEN(INDEX('Dealer pipeline'!$D$4:$D$503,_calc!$E$83))=0,"",INDEX('Dealer pipeline'!$D$4:$D$503,_calc!$E$83))&amp;" – "&amp;IF(LEN(INDEX('Dealer pipeline'!$A$4:$A$503,_calc!$E$83))=0,"",INDEX('Dealer pipeline'!$A$4:$A$503,_calc!$E$83)),"Warranty – "&amp;IF(LEN(INDEX('My equipment'!$A$4:$A$503,(_calc!$E$83-500)))=0,"",INDEX('My equipment'!$A$4:$A$503,(_calc!$E$83-500)))&amp;" – "&amp;IF(LEN(INDEX('My equipment'!$D$4:$D$503,(_calc!$E$83-500)))=0,"",INDEX('My equipment'!$D$4:$D$503,(_calc!$E$83-500)))))</f>
        <v/>
      </c>
      <c r="B81" s="54">
        <f>IF(_calc!$E$83="","",IF(_calc!$E$83&lt;=500,IF(ISNUMBER(INDEX('Dealer pipeline'!$M$4:$M$503,_calc!$E$83)),TEXT(INDEX('Dealer pipeline'!$M$4:$M$503,_calc!$E$83),"yyyy-mm-dd"),""),IF(ISNUMBER(INDEX('My equipment'!$M$4:$M$503,(_calc!$E$83-500))),TEXT(INDEX('My equipment'!$M$4:$M$503,(_calc!$E$83-500)),"yyyy-mm-dd"),"")))</f>
        <v/>
      </c>
      <c r="C81" s="54">
        <f>IF(_calc!$E$83="","",IF(_calc!$E$83&lt;=500,"Warranty","Warranty"))</f>
        <v/>
      </c>
      <c r="D81" s="54">
        <f>IF(_calc!$E$83="","",IF(_calc!$E$83&lt;=500,IF(ISNUMBER(INDEX('Dealer pipeline'!$H$4:$H$503,_calc!$E$83)),TEXT(INDEX('Dealer pipeline'!$H$4:$H$503,_calc!$E$83),"yyyy-mm-dd"),""),IF(ISNUMBER(INDEX('My equipment'!$H$4:$H$503,(_calc!$E$83-500))),TEXT(INDEX('My equipment'!$H$4:$H$503,(_calc!$E$83-500)),"yyyy-mm-dd"),"")))</f>
        <v/>
      </c>
      <c r="F81" s="54">
        <f>IF(_calc!$E$83="","",IF(_calc!$E$83&lt;=500,TRIM(IF(LEN(IF(LEN(INDEX('Dealer pipeline'!$A$4:$A$503,_calc!$E$83))=0,"",INDEX('Dealer pipeline'!$A$4:$A$503,_calc!$E$83)))=0,"","Customer: "&amp;IF(LEN(INDEX('Dealer pipeline'!$A$4:$A$503,_calc!$E$83))=0,"",INDEX('Dealer pipeline'!$A$4:$A$503,_calc!$E$83))&amp;". ")&amp;IF(LEN(IF(LEN(INDEX('Dealer pipeline'!$B$4:$B$503,_calc!$E$83))=0,"",INDEX('Dealer pipeline'!$B$4:$B$503,_calc!$E$83)))=0,"","Contact: "&amp;IF(LEN(INDEX('Dealer pipeline'!$B$4:$B$503,_calc!$E$83))=0,"",INDEX('Dealer pipeline'!$B$4:$B$503,_calc!$E$83))&amp;". ")&amp;IF(LEN(IF(LEN(INDEX('Dealer pipeline'!$D$4:$D$503,_calc!$E$83))=0,"",INDEX('Dealer pipeline'!$D$4:$D$503,_calc!$E$83)))=0,"","Serial: "&amp;IF(LEN(INDEX('Dealer pipeline'!$D$4:$D$503,_calc!$E$83))=0,"",INDEX('Dealer pipeline'!$D$4:$D$503,_calc!$E$83))&amp;". ")&amp;IF(LEN(IF(ISNUMBER(INDEX('Dealer pipeline'!$J$4:$J$503,_calc!$E$83)),TEXT(INDEX('Dealer pipeline'!$J$4:$J$503,_calc!$E$83),"yyyy-mm-dd"),""))=0,"","Parts end: "&amp;IF(ISNUMBER(INDEX('Dealer pipeline'!$J$4:$J$503,_calc!$E$83)),TEXT(INDEX('Dealer pipeline'!$J$4:$J$503,_calc!$E$83),"yyyy-mm-dd"),"")&amp;". ")&amp;IF(LEN(IF(ISNUMBER(INDEX('Dealer pipeline'!$L$4:$L$503,_calc!$E$83)),TEXT(INDEX('Dealer pipeline'!$L$4:$L$503,_calc!$E$83),"yyyy-mm-dd"),""))=0,"","Labor end: "&amp;IF(ISNUMBER(INDEX('Dealer pipeline'!$L$4:$L$503,_calc!$E$83)),TEXT(INDEX('Dealer pipeline'!$L$4:$L$503,_calc!$E$83),"yyyy-mm-dd"),"")&amp;". ")&amp;IF(LEN(IF(LEN(INDEX('Dealer pipeline'!$Q$4:$Q$503,_calc!$E$83))=0,"",INDEX('Dealer pipeline'!$Q$4:$Q$503,_calc!$E$83)))=0,"","Status: "&amp;IF(LEN(INDEX('Dealer pipeline'!$Q$4:$Q$503,_calc!$E$83))=0,"",INDEX('Dealer pipeline'!$Q$4:$Q$503,_calc!$E$83))&amp;". ")&amp;IF(LEN(IF(LEN(INDEX('Dealer pipeline'!$P$4:$P$503,_calc!$E$83))=0,"",INDEX('Dealer pipeline'!$P$4:$P$503,_calc!$E$83)))=0,"","Last touch: "&amp;IF(LEN(INDEX('Dealer pipeline'!$P$4:$P$503,_calc!$E$83))=0,"",INDEX('Dealer pipeline'!$P$4:$P$503,_calc!$E$83))&amp;". ")&amp;IF(LEN(IF(LEN(INDEX('Dealer pipeline'!$R$4:$R$503,_calc!$E$83))=0,"",INDEX('Dealer pipeline'!$R$4:$R$503,_calc!$E$83)))=0,"","Owner: "&amp;IF(LEN(INDEX('Dealer pipeline'!$R$4:$R$503,_calc!$E$83))=0,"",INDEX('Dealer pipeline'!$R$4:$R$503,_calc!$E$83))&amp;". ")&amp;IF(LEN(IF(LEN(INDEX('Dealer pipeline'!$S$4:$S$503,_calc!$E$83))=0,"",INDEX('Dealer pipeline'!$S$4:$S$503,_calc!$E$83)))=0,"","Backup: "&amp;IF(LEN(INDEX('Dealer pipeline'!$S$4:$S$503,_calc!$E$83))=0,"",INDEX('Dealer pipeline'!$S$4:$S$503,_calc!$E$83))&amp;". ")&amp;IF(LEN(IF(LEN(INDEX('Dealer pipeline'!$T$4:$T$503,_calc!$E$83))=0,"",INDEX('Dealer pipeline'!$T$4:$T$503,_calc!$E$83)))=0,"",IF(LEN(INDEX('Dealer pipeline'!$T$4:$T$503,_calc!$E$83))=0,"",INDEX('Dealer pipeline'!$T$4:$T$503,_calc!$E$83)))),TRIM(IF(LEN(IF(LEN(INDEX('My equipment'!$C$4:$C$503,(_calc!$E$83-500)))=0,"",INDEX('My equipment'!$C$4:$C$503,(_calc!$E$83-500))))=0,"","Model: "&amp;IF(LEN(INDEX('My equipment'!$C$4:$C$503,(_calc!$E$83-500)))=0,"",INDEX('My equipment'!$C$4:$C$503,(_calc!$E$83-500)))&amp;". ")&amp;IF(LEN(IF(LEN(INDEX('My equipment'!$D$4:$D$503,(_calc!$E$83-500)))=0,"",INDEX('My equipment'!$D$4:$D$503,(_calc!$E$83-500))))=0,"","Serial: "&amp;IF(LEN(INDEX('My equipment'!$D$4:$D$503,(_calc!$E$83-500)))=0,"",INDEX('My equipment'!$D$4:$D$503,(_calc!$E$83-500)))&amp;". ")&amp;IF(LEN(IF(ISNUMBER(INDEX('My equipment'!$J$4:$J$503,(_calc!$E$83-500))),TEXT(INDEX('My equipment'!$J$4:$J$503,(_calc!$E$83-500)),"yyyy-mm-dd"),""))=0,"","Parts end: "&amp;IF(ISNUMBER(INDEX('My equipment'!$J$4:$J$503,(_calc!$E$83-500))),TEXT(INDEX('My equipment'!$J$4:$J$503,(_calc!$E$83-500)),"yyyy-mm-dd"),"")&amp;". ")&amp;IF(LEN(IF(ISNUMBER(INDEX('My equipment'!$L$4:$L$503,(_calc!$E$83-500))),TEXT(INDEX('My equipment'!$L$4:$L$503,(_calc!$E$83-500)),"yyyy-mm-dd"),""))=0,"","Labor end: "&amp;IF(ISNUMBER(INDEX('My equipment'!$L$4:$L$503,(_calc!$E$83-500))),TEXT(INDEX('My equipment'!$L$4:$L$503,(_calc!$E$83-500)),"yyyy-mm-dd"),"")&amp;". ")&amp;IF(LEN(IF(ISNUMBER(INDEX('My equipment'!$P$4:$P$503,(_calc!$E$83-500))),TEXT(INDEX('My equipment'!$P$4:$P$503,(_calc!$E$83-500)),"yyyy-mm-dd"),""))=0,"","Check by: "&amp;IF(ISNUMBER(INDEX('My equipment'!$P$4:$P$503,(_calc!$E$83-500))),TEXT(INDEX('My equipment'!$P$4:$P$503,(_calc!$E$83-500)),"yyyy-mm-dd"),"")&amp;". ")&amp;IF(LEN(IF(LEN(INDEX('My equipment'!$Q$4:$Q$503,(_calc!$E$83-500)))=0,"",INDEX('My equipment'!$Q$4:$Q$503,(_calc!$E$83-500))))=0,"","Claim status: "&amp;IF(LEN(INDEX('My equipment'!$Q$4:$Q$503,(_calc!$E$83-500)))=0,"",INDEX('My equipment'!$Q$4:$Q$503,(_calc!$E$83-500)))&amp;". ")&amp;IF(LEN(IF(LEN(INDEX('My equipment'!$R$4:$R$503,(_calc!$E$83-500)))=0,"",INDEX('My equipment'!$R$4:$R$503,(_calc!$E$83-500))))=0,"","Claims contact: "&amp;IF(LEN(INDEX('My equipment'!$R$4:$R$503,(_calc!$E$83-500)))=0,"",INDEX('My equipment'!$R$4:$R$503,(_calc!$E$83-500)))&amp;". ")&amp;IF(LEN(IF(LEN(INDEX('My equipment'!$S$4:$S$503,(_calc!$E$83-500)))=0,"",INDEX('My equipment'!$S$4:$S$503,(_calc!$E$83-500))))=0,"","Claims email: "&amp;IF(LEN(INDEX('My equipment'!$S$4:$S$503,(_calc!$E$83-500)))=0,"",INDEX('My equipment'!$S$4:$S$503,(_calc!$E$83-500)))&amp;". ")&amp;IF(LEN(IF(LEN(INDEX('My equipment'!$U$4:$U$503,(_calc!$E$83-500)))=0,"",INDEX('My equipment'!$U$4:$U$503,(_calc!$E$83-500))))=0,"","Registered: "&amp;IF(LEN(INDEX('My equipment'!$U$4:$U$503,(_calc!$E$83-500)))=0,"",INDEX('My equipment'!$U$4:$U$503,(_calc!$E$83-500)))&amp;". ")&amp;IF(LEN(IF(LEN(INDEX('My equipment'!$V$4:$V$503,(_calc!$E$83-500)))=0,"",INDEX('My equipment'!$V$4:$V$503,(_calc!$E$83-500))))=0,"","Proof on file: "&amp;IF(LEN(INDEX('My equipment'!$V$4:$V$503,(_calc!$E$83-500)))=0,"",INDEX('My equipment'!$V$4:$V$503,(_calc!$E$83-500)))&amp;". ")&amp;IF(LEN(IF(LEN(INDEX('My equipment'!$W$4:$W$503,(_calc!$E$83-500)))=0,"",INDEX('My equipment'!$W$4:$W$503,(_calc!$E$83-500))))=0,"","Claim ref: "&amp;IF(LEN(INDEX('My equipment'!$W$4:$W$503,(_calc!$E$83-500)))=0,"",INDEX('My equipment'!$W$4:$W$503,(_calc!$E$83-500)))&amp;". ")&amp;IF(LEN(IF(LEN(INDEX('My equipment'!$Y$4:$Y$503,(_calc!$E$83-500)))=0,"",INDEX('My equipment'!$Y$4:$Y$503,(_calc!$E$83-500))))=0,"",IF(LEN(INDEX('My equipment'!$Y$4:$Y$503,(_calc!$E$83-500)))=0,"",INDEX('My equipment'!$Y$4:$Y$503,(_calc!$E$83-500)))))))</f>
        <v/>
      </c>
      <c r="G81" s="54">
        <f>IF(_calc!$E$83="","",IF(_calc!$E$83&lt;=500,"",IF(LEN(INDEX('My equipment'!$X$4:$X$503,(_calc!$E$83-500)))=0,"",INDEX('My equipment'!$X$4:$X$503,(_calc!$E$83-500)))))</f>
        <v/>
      </c>
      <c r="K81" s="54">
        <f>IF(_calc!$E$83="","",IF(_calc!$E$83&lt;=500,"",IF(LEN(INDEX('My equipment'!$T$4:$T$503,(_calc!$E$83-500)))=0,"",INDEX('My equipment'!$T$4:$T$503,(_calc!$E$83-500)))))</f>
        <v/>
      </c>
    </row>
    <row r="82">
      <c r="A82" s="54">
        <f>IF(_calc!$E$84="","",IF(_calc!$E$84&lt;=500,"Warranty – "&amp;IF(LEN(INDEX('Dealer pipeline'!$C$4:$C$503,_calc!$E$84))=0,"",INDEX('Dealer pipeline'!$C$4:$C$503,_calc!$E$84))&amp;" – "&amp;IF(LEN(INDEX('Dealer pipeline'!$D$4:$D$503,_calc!$E$84))=0,"",INDEX('Dealer pipeline'!$D$4:$D$503,_calc!$E$84))&amp;" – "&amp;IF(LEN(INDEX('Dealer pipeline'!$A$4:$A$503,_calc!$E$84))=0,"",INDEX('Dealer pipeline'!$A$4:$A$503,_calc!$E$84)),"Warranty – "&amp;IF(LEN(INDEX('My equipment'!$A$4:$A$503,(_calc!$E$84-500)))=0,"",INDEX('My equipment'!$A$4:$A$503,(_calc!$E$84-500)))&amp;" – "&amp;IF(LEN(INDEX('My equipment'!$D$4:$D$503,(_calc!$E$84-500)))=0,"",INDEX('My equipment'!$D$4:$D$503,(_calc!$E$84-500)))))</f>
        <v/>
      </c>
      <c r="B82" s="54">
        <f>IF(_calc!$E$84="","",IF(_calc!$E$84&lt;=500,IF(ISNUMBER(INDEX('Dealer pipeline'!$M$4:$M$503,_calc!$E$84)),TEXT(INDEX('Dealer pipeline'!$M$4:$M$503,_calc!$E$84),"yyyy-mm-dd"),""),IF(ISNUMBER(INDEX('My equipment'!$M$4:$M$503,(_calc!$E$84-500))),TEXT(INDEX('My equipment'!$M$4:$M$503,(_calc!$E$84-500)),"yyyy-mm-dd"),"")))</f>
        <v/>
      </c>
      <c r="C82" s="54">
        <f>IF(_calc!$E$84="","",IF(_calc!$E$84&lt;=500,"Warranty","Warranty"))</f>
        <v/>
      </c>
      <c r="D82" s="54">
        <f>IF(_calc!$E$84="","",IF(_calc!$E$84&lt;=500,IF(ISNUMBER(INDEX('Dealer pipeline'!$H$4:$H$503,_calc!$E$84)),TEXT(INDEX('Dealer pipeline'!$H$4:$H$503,_calc!$E$84),"yyyy-mm-dd"),""),IF(ISNUMBER(INDEX('My equipment'!$H$4:$H$503,(_calc!$E$84-500))),TEXT(INDEX('My equipment'!$H$4:$H$503,(_calc!$E$84-500)),"yyyy-mm-dd"),"")))</f>
        <v/>
      </c>
      <c r="F82" s="54">
        <f>IF(_calc!$E$84="","",IF(_calc!$E$84&lt;=500,TRIM(IF(LEN(IF(LEN(INDEX('Dealer pipeline'!$A$4:$A$503,_calc!$E$84))=0,"",INDEX('Dealer pipeline'!$A$4:$A$503,_calc!$E$84)))=0,"","Customer: "&amp;IF(LEN(INDEX('Dealer pipeline'!$A$4:$A$503,_calc!$E$84))=0,"",INDEX('Dealer pipeline'!$A$4:$A$503,_calc!$E$84))&amp;". ")&amp;IF(LEN(IF(LEN(INDEX('Dealer pipeline'!$B$4:$B$503,_calc!$E$84))=0,"",INDEX('Dealer pipeline'!$B$4:$B$503,_calc!$E$84)))=0,"","Contact: "&amp;IF(LEN(INDEX('Dealer pipeline'!$B$4:$B$503,_calc!$E$84))=0,"",INDEX('Dealer pipeline'!$B$4:$B$503,_calc!$E$84))&amp;". ")&amp;IF(LEN(IF(LEN(INDEX('Dealer pipeline'!$D$4:$D$503,_calc!$E$84))=0,"",INDEX('Dealer pipeline'!$D$4:$D$503,_calc!$E$84)))=0,"","Serial: "&amp;IF(LEN(INDEX('Dealer pipeline'!$D$4:$D$503,_calc!$E$84))=0,"",INDEX('Dealer pipeline'!$D$4:$D$503,_calc!$E$84))&amp;". ")&amp;IF(LEN(IF(ISNUMBER(INDEX('Dealer pipeline'!$J$4:$J$503,_calc!$E$84)),TEXT(INDEX('Dealer pipeline'!$J$4:$J$503,_calc!$E$84),"yyyy-mm-dd"),""))=0,"","Parts end: "&amp;IF(ISNUMBER(INDEX('Dealer pipeline'!$J$4:$J$503,_calc!$E$84)),TEXT(INDEX('Dealer pipeline'!$J$4:$J$503,_calc!$E$84),"yyyy-mm-dd"),"")&amp;". ")&amp;IF(LEN(IF(ISNUMBER(INDEX('Dealer pipeline'!$L$4:$L$503,_calc!$E$84)),TEXT(INDEX('Dealer pipeline'!$L$4:$L$503,_calc!$E$84),"yyyy-mm-dd"),""))=0,"","Labor end: "&amp;IF(ISNUMBER(INDEX('Dealer pipeline'!$L$4:$L$503,_calc!$E$84)),TEXT(INDEX('Dealer pipeline'!$L$4:$L$503,_calc!$E$84),"yyyy-mm-dd"),"")&amp;". ")&amp;IF(LEN(IF(LEN(INDEX('Dealer pipeline'!$Q$4:$Q$503,_calc!$E$84))=0,"",INDEX('Dealer pipeline'!$Q$4:$Q$503,_calc!$E$84)))=0,"","Status: "&amp;IF(LEN(INDEX('Dealer pipeline'!$Q$4:$Q$503,_calc!$E$84))=0,"",INDEX('Dealer pipeline'!$Q$4:$Q$503,_calc!$E$84))&amp;". ")&amp;IF(LEN(IF(LEN(INDEX('Dealer pipeline'!$P$4:$P$503,_calc!$E$84))=0,"",INDEX('Dealer pipeline'!$P$4:$P$503,_calc!$E$84)))=0,"","Last touch: "&amp;IF(LEN(INDEX('Dealer pipeline'!$P$4:$P$503,_calc!$E$84))=0,"",INDEX('Dealer pipeline'!$P$4:$P$503,_calc!$E$84))&amp;". ")&amp;IF(LEN(IF(LEN(INDEX('Dealer pipeline'!$R$4:$R$503,_calc!$E$84))=0,"",INDEX('Dealer pipeline'!$R$4:$R$503,_calc!$E$84)))=0,"","Owner: "&amp;IF(LEN(INDEX('Dealer pipeline'!$R$4:$R$503,_calc!$E$84))=0,"",INDEX('Dealer pipeline'!$R$4:$R$503,_calc!$E$84))&amp;". ")&amp;IF(LEN(IF(LEN(INDEX('Dealer pipeline'!$S$4:$S$503,_calc!$E$84))=0,"",INDEX('Dealer pipeline'!$S$4:$S$503,_calc!$E$84)))=0,"","Backup: "&amp;IF(LEN(INDEX('Dealer pipeline'!$S$4:$S$503,_calc!$E$84))=0,"",INDEX('Dealer pipeline'!$S$4:$S$503,_calc!$E$84))&amp;". ")&amp;IF(LEN(IF(LEN(INDEX('Dealer pipeline'!$T$4:$T$503,_calc!$E$84))=0,"",INDEX('Dealer pipeline'!$T$4:$T$503,_calc!$E$84)))=0,"",IF(LEN(INDEX('Dealer pipeline'!$T$4:$T$503,_calc!$E$84))=0,"",INDEX('Dealer pipeline'!$T$4:$T$503,_calc!$E$84)))),TRIM(IF(LEN(IF(LEN(INDEX('My equipment'!$C$4:$C$503,(_calc!$E$84-500)))=0,"",INDEX('My equipment'!$C$4:$C$503,(_calc!$E$84-500))))=0,"","Model: "&amp;IF(LEN(INDEX('My equipment'!$C$4:$C$503,(_calc!$E$84-500)))=0,"",INDEX('My equipment'!$C$4:$C$503,(_calc!$E$84-500)))&amp;". ")&amp;IF(LEN(IF(LEN(INDEX('My equipment'!$D$4:$D$503,(_calc!$E$84-500)))=0,"",INDEX('My equipment'!$D$4:$D$503,(_calc!$E$84-500))))=0,"","Serial: "&amp;IF(LEN(INDEX('My equipment'!$D$4:$D$503,(_calc!$E$84-500)))=0,"",INDEX('My equipment'!$D$4:$D$503,(_calc!$E$84-500)))&amp;". ")&amp;IF(LEN(IF(ISNUMBER(INDEX('My equipment'!$J$4:$J$503,(_calc!$E$84-500))),TEXT(INDEX('My equipment'!$J$4:$J$503,(_calc!$E$84-500)),"yyyy-mm-dd"),""))=0,"","Parts end: "&amp;IF(ISNUMBER(INDEX('My equipment'!$J$4:$J$503,(_calc!$E$84-500))),TEXT(INDEX('My equipment'!$J$4:$J$503,(_calc!$E$84-500)),"yyyy-mm-dd"),"")&amp;". ")&amp;IF(LEN(IF(ISNUMBER(INDEX('My equipment'!$L$4:$L$503,(_calc!$E$84-500))),TEXT(INDEX('My equipment'!$L$4:$L$503,(_calc!$E$84-500)),"yyyy-mm-dd"),""))=0,"","Labor end: "&amp;IF(ISNUMBER(INDEX('My equipment'!$L$4:$L$503,(_calc!$E$84-500))),TEXT(INDEX('My equipment'!$L$4:$L$503,(_calc!$E$84-500)),"yyyy-mm-dd"),"")&amp;". ")&amp;IF(LEN(IF(ISNUMBER(INDEX('My equipment'!$P$4:$P$503,(_calc!$E$84-500))),TEXT(INDEX('My equipment'!$P$4:$P$503,(_calc!$E$84-500)),"yyyy-mm-dd"),""))=0,"","Check by: "&amp;IF(ISNUMBER(INDEX('My equipment'!$P$4:$P$503,(_calc!$E$84-500))),TEXT(INDEX('My equipment'!$P$4:$P$503,(_calc!$E$84-500)),"yyyy-mm-dd"),"")&amp;". ")&amp;IF(LEN(IF(LEN(INDEX('My equipment'!$Q$4:$Q$503,(_calc!$E$84-500)))=0,"",INDEX('My equipment'!$Q$4:$Q$503,(_calc!$E$84-500))))=0,"","Claim status: "&amp;IF(LEN(INDEX('My equipment'!$Q$4:$Q$503,(_calc!$E$84-500)))=0,"",INDEX('My equipment'!$Q$4:$Q$503,(_calc!$E$84-500)))&amp;". ")&amp;IF(LEN(IF(LEN(INDEX('My equipment'!$R$4:$R$503,(_calc!$E$84-500)))=0,"",INDEX('My equipment'!$R$4:$R$503,(_calc!$E$84-500))))=0,"","Claims contact: "&amp;IF(LEN(INDEX('My equipment'!$R$4:$R$503,(_calc!$E$84-500)))=0,"",INDEX('My equipment'!$R$4:$R$503,(_calc!$E$84-500)))&amp;". ")&amp;IF(LEN(IF(LEN(INDEX('My equipment'!$S$4:$S$503,(_calc!$E$84-500)))=0,"",INDEX('My equipment'!$S$4:$S$503,(_calc!$E$84-500))))=0,"","Claims email: "&amp;IF(LEN(INDEX('My equipment'!$S$4:$S$503,(_calc!$E$84-500)))=0,"",INDEX('My equipment'!$S$4:$S$503,(_calc!$E$84-500)))&amp;". ")&amp;IF(LEN(IF(LEN(INDEX('My equipment'!$U$4:$U$503,(_calc!$E$84-500)))=0,"",INDEX('My equipment'!$U$4:$U$503,(_calc!$E$84-500))))=0,"","Registered: "&amp;IF(LEN(INDEX('My equipment'!$U$4:$U$503,(_calc!$E$84-500)))=0,"",INDEX('My equipment'!$U$4:$U$503,(_calc!$E$84-500)))&amp;". ")&amp;IF(LEN(IF(LEN(INDEX('My equipment'!$V$4:$V$503,(_calc!$E$84-500)))=0,"",INDEX('My equipment'!$V$4:$V$503,(_calc!$E$84-500))))=0,"","Proof on file: "&amp;IF(LEN(INDEX('My equipment'!$V$4:$V$503,(_calc!$E$84-500)))=0,"",INDEX('My equipment'!$V$4:$V$503,(_calc!$E$84-500)))&amp;". ")&amp;IF(LEN(IF(LEN(INDEX('My equipment'!$W$4:$W$503,(_calc!$E$84-500)))=0,"",INDEX('My equipment'!$W$4:$W$503,(_calc!$E$84-500))))=0,"","Claim ref: "&amp;IF(LEN(INDEX('My equipment'!$W$4:$W$503,(_calc!$E$84-500)))=0,"",INDEX('My equipment'!$W$4:$W$503,(_calc!$E$84-500)))&amp;". ")&amp;IF(LEN(IF(LEN(INDEX('My equipment'!$Y$4:$Y$503,(_calc!$E$84-500)))=0,"",INDEX('My equipment'!$Y$4:$Y$503,(_calc!$E$84-500))))=0,"",IF(LEN(INDEX('My equipment'!$Y$4:$Y$503,(_calc!$E$84-500)))=0,"",INDEX('My equipment'!$Y$4:$Y$503,(_calc!$E$84-500)))))))</f>
        <v/>
      </c>
      <c r="G82" s="54">
        <f>IF(_calc!$E$84="","",IF(_calc!$E$84&lt;=500,"",IF(LEN(INDEX('My equipment'!$X$4:$X$503,(_calc!$E$84-500)))=0,"",INDEX('My equipment'!$X$4:$X$503,(_calc!$E$84-500)))))</f>
        <v/>
      </c>
      <c r="K82" s="54">
        <f>IF(_calc!$E$84="","",IF(_calc!$E$84&lt;=500,"",IF(LEN(INDEX('My equipment'!$T$4:$T$503,(_calc!$E$84-500)))=0,"",INDEX('My equipment'!$T$4:$T$503,(_calc!$E$84-500)))))</f>
        <v/>
      </c>
    </row>
    <row r="83">
      <c r="A83" s="54">
        <f>IF(_calc!$E$85="","",IF(_calc!$E$85&lt;=500,"Warranty – "&amp;IF(LEN(INDEX('Dealer pipeline'!$C$4:$C$503,_calc!$E$85))=0,"",INDEX('Dealer pipeline'!$C$4:$C$503,_calc!$E$85))&amp;" – "&amp;IF(LEN(INDEX('Dealer pipeline'!$D$4:$D$503,_calc!$E$85))=0,"",INDEX('Dealer pipeline'!$D$4:$D$503,_calc!$E$85))&amp;" – "&amp;IF(LEN(INDEX('Dealer pipeline'!$A$4:$A$503,_calc!$E$85))=0,"",INDEX('Dealer pipeline'!$A$4:$A$503,_calc!$E$85)),"Warranty – "&amp;IF(LEN(INDEX('My equipment'!$A$4:$A$503,(_calc!$E$85-500)))=0,"",INDEX('My equipment'!$A$4:$A$503,(_calc!$E$85-500)))&amp;" – "&amp;IF(LEN(INDEX('My equipment'!$D$4:$D$503,(_calc!$E$85-500)))=0,"",INDEX('My equipment'!$D$4:$D$503,(_calc!$E$85-500)))))</f>
        <v/>
      </c>
      <c r="B83" s="54">
        <f>IF(_calc!$E$85="","",IF(_calc!$E$85&lt;=500,IF(ISNUMBER(INDEX('Dealer pipeline'!$M$4:$M$503,_calc!$E$85)),TEXT(INDEX('Dealer pipeline'!$M$4:$M$503,_calc!$E$85),"yyyy-mm-dd"),""),IF(ISNUMBER(INDEX('My equipment'!$M$4:$M$503,(_calc!$E$85-500))),TEXT(INDEX('My equipment'!$M$4:$M$503,(_calc!$E$85-500)),"yyyy-mm-dd"),"")))</f>
        <v/>
      </c>
      <c r="C83" s="54">
        <f>IF(_calc!$E$85="","",IF(_calc!$E$85&lt;=500,"Warranty","Warranty"))</f>
        <v/>
      </c>
      <c r="D83" s="54">
        <f>IF(_calc!$E$85="","",IF(_calc!$E$85&lt;=500,IF(ISNUMBER(INDEX('Dealer pipeline'!$H$4:$H$503,_calc!$E$85)),TEXT(INDEX('Dealer pipeline'!$H$4:$H$503,_calc!$E$85),"yyyy-mm-dd"),""),IF(ISNUMBER(INDEX('My equipment'!$H$4:$H$503,(_calc!$E$85-500))),TEXT(INDEX('My equipment'!$H$4:$H$503,(_calc!$E$85-500)),"yyyy-mm-dd"),"")))</f>
        <v/>
      </c>
      <c r="F83" s="54">
        <f>IF(_calc!$E$85="","",IF(_calc!$E$85&lt;=500,TRIM(IF(LEN(IF(LEN(INDEX('Dealer pipeline'!$A$4:$A$503,_calc!$E$85))=0,"",INDEX('Dealer pipeline'!$A$4:$A$503,_calc!$E$85)))=0,"","Customer: "&amp;IF(LEN(INDEX('Dealer pipeline'!$A$4:$A$503,_calc!$E$85))=0,"",INDEX('Dealer pipeline'!$A$4:$A$503,_calc!$E$85))&amp;". ")&amp;IF(LEN(IF(LEN(INDEX('Dealer pipeline'!$B$4:$B$503,_calc!$E$85))=0,"",INDEX('Dealer pipeline'!$B$4:$B$503,_calc!$E$85)))=0,"","Contact: "&amp;IF(LEN(INDEX('Dealer pipeline'!$B$4:$B$503,_calc!$E$85))=0,"",INDEX('Dealer pipeline'!$B$4:$B$503,_calc!$E$85))&amp;". ")&amp;IF(LEN(IF(LEN(INDEX('Dealer pipeline'!$D$4:$D$503,_calc!$E$85))=0,"",INDEX('Dealer pipeline'!$D$4:$D$503,_calc!$E$85)))=0,"","Serial: "&amp;IF(LEN(INDEX('Dealer pipeline'!$D$4:$D$503,_calc!$E$85))=0,"",INDEX('Dealer pipeline'!$D$4:$D$503,_calc!$E$85))&amp;". ")&amp;IF(LEN(IF(ISNUMBER(INDEX('Dealer pipeline'!$J$4:$J$503,_calc!$E$85)),TEXT(INDEX('Dealer pipeline'!$J$4:$J$503,_calc!$E$85),"yyyy-mm-dd"),""))=0,"","Parts end: "&amp;IF(ISNUMBER(INDEX('Dealer pipeline'!$J$4:$J$503,_calc!$E$85)),TEXT(INDEX('Dealer pipeline'!$J$4:$J$503,_calc!$E$85),"yyyy-mm-dd"),"")&amp;". ")&amp;IF(LEN(IF(ISNUMBER(INDEX('Dealer pipeline'!$L$4:$L$503,_calc!$E$85)),TEXT(INDEX('Dealer pipeline'!$L$4:$L$503,_calc!$E$85),"yyyy-mm-dd"),""))=0,"","Labor end: "&amp;IF(ISNUMBER(INDEX('Dealer pipeline'!$L$4:$L$503,_calc!$E$85)),TEXT(INDEX('Dealer pipeline'!$L$4:$L$503,_calc!$E$85),"yyyy-mm-dd"),"")&amp;". ")&amp;IF(LEN(IF(LEN(INDEX('Dealer pipeline'!$Q$4:$Q$503,_calc!$E$85))=0,"",INDEX('Dealer pipeline'!$Q$4:$Q$503,_calc!$E$85)))=0,"","Status: "&amp;IF(LEN(INDEX('Dealer pipeline'!$Q$4:$Q$503,_calc!$E$85))=0,"",INDEX('Dealer pipeline'!$Q$4:$Q$503,_calc!$E$85))&amp;". ")&amp;IF(LEN(IF(LEN(INDEX('Dealer pipeline'!$P$4:$P$503,_calc!$E$85))=0,"",INDEX('Dealer pipeline'!$P$4:$P$503,_calc!$E$85)))=0,"","Last touch: "&amp;IF(LEN(INDEX('Dealer pipeline'!$P$4:$P$503,_calc!$E$85))=0,"",INDEX('Dealer pipeline'!$P$4:$P$503,_calc!$E$85))&amp;". ")&amp;IF(LEN(IF(LEN(INDEX('Dealer pipeline'!$R$4:$R$503,_calc!$E$85))=0,"",INDEX('Dealer pipeline'!$R$4:$R$503,_calc!$E$85)))=0,"","Owner: "&amp;IF(LEN(INDEX('Dealer pipeline'!$R$4:$R$503,_calc!$E$85))=0,"",INDEX('Dealer pipeline'!$R$4:$R$503,_calc!$E$85))&amp;". ")&amp;IF(LEN(IF(LEN(INDEX('Dealer pipeline'!$S$4:$S$503,_calc!$E$85))=0,"",INDEX('Dealer pipeline'!$S$4:$S$503,_calc!$E$85)))=0,"","Backup: "&amp;IF(LEN(INDEX('Dealer pipeline'!$S$4:$S$503,_calc!$E$85))=0,"",INDEX('Dealer pipeline'!$S$4:$S$503,_calc!$E$85))&amp;". ")&amp;IF(LEN(IF(LEN(INDEX('Dealer pipeline'!$T$4:$T$503,_calc!$E$85))=0,"",INDEX('Dealer pipeline'!$T$4:$T$503,_calc!$E$85)))=0,"",IF(LEN(INDEX('Dealer pipeline'!$T$4:$T$503,_calc!$E$85))=0,"",INDEX('Dealer pipeline'!$T$4:$T$503,_calc!$E$85)))),TRIM(IF(LEN(IF(LEN(INDEX('My equipment'!$C$4:$C$503,(_calc!$E$85-500)))=0,"",INDEX('My equipment'!$C$4:$C$503,(_calc!$E$85-500))))=0,"","Model: "&amp;IF(LEN(INDEX('My equipment'!$C$4:$C$503,(_calc!$E$85-500)))=0,"",INDEX('My equipment'!$C$4:$C$503,(_calc!$E$85-500)))&amp;". ")&amp;IF(LEN(IF(LEN(INDEX('My equipment'!$D$4:$D$503,(_calc!$E$85-500)))=0,"",INDEX('My equipment'!$D$4:$D$503,(_calc!$E$85-500))))=0,"","Serial: "&amp;IF(LEN(INDEX('My equipment'!$D$4:$D$503,(_calc!$E$85-500)))=0,"",INDEX('My equipment'!$D$4:$D$503,(_calc!$E$85-500)))&amp;". ")&amp;IF(LEN(IF(ISNUMBER(INDEX('My equipment'!$J$4:$J$503,(_calc!$E$85-500))),TEXT(INDEX('My equipment'!$J$4:$J$503,(_calc!$E$85-500)),"yyyy-mm-dd"),""))=0,"","Parts end: "&amp;IF(ISNUMBER(INDEX('My equipment'!$J$4:$J$503,(_calc!$E$85-500))),TEXT(INDEX('My equipment'!$J$4:$J$503,(_calc!$E$85-500)),"yyyy-mm-dd"),"")&amp;". ")&amp;IF(LEN(IF(ISNUMBER(INDEX('My equipment'!$L$4:$L$503,(_calc!$E$85-500))),TEXT(INDEX('My equipment'!$L$4:$L$503,(_calc!$E$85-500)),"yyyy-mm-dd"),""))=0,"","Labor end: "&amp;IF(ISNUMBER(INDEX('My equipment'!$L$4:$L$503,(_calc!$E$85-500))),TEXT(INDEX('My equipment'!$L$4:$L$503,(_calc!$E$85-500)),"yyyy-mm-dd"),"")&amp;". ")&amp;IF(LEN(IF(ISNUMBER(INDEX('My equipment'!$P$4:$P$503,(_calc!$E$85-500))),TEXT(INDEX('My equipment'!$P$4:$P$503,(_calc!$E$85-500)),"yyyy-mm-dd"),""))=0,"","Check by: "&amp;IF(ISNUMBER(INDEX('My equipment'!$P$4:$P$503,(_calc!$E$85-500))),TEXT(INDEX('My equipment'!$P$4:$P$503,(_calc!$E$85-500)),"yyyy-mm-dd"),"")&amp;". ")&amp;IF(LEN(IF(LEN(INDEX('My equipment'!$Q$4:$Q$503,(_calc!$E$85-500)))=0,"",INDEX('My equipment'!$Q$4:$Q$503,(_calc!$E$85-500))))=0,"","Claim status: "&amp;IF(LEN(INDEX('My equipment'!$Q$4:$Q$503,(_calc!$E$85-500)))=0,"",INDEX('My equipment'!$Q$4:$Q$503,(_calc!$E$85-500)))&amp;". ")&amp;IF(LEN(IF(LEN(INDEX('My equipment'!$R$4:$R$503,(_calc!$E$85-500)))=0,"",INDEX('My equipment'!$R$4:$R$503,(_calc!$E$85-500))))=0,"","Claims contact: "&amp;IF(LEN(INDEX('My equipment'!$R$4:$R$503,(_calc!$E$85-500)))=0,"",INDEX('My equipment'!$R$4:$R$503,(_calc!$E$85-500)))&amp;". ")&amp;IF(LEN(IF(LEN(INDEX('My equipment'!$S$4:$S$503,(_calc!$E$85-500)))=0,"",INDEX('My equipment'!$S$4:$S$503,(_calc!$E$85-500))))=0,"","Claims email: "&amp;IF(LEN(INDEX('My equipment'!$S$4:$S$503,(_calc!$E$85-500)))=0,"",INDEX('My equipment'!$S$4:$S$503,(_calc!$E$85-500)))&amp;". ")&amp;IF(LEN(IF(LEN(INDEX('My equipment'!$U$4:$U$503,(_calc!$E$85-500)))=0,"",INDEX('My equipment'!$U$4:$U$503,(_calc!$E$85-500))))=0,"","Registered: "&amp;IF(LEN(INDEX('My equipment'!$U$4:$U$503,(_calc!$E$85-500)))=0,"",INDEX('My equipment'!$U$4:$U$503,(_calc!$E$85-500)))&amp;". ")&amp;IF(LEN(IF(LEN(INDEX('My equipment'!$V$4:$V$503,(_calc!$E$85-500)))=0,"",INDEX('My equipment'!$V$4:$V$503,(_calc!$E$85-500))))=0,"","Proof on file: "&amp;IF(LEN(INDEX('My equipment'!$V$4:$V$503,(_calc!$E$85-500)))=0,"",INDEX('My equipment'!$V$4:$V$503,(_calc!$E$85-500)))&amp;". ")&amp;IF(LEN(IF(LEN(INDEX('My equipment'!$W$4:$W$503,(_calc!$E$85-500)))=0,"",INDEX('My equipment'!$W$4:$W$503,(_calc!$E$85-500))))=0,"","Claim ref: "&amp;IF(LEN(INDEX('My equipment'!$W$4:$W$503,(_calc!$E$85-500)))=0,"",INDEX('My equipment'!$W$4:$W$503,(_calc!$E$85-500)))&amp;". ")&amp;IF(LEN(IF(LEN(INDEX('My equipment'!$Y$4:$Y$503,(_calc!$E$85-500)))=0,"",INDEX('My equipment'!$Y$4:$Y$503,(_calc!$E$85-500))))=0,"",IF(LEN(INDEX('My equipment'!$Y$4:$Y$503,(_calc!$E$85-500)))=0,"",INDEX('My equipment'!$Y$4:$Y$503,(_calc!$E$85-500)))))))</f>
        <v/>
      </c>
      <c r="G83" s="54">
        <f>IF(_calc!$E$85="","",IF(_calc!$E$85&lt;=500,"",IF(LEN(INDEX('My equipment'!$X$4:$X$503,(_calc!$E$85-500)))=0,"",INDEX('My equipment'!$X$4:$X$503,(_calc!$E$85-500)))))</f>
        <v/>
      </c>
      <c r="K83" s="54">
        <f>IF(_calc!$E$85="","",IF(_calc!$E$85&lt;=500,"",IF(LEN(INDEX('My equipment'!$T$4:$T$503,(_calc!$E$85-500)))=0,"",INDEX('My equipment'!$T$4:$T$503,(_calc!$E$85-500)))))</f>
        <v/>
      </c>
    </row>
    <row r="84">
      <c r="A84" s="54">
        <f>IF(_calc!$E$86="","",IF(_calc!$E$86&lt;=500,"Warranty – "&amp;IF(LEN(INDEX('Dealer pipeline'!$C$4:$C$503,_calc!$E$86))=0,"",INDEX('Dealer pipeline'!$C$4:$C$503,_calc!$E$86))&amp;" – "&amp;IF(LEN(INDEX('Dealer pipeline'!$D$4:$D$503,_calc!$E$86))=0,"",INDEX('Dealer pipeline'!$D$4:$D$503,_calc!$E$86))&amp;" – "&amp;IF(LEN(INDEX('Dealer pipeline'!$A$4:$A$503,_calc!$E$86))=0,"",INDEX('Dealer pipeline'!$A$4:$A$503,_calc!$E$86)),"Warranty – "&amp;IF(LEN(INDEX('My equipment'!$A$4:$A$503,(_calc!$E$86-500)))=0,"",INDEX('My equipment'!$A$4:$A$503,(_calc!$E$86-500)))&amp;" – "&amp;IF(LEN(INDEX('My equipment'!$D$4:$D$503,(_calc!$E$86-500)))=0,"",INDEX('My equipment'!$D$4:$D$503,(_calc!$E$86-500)))))</f>
        <v/>
      </c>
      <c r="B84" s="54">
        <f>IF(_calc!$E$86="","",IF(_calc!$E$86&lt;=500,IF(ISNUMBER(INDEX('Dealer pipeline'!$M$4:$M$503,_calc!$E$86)),TEXT(INDEX('Dealer pipeline'!$M$4:$M$503,_calc!$E$86),"yyyy-mm-dd"),""),IF(ISNUMBER(INDEX('My equipment'!$M$4:$M$503,(_calc!$E$86-500))),TEXT(INDEX('My equipment'!$M$4:$M$503,(_calc!$E$86-500)),"yyyy-mm-dd"),"")))</f>
        <v/>
      </c>
      <c r="C84" s="54">
        <f>IF(_calc!$E$86="","",IF(_calc!$E$86&lt;=500,"Warranty","Warranty"))</f>
        <v/>
      </c>
      <c r="D84" s="54">
        <f>IF(_calc!$E$86="","",IF(_calc!$E$86&lt;=500,IF(ISNUMBER(INDEX('Dealer pipeline'!$H$4:$H$503,_calc!$E$86)),TEXT(INDEX('Dealer pipeline'!$H$4:$H$503,_calc!$E$86),"yyyy-mm-dd"),""),IF(ISNUMBER(INDEX('My equipment'!$H$4:$H$503,(_calc!$E$86-500))),TEXT(INDEX('My equipment'!$H$4:$H$503,(_calc!$E$86-500)),"yyyy-mm-dd"),"")))</f>
        <v/>
      </c>
      <c r="F84" s="54">
        <f>IF(_calc!$E$86="","",IF(_calc!$E$86&lt;=500,TRIM(IF(LEN(IF(LEN(INDEX('Dealer pipeline'!$A$4:$A$503,_calc!$E$86))=0,"",INDEX('Dealer pipeline'!$A$4:$A$503,_calc!$E$86)))=0,"","Customer: "&amp;IF(LEN(INDEX('Dealer pipeline'!$A$4:$A$503,_calc!$E$86))=0,"",INDEX('Dealer pipeline'!$A$4:$A$503,_calc!$E$86))&amp;". ")&amp;IF(LEN(IF(LEN(INDEX('Dealer pipeline'!$B$4:$B$503,_calc!$E$86))=0,"",INDEX('Dealer pipeline'!$B$4:$B$503,_calc!$E$86)))=0,"","Contact: "&amp;IF(LEN(INDEX('Dealer pipeline'!$B$4:$B$503,_calc!$E$86))=0,"",INDEX('Dealer pipeline'!$B$4:$B$503,_calc!$E$86))&amp;". ")&amp;IF(LEN(IF(LEN(INDEX('Dealer pipeline'!$D$4:$D$503,_calc!$E$86))=0,"",INDEX('Dealer pipeline'!$D$4:$D$503,_calc!$E$86)))=0,"","Serial: "&amp;IF(LEN(INDEX('Dealer pipeline'!$D$4:$D$503,_calc!$E$86))=0,"",INDEX('Dealer pipeline'!$D$4:$D$503,_calc!$E$86))&amp;". ")&amp;IF(LEN(IF(ISNUMBER(INDEX('Dealer pipeline'!$J$4:$J$503,_calc!$E$86)),TEXT(INDEX('Dealer pipeline'!$J$4:$J$503,_calc!$E$86),"yyyy-mm-dd"),""))=0,"","Parts end: "&amp;IF(ISNUMBER(INDEX('Dealer pipeline'!$J$4:$J$503,_calc!$E$86)),TEXT(INDEX('Dealer pipeline'!$J$4:$J$503,_calc!$E$86),"yyyy-mm-dd"),"")&amp;". ")&amp;IF(LEN(IF(ISNUMBER(INDEX('Dealer pipeline'!$L$4:$L$503,_calc!$E$86)),TEXT(INDEX('Dealer pipeline'!$L$4:$L$503,_calc!$E$86),"yyyy-mm-dd"),""))=0,"","Labor end: "&amp;IF(ISNUMBER(INDEX('Dealer pipeline'!$L$4:$L$503,_calc!$E$86)),TEXT(INDEX('Dealer pipeline'!$L$4:$L$503,_calc!$E$86),"yyyy-mm-dd"),"")&amp;". ")&amp;IF(LEN(IF(LEN(INDEX('Dealer pipeline'!$Q$4:$Q$503,_calc!$E$86))=0,"",INDEX('Dealer pipeline'!$Q$4:$Q$503,_calc!$E$86)))=0,"","Status: "&amp;IF(LEN(INDEX('Dealer pipeline'!$Q$4:$Q$503,_calc!$E$86))=0,"",INDEX('Dealer pipeline'!$Q$4:$Q$503,_calc!$E$86))&amp;". ")&amp;IF(LEN(IF(LEN(INDEX('Dealer pipeline'!$P$4:$P$503,_calc!$E$86))=0,"",INDEX('Dealer pipeline'!$P$4:$P$503,_calc!$E$86)))=0,"","Last touch: "&amp;IF(LEN(INDEX('Dealer pipeline'!$P$4:$P$503,_calc!$E$86))=0,"",INDEX('Dealer pipeline'!$P$4:$P$503,_calc!$E$86))&amp;". ")&amp;IF(LEN(IF(LEN(INDEX('Dealer pipeline'!$R$4:$R$503,_calc!$E$86))=0,"",INDEX('Dealer pipeline'!$R$4:$R$503,_calc!$E$86)))=0,"","Owner: "&amp;IF(LEN(INDEX('Dealer pipeline'!$R$4:$R$503,_calc!$E$86))=0,"",INDEX('Dealer pipeline'!$R$4:$R$503,_calc!$E$86))&amp;". ")&amp;IF(LEN(IF(LEN(INDEX('Dealer pipeline'!$S$4:$S$503,_calc!$E$86))=0,"",INDEX('Dealer pipeline'!$S$4:$S$503,_calc!$E$86)))=0,"","Backup: "&amp;IF(LEN(INDEX('Dealer pipeline'!$S$4:$S$503,_calc!$E$86))=0,"",INDEX('Dealer pipeline'!$S$4:$S$503,_calc!$E$86))&amp;". ")&amp;IF(LEN(IF(LEN(INDEX('Dealer pipeline'!$T$4:$T$503,_calc!$E$86))=0,"",INDEX('Dealer pipeline'!$T$4:$T$503,_calc!$E$86)))=0,"",IF(LEN(INDEX('Dealer pipeline'!$T$4:$T$503,_calc!$E$86))=0,"",INDEX('Dealer pipeline'!$T$4:$T$503,_calc!$E$86)))),TRIM(IF(LEN(IF(LEN(INDEX('My equipment'!$C$4:$C$503,(_calc!$E$86-500)))=0,"",INDEX('My equipment'!$C$4:$C$503,(_calc!$E$86-500))))=0,"","Model: "&amp;IF(LEN(INDEX('My equipment'!$C$4:$C$503,(_calc!$E$86-500)))=0,"",INDEX('My equipment'!$C$4:$C$503,(_calc!$E$86-500)))&amp;". ")&amp;IF(LEN(IF(LEN(INDEX('My equipment'!$D$4:$D$503,(_calc!$E$86-500)))=0,"",INDEX('My equipment'!$D$4:$D$503,(_calc!$E$86-500))))=0,"","Serial: "&amp;IF(LEN(INDEX('My equipment'!$D$4:$D$503,(_calc!$E$86-500)))=0,"",INDEX('My equipment'!$D$4:$D$503,(_calc!$E$86-500)))&amp;". ")&amp;IF(LEN(IF(ISNUMBER(INDEX('My equipment'!$J$4:$J$503,(_calc!$E$86-500))),TEXT(INDEX('My equipment'!$J$4:$J$503,(_calc!$E$86-500)),"yyyy-mm-dd"),""))=0,"","Parts end: "&amp;IF(ISNUMBER(INDEX('My equipment'!$J$4:$J$503,(_calc!$E$86-500))),TEXT(INDEX('My equipment'!$J$4:$J$503,(_calc!$E$86-500)),"yyyy-mm-dd"),"")&amp;". ")&amp;IF(LEN(IF(ISNUMBER(INDEX('My equipment'!$L$4:$L$503,(_calc!$E$86-500))),TEXT(INDEX('My equipment'!$L$4:$L$503,(_calc!$E$86-500)),"yyyy-mm-dd"),""))=0,"","Labor end: "&amp;IF(ISNUMBER(INDEX('My equipment'!$L$4:$L$503,(_calc!$E$86-500))),TEXT(INDEX('My equipment'!$L$4:$L$503,(_calc!$E$86-500)),"yyyy-mm-dd"),"")&amp;". ")&amp;IF(LEN(IF(ISNUMBER(INDEX('My equipment'!$P$4:$P$503,(_calc!$E$86-500))),TEXT(INDEX('My equipment'!$P$4:$P$503,(_calc!$E$86-500)),"yyyy-mm-dd"),""))=0,"","Check by: "&amp;IF(ISNUMBER(INDEX('My equipment'!$P$4:$P$503,(_calc!$E$86-500))),TEXT(INDEX('My equipment'!$P$4:$P$503,(_calc!$E$86-500)),"yyyy-mm-dd"),"")&amp;". ")&amp;IF(LEN(IF(LEN(INDEX('My equipment'!$Q$4:$Q$503,(_calc!$E$86-500)))=0,"",INDEX('My equipment'!$Q$4:$Q$503,(_calc!$E$86-500))))=0,"","Claim status: "&amp;IF(LEN(INDEX('My equipment'!$Q$4:$Q$503,(_calc!$E$86-500)))=0,"",INDEX('My equipment'!$Q$4:$Q$503,(_calc!$E$86-500)))&amp;". ")&amp;IF(LEN(IF(LEN(INDEX('My equipment'!$R$4:$R$503,(_calc!$E$86-500)))=0,"",INDEX('My equipment'!$R$4:$R$503,(_calc!$E$86-500))))=0,"","Claims contact: "&amp;IF(LEN(INDEX('My equipment'!$R$4:$R$503,(_calc!$E$86-500)))=0,"",INDEX('My equipment'!$R$4:$R$503,(_calc!$E$86-500)))&amp;". ")&amp;IF(LEN(IF(LEN(INDEX('My equipment'!$S$4:$S$503,(_calc!$E$86-500)))=0,"",INDEX('My equipment'!$S$4:$S$503,(_calc!$E$86-500))))=0,"","Claims email: "&amp;IF(LEN(INDEX('My equipment'!$S$4:$S$503,(_calc!$E$86-500)))=0,"",INDEX('My equipment'!$S$4:$S$503,(_calc!$E$86-500)))&amp;". ")&amp;IF(LEN(IF(LEN(INDEX('My equipment'!$U$4:$U$503,(_calc!$E$86-500)))=0,"",INDEX('My equipment'!$U$4:$U$503,(_calc!$E$86-500))))=0,"","Registered: "&amp;IF(LEN(INDEX('My equipment'!$U$4:$U$503,(_calc!$E$86-500)))=0,"",INDEX('My equipment'!$U$4:$U$503,(_calc!$E$86-500)))&amp;". ")&amp;IF(LEN(IF(LEN(INDEX('My equipment'!$V$4:$V$503,(_calc!$E$86-500)))=0,"",INDEX('My equipment'!$V$4:$V$503,(_calc!$E$86-500))))=0,"","Proof on file: "&amp;IF(LEN(INDEX('My equipment'!$V$4:$V$503,(_calc!$E$86-500)))=0,"",INDEX('My equipment'!$V$4:$V$503,(_calc!$E$86-500)))&amp;". ")&amp;IF(LEN(IF(LEN(INDEX('My equipment'!$W$4:$W$503,(_calc!$E$86-500)))=0,"",INDEX('My equipment'!$W$4:$W$503,(_calc!$E$86-500))))=0,"","Claim ref: "&amp;IF(LEN(INDEX('My equipment'!$W$4:$W$503,(_calc!$E$86-500)))=0,"",INDEX('My equipment'!$W$4:$W$503,(_calc!$E$86-500)))&amp;". ")&amp;IF(LEN(IF(LEN(INDEX('My equipment'!$Y$4:$Y$503,(_calc!$E$86-500)))=0,"",INDEX('My equipment'!$Y$4:$Y$503,(_calc!$E$86-500))))=0,"",IF(LEN(INDEX('My equipment'!$Y$4:$Y$503,(_calc!$E$86-500)))=0,"",INDEX('My equipment'!$Y$4:$Y$503,(_calc!$E$86-500)))))))</f>
        <v/>
      </c>
      <c r="G84" s="54">
        <f>IF(_calc!$E$86="","",IF(_calc!$E$86&lt;=500,"",IF(LEN(INDEX('My equipment'!$X$4:$X$503,(_calc!$E$86-500)))=0,"",INDEX('My equipment'!$X$4:$X$503,(_calc!$E$86-500)))))</f>
        <v/>
      </c>
      <c r="K84" s="54">
        <f>IF(_calc!$E$86="","",IF(_calc!$E$86&lt;=500,"",IF(LEN(INDEX('My equipment'!$T$4:$T$503,(_calc!$E$86-500)))=0,"",INDEX('My equipment'!$T$4:$T$503,(_calc!$E$86-500)))))</f>
        <v/>
      </c>
    </row>
    <row r="85">
      <c r="A85" s="54">
        <f>IF(_calc!$E$87="","",IF(_calc!$E$87&lt;=500,"Warranty – "&amp;IF(LEN(INDEX('Dealer pipeline'!$C$4:$C$503,_calc!$E$87))=0,"",INDEX('Dealer pipeline'!$C$4:$C$503,_calc!$E$87))&amp;" – "&amp;IF(LEN(INDEX('Dealer pipeline'!$D$4:$D$503,_calc!$E$87))=0,"",INDEX('Dealer pipeline'!$D$4:$D$503,_calc!$E$87))&amp;" – "&amp;IF(LEN(INDEX('Dealer pipeline'!$A$4:$A$503,_calc!$E$87))=0,"",INDEX('Dealer pipeline'!$A$4:$A$503,_calc!$E$87)),"Warranty – "&amp;IF(LEN(INDEX('My equipment'!$A$4:$A$503,(_calc!$E$87-500)))=0,"",INDEX('My equipment'!$A$4:$A$503,(_calc!$E$87-500)))&amp;" – "&amp;IF(LEN(INDEX('My equipment'!$D$4:$D$503,(_calc!$E$87-500)))=0,"",INDEX('My equipment'!$D$4:$D$503,(_calc!$E$87-500)))))</f>
        <v/>
      </c>
      <c r="B85" s="54">
        <f>IF(_calc!$E$87="","",IF(_calc!$E$87&lt;=500,IF(ISNUMBER(INDEX('Dealer pipeline'!$M$4:$M$503,_calc!$E$87)),TEXT(INDEX('Dealer pipeline'!$M$4:$M$503,_calc!$E$87),"yyyy-mm-dd"),""),IF(ISNUMBER(INDEX('My equipment'!$M$4:$M$503,(_calc!$E$87-500))),TEXT(INDEX('My equipment'!$M$4:$M$503,(_calc!$E$87-500)),"yyyy-mm-dd"),"")))</f>
        <v/>
      </c>
      <c r="C85" s="54">
        <f>IF(_calc!$E$87="","",IF(_calc!$E$87&lt;=500,"Warranty","Warranty"))</f>
        <v/>
      </c>
      <c r="D85" s="54">
        <f>IF(_calc!$E$87="","",IF(_calc!$E$87&lt;=500,IF(ISNUMBER(INDEX('Dealer pipeline'!$H$4:$H$503,_calc!$E$87)),TEXT(INDEX('Dealer pipeline'!$H$4:$H$503,_calc!$E$87),"yyyy-mm-dd"),""),IF(ISNUMBER(INDEX('My equipment'!$H$4:$H$503,(_calc!$E$87-500))),TEXT(INDEX('My equipment'!$H$4:$H$503,(_calc!$E$87-500)),"yyyy-mm-dd"),"")))</f>
        <v/>
      </c>
      <c r="F85" s="54">
        <f>IF(_calc!$E$87="","",IF(_calc!$E$87&lt;=500,TRIM(IF(LEN(IF(LEN(INDEX('Dealer pipeline'!$A$4:$A$503,_calc!$E$87))=0,"",INDEX('Dealer pipeline'!$A$4:$A$503,_calc!$E$87)))=0,"","Customer: "&amp;IF(LEN(INDEX('Dealer pipeline'!$A$4:$A$503,_calc!$E$87))=0,"",INDEX('Dealer pipeline'!$A$4:$A$503,_calc!$E$87))&amp;". ")&amp;IF(LEN(IF(LEN(INDEX('Dealer pipeline'!$B$4:$B$503,_calc!$E$87))=0,"",INDEX('Dealer pipeline'!$B$4:$B$503,_calc!$E$87)))=0,"","Contact: "&amp;IF(LEN(INDEX('Dealer pipeline'!$B$4:$B$503,_calc!$E$87))=0,"",INDEX('Dealer pipeline'!$B$4:$B$503,_calc!$E$87))&amp;". ")&amp;IF(LEN(IF(LEN(INDEX('Dealer pipeline'!$D$4:$D$503,_calc!$E$87))=0,"",INDEX('Dealer pipeline'!$D$4:$D$503,_calc!$E$87)))=0,"","Serial: "&amp;IF(LEN(INDEX('Dealer pipeline'!$D$4:$D$503,_calc!$E$87))=0,"",INDEX('Dealer pipeline'!$D$4:$D$503,_calc!$E$87))&amp;". ")&amp;IF(LEN(IF(ISNUMBER(INDEX('Dealer pipeline'!$J$4:$J$503,_calc!$E$87)),TEXT(INDEX('Dealer pipeline'!$J$4:$J$503,_calc!$E$87),"yyyy-mm-dd"),""))=0,"","Parts end: "&amp;IF(ISNUMBER(INDEX('Dealer pipeline'!$J$4:$J$503,_calc!$E$87)),TEXT(INDEX('Dealer pipeline'!$J$4:$J$503,_calc!$E$87),"yyyy-mm-dd"),"")&amp;". ")&amp;IF(LEN(IF(ISNUMBER(INDEX('Dealer pipeline'!$L$4:$L$503,_calc!$E$87)),TEXT(INDEX('Dealer pipeline'!$L$4:$L$503,_calc!$E$87),"yyyy-mm-dd"),""))=0,"","Labor end: "&amp;IF(ISNUMBER(INDEX('Dealer pipeline'!$L$4:$L$503,_calc!$E$87)),TEXT(INDEX('Dealer pipeline'!$L$4:$L$503,_calc!$E$87),"yyyy-mm-dd"),"")&amp;". ")&amp;IF(LEN(IF(LEN(INDEX('Dealer pipeline'!$Q$4:$Q$503,_calc!$E$87))=0,"",INDEX('Dealer pipeline'!$Q$4:$Q$503,_calc!$E$87)))=0,"","Status: "&amp;IF(LEN(INDEX('Dealer pipeline'!$Q$4:$Q$503,_calc!$E$87))=0,"",INDEX('Dealer pipeline'!$Q$4:$Q$503,_calc!$E$87))&amp;". ")&amp;IF(LEN(IF(LEN(INDEX('Dealer pipeline'!$P$4:$P$503,_calc!$E$87))=0,"",INDEX('Dealer pipeline'!$P$4:$P$503,_calc!$E$87)))=0,"","Last touch: "&amp;IF(LEN(INDEX('Dealer pipeline'!$P$4:$P$503,_calc!$E$87))=0,"",INDEX('Dealer pipeline'!$P$4:$P$503,_calc!$E$87))&amp;". ")&amp;IF(LEN(IF(LEN(INDEX('Dealer pipeline'!$R$4:$R$503,_calc!$E$87))=0,"",INDEX('Dealer pipeline'!$R$4:$R$503,_calc!$E$87)))=0,"","Owner: "&amp;IF(LEN(INDEX('Dealer pipeline'!$R$4:$R$503,_calc!$E$87))=0,"",INDEX('Dealer pipeline'!$R$4:$R$503,_calc!$E$87))&amp;". ")&amp;IF(LEN(IF(LEN(INDEX('Dealer pipeline'!$S$4:$S$503,_calc!$E$87))=0,"",INDEX('Dealer pipeline'!$S$4:$S$503,_calc!$E$87)))=0,"","Backup: "&amp;IF(LEN(INDEX('Dealer pipeline'!$S$4:$S$503,_calc!$E$87))=0,"",INDEX('Dealer pipeline'!$S$4:$S$503,_calc!$E$87))&amp;". ")&amp;IF(LEN(IF(LEN(INDEX('Dealer pipeline'!$T$4:$T$503,_calc!$E$87))=0,"",INDEX('Dealer pipeline'!$T$4:$T$503,_calc!$E$87)))=0,"",IF(LEN(INDEX('Dealer pipeline'!$T$4:$T$503,_calc!$E$87))=0,"",INDEX('Dealer pipeline'!$T$4:$T$503,_calc!$E$87)))),TRIM(IF(LEN(IF(LEN(INDEX('My equipment'!$C$4:$C$503,(_calc!$E$87-500)))=0,"",INDEX('My equipment'!$C$4:$C$503,(_calc!$E$87-500))))=0,"","Model: "&amp;IF(LEN(INDEX('My equipment'!$C$4:$C$503,(_calc!$E$87-500)))=0,"",INDEX('My equipment'!$C$4:$C$503,(_calc!$E$87-500)))&amp;". ")&amp;IF(LEN(IF(LEN(INDEX('My equipment'!$D$4:$D$503,(_calc!$E$87-500)))=0,"",INDEX('My equipment'!$D$4:$D$503,(_calc!$E$87-500))))=0,"","Serial: "&amp;IF(LEN(INDEX('My equipment'!$D$4:$D$503,(_calc!$E$87-500)))=0,"",INDEX('My equipment'!$D$4:$D$503,(_calc!$E$87-500)))&amp;". ")&amp;IF(LEN(IF(ISNUMBER(INDEX('My equipment'!$J$4:$J$503,(_calc!$E$87-500))),TEXT(INDEX('My equipment'!$J$4:$J$503,(_calc!$E$87-500)),"yyyy-mm-dd"),""))=0,"","Parts end: "&amp;IF(ISNUMBER(INDEX('My equipment'!$J$4:$J$503,(_calc!$E$87-500))),TEXT(INDEX('My equipment'!$J$4:$J$503,(_calc!$E$87-500)),"yyyy-mm-dd"),"")&amp;". ")&amp;IF(LEN(IF(ISNUMBER(INDEX('My equipment'!$L$4:$L$503,(_calc!$E$87-500))),TEXT(INDEX('My equipment'!$L$4:$L$503,(_calc!$E$87-500)),"yyyy-mm-dd"),""))=0,"","Labor end: "&amp;IF(ISNUMBER(INDEX('My equipment'!$L$4:$L$503,(_calc!$E$87-500))),TEXT(INDEX('My equipment'!$L$4:$L$503,(_calc!$E$87-500)),"yyyy-mm-dd"),"")&amp;". ")&amp;IF(LEN(IF(ISNUMBER(INDEX('My equipment'!$P$4:$P$503,(_calc!$E$87-500))),TEXT(INDEX('My equipment'!$P$4:$P$503,(_calc!$E$87-500)),"yyyy-mm-dd"),""))=0,"","Check by: "&amp;IF(ISNUMBER(INDEX('My equipment'!$P$4:$P$503,(_calc!$E$87-500))),TEXT(INDEX('My equipment'!$P$4:$P$503,(_calc!$E$87-500)),"yyyy-mm-dd"),"")&amp;". ")&amp;IF(LEN(IF(LEN(INDEX('My equipment'!$Q$4:$Q$503,(_calc!$E$87-500)))=0,"",INDEX('My equipment'!$Q$4:$Q$503,(_calc!$E$87-500))))=0,"","Claim status: "&amp;IF(LEN(INDEX('My equipment'!$Q$4:$Q$503,(_calc!$E$87-500)))=0,"",INDEX('My equipment'!$Q$4:$Q$503,(_calc!$E$87-500)))&amp;". ")&amp;IF(LEN(IF(LEN(INDEX('My equipment'!$R$4:$R$503,(_calc!$E$87-500)))=0,"",INDEX('My equipment'!$R$4:$R$503,(_calc!$E$87-500))))=0,"","Claims contact: "&amp;IF(LEN(INDEX('My equipment'!$R$4:$R$503,(_calc!$E$87-500)))=0,"",INDEX('My equipment'!$R$4:$R$503,(_calc!$E$87-500)))&amp;". ")&amp;IF(LEN(IF(LEN(INDEX('My equipment'!$S$4:$S$503,(_calc!$E$87-500)))=0,"",INDEX('My equipment'!$S$4:$S$503,(_calc!$E$87-500))))=0,"","Claims email: "&amp;IF(LEN(INDEX('My equipment'!$S$4:$S$503,(_calc!$E$87-500)))=0,"",INDEX('My equipment'!$S$4:$S$503,(_calc!$E$87-500)))&amp;". ")&amp;IF(LEN(IF(LEN(INDEX('My equipment'!$U$4:$U$503,(_calc!$E$87-500)))=0,"",INDEX('My equipment'!$U$4:$U$503,(_calc!$E$87-500))))=0,"","Registered: "&amp;IF(LEN(INDEX('My equipment'!$U$4:$U$503,(_calc!$E$87-500)))=0,"",INDEX('My equipment'!$U$4:$U$503,(_calc!$E$87-500)))&amp;". ")&amp;IF(LEN(IF(LEN(INDEX('My equipment'!$V$4:$V$503,(_calc!$E$87-500)))=0,"",INDEX('My equipment'!$V$4:$V$503,(_calc!$E$87-500))))=0,"","Proof on file: "&amp;IF(LEN(INDEX('My equipment'!$V$4:$V$503,(_calc!$E$87-500)))=0,"",INDEX('My equipment'!$V$4:$V$503,(_calc!$E$87-500)))&amp;". ")&amp;IF(LEN(IF(LEN(INDEX('My equipment'!$W$4:$W$503,(_calc!$E$87-500)))=0,"",INDEX('My equipment'!$W$4:$W$503,(_calc!$E$87-500))))=0,"","Claim ref: "&amp;IF(LEN(INDEX('My equipment'!$W$4:$W$503,(_calc!$E$87-500)))=0,"",INDEX('My equipment'!$W$4:$W$503,(_calc!$E$87-500)))&amp;". ")&amp;IF(LEN(IF(LEN(INDEX('My equipment'!$Y$4:$Y$503,(_calc!$E$87-500)))=0,"",INDEX('My equipment'!$Y$4:$Y$503,(_calc!$E$87-500))))=0,"",IF(LEN(INDEX('My equipment'!$Y$4:$Y$503,(_calc!$E$87-500)))=0,"",INDEX('My equipment'!$Y$4:$Y$503,(_calc!$E$87-500)))))))</f>
        <v/>
      </c>
      <c r="G85" s="54">
        <f>IF(_calc!$E$87="","",IF(_calc!$E$87&lt;=500,"",IF(LEN(INDEX('My equipment'!$X$4:$X$503,(_calc!$E$87-500)))=0,"",INDEX('My equipment'!$X$4:$X$503,(_calc!$E$87-500)))))</f>
        <v/>
      </c>
      <c r="K85" s="54">
        <f>IF(_calc!$E$87="","",IF(_calc!$E$87&lt;=500,"",IF(LEN(INDEX('My equipment'!$T$4:$T$503,(_calc!$E$87-500)))=0,"",INDEX('My equipment'!$T$4:$T$503,(_calc!$E$87-500)))))</f>
        <v/>
      </c>
    </row>
    <row r="86">
      <c r="A86" s="54">
        <f>IF(_calc!$E$88="","",IF(_calc!$E$88&lt;=500,"Warranty – "&amp;IF(LEN(INDEX('Dealer pipeline'!$C$4:$C$503,_calc!$E$88))=0,"",INDEX('Dealer pipeline'!$C$4:$C$503,_calc!$E$88))&amp;" – "&amp;IF(LEN(INDEX('Dealer pipeline'!$D$4:$D$503,_calc!$E$88))=0,"",INDEX('Dealer pipeline'!$D$4:$D$503,_calc!$E$88))&amp;" – "&amp;IF(LEN(INDEX('Dealer pipeline'!$A$4:$A$503,_calc!$E$88))=0,"",INDEX('Dealer pipeline'!$A$4:$A$503,_calc!$E$88)),"Warranty – "&amp;IF(LEN(INDEX('My equipment'!$A$4:$A$503,(_calc!$E$88-500)))=0,"",INDEX('My equipment'!$A$4:$A$503,(_calc!$E$88-500)))&amp;" – "&amp;IF(LEN(INDEX('My equipment'!$D$4:$D$503,(_calc!$E$88-500)))=0,"",INDEX('My equipment'!$D$4:$D$503,(_calc!$E$88-500)))))</f>
        <v/>
      </c>
      <c r="B86" s="54">
        <f>IF(_calc!$E$88="","",IF(_calc!$E$88&lt;=500,IF(ISNUMBER(INDEX('Dealer pipeline'!$M$4:$M$503,_calc!$E$88)),TEXT(INDEX('Dealer pipeline'!$M$4:$M$503,_calc!$E$88),"yyyy-mm-dd"),""),IF(ISNUMBER(INDEX('My equipment'!$M$4:$M$503,(_calc!$E$88-500))),TEXT(INDEX('My equipment'!$M$4:$M$503,(_calc!$E$88-500)),"yyyy-mm-dd"),"")))</f>
        <v/>
      </c>
      <c r="C86" s="54">
        <f>IF(_calc!$E$88="","",IF(_calc!$E$88&lt;=500,"Warranty","Warranty"))</f>
        <v/>
      </c>
      <c r="D86" s="54">
        <f>IF(_calc!$E$88="","",IF(_calc!$E$88&lt;=500,IF(ISNUMBER(INDEX('Dealer pipeline'!$H$4:$H$503,_calc!$E$88)),TEXT(INDEX('Dealer pipeline'!$H$4:$H$503,_calc!$E$88),"yyyy-mm-dd"),""),IF(ISNUMBER(INDEX('My equipment'!$H$4:$H$503,(_calc!$E$88-500))),TEXT(INDEX('My equipment'!$H$4:$H$503,(_calc!$E$88-500)),"yyyy-mm-dd"),"")))</f>
        <v/>
      </c>
      <c r="F86" s="54">
        <f>IF(_calc!$E$88="","",IF(_calc!$E$88&lt;=500,TRIM(IF(LEN(IF(LEN(INDEX('Dealer pipeline'!$A$4:$A$503,_calc!$E$88))=0,"",INDEX('Dealer pipeline'!$A$4:$A$503,_calc!$E$88)))=0,"","Customer: "&amp;IF(LEN(INDEX('Dealer pipeline'!$A$4:$A$503,_calc!$E$88))=0,"",INDEX('Dealer pipeline'!$A$4:$A$503,_calc!$E$88))&amp;". ")&amp;IF(LEN(IF(LEN(INDEX('Dealer pipeline'!$B$4:$B$503,_calc!$E$88))=0,"",INDEX('Dealer pipeline'!$B$4:$B$503,_calc!$E$88)))=0,"","Contact: "&amp;IF(LEN(INDEX('Dealer pipeline'!$B$4:$B$503,_calc!$E$88))=0,"",INDEX('Dealer pipeline'!$B$4:$B$503,_calc!$E$88))&amp;". ")&amp;IF(LEN(IF(LEN(INDEX('Dealer pipeline'!$D$4:$D$503,_calc!$E$88))=0,"",INDEX('Dealer pipeline'!$D$4:$D$503,_calc!$E$88)))=0,"","Serial: "&amp;IF(LEN(INDEX('Dealer pipeline'!$D$4:$D$503,_calc!$E$88))=0,"",INDEX('Dealer pipeline'!$D$4:$D$503,_calc!$E$88))&amp;". ")&amp;IF(LEN(IF(ISNUMBER(INDEX('Dealer pipeline'!$J$4:$J$503,_calc!$E$88)),TEXT(INDEX('Dealer pipeline'!$J$4:$J$503,_calc!$E$88),"yyyy-mm-dd"),""))=0,"","Parts end: "&amp;IF(ISNUMBER(INDEX('Dealer pipeline'!$J$4:$J$503,_calc!$E$88)),TEXT(INDEX('Dealer pipeline'!$J$4:$J$503,_calc!$E$88),"yyyy-mm-dd"),"")&amp;". ")&amp;IF(LEN(IF(ISNUMBER(INDEX('Dealer pipeline'!$L$4:$L$503,_calc!$E$88)),TEXT(INDEX('Dealer pipeline'!$L$4:$L$503,_calc!$E$88),"yyyy-mm-dd"),""))=0,"","Labor end: "&amp;IF(ISNUMBER(INDEX('Dealer pipeline'!$L$4:$L$503,_calc!$E$88)),TEXT(INDEX('Dealer pipeline'!$L$4:$L$503,_calc!$E$88),"yyyy-mm-dd"),"")&amp;". ")&amp;IF(LEN(IF(LEN(INDEX('Dealer pipeline'!$Q$4:$Q$503,_calc!$E$88))=0,"",INDEX('Dealer pipeline'!$Q$4:$Q$503,_calc!$E$88)))=0,"","Status: "&amp;IF(LEN(INDEX('Dealer pipeline'!$Q$4:$Q$503,_calc!$E$88))=0,"",INDEX('Dealer pipeline'!$Q$4:$Q$503,_calc!$E$88))&amp;". ")&amp;IF(LEN(IF(LEN(INDEX('Dealer pipeline'!$P$4:$P$503,_calc!$E$88))=0,"",INDEX('Dealer pipeline'!$P$4:$P$503,_calc!$E$88)))=0,"","Last touch: "&amp;IF(LEN(INDEX('Dealer pipeline'!$P$4:$P$503,_calc!$E$88))=0,"",INDEX('Dealer pipeline'!$P$4:$P$503,_calc!$E$88))&amp;". ")&amp;IF(LEN(IF(LEN(INDEX('Dealer pipeline'!$R$4:$R$503,_calc!$E$88))=0,"",INDEX('Dealer pipeline'!$R$4:$R$503,_calc!$E$88)))=0,"","Owner: "&amp;IF(LEN(INDEX('Dealer pipeline'!$R$4:$R$503,_calc!$E$88))=0,"",INDEX('Dealer pipeline'!$R$4:$R$503,_calc!$E$88))&amp;". ")&amp;IF(LEN(IF(LEN(INDEX('Dealer pipeline'!$S$4:$S$503,_calc!$E$88))=0,"",INDEX('Dealer pipeline'!$S$4:$S$503,_calc!$E$88)))=0,"","Backup: "&amp;IF(LEN(INDEX('Dealer pipeline'!$S$4:$S$503,_calc!$E$88))=0,"",INDEX('Dealer pipeline'!$S$4:$S$503,_calc!$E$88))&amp;". ")&amp;IF(LEN(IF(LEN(INDEX('Dealer pipeline'!$T$4:$T$503,_calc!$E$88))=0,"",INDEX('Dealer pipeline'!$T$4:$T$503,_calc!$E$88)))=0,"",IF(LEN(INDEX('Dealer pipeline'!$T$4:$T$503,_calc!$E$88))=0,"",INDEX('Dealer pipeline'!$T$4:$T$503,_calc!$E$88)))),TRIM(IF(LEN(IF(LEN(INDEX('My equipment'!$C$4:$C$503,(_calc!$E$88-500)))=0,"",INDEX('My equipment'!$C$4:$C$503,(_calc!$E$88-500))))=0,"","Model: "&amp;IF(LEN(INDEX('My equipment'!$C$4:$C$503,(_calc!$E$88-500)))=0,"",INDEX('My equipment'!$C$4:$C$503,(_calc!$E$88-500)))&amp;". ")&amp;IF(LEN(IF(LEN(INDEX('My equipment'!$D$4:$D$503,(_calc!$E$88-500)))=0,"",INDEX('My equipment'!$D$4:$D$503,(_calc!$E$88-500))))=0,"","Serial: "&amp;IF(LEN(INDEX('My equipment'!$D$4:$D$503,(_calc!$E$88-500)))=0,"",INDEX('My equipment'!$D$4:$D$503,(_calc!$E$88-500)))&amp;". ")&amp;IF(LEN(IF(ISNUMBER(INDEX('My equipment'!$J$4:$J$503,(_calc!$E$88-500))),TEXT(INDEX('My equipment'!$J$4:$J$503,(_calc!$E$88-500)),"yyyy-mm-dd"),""))=0,"","Parts end: "&amp;IF(ISNUMBER(INDEX('My equipment'!$J$4:$J$503,(_calc!$E$88-500))),TEXT(INDEX('My equipment'!$J$4:$J$503,(_calc!$E$88-500)),"yyyy-mm-dd"),"")&amp;". ")&amp;IF(LEN(IF(ISNUMBER(INDEX('My equipment'!$L$4:$L$503,(_calc!$E$88-500))),TEXT(INDEX('My equipment'!$L$4:$L$503,(_calc!$E$88-500)),"yyyy-mm-dd"),""))=0,"","Labor end: "&amp;IF(ISNUMBER(INDEX('My equipment'!$L$4:$L$503,(_calc!$E$88-500))),TEXT(INDEX('My equipment'!$L$4:$L$503,(_calc!$E$88-500)),"yyyy-mm-dd"),"")&amp;". ")&amp;IF(LEN(IF(ISNUMBER(INDEX('My equipment'!$P$4:$P$503,(_calc!$E$88-500))),TEXT(INDEX('My equipment'!$P$4:$P$503,(_calc!$E$88-500)),"yyyy-mm-dd"),""))=0,"","Check by: "&amp;IF(ISNUMBER(INDEX('My equipment'!$P$4:$P$503,(_calc!$E$88-500))),TEXT(INDEX('My equipment'!$P$4:$P$503,(_calc!$E$88-500)),"yyyy-mm-dd"),"")&amp;". ")&amp;IF(LEN(IF(LEN(INDEX('My equipment'!$Q$4:$Q$503,(_calc!$E$88-500)))=0,"",INDEX('My equipment'!$Q$4:$Q$503,(_calc!$E$88-500))))=0,"","Claim status: "&amp;IF(LEN(INDEX('My equipment'!$Q$4:$Q$503,(_calc!$E$88-500)))=0,"",INDEX('My equipment'!$Q$4:$Q$503,(_calc!$E$88-500)))&amp;". ")&amp;IF(LEN(IF(LEN(INDEX('My equipment'!$R$4:$R$503,(_calc!$E$88-500)))=0,"",INDEX('My equipment'!$R$4:$R$503,(_calc!$E$88-500))))=0,"","Claims contact: "&amp;IF(LEN(INDEX('My equipment'!$R$4:$R$503,(_calc!$E$88-500)))=0,"",INDEX('My equipment'!$R$4:$R$503,(_calc!$E$88-500)))&amp;". ")&amp;IF(LEN(IF(LEN(INDEX('My equipment'!$S$4:$S$503,(_calc!$E$88-500)))=0,"",INDEX('My equipment'!$S$4:$S$503,(_calc!$E$88-500))))=0,"","Claims email: "&amp;IF(LEN(INDEX('My equipment'!$S$4:$S$503,(_calc!$E$88-500)))=0,"",INDEX('My equipment'!$S$4:$S$503,(_calc!$E$88-500)))&amp;". ")&amp;IF(LEN(IF(LEN(INDEX('My equipment'!$U$4:$U$503,(_calc!$E$88-500)))=0,"",INDEX('My equipment'!$U$4:$U$503,(_calc!$E$88-500))))=0,"","Registered: "&amp;IF(LEN(INDEX('My equipment'!$U$4:$U$503,(_calc!$E$88-500)))=0,"",INDEX('My equipment'!$U$4:$U$503,(_calc!$E$88-500)))&amp;". ")&amp;IF(LEN(IF(LEN(INDEX('My equipment'!$V$4:$V$503,(_calc!$E$88-500)))=0,"",INDEX('My equipment'!$V$4:$V$503,(_calc!$E$88-500))))=0,"","Proof on file: "&amp;IF(LEN(INDEX('My equipment'!$V$4:$V$503,(_calc!$E$88-500)))=0,"",INDEX('My equipment'!$V$4:$V$503,(_calc!$E$88-500)))&amp;". ")&amp;IF(LEN(IF(LEN(INDEX('My equipment'!$W$4:$W$503,(_calc!$E$88-500)))=0,"",INDEX('My equipment'!$W$4:$W$503,(_calc!$E$88-500))))=0,"","Claim ref: "&amp;IF(LEN(INDEX('My equipment'!$W$4:$W$503,(_calc!$E$88-500)))=0,"",INDEX('My equipment'!$W$4:$W$503,(_calc!$E$88-500)))&amp;". ")&amp;IF(LEN(IF(LEN(INDEX('My equipment'!$Y$4:$Y$503,(_calc!$E$88-500)))=0,"",INDEX('My equipment'!$Y$4:$Y$503,(_calc!$E$88-500))))=0,"",IF(LEN(INDEX('My equipment'!$Y$4:$Y$503,(_calc!$E$88-500)))=0,"",INDEX('My equipment'!$Y$4:$Y$503,(_calc!$E$88-500)))))))</f>
        <v/>
      </c>
      <c r="G86" s="54">
        <f>IF(_calc!$E$88="","",IF(_calc!$E$88&lt;=500,"",IF(LEN(INDEX('My equipment'!$X$4:$X$503,(_calc!$E$88-500)))=0,"",INDEX('My equipment'!$X$4:$X$503,(_calc!$E$88-500)))))</f>
        <v/>
      </c>
      <c r="K86" s="54">
        <f>IF(_calc!$E$88="","",IF(_calc!$E$88&lt;=500,"",IF(LEN(INDEX('My equipment'!$T$4:$T$503,(_calc!$E$88-500)))=0,"",INDEX('My equipment'!$T$4:$T$503,(_calc!$E$88-500)))))</f>
        <v/>
      </c>
    </row>
    <row r="87">
      <c r="A87" s="54">
        <f>IF(_calc!$E$89="","",IF(_calc!$E$89&lt;=500,"Warranty – "&amp;IF(LEN(INDEX('Dealer pipeline'!$C$4:$C$503,_calc!$E$89))=0,"",INDEX('Dealer pipeline'!$C$4:$C$503,_calc!$E$89))&amp;" – "&amp;IF(LEN(INDEX('Dealer pipeline'!$D$4:$D$503,_calc!$E$89))=0,"",INDEX('Dealer pipeline'!$D$4:$D$503,_calc!$E$89))&amp;" – "&amp;IF(LEN(INDEX('Dealer pipeline'!$A$4:$A$503,_calc!$E$89))=0,"",INDEX('Dealer pipeline'!$A$4:$A$503,_calc!$E$89)),"Warranty – "&amp;IF(LEN(INDEX('My equipment'!$A$4:$A$503,(_calc!$E$89-500)))=0,"",INDEX('My equipment'!$A$4:$A$503,(_calc!$E$89-500)))&amp;" – "&amp;IF(LEN(INDEX('My equipment'!$D$4:$D$503,(_calc!$E$89-500)))=0,"",INDEX('My equipment'!$D$4:$D$503,(_calc!$E$89-500)))))</f>
        <v/>
      </c>
      <c r="B87" s="54">
        <f>IF(_calc!$E$89="","",IF(_calc!$E$89&lt;=500,IF(ISNUMBER(INDEX('Dealer pipeline'!$M$4:$M$503,_calc!$E$89)),TEXT(INDEX('Dealer pipeline'!$M$4:$M$503,_calc!$E$89),"yyyy-mm-dd"),""),IF(ISNUMBER(INDEX('My equipment'!$M$4:$M$503,(_calc!$E$89-500))),TEXT(INDEX('My equipment'!$M$4:$M$503,(_calc!$E$89-500)),"yyyy-mm-dd"),"")))</f>
        <v/>
      </c>
      <c r="C87" s="54">
        <f>IF(_calc!$E$89="","",IF(_calc!$E$89&lt;=500,"Warranty","Warranty"))</f>
        <v/>
      </c>
      <c r="D87" s="54">
        <f>IF(_calc!$E$89="","",IF(_calc!$E$89&lt;=500,IF(ISNUMBER(INDEX('Dealer pipeline'!$H$4:$H$503,_calc!$E$89)),TEXT(INDEX('Dealer pipeline'!$H$4:$H$503,_calc!$E$89),"yyyy-mm-dd"),""),IF(ISNUMBER(INDEX('My equipment'!$H$4:$H$503,(_calc!$E$89-500))),TEXT(INDEX('My equipment'!$H$4:$H$503,(_calc!$E$89-500)),"yyyy-mm-dd"),"")))</f>
        <v/>
      </c>
      <c r="F87" s="54">
        <f>IF(_calc!$E$89="","",IF(_calc!$E$89&lt;=500,TRIM(IF(LEN(IF(LEN(INDEX('Dealer pipeline'!$A$4:$A$503,_calc!$E$89))=0,"",INDEX('Dealer pipeline'!$A$4:$A$503,_calc!$E$89)))=0,"","Customer: "&amp;IF(LEN(INDEX('Dealer pipeline'!$A$4:$A$503,_calc!$E$89))=0,"",INDEX('Dealer pipeline'!$A$4:$A$503,_calc!$E$89))&amp;". ")&amp;IF(LEN(IF(LEN(INDEX('Dealer pipeline'!$B$4:$B$503,_calc!$E$89))=0,"",INDEX('Dealer pipeline'!$B$4:$B$503,_calc!$E$89)))=0,"","Contact: "&amp;IF(LEN(INDEX('Dealer pipeline'!$B$4:$B$503,_calc!$E$89))=0,"",INDEX('Dealer pipeline'!$B$4:$B$503,_calc!$E$89))&amp;". ")&amp;IF(LEN(IF(LEN(INDEX('Dealer pipeline'!$D$4:$D$503,_calc!$E$89))=0,"",INDEX('Dealer pipeline'!$D$4:$D$503,_calc!$E$89)))=0,"","Serial: "&amp;IF(LEN(INDEX('Dealer pipeline'!$D$4:$D$503,_calc!$E$89))=0,"",INDEX('Dealer pipeline'!$D$4:$D$503,_calc!$E$89))&amp;". ")&amp;IF(LEN(IF(ISNUMBER(INDEX('Dealer pipeline'!$J$4:$J$503,_calc!$E$89)),TEXT(INDEX('Dealer pipeline'!$J$4:$J$503,_calc!$E$89),"yyyy-mm-dd"),""))=0,"","Parts end: "&amp;IF(ISNUMBER(INDEX('Dealer pipeline'!$J$4:$J$503,_calc!$E$89)),TEXT(INDEX('Dealer pipeline'!$J$4:$J$503,_calc!$E$89),"yyyy-mm-dd"),"")&amp;". ")&amp;IF(LEN(IF(ISNUMBER(INDEX('Dealer pipeline'!$L$4:$L$503,_calc!$E$89)),TEXT(INDEX('Dealer pipeline'!$L$4:$L$503,_calc!$E$89),"yyyy-mm-dd"),""))=0,"","Labor end: "&amp;IF(ISNUMBER(INDEX('Dealer pipeline'!$L$4:$L$503,_calc!$E$89)),TEXT(INDEX('Dealer pipeline'!$L$4:$L$503,_calc!$E$89),"yyyy-mm-dd"),"")&amp;". ")&amp;IF(LEN(IF(LEN(INDEX('Dealer pipeline'!$Q$4:$Q$503,_calc!$E$89))=0,"",INDEX('Dealer pipeline'!$Q$4:$Q$503,_calc!$E$89)))=0,"","Status: "&amp;IF(LEN(INDEX('Dealer pipeline'!$Q$4:$Q$503,_calc!$E$89))=0,"",INDEX('Dealer pipeline'!$Q$4:$Q$503,_calc!$E$89))&amp;". ")&amp;IF(LEN(IF(LEN(INDEX('Dealer pipeline'!$P$4:$P$503,_calc!$E$89))=0,"",INDEX('Dealer pipeline'!$P$4:$P$503,_calc!$E$89)))=0,"","Last touch: "&amp;IF(LEN(INDEX('Dealer pipeline'!$P$4:$P$503,_calc!$E$89))=0,"",INDEX('Dealer pipeline'!$P$4:$P$503,_calc!$E$89))&amp;". ")&amp;IF(LEN(IF(LEN(INDEX('Dealer pipeline'!$R$4:$R$503,_calc!$E$89))=0,"",INDEX('Dealer pipeline'!$R$4:$R$503,_calc!$E$89)))=0,"","Owner: "&amp;IF(LEN(INDEX('Dealer pipeline'!$R$4:$R$503,_calc!$E$89))=0,"",INDEX('Dealer pipeline'!$R$4:$R$503,_calc!$E$89))&amp;". ")&amp;IF(LEN(IF(LEN(INDEX('Dealer pipeline'!$S$4:$S$503,_calc!$E$89))=0,"",INDEX('Dealer pipeline'!$S$4:$S$503,_calc!$E$89)))=0,"","Backup: "&amp;IF(LEN(INDEX('Dealer pipeline'!$S$4:$S$503,_calc!$E$89))=0,"",INDEX('Dealer pipeline'!$S$4:$S$503,_calc!$E$89))&amp;". ")&amp;IF(LEN(IF(LEN(INDEX('Dealer pipeline'!$T$4:$T$503,_calc!$E$89))=0,"",INDEX('Dealer pipeline'!$T$4:$T$503,_calc!$E$89)))=0,"",IF(LEN(INDEX('Dealer pipeline'!$T$4:$T$503,_calc!$E$89))=0,"",INDEX('Dealer pipeline'!$T$4:$T$503,_calc!$E$89)))),TRIM(IF(LEN(IF(LEN(INDEX('My equipment'!$C$4:$C$503,(_calc!$E$89-500)))=0,"",INDEX('My equipment'!$C$4:$C$503,(_calc!$E$89-500))))=0,"","Model: "&amp;IF(LEN(INDEX('My equipment'!$C$4:$C$503,(_calc!$E$89-500)))=0,"",INDEX('My equipment'!$C$4:$C$503,(_calc!$E$89-500)))&amp;". ")&amp;IF(LEN(IF(LEN(INDEX('My equipment'!$D$4:$D$503,(_calc!$E$89-500)))=0,"",INDEX('My equipment'!$D$4:$D$503,(_calc!$E$89-500))))=0,"","Serial: "&amp;IF(LEN(INDEX('My equipment'!$D$4:$D$503,(_calc!$E$89-500)))=0,"",INDEX('My equipment'!$D$4:$D$503,(_calc!$E$89-500)))&amp;". ")&amp;IF(LEN(IF(ISNUMBER(INDEX('My equipment'!$J$4:$J$503,(_calc!$E$89-500))),TEXT(INDEX('My equipment'!$J$4:$J$503,(_calc!$E$89-500)),"yyyy-mm-dd"),""))=0,"","Parts end: "&amp;IF(ISNUMBER(INDEX('My equipment'!$J$4:$J$503,(_calc!$E$89-500))),TEXT(INDEX('My equipment'!$J$4:$J$503,(_calc!$E$89-500)),"yyyy-mm-dd"),"")&amp;". ")&amp;IF(LEN(IF(ISNUMBER(INDEX('My equipment'!$L$4:$L$503,(_calc!$E$89-500))),TEXT(INDEX('My equipment'!$L$4:$L$503,(_calc!$E$89-500)),"yyyy-mm-dd"),""))=0,"","Labor end: "&amp;IF(ISNUMBER(INDEX('My equipment'!$L$4:$L$503,(_calc!$E$89-500))),TEXT(INDEX('My equipment'!$L$4:$L$503,(_calc!$E$89-500)),"yyyy-mm-dd"),"")&amp;". ")&amp;IF(LEN(IF(ISNUMBER(INDEX('My equipment'!$P$4:$P$503,(_calc!$E$89-500))),TEXT(INDEX('My equipment'!$P$4:$P$503,(_calc!$E$89-500)),"yyyy-mm-dd"),""))=0,"","Check by: "&amp;IF(ISNUMBER(INDEX('My equipment'!$P$4:$P$503,(_calc!$E$89-500))),TEXT(INDEX('My equipment'!$P$4:$P$503,(_calc!$E$89-500)),"yyyy-mm-dd"),"")&amp;". ")&amp;IF(LEN(IF(LEN(INDEX('My equipment'!$Q$4:$Q$503,(_calc!$E$89-500)))=0,"",INDEX('My equipment'!$Q$4:$Q$503,(_calc!$E$89-500))))=0,"","Claim status: "&amp;IF(LEN(INDEX('My equipment'!$Q$4:$Q$503,(_calc!$E$89-500)))=0,"",INDEX('My equipment'!$Q$4:$Q$503,(_calc!$E$89-500)))&amp;". ")&amp;IF(LEN(IF(LEN(INDEX('My equipment'!$R$4:$R$503,(_calc!$E$89-500)))=0,"",INDEX('My equipment'!$R$4:$R$503,(_calc!$E$89-500))))=0,"","Claims contact: "&amp;IF(LEN(INDEX('My equipment'!$R$4:$R$503,(_calc!$E$89-500)))=0,"",INDEX('My equipment'!$R$4:$R$503,(_calc!$E$89-500)))&amp;". ")&amp;IF(LEN(IF(LEN(INDEX('My equipment'!$S$4:$S$503,(_calc!$E$89-500)))=0,"",INDEX('My equipment'!$S$4:$S$503,(_calc!$E$89-500))))=0,"","Claims email: "&amp;IF(LEN(INDEX('My equipment'!$S$4:$S$503,(_calc!$E$89-500)))=0,"",INDEX('My equipment'!$S$4:$S$503,(_calc!$E$89-500)))&amp;". ")&amp;IF(LEN(IF(LEN(INDEX('My equipment'!$U$4:$U$503,(_calc!$E$89-500)))=0,"",INDEX('My equipment'!$U$4:$U$503,(_calc!$E$89-500))))=0,"","Registered: "&amp;IF(LEN(INDEX('My equipment'!$U$4:$U$503,(_calc!$E$89-500)))=0,"",INDEX('My equipment'!$U$4:$U$503,(_calc!$E$89-500)))&amp;". ")&amp;IF(LEN(IF(LEN(INDEX('My equipment'!$V$4:$V$503,(_calc!$E$89-500)))=0,"",INDEX('My equipment'!$V$4:$V$503,(_calc!$E$89-500))))=0,"","Proof on file: "&amp;IF(LEN(INDEX('My equipment'!$V$4:$V$503,(_calc!$E$89-500)))=0,"",INDEX('My equipment'!$V$4:$V$503,(_calc!$E$89-500)))&amp;". ")&amp;IF(LEN(IF(LEN(INDEX('My equipment'!$W$4:$W$503,(_calc!$E$89-500)))=0,"",INDEX('My equipment'!$W$4:$W$503,(_calc!$E$89-500))))=0,"","Claim ref: "&amp;IF(LEN(INDEX('My equipment'!$W$4:$W$503,(_calc!$E$89-500)))=0,"",INDEX('My equipment'!$W$4:$W$503,(_calc!$E$89-500)))&amp;". ")&amp;IF(LEN(IF(LEN(INDEX('My equipment'!$Y$4:$Y$503,(_calc!$E$89-500)))=0,"",INDEX('My equipment'!$Y$4:$Y$503,(_calc!$E$89-500))))=0,"",IF(LEN(INDEX('My equipment'!$Y$4:$Y$503,(_calc!$E$89-500)))=0,"",INDEX('My equipment'!$Y$4:$Y$503,(_calc!$E$89-500)))))))</f>
        <v/>
      </c>
      <c r="G87" s="54">
        <f>IF(_calc!$E$89="","",IF(_calc!$E$89&lt;=500,"",IF(LEN(INDEX('My equipment'!$X$4:$X$503,(_calc!$E$89-500)))=0,"",INDEX('My equipment'!$X$4:$X$503,(_calc!$E$89-500)))))</f>
        <v/>
      </c>
      <c r="K87" s="54">
        <f>IF(_calc!$E$89="","",IF(_calc!$E$89&lt;=500,"",IF(LEN(INDEX('My equipment'!$T$4:$T$503,(_calc!$E$89-500)))=0,"",INDEX('My equipment'!$T$4:$T$503,(_calc!$E$89-500)))))</f>
        <v/>
      </c>
    </row>
    <row r="88">
      <c r="A88" s="54">
        <f>IF(_calc!$E$90="","",IF(_calc!$E$90&lt;=500,"Warranty – "&amp;IF(LEN(INDEX('Dealer pipeline'!$C$4:$C$503,_calc!$E$90))=0,"",INDEX('Dealer pipeline'!$C$4:$C$503,_calc!$E$90))&amp;" – "&amp;IF(LEN(INDEX('Dealer pipeline'!$D$4:$D$503,_calc!$E$90))=0,"",INDEX('Dealer pipeline'!$D$4:$D$503,_calc!$E$90))&amp;" – "&amp;IF(LEN(INDEX('Dealer pipeline'!$A$4:$A$503,_calc!$E$90))=0,"",INDEX('Dealer pipeline'!$A$4:$A$503,_calc!$E$90)),"Warranty – "&amp;IF(LEN(INDEX('My equipment'!$A$4:$A$503,(_calc!$E$90-500)))=0,"",INDEX('My equipment'!$A$4:$A$503,(_calc!$E$90-500)))&amp;" – "&amp;IF(LEN(INDEX('My equipment'!$D$4:$D$503,(_calc!$E$90-500)))=0,"",INDEX('My equipment'!$D$4:$D$503,(_calc!$E$90-500)))))</f>
        <v/>
      </c>
      <c r="B88" s="54">
        <f>IF(_calc!$E$90="","",IF(_calc!$E$90&lt;=500,IF(ISNUMBER(INDEX('Dealer pipeline'!$M$4:$M$503,_calc!$E$90)),TEXT(INDEX('Dealer pipeline'!$M$4:$M$503,_calc!$E$90),"yyyy-mm-dd"),""),IF(ISNUMBER(INDEX('My equipment'!$M$4:$M$503,(_calc!$E$90-500))),TEXT(INDEX('My equipment'!$M$4:$M$503,(_calc!$E$90-500)),"yyyy-mm-dd"),"")))</f>
        <v/>
      </c>
      <c r="C88" s="54">
        <f>IF(_calc!$E$90="","",IF(_calc!$E$90&lt;=500,"Warranty","Warranty"))</f>
        <v/>
      </c>
      <c r="D88" s="54">
        <f>IF(_calc!$E$90="","",IF(_calc!$E$90&lt;=500,IF(ISNUMBER(INDEX('Dealer pipeline'!$H$4:$H$503,_calc!$E$90)),TEXT(INDEX('Dealer pipeline'!$H$4:$H$503,_calc!$E$90),"yyyy-mm-dd"),""),IF(ISNUMBER(INDEX('My equipment'!$H$4:$H$503,(_calc!$E$90-500))),TEXT(INDEX('My equipment'!$H$4:$H$503,(_calc!$E$90-500)),"yyyy-mm-dd"),"")))</f>
        <v/>
      </c>
      <c r="F88" s="54">
        <f>IF(_calc!$E$90="","",IF(_calc!$E$90&lt;=500,TRIM(IF(LEN(IF(LEN(INDEX('Dealer pipeline'!$A$4:$A$503,_calc!$E$90))=0,"",INDEX('Dealer pipeline'!$A$4:$A$503,_calc!$E$90)))=0,"","Customer: "&amp;IF(LEN(INDEX('Dealer pipeline'!$A$4:$A$503,_calc!$E$90))=0,"",INDEX('Dealer pipeline'!$A$4:$A$503,_calc!$E$90))&amp;". ")&amp;IF(LEN(IF(LEN(INDEX('Dealer pipeline'!$B$4:$B$503,_calc!$E$90))=0,"",INDEX('Dealer pipeline'!$B$4:$B$503,_calc!$E$90)))=0,"","Contact: "&amp;IF(LEN(INDEX('Dealer pipeline'!$B$4:$B$503,_calc!$E$90))=0,"",INDEX('Dealer pipeline'!$B$4:$B$503,_calc!$E$90))&amp;". ")&amp;IF(LEN(IF(LEN(INDEX('Dealer pipeline'!$D$4:$D$503,_calc!$E$90))=0,"",INDEX('Dealer pipeline'!$D$4:$D$503,_calc!$E$90)))=0,"","Serial: "&amp;IF(LEN(INDEX('Dealer pipeline'!$D$4:$D$503,_calc!$E$90))=0,"",INDEX('Dealer pipeline'!$D$4:$D$503,_calc!$E$90))&amp;". ")&amp;IF(LEN(IF(ISNUMBER(INDEX('Dealer pipeline'!$J$4:$J$503,_calc!$E$90)),TEXT(INDEX('Dealer pipeline'!$J$4:$J$503,_calc!$E$90),"yyyy-mm-dd"),""))=0,"","Parts end: "&amp;IF(ISNUMBER(INDEX('Dealer pipeline'!$J$4:$J$503,_calc!$E$90)),TEXT(INDEX('Dealer pipeline'!$J$4:$J$503,_calc!$E$90),"yyyy-mm-dd"),"")&amp;". ")&amp;IF(LEN(IF(ISNUMBER(INDEX('Dealer pipeline'!$L$4:$L$503,_calc!$E$90)),TEXT(INDEX('Dealer pipeline'!$L$4:$L$503,_calc!$E$90),"yyyy-mm-dd"),""))=0,"","Labor end: "&amp;IF(ISNUMBER(INDEX('Dealer pipeline'!$L$4:$L$503,_calc!$E$90)),TEXT(INDEX('Dealer pipeline'!$L$4:$L$503,_calc!$E$90),"yyyy-mm-dd"),"")&amp;". ")&amp;IF(LEN(IF(LEN(INDEX('Dealer pipeline'!$Q$4:$Q$503,_calc!$E$90))=0,"",INDEX('Dealer pipeline'!$Q$4:$Q$503,_calc!$E$90)))=0,"","Status: "&amp;IF(LEN(INDEX('Dealer pipeline'!$Q$4:$Q$503,_calc!$E$90))=0,"",INDEX('Dealer pipeline'!$Q$4:$Q$503,_calc!$E$90))&amp;". ")&amp;IF(LEN(IF(LEN(INDEX('Dealer pipeline'!$P$4:$P$503,_calc!$E$90))=0,"",INDEX('Dealer pipeline'!$P$4:$P$503,_calc!$E$90)))=0,"","Last touch: "&amp;IF(LEN(INDEX('Dealer pipeline'!$P$4:$P$503,_calc!$E$90))=0,"",INDEX('Dealer pipeline'!$P$4:$P$503,_calc!$E$90))&amp;". ")&amp;IF(LEN(IF(LEN(INDEX('Dealer pipeline'!$R$4:$R$503,_calc!$E$90))=0,"",INDEX('Dealer pipeline'!$R$4:$R$503,_calc!$E$90)))=0,"","Owner: "&amp;IF(LEN(INDEX('Dealer pipeline'!$R$4:$R$503,_calc!$E$90))=0,"",INDEX('Dealer pipeline'!$R$4:$R$503,_calc!$E$90))&amp;". ")&amp;IF(LEN(IF(LEN(INDEX('Dealer pipeline'!$S$4:$S$503,_calc!$E$90))=0,"",INDEX('Dealer pipeline'!$S$4:$S$503,_calc!$E$90)))=0,"","Backup: "&amp;IF(LEN(INDEX('Dealer pipeline'!$S$4:$S$503,_calc!$E$90))=0,"",INDEX('Dealer pipeline'!$S$4:$S$503,_calc!$E$90))&amp;". ")&amp;IF(LEN(IF(LEN(INDEX('Dealer pipeline'!$T$4:$T$503,_calc!$E$90))=0,"",INDEX('Dealer pipeline'!$T$4:$T$503,_calc!$E$90)))=0,"",IF(LEN(INDEX('Dealer pipeline'!$T$4:$T$503,_calc!$E$90))=0,"",INDEX('Dealer pipeline'!$T$4:$T$503,_calc!$E$90)))),TRIM(IF(LEN(IF(LEN(INDEX('My equipment'!$C$4:$C$503,(_calc!$E$90-500)))=0,"",INDEX('My equipment'!$C$4:$C$503,(_calc!$E$90-500))))=0,"","Model: "&amp;IF(LEN(INDEX('My equipment'!$C$4:$C$503,(_calc!$E$90-500)))=0,"",INDEX('My equipment'!$C$4:$C$503,(_calc!$E$90-500)))&amp;". ")&amp;IF(LEN(IF(LEN(INDEX('My equipment'!$D$4:$D$503,(_calc!$E$90-500)))=0,"",INDEX('My equipment'!$D$4:$D$503,(_calc!$E$90-500))))=0,"","Serial: "&amp;IF(LEN(INDEX('My equipment'!$D$4:$D$503,(_calc!$E$90-500)))=0,"",INDEX('My equipment'!$D$4:$D$503,(_calc!$E$90-500)))&amp;". ")&amp;IF(LEN(IF(ISNUMBER(INDEX('My equipment'!$J$4:$J$503,(_calc!$E$90-500))),TEXT(INDEX('My equipment'!$J$4:$J$503,(_calc!$E$90-500)),"yyyy-mm-dd"),""))=0,"","Parts end: "&amp;IF(ISNUMBER(INDEX('My equipment'!$J$4:$J$503,(_calc!$E$90-500))),TEXT(INDEX('My equipment'!$J$4:$J$503,(_calc!$E$90-500)),"yyyy-mm-dd"),"")&amp;". ")&amp;IF(LEN(IF(ISNUMBER(INDEX('My equipment'!$L$4:$L$503,(_calc!$E$90-500))),TEXT(INDEX('My equipment'!$L$4:$L$503,(_calc!$E$90-500)),"yyyy-mm-dd"),""))=0,"","Labor end: "&amp;IF(ISNUMBER(INDEX('My equipment'!$L$4:$L$503,(_calc!$E$90-500))),TEXT(INDEX('My equipment'!$L$4:$L$503,(_calc!$E$90-500)),"yyyy-mm-dd"),"")&amp;". ")&amp;IF(LEN(IF(ISNUMBER(INDEX('My equipment'!$P$4:$P$503,(_calc!$E$90-500))),TEXT(INDEX('My equipment'!$P$4:$P$503,(_calc!$E$90-500)),"yyyy-mm-dd"),""))=0,"","Check by: "&amp;IF(ISNUMBER(INDEX('My equipment'!$P$4:$P$503,(_calc!$E$90-500))),TEXT(INDEX('My equipment'!$P$4:$P$503,(_calc!$E$90-500)),"yyyy-mm-dd"),"")&amp;". ")&amp;IF(LEN(IF(LEN(INDEX('My equipment'!$Q$4:$Q$503,(_calc!$E$90-500)))=0,"",INDEX('My equipment'!$Q$4:$Q$503,(_calc!$E$90-500))))=0,"","Claim status: "&amp;IF(LEN(INDEX('My equipment'!$Q$4:$Q$503,(_calc!$E$90-500)))=0,"",INDEX('My equipment'!$Q$4:$Q$503,(_calc!$E$90-500)))&amp;". ")&amp;IF(LEN(IF(LEN(INDEX('My equipment'!$R$4:$R$503,(_calc!$E$90-500)))=0,"",INDEX('My equipment'!$R$4:$R$503,(_calc!$E$90-500))))=0,"","Claims contact: "&amp;IF(LEN(INDEX('My equipment'!$R$4:$R$503,(_calc!$E$90-500)))=0,"",INDEX('My equipment'!$R$4:$R$503,(_calc!$E$90-500)))&amp;". ")&amp;IF(LEN(IF(LEN(INDEX('My equipment'!$S$4:$S$503,(_calc!$E$90-500)))=0,"",INDEX('My equipment'!$S$4:$S$503,(_calc!$E$90-500))))=0,"","Claims email: "&amp;IF(LEN(INDEX('My equipment'!$S$4:$S$503,(_calc!$E$90-500)))=0,"",INDEX('My equipment'!$S$4:$S$503,(_calc!$E$90-500)))&amp;". ")&amp;IF(LEN(IF(LEN(INDEX('My equipment'!$U$4:$U$503,(_calc!$E$90-500)))=0,"",INDEX('My equipment'!$U$4:$U$503,(_calc!$E$90-500))))=0,"","Registered: "&amp;IF(LEN(INDEX('My equipment'!$U$4:$U$503,(_calc!$E$90-500)))=0,"",INDEX('My equipment'!$U$4:$U$503,(_calc!$E$90-500)))&amp;". ")&amp;IF(LEN(IF(LEN(INDEX('My equipment'!$V$4:$V$503,(_calc!$E$90-500)))=0,"",INDEX('My equipment'!$V$4:$V$503,(_calc!$E$90-500))))=0,"","Proof on file: "&amp;IF(LEN(INDEX('My equipment'!$V$4:$V$503,(_calc!$E$90-500)))=0,"",INDEX('My equipment'!$V$4:$V$503,(_calc!$E$90-500)))&amp;". ")&amp;IF(LEN(IF(LEN(INDEX('My equipment'!$W$4:$W$503,(_calc!$E$90-500)))=0,"",INDEX('My equipment'!$W$4:$W$503,(_calc!$E$90-500))))=0,"","Claim ref: "&amp;IF(LEN(INDEX('My equipment'!$W$4:$W$503,(_calc!$E$90-500)))=0,"",INDEX('My equipment'!$W$4:$W$503,(_calc!$E$90-500)))&amp;". ")&amp;IF(LEN(IF(LEN(INDEX('My equipment'!$Y$4:$Y$503,(_calc!$E$90-500)))=0,"",INDEX('My equipment'!$Y$4:$Y$503,(_calc!$E$90-500))))=0,"",IF(LEN(INDEX('My equipment'!$Y$4:$Y$503,(_calc!$E$90-500)))=0,"",INDEX('My equipment'!$Y$4:$Y$503,(_calc!$E$90-500)))))))</f>
        <v/>
      </c>
      <c r="G88" s="54">
        <f>IF(_calc!$E$90="","",IF(_calc!$E$90&lt;=500,"",IF(LEN(INDEX('My equipment'!$X$4:$X$503,(_calc!$E$90-500)))=0,"",INDEX('My equipment'!$X$4:$X$503,(_calc!$E$90-500)))))</f>
        <v/>
      </c>
      <c r="K88" s="54">
        <f>IF(_calc!$E$90="","",IF(_calc!$E$90&lt;=500,"",IF(LEN(INDEX('My equipment'!$T$4:$T$503,(_calc!$E$90-500)))=0,"",INDEX('My equipment'!$T$4:$T$503,(_calc!$E$90-500)))))</f>
        <v/>
      </c>
    </row>
    <row r="89">
      <c r="A89" s="54">
        <f>IF(_calc!$E$91="","",IF(_calc!$E$91&lt;=500,"Warranty – "&amp;IF(LEN(INDEX('Dealer pipeline'!$C$4:$C$503,_calc!$E$91))=0,"",INDEX('Dealer pipeline'!$C$4:$C$503,_calc!$E$91))&amp;" – "&amp;IF(LEN(INDEX('Dealer pipeline'!$D$4:$D$503,_calc!$E$91))=0,"",INDEX('Dealer pipeline'!$D$4:$D$503,_calc!$E$91))&amp;" – "&amp;IF(LEN(INDEX('Dealer pipeline'!$A$4:$A$503,_calc!$E$91))=0,"",INDEX('Dealer pipeline'!$A$4:$A$503,_calc!$E$91)),"Warranty – "&amp;IF(LEN(INDEX('My equipment'!$A$4:$A$503,(_calc!$E$91-500)))=0,"",INDEX('My equipment'!$A$4:$A$503,(_calc!$E$91-500)))&amp;" – "&amp;IF(LEN(INDEX('My equipment'!$D$4:$D$503,(_calc!$E$91-500)))=0,"",INDEX('My equipment'!$D$4:$D$503,(_calc!$E$91-500)))))</f>
        <v/>
      </c>
      <c r="B89" s="54">
        <f>IF(_calc!$E$91="","",IF(_calc!$E$91&lt;=500,IF(ISNUMBER(INDEX('Dealer pipeline'!$M$4:$M$503,_calc!$E$91)),TEXT(INDEX('Dealer pipeline'!$M$4:$M$503,_calc!$E$91),"yyyy-mm-dd"),""),IF(ISNUMBER(INDEX('My equipment'!$M$4:$M$503,(_calc!$E$91-500))),TEXT(INDEX('My equipment'!$M$4:$M$503,(_calc!$E$91-500)),"yyyy-mm-dd"),"")))</f>
        <v/>
      </c>
      <c r="C89" s="54">
        <f>IF(_calc!$E$91="","",IF(_calc!$E$91&lt;=500,"Warranty","Warranty"))</f>
        <v/>
      </c>
      <c r="D89" s="54">
        <f>IF(_calc!$E$91="","",IF(_calc!$E$91&lt;=500,IF(ISNUMBER(INDEX('Dealer pipeline'!$H$4:$H$503,_calc!$E$91)),TEXT(INDEX('Dealer pipeline'!$H$4:$H$503,_calc!$E$91),"yyyy-mm-dd"),""),IF(ISNUMBER(INDEX('My equipment'!$H$4:$H$503,(_calc!$E$91-500))),TEXT(INDEX('My equipment'!$H$4:$H$503,(_calc!$E$91-500)),"yyyy-mm-dd"),"")))</f>
        <v/>
      </c>
      <c r="F89" s="54">
        <f>IF(_calc!$E$91="","",IF(_calc!$E$91&lt;=500,TRIM(IF(LEN(IF(LEN(INDEX('Dealer pipeline'!$A$4:$A$503,_calc!$E$91))=0,"",INDEX('Dealer pipeline'!$A$4:$A$503,_calc!$E$91)))=0,"","Customer: "&amp;IF(LEN(INDEX('Dealer pipeline'!$A$4:$A$503,_calc!$E$91))=0,"",INDEX('Dealer pipeline'!$A$4:$A$503,_calc!$E$91))&amp;". ")&amp;IF(LEN(IF(LEN(INDEX('Dealer pipeline'!$B$4:$B$503,_calc!$E$91))=0,"",INDEX('Dealer pipeline'!$B$4:$B$503,_calc!$E$91)))=0,"","Contact: "&amp;IF(LEN(INDEX('Dealer pipeline'!$B$4:$B$503,_calc!$E$91))=0,"",INDEX('Dealer pipeline'!$B$4:$B$503,_calc!$E$91))&amp;". ")&amp;IF(LEN(IF(LEN(INDEX('Dealer pipeline'!$D$4:$D$503,_calc!$E$91))=0,"",INDEX('Dealer pipeline'!$D$4:$D$503,_calc!$E$91)))=0,"","Serial: "&amp;IF(LEN(INDEX('Dealer pipeline'!$D$4:$D$503,_calc!$E$91))=0,"",INDEX('Dealer pipeline'!$D$4:$D$503,_calc!$E$91))&amp;". ")&amp;IF(LEN(IF(ISNUMBER(INDEX('Dealer pipeline'!$J$4:$J$503,_calc!$E$91)),TEXT(INDEX('Dealer pipeline'!$J$4:$J$503,_calc!$E$91),"yyyy-mm-dd"),""))=0,"","Parts end: "&amp;IF(ISNUMBER(INDEX('Dealer pipeline'!$J$4:$J$503,_calc!$E$91)),TEXT(INDEX('Dealer pipeline'!$J$4:$J$503,_calc!$E$91),"yyyy-mm-dd"),"")&amp;". ")&amp;IF(LEN(IF(ISNUMBER(INDEX('Dealer pipeline'!$L$4:$L$503,_calc!$E$91)),TEXT(INDEX('Dealer pipeline'!$L$4:$L$503,_calc!$E$91),"yyyy-mm-dd"),""))=0,"","Labor end: "&amp;IF(ISNUMBER(INDEX('Dealer pipeline'!$L$4:$L$503,_calc!$E$91)),TEXT(INDEX('Dealer pipeline'!$L$4:$L$503,_calc!$E$91),"yyyy-mm-dd"),"")&amp;". ")&amp;IF(LEN(IF(LEN(INDEX('Dealer pipeline'!$Q$4:$Q$503,_calc!$E$91))=0,"",INDEX('Dealer pipeline'!$Q$4:$Q$503,_calc!$E$91)))=0,"","Status: "&amp;IF(LEN(INDEX('Dealer pipeline'!$Q$4:$Q$503,_calc!$E$91))=0,"",INDEX('Dealer pipeline'!$Q$4:$Q$503,_calc!$E$91))&amp;". ")&amp;IF(LEN(IF(LEN(INDEX('Dealer pipeline'!$P$4:$P$503,_calc!$E$91))=0,"",INDEX('Dealer pipeline'!$P$4:$P$503,_calc!$E$91)))=0,"","Last touch: "&amp;IF(LEN(INDEX('Dealer pipeline'!$P$4:$P$503,_calc!$E$91))=0,"",INDEX('Dealer pipeline'!$P$4:$P$503,_calc!$E$91))&amp;". ")&amp;IF(LEN(IF(LEN(INDEX('Dealer pipeline'!$R$4:$R$503,_calc!$E$91))=0,"",INDEX('Dealer pipeline'!$R$4:$R$503,_calc!$E$91)))=0,"","Owner: "&amp;IF(LEN(INDEX('Dealer pipeline'!$R$4:$R$503,_calc!$E$91))=0,"",INDEX('Dealer pipeline'!$R$4:$R$503,_calc!$E$91))&amp;". ")&amp;IF(LEN(IF(LEN(INDEX('Dealer pipeline'!$S$4:$S$503,_calc!$E$91))=0,"",INDEX('Dealer pipeline'!$S$4:$S$503,_calc!$E$91)))=0,"","Backup: "&amp;IF(LEN(INDEX('Dealer pipeline'!$S$4:$S$503,_calc!$E$91))=0,"",INDEX('Dealer pipeline'!$S$4:$S$503,_calc!$E$91))&amp;". ")&amp;IF(LEN(IF(LEN(INDEX('Dealer pipeline'!$T$4:$T$503,_calc!$E$91))=0,"",INDEX('Dealer pipeline'!$T$4:$T$503,_calc!$E$91)))=0,"",IF(LEN(INDEX('Dealer pipeline'!$T$4:$T$503,_calc!$E$91))=0,"",INDEX('Dealer pipeline'!$T$4:$T$503,_calc!$E$91)))),TRIM(IF(LEN(IF(LEN(INDEX('My equipment'!$C$4:$C$503,(_calc!$E$91-500)))=0,"",INDEX('My equipment'!$C$4:$C$503,(_calc!$E$91-500))))=0,"","Model: "&amp;IF(LEN(INDEX('My equipment'!$C$4:$C$503,(_calc!$E$91-500)))=0,"",INDEX('My equipment'!$C$4:$C$503,(_calc!$E$91-500)))&amp;". ")&amp;IF(LEN(IF(LEN(INDEX('My equipment'!$D$4:$D$503,(_calc!$E$91-500)))=0,"",INDEX('My equipment'!$D$4:$D$503,(_calc!$E$91-500))))=0,"","Serial: "&amp;IF(LEN(INDEX('My equipment'!$D$4:$D$503,(_calc!$E$91-500)))=0,"",INDEX('My equipment'!$D$4:$D$503,(_calc!$E$91-500)))&amp;". ")&amp;IF(LEN(IF(ISNUMBER(INDEX('My equipment'!$J$4:$J$503,(_calc!$E$91-500))),TEXT(INDEX('My equipment'!$J$4:$J$503,(_calc!$E$91-500)),"yyyy-mm-dd"),""))=0,"","Parts end: "&amp;IF(ISNUMBER(INDEX('My equipment'!$J$4:$J$503,(_calc!$E$91-500))),TEXT(INDEX('My equipment'!$J$4:$J$503,(_calc!$E$91-500)),"yyyy-mm-dd"),"")&amp;". ")&amp;IF(LEN(IF(ISNUMBER(INDEX('My equipment'!$L$4:$L$503,(_calc!$E$91-500))),TEXT(INDEX('My equipment'!$L$4:$L$503,(_calc!$E$91-500)),"yyyy-mm-dd"),""))=0,"","Labor end: "&amp;IF(ISNUMBER(INDEX('My equipment'!$L$4:$L$503,(_calc!$E$91-500))),TEXT(INDEX('My equipment'!$L$4:$L$503,(_calc!$E$91-500)),"yyyy-mm-dd"),"")&amp;". ")&amp;IF(LEN(IF(ISNUMBER(INDEX('My equipment'!$P$4:$P$503,(_calc!$E$91-500))),TEXT(INDEX('My equipment'!$P$4:$P$503,(_calc!$E$91-500)),"yyyy-mm-dd"),""))=0,"","Check by: "&amp;IF(ISNUMBER(INDEX('My equipment'!$P$4:$P$503,(_calc!$E$91-500))),TEXT(INDEX('My equipment'!$P$4:$P$503,(_calc!$E$91-500)),"yyyy-mm-dd"),"")&amp;". ")&amp;IF(LEN(IF(LEN(INDEX('My equipment'!$Q$4:$Q$503,(_calc!$E$91-500)))=0,"",INDEX('My equipment'!$Q$4:$Q$503,(_calc!$E$91-500))))=0,"","Claim status: "&amp;IF(LEN(INDEX('My equipment'!$Q$4:$Q$503,(_calc!$E$91-500)))=0,"",INDEX('My equipment'!$Q$4:$Q$503,(_calc!$E$91-500)))&amp;". ")&amp;IF(LEN(IF(LEN(INDEX('My equipment'!$R$4:$R$503,(_calc!$E$91-500)))=0,"",INDEX('My equipment'!$R$4:$R$503,(_calc!$E$91-500))))=0,"","Claims contact: "&amp;IF(LEN(INDEX('My equipment'!$R$4:$R$503,(_calc!$E$91-500)))=0,"",INDEX('My equipment'!$R$4:$R$503,(_calc!$E$91-500)))&amp;". ")&amp;IF(LEN(IF(LEN(INDEX('My equipment'!$S$4:$S$503,(_calc!$E$91-500)))=0,"",INDEX('My equipment'!$S$4:$S$503,(_calc!$E$91-500))))=0,"","Claims email: "&amp;IF(LEN(INDEX('My equipment'!$S$4:$S$503,(_calc!$E$91-500)))=0,"",INDEX('My equipment'!$S$4:$S$503,(_calc!$E$91-500)))&amp;". ")&amp;IF(LEN(IF(LEN(INDEX('My equipment'!$U$4:$U$503,(_calc!$E$91-500)))=0,"",INDEX('My equipment'!$U$4:$U$503,(_calc!$E$91-500))))=0,"","Registered: "&amp;IF(LEN(INDEX('My equipment'!$U$4:$U$503,(_calc!$E$91-500)))=0,"",INDEX('My equipment'!$U$4:$U$503,(_calc!$E$91-500)))&amp;". ")&amp;IF(LEN(IF(LEN(INDEX('My equipment'!$V$4:$V$503,(_calc!$E$91-500)))=0,"",INDEX('My equipment'!$V$4:$V$503,(_calc!$E$91-500))))=0,"","Proof on file: "&amp;IF(LEN(INDEX('My equipment'!$V$4:$V$503,(_calc!$E$91-500)))=0,"",INDEX('My equipment'!$V$4:$V$503,(_calc!$E$91-500)))&amp;". ")&amp;IF(LEN(IF(LEN(INDEX('My equipment'!$W$4:$W$503,(_calc!$E$91-500)))=0,"",INDEX('My equipment'!$W$4:$W$503,(_calc!$E$91-500))))=0,"","Claim ref: "&amp;IF(LEN(INDEX('My equipment'!$W$4:$W$503,(_calc!$E$91-500)))=0,"",INDEX('My equipment'!$W$4:$W$503,(_calc!$E$91-500)))&amp;". ")&amp;IF(LEN(IF(LEN(INDEX('My equipment'!$Y$4:$Y$503,(_calc!$E$91-500)))=0,"",INDEX('My equipment'!$Y$4:$Y$503,(_calc!$E$91-500))))=0,"",IF(LEN(INDEX('My equipment'!$Y$4:$Y$503,(_calc!$E$91-500)))=0,"",INDEX('My equipment'!$Y$4:$Y$503,(_calc!$E$91-500)))))))</f>
        <v/>
      </c>
      <c r="G89" s="54">
        <f>IF(_calc!$E$91="","",IF(_calc!$E$91&lt;=500,"",IF(LEN(INDEX('My equipment'!$X$4:$X$503,(_calc!$E$91-500)))=0,"",INDEX('My equipment'!$X$4:$X$503,(_calc!$E$91-500)))))</f>
        <v/>
      </c>
      <c r="K89" s="54">
        <f>IF(_calc!$E$91="","",IF(_calc!$E$91&lt;=500,"",IF(LEN(INDEX('My equipment'!$T$4:$T$503,(_calc!$E$91-500)))=0,"",INDEX('My equipment'!$T$4:$T$503,(_calc!$E$91-500)))))</f>
        <v/>
      </c>
    </row>
    <row r="90">
      <c r="A90" s="54">
        <f>IF(_calc!$E$92="","",IF(_calc!$E$92&lt;=500,"Warranty – "&amp;IF(LEN(INDEX('Dealer pipeline'!$C$4:$C$503,_calc!$E$92))=0,"",INDEX('Dealer pipeline'!$C$4:$C$503,_calc!$E$92))&amp;" – "&amp;IF(LEN(INDEX('Dealer pipeline'!$D$4:$D$503,_calc!$E$92))=0,"",INDEX('Dealer pipeline'!$D$4:$D$503,_calc!$E$92))&amp;" – "&amp;IF(LEN(INDEX('Dealer pipeline'!$A$4:$A$503,_calc!$E$92))=0,"",INDEX('Dealer pipeline'!$A$4:$A$503,_calc!$E$92)),"Warranty – "&amp;IF(LEN(INDEX('My equipment'!$A$4:$A$503,(_calc!$E$92-500)))=0,"",INDEX('My equipment'!$A$4:$A$503,(_calc!$E$92-500)))&amp;" – "&amp;IF(LEN(INDEX('My equipment'!$D$4:$D$503,(_calc!$E$92-500)))=0,"",INDEX('My equipment'!$D$4:$D$503,(_calc!$E$92-500)))))</f>
        <v/>
      </c>
      <c r="B90" s="54">
        <f>IF(_calc!$E$92="","",IF(_calc!$E$92&lt;=500,IF(ISNUMBER(INDEX('Dealer pipeline'!$M$4:$M$503,_calc!$E$92)),TEXT(INDEX('Dealer pipeline'!$M$4:$M$503,_calc!$E$92),"yyyy-mm-dd"),""),IF(ISNUMBER(INDEX('My equipment'!$M$4:$M$503,(_calc!$E$92-500))),TEXT(INDEX('My equipment'!$M$4:$M$503,(_calc!$E$92-500)),"yyyy-mm-dd"),"")))</f>
        <v/>
      </c>
      <c r="C90" s="54">
        <f>IF(_calc!$E$92="","",IF(_calc!$E$92&lt;=500,"Warranty","Warranty"))</f>
        <v/>
      </c>
      <c r="D90" s="54">
        <f>IF(_calc!$E$92="","",IF(_calc!$E$92&lt;=500,IF(ISNUMBER(INDEX('Dealer pipeline'!$H$4:$H$503,_calc!$E$92)),TEXT(INDEX('Dealer pipeline'!$H$4:$H$503,_calc!$E$92),"yyyy-mm-dd"),""),IF(ISNUMBER(INDEX('My equipment'!$H$4:$H$503,(_calc!$E$92-500))),TEXT(INDEX('My equipment'!$H$4:$H$503,(_calc!$E$92-500)),"yyyy-mm-dd"),"")))</f>
        <v/>
      </c>
      <c r="F90" s="54">
        <f>IF(_calc!$E$92="","",IF(_calc!$E$92&lt;=500,TRIM(IF(LEN(IF(LEN(INDEX('Dealer pipeline'!$A$4:$A$503,_calc!$E$92))=0,"",INDEX('Dealer pipeline'!$A$4:$A$503,_calc!$E$92)))=0,"","Customer: "&amp;IF(LEN(INDEX('Dealer pipeline'!$A$4:$A$503,_calc!$E$92))=0,"",INDEX('Dealer pipeline'!$A$4:$A$503,_calc!$E$92))&amp;". ")&amp;IF(LEN(IF(LEN(INDEX('Dealer pipeline'!$B$4:$B$503,_calc!$E$92))=0,"",INDEX('Dealer pipeline'!$B$4:$B$503,_calc!$E$92)))=0,"","Contact: "&amp;IF(LEN(INDEX('Dealer pipeline'!$B$4:$B$503,_calc!$E$92))=0,"",INDEX('Dealer pipeline'!$B$4:$B$503,_calc!$E$92))&amp;". ")&amp;IF(LEN(IF(LEN(INDEX('Dealer pipeline'!$D$4:$D$503,_calc!$E$92))=0,"",INDEX('Dealer pipeline'!$D$4:$D$503,_calc!$E$92)))=0,"","Serial: "&amp;IF(LEN(INDEX('Dealer pipeline'!$D$4:$D$503,_calc!$E$92))=0,"",INDEX('Dealer pipeline'!$D$4:$D$503,_calc!$E$92))&amp;". ")&amp;IF(LEN(IF(ISNUMBER(INDEX('Dealer pipeline'!$J$4:$J$503,_calc!$E$92)),TEXT(INDEX('Dealer pipeline'!$J$4:$J$503,_calc!$E$92),"yyyy-mm-dd"),""))=0,"","Parts end: "&amp;IF(ISNUMBER(INDEX('Dealer pipeline'!$J$4:$J$503,_calc!$E$92)),TEXT(INDEX('Dealer pipeline'!$J$4:$J$503,_calc!$E$92),"yyyy-mm-dd"),"")&amp;". ")&amp;IF(LEN(IF(ISNUMBER(INDEX('Dealer pipeline'!$L$4:$L$503,_calc!$E$92)),TEXT(INDEX('Dealer pipeline'!$L$4:$L$503,_calc!$E$92),"yyyy-mm-dd"),""))=0,"","Labor end: "&amp;IF(ISNUMBER(INDEX('Dealer pipeline'!$L$4:$L$503,_calc!$E$92)),TEXT(INDEX('Dealer pipeline'!$L$4:$L$503,_calc!$E$92),"yyyy-mm-dd"),"")&amp;". ")&amp;IF(LEN(IF(LEN(INDEX('Dealer pipeline'!$Q$4:$Q$503,_calc!$E$92))=0,"",INDEX('Dealer pipeline'!$Q$4:$Q$503,_calc!$E$92)))=0,"","Status: "&amp;IF(LEN(INDEX('Dealer pipeline'!$Q$4:$Q$503,_calc!$E$92))=0,"",INDEX('Dealer pipeline'!$Q$4:$Q$503,_calc!$E$92))&amp;". ")&amp;IF(LEN(IF(LEN(INDEX('Dealer pipeline'!$P$4:$P$503,_calc!$E$92))=0,"",INDEX('Dealer pipeline'!$P$4:$P$503,_calc!$E$92)))=0,"","Last touch: "&amp;IF(LEN(INDEX('Dealer pipeline'!$P$4:$P$503,_calc!$E$92))=0,"",INDEX('Dealer pipeline'!$P$4:$P$503,_calc!$E$92))&amp;". ")&amp;IF(LEN(IF(LEN(INDEX('Dealer pipeline'!$R$4:$R$503,_calc!$E$92))=0,"",INDEX('Dealer pipeline'!$R$4:$R$503,_calc!$E$92)))=0,"","Owner: "&amp;IF(LEN(INDEX('Dealer pipeline'!$R$4:$R$503,_calc!$E$92))=0,"",INDEX('Dealer pipeline'!$R$4:$R$503,_calc!$E$92))&amp;". ")&amp;IF(LEN(IF(LEN(INDEX('Dealer pipeline'!$S$4:$S$503,_calc!$E$92))=0,"",INDEX('Dealer pipeline'!$S$4:$S$503,_calc!$E$92)))=0,"","Backup: "&amp;IF(LEN(INDEX('Dealer pipeline'!$S$4:$S$503,_calc!$E$92))=0,"",INDEX('Dealer pipeline'!$S$4:$S$503,_calc!$E$92))&amp;". ")&amp;IF(LEN(IF(LEN(INDEX('Dealer pipeline'!$T$4:$T$503,_calc!$E$92))=0,"",INDEX('Dealer pipeline'!$T$4:$T$503,_calc!$E$92)))=0,"",IF(LEN(INDEX('Dealer pipeline'!$T$4:$T$503,_calc!$E$92))=0,"",INDEX('Dealer pipeline'!$T$4:$T$503,_calc!$E$92)))),TRIM(IF(LEN(IF(LEN(INDEX('My equipment'!$C$4:$C$503,(_calc!$E$92-500)))=0,"",INDEX('My equipment'!$C$4:$C$503,(_calc!$E$92-500))))=0,"","Model: "&amp;IF(LEN(INDEX('My equipment'!$C$4:$C$503,(_calc!$E$92-500)))=0,"",INDEX('My equipment'!$C$4:$C$503,(_calc!$E$92-500)))&amp;". ")&amp;IF(LEN(IF(LEN(INDEX('My equipment'!$D$4:$D$503,(_calc!$E$92-500)))=0,"",INDEX('My equipment'!$D$4:$D$503,(_calc!$E$92-500))))=0,"","Serial: "&amp;IF(LEN(INDEX('My equipment'!$D$4:$D$503,(_calc!$E$92-500)))=0,"",INDEX('My equipment'!$D$4:$D$503,(_calc!$E$92-500)))&amp;". ")&amp;IF(LEN(IF(ISNUMBER(INDEX('My equipment'!$J$4:$J$503,(_calc!$E$92-500))),TEXT(INDEX('My equipment'!$J$4:$J$503,(_calc!$E$92-500)),"yyyy-mm-dd"),""))=0,"","Parts end: "&amp;IF(ISNUMBER(INDEX('My equipment'!$J$4:$J$503,(_calc!$E$92-500))),TEXT(INDEX('My equipment'!$J$4:$J$503,(_calc!$E$92-500)),"yyyy-mm-dd"),"")&amp;". ")&amp;IF(LEN(IF(ISNUMBER(INDEX('My equipment'!$L$4:$L$503,(_calc!$E$92-500))),TEXT(INDEX('My equipment'!$L$4:$L$503,(_calc!$E$92-500)),"yyyy-mm-dd"),""))=0,"","Labor end: "&amp;IF(ISNUMBER(INDEX('My equipment'!$L$4:$L$503,(_calc!$E$92-500))),TEXT(INDEX('My equipment'!$L$4:$L$503,(_calc!$E$92-500)),"yyyy-mm-dd"),"")&amp;". ")&amp;IF(LEN(IF(ISNUMBER(INDEX('My equipment'!$P$4:$P$503,(_calc!$E$92-500))),TEXT(INDEX('My equipment'!$P$4:$P$503,(_calc!$E$92-500)),"yyyy-mm-dd"),""))=0,"","Check by: "&amp;IF(ISNUMBER(INDEX('My equipment'!$P$4:$P$503,(_calc!$E$92-500))),TEXT(INDEX('My equipment'!$P$4:$P$503,(_calc!$E$92-500)),"yyyy-mm-dd"),"")&amp;". ")&amp;IF(LEN(IF(LEN(INDEX('My equipment'!$Q$4:$Q$503,(_calc!$E$92-500)))=0,"",INDEX('My equipment'!$Q$4:$Q$503,(_calc!$E$92-500))))=0,"","Claim status: "&amp;IF(LEN(INDEX('My equipment'!$Q$4:$Q$503,(_calc!$E$92-500)))=0,"",INDEX('My equipment'!$Q$4:$Q$503,(_calc!$E$92-500)))&amp;". ")&amp;IF(LEN(IF(LEN(INDEX('My equipment'!$R$4:$R$503,(_calc!$E$92-500)))=0,"",INDEX('My equipment'!$R$4:$R$503,(_calc!$E$92-500))))=0,"","Claims contact: "&amp;IF(LEN(INDEX('My equipment'!$R$4:$R$503,(_calc!$E$92-500)))=0,"",INDEX('My equipment'!$R$4:$R$503,(_calc!$E$92-500)))&amp;". ")&amp;IF(LEN(IF(LEN(INDEX('My equipment'!$S$4:$S$503,(_calc!$E$92-500)))=0,"",INDEX('My equipment'!$S$4:$S$503,(_calc!$E$92-500))))=0,"","Claims email: "&amp;IF(LEN(INDEX('My equipment'!$S$4:$S$503,(_calc!$E$92-500)))=0,"",INDEX('My equipment'!$S$4:$S$503,(_calc!$E$92-500)))&amp;". ")&amp;IF(LEN(IF(LEN(INDEX('My equipment'!$U$4:$U$503,(_calc!$E$92-500)))=0,"",INDEX('My equipment'!$U$4:$U$503,(_calc!$E$92-500))))=0,"","Registered: "&amp;IF(LEN(INDEX('My equipment'!$U$4:$U$503,(_calc!$E$92-500)))=0,"",INDEX('My equipment'!$U$4:$U$503,(_calc!$E$92-500)))&amp;". ")&amp;IF(LEN(IF(LEN(INDEX('My equipment'!$V$4:$V$503,(_calc!$E$92-500)))=0,"",INDEX('My equipment'!$V$4:$V$503,(_calc!$E$92-500))))=0,"","Proof on file: "&amp;IF(LEN(INDEX('My equipment'!$V$4:$V$503,(_calc!$E$92-500)))=0,"",INDEX('My equipment'!$V$4:$V$503,(_calc!$E$92-500)))&amp;". ")&amp;IF(LEN(IF(LEN(INDEX('My equipment'!$W$4:$W$503,(_calc!$E$92-500)))=0,"",INDEX('My equipment'!$W$4:$W$503,(_calc!$E$92-500))))=0,"","Claim ref: "&amp;IF(LEN(INDEX('My equipment'!$W$4:$W$503,(_calc!$E$92-500)))=0,"",INDEX('My equipment'!$W$4:$W$503,(_calc!$E$92-500)))&amp;". ")&amp;IF(LEN(IF(LEN(INDEX('My equipment'!$Y$4:$Y$503,(_calc!$E$92-500)))=0,"",INDEX('My equipment'!$Y$4:$Y$503,(_calc!$E$92-500))))=0,"",IF(LEN(INDEX('My equipment'!$Y$4:$Y$503,(_calc!$E$92-500)))=0,"",INDEX('My equipment'!$Y$4:$Y$503,(_calc!$E$92-500)))))))</f>
        <v/>
      </c>
      <c r="G90" s="54">
        <f>IF(_calc!$E$92="","",IF(_calc!$E$92&lt;=500,"",IF(LEN(INDEX('My equipment'!$X$4:$X$503,(_calc!$E$92-500)))=0,"",INDEX('My equipment'!$X$4:$X$503,(_calc!$E$92-500)))))</f>
        <v/>
      </c>
      <c r="K90" s="54">
        <f>IF(_calc!$E$92="","",IF(_calc!$E$92&lt;=500,"",IF(LEN(INDEX('My equipment'!$T$4:$T$503,(_calc!$E$92-500)))=0,"",INDEX('My equipment'!$T$4:$T$503,(_calc!$E$92-500)))))</f>
        <v/>
      </c>
    </row>
    <row r="91">
      <c r="A91" s="54">
        <f>IF(_calc!$E$93="","",IF(_calc!$E$93&lt;=500,"Warranty – "&amp;IF(LEN(INDEX('Dealer pipeline'!$C$4:$C$503,_calc!$E$93))=0,"",INDEX('Dealer pipeline'!$C$4:$C$503,_calc!$E$93))&amp;" – "&amp;IF(LEN(INDEX('Dealer pipeline'!$D$4:$D$503,_calc!$E$93))=0,"",INDEX('Dealer pipeline'!$D$4:$D$503,_calc!$E$93))&amp;" – "&amp;IF(LEN(INDEX('Dealer pipeline'!$A$4:$A$503,_calc!$E$93))=0,"",INDEX('Dealer pipeline'!$A$4:$A$503,_calc!$E$93)),"Warranty – "&amp;IF(LEN(INDEX('My equipment'!$A$4:$A$503,(_calc!$E$93-500)))=0,"",INDEX('My equipment'!$A$4:$A$503,(_calc!$E$93-500)))&amp;" – "&amp;IF(LEN(INDEX('My equipment'!$D$4:$D$503,(_calc!$E$93-500)))=0,"",INDEX('My equipment'!$D$4:$D$503,(_calc!$E$93-500)))))</f>
        <v/>
      </c>
      <c r="B91" s="54">
        <f>IF(_calc!$E$93="","",IF(_calc!$E$93&lt;=500,IF(ISNUMBER(INDEX('Dealer pipeline'!$M$4:$M$503,_calc!$E$93)),TEXT(INDEX('Dealer pipeline'!$M$4:$M$503,_calc!$E$93),"yyyy-mm-dd"),""),IF(ISNUMBER(INDEX('My equipment'!$M$4:$M$503,(_calc!$E$93-500))),TEXT(INDEX('My equipment'!$M$4:$M$503,(_calc!$E$93-500)),"yyyy-mm-dd"),"")))</f>
        <v/>
      </c>
      <c r="C91" s="54">
        <f>IF(_calc!$E$93="","",IF(_calc!$E$93&lt;=500,"Warranty","Warranty"))</f>
        <v/>
      </c>
      <c r="D91" s="54">
        <f>IF(_calc!$E$93="","",IF(_calc!$E$93&lt;=500,IF(ISNUMBER(INDEX('Dealer pipeline'!$H$4:$H$503,_calc!$E$93)),TEXT(INDEX('Dealer pipeline'!$H$4:$H$503,_calc!$E$93),"yyyy-mm-dd"),""),IF(ISNUMBER(INDEX('My equipment'!$H$4:$H$503,(_calc!$E$93-500))),TEXT(INDEX('My equipment'!$H$4:$H$503,(_calc!$E$93-500)),"yyyy-mm-dd"),"")))</f>
        <v/>
      </c>
      <c r="F91" s="54">
        <f>IF(_calc!$E$93="","",IF(_calc!$E$93&lt;=500,TRIM(IF(LEN(IF(LEN(INDEX('Dealer pipeline'!$A$4:$A$503,_calc!$E$93))=0,"",INDEX('Dealer pipeline'!$A$4:$A$503,_calc!$E$93)))=0,"","Customer: "&amp;IF(LEN(INDEX('Dealer pipeline'!$A$4:$A$503,_calc!$E$93))=0,"",INDEX('Dealer pipeline'!$A$4:$A$503,_calc!$E$93))&amp;". ")&amp;IF(LEN(IF(LEN(INDEX('Dealer pipeline'!$B$4:$B$503,_calc!$E$93))=0,"",INDEX('Dealer pipeline'!$B$4:$B$503,_calc!$E$93)))=0,"","Contact: "&amp;IF(LEN(INDEX('Dealer pipeline'!$B$4:$B$503,_calc!$E$93))=0,"",INDEX('Dealer pipeline'!$B$4:$B$503,_calc!$E$93))&amp;". ")&amp;IF(LEN(IF(LEN(INDEX('Dealer pipeline'!$D$4:$D$503,_calc!$E$93))=0,"",INDEX('Dealer pipeline'!$D$4:$D$503,_calc!$E$93)))=0,"","Serial: "&amp;IF(LEN(INDEX('Dealer pipeline'!$D$4:$D$503,_calc!$E$93))=0,"",INDEX('Dealer pipeline'!$D$4:$D$503,_calc!$E$93))&amp;". ")&amp;IF(LEN(IF(ISNUMBER(INDEX('Dealer pipeline'!$J$4:$J$503,_calc!$E$93)),TEXT(INDEX('Dealer pipeline'!$J$4:$J$503,_calc!$E$93),"yyyy-mm-dd"),""))=0,"","Parts end: "&amp;IF(ISNUMBER(INDEX('Dealer pipeline'!$J$4:$J$503,_calc!$E$93)),TEXT(INDEX('Dealer pipeline'!$J$4:$J$503,_calc!$E$93),"yyyy-mm-dd"),"")&amp;". ")&amp;IF(LEN(IF(ISNUMBER(INDEX('Dealer pipeline'!$L$4:$L$503,_calc!$E$93)),TEXT(INDEX('Dealer pipeline'!$L$4:$L$503,_calc!$E$93),"yyyy-mm-dd"),""))=0,"","Labor end: "&amp;IF(ISNUMBER(INDEX('Dealer pipeline'!$L$4:$L$503,_calc!$E$93)),TEXT(INDEX('Dealer pipeline'!$L$4:$L$503,_calc!$E$93),"yyyy-mm-dd"),"")&amp;". ")&amp;IF(LEN(IF(LEN(INDEX('Dealer pipeline'!$Q$4:$Q$503,_calc!$E$93))=0,"",INDEX('Dealer pipeline'!$Q$4:$Q$503,_calc!$E$93)))=0,"","Status: "&amp;IF(LEN(INDEX('Dealer pipeline'!$Q$4:$Q$503,_calc!$E$93))=0,"",INDEX('Dealer pipeline'!$Q$4:$Q$503,_calc!$E$93))&amp;". ")&amp;IF(LEN(IF(LEN(INDEX('Dealer pipeline'!$P$4:$P$503,_calc!$E$93))=0,"",INDEX('Dealer pipeline'!$P$4:$P$503,_calc!$E$93)))=0,"","Last touch: "&amp;IF(LEN(INDEX('Dealer pipeline'!$P$4:$P$503,_calc!$E$93))=0,"",INDEX('Dealer pipeline'!$P$4:$P$503,_calc!$E$93))&amp;". ")&amp;IF(LEN(IF(LEN(INDEX('Dealer pipeline'!$R$4:$R$503,_calc!$E$93))=0,"",INDEX('Dealer pipeline'!$R$4:$R$503,_calc!$E$93)))=0,"","Owner: "&amp;IF(LEN(INDEX('Dealer pipeline'!$R$4:$R$503,_calc!$E$93))=0,"",INDEX('Dealer pipeline'!$R$4:$R$503,_calc!$E$93))&amp;". ")&amp;IF(LEN(IF(LEN(INDEX('Dealer pipeline'!$S$4:$S$503,_calc!$E$93))=0,"",INDEX('Dealer pipeline'!$S$4:$S$503,_calc!$E$93)))=0,"","Backup: "&amp;IF(LEN(INDEX('Dealer pipeline'!$S$4:$S$503,_calc!$E$93))=0,"",INDEX('Dealer pipeline'!$S$4:$S$503,_calc!$E$93))&amp;". ")&amp;IF(LEN(IF(LEN(INDEX('Dealer pipeline'!$T$4:$T$503,_calc!$E$93))=0,"",INDEX('Dealer pipeline'!$T$4:$T$503,_calc!$E$93)))=0,"",IF(LEN(INDEX('Dealer pipeline'!$T$4:$T$503,_calc!$E$93))=0,"",INDEX('Dealer pipeline'!$T$4:$T$503,_calc!$E$93)))),TRIM(IF(LEN(IF(LEN(INDEX('My equipment'!$C$4:$C$503,(_calc!$E$93-500)))=0,"",INDEX('My equipment'!$C$4:$C$503,(_calc!$E$93-500))))=0,"","Model: "&amp;IF(LEN(INDEX('My equipment'!$C$4:$C$503,(_calc!$E$93-500)))=0,"",INDEX('My equipment'!$C$4:$C$503,(_calc!$E$93-500)))&amp;". ")&amp;IF(LEN(IF(LEN(INDEX('My equipment'!$D$4:$D$503,(_calc!$E$93-500)))=0,"",INDEX('My equipment'!$D$4:$D$503,(_calc!$E$93-500))))=0,"","Serial: "&amp;IF(LEN(INDEX('My equipment'!$D$4:$D$503,(_calc!$E$93-500)))=0,"",INDEX('My equipment'!$D$4:$D$503,(_calc!$E$93-500)))&amp;". ")&amp;IF(LEN(IF(ISNUMBER(INDEX('My equipment'!$J$4:$J$503,(_calc!$E$93-500))),TEXT(INDEX('My equipment'!$J$4:$J$503,(_calc!$E$93-500)),"yyyy-mm-dd"),""))=0,"","Parts end: "&amp;IF(ISNUMBER(INDEX('My equipment'!$J$4:$J$503,(_calc!$E$93-500))),TEXT(INDEX('My equipment'!$J$4:$J$503,(_calc!$E$93-500)),"yyyy-mm-dd"),"")&amp;". ")&amp;IF(LEN(IF(ISNUMBER(INDEX('My equipment'!$L$4:$L$503,(_calc!$E$93-500))),TEXT(INDEX('My equipment'!$L$4:$L$503,(_calc!$E$93-500)),"yyyy-mm-dd"),""))=0,"","Labor end: "&amp;IF(ISNUMBER(INDEX('My equipment'!$L$4:$L$503,(_calc!$E$93-500))),TEXT(INDEX('My equipment'!$L$4:$L$503,(_calc!$E$93-500)),"yyyy-mm-dd"),"")&amp;". ")&amp;IF(LEN(IF(ISNUMBER(INDEX('My equipment'!$P$4:$P$503,(_calc!$E$93-500))),TEXT(INDEX('My equipment'!$P$4:$P$503,(_calc!$E$93-500)),"yyyy-mm-dd"),""))=0,"","Check by: "&amp;IF(ISNUMBER(INDEX('My equipment'!$P$4:$P$503,(_calc!$E$93-500))),TEXT(INDEX('My equipment'!$P$4:$P$503,(_calc!$E$93-500)),"yyyy-mm-dd"),"")&amp;". ")&amp;IF(LEN(IF(LEN(INDEX('My equipment'!$Q$4:$Q$503,(_calc!$E$93-500)))=0,"",INDEX('My equipment'!$Q$4:$Q$503,(_calc!$E$93-500))))=0,"","Claim status: "&amp;IF(LEN(INDEX('My equipment'!$Q$4:$Q$503,(_calc!$E$93-500)))=0,"",INDEX('My equipment'!$Q$4:$Q$503,(_calc!$E$93-500)))&amp;". ")&amp;IF(LEN(IF(LEN(INDEX('My equipment'!$R$4:$R$503,(_calc!$E$93-500)))=0,"",INDEX('My equipment'!$R$4:$R$503,(_calc!$E$93-500))))=0,"","Claims contact: "&amp;IF(LEN(INDEX('My equipment'!$R$4:$R$503,(_calc!$E$93-500)))=0,"",INDEX('My equipment'!$R$4:$R$503,(_calc!$E$93-500)))&amp;". ")&amp;IF(LEN(IF(LEN(INDEX('My equipment'!$S$4:$S$503,(_calc!$E$93-500)))=0,"",INDEX('My equipment'!$S$4:$S$503,(_calc!$E$93-500))))=0,"","Claims email: "&amp;IF(LEN(INDEX('My equipment'!$S$4:$S$503,(_calc!$E$93-500)))=0,"",INDEX('My equipment'!$S$4:$S$503,(_calc!$E$93-500)))&amp;". ")&amp;IF(LEN(IF(LEN(INDEX('My equipment'!$U$4:$U$503,(_calc!$E$93-500)))=0,"",INDEX('My equipment'!$U$4:$U$503,(_calc!$E$93-500))))=0,"","Registered: "&amp;IF(LEN(INDEX('My equipment'!$U$4:$U$503,(_calc!$E$93-500)))=0,"",INDEX('My equipment'!$U$4:$U$503,(_calc!$E$93-500)))&amp;". ")&amp;IF(LEN(IF(LEN(INDEX('My equipment'!$V$4:$V$503,(_calc!$E$93-500)))=0,"",INDEX('My equipment'!$V$4:$V$503,(_calc!$E$93-500))))=0,"","Proof on file: "&amp;IF(LEN(INDEX('My equipment'!$V$4:$V$503,(_calc!$E$93-500)))=0,"",INDEX('My equipment'!$V$4:$V$503,(_calc!$E$93-500)))&amp;". ")&amp;IF(LEN(IF(LEN(INDEX('My equipment'!$W$4:$W$503,(_calc!$E$93-500)))=0,"",INDEX('My equipment'!$W$4:$W$503,(_calc!$E$93-500))))=0,"","Claim ref: "&amp;IF(LEN(INDEX('My equipment'!$W$4:$W$503,(_calc!$E$93-500)))=0,"",INDEX('My equipment'!$W$4:$W$503,(_calc!$E$93-500)))&amp;". ")&amp;IF(LEN(IF(LEN(INDEX('My equipment'!$Y$4:$Y$503,(_calc!$E$93-500)))=0,"",INDEX('My equipment'!$Y$4:$Y$503,(_calc!$E$93-500))))=0,"",IF(LEN(INDEX('My equipment'!$Y$4:$Y$503,(_calc!$E$93-500)))=0,"",INDEX('My equipment'!$Y$4:$Y$503,(_calc!$E$93-500)))))))</f>
        <v/>
      </c>
      <c r="G91" s="54">
        <f>IF(_calc!$E$93="","",IF(_calc!$E$93&lt;=500,"",IF(LEN(INDEX('My equipment'!$X$4:$X$503,(_calc!$E$93-500)))=0,"",INDEX('My equipment'!$X$4:$X$503,(_calc!$E$93-500)))))</f>
        <v/>
      </c>
      <c r="K91" s="54">
        <f>IF(_calc!$E$93="","",IF(_calc!$E$93&lt;=500,"",IF(LEN(INDEX('My equipment'!$T$4:$T$503,(_calc!$E$93-500)))=0,"",INDEX('My equipment'!$T$4:$T$503,(_calc!$E$93-500)))))</f>
        <v/>
      </c>
    </row>
    <row r="92">
      <c r="A92" s="54">
        <f>IF(_calc!$E$94="","",IF(_calc!$E$94&lt;=500,"Warranty – "&amp;IF(LEN(INDEX('Dealer pipeline'!$C$4:$C$503,_calc!$E$94))=0,"",INDEX('Dealer pipeline'!$C$4:$C$503,_calc!$E$94))&amp;" – "&amp;IF(LEN(INDEX('Dealer pipeline'!$D$4:$D$503,_calc!$E$94))=0,"",INDEX('Dealer pipeline'!$D$4:$D$503,_calc!$E$94))&amp;" – "&amp;IF(LEN(INDEX('Dealer pipeline'!$A$4:$A$503,_calc!$E$94))=0,"",INDEX('Dealer pipeline'!$A$4:$A$503,_calc!$E$94)),"Warranty – "&amp;IF(LEN(INDEX('My equipment'!$A$4:$A$503,(_calc!$E$94-500)))=0,"",INDEX('My equipment'!$A$4:$A$503,(_calc!$E$94-500)))&amp;" – "&amp;IF(LEN(INDEX('My equipment'!$D$4:$D$503,(_calc!$E$94-500)))=0,"",INDEX('My equipment'!$D$4:$D$503,(_calc!$E$94-500)))))</f>
        <v/>
      </c>
      <c r="B92" s="54">
        <f>IF(_calc!$E$94="","",IF(_calc!$E$94&lt;=500,IF(ISNUMBER(INDEX('Dealer pipeline'!$M$4:$M$503,_calc!$E$94)),TEXT(INDEX('Dealer pipeline'!$M$4:$M$503,_calc!$E$94),"yyyy-mm-dd"),""),IF(ISNUMBER(INDEX('My equipment'!$M$4:$M$503,(_calc!$E$94-500))),TEXT(INDEX('My equipment'!$M$4:$M$503,(_calc!$E$94-500)),"yyyy-mm-dd"),"")))</f>
        <v/>
      </c>
      <c r="C92" s="54">
        <f>IF(_calc!$E$94="","",IF(_calc!$E$94&lt;=500,"Warranty","Warranty"))</f>
        <v/>
      </c>
      <c r="D92" s="54">
        <f>IF(_calc!$E$94="","",IF(_calc!$E$94&lt;=500,IF(ISNUMBER(INDEX('Dealer pipeline'!$H$4:$H$503,_calc!$E$94)),TEXT(INDEX('Dealer pipeline'!$H$4:$H$503,_calc!$E$94),"yyyy-mm-dd"),""),IF(ISNUMBER(INDEX('My equipment'!$H$4:$H$503,(_calc!$E$94-500))),TEXT(INDEX('My equipment'!$H$4:$H$503,(_calc!$E$94-500)),"yyyy-mm-dd"),"")))</f>
        <v/>
      </c>
      <c r="F92" s="54">
        <f>IF(_calc!$E$94="","",IF(_calc!$E$94&lt;=500,TRIM(IF(LEN(IF(LEN(INDEX('Dealer pipeline'!$A$4:$A$503,_calc!$E$94))=0,"",INDEX('Dealer pipeline'!$A$4:$A$503,_calc!$E$94)))=0,"","Customer: "&amp;IF(LEN(INDEX('Dealer pipeline'!$A$4:$A$503,_calc!$E$94))=0,"",INDEX('Dealer pipeline'!$A$4:$A$503,_calc!$E$94))&amp;". ")&amp;IF(LEN(IF(LEN(INDEX('Dealer pipeline'!$B$4:$B$503,_calc!$E$94))=0,"",INDEX('Dealer pipeline'!$B$4:$B$503,_calc!$E$94)))=0,"","Contact: "&amp;IF(LEN(INDEX('Dealer pipeline'!$B$4:$B$503,_calc!$E$94))=0,"",INDEX('Dealer pipeline'!$B$4:$B$503,_calc!$E$94))&amp;". ")&amp;IF(LEN(IF(LEN(INDEX('Dealer pipeline'!$D$4:$D$503,_calc!$E$94))=0,"",INDEX('Dealer pipeline'!$D$4:$D$503,_calc!$E$94)))=0,"","Serial: "&amp;IF(LEN(INDEX('Dealer pipeline'!$D$4:$D$503,_calc!$E$94))=0,"",INDEX('Dealer pipeline'!$D$4:$D$503,_calc!$E$94))&amp;". ")&amp;IF(LEN(IF(ISNUMBER(INDEX('Dealer pipeline'!$J$4:$J$503,_calc!$E$94)),TEXT(INDEX('Dealer pipeline'!$J$4:$J$503,_calc!$E$94),"yyyy-mm-dd"),""))=0,"","Parts end: "&amp;IF(ISNUMBER(INDEX('Dealer pipeline'!$J$4:$J$503,_calc!$E$94)),TEXT(INDEX('Dealer pipeline'!$J$4:$J$503,_calc!$E$94),"yyyy-mm-dd"),"")&amp;". ")&amp;IF(LEN(IF(ISNUMBER(INDEX('Dealer pipeline'!$L$4:$L$503,_calc!$E$94)),TEXT(INDEX('Dealer pipeline'!$L$4:$L$503,_calc!$E$94),"yyyy-mm-dd"),""))=0,"","Labor end: "&amp;IF(ISNUMBER(INDEX('Dealer pipeline'!$L$4:$L$503,_calc!$E$94)),TEXT(INDEX('Dealer pipeline'!$L$4:$L$503,_calc!$E$94),"yyyy-mm-dd"),"")&amp;". ")&amp;IF(LEN(IF(LEN(INDEX('Dealer pipeline'!$Q$4:$Q$503,_calc!$E$94))=0,"",INDEX('Dealer pipeline'!$Q$4:$Q$503,_calc!$E$94)))=0,"","Status: "&amp;IF(LEN(INDEX('Dealer pipeline'!$Q$4:$Q$503,_calc!$E$94))=0,"",INDEX('Dealer pipeline'!$Q$4:$Q$503,_calc!$E$94))&amp;". ")&amp;IF(LEN(IF(LEN(INDEX('Dealer pipeline'!$P$4:$P$503,_calc!$E$94))=0,"",INDEX('Dealer pipeline'!$P$4:$P$503,_calc!$E$94)))=0,"","Last touch: "&amp;IF(LEN(INDEX('Dealer pipeline'!$P$4:$P$503,_calc!$E$94))=0,"",INDEX('Dealer pipeline'!$P$4:$P$503,_calc!$E$94))&amp;". ")&amp;IF(LEN(IF(LEN(INDEX('Dealer pipeline'!$R$4:$R$503,_calc!$E$94))=0,"",INDEX('Dealer pipeline'!$R$4:$R$503,_calc!$E$94)))=0,"","Owner: "&amp;IF(LEN(INDEX('Dealer pipeline'!$R$4:$R$503,_calc!$E$94))=0,"",INDEX('Dealer pipeline'!$R$4:$R$503,_calc!$E$94))&amp;". ")&amp;IF(LEN(IF(LEN(INDEX('Dealer pipeline'!$S$4:$S$503,_calc!$E$94))=0,"",INDEX('Dealer pipeline'!$S$4:$S$503,_calc!$E$94)))=0,"","Backup: "&amp;IF(LEN(INDEX('Dealer pipeline'!$S$4:$S$503,_calc!$E$94))=0,"",INDEX('Dealer pipeline'!$S$4:$S$503,_calc!$E$94))&amp;". ")&amp;IF(LEN(IF(LEN(INDEX('Dealer pipeline'!$T$4:$T$503,_calc!$E$94))=0,"",INDEX('Dealer pipeline'!$T$4:$T$503,_calc!$E$94)))=0,"",IF(LEN(INDEX('Dealer pipeline'!$T$4:$T$503,_calc!$E$94))=0,"",INDEX('Dealer pipeline'!$T$4:$T$503,_calc!$E$94)))),TRIM(IF(LEN(IF(LEN(INDEX('My equipment'!$C$4:$C$503,(_calc!$E$94-500)))=0,"",INDEX('My equipment'!$C$4:$C$503,(_calc!$E$94-500))))=0,"","Model: "&amp;IF(LEN(INDEX('My equipment'!$C$4:$C$503,(_calc!$E$94-500)))=0,"",INDEX('My equipment'!$C$4:$C$503,(_calc!$E$94-500)))&amp;". ")&amp;IF(LEN(IF(LEN(INDEX('My equipment'!$D$4:$D$503,(_calc!$E$94-500)))=0,"",INDEX('My equipment'!$D$4:$D$503,(_calc!$E$94-500))))=0,"","Serial: "&amp;IF(LEN(INDEX('My equipment'!$D$4:$D$503,(_calc!$E$94-500)))=0,"",INDEX('My equipment'!$D$4:$D$503,(_calc!$E$94-500)))&amp;". ")&amp;IF(LEN(IF(ISNUMBER(INDEX('My equipment'!$J$4:$J$503,(_calc!$E$94-500))),TEXT(INDEX('My equipment'!$J$4:$J$503,(_calc!$E$94-500)),"yyyy-mm-dd"),""))=0,"","Parts end: "&amp;IF(ISNUMBER(INDEX('My equipment'!$J$4:$J$503,(_calc!$E$94-500))),TEXT(INDEX('My equipment'!$J$4:$J$503,(_calc!$E$94-500)),"yyyy-mm-dd"),"")&amp;". ")&amp;IF(LEN(IF(ISNUMBER(INDEX('My equipment'!$L$4:$L$503,(_calc!$E$94-500))),TEXT(INDEX('My equipment'!$L$4:$L$503,(_calc!$E$94-500)),"yyyy-mm-dd"),""))=0,"","Labor end: "&amp;IF(ISNUMBER(INDEX('My equipment'!$L$4:$L$503,(_calc!$E$94-500))),TEXT(INDEX('My equipment'!$L$4:$L$503,(_calc!$E$94-500)),"yyyy-mm-dd"),"")&amp;". ")&amp;IF(LEN(IF(ISNUMBER(INDEX('My equipment'!$P$4:$P$503,(_calc!$E$94-500))),TEXT(INDEX('My equipment'!$P$4:$P$503,(_calc!$E$94-500)),"yyyy-mm-dd"),""))=0,"","Check by: "&amp;IF(ISNUMBER(INDEX('My equipment'!$P$4:$P$503,(_calc!$E$94-500))),TEXT(INDEX('My equipment'!$P$4:$P$503,(_calc!$E$94-500)),"yyyy-mm-dd"),"")&amp;". ")&amp;IF(LEN(IF(LEN(INDEX('My equipment'!$Q$4:$Q$503,(_calc!$E$94-500)))=0,"",INDEX('My equipment'!$Q$4:$Q$503,(_calc!$E$94-500))))=0,"","Claim status: "&amp;IF(LEN(INDEX('My equipment'!$Q$4:$Q$503,(_calc!$E$94-500)))=0,"",INDEX('My equipment'!$Q$4:$Q$503,(_calc!$E$94-500)))&amp;". ")&amp;IF(LEN(IF(LEN(INDEX('My equipment'!$R$4:$R$503,(_calc!$E$94-500)))=0,"",INDEX('My equipment'!$R$4:$R$503,(_calc!$E$94-500))))=0,"","Claims contact: "&amp;IF(LEN(INDEX('My equipment'!$R$4:$R$503,(_calc!$E$94-500)))=0,"",INDEX('My equipment'!$R$4:$R$503,(_calc!$E$94-500)))&amp;". ")&amp;IF(LEN(IF(LEN(INDEX('My equipment'!$S$4:$S$503,(_calc!$E$94-500)))=0,"",INDEX('My equipment'!$S$4:$S$503,(_calc!$E$94-500))))=0,"","Claims email: "&amp;IF(LEN(INDEX('My equipment'!$S$4:$S$503,(_calc!$E$94-500)))=0,"",INDEX('My equipment'!$S$4:$S$503,(_calc!$E$94-500)))&amp;". ")&amp;IF(LEN(IF(LEN(INDEX('My equipment'!$U$4:$U$503,(_calc!$E$94-500)))=0,"",INDEX('My equipment'!$U$4:$U$503,(_calc!$E$94-500))))=0,"","Registered: "&amp;IF(LEN(INDEX('My equipment'!$U$4:$U$503,(_calc!$E$94-500)))=0,"",INDEX('My equipment'!$U$4:$U$503,(_calc!$E$94-500)))&amp;". ")&amp;IF(LEN(IF(LEN(INDEX('My equipment'!$V$4:$V$503,(_calc!$E$94-500)))=0,"",INDEX('My equipment'!$V$4:$V$503,(_calc!$E$94-500))))=0,"","Proof on file: "&amp;IF(LEN(INDEX('My equipment'!$V$4:$V$503,(_calc!$E$94-500)))=0,"",INDEX('My equipment'!$V$4:$V$503,(_calc!$E$94-500)))&amp;". ")&amp;IF(LEN(IF(LEN(INDEX('My equipment'!$W$4:$W$503,(_calc!$E$94-500)))=0,"",INDEX('My equipment'!$W$4:$W$503,(_calc!$E$94-500))))=0,"","Claim ref: "&amp;IF(LEN(INDEX('My equipment'!$W$4:$W$503,(_calc!$E$94-500)))=0,"",INDEX('My equipment'!$W$4:$W$503,(_calc!$E$94-500)))&amp;". ")&amp;IF(LEN(IF(LEN(INDEX('My equipment'!$Y$4:$Y$503,(_calc!$E$94-500)))=0,"",INDEX('My equipment'!$Y$4:$Y$503,(_calc!$E$94-500))))=0,"",IF(LEN(INDEX('My equipment'!$Y$4:$Y$503,(_calc!$E$94-500)))=0,"",INDEX('My equipment'!$Y$4:$Y$503,(_calc!$E$94-500)))))))</f>
        <v/>
      </c>
      <c r="G92" s="54">
        <f>IF(_calc!$E$94="","",IF(_calc!$E$94&lt;=500,"",IF(LEN(INDEX('My equipment'!$X$4:$X$503,(_calc!$E$94-500)))=0,"",INDEX('My equipment'!$X$4:$X$503,(_calc!$E$94-500)))))</f>
        <v/>
      </c>
      <c r="K92" s="54">
        <f>IF(_calc!$E$94="","",IF(_calc!$E$94&lt;=500,"",IF(LEN(INDEX('My equipment'!$T$4:$T$503,(_calc!$E$94-500)))=0,"",INDEX('My equipment'!$T$4:$T$503,(_calc!$E$94-500)))))</f>
        <v/>
      </c>
    </row>
    <row r="93">
      <c r="A93" s="54">
        <f>IF(_calc!$E$95="","",IF(_calc!$E$95&lt;=500,"Warranty – "&amp;IF(LEN(INDEX('Dealer pipeline'!$C$4:$C$503,_calc!$E$95))=0,"",INDEX('Dealer pipeline'!$C$4:$C$503,_calc!$E$95))&amp;" – "&amp;IF(LEN(INDEX('Dealer pipeline'!$D$4:$D$503,_calc!$E$95))=0,"",INDEX('Dealer pipeline'!$D$4:$D$503,_calc!$E$95))&amp;" – "&amp;IF(LEN(INDEX('Dealer pipeline'!$A$4:$A$503,_calc!$E$95))=0,"",INDEX('Dealer pipeline'!$A$4:$A$503,_calc!$E$95)),"Warranty – "&amp;IF(LEN(INDEX('My equipment'!$A$4:$A$503,(_calc!$E$95-500)))=0,"",INDEX('My equipment'!$A$4:$A$503,(_calc!$E$95-500)))&amp;" – "&amp;IF(LEN(INDEX('My equipment'!$D$4:$D$503,(_calc!$E$95-500)))=0,"",INDEX('My equipment'!$D$4:$D$503,(_calc!$E$95-500)))))</f>
        <v/>
      </c>
      <c r="B93" s="54">
        <f>IF(_calc!$E$95="","",IF(_calc!$E$95&lt;=500,IF(ISNUMBER(INDEX('Dealer pipeline'!$M$4:$M$503,_calc!$E$95)),TEXT(INDEX('Dealer pipeline'!$M$4:$M$503,_calc!$E$95),"yyyy-mm-dd"),""),IF(ISNUMBER(INDEX('My equipment'!$M$4:$M$503,(_calc!$E$95-500))),TEXT(INDEX('My equipment'!$M$4:$M$503,(_calc!$E$95-500)),"yyyy-mm-dd"),"")))</f>
        <v/>
      </c>
      <c r="C93" s="54">
        <f>IF(_calc!$E$95="","",IF(_calc!$E$95&lt;=500,"Warranty","Warranty"))</f>
        <v/>
      </c>
      <c r="D93" s="54">
        <f>IF(_calc!$E$95="","",IF(_calc!$E$95&lt;=500,IF(ISNUMBER(INDEX('Dealer pipeline'!$H$4:$H$503,_calc!$E$95)),TEXT(INDEX('Dealer pipeline'!$H$4:$H$503,_calc!$E$95),"yyyy-mm-dd"),""),IF(ISNUMBER(INDEX('My equipment'!$H$4:$H$503,(_calc!$E$95-500))),TEXT(INDEX('My equipment'!$H$4:$H$503,(_calc!$E$95-500)),"yyyy-mm-dd"),"")))</f>
        <v/>
      </c>
      <c r="F93" s="54">
        <f>IF(_calc!$E$95="","",IF(_calc!$E$95&lt;=500,TRIM(IF(LEN(IF(LEN(INDEX('Dealer pipeline'!$A$4:$A$503,_calc!$E$95))=0,"",INDEX('Dealer pipeline'!$A$4:$A$503,_calc!$E$95)))=0,"","Customer: "&amp;IF(LEN(INDEX('Dealer pipeline'!$A$4:$A$503,_calc!$E$95))=0,"",INDEX('Dealer pipeline'!$A$4:$A$503,_calc!$E$95))&amp;". ")&amp;IF(LEN(IF(LEN(INDEX('Dealer pipeline'!$B$4:$B$503,_calc!$E$95))=0,"",INDEX('Dealer pipeline'!$B$4:$B$503,_calc!$E$95)))=0,"","Contact: "&amp;IF(LEN(INDEX('Dealer pipeline'!$B$4:$B$503,_calc!$E$95))=0,"",INDEX('Dealer pipeline'!$B$4:$B$503,_calc!$E$95))&amp;". ")&amp;IF(LEN(IF(LEN(INDEX('Dealer pipeline'!$D$4:$D$503,_calc!$E$95))=0,"",INDEX('Dealer pipeline'!$D$4:$D$503,_calc!$E$95)))=0,"","Serial: "&amp;IF(LEN(INDEX('Dealer pipeline'!$D$4:$D$503,_calc!$E$95))=0,"",INDEX('Dealer pipeline'!$D$4:$D$503,_calc!$E$95))&amp;". ")&amp;IF(LEN(IF(ISNUMBER(INDEX('Dealer pipeline'!$J$4:$J$503,_calc!$E$95)),TEXT(INDEX('Dealer pipeline'!$J$4:$J$503,_calc!$E$95),"yyyy-mm-dd"),""))=0,"","Parts end: "&amp;IF(ISNUMBER(INDEX('Dealer pipeline'!$J$4:$J$503,_calc!$E$95)),TEXT(INDEX('Dealer pipeline'!$J$4:$J$503,_calc!$E$95),"yyyy-mm-dd"),"")&amp;". ")&amp;IF(LEN(IF(ISNUMBER(INDEX('Dealer pipeline'!$L$4:$L$503,_calc!$E$95)),TEXT(INDEX('Dealer pipeline'!$L$4:$L$503,_calc!$E$95),"yyyy-mm-dd"),""))=0,"","Labor end: "&amp;IF(ISNUMBER(INDEX('Dealer pipeline'!$L$4:$L$503,_calc!$E$95)),TEXT(INDEX('Dealer pipeline'!$L$4:$L$503,_calc!$E$95),"yyyy-mm-dd"),"")&amp;". ")&amp;IF(LEN(IF(LEN(INDEX('Dealer pipeline'!$Q$4:$Q$503,_calc!$E$95))=0,"",INDEX('Dealer pipeline'!$Q$4:$Q$503,_calc!$E$95)))=0,"","Status: "&amp;IF(LEN(INDEX('Dealer pipeline'!$Q$4:$Q$503,_calc!$E$95))=0,"",INDEX('Dealer pipeline'!$Q$4:$Q$503,_calc!$E$95))&amp;". ")&amp;IF(LEN(IF(LEN(INDEX('Dealer pipeline'!$P$4:$P$503,_calc!$E$95))=0,"",INDEX('Dealer pipeline'!$P$4:$P$503,_calc!$E$95)))=0,"","Last touch: "&amp;IF(LEN(INDEX('Dealer pipeline'!$P$4:$P$503,_calc!$E$95))=0,"",INDEX('Dealer pipeline'!$P$4:$P$503,_calc!$E$95))&amp;". ")&amp;IF(LEN(IF(LEN(INDEX('Dealer pipeline'!$R$4:$R$503,_calc!$E$95))=0,"",INDEX('Dealer pipeline'!$R$4:$R$503,_calc!$E$95)))=0,"","Owner: "&amp;IF(LEN(INDEX('Dealer pipeline'!$R$4:$R$503,_calc!$E$95))=0,"",INDEX('Dealer pipeline'!$R$4:$R$503,_calc!$E$95))&amp;". ")&amp;IF(LEN(IF(LEN(INDEX('Dealer pipeline'!$S$4:$S$503,_calc!$E$95))=0,"",INDEX('Dealer pipeline'!$S$4:$S$503,_calc!$E$95)))=0,"","Backup: "&amp;IF(LEN(INDEX('Dealer pipeline'!$S$4:$S$503,_calc!$E$95))=0,"",INDEX('Dealer pipeline'!$S$4:$S$503,_calc!$E$95))&amp;". ")&amp;IF(LEN(IF(LEN(INDEX('Dealer pipeline'!$T$4:$T$503,_calc!$E$95))=0,"",INDEX('Dealer pipeline'!$T$4:$T$503,_calc!$E$95)))=0,"",IF(LEN(INDEX('Dealer pipeline'!$T$4:$T$503,_calc!$E$95))=0,"",INDEX('Dealer pipeline'!$T$4:$T$503,_calc!$E$95)))),TRIM(IF(LEN(IF(LEN(INDEX('My equipment'!$C$4:$C$503,(_calc!$E$95-500)))=0,"",INDEX('My equipment'!$C$4:$C$503,(_calc!$E$95-500))))=0,"","Model: "&amp;IF(LEN(INDEX('My equipment'!$C$4:$C$503,(_calc!$E$95-500)))=0,"",INDEX('My equipment'!$C$4:$C$503,(_calc!$E$95-500)))&amp;". ")&amp;IF(LEN(IF(LEN(INDEX('My equipment'!$D$4:$D$503,(_calc!$E$95-500)))=0,"",INDEX('My equipment'!$D$4:$D$503,(_calc!$E$95-500))))=0,"","Serial: "&amp;IF(LEN(INDEX('My equipment'!$D$4:$D$503,(_calc!$E$95-500)))=0,"",INDEX('My equipment'!$D$4:$D$503,(_calc!$E$95-500)))&amp;". ")&amp;IF(LEN(IF(ISNUMBER(INDEX('My equipment'!$J$4:$J$503,(_calc!$E$95-500))),TEXT(INDEX('My equipment'!$J$4:$J$503,(_calc!$E$95-500)),"yyyy-mm-dd"),""))=0,"","Parts end: "&amp;IF(ISNUMBER(INDEX('My equipment'!$J$4:$J$503,(_calc!$E$95-500))),TEXT(INDEX('My equipment'!$J$4:$J$503,(_calc!$E$95-500)),"yyyy-mm-dd"),"")&amp;". ")&amp;IF(LEN(IF(ISNUMBER(INDEX('My equipment'!$L$4:$L$503,(_calc!$E$95-500))),TEXT(INDEX('My equipment'!$L$4:$L$503,(_calc!$E$95-500)),"yyyy-mm-dd"),""))=0,"","Labor end: "&amp;IF(ISNUMBER(INDEX('My equipment'!$L$4:$L$503,(_calc!$E$95-500))),TEXT(INDEX('My equipment'!$L$4:$L$503,(_calc!$E$95-500)),"yyyy-mm-dd"),"")&amp;". ")&amp;IF(LEN(IF(ISNUMBER(INDEX('My equipment'!$P$4:$P$503,(_calc!$E$95-500))),TEXT(INDEX('My equipment'!$P$4:$P$503,(_calc!$E$95-500)),"yyyy-mm-dd"),""))=0,"","Check by: "&amp;IF(ISNUMBER(INDEX('My equipment'!$P$4:$P$503,(_calc!$E$95-500))),TEXT(INDEX('My equipment'!$P$4:$P$503,(_calc!$E$95-500)),"yyyy-mm-dd"),"")&amp;". ")&amp;IF(LEN(IF(LEN(INDEX('My equipment'!$Q$4:$Q$503,(_calc!$E$95-500)))=0,"",INDEX('My equipment'!$Q$4:$Q$503,(_calc!$E$95-500))))=0,"","Claim status: "&amp;IF(LEN(INDEX('My equipment'!$Q$4:$Q$503,(_calc!$E$95-500)))=0,"",INDEX('My equipment'!$Q$4:$Q$503,(_calc!$E$95-500)))&amp;". ")&amp;IF(LEN(IF(LEN(INDEX('My equipment'!$R$4:$R$503,(_calc!$E$95-500)))=0,"",INDEX('My equipment'!$R$4:$R$503,(_calc!$E$95-500))))=0,"","Claims contact: "&amp;IF(LEN(INDEX('My equipment'!$R$4:$R$503,(_calc!$E$95-500)))=0,"",INDEX('My equipment'!$R$4:$R$503,(_calc!$E$95-500)))&amp;". ")&amp;IF(LEN(IF(LEN(INDEX('My equipment'!$S$4:$S$503,(_calc!$E$95-500)))=0,"",INDEX('My equipment'!$S$4:$S$503,(_calc!$E$95-500))))=0,"","Claims email: "&amp;IF(LEN(INDEX('My equipment'!$S$4:$S$503,(_calc!$E$95-500)))=0,"",INDEX('My equipment'!$S$4:$S$503,(_calc!$E$95-500)))&amp;". ")&amp;IF(LEN(IF(LEN(INDEX('My equipment'!$U$4:$U$503,(_calc!$E$95-500)))=0,"",INDEX('My equipment'!$U$4:$U$503,(_calc!$E$95-500))))=0,"","Registered: "&amp;IF(LEN(INDEX('My equipment'!$U$4:$U$503,(_calc!$E$95-500)))=0,"",INDEX('My equipment'!$U$4:$U$503,(_calc!$E$95-500)))&amp;". ")&amp;IF(LEN(IF(LEN(INDEX('My equipment'!$V$4:$V$503,(_calc!$E$95-500)))=0,"",INDEX('My equipment'!$V$4:$V$503,(_calc!$E$95-500))))=0,"","Proof on file: "&amp;IF(LEN(INDEX('My equipment'!$V$4:$V$503,(_calc!$E$95-500)))=0,"",INDEX('My equipment'!$V$4:$V$503,(_calc!$E$95-500)))&amp;". ")&amp;IF(LEN(IF(LEN(INDEX('My equipment'!$W$4:$W$503,(_calc!$E$95-500)))=0,"",INDEX('My equipment'!$W$4:$W$503,(_calc!$E$95-500))))=0,"","Claim ref: "&amp;IF(LEN(INDEX('My equipment'!$W$4:$W$503,(_calc!$E$95-500)))=0,"",INDEX('My equipment'!$W$4:$W$503,(_calc!$E$95-500)))&amp;". ")&amp;IF(LEN(IF(LEN(INDEX('My equipment'!$Y$4:$Y$503,(_calc!$E$95-500)))=0,"",INDEX('My equipment'!$Y$4:$Y$503,(_calc!$E$95-500))))=0,"",IF(LEN(INDEX('My equipment'!$Y$4:$Y$503,(_calc!$E$95-500)))=0,"",INDEX('My equipment'!$Y$4:$Y$503,(_calc!$E$95-500)))))))</f>
        <v/>
      </c>
      <c r="G93" s="54">
        <f>IF(_calc!$E$95="","",IF(_calc!$E$95&lt;=500,"",IF(LEN(INDEX('My equipment'!$X$4:$X$503,(_calc!$E$95-500)))=0,"",INDEX('My equipment'!$X$4:$X$503,(_calc!$E$95-500)))))</f>
        <v/>
      </c>
      <c r="K93" s="54">
        <f>IF(_calc!$E$95="","",IF(_calc!$E$95&lt;=500,"",IF(LEN(INDEX('My equipment'!$T$4:$T$503,(_calc!$E$95-500)))=0,"",INDEX('My equipment'!$T$4:$T$503,(_calc!$E$95-500)))))</f>
        <v/>
      </c>
    </row>
    <row r="94">
      <c r="A94" s="54">
        <f>IF(_calc!$E$96="","",IF(_calc!$E$96&lt;=500,"Warranty – "&amp;IF(LEN(INDEX('Dealer pipeline'!$C$4:$C$503,_calc!$E$96))=0,"",INDEX('Dealer pipeline'!$C$4:$C$503,_calc!$E$96))&amp;" – "&amp;IF(LEN(INDEX('Dealer pipeline'!$D$4:$D$503,_calc!$E$96))=0,"",INDEX('Dealer pipeline'!$D$4:$D$503,_calc!$E$96))&amp;" – "&amp;IF(LEN(INDEX('Dealer pipeline'!$A$4:$A$503,_calc!$E$96))=0,"",INDEX('Dealer pipeline'!$A$4:$A$503,_calc!$E$96)),"Warranty – "&amp;IF(LEN(INDEX('My equipment'!$A$4:$A$503,(_calc!$E$96-500)))=0,"",INDEX('My equipment'!$A$4:$A$503,(_calc!$E$96-500)))&amp;" – "&amp;IF(LEN(INDEX('My equipment'!$D$4:$D$503,(_calc!$E$96-500)))=0,"",INDEX('My equipment'!$D$4:$D$503,(_calc!$E$96-500)))))</f>
        <v/>
      </c>
      <c r="B94" s="54">
        <f>IF(_calc!$E$96="","",IF(_calc!$E$96&lt;=500,IF(ISNUMBER(INDEX('Dealer pipeline'!$M$4:$M$503,_calc!$E$96)),TEXT(INDEX('Dealer pipeline'!$M$4:$M$503,_calc!$E$96),"yyyy-mm-dd"),""),IF(ISNUMBER(INDEX('My equipment'!$M$4:$M$503,(_calc!$E$96-500))),TEXT(INDEX('My equipment'!$M$4:$M$503,(_calc!$E$96-500)),"yyyy-mm-dd"),"")))</f>
        <v/>
      </c>
      <c r="C94" s="54">
        <f>IF(_calc!$E$96="","",IF(_calc!$E$96&lt;=500,"Warranty","Warranty"))</f>
        <v/>
      </c>
      <c r="D94" s="54">
        <f>IF(_calc!$E$96="","",IF(_calc!$E$96&lt;=500,IF(ISNUMBER(INDEX('Dealer pipeline'!$H$4:$H$503,_calc!$E$96)),TEXT(INDEX('Dealer pipeline'!$H$4:$H$503,_calc!$E$96),"yyyy-mm-dd"),""),IF(ISNUMBER(INDEX('My equipment'!$H$4:$H$503,(_calc!$E$96-500))),TEXT(INDEX('My equipment'!$H$4:$H$503,(_calc!$E$96-500)),"yyyy-mm-dd"),"")))</f>
        <v/>
      </c>
      <c r="F94" s="54">
        <f>IF(_calc!$E$96="","",IF(_calc!$E$96&lt;=500,TRIM(IF(LEN(IF(LEN(INDEX('Dealer pipeline'!$A$4:$A$503,_calc!$E$96))=0,"",INDEX('Dealer pipeline'!$A$4:$A$503,_calc!$E$96)))=0,"","Customer: "&amp;IF(LEN(INDEX('Dealer pipeline'!$A$4:$A$503,_calc!$E$96))=0,"",INDEX('Dealer pipeline'!$A$4:$A$503,_calc!$E$96))&amp;". ")&amp;IF(LEN(IF(LEN(INDEX('Dealer pipeline'!$B$4:$B$503,_calc!$E$96))=0,"",INDEX('Dealer pipeline'!$B$4:$B$503,_calc!$E$96)))=0,"","Contact: "&amp;IF(LEN(INDEX('Dealer pipeline'!$B$4:$B$503,_calc!$E$96))=0,"",INDEX('Dealer pipeline'!$B$4:$B$503,_calc!$E$96))&amp;". ")&amp;IF(LEN(IF(LEN(INDEX('Dealer pipeline'!$D$4:$D$503,_calc!$E$96))=0,"",INDEX('Dealer pipeline'!$D$4:$D$503,_calc!$E$96)))=0,"","Serial: "&amp;IF(LEN(INDEX('Dealer pipeline'!$D$4:$D$503,_calc!$E$96))=0,"",INDEX('Dealer pipeline'!$D$4:$D$503,_calc!$E$96))&amp;". ")&amp;IF(LEN(IF(ISNUMBER(INDEX('Dealer pipeline'!$J$4:$J$503,_calc!$E$96)),TEXT(INDEX('Dealer pipeline'!$J$4:$J$503,_calc!$E$96),"yyyy-mm-dd"),""))=0,"","Parts end: "&amp;IF(ISNUMBER(INDEX('Dealer pipeline'!$J$4:$J$503,_calc!$E$96)),TEXT(INDEX('Dealer pipeline'!$J$4:$J$503,_calc!$E$96),"yyyy-mm-dd"),"")&amp;". ")&amp;IF(LEN(IF(ISNUMBER(INDEX('Dealer pipeline'!$L$4:$L$503,_calc!$E$96)),TEXT(INDEX('Dealer pipeline'!$L$4:$L$503,_calc!$E$96),"yyyy-mm-dd"),""))=0,"","Labor end: "&amp;IF(ISNUMBER(INDEX('Dealer pipeline'!$L$4:$L$503,_calc!$E$96)),TEXT(INDEX('Dealer pipeline'!$L$4:$L$503,_calc!$E$96),"yyyy-mm-dd"),"")&amp;". ")&amp;IF(LEN(IF(LEN(INDEX('Dealer pipeline'!$Q$4:$Q$503,_calc!$E$96))=0,"",INDEX('Dealer pipeline'!$Q$4:$Q$503,_calc!$E$96)))=0,"","Status: "&amp;IF(LEN(INDEX('Dealer pipeline'!$Q$4:$Q$503,_calc!$E$96))=0,"",INDEX('Dealer pipeline'!$Q$4:$Q$503,_calc!$E$96))&amp;". ")&amp;IF(LEN(IF(LEN(INDEX('Dealer pipeline'!$P$4:$P$503,_calc!$E$96))=0,"",INDEX('Dealer pipeline'!$P$4:$P$503,_calc!$E$96)))=0,"","Last touch: "&amp;IF(LEN(INDEX('Dealer pipeline'!$P$4:$P$503,_calc!$E$96))=0,"",INDEX('Dealer pipeline'!$P$4:$P$503,_calc!$E$96))&amp;". ")&amp;IF(LEN(IF(LEN(INDEX('Dealer pipeline'!$R$4:$R$503,_calc!$E$96))=0,"",INDEX('Dealer pipeline'!$R$4:$R$503,_calc!$E$96)))=0,"","Owner: "&amp;IF(LEN(INDEX('Dealer pipeline'!$R$4:$R$503,_calc!$E$96))=0,"",INDEX('Dealer pipeline'!$R$4:$R$503,_calc!$E$96))&amp;". ")&amp;IF(LEN(IF(LEN(INDEX('Dealer pipeline'!$S$4:$S$503,_calc!$E$96))=0,"",INDEX('Dealer pipeline'!$S$4:$S$503,_calc!$E$96)))=0,"","Backup: "&amp;IF(LEN(INDEX('Dealer pipeline'!$S$4:$S$503,_calc!$E$96))=0,"",INDEX('Dealer pipeline'!$S$4:$S$503,_calc!$E$96))&amp;". ")&amp;IF(LEN(IF(LEN(INDEX('Dealer pipeline'!$T$4:$T$503,_calc!$E$96))=0,"",INDEX('Dealer pipeline'!$T$4:$T$503,_calc!$E$96)))=0,"",IF(LEN(INDEX('Dealer pipeline'!$T$4:$T$503,_calc!$E$96))=0,"",INDEX('Dealer pipeline'!$T$4:$T$503,_calc!$E$96)))),TRIM(IF(LEN(IF(LEN(INDEX('My equipment'!$C$4:$C$503,(_calc!$E$96-500)))=0,"",INDEX('My equipment'!$C$4:$C$503,(_calc!$E$96-500))))=0,"","Model: "&amp;IF(LEN(INDEX('My equipment'!$C$4:$C$503,(_calc!$E$96-500)))=0,"",INDEX('My equipment'!$C$4:$C$503,(_calc!$E$96-500)))&amp;". ")&amp;IF(LEN(IF(LEN(INDEX('My equipment'!$D$4:$D$503,(_calc!$E$96-500)))=0,"",INDEX('My equipment'!$D$4:$D$503,(_calc!$E$96-500))))=0,"","Serial: "&amp;IF(LEN(INDEX('My equipment'!$D$4:$D$503,(_calc!$E$96-500)))=0,"",INDEX('My equipment'!$D$4:$D$503,(_calc!$E$96-500)))&amp;". ")&amp;IF(LEN(IF(ISNUMBER(INDEX('My equipment'!$J$4:$J$503,(_calc!$E$96-500))),TEXT(INDEX('My equipment'!$J$4:$J$503,(_calc!$E$96-500)),"yyyy-mm-dd"),""))=0,"","Parts end: "&amp;IF(ISNUMBER(INDEX('My equipment'!$J$4:$J$503,(_calc!$E$96-500))),TEXT(INDEX('My equipment'!$J$4:$J$503,(_calc!$E$96-500)),"yyyy-mm-dd"),"")&amp;". ")&amp;IF(LEN(IF(ISNUMBER(INDEX('My equipment'!$L$4:$L$503,(_calc!$E$96-500))),TEXT(INDEX('My equipment'!$L$4:$L$503,(_calc!$E$96-500)),"yyyy-mm-dd"),""))=0,"","Labor end: "&amp;IF(ISNUMBER(INDEX('My equipment'!$L$4:$L$503,(_calc!$E$96-500))),TEXT(INDEX('My equipment'!$L$4:$L$503,(_calc!$E$96-500)),"yyyy-mm-dd"),"")&amp;". ")&amp;IF(LEN(IF(ISNUMBER(INDEX('My equipment'!$P$4:$P$503,(_calc!$E$96-500))),TEXT(INDEX('My equipment'!$P$4:$P$503,(_calc!$E$96-500)),"yyyy-mm-dd"),""))=0,"","Check by: "&amp;IF(ISNUMBER(INDEX('My equipment'!$P$4:$P$503,(_calc!$E$96-500))),TEXT(INDEX('My equipment'!$P$4:$P$503,(_calc!$E$96-500)),"yyyy-mm-dd"),"")&amp;". ")&amp;IF(LEN(IF(LEN(INDEX('My equipment'!$Q$4:$Q$503,(_calc!$E$96-500)))=0,"",INDEX('My equipment'!$Q$4:$Q$503,(_calc!$E$96-500))))=0,"","Claim status: "&amp;IF(LEN(INDEX('My equipment'!$Q$4:$Q$503,(_calc!$E$96-500)))=0,"",INDEX('My equipment'!$Q$4:$Q$503,(_calc!$E$96-500)))&amp;". ")&amp;IF(LEN(IF(LEN(INDEX('My equipment'!$R$4:$R$503,(_calc!$E$96-500)))=0,"",INDEX('My equipment'!$R$4:$R$503,(_calc!$E$96-500))))=0,"","Claims contact: "&amp;IF(LEN(INDEX('My equipment'!$R$4:$R$503,(_calc!$E$96-500)))=0,"",INDEX('My equipment'!$R$4:$R$503,(_calc!$E$96-500)))&amp;". ")&amp;IF(LEN(IF(LEN(INDEX('My equipment'!$S$4:$S$503,(_calc!$E$96-500)))=0,"",INDEX('My equipment'!$S$4:$S$503,(_calc!$E$96-500))))=0,"","Claims email: "&amp;IF(LEN(INDEX('My equipment'!$S$4:$S$503,(_calc!$E$96-500)))=0,"",INDEX('My equipment'!$S$4:$S$503,(_calc!$E$96-500)))&amp;". ")&amp;IF(LEN(IF(LEN(INDEX('My equipment'!$U$4:$U$503,(_calc!$E$96-500)))=0,"",INDEX('My equipment'!$U$4:$U$503,(_calc!$E$96-500))))=0,"","Registered: "&amp;IF(LEN(INDEX('My equipment'!$U$4:$U$503,(_calc!$E$96-500)))=0,"",INDEX('My equipment'!$U$4:$U$503,(_calc!$E$96-500)))&amp;". ")&amp;IF(LEN(IF(LEN(INDEX('My equipment'!$V$4:$V$503,(_calc!$E$96-500)))=0,"",INDEX('My equipment'!$V$4:$V$503,(_calc!$E$96-500))))=0,"","Proof on file: "&amp;IF(LEN(INDEX('My equipment'!$V$4:$V$503,(_calc!$E$96-500)))=0,"",INDEX('My equipment'!$V$4:$V$503,(_calc!$E$96-500)))&amp;". ")&amp;IF(LEN(IF(LEN(INDEX('My equipment'!$W$4:$W$503,(_calc!$E$96-500)))=0,"",INDEX('My equipment'!$W$4:$W$503,(_calc!$E$96-500))))=0,"","Claim ref: "&amp;IF(LEN(INDEX('My equipment'!$W$4:$W$503,(_calc!$E$96-500)))=0,"",INDEX('My equipment'!$W$4:$W$503,(_calc!$E$96-500)))&amp;". ")&amp;IF(LEN(IF(LEN(INDEX('My equipment'!$Y$4:$Y$503,(_calc!$E$96-500)))=0,"",INDEX('My equipment'!$Y$4:$Y$503,(_calc!$E$96-500))))=0,"",IF(LEN(INDEX('My equipment'!$Y$4:$Y$503,(_calc!$E$96-500)))=0,"",INDEX('My equipment'!$Y$4:$Y$503,(_calc!$E$96-500)))))))</f>
        <v/>
      </c>
      <c r="G94" s="54">
        <f>IF(_calc!$E$96="","",IF(_calc!$E$96&lt;=500,"",IF(LEN(INDEX('My equipment'!$X$4:$X$503,(_calc!$E$96-500)))=0,"",INDEX('My equipment'!$X$4:$X$503,(_calc!$E$96-500)))))</f>
        <v/>
      </c>
      <c r="K94" s="54">
        <f>IF(_calc!$E$96="","",IF(_calc!$E$96&lt;=500,"",IF(LEN(INDEX('My equipment'!$T$4:$T$503,(_calc!$E$96-500)))=0,"",INDEX('My equipment'!$T$4:$T$503,(_calc!$E$96-500)))))</f>
        <v/>
      </c>
    </row>
    <row r="95">
      <c r="A95" s="54">
        <f>IF(_calc!$E$97="","",IF(_calc!$E$97&lt;=500,"Warranty – "&amp;IF(LEN(INDEX('Dealer pipeline'!$C$4:$C$503,_calc!$E$97))=0,"",INDEX('Dealer pipeline'!$C$4:$C$503,_calc!$E$97))&amp;" – "&amp;IF(LEN(INDEX('Dealer pipeline'!$D$4:$D$503,_calc!$E$97))=0,"",INDEX('Dealer pipeline'!$D$4:$D$503,_calc!$E$97))&amp;" – "&amp;IF(LEN(INDEX('Dealer pipeline'!$A$4:$A$503,_calc!$E$97))=0,"",INDEX('Dealer pipeline'!$A$4:$A$503,_calc!$E$97)),"Warranty – "&amp;IF(LEN(INDEX('My equipment'!$A$4:$A$503,(_calc!$E$97-500)))=0,"",INDEX('My equipment'!$A$4:$A$503,(_calc!$E$97-500)))&amp;" – "&amp;IF(LEN(INDEX('My equipment'!$D$4:$D$503,(_calc!$E$97-500)))=0,"",INDEX('My equipment'!$D$4:$D$503,(_calc!$E$97-500)))))</f>
        <v/>
      </c>
      <c r="B95" s="54">
        <f>IF(_calc!$E$97="","",IF(_calc!$E$97&lt;=500,IF(ISNUMBER(INDEX('Dealer pipeline'!$M$4:$M$503,_calc!$E$97)),TEXT(INDEX('Dealer pipeline'!$M$4:$M$503,_calc!$E$97),"yyyy-mm-dd"),""),IF(ISNUMBER(INDEX('My equipment'!$M$4:$M$503,(_calc!$E$97-500))),TEXT(INDEX('My equipment'!$M$4:$M$503,(_calc!$E$97-500)),"yyyy-mm-dd"),"")))</f>
        <v/>
      </c>
      <c r="C95" s="54">
        <f>IF(_calc!$E$97="","",IF(_calc!$E$97&lt;=500,"Warranty","Warranty"))</f>
        <v/>
      </c>
      <c r="D95" s="54">
        <f>IF(_calc!$E$97="","",IF(_calc!$E$97&lt;=500,IF(ISNUMBER(INDEX('Dealer pipeline'!$H$4:$H$503,_calc!$E$97)),TEXT(INDEX('Dealer pipeline'!$H$4:$H$503,_calc!$E$97),"yyyy-mm-dd"),""),IF(ISNUMBER(INDEX('My equipment'!$H$4:$H$503,(_calc!$E$97-500))),TEXT(INDEX('My equipment'!$H$4:$H$503,(_calc!$E$97-500)),"yyyy-mm-dd"),"")))</f>
        <v/>
      </c>
      <c r="F95" s="54">
        <f>IF(_calc!$E$97="","",IF(_calc!$E$97&lt;=500,TRIM(IF(LEN(IF(LEN(INDEX('Dealer pipeline'!$A$4:$A$503,_calc!$E$97))=0,"",INDEX('Dealer pipeline'!$A$4:$A$503,_calc!$E$97)))=0,"","Customer: "&amp;IF(LEN(INDEX('Dealer pipeline'!$A$4:$A$503,_calc!$E$97))=0,"",INDEX('Dealer pipeline'!$A$4:$A$503,_calc!$E$97))&amp;". ")&amp;IF(LEN(IF(LEN(INDEX('Dealer pipeline'!$B$4:$B$503,_calc!$E$97))=0,"",INDEX('Dealer pipeline'!$B$4:$B$503,_calc!$E$97)))=0,"","Contact: "&amp;IF(LEN(INDEX('Dealer pipeline'!$B$4:$B$503,_calc!$E$97))=0,"",INDEX('Dealer pipeline'!$B$4:$B$503,_calc!$E$97))&amp;". ")&amp;IF(LEN(IF(LEN(INDEX('Dealer pipeline'!$D$4:$D$503,_calc!$E$97))=0,"",INDEX('Dealer pipeline'!$D$4:$D$503,_calc!$E$97)))=0,"","Serial: "&amp;IF(LEN(INDEX('Dealer pipeline'!$D$4:$D$503,_calc!$E$97))=0,"",INDEX('Dealer pipeline'!$D$4:$D$503,_calc!$E$97))&amp;". ")&amp;IF(LEN(IF(ISNUMBER(INDEX('Dealer pipeline'!$J$4:$J$503,_calc!$E$97)),TEXT(INDEX('Dealer pipeline'!$J$4:$J$503,_calc!$E$97),"yyyy-mm-dd"),""))=0,"","Parts end: "&amp;IF(ISNUMBER(INDEX('Dealer pipeline'!$J$4:$J$503,_calc!$E$97)),TEXT(INDEX('Dealer pipeline'!$J$4:$J$503,_calc!$E$97),"yyyy-mm-dd"),"")&amp;". ")&amp;IF(LEN(IF(ISNUMBER(INDEX('Dealer pipeline'!$L$4:$L$503,_calc!$E$97)),TEXT(INDEX('Dealer pipeline'!$L$4:$L$503,_calc!$E$97),"yyyy-mm-dd"),""))=0,"","Labor end: "&amp;IF(ISNUMBER(INDEX('Dealer pipeline'!$L$4:$L$503,_calc!$E$97)),TEXT(INDEX('Dealer pipeline'!$L$4:$L$503,_calc!$E$97),"yyyy-mm-dd"),"")&amp;". ")&amp;IF(LEN(IF(LEN(INDEX('Dealer pipeline'!$Q$4:$Q$503,_calc!$E$97))=0,"",INDEX('Dealer pipeline'!$Q$4:$Q$503,_calc!$E$97)))=0,"","Status: "&amp;IF(LEN(INDEX('Dealer pipeline'!$Q$4:$Q$503,_calc!$E$97))=0,"",INDEX('Dealer pipeline'!$Q$4:$Q$503,_calc!$E$97))&amp;". ")&amp;IF(LEN(IF(LEN(INDEX('Dealer pipeline'!$P$4:$P$503,_calc!$E$97))=0,"",INDEX('Dealer pipeline'!$P$4:$P$503,_calc!$E$97)))=0,"","Last touch: "&amp;IF(LEN(INDEX('Dealer pipeline'!$P$4:$P$503,_calc!$E$97))=0,"",INDEX('Dealer pipeline'!$P$4:$P$503,_calc!$E$97))&amp;". ")&amp;IF(LEN(IF(LEN(INDEX('Dealer pipeline'!$R$4:$R$503,_calc!$E$97))=0,"",INDEX('Dealer pipeline'!$R$4:$R$503,_calc!$E$97)))=0,"","Owner: "&amp;IF(LEN(INDEX('Dealer pipeline'!$R$4:$R$503,_calc!$E$97))=0,"",INDEX('Dealer pipeline'!$R$4:$R$503,_calc!$E$97))&amp;". ")&amp;IF(LEN(IF(LEN(INDEX('Dealer pipeline'!$S$4:$S$503,_calc!$E$97))=0,"",INDEX('Dealer pipeline'!$S$4:$S$503,_calc!$E$97)))=0,"","Backup: "&amp;IF(LEN(INDEX('Dealer pipeline'!$S$4:$S$503,_calc!$E$97))=0,"",INDEX('Dealer pipeline'!$S$4:$S$503,_calc!$E$97))&amp;". ")&amp;IF(LEN(IF(LEN(INDEX('Dealer pipeline'!$T$4:$T$503,_calc!$E$97))=0,"",INDEX('Dealer pipeline'!$T$4:$T$503,_calc!$E$97)))=0,"",IF(LEN(INDEX('Dealer pipeline'!$T$4:$T$503,_calc!$E$97))=0,"",INDEX('Dealer pipeline'!$T$4:$T$503,_calc!$E$97)))),TRIM(IF(LEN(IF(LEN(INDEX('My equipment'!$C$4:$C$503,(_calc!$E$97-500)))=0,"",INDEX('My equipment'!$C$4:$C$503,(_calc!$E$97-500))))=0,"","Model: "&amp;IF(LEN(INDEX('My equipment'!$C$4:$C$503,(_calc!$E$97-500)))=0,"",INDEX('My equipment'!$C$4:$C$503,(_calc!$E$97-500)))&amp;". ")&amp;IF(LEN(IF(LEN(INDEX('My equipment'!$D$4:$D$503,(_calc!$E$97-500)))=0,"",INDEX('My equipment'!$D$4:$D$503,(_calc!$E$97-500))))=0,"","Serial: "&amp;IF(LEN(INDEX('My equipment'!$D$4:$D$503,(_calc!$E$97-500)))=0,"",INDEX('My equipment'!$D$4:$D$503,(_calc!$E$97-500)))&amp;". ")&amp;IF(LEN(IF(ISNUMBER(INDEX('My equipment'!$J$4:$J$503,(_calc!$E$97-500))),TEXT(INDEX('My equipment'!$J$4:$J$503,(_calc!$E$97-500)),"yyyy-mm-dd"),""))=0,"","Parts end: "&amp;IF(ISNUMBER(INDEX('My equipment'!$J$4:$J$503,(_calc!$E$97-500))),TEXT(INDEX('My equipment'!$J$4:$J$503,(_calc!$E$97-500)),"yyyy-mm-dd"),"")&amp;". ")&amp;IF(LEN(IF(ISNUMBER(INDEX('My equipment'!$L$4:$L$503,(_calc!$E$97-500))),TEXT(INDEX('My equipment'!$L$4:$L$503,(_calc!$E$97-500)),"yyyy-mm-dd"),""))=0,"","Labor end: "&amp;IF(ISNUMBER(INDEX('My equipment'!$L$4:$L$503,(_calc!$E$97-500))),TEXT(INDEX('My equipment'!$L$4:$L$503,(_calc!$E$97-500)),"yyyy-mm-dd"),"")&amp;". ")&amp;IF(LEN(IF(ISNUMBER(INDEX('My equipment'!$P$4:$P$503,(_calc!$E$97-500))),TEXT(INDEX('My equipment'!$P$4:$P$503,(_calc!$E$97-500)),"yyyy-mm-dd"),""))=0,"","Check by: "&amp;IF(ISNUMBER(INDEX('My equipment'!$P$4:$P$503,(_calc!$E$97-500))),TEXT(INDEX('My equipment'!$P$4:$P$503,(_calc!$E$97-500)),"yyyy-mm-dd"),"")&amp;". ")&amp;IF(LEN(IF(LEN(INDEX('My equipment'!$Q$4:$Q$503,(_calc!$E$97-500)))=0,"",INDEX('My equipment'!$Q$4:$Q$503,(_calc!$E$97-500))))=0,"","Claim status: "&amp;IF(LEN(INDEX('My equipment'!$Q$4:$Q$503,(_calc!$E$97-500)))=0,"",INDEX('My equipment'!$Q$4:$Q$503,(_calc!$E$97-500)))&amp;". ")&amp;IF(LEN(IF(LEN(INDEX('My equipment'!$R$4:$R$503,(_calc!$E$97-500)))=0,"",INDEX('My equipment'!$R$4:$R$503,(_calc!$E$97-500))))=0,"","Claims contact: "&amp;IF(LEN(INDEX('My equipment'!$R$4:$R$503,(_calc!$E$97-500)))=0,"",INDEX('My equipment'!$R$4:$R$503,(_calc!$E$97-500)))&amp;". ")&amp;IF(LEN(IF(LEN(INDEX('My equipment'!$S$4:$S$503,(_calc!$E$97-500)))=0,"",INDEX('My equipment'!$S$4:$S$503,(_calc!$E$97-500))))=0,"","Claims email: "&amp;IF(LEN(INDEX('My equipment'!$S$4:$S$503,(_calc!$E$97-500)))=0,"",INDEX('My equipment'!$S$4:$S$503,(_calc!$E$97-500)))&amp;". ")&amp;IF(LEN(IF(LEN(INDEX('My equipment'!$U$4:$U$503,(_calc!$E$97-500)))=0,"",INDEX('My equipment'!$U$4:$U$503,(_calc!$E$97-500))))=0,"","Registered: "&amp;IF(LEN(INDEX('My equipment'!$U$4:$U$503,(_calc!$E$97-500)))=0,"",INDEX('My equipment'!$U$4:$U$503,(_calc!$E$97-500)))&amp;". ")&amp;IF(LEN(IF(LEN(INDEX('My equipment'!$V$4:$V$503,(_calc!$E$97-500)))=0,"",INDEX('My equipment'!$V$4:$V$503,(_calc!$E$97-500))))=0,"","Proof on file: "&amp;IF(LEN(INDEX('My equipment'!$V$4:$V$503,(_calc!$E$97-500)))=0,"",INDEX('My equipment'!$V$4:$V$503,(_calc!$E$97-500)))&amp;". ")&amp;IF(LEN(IF(LEN(INDEX('My equipment'!$W$4:$W$503,(_calc!$E$97-500)))=0,"",INDEX('My equipment'!$W$4:$W$503,(_calc!$E$97-500))))=0,"","Claim ref: "&amp;IF(LEN(INDEX('My equipment'!$W$4:$W$503,(_calc!$E$97-500)))=0,"",INDEX('My equipment'!$W$4:$W$503,(_calc!$E$97-500)))&amp;". ")&amp;IF(LEN(IF(LEN(INDEX('My equipment'!$Y$4:$Y$503,(_calc!$E$97-500)))=0,"",INDEX('My equipment'!$Y$4:$Y$503,(_calc!$E$97-500))))=0,"",IF(LEN(INDEX('My equipment'!$Y$4:$Y$503,(_calc!$E$97-500)))=0,"",INDEX('My equipment'!$Y$4:$Y$503,(_calc!$E$97-500)))))))</f>
        <v/>
      </c>
      <c r="G95" s="54">
        <f>IF(_calc!$E$97="","",IF(_calc!$E$97&lt;=500,"",IF(LEN(INDEX('My equipment'!$X$4:$X$503,(_calc!$E$97-500)))=0,"",INDEX('My equipment'!$X$4:$X$503,(_calc!$E$97-500)))))</f>
        <v/>
      </c>
      <c r="K95" s="54">
        <f>IF(_calc!$E$97="","",IF(_calc!$E$97&lt;=500,"",IF(LEN(INDEX('My equipment'!$T$4:$T$503,(_calc!$E$97-500)))=0,"",INDEX('My equipment'!$T$4:$T$503,(_calc!$E$97-500)))))</f>
        <v/>
      </c>
    </row>
    <row r="96">
      <c r="A96" s="54">
        <f>IF(_calc!$E$98="","",IF(_calc!$E$98&lt;=500,"Warranty – "&amp;IF(LEN(INDEX('Dealer pipeline'!$C$4:$C$503,_calc!$E$98))=0,"",INDEX('Dealer pipeline'!$C$4:$C$503,_calc!$E$98))&amp;" – "&amp;IF(LEN(INDEX('Dealer pipeline'!$D$4:$D$503,_calc!$E$98))=0,"",INDEX('Dealer pipeline'!$D$4:$D$503,_calc!$E$98))&amp;" – "&amp;IF(LEN(INDEX('Dealer pipeline'!$A$4:$A$503,_calc!$E$98))=0,"",INDEX('Dealer pipeline'!$A$4:$A$503,_calc!$E$98)),"Warranty – "&amp;IF(LEN(INDEX('My equipment'!$A$4:$A$503,(_calc!$E$98-500)))=0,"",INDEX('My equipment'!$A$4:$A$503,(_calc!$E$98-500)))&amp;" – "&amp;IF(LEN(INDEX('My equipment'!$D$4:$D$503,(_calc!$E$98-500)))=0,"",INDEX('My equipment'!$D$4:$D$503,(_calc!$E$98-500)))))</f>
        <v/>
      </c>
      <c r="B96" s="54">
        <f>IF(_calc!$E$98="","",IF(_calc!$E$98&lt;=500,IF(ISNUMBER(INDEX('Dealer pipeline'!$M$4:$M$503,_calc!$E$98)),TEXT(INDEX('Dealer pipeline'!$M$4:$M$503,_calc!$E$98),"yyyy-mm-dd"),""),IF(ISNUMBER(INDEX('My equipment'!$M$4:$M$503,(_calc!$E$98-500))),TEXT(INDEX('My equipment'!$M$4:$M$503,(_calc!$E$98-500)),"yyyy-mm-dd"),"")))</f>
        <v/>
      </c>
      <c r="C96" s="54">
        <f>IF(_calc!$E$98="","",IF(_calc!$E$98&lt;=500,"Warranty","Warranty"))</f>
        <v/>
      </c>
      <c r="D96" s="54">
        <f>IF(_calc!$E$98="","",IF(_calc!$E$98&lt;=500,IF(ISNUMBER(INDEX('Dealer pipeline'!$H$4:$H$503,_calc!$E$98)),TEXT(INDEX('Dealer pipeline'!$H$4:$H$503,_calc!$E$98),"yyyy-mm-dd"),""),IF(ISNUMBER(INDEX('My equipment'!$H$4:$H$503,(_calc!$E$98-500))),TEXT(INDEX('My equipment'!$H$4:$H$503,(_calc!$E$98-500)),"yyyy-mm-dd"),"")))</f>
        <v/>
      </c>
      <c r="F96" s="54">
        <f>IF(_calc!$E$98="","",IF(_calc!$E$98&lt;=500,TRIM(IF(LEN(IF(LEN(INDEX('Dealer pipeline'!$A$4:$A$503,_calc!$E$98))=0,"",INDEX('Dealer pipeline'!$A$4:$A$503,_calc!$E$98)))=0,"","Customer: "&amp;IF(LEN(INDEX('Dealer pipeline'!$A$4:$A$503,_calc!$E$98))=0,"",INDEX('Dealer pipeline'!$A$4:$A$503,_calc!$E$98))&amp;". ")&amp;IF(LEN(IF(LEN(INDEX('Dealer pipeline'!$B$4:$B$503,_calc!$E$98))=0,"",INDEX('Dealer pipeline'!$B$4:$B$503,_calc!$E$98)))=0,"","Contact: "&amp;IF(LEN(INDEX('Dealer pipeline'!$B$4:$B$503,_calc!$E$98))=0,"",INDEX('Dealer pipeline'!$B$4:$B$503,_calc!$E$98))&amp;". ")&amp;IF(LEN(IF(LEN(INDEX('Dealer pipeline'!$D$4:$D$503,_calc!$E$98))=0,"",INDEX('Dealer pipeline'!$D$4:$D$503,_calc!$E$98)))=0,"","Serial: "&amp;IF(LEN(INDEX('Dealer pipeline'!$D$4:$D$503,_calc!$E$98))=0,"",INDEX('Dealer pipeline'!$D$4:$D$503,_calc!$E$98))&amp;". ")&amp;IF(LEN(IF(ISNUMBER(INDEX('Dealer pipeline'!$J$4:$J$503,_calc!$E$98)),TEXT(INDEX('Dealer pipeline'!$J$4:$J$503,_calc!$E$98),"yyyy-mm-dd"),""))=0,"","Parts end: "&amp;IF(ISNUMBER(INDEX('Dealer pipeline'!$J$4:$J$503,_calc!$E$98)),TEXT(INDEX('Dealer pipeline'!$J$4:$J$503,_calc!$E$98),"yyyy-mm-dd"),"")&amp;". ")&amp;IF(LEN(IF(ISNUMBER(INDEX('Dealer pipeline'!$L$4:$L$503,_calc!$E$98)),TEXT(INDEX('Dealer pipeline'!$L$4:$L$503,_calc!$E$98),"yyyy-mm-dd"),""))=0,"","Labor end: "&amp;IF(ISNUMBER(INDEX('Dealer pipeline'!$L$4:$L$503,_calc!$E$98)),TEXT(INDEX('Dealer pipeline'!$L$4:$L$503,_calc!$E$98),"yyyy-mm-dd"),"")&amp;". ")&amp;IF(LEN(IF(LEN(INDEX('Dealer pipeline'!$Q$4:$Q$503,_calc!$E$98))=0,"",INDEX('Dealer pipeline'!$Q$4:$Q$503,_calc!$E$98)))=0,"","Status: "&amp;IF(LEN(INDEX('Dealer pipeline'!$Q$4:$Q$503,_calc!$E$98))=0,"",INDEX('Dealer pipeline'!$Q$4:$Q$503,_calc!$E$98))&amp;". ")&amp;IF(LEN(IF(LEN(INDEX('Dealer pipeline'!$P$4:$P$503,_calc!$E$98))=0,"",INDEX('Dealer pipeline'!$P$4:$P$503,_calc!$E$98)))=0,"","Last touch: "&amp;IF(LEN(INDEX('Dealer pipeline'!$P$4:$P$503,_calc!$E$98))=0,"",INDEX('Dealer pipeline'!$P$4:$P$503,_calc!$E$98))&amp;". ")&amp;IF(LEN(IF(LEN(INDEX('Dealer pipeline'!$R$4:$R$503,_calc!$E$98))=0,"",INDEX('Dealer pipeline'!$R$4:$R$503,_calc!$E$98)))=0,"","Owner: "&amp;IF(LEN(INDEX('Dealer pipeline'!$R$4:$R$503,_calc!$E$98))=0,"",INDEX('Dealer pipeline'!$R$4:$R$503,_calc!$E$98))&amp;". ")&amp;IF(LEN(IF(LEN(INDEX('Dealer pipeline'!$S$4:$S$503,_calc!$E$98))=0,"",INDEX('Dealer pipeline'!$S$4:$S$503,_calc!$E$98)))=0,"","Backup: "&amp;IF(LEN(INDEX('Dealer pipeline'!$S$4:$S$503,_calc!$E$98))=0,"",INDEX('Dealer pipeline'!$S$4:$S$503,_calc!$E$98))&amp;". ")&amp;IF(LEN(IF(LEN(INDEX('Dealer pipeline'!$T$4:$T$503,_calc!$E$98))=0,"",INDEX('Dealer pipeline'!$T$4:$T$503,_calc!$E$98)))=0,"",IF(LEN(INDEX('Dealer pipeline'!$T$4:$T$503,_calc!$E$98))=0,"",INDEX('Dealer pipeline'!$T$4:$T$503,_calc!$E$98)))),TRIM(IF(LEN(IF(LEN(INDEX('My equipment'!$C$4:$C$503,(_calc!$E$98-500)))=0,"",INDEX('My equipment'!$C$4:$C$503,(_calc!$E$98-500))))=0,"","Model: "&amp;IF(LEN(INDEX('My equipment'!$C$4:$C$503,(_calc!$E$98-500)))=0,"",INDEX('My equipment'!$C$4:$C$503,(_calc!$E$98-500)))&amp;". ")&amp;IF(LEN(IF(LEN(INDEX('My equipment'!$D$4:$D$503,(_calc!$E$98-500)))=0,"",INDEX('My equipment'!$D$4:$D$503,(_calc!$E$98-500))))=0,"","Serial: "&amp;IF(LEN(INDEX('My equipment'!$D$4:$D$503,(_calc!$E$98-500)))=0,"",INDEX('My equipment'!$D$4:$D$503,(_calc!$E$98-500)))&amp;". ")&amp;IF(LEN(IF(ISNUMBER(INDEX('My equipment'!$J$4:$J$503,(_calc!$E$98-500))),TEXT(INDEX('My equipment'!$J$4:$J$503,(_calc!$E$98-500)),"yyyy-mm-dd"),""))=0,"","Parts end: "&amp;IF(ISNUMBER(INDEX('My equipment'!$J$4:$J$503,(_calc!$E$98-500))),TEXT(INDEX('My equipment'!$J$4:$J$503,(_calc!$E$98-500)),"yyyy-mm-dd"),"")&amp;". ")&amp;IF(LEN(IF(ISNUMBER(INDEX('My equipment'!$L$4:$L$503,(_calc!$E$98-500))),TEXT(INDEX('My equipment'!$L$4:$L$503,(_calc!$E$98-500)),"yyyy-mm-dd"),""))=0,"","Labor end: "&amp;IF(ISNUMBER(INDEX('My equipment'!$L$4:$L$503,(_calc!$E$98-500))),TEXT(INDEX('My equipment'!$L$4:$L$503,(_calc!$E$98-500)),"yyyy-mm-dd"),"")&amp;". ")&amp;IF(LEN(IF(ISNUMBER(INDEX('My equipment'!$P$4:$P$503,(_calc!$E$98-500))),TEXT(INDEX('My equipment'!$P$4:$P$503,(_calc!$E$98-500)),"yyyy-mm-dd"),""))=0,"","Check by: "&amp;IF(ISNUMBER(INDEX('My equipment'!$P$4:$P$503,(_calc!$E$98-500))),TEXT(INDEX('My equipment'!$P$4:$P$503,(_calc!$E$98-500)),"yyyy-mm-dd"),"")&amp;". ")&amp;IF(LEN(IF(LEN(INDEX('My equipment'!$Q$4:$Q$503,(_calc!$E$98-500)))=0,"",INDEX('My equipment'!$Q$4:$Q$503,(_calc!$E$98-500))))=0,"","Claim status: "&amp;IF(LEN(INDEX('My equipment'!$Q$4:$Q$503,(_calc!$E$98-500)))=0,"",INDEX('My equipment'!$Q$4:$Q$503,(_calc!$E$98-500)))&amp;". ")&amp;IF(LEN(IF(LEN(INDEX('My equipment'!$R$4:$R$503,(_calc!$E$98-500)))=0,"",INDEX('My equipment'!$R$4:$R$503,(_calc!$E$98-500))))=0,"","Claims contact: "&amp;IF(LEN(INDEX('My equipment'!$R$4:$R$503,(_calc!$E$98-500)))=0,"",INDEX('My equipment'!$R$4:$R$503,(_calc!$E$98-500)))&amp;". ")&amp;IF(LEN(IF(LEN(INDEX('My equipment'!$S$4:$S$503,(_calc!$E$98-500)))=0,"",INDEX('My equipment'!$S$4:$S$503,(_calc!$E$98-500))))=0,"","Claims email: "&amp;IF(LEN(INDEX('My equipment'!$S$4:$S$503,(_calc!$E$98-500)))=0,"",INDEX('My equipment'!$S$4:$S$503,(_calc!$E$98-500)))&amp;". ")&amp;IF(LEN(IF(LEN(INDEX('My equipment'!$U$4:$U$503,(_calc!$E$98-500)))=0,"",INDEX('My equipment'!$U$4:$U$503,(_calc!$E$98-500))))=0,"","Registered: "&amp;IF(LEN(INDEX('My equipment'!$U$4:$U$503,(_calc!$E$98-500)))=0,"",INDEX('My equipment'!$U$4:$U$503,(_calc!$E$98-500)))&amp;". ")&amp;IF(LEN(IF(LEN(INDEX('My equipment'!$V$4:$V$503,(_calc!$E$98-500)))=0,"",INDEX('My equipment'!$V$4:$V$503,(_calc!$E$98-500))))=0,"","Proof on file: "&amp;IF(LEN(INDEX('My equipment'!$V$4:$V$503,(_calc!$E$98-500)))=0,"",INDEX('My equipment'!$V$4:$V$503,(_calc!$E$98-500)))&amp;". ")&amp;IF(LEN(IF(LEN(INDEX('My equipment'!$W$4:$W$503,(_calc!$E$98-500)))=0,"",INDEX('My equipment'!$W$4:$W$503,(_calc!$E$98-500))))=0,"","Claim ref: "&amp;IF(LEN(INDEX('My equipment'!$W$4:$W$503,(_calc!$E$98-500)))=0,"",INDEX('My equipment'!$W$4:$W$503,(_calc!$E$98-500)))&amp;". ")&amp;IF(LEN(IF(LEN(INDEX('My equipment'!$Y$4:$Y$503,(_calc!$E$98-500)))=0,"",INDEX('My equipment'!$Y$4:$Y$503,(_calc!$E$98-500))))=0,"",IF(LEN(INDEX('My equipment'!$Y$4:$Y$503,(_calc!$E$98-500)))=0,"",INDEX('My equipment'!$Y$4:$Y$503,(_calc!$E$98-500)))))))</f>
        <v/>
      </c>
      <c r="G96" s="54">
        <f>IF(_calc!$E$98="","",IF(_calc!$E$98&lt;=500,"",IF(LEN(INDEX('My equipment'!$X$4:$X$503,(_calc!$E$98-500)))=0,"",INDEX('My equipment'!$X$4:$X$503,(_calc!$E$98-500)))))</f>
        <v/>
      </c>
      <c r="K96" s="54">
        <f>IF(_calc!$E$98="","",IF(_calc!$E$98&lt;=500,"",IF(LEN(INDEX('My equipment'!$T$4:$T$503,(_calc!$E$98-500)))=0,"",INDEX('My equipment'!$T$4:$T$503,(_calc!$E$98-500)))))</f>
        <v/>
      </c>
    </row>
    <row r="97">
      <c r="A97" s="54">
        <f>IF(_calc!$E$99="","",IF(_calc!$E$99&lt;=500,"Warranty – "&amp;IF(LEN(INDEX('Dealer pipeline'!$C$4:$C$503,_calc!$E$99))=0,"",INDEX('Dealer pipeline'!$C$4:$C$503,_calc!$E$99))&amp;" – "&amp;IF(LEN(INDEX('Dealer pipeline'!$D$4:$D$503,_calc!$E$99))=0,"",INDEX('Dealer pipeline'!$D$4:$D$503,_calc!$E$99))&amp;" – "&amp;IF(LEN(INDEX('Dealer pipeline'!$A$4:$A$503,_calc!$E$99))=0,"",INDEX('Dealer pipeline'!$A$4:$A$503,_calc!$E$99)),"Warranty – "&amp;IF(LEN(INDEX('My equipment'!$A$4:$A$503,(_calc!$E$99-500)))=0,"",INDEX('My equipment'!$A$4:$A$503,(_calc!$E$99-500)))&amp;" – "&amp;IF(LEN(INDEX('My equipment'!$D$4:$D$503,(_calc!$E$99-500)))=0,"",INDEX('My equipment'!$D$4:$D$503,(_calc!$E$99-500)))))</f>
        <v/>
      </c>
      <c r="B97" s="54">
        <f>IF(_calc!$E$99="","",IF(_calc!$E$99&lt;=500,IF(ISNUMBER(INDEX('Dealer pipeline'!$M$4:$M$503,_calc!$E$99)),TEXT(INDEX('Dealer pipeline'!$M$4:$M$503,_calc!$E$99),"yyyy-mm-dd"),""),IF(ISNUMBER(INDEX('My equipment'!$M$4:$M$503,(_calc!$E$99-500))),TEXT(INDEX('My equipment'!$M$4:$M$503,(_calc!$E$99-500)),"yyyy-mm-dd"),"")))</f>
        <v/>
      </c>
      <c r="C97" s="54">
        <f>IF(_calc!$E$99="","",IF(_calc!$E$99&lt;=500,"Warranty","Warranty"))</f>
        <v/>
      </c>
      <c r="D97" s="54">
        <f>IF(_calc!$E$99="","",IF(_calc!$E$99&lt;=500,IF(ISNUMBER(INDEX('Dealer pipeline'!$H$4:$H$503,_calc!$E$99)),TEXT(INDEX('Dealer pipeline'!$H$4:$H$503,_calc!$E$99),"yyyy-mm-dd"),""),IF(ISNUMBER(INDEX('My equipment'!$H$4:$H$503,(_calc!$E$99-500))),TEXT(INDEX('My equipment'!$H$4:$H$503,(_calc!$E$99-500)),"yyyy-mm-dd"),"")))</f>
        <v/>
      </c>
      <c r="F97" s="54">
        <f>IF(_calc!$E$99="","",IF(_calc!$E$99&lt;=500,TRIM(IF(LEN(IF(LEN(INDEX('Dealer pipeline'!$A$4:$A$503,_calc!$E$99))=0,"",INDEX('Dealer pipeline'!$A$4:$A$503,_calc!$E$99)))=0,"","Customer: "&amp;IF(LEN(INDEX('Dealer pipeline'!$A$4:$A$503,_calc!$E$99))=0,"",INDEX('Dealer pipeline'!$A$4:$A$503,_calc!$E$99))&amp;". ")&amp;IF(LEN(IF(LEN(INDEX('Dealer pipeline'!$B$4:$B$503,_calc!$E$99))=0,"",INDEX('Dealer pipeline'!$B$4:$B$503,_calc!$E$99)))=0,"","Contact: "&amp;IF(LEN(INDEX('Dealer pipeline'!$B$4:$B$503,_calc!$E$99))=0,"",INDEX('Dealer pipeline'!$B$4:$B$503,_calc!$E$99))&amp;". ")&amp;IF(LEN(IF(LEN(INDEX('Dealer pipeline'!$D$4:$D$503,_calc!$E$99))=0,"",INDEX('Dealer pipeline'!$D$4:$D$503,_calc!$E$99)))=0,"","Serial: "&amp;IF(LEN(INDEX('Dealer pipeline'!$D$4:$D$503,_calc!$E$99))=0,"",INDEX('Dealer pipeline'!$D$4:$D$503,_calc!$E$99))&amp;". ")&amp;IF(LEN(IF(ISNUMBER(INDEX('Dealer pipeline'!$J$4:$J$503,_calc!$E$99)),TEXT(INDEX('Dealer pipeline'!$J$4:$J$503,_calc!$E$99),"yyyy-mm-dd"),""))=0,"","Parts end: "&amp;IF(ISNUMBER(INDEX('Dealer pipeline'!$J$4:$J$503,_calc!$E$99)),TEXT(INDEX('Dealer pipeline'!$J$4:$J$503,_calc!$E$99),"yyyy-mm-dd"),"")&amp;". ")&amp;IF(LEN(IF(ISNUMBER(INDEX('Dealer pipeline'!$L$4:$L$503,_calc!$E$99)),TEXT(INDEX('Dealer pipeline'!$L$4:$L$503,_calc!$E$99),"yyyy-mm-dd"),""))=0,"","Labor end: "&amp;IF(ISNUMBER(INDEX('Dealer pipeline'!$L$4:$L$503,_calc!$E$99)),TEXT(INDEX('Dealer pipeline'!$L$4:$L$503,_calc!$E$99),"yyyy-mm-dd"),"")&amp;". ")&amp;IF(LEN(IF(LEN(INDEX('Dealer pipeline'!$Q$4:$Q$503,_calc!$E$99))=0,"",INDEX('Dealer pipeline'!$Q$4:$Q$503,_calc!$E$99)))=0,"","Status: "&amp;IF(LEN(INDEX('Dealer pipeline'!$Q$4:$Q$503,_calc!$E$99))=0,"",INDEX('Dealer pipeline'!$Q$4:$Q$503,_calc!$E$99))&amp;". ")&amp;IF(LEN(IF(LEN(INDEX('Dealer pipeline'!$P$4:$P$503,_calc!$E$99))=0,"",INDEX('Dealer pipeline'!$P$4:$P$503,_calc!$E$99)))=0,"","Last touch: "&amp;IF(LEN(INDEX('Dealer pipeline'!$P$4:$P$503,_calc!$E$99))=0,"",INDEX('Dealer pipeline'!$P$4:$P$503,_calc!$E$99))&amp;". ")&amp;IF(LEN(IF(LEN(INDEX('Dealer pipeline'!$R$4:$R$503,_calc!$E$99))=0,"",INDEX('Dealer pipeline'!$R$4:$R$503,_calc!$E$99)))=0,"","Owner: "&amp;IF(LEN(INDEX('Dealer pipeline'!$R$4:$R$503,_calc!$E$99))=0,"",INDEX('Dealer pipeline'!$R$4:$R$503,_calc!$E$99))&amp;". ")&amp;IF(LEN(IF(LEN(INDEX('Dealer pipeline'!$S$4:$S$503,_calc!$E$99))=0,"",INDEX('Dealer pipeline'!$S$4:$S$503,_calc!$E$99)))=0,"","Backup: "&amp;IF(LEN(INDEX('Dealer pipeline'!$S$4:$S$503,_calc!$E$99))=0,"",INDEX('Dealer pipeline'!$S$4:$S$503,_calc!$E$99))&amp;". ")&amp;IF(LEN(IF(LEN(INDEX('Dealer pipeline'!$T$4:$T$503,_calc!$E$99))=0,"",INDEX('Dealer pipeline'!$T$4:$T$503,_calc!$E$99)))=0,"",IF(LEN(INDEX('Dealer pipeline'!$T$4:$T$503,_calc!$E$99))=0,"",INDEX('Dealer pipeline'!$T$4:$T$503,_calc!$E$99)))),TRIM(IF(LEN(IF(LEN(INDEX('My equipment'!$C$4:$C$503,(_calc!$E$99-500)))=0,"",INDEX('My equipment'!$C$4:$C$503,(_calc!$E$99-500))))=0,"","Model: "&amp;IF(LEN(INDEX('My equipment'!$C$4:$C$503,(_calc!$E$99-500)))=0,"",INDEX('My equipment'!$C$4:$C$503,(_calc!$E$99-500)))&amp;". ")&amp;IF(LEN(IF(LEN(INDEX('My equipment'!$D$4:$D$503,(_calc!$E$99-500)))=0,"",INDEX('My equipment'!$D$4:$D$503,(_calc!$E$99-500))))=0,"","Serial: "&amp;IF(LEN(INDEX('My equipment'!$D$4:$D$503,(_calc!$E$99-500)))=0,"",INDEX('My equipment'!$D$4:$D$503,(_calc!$E$99-500)))&amp;". ")&amp;IF(LEN(IF(ISNUMBER(INDEX('My equipment'!$J$4:$J$503,(_calc!$E$99-500))),TEXT(INDEX('My equipment'!$J$4:$J$503,(_calc!$E$99-500)),"yyyy-mm-dd"),""))=0,"","Parts end: "&amp;IF(ISNUMBER(INDEX('My equipment'!$J$4:$J$503,(_calc!$E$99-500))),TEXT(INDEX('My equipment'!$J$4:$J$503,(_calc!$E$99-500)),"yyyy-mm-dd"),"")&amp;". ")&amp;IF(LEN(IF(ISNUMBER(INDEX('My equipment'!$L$4:$L$503,(_calc!$E$99-500))),TEXT(INDEX('My equipment'!$L$4:$L$503,(_calc!$E$99-500)),"yyyy-mm-dd"),""))=0,"","Labor end: "&amp;IF(ISNUMBER(INDEX('My equipment'!$L$4:$L$503,(_calc!$E$99-500))),TEXT(INDEX('My equipment'!$L$4:$L$503,(_calc!$E$99-500)),"yyyy-mm-dd"),"")&amp;". ")&amp;IF(LEN(IF(ISNUMBER(INDEX('My equipment'!$P$4:$P$503,(_calc!$E$99-500))),TEXT(INDEX('My equipment'!$P$4:$P$503,(_calc!$E$99-500)),"yyyy-mm-dd"),""))=0,"","Check by: "&amp;IF(ISNUMBER(INDEX('My equipment'!$P$4:$P$503,(_calc!$E$99-500))),TEXT(INDEX('My equipment'!$P$4:$P$503,(_calc!$E$99-500)),"yyyy-mm-dd"),"")&amp;". ")&amp;IF(LEN(IF(LEN(INDEX('My equipment'!$Q$4:$Q$503,(_calc!$E$99-500)))=0,"",INDEX('My equipment'!$Q$4:$Q$503,(_calc!$E$99-500))))=0,"","Claim status: "&amp;IF(LEN(INDEX('My equipment'!$Q$4:$Q$503,(_calc!$E$99-500)))=0,"",INDEX('My equipment'!$Q$4:$Q$503,(_calc!$E$99-500)))&amp;". ")&amp;IF(LEN(IF(LEN(INDEX('My equipment'!$R$4:$R$503,(_calc!$E$99-500)))=0,"",INDEX('My equipment'!$R$4:$R$503,(_calc!$E$99-500))))=0,"","Claims contact: "&amp;IF(LEN(INDEX('My equipment'!$R$4:$R$503,(_calc!$E$99-500)))=0,"",INDEX('My equipment'!$R$4:$R$503,(_calc!$E$99-500)))&amp;". ")&amp;IF(LEN(IF(LEN(INDEX('My equipment'!$S$4:$S$503,(_calc!$E$99-500)))=0,"",INDEX('My equipment'!$S$4:$S$503,(_calc!$E$99-500))))=0,"","Claims email: "&amp;IF(LEN(INDEX('My equipment'!$S$4:$S$503,(_calc!$E$99-500)))=0,"",INDEX('My equipment'!$S$4:$S$503,(_calc!$E$99-500)))&amp;". ")&amp;IF(LEN(IF(LEN(INDEX('My equipment'!$U$4:$U$503,(_calc!$E$99-500)))=0,"",INDEX('My equipment'!$U$4:$U$503,(_calc!$E$99-500))))=0,"","Registered: "&amp;IF(LEN(INDEX('My equipment'!$U$4:$U$503,(_calc!$E$99-500)))=0,"",INDEX('My equipment'!$U$4:$U$503,(_calc!$E$99-500)))&amp;". ")&amp;IF(LEN(IF(LEN(INDEX('My equipment'!$V$4:$V$503,(_calc!$E$99-500)))=0,"",INDEX('My equipment'!$V$4:$V$503,(_calc!$E$99-500))))=0,"","Proof on file: "&amp;IF(LEN(INDEX('My equipment'!$V$4:$V$503,(_calc!$E$99-500)))=0,"",INDEX('My equipment'!$V$4:$V$503,(_calc!$E$99-500)))&amp;". ")&amp;IF(LEN(IF(LEN(INDEX('My equipment'!$W$4:$W$503,(_calc!$E$99-500)))=0,"",INDEX('My equipment'!$W$4:$W$503,(_calc!$E$99-500))))=0,"","Claim ref: "&amp;IF(LEN(INDEX('My equipment'!$W$4:$W$503,(_calc!$E$99-500)))=0,"",INDEX('My equipment'!$W$4:$W$503,(_calc!$E$99-500)))&amp;". ")&amp;IF(LEN(IF(LEN(INDEX('My equipment'!$Y$4:$Y$503,(_calc!$E$99-500)))=0,"",INDEX('My equipment'!$Y$4:$Y$503,(_calc!$E$99-500))))=0,"",IF(LEN(INDEX('My equipment'!$Y$4:$Y$503,(_calc!$E$99-500)))=0,"",INDEX('My equipment'!$Y$4:$Y$503,(_calc!$E$99-500)))))))</f>
        <v/>
      </c>
      <c r="G97" s="54">
        <f>IF(_calc!$E$99="","",IF(_calc!$E$99&lt;=500,"",IF(LEN(INDEX('My equipment'!$X$4:$X$503,(_calc!$E$99-500)))=0,"",INDEX('My equipment'!$X$4:$X$503,(_calc!$E$99-500)))))</f>
        <v/>
      </c>
      <c r="K97" s="54">
        <f>IF(_calc!$E$99="","",IF(_calc!$E$99&lt;=500,"",IF(LEN(INDEX('My equipment'!$T$4:$T$503,(_calc!$E$99-500)))=0,"",INDEX('My equipment'!$T$4:$T$503,(_calc!$E$99-500)))))</f>
        <v/>
      </c>
    </row>
    <row r="98">
      <c r="A98" s="54">
        <f>IF(_calc!$E$100="","",IF(_calc!$E$100&lt;=500,"Warranty – "&amp;IF(LEN(INDEX('Dealer pipeline'!$C$4:$C$503,_calc!$E$100))=0,"",INDEX('Dealer pipeline'!$C$4:$C$503,_calc!$E$100))&amp;" – "&amp;IF(LEN(INDEX('Dealer pipeline'!$D$4:$D$503,_calc!$E$100))=0,"",INDEX('Dealer pipeline'!$D$4:$D$503,_calc!$E$100))&amp;" – "&amp;IF(LEN(INDEX('Dealer pipeline'!$A$4:$A$503,_calc!$E$100))=0,"",INDEX('Dealer pipeline'!$A$4:$A$503,_calc!$E$100)),"Warranty – "&amp;IF(LEN(INDEX('My equipment'!$A$4:$A$503,(_calc!$E$100-500)))=0,"",INDEX('My equipment'!$A$4:$A$503,(_calc!$E$100-500)))&amp;" – "&amp;IF(LEN(INDEX('My equipment'!$D$4:$D$503,(_calc!$E$100-500)))=0,"",INDEX('My equipment'!$D$4:$D$503,(_calc!$E$100-500)))))</f>
        <v/>
      </c>
      <c r="B98" s="54">
        <f>IF(_calc!$E$100="","",IF(_calc!$E$100&lt;=500,IF(ISNUMBER(INDEX('Dealer pipeline'!$M$4:$M$503,_calc!$E$100)),TEXT(INDEX('Dealer pipeline'!$M$4:$M$503,_calc!$E$100),"yyyy-mm-dd"),""),IF(ISNUMBER(INDEX('My equipment'!$M$4:$M$503,(_calc!$E$100-500))),TEXT(INDEX('My equipment'!$M$4:$M$503,(_calc!$E$100-500)),"yyyy-mm-dd"),"")))</f>
        <v/>
      </c>
      <c r="C98" s="54">
        <f>IF(_calc!$E$100="","",IF(_calc!$E$100&lt;=500,"Warranty","Warranty"))</f>
        <v/>
      </c>
      <c r="D98" s="54">
        <f>IF(_calc!$E$100="","",IF(_calc!$E$100&lt;=500,IF(ISNUMBER(INDEX('Dealer pipeline'!$H$4:$H$503,_calc!$E$100)),TEXT(INDEX('Dealer pipeline'!$H$4:$H$503,_calc!$E$100),"yyyy-mm-dd"),""),IF(ISNUMBER(INDEX('My equipment'!$H$4:$H$503,(_calc!$E$100-500))),TEXT(INDEX('My equipment'!$H$4:$H$503,(_calc!$E$100-500)),"yyyy-mm-dd"),"")))</f>
        <v/>
      </c>
      <c r="F98" s="54">
        <f>IF(_calc!$E$100="","",IF(_calc!$E$100&lt;=500,TRIM(IF(LEN(IF(LEN(INDEX('Dealer pipeline'!$A$4:$A$503,_calc!$E$100))=0,"",INDEX('Dealer pipeline'!$A$4:$A$503,_calc!$E$100)))=0,"","Customer: "&amp;IF(LEN(INDEX('Dealer pipeline'!$A$4:$A$503,_calc!$E$100))=0,"",INDEX('Dealer pipeline'!$A$4:$A$503,_calc!$E$100))&amp;". ")&amp;IF(LEN(IF(LEN(INDEX('Dealer pipeline'!$B$4:$B$503,_calc!$E$100))=0,"",INDEX('Dealer pipeline'!$B$4:$B$503,_calc!$E$100)))=0,"","Contact: "&amp;IF(LEN(INDEX('Dealer pipeline'!$B$4:$B$503,_calc!$E$100))=0,"",INDEX('Dealer pipeline'!$B$4:$B$503,_calc!$E$100))&amp;". ")&amp;IF(LEN(IF(LEN(INDEX('Dealer pipeline'!$D$4:$D$503,_calc!$E$100))=0,"",INDEX('Dealer pipeline'!$D$4:$D$503,_calc!$E$100)))=0,"","Serial: "&amp;IF(LEN(INDEX('Dealer pipeline'!$D$4:$D$503,_calc!$E$100))=0,"",INDEX('Dealer pipeline'!$D$4:$D$503,_calc!$E$100))&amp;". ")&amp;IF(LEN(IF(ISNUMBER(INDEX('Dealer pipeline'!$J$4:$J$503,_calc!$E$100)),TEXT(INDEX('Dealer pipeline'!$J$4:$J$503,_calc!$E$100),"yyyy-mm-dd"),""))=0,"","Parts end: "&amp;IF(ISNUMBER(INDEX('Dealer pipeline'!$J$4:$J$503,_calc!$E$100)),TEXT(INDEX('Dealer pipeline'!$J$4:$J$503,_calc!$E$100),"yyyy-mm-dd"),"")&amp;". ")&amp;IF(LEN(IF(ISNUMBER(INDEX('Dealer pipeline'!$L$4:$L$503,_calc!$E$100)),TEXT(INDEX('Dealer pipeline'!$L$4:$L$503,_calc!$E$100),"yyyy-mm-dd"),""))=0,"","Labor end: "&amp;IF(ISNUMBER(INDEX('Dealer pipeline'!$L$4:$L$503,_calc!$E$100)),TEXT(INDEX('Dealer pipeline'!$L$4:$L$503,_calc!$E$100),"yyyy-mm-dd"),"")&amp;". ")&amp;IF(LEN(IF(LEN(INDEX('Dealer pipeline'!$Q$4:$Q$503,_calc!$E$100))=0,"",INDEX('Dealer pipeline'!$Q$4:$Q$503,_calc!$E$100)))=0,"","Status: "&amp;IF(LEN(INDEX('Dealer pipeline'!$Q$4:$Q$503,_calc!$E$100))=0,"",INDEX('Dealer pipeline'!$Q$4:$Q$503,_calc!$E$100))&amp;". ")&amp;IF(LEN(IF(LEN(INDEX('Dealer pipeline'!$P$4:$P$503,_calc!$E$100))=0,"",INDEX('Dealer pipeline'!$P$4:$P$503,_calc!$E$100)))=0,"","Last touch: "&amp;IF(LEN(INDEX('Dealer pipeline'!$P$4:$P$503,_calc!$E$100))=0,"",INDEX('Dealer pipeline'!$P$4:$P$503,_calc!$E$100))&amp;". ")&amp;IF(LEN(IF(LEN(INDEX('Dealer pipeline'!$R$4:$R$503,_calc!$E$100))=0,"",INDEX('Dealer pipeline'!$R$4:$R$503,_calc!$E$100)))=0,"","Owner: "&amp;IF(LEN(INDEX('Dealer pipeline'!$R$4:$R$503,_calc!$E$100))=0,"",INDEX('Dealer pipeline'!$R$4:$R$503,_calc!$E$100))&amp;". ")&amp;IF(LEN(IF(LEN(INDEX('Dealer pipeline'!$S$4:$S$503,_calc!$E$100))=0,"",INDEX('Dealer pipeline'!$S$4:$S$503,_calc!$E$100)))=0,"","Backup: "&amp;IF(LEN(INDEX('Dealer pipeline'!$S$4:$S$503,_calc!$E$100))=0,"",INDEX('Dealer pipeline'!$S$4:$S$503,_calc!$E$100))&amp;". ")&amp;IF(LEN(IF(LEN(INDEX('Dealer pipeline'!$T$4:$T$503,_calc!$E$100))=0,"",INDEX('Dealer pipeline'!$T$4:$T$503,_calc!$E$100)))=0,"",IF(LEN(INDEX('Dealer pipeline'!$T$4:$T$503,_calc!$E$100))=0,"",INDEX('Dealer pipeline'!$T$4:$T$503,_calc!$E$100)))),TRIM(IF(LEN(IF(LEN(INDEX('My equipment'!$C$4:$C$503,(_calc!$E$100-500)))=0,"",INDEX('My equipment'!$C$4:$C$503,(_calc!$E$100-500))))=0,"","Model: "&amp;IF(LEN(INDEX('My equipment'!$C$4:$C$503,(_calc!$E$100-500)))=0,"",INDEX('My equipment'!$C$4:$C$503,(_calc!$E$100-500)))&amp;". ")&amp;IF(LEN(IF(LEN(INDEX('My equipment'!$D$4:$D$503,(_calc!$E$100-500)))=0,"",INDEX('My equipment'!$D$4:$D$503,(_calc!$E$100-500))))=0,"","Serial: "&amp;IF(LEN(INDEX('My equipment'!$D$4:$D$503,(_calc!$E$100-500)))=0,"",INDEX('My equipment'!$D$4:$D$503,(_calc!$E$100-500)))&amp;". ")&amp;IF(LEN(IF(ISNUMBER(INDEX('My equipment'!$J$4:$J$503,(_calc!$E$100-500))),TEXT(INDEX('My equipment'!$J$4:$J$503,(_calc!$E$100-500)),"yyyy-mm-dd"),""))=0,"","Parts end: "&amp;IF(ISNUMBER(INDEX('My equipment'!$J$4:$J$503,(_calc!$E$100-500))),TEXT(INDEX('My equipment'!$J$4:$J$503,(_calc!$E$100-500)),"yyyy-mm-dd"),"")&amp;". ")&amp;IF(LEN(IF(ISNUMBER(INDEX('My equipment'!$L$4:$L$503,(_calc!$E$100-500))),TEXT(INDEX('My equipment'!$L$4:$L$503,(_calc!$E$100-500)),"yyyy-mm-dd"),""))=0,"","Labor end: "&amp;IF(ISNUMBER(INDEX('My equipment'!$L$4:$L$503,(_calc!$E$100-500))),TEXT(INDEX('My equipment'!$L$4:$L$503,(_calc!$E$100-500)),"yyyy-mm-dd"),"")&amp;". ")&amp;IF(LEN(IF(ISNUMBER(INDEX('My equipment'!$P$4:$P$503,(_calc!$E$100-500))),TEXT(INDEX('My equipment'!$P$4:$P$503,(_calc!$E$100-500)),"yyyy-mm-dd"),""))=0,"","Check by: "&amp;IF(ISNUMBER(INDEX('My equipment'!$P$4:$P$503,(_calc!$E$100-500))),TEXT(INDEX('My equipment'!$P$4:$P$503,(_calc!$E$100-500)),"yyyy-mm-dd"),"")&amp;". ")&amp;IF(LEN(IF(LEN(INDEX('My equipment'!$Q$4:$Q$503,(_calc!$E$100-500)))=0,"",INDEX('My equipment'!$Q$4:$Q$503,(_calc!$E$100-500))))=0,"","Claim status: "&amp;IF(LEN(INDEX('My equipment'!$Q$4:$Q$503,(_calc!$E$100-500)))=0,"",INDEX('My equipment'!$Q$4:$Q$503,(_calc!$E$100-500)))&amp;". ")&amp;IF(LEN(IF(LEN(INDEX('My equipment'!$R$4:$R$503,(_calc!$E$100-500)))=0,"",INDEX('My equipment'!$R$4:$R$503,(_calc!$E$100-500))))=0,"","Claims contact: "&amp;IF(LEN(INDEX('My equipment'!$R$4:$R$503,(_calc!$E$100-500)))=0,"",INDEX('My equipment'!$R$4:$R$503,(_calc!$E$100-500)))&amp;". ")&amp;IF(LEN(IF(LEN(INDEX('My equipment'!$S$4:$S$503,(_calc!$E$100-500)))=0,"",INDEX('My equipment'!$S$4:$S$503,(_calc!$E$100-500))))=0,"","Claims email: "&amp;IF(LEN(INDEX('My equipment'!$S$4:$S$503,(_calc!$E$100-500)))=0,"",INDEX('My equipment'!$S$4:$S$503,(_calc!$E$100-500)))&amp;". ")&amp;IF(LEN(IF(LEN(INDEX('My equipment'!$U$4:$U$503,(_calc!$E$100-500)))=0,"",INDEX('My equipment'!$U$4:$U$503,(_calc!$E$100-500))))=0,"","Registered: "&amp;IF(LEN(INDEX('My equipment'!$U$4:$U$503,(_calc!$E$100-500)))=0,"",INDEX('My equipment'!$U$4:$U$503,(_calc!$E$100-500)))&amp;". ")&amp;IF(LEN(IF(LEN(INDEX('My equipment'!$V$4:$V$503,(_calc!$E$100-500)))=0,"",INDEX('My equipment'!$V$4:$V$503,(_calc!$E$100-500))))=0,"","Proof on file: "&amp;IF(LEN(INDEX('My equipment'!$V$4:$V$503,(_calc!$E$100-500)))=0,"",INDEX('My equipment'!$V$4:$V$503,(_calc!$E$100-500)))&amp;". ")&amp;IF(LEN(IF(LEN(INDEX('My equipment'!$W$4:$W$503,(_calc!$E$100-500)))=0,"",INDEX('My equipment'!$W$4:$W$503,(_calc!$E$100-500))))=0,"","Claim ref: "&amp;IF(LEN(INDEX('My equipment'!$W$4:$W$503,(_calc!$E$100-500)))=0,"",INDEX('My equipment'!$W$4:$W$503,(_calc!$E$100-500)))&amp;". ")&amp;IF(LEN(IF(LEN(INDEX('My equipment'!$Y$4:$Y$503,(_calc!$E$100-500)))=0,"",INDEX('My equipment'!$Y$4:$Y$503,(_calc!$E$100-500))))=0,"",IF(LEN(INDEX('My equipment'!$Y$4:$Y$503,(_calc!$E$100-500)))=0,"",INDEX('My equipment'!$Y$4:$Y$503,(_calc!$E$100-500)))))))</f>
        <v/>
      </c>
      <c r="G98" s="54">
        <f>IF(_calc!$E$100="","",IF(_calc!$E$100&lt;=500,"",IF(LEN(INDEX('My equipment'!$X$4:$X$503,(_calc!$E$100-500)))=0,"",INDEX('My equipment'!$X$4:$X$503,(_calc!$E$100-500)))))</f>
        <v/>
      </c>
      <c r="K98" s="54">
        <f>IF(_calc!$E$100="","",IF(_calc!$E$100&lt;=500,"",IF(LEN(INDEX('My equipment'!$T$4:$T$503,(_calc!$E$100-500)))=0,"",INDEX('My equipment'!$T$4:$T$503,(_calc!$E$100-500)))))</f>
        <v/>
      </c>
    </row>
    <row r="99">
      <c r="A99" s="54">
        <f>IF(_calc!$E$101="","",IF(_calc!$E$101&lt;=500,"Warranty – "&amp;IF(LEN(INDEX('Dealer pipeline'!$C$4:$C$503,_calc!$E$101))=0,"",INDEX('Dealer pipeline'!$C$4:$C$503,_calc!$E$101))&amp;" – "&amp;IF(LEN(INDEX('Dealer pipeline'!$D$4:$D$503,_calc!$E$101))=0,"",INDEX('Dealer pipeline'!$D$4:$D$503,_calc!$E$101))&amp;" – "&amp;IF(LEN(INDEX('Dealer pipeline'!$A$4:$A$503,_calc!$E$101))=0,"",INDEX('Dealer pipeline'!$A$4:$A$503,_calc!$E$101)),"Warranty – "&amp;IF(LEN(INDEX('My equipment'!$A$4:$A$503,(_calc!$E$101-500)))=0,"",INDEX('My equipment'!$A$4:$A$503,(_calc!$E$101-500)))&amp;" – "&amp;IF(LEN(INDEX('My equipment'!$D$4:$D$503,(_calc!$E$101-500)))=0,"",INDEX('My equipment'!$D$4:$D$503,(_calc!$E$101-500)))))</f>
        <v/>
      </c>
      <c r="B99" s="54">
        <f>IF(_calc!$E$101="","",IF(_calc!$E$101&lt;=500,IF(ISNUMBER(INDEX('Dealer pipeline'!$M$4:$M$503,_calc!$E$101)),TEXT(INDEX('Dealer pipeline'!$M$4:$M$503,_calc!$E$101),"yyyy-mm-dd"),""),IF(ISNUMBER(INDEX('My equipment'!$M$4:$M$503,(_calc!$E$101-500))),TEXT(INDEX('My equipment'!$M$4:$M$503,(_calc!$E$101-500)),"yyyy-mm-dd"),"")))</f>
        <v/>
      </c>
      <c r="C99" s="54">
        <f>IF(_calc!$E$101="","",IF(_calc!$E$101&lt;=500,"Warranty","Warranty"))</f>
        <v/>
      </c>
      <c r="D99" s="54">
        <f>IF(_calc!$E$101="","",IF(_calc!$E$101&lt;=500,IF(ISNUMBER(INDEX('Dealer pipeline'!$H$4:$H$503,_calc!$E$101)),TEXT(INDEX('Dealer pipeline'!$H$4:$H$503,_calc!$E$101),"yyyy-mm-dd"),""),IF(ISNUMBER(INDEX('My equipment'!$H$4:$H$503,(_calc!$E$101-500))),TEXT(INDEX('My equipment'!$H$4:$H$503,(_calc!$E$101-500)),"yyyy-mm-dd"),"")))</f>
        <v/>
      </c>
      <c r="F99" s="54">
        <f>IF(_calc!$E$101="","",IF(_calc!$E$101&lt;=500,TRIM(IF(LEN(IF(LEN(INDEX('Dealer pipeline'!$A$4:$A$503,_calc!$E$101))=0,"",INDEX('Dealer pipeline'!$A$4:$A$503,_calc!$E$101)))=0,"","Customer: "&amp;IF(LEN(INDEX('Dealer pipeline'!$A$4:$A$503,_calc!$E$101))=0,"",INDEX('Dealer pipeline'!$A$4:$A$503,_calc!$E$101))&amp;". ")&amp;IF(LEN(IF(LEN(INDEX('Dealer pipeline'!$B$4:$B$503,_calc!$E$101))=0,"",INDEX('Dealer pipeline'!$B$4:$B$503,_calc!$E$101)))=0,"","Contact: "&amp;IF(LEN(INDEX('Dealer pipeline'!$B$4:$B$503,_calc!$E$101))=0,"",INDEX('Dealer pipeline'!$B$4:$B$503,_calc!$E$101))&amp;". ")&amp;IF(LEN(IF(LEN(INDEX('Dealer pipeline'!$D$4:$D$503,_calc!$E$101))=0,"",INDEX('Dealer pipeline'!$D$4:$D$503,_calc!$E$101)))=0,"","Serial: "&amp;IF(LEN(INDEX('Dealer pipeline'!$D$4:$D$503,_calc!$E$101))=0,"",INDEX('Dealer pipeline'!$D$4:$D$503,_calc!$E$101))&amp;". ")&amp;IF(LEN(IF(ISNUMBER(INDEX('Dealer pipeline'!$J$4:$J$503,_calc!$E$101)),TEXT(INDEX('Dealer pipeline'!$J$4:$J$503,_calc!$E$101),"yyyy-mm-dd"),""))=0,"","Parts end: "&amp;IF(ISNUMBER(INDEX('Dealer pipeline'!$J$4:$J$503,_calc!$E$101)),TEXT(INDEX('Dealer pipeline'!$J$4:$J$503,_calc!$E$101),"yyyy-mm-dd"),"")&amp;". ")&amp;IF(LEN(IF(ISNUMBER(INDEX('Dealer pipeline'!$L$4:$L$503,_calc!$E$101)),TEXT(INDEX('Dealer pipeline'!$L$4:$L$503,_calc!$E$101),"yyyy-mm-dd"),""))=0,"","Labor end: "&amp;IF(ISNUMBER(INDEX('Dealer pipeline'!$L$4:$L$503,_calc!$E$101)),TEXT(INDEX('Dealer pipeline'!$L$4:$L$503,_calc!$E$101),"yyyy-mm-dd"),"")&amp;". ")&amp;IF(LEN(IF(LEN(INDEX('Dealer pipeline'!$Q$4:$Q$503,_calc!$E$101))=0,"",INDEX('Dealer pipeline'!$Q$4:$Q$503,_calc!$E$101)))=0,"","Status: "&amp;IF(LEN(INDEX('Dealer pipeline'!$Q$4:$Q$503,_calc!$E$101))=0,"",INDEX('Dealer pipeline'!$Q$4:$Q$503,_calc!$E$101))&amp;". ")&amp;IF(LEN(IF(LEN(INDEX('Dealer pipeline'!$P$4:$P$503,_calc!$E$101))=0,"",INDEX('Dealer pipeline'!$P$4:$P$503,_calc!$E$101)))=0,"","Last touch: "&amp;IF(LEN(INDEX('Dealer pipeline'!$P$4:$P$503,_calc!$E$101))=0,"",INDEX('Dealer pipeline'!$P$4:$P$503,_calc!$E$101))&amp;". ")&amp;IF(LEN(IF(LEN(INDEX('Dealer pipeline'!$R$4:$R$503,_calc!$E$101))=0,"",INDEX('Dealer pipeline'!$R$4:$R$503,_calc!$E$101)))=0,"","Owner: "&amp;IF(LEN(INDEX('Dealer pipeline'!$R$4:$R$503,_calc!$E$101))=0,"",INDEX('Dealer pipeline'!$R$4:$R$503,_calc!$E$101))&amp;". ")&amp;IF(LEN(IF(LEN(INDEX('Dealer pipeline'!$S$4:$S$503,_calc!$E$101))=0,"",INDEX('Dealer pipeline'!$S$4:$S$503,_calc!$E$101)))=0,"","Backup: "&amp;IF(LEN(INDEX('Dealer pipeline'!$S$4:$S$503,_calc!$E$101))=0,"",INDEX('Dealer pipeline'!$S$4:$S$503,_calc!$E$101))&amp;". ")&amp;IF(LEN(IF(LEN(INDEX('Dealer pipeline'!$T$4:$T$503,_calc!$E$101))=0,"",INDEX('Dealer pipeline'!$T$4:$T$503,_calc!$E$101)))=0,"",IF(LEN(INDEX('Dealer pipeline'!$T$4:$T$503,_calc!$E$101))=0,"",INDEX('Dealer pipeline'!$T$4:$T$503,_calc!$E$101)))),TRIM(IF(LEN(IF(LEN(INDEX('My equipment'!$C$4:$C$503,(_calc!$E$101-500)))=0,"",INDEX('My equipment'!$C$4:$C$503,(_calc!$E$101-500))))=0,"","Model: "&amp;IF(LEN(INDEX('My equipment'!$C$4:$C$503,(_calc!$E$101-500)))=0,"",INDEX('My equipment'!$C$4:$C$503,(_calc!$E$101-500)))&amp;". ")&amp;IF(LEN(IF(LEN(INDEX('My equipment'!$D$4:$D$503,(_calc!$E$101-500)))=0,"",INDEX('My equipment'!$D$4:$D$503,(_calc!$E$101-500))))=0,"","Serial: "&amp;IF(LEN(INDEX('My equipment'!$D$4:$D$503,(_calc!$E$101-500)))=0,"",INDEX('My equipment'!$D$4:$D$503,(_calc!$E$101-500)))&amp;". ")&amp;IF(LEN(IF(ISNUMBER(INDEX('My equipment'!$J$4:$J$503,(_calc!$E$101-500))),TEXT(INDEX('My equipment'!$J$4:$J$503,(_calc!$E$101-500)),"yyyy-mm-dd"),""))=0,"","Parts end: "&amp;IF(ISNUMBER(INDEX('My equipment'!$J$4:$J$503,(_calc!$E$101-500))),TEXT(INDEX('My equipment'!$J$4:$J$503,(_calc!$E$101-500)),"yyyy-mm-dd"),"")&amp;". ")&amp;IF(LEN(IF(ISNUMBER(INDEX('My equipment'!$L$4:$L$503,(_calc!$E$101-500))),TEXT(INDEX('My equipment'!$L$4:$L$503,(_calc!$E$101-500)),"yyyy-mm-dd"),""))=0,"","Labor end: "&amp;IF(ISNUMBER(INDEX('My equipment'!$L$4:$L$503,(_calc!$E$101-500))),TEXT(INDEX('My equipment'!$L$4:$L$503,(_calc!$E$101-500)),"yyyy-mm-dd"),"")&amp;". ")&amp;IF(LEN(IF(ISNUMBER(INDEX('My equipment'!$P$4:$P$503,(_calc!$E$101-500))),TEXT(INDEX('My equipment'!$P$4:$P$503,(_calc!$E$101-500)),"yyyy-mm-dd"),""))=0,"","Check by: "&amp;IF(ISNUMBER(INDEX('My equipment'!$P$4:$P$503,(_calc!$E$101-500))),TEXT(INDEX('My equipment'!$P$4:$P$503,(_calc!$E$101-500)),"yyyy-mm-dd"),"")&amp;". ")&amp;IF(LEN(IF(LEN(INDEX('My equipment'!$Q$4:$Q$503,(_calc!$E$101-500)))=0,"",INDEX('My equipment'!$Q$4:$Q$503,(_calc!$E$101-500))))=0,"","Claim status: "&amp;IF(LEN(INDEX('My equipment'!$Q$4:$Q$503,(_calc!$E$101-500)))=0,"",INDEX('My equipment'!$Q$4:$Q$503,(_calc!$E$101-500)))&amp;". ")&amp;IF(LEN(IF(LEN(INDEX('My equipment'!$R$4:$R$503,(_calc!$E$101-500)))=0,"",INDEX('My equipment'!$R$4:$R$503,(_calc!$E$101-500))))=0,"","Claims contact: "&amp;IF(LEN(INDEX('My equipment'!$R$4:$R$503,(_calc!$E$101-500)))=0,"",INDEX('My equipment'!$R$4:$R$503,(_calc!$E$101-500)))&amp;". ")&amp;IF(LEN(IF(LEN(INDEX('My equipment'!$S$4:$S$503,(_calc!$E$101-500)))=0,"",INDEX('My equipment'!$S$4:$S$503,(_calc!$E$101-500))))=0,"","Claims email: "&amp;IF(LEN(INDEX('My equipment'!$S$4:$S$503,(_calc!$E$101-500)))=0,"",INDEX('My equipment'!$S$4:$S$503,(_calc!$E$101-500)))&amp;". ")&amp;IF(LEN(IF(LEN(INDEX('My equipment'!$U$4:$U$503,(_calc!$E$101-500)))=0,"",INDEX('My equipment'!$U$4:$U$503,(_calc!$E$101-500))))=0,"","Registered: "&amp;IF(LEN(INDEX('My equipment'!$U$4:$U$503,(_calc!$E$101-500)))=0,"",INDEX('My equipment'!$U$4:$U$503,(_calc!$E$101-500)))&amp;". ")&amp;IF(LEN(IF(LEN(INDEX('My equipment'!$V$4:$V$503,(_calc!$E$101-500)))=0,"",INDEX('My equipment'!$V$4:$V$503,(_calc!$E$101-500))))=0,"","Proof on file: "&amp;IF(LEN(INDEX('My equipment'!$V$4:$V$503,(_calc!$E$101-500)))=0,"",INDEX('My equipment'!$V$4:$V$503,(_calc!$E$101-500)))&amp;". ")&amp;IF(LEN(IF(LEN(INDEX('My equipment'!$W$4:$W$503,(_calc!$E$101-500)))=0,"",INDEX('My equipment'!$W$4:$W$503,(_calc!$E$101-500))))=0,"","Claim ref: "&amp;IF(LEN(INDEX('My equipment'!$W$4:$W$503,(_calc!$E$101-500)))=0,"",INDEX('My equipment'!$W$4:$W$503,(_calc!$E$101-500)))&amp;". ")&amp;IF(LEN(IF(LEN(INDEX('My equipment'!$Y$4:$Y$503,(_calc!$E$101-500)))=0,"",INDEX('My equipment'!$Y$4:$Y$503,(_calc!$E$101-500))))=0,"",IF(LEN(INDEX('My equipment'!$Y$4:$Y$503,(_calc!$E$101-500)))=0,"",INDEX('My equipment'!$Y$4:$Y$503,(_calc!$E$101-500)))))))</f>
        <v/>
      </c>
      <c r="G99" s="54">
        <f>IF(_calc!$E$101="","",IF(_calc!$E$101&lt;=500,"",IF(LEN(INDEX('My equipment'!$X$4:$X$503,(_calc!$E$101-500)))=0,"",INDEX('My equipment'!$X$4:$X$503,(_calc!$E$101-500)))))</f>
        <v/>
      </c>
      <c r="K99" s="54">
        <f>IF(_calc!$E$101="","",IF(_calc!$E$101&lt;=500,"",IF(LEN(INDEX('My equipment'!$T$4:$T$503,(_calc!$E$101-500)))=0,"",INDEX('My equipment'!$T$4:$T$503,(_calc!$E$101-500)))))</f>
        <v/>
      </c>
    </row>
    <row r="100">
      <c r="A100" s="54">
        <f>IF(_calc!$E$102="","",IF(_calc!$E$102&lt;=500,"Warranty – "&amp;IF(LEN(INDEX('Dealer pipeline'!$C$4:$C$503,_calc!$E$102))=0,"",INDEX('Dealer pipeline'!$C$4:$C$503,_calc!$E$102))&amp;" – "&amp;IF(LEN(INDEX('Dealer pipeline'!$D$4:$D$503,_calc!$E$102))=0,"",INDEX('Dealer pipeline'!$D$4:$D$503,_calc!$E$102))&amp;" – "&amp;IF(LEN(INDEX('Dealer pipeline'!$A$4:$A$503,_calc!$E$102))=0,"",INDEX('Dealer pipeline'!$A$4:$A$503,_calc!$E$102)),"Warranty – "&amp;IF(LEN(INDEX('My equipment'!$A$4:$A$503,(_calc!$E$102-500)))=0,"",INDEX('My equipment'!$A$4:$A$503,(_calc!$E$102-500)))&amp;" – "&amp;IF(LEN(INDEX('My equipment'!$D$4:$D$503,(_calc!$E$102-500)))=0,"",INDEX('My equipment'!$D$4:$D$503,(_calc!$E$102-500)))))</f>
        <v/>
      </c>
      <c r="B100" s="54">
        <f>IF(_calc!$E$102="","",IF(_calc!$E$102&lt;=500,IF(ISNUMBER(INDEX('Dealer pipeline'!$M$4:$M$503,_calc!$E$102)),TEXT(INDEX('Dealer pipeline'!$M$4:$M$503,_calc!$E$102),"yyyy-mm-dd"),""),IF(ISNUMBER(INDEX('My equipment'!$M$4:$M$503,(_calc!$E$102-500))),TEXT(INDEX('My equipment'!$M$4:$M$503,(_calc!$E$102-500)),"yyyy-mm-dd"),"")))</f>
        <v/>
      </c>
      <c r="C100" s="54">
        <f>IF(_calc!$E$102="","",IF(_calc!$E$102&lt;=500,"Warranty","Warranty"))</f>
        <v/>
      </c>
      <c r="D100" s="54">
        <f>IF(_calc!$E$102="","",IF(_calc!$E$102&lt;=500,IF(ISNUMBER(INDEX('Dealer pipeline'!$H$4:$H$503,_calc!$E$102)),TEXT(INDEX('Dealer pipeline'!$H$4:$H$503,_calc!$E$102),"yyyy-mm-dd"),""),IF(ISNUMBER(INDEX('My equipment'!$H$4:$H$503,(_calc!$E$102-500))),TEXT(INDEX('My equipment'!$H$4:$H$503,(_calc!$E$102-500)),"yyyy-mm-dd"),"")))</f>
        <v/>
      </c>
      <c r="F100" s="54">
        <f>IF(_calc!$E$102="","",IF(_calc!$E$102&lt;=500,TRIM(IF(LEN(IF(LEN(INDEX('Dealer pipeline'!$A$4:$A$503,_calc!$E$102))=0,"",INDEX('Dealer pipeline'!$A$4:$A$503,_calc!$E$102)))=0,"","Customer: "&amp;IF(LEN(INDEX('Dealer pipeline'!$A$4:$A$503,_calc!$E$102))=0,"",INDEX('Dealer pipeline'!$A$4:$A$503,_calc!$E$102))&amp;". ")&amp;IF(LEN(IF(LEN(INDEX('Dealer pipeline'!$B$4:$B$503,_calc!$E$102))=0,"",INDEX('Dealer pipeline'!$B$4:$B$503,_calc!$E$102)))=0,"","Contact: "&amp;IF(LEN(INDEX('Dealer pipeline'!$B$4:$B$503,_calc!$E$102))=0,"",INDEX('Dealer pipeline'!$B$4:$B$503,_calc!$E$102))&amp;". ")&amp;IF(LEN(IF(LEN(INDEX('Dealer pipeline'!$D$4:$D$503,_calc!$E$102))=0,"",INDEX('Dealer pipeline'!$D$4:$D$503,_calc!$E$102)))=0,"","Serial: "&amp;IF(LEN(INDEX('Dealer pipeline'!$D$4:$D$503,_calc!$E$102))=0,"",INDEX('Dealer pipeline'!$D$4:$D$503,_calc!$E$102))&amp;". ")&amp;IF(LEN(IF(ISNUMBER(INDEX('Dealer pipeline'!$J$4:$J$503,_calc!$E$102)),TEXT(INDEX('Dealer pipeline'!$J$4:$J$503,_calc!$E$102),"yyyy-mm-dd"),""))=0,"","Parts end: "&amp;IF(ISNUMBER(INDEX('Dealer pipeline'!$J$4:$J$503,_calc!$E$102)),TEXT(INDEX('Dealer pipeline'!$J$4:$J$503,_calc!$E$102),"yyyy-mm-dd"),"")&amp;". ")&amp;IF(LEN(IF(ISNUMBER(INDEX('Dealer pipeline'!$L$4:$L$503,_calc!$E$102)),TEXT(INDEX('Dealer pipeline'!$L$4:$L$503,_calc!$E$102),"yyyy-mm-dd"),""))=0,"","Labor end: "&amp;IF(ISNUMBER(INDEX('Dealer pipeline'!$L$4:$L$503,_calc!$E$102)),TEXT(INDEX('Dealer pipeline'!$L$4:$L$503,_calc!$E$102),"yyyy-mm-dd"),"")&amp;". ")&amp;IF(LEN(IF(LEN(INDEX('Dealer pipeline'!$Q$4:$Q$503,_calc!$E$102))=0,"",INDEX('Dealer pipeline'!$Q$4:$Q$503,_calc!$E$102)))=0,"","Status: "&amp;IF(LEN(INDEX('Dealer pipeline'!$Q$4:$Q$503,_calc!$E$102))=0,"",INDEX('Dealer pipeline'!$Q$4:$Q$503,_calc!$E$102))&amp;". ")&amp;IF(LEN(IF(LEN(INDEX('Dealer pipeline'!$P$4:$P$503,_calc!$E$102))=0,"",INDEX('Dealer pipeline'!$P$4:$P$503,_calc!$E$102)))=0,"","Last touch: "&amp;IF(LEN(INDEX('Dealer pipeline'!$P$4:$P$503,_calc!$E$102))=0,"",INDEX('Dealer pipeline'!$P$4:$P$503,_calc!$E$102))&amp;". ")&amp;IF(LEN(IF(LEN(INDEX('Dealer pipeline'!$R$4:$R$503,_calc!$E$102))=0,"",INDEX('Dealer pipeline'!$R$4:$R$503,_calc!$E$102)))=0,"","Owner: "&amp;IF(LEN(INDEX('Dealer pipeline'!$R$4:$R$503,_calc!$E$102))=0,"",INDEX('Dealer pipeline'!$R$4:$R$503,_calc!$E$102))&amp;". ")&amp;IF(LEN(IF(LEN(INDEX('Dealer pipeline'!$S$4:$S$503,_calc!$E$102))=0,"",INDEX('Dealer pipeline'!$S$4:$S$503,_calc!$E$102)))=0,"","Backup: "&amp;IF(LEN(INDEX('Dealer pipeline'!$S$4:$S$503,_calc!$E$102))=0,"",INDEX('Dealer pipeline'!$S$4:$S$503,_calc!$E$102))&amp;". ")&amp;IF(LEN(IF(LEN(INDEX('Dealer pipeline'!$T$4:$T$503,_calc!$E$102))=0,"",INDEX('Dealer pipeline'!$T$4:$T$503,_calc!$E$102)))=0,"",IF(LEN(INDEX('Dealer pipeline'!$T$4:$T$503,_calc!$E$102))=0,"",INDEX('Dealer pipeline'!$T$4:$T$503,_calc!$E$102)))),TRIM(IF(LEN(IF(LEN(INDEX('My equipment'!$C$4:$C$503,(_calc!$E$102-500)))=0,"",INDEX('My equipment'!$C$4:$C$503,(_calc!$E$102-500))))=0,"","Model: "&amp;IF(LEN(INDEX('My equipment'!$C$4:$C$503,(_calc!$E$102-500)))=0,"",INDEX('My equipment'!$C$4:$C$503,(_calc!$E$102-500)))&amp;". ")&amp;IF(LEN(IF(LEN(INDEX('My equipment'!$D$4:$D$503,(_calc!$E$102-500)))=0,"",INDEX('My equipment'!$D$4:$D$503,(_calc!$E$102-500))))=0,"","Serial: "&amp;IF(LEN(INDEX('My equipment'!$D$4:$D$503,(_calc!$E$102-500)))=0,"",INDEX('My equipment'!$D$4:$D$503,(_calc!$E$102-500)))&amp;". ")&amp;IF(LEN(IF(ISNUMBER(INDEX('My equipment'!$J$4:$J$503,(_calc!$E$102-500))),TEXT(INDEX('My equipment'!$J$4:$J$503,(_calc!$E$102-500)),"yyyy-mm-dd"),""))=0,"","Parts end: "&amp;IF(ISNUMBER(INDEX('My equipment'!$J$4:$J$503,(_calc!$E$102-500))),TEXT(INDEX('My equipment'!$J$4:$J$503,(_calc!$E$102-500)),"yyyy-mm-dd"),"")&amp;". ")&amp;IF(LEN(IF(ISNUMBER(INDEX('My equipment'!$L$4:$L$503,(_calc!$E$102-500))),TEXT(INDEX('My equipment'!$L$4:$L$503,(_calc!$E$102-500)),"yyyy-mm-dd"),""))=0,"","Labor end: "&amp;IF(ISNUMBER(INDEX('My equipment'!$L$4:$L$503,(_calc!$E$102-500))),TEXT(INDEX('My equipment'!$L$4:$L$503,(_calc!$E$102-500)),"yyyy-mm-dd"),"")&amp;". ")&amp;IF(LEN(IF(ISNUMBER(INDEX('My equipment'!$P$4:$P$503,(_calc!$E$102-500))),TEXT(INDEX('My equipment'!$P$4:$P$503,(_calc!$E$102-500)),"yyyy-mm-dd"),""))=0,"","Check by: "&amp;IF(ISNUMBER(INDEX('My equipment'!$P$4:$P$503,(_calc!$E$102-500))),TEXT(INDEX('My equipment'!$P$4:$P$503,(_calc!$E$102-500)),"yyyy-mm-dd"),"")&amp;". ")&amp;IF(LEN(IF(LEN(INDEX('My equipment'!$Q$4:$Q$503,(_calc!$E$102-500)))=0,"",INDEX('My equipment'!$Q$4:$Q$503,(_calc!$E$102-500))))=0,"","Claim status: "&amp;IF(LEN(INDEX('My equipment'!$Q$4:$Q$503,(_calc!$E$102-500)))=0,"",INDEX('My equipment'!$Q$4:$Q$503,(_calc!$E$102-500)))&amp;". ")&amp;IF(LEN(IF(LEN(INDEX('My equipment'!$R$4:$R$503,(_calc!$E$102-500)))=0,"",INDEX('My equipment'!$R$4:$R$503,(_calc!$E$102-500))))=0,"","Claims contact: "&amp;IF(LEN(INDEX('My equipment'!$R$4:$R$503,(_calc!$E$102-500)))=0,"",INDEX('My equipment'!$R$4:$R$503,(_calc!$E$102-500)))&amp;". ")&amp;IF(LEN(IF(LEN(INDEX('My equipment'!$S$4:$S$503,(_calc!$E$102-500)))=0,"",INDEX('My equipment'!$S$4:$S$503,(_calc!$E$102-500))))=0,"","Claims email: "&amp;IF(LEN(INDEX('My equipment'!$S$4:$S$503,(_calc!$E$102-500)))=0,"",INDEX('My equipment'!$S$4:$S$503,(_calc!$E$102-500)))&amp;". ")&amp;IF(LEN(IF(LEN(INDEX('My equipment'!$U$4:$U$503,(_calc!$E$102-500)))=0,"",INDEX('My equipment'!$U$4:$U$503,(_calc!$E$102-500))))=0,"","Registered: "&amp;IF(LEN(INDEX('My equipment'!$U$4:$U$503,(_calc!$E$102-500)))=0,"",INDEX('My equipment'!$U$4:$U$503,(_calc!$E$102-500)))&amp;". ")&amp;IF(LEN(IF(LEN(INDEX('My equipment'!$V$4:$V$503,(_calc!$E$102-500)))=0,"",INDEX('My equipment'!$V$4:$V$503,(_calc!$E$102-500))))=0,"","Proof on file: "&amp;IF(LEN(INDEX('My equipment'!$V$4:$V$503,(_calc!$E$102-500)))=0,"",INDEX('My equipment'!$V$4:$V$503,(_calc!$E$102-500)))&amp;". ")&amp;IF(LEN(IF(LEN(INDEX('My equipment'!$W$4:$W$503,(_calc!$E$102-500)))=0,"",INDEX('My equipment'!$W$4:$W$503,(_calc!$E$102-500))))=0,"","Claim ref: "&amp;IF(LEN(INDEX('My equipment'!$W$4:$W$503,(_calc!$E$102-500)))=0,"",INDEX('My equipment'!$W$4:$W$503,(_calc!$E$102-500)))&amp;". ")&amp;IF(LEN(IF(LEN(INDEX('My equipment'!$Y$4:$Y$503,(_calc!$E$102-500)))=0,"",INDEX('My equipment'!$Y$4:$Y$503,(_calc!$E$102-500))))=0,"",IF(LEN(INDEX('My equipment'!$Y$4:$Y$503,(_calc!$E$102-500)))=0,"",INDEX('My equipment'!$Y$4:$Y$503,(_calc!$E$102-500)))))))</f>
        <v/>
      </c>
      <c r="G100" s="54">
        <f>IF(_calc!$E$102="","",IF(_calc!$E$102&lt;=500,"",IF(LEN(INDEX('My equipment'!$X$4:$X$503,(_calc!$E$102-500)))=0,"",INDEX('My equipment'!$X$4:$X$503,(_calc!$E$102-500)))))</f>
        <v/>
      </c>
      <c r="K100" s="54">
        <f>IF(_calc!$E$102="","",IF(_calc!$E$102&lt;=500,"",IF(LEN(INDEX('My equipment'!$T$4:$T$503,(_calc!$E$102-500)))=0,"",INDEX('My equipment'!$T$4:$T$503,(_calc!$E$102-500)))))</f>
        <v/>
      </c>
    </row>
    <row r="101">
      <c r="A101" s="54">
        <f>IF(_calc!$E$103="","",IF(_calc!$E$103&lt;=500,"Warranty – "&amp;IF(LEN(INDEX('Dealer pipeline'!$C$4:$C$503,_calc!$E$103))=0,"",INDEX('Dealer pipeline'!$C$4:$C$503,_calc!$E$103))&amp;" – "&amp;IF(LEN(INDEX('Dealer pipeline'!$D$4:$D$503,_calc!$E$103))=0,"",INDEX('Dealer pipeline'!$D$4:$D$503,_calc!$E$103))&amp;" – "&amp;IF(LEN(INDEX('Dealer pipeline'!$A$4:$A$503,_calc!$E$103))=0,"",INDEX('Dealer pipeline'!$A$4:$A$503,_calc!$E$103)),"Warranty – "&amp;IF(LEN(INDEX('My equipment'!$A$4:$A$503,(_calc!$E$103-500)))=0,"",INDEX('My equipment'!$A$4:$A$503,(_calc!$E$103-500)))&amp;" – "&amp;IF(LEN(INDEX('My equipment'!$D$4:$D$503,(_calc!$E$103-500)))=0,"",INDEX('My equipment'!$D$4:$D$503,(_calc!$E$103-500)))))</f>
        <v/>
      </c>
      <c r="B101" s="54">
        <f>IF(_calc!$E$103="","",IF(_calc!$E$103&lt;=500,IF(ISNUMBER(INDEX('Dealer pipeline'!$M$4:$M$503,_calc!$E$103)),TEXT(INDEX('Dealer pipeline'!$M$4:$M$503,_calc!$E$103),"yyyy-mm-dd"),""),IF(ISNUMBER(INDEX('My equipment'!$M$4:$M$503,(_calc!$E$103-500))),TEXT(INDEX('My equipment'!$M$4:$M$503,(_calc!$E$103-500)),"yyyy-mm-dd"),"")))</f>
        <v/>
      </c>
      <c r="C101" s="54">
        <f>IF(_calc!$E$103="","",IF(_calc!$E$103&lt;=500,"Warranty","Warranty"))</f>
        <v/>
      </c>
      <c r="D101" s="54">
        <f>IF(_calc!$E$103="","",IF(_calc!$E$103&lt;=500,IF(ISNUMBER(INDEX('Dealer pipeline'!$H$4:$H$503,_calc!$E$103)),TEXT(INDEX('Dealer pipeline'!$H$4:$H$503,_calc!$E$103),"yyyy-mm-dd"),""),IF(ISNUMBER(INDEX('My equipment'!$H$4:$H$503,(_calc!$E$103-500))),TEXT(INDEX('My equipment'!$H$4:$H$503,(_calc!$E$103-500)),"yyyy-mm-dd"),"")))</f>
        <v/>
      </c>
      <c r="F101" s="54">
        <f>IF(_calc!$E$103="","",IF(_calc!$E$103&lt;=500,TRIM(IF(LEN(IF(LEN(INDEX('Dealer pipeline'!$A$4:$A$503,_calc!$E$103))=0,"",INDEX('Dealer pipeline'!$A$4:$A$503,_calc!$E$103)))=0,"","Customer: "&amp;IF(LEN(INDEX('Dealer pipeline'!$A$4:$A$503,_calc!$E$103))=0,"",INDEX('Dealer pipeline'!$A$4:$A$503,_calc!$E$103))&amp;". ")&amp;IF(LEN(IF(LEN(INDEX('Dealer pipeline'!$B$4:$B$503,_calc!$E$103))=0,"",INDEX('Dealer pipeline'!$B$4:$B$503,_calc!$E$103)))=0,"","Contact: "&amp;IF(LEN(INDEX('Dealer pipeline'!$B$4:$B$503,_calc!$E$103))=0,"",INDEX('Dealer pipeline'!$B$4:$B$503,_calc!$E$103))&amp;". ")&amp;IF(LEN(IF(LEN(INDEX('Dealer pipeline'!$D$4:$D$503,_calc!$E$103))=0,"",INDEX('Dealer pipeline'!$D$4:$D$503,_calc!$E$103)))=0,"","Serial: "&amp;IF(LEN(INDEX('Dealer pipeline'!$D$4:$D$503,_calc!$E$103))=0,"",INDEX('Dealer pipeline'!$D$4:$D$503,_calc!$E$103))&amp;". ")&amp;IF(LEN(IF(ISNUMBER(INDEX('Dealer pipeline'!$J$4:$J$503,_calc!$E$103)),TEXT(INDEX('Dealer pipeline'!$J$4:$J$503,_calc!$E$103),"yyyy-mm-dd"),""))=0,"","Parts end: "&amp;IF(ISNUMBER(INDEX('Dealer pipeline'!$J$4:$J$503,_calc!$E$103)),TEXT(INDEX('Dealer pipeline'!$J$4:$J$503,_calc!$E$103),"yyyy-mm-dd"),"")&amp;". ")&amp;IF(LEN(IF(ISNUMBER(INDEX('Dealer pipeline'!$L$4:$L$503,_calc!$E$103)),TEXT(INDEX('Dealer pipeline'!$L$4:$L$503,_calc!$E$103),"yyyy-mm-dd"),""))=0,"","Labor end: "&amp;IF(ISNUMBER(INDEX('Dealer pipeline'!$L$4:$L$503,_calc!$E$103)),TEXT(INDEX('Dealer pipeline'!$L$4:$L$503,_calc!$E$103),"yyyy-mm-dd"),"")&amp;". ")&amp;IF(LEN(IF(LEN(INDEX('Dealer pipeline'!$Q$4:$Q$503,_calc!$E$103))=0,"",INDEX('Dealer pipeline'!$Q$4:$Q$503,_calc!$E$103)))=0,"","Status: "&amp;IF(LEN(INDEX('Dealer pipeline'!$Q$4:$Q$503,_calc!$E$103))=0,"",INDEX('Dealer pipeline'!$Q$4:$Q$503,_calc!$E$103))&amp;". ")&amp;IF(LEN(IF(LEN(INDEX('Dealer pipeline'!$P$4:$P$503,_calc!$E$103))=0,"",INDEX('Dealer pipeline'!$P$4:$P$503,_calc!$E$103)))=0,"","Last touch: "&amp;IF(LEN(INDEX('Dealer pipeline'!$P$4:$P$503,_calc!$E$103))=0,"",INDEX('Dealer pipeline'!$P$4:$P$503,_calc!$E$103))&amp;". ")&amp;IF(LEN(IF(LEN(INDEX('Dealer pipeline'!$R$4:$R$503,_calc!$E$103))=0,"",INDEX('Dealer pipeline'!$R$4:$R$503,_calc!$E$103)))=0,"","Owner: "&amp;IF(LEN(INDEX('Dealer pipeline'!$R$4:$R$503,_calc!$E$103))=0,"",INDEX('Dealer pipeline'!$R$4:$R$503,_calc!$E$103))&amp;". ")&amp;IF(LEN(IF(LEN(INDEX('Dealer pipeline'!$S$4:$S$503,_calc!$E$103))=0,"",INDEX('Dealer pipeline'!$S$4:$S$503,_calc!$E$103)))=0,"","Backup: "&amp;IF(LEN(INDEX('Dealer pipeline'!$S$4:$S$503,_calc!$E$103))=0,"",INDEX('Dealer pipeline'!$S$4:$S$503,_calc!$E$103))&amp;". ")&amp;IF(LEN(IF(LEN(INDEX('Dealer pipeline'!$T$4:$T$503,_calc!$E$103))=0,"",INDEX('Dealer pipeline'!$T$4:$T$503,_calc!$E$103)))=0,"",IF(LEN(INDEX('Dealer pipeline'!$T$4:$T$503,_calc!$E$103))=0,"",INDEX('Dealer pipeline'!$T$4:$T$503,_calc!$E$103)))),TRIM(IF(LEN(IF(LEN(INDEX('My equipment'!$C$4:$C$503,(_calc!$E$103-500)))=0,"",INDEX('My equipment'!$C$4:$C$503,(_calc!$E$103-500))))=0,"","Model: "&amp;IF(LEN(INDEX('My equipment'!$C$4:$C$503,(_calc!$E$103-500)))=0,"",INDEX('My equipment'!$C$4:$C$503,(_calc!$E$103-500)))&amp;". ")&amp;IF(LEN(IF(LEN(INDEX('My equipment'!$D$4:$D$503,(_calc!$E$103-500)))=0,"",INDEX('My equipment'!$D$4:$D$503,(_calc!$E$103-500))))=0,"","Serial: "&amp;IF(LEN(INDEX('My equipment'!$D$4:$D$503,(_calc!$E$103-500)))=0,"",INDEX('My equipment'!$D$4:$D$503,(_calc!$E$103-500)))&amp;". ")&amp;IF(LEN(IF(ISNUMBER(INDEX('My equipment'!$J$4:$J$503,(_calc!$E$103-500))),TEXT(INDEX('My equipment'!$J$4:$J$503,(_calc!$E$103-500)),"yyyy-mm-dd"),""))=0,"","Parts end: "&amp;IF(ISNUMBER(INDEX('My equipment'!$J$4:$J$503,(_calc!$E$103-500))),TEXT(INDEX('My equipment'!$J$4:$J$503,(_calc!$E$103-500)),"yyyy-mm-dd"),"")&amp;". ")&amp;IF(LEN(IF(ISNUMBER(INDEX('My equipment'!$L$4:$L$503,(_calc!$E$103-500))),TEXT(INDEX('My equipment'!$L$4:$L$503,(_calc!$E$103-500)),"yyyy-mm-dd"),""))=0,"","Labor end: "&amp;IF(ISNUMBER(INDEX('My equipment'!$L$4:$L$503,(_calc!$E$103-500))),TEXT(INDEX('My equipment'!$L$4:$L$503,(_calc!$E$103-500)),"yyyy-mm-dd"),"")&amp;". ")&amp;IF(LEN(IF(ISNUMBER(INDEX('My equipment'!$P$4:$P$503,(_calc!$E$103-500))),TEXT(INDEX('My equipment'!$P$4:$P$503,(_calc!$E$103-500)),"yyyy-mm-dd"),""))=0,"","Check by: "&amp;IF(ISNUMBER(INDEX('My equipment'!$P$4:$P$503,(_calc!$E$103-500))),TEXT(INDEX('My equipment'!$P$4:$P$503,(_calc!$E$103-500)),"yyyy-mm-dd"),"")&amp;". ")&amp;IF(LEN(IF(LEN(INDEX('My equipment'!$Q$4:$Q$503,(_calc!$E$103-500)))=0,"",INDEX('My equipment'!$Q$4:$Q$503,(_calc!$E$103-500))))=0,"","Claim status: "&amp;IF(LEN(INDEX('My equipment'!$Q$4:$Q$503,(_calc!$E$103-500)))=0,"",INDEX('My equipment'!$Q$4:$Q$503,(_calc!$E$103-500)))&amp;". ")&amp;IF(LEN(IF(LEN(INDEX('My equipment'!$R$4:$R$503,(_calc!$E$103-500)))=0,"",INDEX('My equipment'!$R$4:$R$503,(_calc!$E$103-500))))=0,"","Claims contact: "&amp;IF(LEN(INDEX('My equipment'!$R$4:$R$503,(_calc!$E$103-500)))=0,"",INDEX('My equipment'!$R$4:$R$503,(_calc!$E$103-500)))&amp;". ")&amp;IF(LEN(IF(LEN(INDEX('My equipment'!$S$4:$S$503,(_calc!$E$103-500)))=0,"",INDEX('My equipment'!$S$4:$S$503,(_calc!$E$103-500))))=0,"","Claims email: "&amp;IF(LEN(INDEX('My equipment'!$S$4:$S$503,(_calc!$E$103-500)))=0,"",INDEX('My equipment'!$S$4:$S$503,(_calc!$E$103-500)))&amp;". ")&amp;IF(LEN(IF(LEN(INDEX('My equipment'!$U$4:$U$503,(_calc!$E$103-500)))=0,"",INDEX('My equipment'!$U$4:$U$503,(_calc!$E$103-500))))=0,"","Registered: "&amp;IF(LEN(INDEX('My equipment'!$U$4:$U$503,(_calc!$E$103-500)))=0,"",INDEX('My equipment'!$U$4:$U$503,(_calc!$E$103-500)))&amp;". ")&amp;IF(LEN(IF(LEN(INDEX('My equipment'!$V$4:$V$503,(_calc!$E$103-500)))=0,"",INDEX('My equipment'!$V$4:$V$503,(_calc!$E$103-500))))=0,"","Proof on file: "&amp;IF(LEN(INDEX('My equipment'!$V$4:$V$503,(_calc!$E$103-500)))=0,"",INDEX('My equipment'!$V$4:$V$503,(_calc!$E$103-500)))&amp;". ")&amp;IF(LEN(IF(LEN(INDEX('My equipment'!$W$4:$W$503,(_calc!$E$103-500)))=0,"",INDEX('My equipment'!$W$4:$W$503,(_calc!$E$103-500))))=0,"","Claim ref: "&amp;IF(LEN(INDEX('My equipment'!$W$4:$W$503,(_calc!$E$103-500)))=0,"",INDEX('My equipment'!$W$4:$W$503,(_calc!$E$103-500)))&amp;". ")&amp;IF(LEN(IF(LEN(INDEX('My equipment'!$Y$4:$Y$503,(_calc!$E$103-500)))=0,"",INDEX('My equipment'!$Y$4:$Y$503,(_calc!$E$103-500))))=0,"",IF(LEN(INDEX('My equipment'!$Y$4:$Y$503,(_calc!$E$103-500)))=0,"",INDEX('My equipment'!$Y$4:$Y$503,(_calc!$E$103-500)))))))</f>
        <v/>
      </c>
      <c r="G101" s="54">
        <f>IF(_calc!$E$103="","",IF(_calc!$E$103&lt;=500,"",IF(LEN(INDEX('My equipment'!$X$4:$X$503,(_calc!$E$103-500)))=0,"",INDEX('My equipment'!$X$4:$X$503,(_calc!$E$103-500)))))</f>
        <v/>
      </c>
      <c r="K101" s="54">
        <f>IF(_calc!$E$103="","",IF(_calc!$E$103&lt;=500,"",IF(LEN(INDEX('My equipment'!$T$4:$T$503,(_calc!$E$103-500)))=0,"",INDEX('My equipment'!$T$4:$T$503,(_calc!$E$103-500)))))</f>
        <v/>
      </c>
    </row>
    <row r="102">
      <c r="A102" s="54">
        <f>IF(_calc!$E$104="","",IF(_calc!$E$104&lt;=500,"Warranty – "&amp;IF(LEN(INDEX('Dealer pipeline'!$C$4:$C$503,_calc!$E$104))=0,"",INDEX('Dealer pipeline'!$C$4:$C$503,_calc!$E$104))&amp;" – "&amp;IF(LEN(INDEX('Dealer pipeline'!$D$4:$D$503,_calc!$E$104))=0,"",INDEX('Dealer pipeline'!$D$4:$D$503,_calc!$E$104))&amp;" – "&amp;IF(LEN(INDEX('Dealer pipeline'!$A$4:$A$503,_calc!$E$104))=0,"",INDEX('Dealer pipeline'!$A$4:$A$503,_calc!$E$104)),"Warranty – "&amp;IF(LEN(INDEX('My equipment'!$A$4:$A$503,(_calc!$E$104-500)))=0,"",INDEX('My equipment'!$A$4:$A$503,(_calc!$E$104-500)))&amp;" – "&amp;IF(LEN(INDEX('My equipment'!$D$4:$D$503,(_calc!$E$104-500)))=0,"",INDEX('My equipment'!$D$4:$D$503,(_calc!$E$104-500)))))</f>
        <v/>
      </c>
      <c r="B102" s="54">
        <f>IF(_calc!$E$104="","",IF(_calc!$E$104&lt;=500,IF(ISNUMBER(INDEX('Dealer pipeline'!$M$4:$M$503,_calc!$E$104)),TEXT(INDEX('Dealer pipeline'!$M$4:$M$503,_calc!$E$104),"yyyy-mm-dd"),""),IF(ISNUMBER(INDEX('My equipment'!$M$4:$M$503,(_calc!$E$104-500))),TEXT(INDEX('My equipment'!$M$4:$M$503,(_calc!$E$104-500)),"yyyy-mm-dd"),"")))</f>
        <v/>
      </c>
      <c r="C102" s="54">
        <f>IF(_calc!$E$104="","",IF(_calc!$E$104&lt;=500,"Warranty","Warranty"))</f>
        <v/>
      </c>
      <c r="D102" s="54">
        <f>IF(_calc!$E$104="","",IF(_calc!$E$104&lt;=500,IF(ISNUMBER(INDEX('Dealer pipeline'!$H$4:$H$503,_calc!$E$104)),TEXT(INDEX('Dealer pipeline'!$H$4:$H$503,_calc!$E$104),"yyyy-mm-dd"),""),IF(ISNUMBER(INDEX('My equipment'!$H$4:$H$503,(_calc!$E$104-500))),TEXT(INDEX('My equipment'!$H$4:$H$503,(_calc!$E$104-500)),"yyyy-mm-dd"),"")))</f>
        <v/>
      </c>
      <c r="F102" s="54">
        <f>IF(_calc!$E$104="","",IF(_calc!$E$104&lt;=500,TRIM(IF(LEN(IF(LEN(INDEX('Dealer pipeline'!$A$4:$A$503,_calc!$E$104))=0,"",INDEX('Dealer pipeline'!$A$4:$A$503,_calc!$E$104)))=0,"","Customer: "&amp;IF(LEN(INDEX('Dealer pipeline'!$A$4:$A$503,_calc!$E$104))=0,"",INDEX('Dealer pipeline'!$A$4:$A$503,_calc!$E$104))&amp;". ")&amp;IF(LEN(IF(LEN(INDEX('Dealer pipeline'!$B$4:$B$503,_calc!$E$104))=0,"",INDEX('Dealer pipeline'!$B$4:$B$503,_calc!$E$104)))=0,"","Contact: "&amp;IF(LEN(INDEX('Dealer pipeline'!$B$4:$B$503,_calc!$E$104))=0,"",INDEX('Dealer pipeline'!$B$4:$B$503,_calc!$E$104))&amp;". ")&amp;IF(LEN(IF(LEN(INDEX('Dealer pipeline'!$D$4:$D$503,_calc!$E$104))=0,"",INDEX('Dealer pipeline'!$D$4:$D$503,_calc!$E$104)))=0,"","Serial: "&amp;IF(LEN(INDEX('Dealer pipeline'!$D$4:$D$503,_calc!$E$104))=0,"",INDEX('Dealer pipeline'!$D$4:$D$503,_calc!$E$104))&amp;". ")&amp;IF(LEN(IF(ISNUMBER(INDEX('Dealer pipeline'!$J$4:$J$503,_calc!$E$104)),TEXT(INDEX('Dealer pipeline'!$J$4:$J$503,_calc!$E$104),"yyyy-mm-dd"),""))=0,"","Parts end: "&amp;IF(ISNUMBER(INDEX('Dealer pipeline'!$J$4:$J$503,_calc!$E$104)),TEXT(INDEX('Dealer pipeline'!$J$4:$J$503,_calc!$E$104),"yyyy-mm-dd"),"")&amp;". ")&amp;IF(LEN(IF(ISNUMBER(INDEX('Dealer pipeline'!$L$4:$L$503,_calc!$E$104)),TEXT(INDEX('Dealer pipeline'!$L$4:$L$503,_calc!$E$104),"yyyy-mm-dd"),""))=0,"","Labor end: "&amp;IF(ISNUMBER(INDEX('Dealer pipeline'!$L$4:$L$503,_calc!$E$104)),TEXT(INDEX('Dealer pipeline'!$L$4:$L$503,_calc!$E$104),"yyyy-mm-dd"),"")&amp;". ")&amp;IF(LEN(IF(LEN(INDEX('Dealer pipeline'!$Q$4:$Q$503,_calc!$E$104))=0,"",INDEX('Dealer pipeline'!$Q$4:$Q$503,_calc!$E$104)))=0,"","Status: "&amp;IF(LEN(INDEX('Dealer pipeline'!$Q$4:$Q$503,_calc!$E$104))=0,"",INDEX('Dealer pipeline'!$Q$4:$Q$503,_calc!$E$104))&amp;". ")&amp;IF(LEN(IF(LEN(INDEX('Dealer pipeline'!$P$4:$P$503,_calc!$E$104))=0,"",INDEX('Dealer pipeline'!$P$4:$P$503,_calc!$E$104)))=0,"","Last touch: "&amp;IF(LEN(INDEX('Dealer pipeline'!$P$4:$P$503,_calc!$E$104))=0,"",INDEX('Dealer pipeline'!$P$4:$P$503,_calc!$E$104))&amp;". ")&amp;IF(LEN(IF(LEN(INDEX('Dealer pipeline'!$R$4:$R$503,_calc!$E$104))=0,"",INDEX('Dealer pipeline'!$R$4:$R$503,_calc!$E$104)))=0,"","Owner: "&amp;IF(LEN(INDEX('Dealer pipeline'!$R$4:$R$503,_calc!$E$104))=0,"",INDEX('Dealer pipeline'!$R$4:$R$503,_calc!$E$104))&amp;". ")&amp;IF(LEN(IF(LEN(INDEX('Dealer pipeline'!$S$4:$S$503,_calc!$E$104))=0,"",INDEX('Dealer pipeline'!$S$4:$S$503,_calc!$E$104)))=0,"","Backup: "&amp;IF(LEN(INDEX('Dealer pipeline'!$S$4:$S$503,_calc!$E$104))=0,"",INDEX('Dealer pipeline'!$S$4:$S$503,_calc!$E$104))&amp;". ")&amp;IF(LEN(IF(LEN(INDEX('Dealer pipeline'!$T$4:$T$503,_calc!$E$104))=0,"",INDEX('Dealer pipeline'!$T$4:$T$503,_calc!$E$104)))=0,"",IF(LEN(INDEX('Dealer pipeline'!$T$4:$T$503,_calc!$E$104))=0,"",INDEX('Dealer pipeline'!$T$4:$T$503,_calc!$E$104)))),TRIM(IF(LEN(IF(LEN(INDEX('My equipment'!$C$4:$C$503,(_calc!$E$104-500)))=0,"",INDEX('My equipment'!$C$4:$C$503,(_calc!$E$104-500))))=0,"","Model: "&amp;IF(LEN(INDEX('My equipment'!$C$4:$C$503,(_calc!$E$104-500)))=0,"",INDEX('My equipment'!$C$4:$C$503,(_calc!$E$104-500)))&amp;". ")&amp;IF(LEN(IF(LEN(INDEX('My equipment'!$D$4:$D$503,(_calc!$E$104-500)))=0,"",INDEX('My equipment'!$D$4:$D$503,(_calc!$E$104-500))))=0,"","Serial: "&amp;IF(LEN(INDEX('My equipment'!$D$4:$D$503,(_calc!$E$104-500)))=0,"",INDEX('My equipment'!$D$4:$D$503,(_calc!$E$104-500)))&amp;". ")&amp;IF(LEN(IF(ISNUMBER(INDEX('My equipment'!$J$4:$J$503,(_calc!$E$104-500))),TEXT(INDEX('My equipment'!$J$4:$J$503,(_calc!$E$104-500)),"yyyy-mm-dd"),""))=0,"","Parts end: "&amp;IF(ISNUMBER(INDEX('My equipment'!$J$4:$J$503,(_calc!$E$104-500))),TEXT(INDEX('My equipment'!$J$4:$J$503,(_calc!$E$104-500)),"yyyy-mm-dd"),"")&amp;". ")&amp;IF(LEN(IF(ISNUMBER(INDEX('My equipment'!$L$4:$L$503,(_calc!$E$104-500))),TEXT(INDEX('My equipment'!$L$4:$L$503,(_calc!$E$104-500)),"yyyy-mm-dd"),""))=0,"","Labor end: "&amp;IF(ISNUMBER(INDEX('My equipment'!$L$4:$L$503,(_calc!$E$104-500))),TEXT(INDEX('My equipment'!$L$4:$L$503,(_calc!$E$104-500)),"yyyy-mm-dd"),"")&amp;". ")&amp;IF(LEN(IF(ISNUMBER(INDEX('My equipment'!$P$4:$P$503,(_calc!$E$104-500))),TEXT(INDEX('My equipment'!$P$4:$P$503,(_calc!$E$104-500)),"yyyy-mm-dd"),""))=0,"","Check by: "&amp;IF(ISNUMBER(INDEX('My equipment'!$P$4:$P$503,(_calc!$E$104-500))),TEXT(INDEX('My equipment'!$P$4:$P$503,(_calc!$E$104-500)),"yyyy-mm-dd"),"")&amp;". ")&amp;IF(LEN(IF(LEN(INDEX('My equipment'!$Q$4:$Q$503,(_calc!$E$104-500)))=0,"",INDEX('My equipment'!$Q$4:$Q$503,(_calc!$E$104-500))))=0,"","Claim status: "&amp;IF(LEN(INDEX('My equipment'!$Q$4:$Q$503,(_calc!$E$104-500)))=0,"",INDEX('My equipment'!$Q$4:$Q$503,(_calc!$E$104-500)))&amp;". ")&amp;IF(LEN(IF(LEN(INDEX('My equipment'!$R$4:$R$503,(_calc!$E$104-500)))=0,"",INDEX('My equipment'!$R$4:$R$503,(_calc!$E$104-500))))=0,"","Claims contact: "&amp;IF(LEN(INDEX('My equipment'!$R$4:$R$503,(_calc!$E$104-500)))=0,"",INDEX('My equipment'!$R$4:$R$503,(_calc!$E$104-500)))&amp;". ")&amp;IF(LEN(IF(LEN(INDEX('My equipment'!$S$4:$S$503,(_calc!$E$104-500)))=0,"",INDEX('My equipment'!$S$4:$S$503,(_calc!$E$104-500))))=0,"","Claims email: "&amp;IF(LEN(INDEX('My equipment'!$S$4:$S$503,(_calc!$E$104-500)))=0,"",INDEX('My equipment'!$S$4:$S$503,(_calc!$E$104-500)))&amp;". ")&amp;IF(LEN(IF(LEN(INDEX('My equipment'!$U$4:$U$503,(_calc!$E$104-500)))=0,"",INDEX('My equipment'!$U$4:$U$503,(_calc!$E$104-500))))=0,"","Registered: "&amp;IF(LEN(INDEX('My equipment'!$U$4:$U$503,(_calc!$E$104-500)))=0,"",INDEX('My equipment'!$U$4:$U$503,(_calc!$E$104-500)))&amp;". ")&amp;IF(LEN(IF(LEN(INDEX('My equipment'!$V$4:$V$503,(_calc!$E$104-500)))=0,"",INDEX('My equipment'!$V$4:$V$503,(_calc!$E$104-500))))=0,"","Proof on file: "&amp;IF(LEN(INDEX('My equipment'!$V$4:$V$503,(_calc!$E$104-500)))=0,"",INDEX('My equipment'!$V$4:$V$503,(_calc!$E$104-500)))&amp;". ")&amp;IF(LEN(IF(LEN(INDEX('My equipment'!$W$4:$W$503,(_calc!$E$104-500)))=0,"",INDEX('My equipment'!$W$4:$W$503,(_calc!$E$104-500))))=0,"","Claim ref: "&amp;IF(LEN(INDEX('My equipment'!$W$4:$W$503,(_calc!$E$104-500)))=0,"",INDEX('My equipment'!$W$4:$W$503,(_calc!$E$104-500)))&amp;". ")&amp;IF(LEN(IF(LEN(INDEX('My equipment'!$Y$4:$Y$503,(_calc!$E$104-500)))=0,"",INDEX('My equipment'!$Y$4:$Y$503,(_calc!$E$104-500))))=0,"",IF(LEN(INDEX('My equipment'!$Y$4:$Y$503,(_calc!$E$104-500)))=0,"",INDEX('My equipment'!$Y$4:$Y$503,(_calc!$E$104-500)))))))</f>
        <v/>
      </c>
      <c r="G102" s="54">
        <f>IF(_calc!$E$104="","",IF(_calc!$E$104&lt;=500,"",IF(LEN(INDEX('My equipment'!$X$4:$X$503,(_calc!$E$104-500)))=0,"",INDEX('My equipment'!$X$4:$X$503,(_calc!$E$104-500)))))</f>
        <v/>
      </c>
      <c r="K102" s="54">
        <f>IF(_calc!$E$104="","",IF(_calc!$E$104&lt;=500,"",IF(LEN(INDEX('My equipment'!$T$4:$T$503,(_calc!$E$104-500)))=0,"",INDEX('My equipment'!$T$4:$T$503,(_calc!$E$104-500)))))</f>
        <v/>
      </c>
    </row>
    <row r="103">
      <c r="A103" s="54">
        <f>IF(_calc!$E$105="","",IF(_calc!$E$105&lt;=500,"Warranty – "&amp;IF(LEN(INDEX('Dealer pipeline'!$C$4:$C$503,_calc!$E$105))=0,"",INDEX('Dealer pipeline'!$C$4:$C$503,_calc!$E$105))&amp;" – "&amp;IF(LEN(INDEX('Dealer pipeline'!$D$4:$D$503,_calc!$E$105))=0,"",INDEX('Dealer pipeline'!$D$4:$D$503,_calc!$E$105))&amp;" – "&amp;IF(LEN(INDEX('Dealer pipeline'!$A$4:$A$503,_calc!$E$105))=0,"",INDEX('Dealer pipeline'!$A$4:$A$503,_calc!$E$105)),"Warranty – "&amp;IF(LEN(INDEX('My equipment'!$A$4:$A$503,(_calc!$E$105-500)))=0,"",INDEX('My equipment'!$A$4:$A$503,(_calc!$E$105-500)))&amp;" – "&amp;IF(LEN(INDEX('My equipment'!$D$4:$D$503,(_calc!$E$105-500)))=0,"",INDEX('My equipment'!$D$4:$D$503,(_calc!$E$105-500)))))</f>
        <v/>
      </c>
      <c r="B103" s="54">
        <f>IF(_calc!$E$105="","",IF(_calc!$E$105&lt;=500,IF(ISNUMBER(INDEX('Dealer pipeline'!$M$4:$M$503,_calc!$E$105)),TEXT(INDEX('Dealer pipeline'!$M$4:$M$503,_calc!$E$105),"yyyy-mm-dd"),""),IF(ISNUMBER(INDEX('My equipment'!$M$4:$M$503,(_calc!$E$105-500))),TEXT(INDEX('My equipment'!$M$4:$M$503,(_calc!$E$105-500)),"yyyy-mm-dd"),"")))</f>
        <v/>
      </c>
      <c r="C103" s="54">
        <f>IF(_calc!$E$105="","",IF(_calc!$E$105&lt;=500,"Warranty","Warranty"))</f>
        <v/>
      </c>
      <c r="D103" s="54">
        <f>IF(_calc!$E$105="","",IF(_calc!$E$105&lt;=500,IF(ISNUMBER(INDEX('Dealer pipeline'!$H$4:$H$503,_calc!$E$105)),TEXT(INDEX('Dealer pipeline'!$H$4:$H$503,_calc!$E$105),"yyyy-mm-dd"),""),IF(ISNUMBER(INDEX('My equipment'!$H$4:$H$503,(_calc!$E$105-500))),TEXT(INDEX('My equipment'!$H$4:$H$503,(_calc!$E$105-500)),"yyyy-mm-dd"),"")))</f>
        <v/>
      </c>
      <c r="F103" s="54">
        <f>IF(_calc!$E$105="","",IF(_calc!$E$105&lt;=500,TRIM(IF(LEN(IF(LEN(INDEX('Dealer pipeline'!$A$4:$A$503,_calc!$E$105))=0,"",INDEX('Dealer pipeline'!$A$4:$A$503,_calc!$E$105)))=0,"","Customer: "&amp;IF(LEN(INDEX('Dealer pipeline'!$A$4:$A$503,_calc!$E$105))=0,"",INDEX('Dealer pipeline'!$A$4:$A$503,_calc!$E$105))&amp;". ")&amp;IF(LEN(IF(LEN(INDEX('Dealer pipeline'!$B$4:$B$503,_calc!$E$105))=0,"",INDEX('Dealer pipeline'!$B$4:$B$503,_calc!$E$105)))=0,"","Contact: "&amp;IF(LEN(INDEX('Dealer pipeline'!$B$4:$B$503,_calc!$E$105))=0,"",INDEX('Dealer pipeline'!$B$4:$B$503,_calc!$E$105))&amp;". ")&amp;IF(LEN(IF(LEN(INDEX('Dealer pipeline'!$D$4:$D$503,_calc!$E$105))=0,"",INDEX('Dealer pipeline'!$D$4:$D$503,_calc!$E$105)))=0,"","Serial: "&amp;IF(LEN(INDEX('Dealer pipeline'!$D$4:$D$503,_calc!$E$105))=0,"",INDEX('Dealer pipeline'!$D$4:$D$503,_calc!$E$105))&amp;". ")&amp;IF(LEN(IF(ISNUMBER(INDEX('Dealer pipeline'!$J$4:$J$503,_calc!$E$105)),TEXT(INDEX('Dealer pipeline'!$J$4:$J$503,_calc!$E$105),"yyyy-mm-dd"),""))=0,"","Parts end: "&amp;IF(ISNUMBER(INDEX('Dealer pipeline'!$J$4:$J$503,_calc!$E$105)),TEXT(INDEX('Dealer pipeline'!$J$4:$J$503,_calc!$E$105),"yyyy-mm-dd"),"")&amp;". ")&amp;IF(LEN(IF(ISNUMBER(INDEX('Dealer pipeline'!$L$4:$L$503,_calc!$E$105)),TEXT(INDEX('Dealer pipeline'!$L$4:$L$503,_calc!$E$105),"yyyy-mm-dd"),""))=0,"","Labor end: "&amp;IF(ISNUMBER(INDEX('Dealer pipeline'!$L$4:$L$503,_calc!$E$105)),TEXT(INDEX('Dealer pipeline'!$L$4:$L$503,_calc!$E$105),"yyyy-mm-dd"),"")&amp;". ")&amp;IF(LEN(IF(LEN(INDEX('Dealer pipeline'!$Q$4:$Q$503,_calc!$E$105))=0,"",INDEX('Dealer pipeline'!$Q$4:$Q$503,_calc!$E$105)))=0,"","Status: "&amp;IF(LEN(INDEX('Dealer pipeline'!$Q$4:$Q$503,_calc!$E$105))=0,"",INDEX('Dealer pipeline'!$Q$4:$Q$503,_calc!$E$105))&amp;". ")&amp;IF(LEN(IF(LEN(INDEX('Dealer pipeline'!$P$4:$P$503,_calc!$E$105))=0,"",INDEX('Dealer pipeline'!$P$4:$P$503,_calc!$E$105)))=0,"","Last touch: "&amp;IF(LEN(INDEX('Dealer pipeline'!$P$4:$P$503,_calc!$E$105))=0,"",INDEX('Dealer pipeline'!$P$4:$P$503,_calc!$E$105))&amp;". ")&amp;IF(LEN(IF(LEN(INDEX('Dealer pipeline'!$R$4:$R$503,_calc!$E$105))=0,"",INDEX('Dealer pipeline'!$R$4:$R$503,_calc!$E$105)))=0,"","Owner: "&amp;IF(LEN(INDEX('Dealer pipeline'!$R$4:$R$503,_calc!$E$105))=0,"",INDEX('Dealer pipeline'!$R$4:$R$503,_calc!$E$105))&amp;". ")&amp;IF(LEN(IF(LEN(INDEX('Dealer pipeline'!$S$4:$S$503,_calc!$E$105))=0,"",INDEX('Dealer pipeline'!$S$4:$S$503,_calc!$E$105)))=0,"","Backup: "&amp;IF(LEN(INDEX('Dealer pipeline'!$S$4:$S$503,_calc!$E$105))=0,"",INDEX('Dealer pipeline'!$S$4:$S$503,_calc!$E$105))&amp;". ")&amp;IF(LEN(IF(LEN(INDEX('Dealer pipeline'!$T$4:$T$503,_calc!$E$105))=0,"",INDEX('Dealer pipeline'!$T$4:$T$503,_calc!$E$105)))=0,"",IF(LEN(INDEX('Dealer pipeline'!$T$4:$T$503,_calc!$E$105))=0,"",INDEX('Dealer pipeline'!$T$4:$T$503,_calc!$E$105)))),TRIM(IF(LEN(IF(LEN(INDEX('My equipment'!$C$4:$C$503,(_calc!$E$105-500)))=0,"",INDEX('My equipment'!$C$4:$C$503,(_calc!$E$105-500))))=0,"","Model: "&amp;IF(LEN(INDEX('My equipment'!$C$4:$C$503,(_calc!$E$105-500)))=0,"",INDEX('My equipment'!$C$4:$C$503,(_calc!$E$105-500)))&amp;". ")&amp;IF(LEN(IF(LEN(INDEX('My equipment'!$D$4:$D$503,(_calc!$E$105-500)))=0,"",INDEX('My equipment'!$D$4:$D$503,(_calc!$E$105-500))))=0,"","Serial: "&amp;IF(LEN(INDEX('My equipment'!$D$4:$D$503,(_calc!$E$105-500)))=0,"",INDEX('My equipment'!$D$4:$D$503,(_calc!$E$105-500)))&amp;". ")&amp;IF(LEN(IF(ISNUMBER(INDEX('My equipment'!$J$4:$J$503,(_calc!$E$105-500))),TEXT(INDEX('My equipment'!$J$4:$J$503,(_calc!$E$105-500)),"yyyy-mm-dd"),""))=0,"","Parts end: "&amp;IF(ISNUMBER(INDEX('My equipment'!$J$4:$J$503,(_calc!$E$105-500))),TEXT(INDEX('My equipment'!$J$4:$J$503,(_calc!$E$105-500)),"yyyy-mm-dd"),"")&amp;". ")&amp;IF(LEN(IF(ISNUMBER(INDEX('My equipment'!$L$4:$L$503,(_calc!$E$105-500))),TEXT(INDEX('My equipment'!$L$4:$L$503,(_calc!$E$105-500)),"yyyy-mm-dd"),""))=0,"","Labor end: "&amp;IF(ISNUMBER(INDEX('My equipment'!$L$4:$L$503,(_calc!$E$105-500))),TEXT(INDEX('My equipment'!$L$4:$L$503,(_calc!$E$105-500)),"yyyy-mm-dd"),"")&amp;". ")&amp;IF(LEN(IF(ISNUMBER(INDEX('My equipment'!$P$4:$P$503,(_calc!$E$105-500))),TEXT(INDEX('My equipment'!$P$4:$P$503,(_calc!$E$105-500)),"yyyy-mm-dd"),""))=0,"","Check by: "&amp;IF(ISNUMBER(INDEX('My equipment'!$P$4:$P$503,(_calc!$E$105-500))),TEXT(INDEX('My equipment'!$P$4:$P$503,(_calc!$E$105-500)),"yyyy-mm-dd"),"")&amp;". ")&amp;IF(LEN(IF(LEN(INDEX('My equipment'!$Q$4:$Q$503,(_calc!$E$105-500)))=0,"",INDEX('My equipment'!$Q$4:$Q$503,(_calc!$E$105-500))))=0,"","Claim status: "&amp;IF(LEN(INDEX('My equipment'!$Q$4:$Q$503,(_calc!$E$105-500)))=0,"",INDEX('My equipment'!$Q$4:$Q$503,(_calc!$E$105-500)))&amp;". ")&amp;IF(LEN(IF(LEN(INDEX('My equipment'!$R$4:$R$503,(_calc!$E$105-500)))=0,"",INDEX('My equipment'!$R$4:$R$503,(_calc!$E$105-500))))=0,"","Claims contact: "&amp;IF(LEN(INDEX('My equipment'!$R$4:$R$503,(_calc!$E$105-500)))=0,"",INDEX('My equipment'!$R$4:$R$503,(_calc!$E$105-500)))&amp;". ")&amp;IF(LEN(IF(LEN(INDEX('My equipment'!$S$4:$S$503,(_calc!$E$105-500)))=0,"",INDEX('My equipment'!$S$4:$S$503,(_calc!$E$105-500))))=0,"","Claims email: "&amp;IF(LEN(INDEX('My equipment'!$S$4:$S$503,(_calc!$E$105-500)))=0,"",INDEX('My equipment'!$S$4:$S$503,(_calc!$E$105-500)))&amp;". ")&amp;IF(LEN(IF(LEN(INDEX('My equipment'!$U$4:$U$503,(_calc!$E$105-500)))=0,"",INDEX('My equipment'!$U$4:$U$503,(_calc!$E$105-500))))=0,"","Registered: "&amp;IF(LEN(INDEX('My equipment'!$U$4:$U$503,(_calc!$E$105-500)))=0,"",INDEX('My equipment'!$U$4:$U$503,(_calc!$E$105-500)))&amp;". ")&amp;IF(LEN(IF(LEN(INDEX('My equipment'!$V$4:$V$503,(_calc!$E$105-500)))=0,"",INDEX('My equipment'!$V$4:$V$503,(_calc!$E$105-500))))=0,"","Proof on file: "&amp;IF(LEN(INDEX('My equipment'!$V$4:$V$503,(_calc!$E$105-500)))=0,"",INDEX('My equipment'!$V$4:$V$503,(_calc!$E$105-500)))&amp;". ")&amp;IF(LEN(IF(LEN(INDEX('My equipment'!$W$4:$W$503,(_calc!$E$105-500)))=0,"",INDEX('My equipment'!$W$4:$W$503,(_calc!$E$105-500))))=0,"","Claim ref: "&amp;IF(LEN(INDEX('My equipment'!$W$4:$W$503,(_calc!$E$105-500)))=0,"",INDEX('My equipment'!$W$4:$W$503,(_calc!$E$105-500)))&amp;". ")&amp;IF(LEN(IF(LEN(INDEX('My equipment'!$Y$4:$Y$503,(_calc!$E$105-500)))=0,"",INDEX('My equipment'!$Y$4:$Y$503,(_calc!$E$105-500))))=0,"",IF(LEN(INDEX('My equipment'!$Y$4:$Y$503,(_calc!$E$105-500)))=0,"",INDEX('My equipment'!$Y$4:$Y$503,(_calc!$E$105-500)))))))</f>
        <v/>
      </c>
      <c r="G103" s="54">
        <f>IF(_calc!$E$105="","",IF(_calc!$E$105&lt;=500,"",IF(LEN(INDEX('My equipment'!$X$4:$X$503,(_calc!$E$105-500)))=0,"",INDEX('My equipment'!$X$4:$X$503,(_calc!$E$105-500)))))</f>
        <v/>
      </c>
      <c r="K103" s="54">
        <f>IF(_calc!$E$105="","",IF(_calc!$E$105&lt;=500,"",IF(LEN(INDEX('My equipment'!$T$4:$T$503,(_calc!$E$105-500)))=0,"",INDEX('My equipment'!$T$4:$T$503,(_calc!$E$105-500)))))</f>
        <v/>
      </c>
    </row>
    <row r="104">
      <c r="A104" s="54">
        <f>IF(_calc!$E$106="","",IF(_calc!$E$106&lt;=500,"Warranty – "&amp;IF(LEN(INDEX('Dealer pipeline'!$C$4:$C$503,_calc!$E$106))=0,"",INDEX('Dealer pipeline'!$C$4:$C$503,_calc!$E$106))&amp;" – "&amp;IF(LEN(INDEX('Dealer pipeline'!$D$4:$D$503,_calc!$E$106))=0,"",INDEX('Dealer pipeline'!$D$4:$D$503,_calc!$E$106))&amp;" – "&amp;IF(LEN(INDEX('Dealer pipeline'!$A$4:$A$503,_calc!$E$106))=0,"",INDEX('Dealer pipeline'!$A$4:$A$503,_calc!$E$106)),"Warranty – "&amp;IF(LEN(INDEX('My equipment'!$A$4:$A$503,(_calc!$E$106-500)))=0,"",INDEX('My equipment'!$A$4:$A$503,(_calc!$E$106-500)))&amp;" – "&amp;IF(LEN(INDEX('My equipment'!$D$4:$D$503,(_calc!$E$106-500)))=0,"",INDEX('My equipment'!$D$4:$D$503,(_calc!$E$106-500)))))</f>
        <v/>
      </c>
      <c r="B104" s="54">
        <f>IF(_calc!$E$106="","",IF(_calc!$E$106&lt;=500,IF(ISNUMBER(INDEX('Dealer pipeline'!$M$4:$M$503,_calc!$E$106)),TEXT(INDEX('Dealer pipeline'!$M$4:$M$503,_calc!$E$106),"yyyy-mm-dd"),""),IF(ISNUMBER(INDEX('My equipment'!$M$4:$M$503,(_calc!$E$106-500))),TEXT(INDEX('My equipment'!$M$4:$M$503,(_calc!$E$106-500)),"yyyy-mm-dd"),"")))</f>
        <v/>
      </c>
      <c r="C104" s="54">
        <f>IF(_calc!$E$106="","",IF(_calc!$E$106&lt;=500,"Warranty","Warranty"))</f>
        <v/>
      </c>
      <c r="D104" s="54">
        <f>IF(_calc!$E$106="","",IF(_calc!$E$106&lt;=500,IF(ISNUMBER(INDEX('Dealer pipeline'!$H$4:$H$503,_calc!$E$106)),TEXT(INDEX('Dealer pipeline'!$H$4:$H$503,_calc!$E$106),"yyyy-mm-dd"),""),IF(ISNUMBER(INDEX('My equipment'!$H$4:$H$503,(_calc!$E$106-500))),TEXT(INDEX('My equipment'!$H$4:$H$503,(_calc!$E$106-500)),"yyyy-mm-dd"),"")))</f>
        <v/>
      </c>
      <c r="F104" s="54">
        <f>IF(_calc!$E$106="","",IF(_calc!$E$106&lt;=500,TRIM(IF(LEN(IF(LEN(INDEX('Dealer pipeline'!$A$4:$A$503,_calc!$E$106))=0,"",INDEX('Dealer pipeline'!$A$4:$A$503,_calc!$E$106)))=0,"","Customer: "&amp;IF(LEN(INDEX('Dealer pipeline'!$A$4:$A$503,_calc!$E$106))=0,"",INDEX('Dealer pipeline'!$A$4:$A$503,_calc!$E$106))&amp;". ")&amp;IF(LEN(IF(LEN(INDEX('Dealer pipeline'!$B$4:$B$503,_calc!$E$106))=0,"",INDEX('Dealer pipeline'!$B$4:$B$503,_calc!$E$106)))=0,"","Contact: "&amp;IF(LEN(INDEX('Dealer pipeline'!$B$4:$B$503,_calc!$E$106))=0,"",INDEX('Dealer pipeline'!$B$4:$B$503,_calc!$E$106))&amp;". ")&amp;IF(LEN(IF(LEN(INDEX('Dealer pipeline'!$D$4:$D$503,_calc!$E$106))=0,"",INDEX('Dealer pipeline'!$D$4:$D$503,_calc!$E$106)))=0,"","Serial: "&amp;IF(LEN(INDEX('Dealer pipeline'!$D$4:$D$503,_calc!$E$106))=0,"",INDEX('Dealer pipeline'!$D$4:$D$503,_calc!$E$106))&amp;". ")&amp;IF(LEN(IF(ISNUMBER(INDEX('Dealer pipeline'!$J$4:$J$503,_calc!$E$106)),TEXT(INDEX('Dealer pipeline'!$J$4:$J$503,_calc!$E$106),"yyyy-mm-dd"),""))=0,"","Parts end: "&amp;IF(ISNUMBER(INDEX('Dealer pipeline'!$J$4:$J$503,_calc!$E$106)),TEXT(INDEX('Dealer pipeline'!$J$4:$J$503,_calc!$E$106),"yyyy-mm-dd"),"")&amp;". ")&amp;IF(LEN(IF(ISNUMBER(INDEX('Dealer pipeline'!$L$4:$L$503,_calc!$E$106)),TEXT(INDEX('Dealer pipeline'!$L$4:$L$503,_calc!$E$106),"yyyy-mm-dd"),""))=0,"","Labor end: "&amp;IF(ISNUMBER(INDEX('Dealer pipeline'!$L$4:$L$503,_calc!$E$106)),TEXT(INDEX('Dealer pipeline'!$L$4:$L$503,_calc!$E$106),"yyyy-mm-dd"),"")&amp;". ")&amp;IF(LEN(IF(LEN(INDEX('Dealer pipeline'!$Q$4:$Q$503,_calc!$E$106))=0,"",INDEX('Dealer pipeline'!$Q$4:$Q$503,_calc!$E$106)))=0,"","Status: "&amp;IF(LEN(INDEX('Dealer pipeline'!$Q$4:$Q$503,_calc!$E$106))=0,"",INDEX('Dealer pipeline'!$Q$4:$Q$503,_calc!$E$106))&amp;". ")&amp;IF(LEN(IF(LEN(INDEX('Dealer pipeline'!$P$4:$P$503,_calc!$E$106))=0,"",INDEX('Dealer pipeline'!$P$4:$P$503,_calc!$E$106)))=0,"","Last touch: "&amp;IF(LEN(INDEX('Dealer pipeline'!$P$4:$P$503,_calc!$E$106))=0,"",INDEX('Dealer pipeline'!$P$4:$P$503,_calc!$E$106))&amp;". ")&amp;IF(LEN(IF(LEN(INDEX('Dealer pipeline'!$R$4:$R$503,_calc!$E$106))=0,"",INDEX('Dealer pipeline'!$R$4:$R$503,_calc!$E$106)))=0,"","Owner: "&amp;IF(LEN(INDEX('Dealer pipeline'!$R$4:$R$503,_calc!$E$106))=0,"",INDEX('Dealer pipeline'!$R$4:$R$503,_calc!$E$106))&amp;". ")&amp;IF(LEN(IF(LEN(INDEX('Dealer pipeline'!$S$4:$S$503,_calc!$E$106))=0,"",INDEX('Dealer pipeline'!$S$4:$S$503,_calc!$E$106)))=0,"","Backup: "&amp;IF(LEN(INDEX('Dealer pipeline'!$S$4:$S$503,_calc!$E$106))=0,"",INDEX('Dealer pipeline'!$S$4:$S$503,_calc!$E$106))&amp;". ")&amp;IF(LEN(IF(LEN(INDEX('Dealer pipeline'!$T$4:$T$503,_calc!$E$106))=0,"",INDEX('Dealer pipeline'!$T$4:$T$503,_calc!$E$106)))=0,"",IF(LEN(INDEX('Dealer pipeline'!$T$4:$T$503,_calc!$E$106))=0,"",INDEX('Dealer pipeline'!$T$4:$T$503,_calc!$E$106)))),TRIM(IF(LEN(IF(LEN(INDEX('My equipment'!$C$4:$C$503,(_calc!$E$106-500)))=0,"",INDEX('My equipment'!$C$4:$C$503,(_calc!$E$106-500))))=0,"","Model: "&amp;IF(LEN(INDEX('My equipment'!$C$4:$C$503,(_calc!$E$106-500)))=0,"",INDEX('My equipment'!$C$4:$C$503,(_calc!$E$106-500)))&amp;". ")&amp;IF(LEN(IF(LEN(INDEX('My equipment'!$D$4:$D$503,(_calc!$E$106-500)))=0,"",INDEX('My equipment'!$D$4:$D$503,(_calc!$E$106-500))))=0,"","Serial: "&amp;IF(LEN(INDEX('My equipment'!$D$4:$D$503,(_calc!$E$106-500)))=0,"",INDEX('My equipment'!$D$4:$D$503,(_calc!$E$106-500)))&amp;". ")&amp;IF(LEN(IF(ISNUMBER(INDEX('My equipment'!$J$4:$J$503,(_calc!$E$106-500))),TEXT(INDEX('My equipment'!$J$4:$J$503,(_calc!$E$106-500)),"yyyy-mm-dd"),""))=0,"","Parts end: "&amp;IF(ISNUMBER(INDEX('My equipment'!$J$4:$J$503,(_calc!$E$106-500))),TEXT(INDEX('My equipment'!$J$4:$J$503,(_calc!$E$106-500)),"yyyy-mm-dd"),"")&amp;". ")&amp;IF(LEN(IF(ISNUMBER(INDEX('My equipment'!$L$4:$L$503,(_calc!$E$106-500))),TEXT(INDEX('My equipment'!$L$4:$L$503,(_calc!$E$106-500)),"yyyy-mm-dd"),""))=0,"","Labor end: "&amp;IF(ISNUMBER(INDEX('My equipment'!$L$4:$L$503,(_calc!$E$106-500))),TEXT(INDEX('My equipment'!$L$4:$L$503,(_calc!$E$106-500)),"yyyy-mm-dd"),"")&amp;". ")&amp;IF(LEN(IF(ISNUMBER(INDEX('My equipment'!$P$4:$P$503,(_calc!$E$106-500))),TEXT(INDEX('My equipment'!$P$4:$P$503,(_calc!$E$106-500)),"yyyy-mm-dd"),""))=0,"","Check by: "&amp;IF(ISNUMBER(INDEX('My equipment'!$P$4:$P$503,(_calc!$E$106-500))),TEXT(INDEX('My equipment'!$P$4:$P$503,(_calc!$E$106-500)),"yyyy-mm-dd"),"")&amp;". ")&amp;IF(LEN(IF(LEN(INDEX('My equipment'!$Q$4:$Q$503,(_calc!$E$106-500)))=0,"",INDEX('My equipment'!$Q$4:$Q$503,(_calc!$E$106-500))))=0,"","Claim status: "&amp;IF(LEN(INDEX('My equipment'!$Q$4:$Q$503,(_calc!$E$106-500)))=0,"",INDEX('My equipment'!$Q$4:$Q$503,(_calc!$E$106-500)))&amp;". ")&amp;IF(LEN(IF(LEN(INDEX('My equipment'!$R$4:$R$503,(_calc!$E$106-500)))=0,"",INDEX('My equipment'!$R$4:$R$503,(_calc!$E$106-500))))=0,"","Claims contact: "&amp;IF(LEN(INDEX('My equipment'!$R$4:$R$503,(_calc!$E$106-500)))=0,"",INDEX('My equipment'!$R$4:$R$503,(_calc!$E$106-500)))&amp;". ")&amp;IF(LEN(IF(LEN(INDEX('My equipment'!$S$4:$S$503,(_calc!$E$106-500)))=0,"",INDEX('My equipment'!$S$4:$S$503,(_calc!$E$106-500))))=0,"","Claims email: "&amp;IF(LEN(INDEX('My equipment'!$S$4:$S$503,(_calc!$E$106-500)))=0,"",INDEX('My equipment'!$S$4:$S$503,(_calc!$E$106-500)))&amp;". ")&amp;IF(LEN(IF(LEN(INDEX('My equipment'!$U$4:$U$503,(_calc!$E$106-500)))=0,"",INDEX('My equipment'!$U$4:$U$503,(_calc!$E$106-500))))=0,"","Registered: "&amp;IF(LEN(INDEX('My equipment'!$U$4:$U$503,(_calc!$E$106-500)))=0,"",INDEX('My equipment'!$U$4:$U$503,(_calc!$E$106-500)))&amp;". ")&amp;IF(LEN(IF(LEN(INDEX('My equipment'!$V$4:$V$503,(_calc!$E$106-500)))=0,"",INDEX('My equipment'!$V$4:$V$503,(_calc!$E$106-500))))=0,"","Proof on file: "&amp;IF(LEN(INDEX('My equipment'!$V$4:$V$503,(_calc!$E$106-500)))=0,"",INDEX('My equipment'!$V$4:$V$503,(_calc!$E$106-500)))&amp;". ")&amp;IF(LEN(IF(LEN(INDEX('My equipment'!$W$4:$W$503,(_calc!$E$106-500)))=0,"",INDEX('My equipment'!$W$4:$W$503,(_calc!$E$106-500))))=0,"","Claim ref: "&amp;IF(LEN(INDEX('My equipment'!$W$4:$W$503,(_calc!$E$106-500)))=0,"",INDEX('My equipment'!$W$4:$W$503,(_calc!$E$106-500)))&amp;". ")&amp;IF(LEN(IF(LEN(INDEX('My equipment'!$Y$4:$Y$503,(_calc!$E$106-500)))=0,"",INDEX('My equipment'!$Y$4:$Y$503,(_calc!$E$106-500))))=0,"",IF(LEN(INDEX('My equipment'!$Y$4:$Y$503,(_calc!$E$106-500)))=0,"",INDEX('My equipment'!$Y$4:$Y$503,(_calc!$E$106-500)))))))</f>
        <v/>
      </c>
      <c r="G104" s="54">
        <f>IF(_calc!$E$106="","",IF(_calc!$E$106&lt;=500,"",IF(LEN(INDEX('My equipment'!$X$4:$X$503,(_calc!$E$106-500)))=0,"",INDEX('My equipment'!$X$4:$X$503,(_calc!$E$106-500)))))</f>
        <v/>
      </c>
      <c r="K104" s="54">
        <f>IF(_calc!$E$106="","",IF(_calc!$E$106&lt;=500,"",IF(LEN(INDEX('My equipment'!$T$4:$T$503,(_calc!$E$106-500)))=0,"",INDEX('My equipment'!$T$4:$T$503,(_calc!$E$106-500)))))</f>
        <v/>
      </c>
    </row>
    <row r="105">
      <c r="A105" s="54">
        <f>IF(_calc!$E$107="","",IF(_calc!$E$107&lt;=500,"Warranty – "&amp;IF(LEN(INDEX('Dealer pipeline'!$C$4:$C$503,_calc!$E$107))=0,"",INDEX('Dealer pipeline'!$C$4:$C$503,_calc!$E$107))&amp;" – "&amp;IF(LEN(INDEX('Dealer pipeline'!$D$4:$D$503,_calc!$E$107))=0,"",INDEX('Dealer pipeline'!$D$4:$D$503,_calc!$E$107))&amp;" – "&amp;IF(LEN(INDEX('Dealer pipeline'!$A$4:$A$503,_calc!$E$107))=0,"",INDEX('Dealer pipeline'!$A$4:$A$503,_calc!$E$107)),"Warranty – "&amp;IF(LEN(INDEX('My equipment'!$A$4:$A$503,(_calc!$E$107-500)))=0,"",INDEX('My equipment'!$A$4:$A$503,(_calc!$E$107-500)))&amp;" – "&amp;IF(LEN(INDEX('My equipment'!$D$4:$D$503,(_calc!$E$107-500)))=0,"",INDEX('My equipment'!$D$4:$D$503,(_calc!$E$107-500)))))</f>
        <v/>
      </c>
      <c r="B105" s="54">
        <f>IF(_calc!$E$107="","",IF(_calc!$E$107&lt;=500,IF(ISNUMBER(INDEX('Dealer pipeline'!$M$4:$M$503,_calc!$E$107)),TEXT(INDEX('Dealer pipeline'!$M$4:$M$503,_calc!$E$107),"yyyy-mm-dd"),""),IF(ISNUMBER(INDEX('My equipment'!$M$4:$M$503,(_calc!$E$107-500))),TEXT(INDEX('My equipment'!$M$4:$M$503,(_calc!$E$107-500)),"yyyy-mm-dd"),"")))</f>
        <v/>
      </c>
      <c r="C105" s="54">
        <f>IF(_calc!$E$107="","",IF(_calc!$E$107&lt;=500,"Warranty","Warranty"))</f>
        <v/>
      </c>
      <c r="D105" s="54">
        <f>IF(_calc!$E$107="","",IF(_calc!$E$107&lt;=500,IF(ISNUMBER(INDEX('Dealer pipeline'!$H$4:$H$503,_calc!$E$107)),TEXT(INDEX('Dealer pipeline'!$H$4:$H$503,_calc!$E$107),"yyyy-mm-dd"),""),IF(ISNUMBER(INDEX('My equipment'!$H$4:$H$503,(_calc!$E$107-500))),TEXT(INDEX('My equipment'!$H$4:$H$503,(_calc!$E$107-500)),"yyyy-mm-dd"),"")))</f>
        <v/>
      </c>
      <c r="F105" s="54">
        <f>IF(_calc!$E$107="","",IF(_calc!$E$107&lt;=500,TRIM(IF(LEN(IF(LEN(INDEX('Dealer pipeline'!$A$4:$A$503,_calc!$E$107))=0,"",INDEX('Dealer pipeline'!$A$4:$A$503,_calc!$E$107)))=0,"","Customer: "&amp;IF(LEN(INDEX('Dealer pipeline'!$A$4:$A$503,_calc!$E$107))=0,"",INDEX('Dealer pipeline'!$A$4:$A$503,_calc!$E$107))&amp;". ")&amp;IF(LEN(IF(LEN(INDEX('Dealer pipeline'!$B$4:$B$503,_calc!$E$107))=0,"",INDEX('Dealer pipeline'!$B$4:$B$503,_calc!$E$107)))=0,"","Contact: "&amp;IF(LEN(INDEX('Dealer pipeline'!$B$4:$B$503,_calc!$E$107))=0,"",INDEX('Dealer pipeline'!$B$4:$B$503,_calc!$E$107))&amp;". ")&amp;IF(LEN(IF(LEN(INDEX('Dealer pipeline'!$D$4:$D$503,_calc!$E$107))=0,"",INDEX('Dealer pipeline'!$D$4:$D$503,_calc!$E$107)))=0,"","Serial: "&amp;IF(LEN(INDEX('Dealer pipeline'!$D$4:$D$503,_calc!$E$107))=0,"",INDEX('Dealer pipeline'!$D$4:$D$503,_calc!$E$107))&amp;". ")&amp;IF(LEN(IF(ISNUMBER(INDEX('Dealer pipeline'!$J$4:$J$503,_calc!$E$107)),TEXT(INDEX('Dealer pipeline'!$J$4:$J$503,_calc!$E$107),"yyyy-mm-dd"),""))=0,"","Parts end: "&amp;IF(ISNUMBER(INDEX('Dealer pipeline'!$J$4:$J$503,_calc!$E$107)),TEXT(INDEX('Dealer pipeline'!$J$4:$J$503,_calc!$E$107),"yyyy-mm-dd"),"")&amp;". ")&amp;IF(LEN(IF(ISNUMBER(INDEX('Dealer pipeline'!$L$4:$L$503,_calc!$E$107)),TEXT(INDEX('Dealer pipeline'!$L$4:$L$503,_calc!$E$107),"yyyy-mm-dd"),""))=0,"","Labor end: "&amp;IF(ISNUMBER(INDEX('Dealer pipeline'!$L$4:$L$503,_calc!$E$107)),TEXT(INDEX('Dealer pipeline'!$L$4:$L$503,_calc!$E$107),"yyyy-mm-dd"),"")&amp;". ")&amp;IF(LEN(IF(LEN(INDEX('Dealer pipeline'!$Q$4:$Q$503,_calc!$E$107))=0,"",INDEX('Dealer pipeline'!$Q$4:$Q$503,_calc!$E$107)))=0,"","Status: "&amp;IF(LEN(INDEX('Dealer pipeline'!$Q$4:$Q$503,_calc!$E$107))=0,"",INDEX('Dealer pipeline'!$Q$4:$Q$503,_calc!$E$107))&amp;". ")&amp;IF(LEN(IF(LEN(INDEX('Dealer pipeline'!$P$4:$P$503,_calc!$E$107))=0,"",INDEX('Dealer pipeline'!$P$4:$P$503,_calc!$E$107)))=0,"","Last touch: "&amp;IF(LEN(INDEX('Dealer pipeline'!$P$4:$P$503,_calc!$E$107))=0,"",INDEX('Dealer pipeline'!$P$4:$P$503,_calc!$E$107))&amp;". ")&amp;IF(LEN(IF(LEN(INDEX('Dealer pipeline'!$R$4:$R$503,_calc!$E$107))=0,"",INDEX('Dealer pipeline'!$R$4:$R$503,_calc!$E$107)))=0,"","Owner: "&amp;IF(LEN(INDEX('Dealer pipeline'!$R$4:$R$503,_calc!$E$107))=0,"",INDEX('Dealer pipeline'!$R$4:$R$503,_calc!$E$107))&amp;". ")&amp;IF(LEN(IF(LEN(INDEX('Dealer pipeline'!$S$4:$S$503,_calc!$E$107))=0,"",INDEX('Dealer pipeline'!$S$4:$S$503,_calc!$E$107)))=0,"","Backup: "&amp;IF(LEN(INDEX('Dealer pipeline'!$S$4:$S$503,_calc!$E$107))=0,"",INDEX('Dealer pipeline'!$S$4:$S$503,_calc!$E$107))&amp;". ")&amp;IF(LEN(IF(LEN(INDEX('Dealer pipeline'!$T$4:$T$503,_calc!$E$107))=0,"",INDEX('Dealer pipeline'!$T$4:$T$503,_calc!$E$107)))=0,"",IF(LEN(INDEX('Dealer pipeline'!$T$4:$T$503,_calc!$E$107))=0,"",INDEX('Dealer pipeline'!$T$4:$T$503,_calc!$E$107)))),TRIM(IF(LEN(IF(LEN(INDEX('My equipment'!$C$4:$C$503,(_calc!$E$107-500)))=0,"",INDEX('My equipment'!$C$4:$C$503,(_calc!$E$107-500))))=0,"","Model: "&amp;IF(LEN(INDEX('My equipment'!$C$4:$C$503,(_calc!$E$107-500)))=0,"",INDEX('My equipment'!$C$4:$C$503,(_calc!$E$107-500)))&amp;". ")&amp;IF(LEN(IF(LEN(INDEX('My equipment'!$D$4:$D$503,(_calc!$E$107-500)))=0,"",INDEX('My equipment'!$D$4:$D$503,(_calc!$E$107-500))))=0,"","Serial: "&amp;IF(LEN(INDEX('My equipment'!$D$4:$D$503,(_calc!$E$107-500)))=0,"",INDEX('My equipment'!$D$4:$D$503,(_calc!$E$107-500)))&amp;". ")&amp;IF(LEN(IF(ISNUMBER(INDEX('My equipment'!$J$4:$J$503,(_calc!$E$107-500))),TEXT(INDEX('My equipment'!$J$4:$J$503,(_calc!$E$107-500)),"yyyy-mm-dd"),""))=0,"","Parts end: "&amp;IF(ISNUMBER(INDEX('My equipment'!$J$4:$J$503,(_calc!$E$107-500))),TEXT(INDEX('My equipment'!$J$4:$J$503,(_calc!$E$107-500)),"yyyy-mm-dd"),"")&amp;". ")&amp;IF(LEN(IF(ISNUMBER(INDEX('My equipment'!$L$4:$L$503,(_calc!$E$107-500))),TEXT(INDEX('My equipment'!$L$4:$L$503,(_calc!$E$107-500)),"yyyy-mm-dd"),""))=0,"","Labor end: "&amp;IF(ISNUMBER(INDEX('My equipment'!$L$4:$L$503,(_calc!$E$107-500))),TEXT(INDEX('My equipment'!$L$4:$L$503,(_calc!$E$107-500)),"yyyy-mm-dd"),"")&amp;". ")&amp;IF(LEN(IF(ISNUMBER(INDEX('My equipment'!$P$4:$P$503,(_calc!$E$107-500))),TEXT(INDEX('My equipment'!$P$4:$P$503,(_calc!$E$107-500)),"yyyy-mm-dd"),""))=0,"","Check by: "&amp;IF(ISNUMBER(INDEX('My equipment'!$P$4:$P$503,(_calc!$E$107-500))),TEXT(INDEX('My equipment'!$P$4:$P$503,(_calc!$E$107-500)),"yyyy-mm-dd"),"")&amp;". ")&amp;IF(LEN(IF(LEN(INDEX('My equipment'!$Q$4:$Q$503,(_calc!$E$107-500)))=0,"",INDEX('My equipment'!$Q$4:$Q$503,(_calc!$E$107-500))))=0,"","Claim status: "&amp;IF(LEN(INDEX('My equipment'!$Q$4:$Q$503,(_calc!$E$107-500)))=0,"",INDEX('My equipment'!$Q$4:$Q$503,(_calc!$E$107-500)))&amp;". ")&amp;IF(LEN(IF(LEN(INDEX('My equipment'!$R$4:$R$503,(_calc!$E$107-500)))=0,"",INDEX('My equipment'!$R$4:$R$503,(_calc!$E$107-500))))=0,"","Claims contact: "&amp;IF(LEN(INDEX('My equipment'!$R$4:$R$503,(_calc!$E$107-500)))=0,"",INDEX('My equipment'!$R$4:$R$503,(_calc!$E$107-500)))&amp;". ")&amp;IF(LEN(IF(LEN(INDEX('My equipment'!$S$4:$S$503,(_calc!$E$107-500)))=0,"",INDEX('My equipment'!$S$4:$S$503,(_calc!$E$107-500))))=0,"","Claims email: "&amp;IF(LEN(INDEX('My equipment'!$S$4:$S$503,(_calc!$E$107-500)))=0,"",INDEX('My equipment'!$S$4:$S$503,(_calc!$E$107-500)))&amp;". ")&amp;IF(LEN(IF(LEN(INDEX('My equipment'!$U$4:$U$503,(_calc!$E$107-500)))=0,"",INDEX('My equipment'!$U$4:$U$503,(_calc!$E$107-500))))=0,"","Registered: "&amp;IF(LEN(INDEX('My equipment'!$U$4:$U$503,(_calc!$E$107-500)))=0,"",INDEX('My equipment'!$U$4:$U$503,(_calc!$E$107-500)))&amp;". ")&amp;IF(LEN(IF(LEN(INDEX('My equipment'!$V$4:$V$503,(_calc!$E$107-500)))=0,"",INDEX('My equipment'!$V$4:$V$503,(_calc!$E$107-500))))=0,"","Proof on file: "&amp;IF(LEN(INDEX('My equipment'!$V$4:$V$503,(_calc!$E$107-500)))=0,"",INDEX('My equipment'!$V$4:$V$503,(_calc!$E$107-500)))&amp;". ")&amp;IF(LEN(IF(LEN(INDEX('My equipment'!$W$4:$W$503,(_calc!$E$107-500)))=0,"",INDEX('My equipment'!$W$4:$W$503,(_calc!$E$107-500))))=0,"","Claim ref: "&amp;IF(LEN(INDEX('My equipment'!$W$4:$W$503,(_calc!$E$107-500)))=0,"",INDEX('My equipment'!$W$4:$W$503,(_calc!$E$107-500)))&amp;". ")&amp;IF(LEN(IF(LEN(INDEX('My equipment'!$Y$4:$Y$503,(_calc!$E$107-500)))=0,"",INDEX('My equipment'!$Y$4:$Y$503,(_calc!$E$107-500))))=0,"",IF(LEN(INDEX('My equipment'!$Y$4:$Y$503,(_calc!$E$107-500)))=0,"",INDEX('My equipment'!$Y$4:$Y$503,(_calc!$E$107-500)))))))</f>
        <v/>
      </c>
      <c r="G105" s="54">
        <f>IF(_calc!$E$107="","",IF(_calc!$E$107&lt;=500,"",IF(LEN(INDEX('My equipment'!$X$4:$X$503,(_calc!$E$107-500)))=0,"",INDEX('My equipment'!$X$4:$X$503,(_calc!$E$107-500)))))</f>
        <v/>
      </c>
      <c r="K105" s="54">
        <f>IF(_calc!$E$107="","",IF(_calc!$E$107&lt;=500,"",IF(LEN(INDEX('My equipment'!$T$4:$T$503,(_calc!$E$107-500)))=0,"",INDEX('My equipment'!$T$4:$T$503,(_calc!$E$107-500)))))</f>
        <v/>
      </c>
    </row>
    <row r="106">
      <c r="A106" s="54">
        <f>IF(_calc!$E$108="","",IF(_calc!$E$108&lt;=500,"Warranty – "&amp;IF(LEN(INDEX('Dealer pipeline'!$C$4:$C$503,_calc!$E$108))=0,"",INDEX('Dealer pipeline'!$C$4:$C$503,_calc!$E$108))&amp;" – "&amp;IF(LEN(INDEX('Dealer pipeline'!$D$4:$D$503,_calc!$E$108))=0,"",INDEX('Dealer pipeline'!$D$4:$D$503,_calc!$E$108))&amp;" – "&amp;IF(LEN(INDEX('Dealer pipeline'!$A$4:$A$503,_calc!$E$108))=0,"",INDEX('Dealer pipeline'!$A$4:$A$503,_calc!$E$108)),"Warranty – "&amp;IF(LEN(INDEX('My equipment'!$A$4:$A$503,(_calc!$E$108-500)))=0,"",INDEX('My equipment'!$A$4:$A$503,(_calc!$E$108-500)))&amp;" – "&amp;IF(LEN(INDEX('My equipment'!$D$4:$D$503,(_calc!$E$108-500)))=0,"",INDEX('My equipment'!$D$4:$D$503,(_calc!$E$108-500)))))</f>
        <v/>
      </c>
      <c r="B106" s="54">
        <f>IF(_calc!$E$108="","",IF(_calc!$E$108&lt;=500,IF(ISNUMBER(INDEX('Dealer pipeline'!$M$4:$M$503,_calc!$E$108)),TEXT(INDEX('Dealer pipeline'!$M$4:$M$503,_calc!$E$108),"yyyy-mm-dd"),""),IF(ISNUMBER(INDEX('My equipment'!$M$4:$M$503,(_calc!$E$108-500))),TEXT(INDEX('My equipment'!$M$4:$M$503,(_calc!$E$108-500)),"yyyy-mm-dd"),"")))</f>
        <v/>
      </c>
      <c r="C106" s="54">
        <f>IF(_calc!$E$108="","",IF(_calc!$E$108&lt;=500,"Warranty","Warranty"))</f>
        <v/>
      </c>
      <c r="D106" s="54">
        <f>IF(_calc!$E$108="","",IF(_calc!$E$108&lt;=500,IF(ISNUMBER(INDEX('Dealer pipeline'!$H$4:$H$503,_calc!$E$108)),TEXT(INDEX('Dealer pipeline'!$H$4:$H$503,_calc!$E$108),"yyyy-mm-dd"),""),IF(ISNUMBER(INDEX('My equipment'!$H$4:$H$503,(_calc!$E$108-500))),TEXT(INDEX('My equipment'!$H$4:$H$503,(_calc!$E$108-500)),"yyyy-mm-dd"),"")))</f>
        <v/>
      </c>
      <c r="F106" s="54">
        <f>IF(_calc!$E$108="","",IF(_calc!$E$108&lt;=500,TRIM(IF(LEN(IF(LEN(INDEX('Dealer pipeline'!$A$4:$A$503,_calc!$E$108))=0,"",INDEX('Dealer pipeline'!$A$4:$A$503,_calc!$E$108)))=0,"","Customer: "&amp;IF(LEN(INDEX('Dealer pipeline'!$A$4:$A$503,_calc!$E$108))=0,"",INDEX('Dealer pipeline'!$A$4:$A$503,_calc!$E$108))&amp;". ")&amp;IF(LEN(IF(LEN(INDEX('Dealer pipeline'!$B$4:$B$503,_calc!$E$108))=0,"",INDEX('Dealer pipeline'!$B$4:$B$503,_calc!$E$108)))=0,"","Contact: "&amp;IF(LEN(INDEX('Dealer pipeline'!$B$4:$B$503,_calc!$E$108))=0,"",INDEX('Dealer pipeline'!$B$4:$B$503,_calc!$E$108))&amp;". ")&amp;IF(LEN(IF(LEN(INDEX('Dealer pipeline'!$D$4:$D$503,_calc!$E$108))=0,"",INDEX('Dealer pipeline'!$D$4:$D$503,_calc!$E$108)))=0,"","Serial: "&amp;IF(LEN(INDEX('Dealer pipeline'!$D$4:$D$503,_calc!$E$108))=0,"",INDEX('Dealer pipeline'!$D$4:$D$503,_calc!$E$108))&amp;". ")&amp;IF(LEN(IF(ISNUMBER(INDEX('Dealer pipeline'!$J$4:$J$503,_calc!$E$108)),TEXT(INDEX('Dealer pipeline'!$J$4:$J$503,_calc!$E$108),"yyyy-mm-dd"),""))=0,"","Parts end: "&amp;IF(ISNUMBER(INDEX('Dealer pipeline'!$J$4:$J$503,_calc!$E$108)),TEXT(INDEX('Dealer pipeline'!$J$4:$J$503,_calc!$E$108),"yyyy-mm-dd"),"")&amp;". ")&amp;IF(LEN(IF(ISNUMBER(INDEX('Dealer pipeline'!$L$4:$L$503,_calc!$E$108)),TEXT(INDEX('Dealer pipeline'!$L$4:$L$503,_calc!$E$108),"yyyy-mm-dd"),""))=0,"","Labor end: "&amp;IF(ISNUMBER(INDEX('Dealer pipeline'!$L$4:$L$503,_calc!$E$108)),TEXT(INDEX('Dealer pipeline'!$L$4:$L$503,_calc!$E$108),"yyyy-mm-dd"),"")&amp;". ")&amp;IF(LEN(IF(LEN(INDEX('Dealer pipeline'!$Q$4:$Q$503,_calc!$E$108))=0,"",INDEX('Dealer pipeline'!$Q$4:$Q$503,_calc!$E$108)))=0,"","Status: "&amp;IF(LEN(INDEX('Dealer pipeline'!$Q$4:$Q$503,_calc!$E$108))=0,"",INDEX('Dealer pipeline'!$Q$4:$Q$503,_calc!$E$108))&amp;". ")&amp;IF(LEN(IF(LEN(INDEX('Dealer pipeline'!$P$4:$P$503,_calc!$E$108))=0,"",INDEX('Dealer pipeline'!$P$4:$P$503,_calc!$E$108)))=0,"","Last touch: "&amp;IF(LEN(INDEX('Dealer pipeline'!$P$4:$P$503,_calc!$E$108))=0,"",INDEX('Dealer pipeline'!$P$4:$P$503,_calc!$E$108))&amp;". ")&amp;IF(LEN(IF(LEN(INDEX('Dealer pipeline'!$R$4:$R$503,_calc!$E$108))=0,"",INDEX('Dealer pipeline'!$R$4:$R$503,_calc!$E$108)))=0,"","Owner: "&amp;IF(LEN(INDEX('Dealer pipeline'!$R$4:$R$503,_calc!$E$108))=0,"",INDEX('Dealer pipeline'!$R$4:$R$503,_calc!$E$108))&amp;". ")&amp;IF(LEN(IF(LEN(INDEX('Dealer pipeline'!$S$4:$S$503,_calc!$E$108))=0,"",INDEX('Dealer pipeline'!$S$4:$S$503,_calc!$E$108)))=0,"","Backup: "&amp;IF(LEN(INDEX('Dealer pipeline'!$S$4:$S$503,_calc!$E$108))=0,"",INDEX('Dealer pipeline'!$S$4:$S$503,_calc!$E$108))&amp;". ")&amp;IF(LEN(IF(LEN(INDEX('Dealer pipeline'!$T$4:$T$503,_calc!$E$108))=0,"",INDEX('Dealer pipeline'!$T$4:$T$503,_calc!$E$108)))=0,"",IF(LEN(INDEX('Dealer pipeline'!$T$4:$T$503,_calc!$E$108))=0,"",INDEX('Dealer pipeline'!$T$4:$T$503,_calc!$E$108)))),TRIM(IF(LEN(IF(LEN(INDEX('My equipment'!$C$4:$C$503,(_calc!$E$108-500)))=0,"",INDEX('My equipment'!$C$4:$C$503,(_calc!$E$108-500))))=0,"","Model: "&amp;IF(LEN(INDEX('My equipment'!$C$4:$C$503,(_calc!$E$108-500)))=0,"",INDEX('My equipment'!$C$4:$C$503,(_calc!$E$108-500)))&amp;". ")&amp;IF(LEN(IF(LEN(INDEX('My equipment'!$D$4:$D$503,(_calc!$E$108-500)))=0,"",INDEX('My equipment'!$D$4:$D$503,(_calc!$E$108-500))))=0,"","Serial: "&amp;IF(LEN(INDEX('My equipment'!$D$4:$D$503,(_calc!$E$108-500)))=0,"",INDEX('My equipment'!$D$4:$D$503,(_calc!$E$108-500)))&amp;". ")&amp;IF(LEN(IF(ISNUMBER(INDEX('My equipment'!$J$4:$J$503,(_calc!$E$108-500))),TEXT(INDEX('My equipment'!$J$4:$J$503,(_calc!$E$108-500)),"yyyy-mm-dd"),""))=0,"","Parts end: "&amp;IF(ISNUMBER(INDEX('My equipment'!$J$4:$J$503,(_calc!$E$108-500))),TEXT(INDEX('My equipment'!$J$4:$J$503,(_calc!$E$108-500)),"yyyy-mm-dd"),"")&amp;". ")&amp;IF(LEN(IF(ISNUMBER(INDEX('My equipment'!$L$4:$L$503,(_calc!$E$108-500))),TEXT(INDEX('My equipment'!$L$4:$L$503,(_calc!$E$108-500)),"yyyy-mm-dd"),""))=0,"","Labor end: "&amp;IF(ISNUMBER(INDEX('My equipment'!$L$4:$L$503,(_calc!$E$108-500))),TEXT(INDEX('My equipment'!$L$4:$L$503,(_calc!$E$108-500)),"yyyy-mm-dd"),"")&amp;". ")&amp;IF(LEN(IF(ISNUMBER(INDEX('My equipment'!$P$4:$P$503,(_calc!$E$108-500))),TEXT(INDEX('My equipment'!$P$4:$P$503,(_calc!$E$108-500)),"yyyy-mm-dd"),""))=0,"","Check by: "&amp;IF(ISNUMBER(INDEX('My equipment'!$P$4:$P$503,(_calc!$E$108-500))),TEXT(INDEX('My equipment'!$P$4:$P$503,(_calc!$E$108-500)),"yyyy-mm-dd"),"")&amp;". ")&amp;IF(LEN(IF(LEN(INDEX('My equipment'!$Q$4:$Q$503,(_calc!$E$108-500)))=0,"",INDEX('My equipment'!$Q$4:$Q$503,(_calc!$E$108-500))))=0,"","Claim status: "&amp;IF(LEN(INDEX('My equipment'!$Q$4:$Q$503,(_calc!$E$108-500)))=0,"",INDEX('My equipment'!$Q$4:$Q$503,(_calc!$E$108-500)))&amp;". ")&amp;IF(LEN(IF(LEN(INDEX('My equipment'!$R$4:$R$503,(_calc!$E$108-500)))=0,"",INDEX('My equipment'!$R$4:$R$503,(_calc!$E$108-500))))=0,"","Claims contact: "&amp;IF(LEN(INDEX('My equipment'!$R$4:$R$503,(_calc!$E$108-500)))=0,"",INDEX('My equipment'!$R$4:$R$503,(_calc!$E$108-500)))&amp;". ")&amp;IF(LEN(IF(LEN(INDEX('My equipment'!$S$4:$S$503,(_calc!$E$108-500)))=0,"",INDEX('My equipment'!$S$4:$S$503,(_calc!$E$108-500))))=0,"","Claims email: "&amp;IF(LEN(INDEX('My equipment'!$S$4:$S$503,(_calc!$E$108-500)))=0,"",INDEX('My equipment'!$S$4:$S$503,(_calc!$E$108-500)))&amp;". ")&amp;IF(LEN(IF(LEN(INDEX('My equipment'!$U$4:$U$503,(_calc!$E$108-500)))=0,"",INDEX('My equipment'!$U$4:$U$503,(_calc!$E$108-500))))=0,"","Registered: "&amp;IF(LEN(INDEX('My equipment'!$U$4:$U$503,(_calc!$E$108-500)))=0,"",INDEX('My equipment'!$U$4:$U$503,(_calc!$E$108-500)))&amp;". ")&amp;IF(LEN(IF(LEN(INDEX('My equipment'!$V$4:$V$503,(_calc!$E$108-500)))=0,"",INDEX('My equipment'!$V$4:$V$503,(_calc!$E$108-500))))=0,"","Proof on file: "&amp;IF(LEN(INDEX('My equipment'!$V$4:$V$503,(_calc!$E$108-500)))=0,"",INDEX('My equipment'!$V$4:$V$503,(_calc!$E$108-500)))&amp;". ")&amp;IF(LEN(IF(LEN(INDEX('My equipment'!$W$4:$W$503,(_calc!$E$108-500)))=0,"",INDEX('My equipment'!$W$4:$W$503,(_calc!$E$108-500))))=0,"","Claim ref: "&amp;IF(LEN(INDEX('My equipment'!$W$4:$W$503,(_calc!$E$108-500)))=0,"",INDEX('My equipment'!$W$4:$W$503,(_calc!$E$108-500)))&amp;". ")&amp;IF(LEN(IF(LEN(INDEX('My equipment'!$Y$4:$Y$503,(_calc!$E$108-500)))=0,"",INDEX('My equipment'!$Y$4:$Y$503,(_calc!$E$108-500))))=0,"",IF(LEN(INDEX('My equipment'!$Y$4:$Y$503,(_calc!$E$108-500)))=0,"",INDEX('My equipment'!$Y$4:$Y$503,(_calc!$E$108-500)))))))</f>
        <v/>
      </c>
      <c r="G106" s="54">
        <f>IF(_calc!$E$108="","",IF(_calc!$E$108&lt;=500,"",IF(LEN(INDEX('My equipment'!$X$4:$X$503,(_calc!$E$108-500)))=0,"",INDEX('My equipment'!$X$4:$X$503,(_calc!$E$108-500)))))</f>
        <v/>
      </c>
      <c r="K106" s="54">
        <f>IF(_calc!$E$108="","",IF(_calc!$E$108&lt;=500,"",IF(LEN(INDEX('My equipment'!$T$4:$T$503,(_calc!$E$108-500)))=0,"",INDEX('My equipment'!$T$4:$T$503,(_calc!$E$108-500)))))</f>
        <v/>
      </c>
    </row>
    <row r="107">
      <c r="A107" s="54">
        <f>IF(_calc!$E$109="","",IF(_calc!$E$109&lt;=500,"Warranty – "&amp;IF(LEN(INDEX('Dealer pipeline'!$C$4:$C$503,_calc!$E$109))=0,"",INDEX('Dealer pipeline'!$C$4:$C$503,_calc!$E$109))&amp;" – "&amp;IF(LEN(INDEX('Dealer pipeline'!$D$4:$D$503,_calc!$E$109))=0,"",INDEX('Dealer pipeline'!$D$4:$D$503,_calc!$E$109))&amp;" – "&amp;IF(LEN(INDEX('Dealer pipeline'!$A$4:$A$503,_calc!$E$109))=0,"",INDEX('Dealer pipeline'!$A$4:$A$503,_calc!$E$109)),"Warranty – "&amp;IF(LEN(INDEX('My equipment'!$A$4:$A$503,(_calc!$E$109-500)))=0,"",INDEX('My equipment'!$A$4:$A$503,(_calc!$E$109-500)))&amp;" – "&amp;IF(LEN(INDEX('My equipment'!$D$4:$D$503,(_calc!$E$109-500)))=0,"",INDEX('My equipment'!$D$4:$D$503,(_calc!$E$109-500)))))</f>
        <v/>
      </c>
      <c r="B107" s="54">
        <f>IF(_calc!$E$109="","",IF(_calc!$E$109&lt;=500,IF(ISNUMBER(INDEX('Dealer pipeline'!$M$4:$M$503,_calc!$E$109)),TEXT(INDEX('Dealer pipeline'!$M$4:$M$503,_calc!$E$109),"yyyy-mm-dd"),""),IF(ISNUMBER(INDEX('My equipment'!$M$4:$M$503,(_calc!$E$109-500))),TEXT(INDEX('My equipment'!$M$4:$M$503,(_calc!$E$109-500)),"yyyy-mm-dd"),"")))</f>
        <v/>
      </c>
      <c r="C107" s="54">
        <f>IF(_calc!$E$109="","",IF(_calc!$E$109&lt;=500,"Warranty","Warranty"))</f>
        <v/>
      </c>
      <c r="D107" s="54">
        <f>IF(_calc!$E$109="","",IF(_calc!$E$109&lt;=500,IF(ISNUMBER(INDEX('Dealer pipeline'!$H$4:$H$503,_calc!$E$109)),TEXT(INDEX('Dealer pipeline'!$H$4:$H$503,_calc!$E$109),"yyyy-mm-dd"),""),IF(ISNUMBER(INDEX('My equipment'!$H$4:$H$503,(_calc!$E$109-500))),TEXT(INDEX('My equipment'!$H$4:$H$503,(_calc!$E$109-500)),"yyyy-mm-dd"),"")))</f>
        <v/>
      </c>
      <c r="F107" s="54">
        <f>IF(_calc!$E$109="","",IF(_calc!$E$109&lt;=500,TRIM(IF(LEN(IF(LEN(INDEX('Dealer pipeline'!$A$4:$A$503,_calc!$E$109))=0,"",INDEX('Dealer pipeline'!$A$4:$A$503,_calc!$E$109)))=0,"","Customer: "&amp;IF(LEN(INDEX('Dealer pipeline'!$A$4:$A$503,_calc!$E$109))=0,"",INDEX('Dealer pipeline'!$A$4:$A$503,_calc!$E$109))&amp;". ")&amp;IF(LEN(IF(LEN(INDEX('Dealer pipeline'!$B$4:$B$503,_calc!$E$109))=0,"",INDEX('Dealer pipeline'!$B$4:$B$503,_calc!$E$109)))=0,"","Contact: "&amp;IF(LEN(INDEX('Dealer pipeline'!$B$4:$B$503,_calc!$E$109))=0,"",INDEX('Dealer pipeline'!$B$4:$B$503,_calc!$E$109))&amp;". ")&amp;IF(LEN(IF(LEN(INDEX('Dealer pipeline'!$D$4:$D$503,_calc!$E$109))=0,"",INDEX('Dealer pipeline'!$D$4:$D$503,_calc!$E$109)))=0,"","Serial: "&amp;IF(LEN(INDEX('Dealer pipeline'!$D$4:$D$503,_calc!$E$109))=0,"",INDEX('Dealer pipeline'!$D$4:$D$503,_calc!$E$109))&amp;". ")&amp;IF(LEN(IF(ISNUMBER(INDEX('Dealer pipeline'!$J$4:$J$503,_calc!$E$109)),TEXT(INDEX('Dealer pipeline'!$J$4:$J$503,_calc!$E$109),"yyyy-mm-dd"),""))=0,"","Parts end: "&amp;IF(ISNUMBER(INDEX('Dealer pipeline'!$J$4:$J$503,_calc!$E$109)),TEXT(INDEX('Dealer pipeline'!$J$4:$J$503,_calc!$E$109),"yyyy-mm-dd"),"")&amp;". ")&amp;IF(LEN(IF(ISNUMBER(INDEX('Dealer pipeline'!$L$4:$L$503,_calc!$E$109)),TEXT(INDEX('Dealer pipeline'!$L$4:$L$503,_calc!$E$109),"yyyy-mm-dd"),""))=0,"","Labor end: "&amp;IF(ISNUMBER(INDEX('Dealer pipeline'!$L$4:$L$503,_calc!$E$109)),TEXT(INDEX('Dealer pipeline'!$L$4:$L$503,_calc!$E$109),"yyyy-mm-dd"),"")&amp;". ")&amp;IF(LEN(IF(LEN(INDEX('Dealer pipeline'!$Q$4:$Q$503,_calc!$E$109))=0,"",INDEX('Dealer pipeline'!$Q$4:$Q$503,_calc!$E$109)))=0,"","Status: "&amp;IF(LEN(INDEX('Dealer pipeline'!$Q$4:$Q$503,_calc!$E$109))=0,"",INDEX('Dealer pipeline'!$Q$4:$Q$503,_calc!$E$109))&amp;". ")&amp;IF(LEN(IF(LEN(INDEX('Dealer pipeline'!$P$4:$P$503,_calc!$E$109))=0,"",INDEX('Dealer pipeline'!$P$4:$P$503,_calc!$E$109)))=0,"","Last touch: "&amp;IF(LEN(INDEX('Dealer pipeline'!$P$4:$P$503,_calc!$E$109))=0,"",INDEX('Dealer pipeline'!$P$4:$P$503,_calc!$E$109))&amp;". ")&amp;IF(LEN(IF(LEN(INDEX('Dealer pipeline'!$R$4:$R$503,_calc!$E$109))=0,"",INDEX('Dealer pipeline'!$R$4:$R$503,_calc!$E$109)))=0,"","Owner: "&amp;IF(LEN(INDEX('Dealer pipeline'!$R$4:$R$503,_calc!$E$109))=0,"",INDEX('Dealer pipeline'!$R$4:$R$503,_calc!$E$109))&amp;". ")&amp;IF(LEN(IF(LEN(INDEX('Dealer pipeline'!$S$4:$S$503,_calc!$E$109))=0,"",INDEX('Dealer pipeline'!$S$4:$S$503,_calc!$E$109)))=0,"","Backup: "&amp;IF(LEN(INDEX('Dealer pipeline'!$S$4:$S$503,_calc!$E$109))=0,"",INDEX('Dealer pipeline'!$S$4:$S$503,_calc!$E$109))&amp;". ")&amp;IF(LEN(IF(LEN(INDEX('Dealer pipeline'!$T$4:$T$503,_calc!$E$109))=0,"",INDEX('Dealer pipeline'!$T$4:$T$503,_calc!$E$109)))=0,"",IF(LEN(INDEX('Dealer pipeline'!$T$4:$T$503,_calc!$E$109))=0,"",INDEX('Dealer pipeline'!$T$4:$T$503,_calc!$E$109)))),TRIM(IF(LEN(IF(LEN(INDEX('My equipment'!$C$4:$C$503,(_calc!$E$109-500)))=0,"",INDEX('My equipment'!$C$4:$C$503,(_calc!$E$109-500))))=0,"","Model: "&amp;IF(LEN(INDEX('My equipment'!$C$4:$C$503,(_calc!$E$109-500)))=0,"",INDEX('My equipment'!$C$4:$C$503,(_calc!$E$109-500)))&amp;". ")&amp;IF(LEN(IF(LEN(INDEX('My equipment'!$D$4:$D$503,(_calc!$E$109-500)))=0,"",INDEX('My equipment'!$D$4:$D$503,(_calc!$E$109-500))))=0,"","Serial: "&amp;IF(LEN(INDEX('My equipment'!$D$4:$D$503,(_calc!$E$109-500)))=0,"",INDEX('My equipment'!$D$4:$D$503,(_calc!$E$109-500)))&amp;". ")&amp;IF(LEN(IF(ISNUMBER(INDEX('My equipment'!$J$4:$J$503,(_calc!$E$109-500))),TEXT(INDEX('My equipment'!$J$4:$J$503,(_calc!$E$109-500)),"yyyy-mm-dd"),""))=0,"","Parts end: "&amp;IF(ISNUMBER(INDEX('My equipment'!$J$4:$J$503,(_calc!$E$109-500))),TEXT(INDEX('My equipment'!$J$4:$J$503,(_calc!$E$109-500)),"yyyy-mm-dd"),"")&amp;". ")&amp;IF(LEN(IF(ISNUMBER(INDEX('My equipment'!$L$4:$L$503,(_calc!$E$109-500))),TEXT(INDEX('My equipment'!$L$4:$L$503,(_calc!$E$109-500)),"yyyy-mm-dd"),""))=0,"","Labor end: "&amp;IF(ISNUMBER(INDEX('My equipment'!$L$4:$L$503,(_calc!$E$109-500))),TEXT(INDEX('My equipment'!$L$4:$L$503,(_calc!$E$109-500)),"yyyy-mm-dd"),"")&amp;". ")&amp;IF(LEN(IF(ISNUMBER(INDEX('My equipment'!$P$4:$P$503,(_calc!$E$109-500))),TEXT(INDEX('My equipment'!$P$4:$P$503,(_calc!$E$109-500)),"yyyy-mm-dd"),""))=0,"","Check by: "&amp;IF(ISNUMBER(INDEX('My equipment'!$P$4:$P$503,(_calc!$E$109-500))),TEXT(INDEX('My equipment'!$P$4:$P$503,(_calc!$E$109-500)),"yyyy-mm-dd"),"")&amp;". ")&amp;IF(LEN(IF(LEN(INDEX('My equipment'!$Q$4:$Q$503,(_calc!$E$109-500)))=0,"",INDEX('My equipment'!$Q$4:$Q$503,(_calc!$E$109-500))))=0,"","Claim status: "&amp;IF(LEN(INDEX('My equipment'!$Q$4:$Q$503,(_calc!$E$109-500)))=0,"",INDEX('My equipment'!$Q$4:$Q$503,(_calc!$E$109-500)))&amp;". ")&amp;IF(LEN(IF(LEN(INDEX('My equipment'!$R$4:$R$503,(_calc!$E$109-500)))=0,"",INDEX('My equipment'!$R$4:$R$503,(_calc!$E$109-500))))=0,"","Claims contact: "&amp;IF(LEN(INDEX('My equipment'!$R$4:$R$503,(_calc!$E$109-500)))=0,"",INDEX('My equipment'!$R$4:$R$503,(_calc!$E$109-500)))&amp;". ")&amp;IF(LEN(IF(LEN(INDEX('My equipment'!$S$4:$S$503,(_calc!$E$109-500)))=0,"",INDEX('My equipment'!$S$4:$S$503,(_calc!$E$109-500))))=0,"","Claims email: "&amp;IF(LEN(INDEX('My equipment'!$S$4:$S$503,(_calc!$E$109-500)))=0,"",INDEX('My equipment'!$S$4:$S$503,(_calc!$E$109-500)))&amp;". ")&amp;IF(LEN(IF(LEN(INDEX('My equipment'!$U$4:$U$503,(_calc!$E$109-500)))=0,"",INDEX('My equipment'!$U$4:$U$503,(_calc!$E$109-500))))=0,"","Registered: "&amp;IF(LEN(INDEX('My equipment'!$U$4:$U$503,(_calc!$E$109-500)))=0,"",INDEX('My equipment'!$U$4:$U$503,(_calc!$E$109-500)))&amp;". ")&amp;IF(LEN(IF(LEN(INDEX('My equipment'!$V$4:$V$503,(_calc!$E$109-500)))=0,"",INDEX('My equipment'!$V$4:$V$503,(_calc!$E$109-500))))=0,"","Proof on file: "&amp;IF(LEN(INDEX('My equipment'!$V$4:$V$503,(_calc!$E$109-500)))=0,"",INDEX('My equipment'!$V$4:$V$503,(_calc!$E$109-500)))&amp;". ")&amp;IF(LEN(IF(LEN(INDEX('My equipment'!$W$4:$W$503,(_calc!$E$109-500)))=0,"",INDEX('My equipment'!$W$4:$W$503,(_calc!$E$109-500))))=0,"","Claim ref: "&amp;IF(LEN(INDEX('My equipment'!$W$4:$W$503,(_calc!$E$109-500)))=0,"",INDEX('My equipment'!$W$4:$W$503,(_calc!$E$109-500)))&amp;". ")&amp;IF(LEN(IF(LEN(INDEX('My equipment'!$Y$4:$Y$503,(_calc!$E$109-500)))=0,"",INDEX('My equipment'!$Y$4:$Y$503,(_calc!$E$109-500))))=0,"",IF(LEN(INDEX('My equipment'!$Y$4:$Y$503,(_calc!$E$109-500)))=0,"",INDEX('My equipment'!$Y$4:$Y$503,(_calc!$E$109-500)))))))</f>
        <v/>
      </c>
      <c r="G107" s="54">
        <f>IF(_calc!$E$109="","",IF(_calc!$E$109&lt;=500,"",IF(LEN(INDEX('My equipment'!$X$4:$X$503,(_calc!$E$109-500)))=0,"",INDEX('My equipment'!$X$4:$X$503,(_calc!$E$109-500)))))</f>
        <v/>
      </c>
      <c r="K107" s="54">
        <f>IF(_calc!$E$109="","",IF(_calc!$E$109&lt;=500,"",IF(LEN(INDEX('My equipment'!$T$4:$T$503,(_calc!$E$109-500)))=0,"",INDEX('My equipment'!$T$4:$T$503,(_calc!$E$109-500)))))</f>
        <v/>
      </c>
    </row>
    <row r="108">
      <c r="A108" s="54">
        <f>IF(_calc!$E$110="","",IF(_calc!$E$110&lt;=500,"Warranty – "&amp;IF(LEN(INDEX('Dealer pipeline'!$C$4:$C$503,_calc!$E$110))=0,"",INDEX('Dealer pipeline'!$C$4:$C$503,_calc!$E$110))&amp;" – "&amp;IF(LEN(INDEX('Dealer pipeline'!$D$4:$D$503,_calc!$E$110))=0,"",INDEX('Dealer pipeline'!$D$4:$D$503,_calc!$E$110))&amp;" – "&amp;IF(LEN(INDEX('Dealer pipeline'!$A$4:$A$503,_calc!$E$110))=0,"",INDEX('Dealer pipeline'!$A$4:$A$503,_calc!$E$110)),"Warranty – "&amp;IF(LEN(INDEX('My equipment'!$A$4:$A$503,(_calc!$E$110-500)))=0,"",INDEX('My equipment'!$A$4:$A$503,(_calc!$E$110-500)))&amp;" – "&amp;IF(LEN(INDEX('My equipment'!$D$4:$D$503,(_calc!$E$110-500)))=0,"",INDEX('My equipment'!$D$4:$D$503,(_calc!$E$110-500)))))</f>
        <v/>
      </c>
      <c r="B108" s="54">
        <f>IF(_calc!$E$110="","",IF(_calc!$E$110&lt;=500,IF(ISNUMBER(INDEX('Dealer pipeline'!$M$4:$M$503,_calc!$E$110)),TEXT(INDEX('Dealer pipeline'!$M$4:$M$503,_calc!$E$110),"yyyy-mm-dd"),""),IF(ISNUMBER(INDEX('My equipment'!$M$4:$M$503,(_calc!$E$110-500))),TEXT(INDEX('My equipment'!$M$4:$M$503,(_calc!$E$110-500)),"yyyy-mm-dd"),"")))</f>
        <v/>
      </c>
      <c r="C108" s="54">
        <f>IF(_calc!$E$110="","",IF(_calc!$E$110&lt;=500,"Warranty","Warranty"))</f>
        <v/>
      </c>
      <c r="D108" s="54">
        <f>IF(_calc!$E$110="","",IF(_calc!$E$110&lt;=500,IF(ISNUMBER(INDEX('Dealer pipeline'!$H$4:$H$503,_calc!$E$110)),TEXT(INDEX('Dealer pipeline'!$H$4:$H$503,_calc!$E$110),"yyyy-mm-dd"),""),IF(ISNUMBER(INDEX('My equipment'!$H$4:$H$503,(_calc!$E$110-500))),TEXT(INDEX('My equipment'!$H$4:$H$503,(_calc!$E$110-500)),"yyyy-mm-dd"),"")))</f>
        <v/>
      </c>
      <c r="F108" s="54">
        <f>IF(_calc!$E$110="","",IF(_calc!$E$110&lt;=500,TRIM(IF(LEN(IF(LEN(INDEX('Dealer pipeline'!$A$4:$A$503,_calc!$E$110))=0,"",INDEX('Dealer pipeline'!$A$4:$A$503,_calc!$E$110)))=0,"","Customer: "&amp;IF(LEN(INDEX('Dealer pipeline'!$A$4:$A$503,_calc!$E$110))=0,"",INDEX('Dealer pipeline'!$A$4:$A$503,_calc!$E$110))&amp;". ")&amp;IF(LEN(IF(LEN(INDEX('Dealer pipeline'!$B$4:$B$503,_calc!$E$110))=0,"",INDEX('Dealer pipeline'!$B$4:$B$503,_calc!$E$110)))=0,"","Contact: "&amp;IF(LEN(INDEX('Dealer pipeline'!$B$4:$B$503,_calc!$E$110))=0,"",INDEX('Dealer pipeline'!$B$4:$B$503,_calc!$E$110))&amp;". ")&amp;IF(LEN(IF(LEN(INDEX('Dealer pipeline'!$D$4:$D$503,_calc!$E$110))=0,"",INDEX('Dealer pipeline'!$D$4:$D$503,_calc!$E$110)))=0,"","Serial: "&amp;IF(LEN(INDEX('Dealer pipeline'!$D$4:$D$503,_calc!$E$110))=0,"",INDEX('Dealer pipeline'!$D$4:$D$503,_calc!$E$110))&amp;". ")&amp;IF(LEN(IF(ISNUMBER(INDEX('Dealer pipeline'!$J$4:$J$503,_calc!$E$110)),TEXT(INDEX('Dealer pipeline'!$J$4:$J$503,_calc!$E$110),"yyyy-mm-dd"),""))=0,"","Parts end: "&amp;IF(ISNUMBER(INDEX('Dealer pipeline'!$J$4:$J$503,_calc!$E$110)),TEXT(INDEX('Dealer pipeline'!$J$4:$J$503,_calc!$E$110),"yyyy-mm-dd"),"")&amp;". ")&amp;IF(LEN(IF(ISNUMBER(INDEX('Dealer pipeline'!$L$4:$L$503,_calc!$E$110)),TEXT(INDEX('Dealer pipeline'!$L$4:$L$503,_calc!$E$110),"yyyy-mm-dd"),""))=0,"","Labor end: "&amp;IF(ISNUMBER(INDEX('Dealer pipeline'!$L$4:$L$503,_calc!$E$110)),TEXT(INDEX('Dealer pipeline'!$L$4:$L$503,_calc!$E$110),"yyyy-mm-dd"),"")&amp;". ")&amp;IF(LEN(IF(LEN(INDEX('Dealer pipeline'!$Q$4:$Q$503,_calc!$E$110))=0,"",INDEX('Dealer pipeline'!$Q$4:$Q$503,_calc!$E$110)))=0,"","Status: "&amp;IF(LEN(INDEX('Dealer pipeline'!$Q$4:$Q$503,_calc!$E$110))=0,"",INDEX('Dealer pipeline'!$Q$4:$Q$503,_calc!$E$110))&amp;". ")&amp;IF(LEN(IF(LEN(INDEX('Dealer pipeline'!$P$4:$P$503,_calc!$E$110))=0,"",INDEX('Dealer pipeline'!$P$4:$P$503,_calc!$E$110)))=0,"","Last touch: "&amp;IF(LEN(INDEX('Dealer pipeline'!$P$4:$P$503,_calc!$E$110))=0,"",INDEX('Dealer pipeline'!$P$4:$P$503,_calc!$E$110))&amp;". ")&amp;IF(LEN(IF(LEN(INDEX('Dealer pipeline'!$R$4:$R$503,_calc!$E$110))=0,"",INDEX('Dealer pipeline'!$R$4:$R$503,_calc!$E$110)))=0,"","Owner: "&amp;IF(LEN(INDEX('Dealer pipeline'!$R$4:$R$503,_calc!$E$110))=0,"",INDEX('Dealer pipeline'!$R$4:$R$503,_calc!$E$110))&amp;". ")&amp;IF(LEN(IF(LEN(INDEX('Dealer pipeline'!$S$4:$S$503,_calc!$E$110))=0,"",INDEX('Dealer pipeline'!$S$4:$S$503,_calc!$E$110)))=0,"","Backup: "&amp;IF(LEN(INDEX('Dealer pipeline'!$S$4:$S$503,_calc!$E$110))=0,"",INDEX('Dealer pipeline'!$S$4:$S$503,_calc!$E$110))&amp;". ")&amp;IF(LEN(IF(LEN(INDEX('Dealer pipeline'!$T$4:$T$503,_calc!$E$110))=0,"",INDEX('Dealer pipeline'!$T$4:$T$503,_calc!$E$110)))=0,"",IF(LEN(INDEX('Dealer pipeline'!$T$4:$T$503,_calc!$E$110))=0,"",INDEX('Dealer pipeline'!$T$4:$T$503,_calc!$E$110)))),TRIM(IF(LEN(IF(LEN(INDEX('My equipment'!$C$4:$C$503,(_calc!$E$110-500)))=0,"",INDEX('My equipment'!$C$4:$C$503,(_calc!$E$110-500))))=0,"","Model: "&amp;IF(LEN(INDEX('My equipment'!$C$4:$C$503,(_calc!$E$110-500)))=0,"",INDEX('My equipment'!$C$4:$C$503,(_calc!$E$110-500)))&amp;". ")&amp;IF(LEN(IF(LEN(INDEX('My equipment'!$D$4:$D$503,(_calc!$E$110-500)))=0,"",INDEX('My equipment'!$D$4:$D$503,(_calc!$E$110-500))))=0,"","Serial: "&amp;IF(LEN(INDEX('My equipment'!$D$4:$D$503,(_calc!$E$110-500)))=0,"",INDEX('My equipment'!$D$4:$D$503,(_calc!$E$110-500)))&amp;". ")&amp;IF(LEN(IF(ISNUMBER(INDEX('My equipment'!$J$4:$J$503,(_calc!$E$110-500))),TEXT(INDEX('My equipment'!$J$4:$J$503,(_calc!$E$110-500)),"yyyy-mm-dd"),""))=0,"","Parts end: "&amp;IF(ISNUMBER(INDEX('My equipment'!$J$4:$J$503,(_calc!$E$110-500))),TEXT(INDEX('My equipment'!$J$4:$J$503,(_calc!$E$110-500)),"yyyy-mm-dd"),"")&amp;". ")&amp;IF(LEN(IF(ISNUMBER(INDEX('My equipment'!$L$4:$L$503,(_calc!$E$110-500))),TEXT(INDEX('My equipment'!$L$4:$L$503,(_calc!$E$110-500)),"yyyy-mm-dd"),""))=0,"","Labor end: "&amp;IF(ISNUMBER(INDEX('My equipment'!$L$4:$L$503,(_calc!$E$110-500))),TEXT(INDEX('My equipment'!$L$4:$L$503,(_calc!$E$110-500)),"yyyy-mm-dd"),"")&amp;". ")&amp;IF(LEN(IF(ISNUMBER(INDEX('My equipment'!$P$4:$P$503,(_calc!$E$110-500))),TEXT(INDEX('My equipment'!$P$4:$P$503,(_calc!$E$110-500)),"yyyy-mm-dd"),""))=0,"","Check by: "&amp;IF(ISNUMBER(INDEX('My equipment'!$P$4:$P$503,(_calc!$E$110-500))),TEXT(INDEX('My equipment'!$P$4:$P$503,(_calc!$E$110-500)),"yyyy-mm-dd"),"")&amp;". ")&amp;IF(LEN(IF(LEN(INDEX('My equipment'!$Q$4:$Q$503,(_calc!$E$110-500)))=0,"",INDEX('My equipment'!$Q$4:$Q$503,(_calc!$E$110-500))))=0,"","Claim status: "&amp;IF(LEN(INDEX('My equipment'!$Q$4:$Q$503,(_calc!$E$110-500)))=0,"",INDEX('My equipment'!$Q$4:$Q$503,(_calc!$E$110-500)))&amp;". ")&amp;IF(LEN(IF(LEN(INDEX('My equipment'!$R$4:$R$503,(_calc!$E$110-500)))=0,"",INDEX('My equipment'!$R$4:$R$503,(_calc!$E$110-500))))=0,"","Claims contact: "&amp;IF(LEN(INDEX('My equipment'!$R$4:$R$503,(_calc!$E$110-500)))=0,"",INDEX('My equipment'!$R$4:$R$503,(_calc!$E$110-500)))&amp;". ")&amp;IF(LEN(IF(LEN(INDEX('My equipment'!$S$4:$S$503,(_calc!$E$110-500)))=0,"",INDEX('My equipment'!$S$4:$S$503,(_calc!$E$110-500))))=0,"","Claims email: "&amp;IF(LEN(INDEX('My equipment'!$S$4:$S$503,(_calc!$E$110-500)))=0,"",INDEX('My equipment'!$S$4:$S$503,(_calc!$E$110-500)))&amp;". ")&amp;IF(LEN(IF(LEN(INDEX('My equipment'!$U$4:$U$503,(_calc!$E$110-500)))=0,"",INDEX('My equipment'!$U$4:$U$503,(_calc!$E$110-500))))=0,"","Registered: "&amp;IF(LEN(INDEX('My equipment'!$U$4:$U$503,(_calc!$E$110-500)))=0,"",INDEX('My equipment'!$U$4:$U$503,(_calc!$E$110-500)))&amp;". ")&amp;IF(LEN(IF(LEN(INDEX('My equipment'!$V$4:$V$503,(_calc!$E$110-500)))=0,"",INDEX('My equipment'!$V$4:$V$503,(_calc!$E$110-500))))=0,"","Proof on file: "&amp;IF(LEN(INDEX('My equipment'!$V$4:$V$503,(_calc!$E$110-500)))=0,"",INDEX('My equipment'!$V$4:$V$503,(_calc!$E$110-500)))&amp;". ")&amp;IF(LEN(IF(LEN(INDEX('My equipment'!$W$4:$W$503,(_calc!$E$110-500)))=0,"",INDEX('My equipment'!$W$4:$W$503,(_calc!$E$110-500))))=0,"","Claim ref: "&amp;IF(LEN(INDEX('My equipment'!$W$4:$W$503,(_calc!$E$110-500)))=0,"",INDEX('My equipment'!$W$4:$W$503,(_calc!$E$110-500)))&amp;". ")&amp;IF(LEN(IF(LEN(INDEX('My equipment'!$Y$4:$Y$503,(_calc!$E$110-500)))=0,"",INDEX('My equipment'!$Y$4:$Y$503,(_calc!$E$110-500))))=0,"",IF(LEN(INDEX('My equipment'!$Y$4:$Y$503,(_calc!$E$110-500)))=0,"",INDEX('My equipment'!$Y$4:$Y$503,(_calc!$E$110-500)))))))</f>
        <v/>
      </c>
      <c r="G108" s="54">
        <f>IF(_calc!$E$110="","",IF(_calc!$E$110&lt;=500,"",IF(LEN(INDEX('My equipment'!$X$4:$X$503,(_calc!$E$110-500)))=0,"",INDEX('My equipment'!$X$4:$X$503,(_calc!$E$110-500)))))</f>
        <v/>
      </c>
      <c r="K108" s="54">
        <f>IF(_calc!$E$110="","",IF(_calc!$E$110&lt;=500,"",IF(LEN(INDEX('My equipment'!$T$4:$T$503,(_calc!$E$110-500)))=0,"",INDEX('My equipment'!$T$4:$T$503,(_calc!$E$110-500)))))</f>
        <v/>
      </c>
    </row>
    <row r="109">
      <c r="A109" s="54">
        <f>IF(_calc!$E$111="","",IF(_calc!$E$111&lt;=500,"Warranty – "&amp;IF(LEN(INDEX('Dealer pipeline'!$C$4:$C$503,_calc!$E$111))=0,"",INDEX('Dealer pipeline'!$C$4:$C$503,_calc!$E$111))&amp;" – "&amp;IF(LEN(INDEX('Dealer pipeline'!$D$4:$D$503,_calc!$E$111))=0,"",INDEX('Dealer pipeline'!$D$4:$D$503,_calc!$E$111))&amp;" – "&amp;IF(LEN(INDEX('Dealer pipeline'!$A$4:$A$503,_calc!$E$111))=0,"",INDEX('Dealer pipeline'!$A$4:$A$503,_calc!$E$111)),"Warranty – "&amp;IF(LEN(INDEX('My equipment'!$A$4:$A$503,(_calc!$E$111-500)))=0,"",INDEX('My equipment'!$A$4:$A$503,(_calc!$E$111-500)))&amp;" – "&amp;IF(LEN(INDEX('My equipment'!$D$4:$D$503,(_calc!$E$111-500)))=0,"",INDEX('My equipment'!$D$4:$D$503,(_calc!$E$111-500)))))</f>
        <v/>
      </c>
      <c r="B109" s="54">
        <f>IF(_calc!$E$111="","",IF(_calc!$E$111&lt;=500,IF(ISNUMBER(INDEX('Dealer pipeline'!$M$4:$M$503,_calc!$E$111)),TEXT(INDEX('Dealer pipeline'!$M$4:$M$503,_calc!$E$111),"yyyy-mm-dd"),""),IF(ISNUMBER(INDEX('My equipment'!$M$4:$M$503,(_calc!$E$111-500))),TEXT(INDEX('My equipment'!$M$4:$M$503,(_calc!$E$111-500)),"yyyy-mm-dd"),"")))</f>
        <v/>
      </c>
      <c r="C109" s="54">
        <f>IF(_calc!$E$111="","",IF(_calc!$E$111&lt;=500,"Warranty","Warranty"))</f>
        <v/>
      </c>
      <c r="D109" s="54">
        <f>IF(_calc!$E$111="","",IF(_calc!$E$111&lt;=500,IF(ISNUMBER(INDEX('Dealer pipeline'!$H$4:$H$503,_calc!$E$111)),TEXT(INDEX('Dealer pipeline'!$H$4:$H$503,_calc!$E$111),"yyyy-mm-dd"),""),IF(ISNUMBER(INDEX('My equipment'!$H$4:$H$503,(_calc!$E$111-500))),TEXT(INDEX('My equipment'!$H$4:$H$503,(_calc!$E$111-500)),"yyyy-mm-dd"),"")))</f>
        <v/>
      </c>
      <c r="F109" s="54">
        <f>IF(_calc!$E$111="","",IF(_calc!$E$111&lt;=500,TRIM(IF(LEN(IF(LEN(INDEX('Dealer pipeline'!$A$4:$A$503,_calc!$E$111))=0,"",INDEX('Dealer pipeline'!$A$4:$A$503,_calc!$E$111)))=0,"","Customer: "&amp;IF(LEN(INDEX('Dealer pipeline'!$A$4:$A$503,_calc!$E$111))=0,"",INDEX('Dealer pipeline'!$A$4:$A$503,_calc!$E$111))&amp;". ")&amp;IF(LEN(IF(LEN(INDEX('Dealer pipeline'!$B$4:$B$503,_calc!$E$111))=0,"",INDEX('Dealer pipeline'!$B$4:$B$503,_calc!$E$111)))=0,"","Contact: "&amp;IF(LEN(INDEX('Dealer pipeline'!$B$4:$B$503,_calc!$E$111))=0,"",INDEX('Dealer pipeline'!$B$4:$B$503,_calc!$E$111))&amp;". ")&amp;IF(LEN(IF(LEN(INDEX('Dealer pipeline'!$D$4:$D$503,_calc!$E$111))=0,"",INDEX('Dealer pipeline'!$D$4:$D$503,_calc!$E$111)))=0,"","Serial: "&amp;IF(LEN(INDEX('Dealer pipeline'!$D$4:$D$503,_calc!$E$111))=0,"",INDEX('Dealer pipeline'!$D$4:$D$503,_calc!$E$111))&amp;". ")&amp;IF(LEN(IF(ISNUMBER(INDEX('Dealer pipeline'!$J$4:$J$503,_calc!$E$111)),TEXT(INDEX('Dealer pipeline'!$J$4:$J$503,_calc!$E$111),"yyyy-mm-dd"),""))=0,"","Parts end: "&amp;IF(ISNUMBER(INDEX('Dealer pipeline'!$J$4:$J$503,_calc!$E$111)),TEXT(INDEX('Dealer pipeline'!$J$4:$J$503,_calc!$E$111),"yyyy-mm-dd"),"")&amp;". ")&amp;IF(LEN(IF(ISNUMBER(INDEX('Dealer pipeline'!$L$4:$L$503,_calc!$E$111)),TEXT(INDEX('Dealer pipeline'!$L$4:$L$503,_calc!$E$111),"yyyy-mm-dd"),""))=0,"","Labor end: "&amp;IF(ISNUMBER(INDEX('Dealer pipeline'!$L$4:$L$503,_calc!$E$111)),TEXT(INDEX('Dealer pipeline'!$L$4:$L$503,_calc!$E$111),"yyyy-mm-dd"),"")&amp;". ")&amp;IF(LEN(IF(LEN(INDEX('Dealer pipeline'!$Q$4:$Q$503,_calc!$E$111))=0,"",INDEX('Dealer pipeline'!$Q$4:$Q$503,_calc!$E$111)))=0,"","Status: "&amp;IF(LEN(INDEX('Dealer pipeline'!$Q$4:$Q$503,_calc!$E$111))=0,"",INDEX('Dealer pipeline'!$Q$4:$Q$503,_calc!$E$111))&amp;". ")&amp;IF(LEN(IF(LEN(INDEX('Dealer pipeline'!$P$4:$P$503,_calc!$E$111))=0,"",INDEX('Dealer pipeline'!$P$4:$P$503,_calc!$E$111)))=0,"","Last touch: "&amp;IF(LEN(INDEX('Dealer pipeline'!$P$4:$P$503,_calc!$E$111))=0,"",INDEX('Dealer pipeline'!$P$4:$P$503,_calc!$E$111))&amp;". ")&amp;IF(LEN(IF(LEN(INDEX('Dealer pipeline'!$R$4:$R$503,_calc!$E$111))=0,"",INDEX('Dealer pipeline'!$R$4:$R$503,_calc!$E$111)))=0,"","Owner: "&amp;IF(LEN(INDEX('Dealer pipeline'!$R$4:$R$503,_calc!$E$111))=0,"",INDEX('Dealer pipeline'!$R$4:$R$503,_calc!$E$111))&amp;". ")&amp;IF(LEN(IF(LEN(INDEX('Dealer pipeline'!$S$4:$S$503,_calc!$E$111))=0,"",INDEX('Dealer pipeline'!$S$4:$S$503,_calc!$E$111)))=0,"","Backup: "&amp;IF(LEN(INDEX('Dealer pipeline'!$S$4:$S$503,_calc!$E$111))=0,"",INDEX('Dealer pipeline'!$S$4:$S$503,_calc!$E$111))&amp;". ")&amp;IF(LEN(IF(LEN(INDEX('Dealer pipeline'!$T$4:$T$503,_calc!$E$111))=0,"",INDEX('Dealer pipeline'!$T$4:$T$503,_calc!$E$111)))=0,"",IF(LEN(INDEX('Dealer pipeline'!$T$4:$T$503,_calc!$E$111))=0,"",INDEX('Dealer pipeline'!$T$4:$T$503,_calc!$E$111)))),TRIM(IF(LEN(IF(LEN(INDEX('My equipment'!$C$4:$C$503,(_calc!$E$111-500)))=0,"",INDEX('My equipment'!$C$4:$C$503,(_calc!$E$111-500))))=0,"","Model: "&amp;IF(LEN(INDEX('My equipment'!$C$4:$C$503,(_calc!$E$111-500)))=0,"",INDEX('My equipment'!$C$4:$C$503,(_calc!$E$111-500)))&amp;". ")&amp;IF(LEN(IF(LEN(INDEX('My equipment'!$D$4:$D$503,(_calc!$E$111-500)))=0,"",INDEX('My equipment'!$D$4:$D$503,(_calc!$E$111-500))))=0,"","Serial: "&amp;IF(LEN(INDEX('My equipment'!$D$4:$D$503,(_calc!$E$111-500)))=0,"",INDEX('My equipment'!$D$4:$D$503,(_calc!$E$111-500)))&amp;". ")&amp;IF(LEN(IF(ISNUMBER(INDEX('My equipment'!$J$4:$J$503,(_calc!$E$111-500))),TEXT(INDEX('My equipment'!$J$4:$J$503,(_calc!$E$111-500)),"yyyy-mm-dd"),""))=0,"","Parts end: "&amp;IF(ISNUMBER(INDEX('My equipment'!$J$4:$J$503,(_calc!$E$111-500))),TEXT(INDEX('My equipment'!$J$4:$J$503,(_calc!$E$111-500)),"yyyy-mm-dd"),"")&amp;". ")&amp;IF(LEN(IF(ISNUMBER(INDEX('My equipment'!$L$4:$L$503,(_calc!$E$111-500))),TEXT(INDEX('My equipment'!$L$4:$L$503,(_calc!$E$111-500)),"yyyy-mm-dd"),""))=0,"","Labor end: "&amp;IF(ISNUMBER(INDEX('My equipment'!$L$4:$L$503,(_calc!$E$111-500))),TEXT(INDEX('My equipment'!$L$4:$L$503,(_calc!$E$111-500)),"yyyy-mm-dd"),"")&amp;". ")&amp;IF(LEN(IF(ISNUMBER(INDEX('My equipment'!$P$4:$P$503,(_calc!$E$111-500))),TEXT(INDEX('My equipment'!$P$4:$P$503,(_calc!$E$111-500)),"yyyy-mm-dd"),""))=0,"","Check by: "&amp;IF(ISNUMBER(INDEX('My equipment'!$P$4:$P$503,(_calc!$E$111-500))),TEXT(INDEX('My equipment'!$P$4:$P$503,(_calc!$E$111-500)),"yyyy-mm-dd"),"")&amp;". ")&amp;IF(LEN(IF(LEN(INDEX('My equipment'!$Q$4:$Q$503,(_calc!$E$111-500)))=0,"",INDEX('My equipment'!$Q$4:$Q$503,(_calc!$E$111-500))))=0,"","Claim status: "&amp;IF(LEN(INDEX('My equipment'!$Q$4:$Q$503,(_calc!$E$111-500)))=0,"",INDEX('My equipment'!$Q$4:$Q$503,(_calc!$E$111-500)))&amp;". ")&amp;IF(LEN(IF(LEN(INDEX('My equipment'!$R$4:$R$503,(_calc!$E$111-500)))=0,"",INDEX('My equipment'!$R$4:$R$503,(_calc!$E$111-500))))=0,"","Claims contact: "&amp;IF(LEN(INDEX('My equipment'!$R$4:$R$503,(_calc!$E$111-500)))=0,"",INDEX('My equipment'!$R$4:$R$503,(_calc!$E$111-500)))&amp;". ")&amp;IF(LEN(IF(LEN(INDEX('My equipment'!$S$4:$S$503,(_calc!$E$111-500)))=0,"",INDEX('My equipment'!$S$4:$S$503,(_calc!$E$111-500))))=0,"","Claims email: "&amp;IF(LEN(INDEX('My equipment'!$S$4:$S$503,(_calc!$E$111-500)))=0,"",INDEX('My equipment'!$S$4:$S$503,(_calc!$E$111-500)))&amp;". ")&amp;IF(LEN(IF(LEN(INDEX('My equipment'!$U$4:$U$503,(_calc!$E$111-500)))=0,"",INDEX('My equipment'!$U$4:$U$503,(_calc!$E$111-500))))=0,"","Registered: "&amp;IF(LEN(INDEX('My equipment'!$U$4:$U$503,(_calc!$E$111-500)))=0,"",INDEX('My equipment'!$U$4:$U$503,(_calc!$E$111-500)))&amp;". ")&amp;IF(LEN(IF(LEN(INDEX('My equipment'!$V$4:$V$503,(_calc!$E$111-500)))=0,"",INDEX('My equipment'!$V$4:$V$503,(_calc!$E$111-500))))=0,"","Proof on file: "&amp;IF(LEN(INDEX('My equipment'!$V$4:$V$503,(_calc!$E$111-500)))=0,"",INDEX('My equipment'!$V$4:$V$503,(_calc!$E$111-500)))&amp;". ")&amp;IF(LEN(IF(LEN(INDEX('My equipment'!$W$4:$W$503,(_calc!$E$111-500)))=0,"",INDEX('My equipment'!$W$4:$W$503,(_calc!$E$111-500))))=0,"","Claim ref: "&amp;IF(LEN(INDEX('My equipment'!$W$4:$W$503,(_calc!$E$111-500)))=0,"",INDEX('My equipment'!$W$4:$W$503,(_calc!$E$111-500)))&amp;". ")&amp;IF(LEN(IF(LEN(INDEX('My equipment'!$Y$4:$Y$503,(_calc!$E$111-500)))=0,"",INDEX('My equipment'!$Y$4:$Y$503,(_calc!$E$111-500))))=0,"",IF(LEN(INDEX('My equipment'!$Y$4:$Y$503,(_calc!$E$111-500)))=0,"",INDEX('My equipment'!$Y$4:$Y$503,(_calc!$E$111-500)))))))</f>
        <v/>
      </c>
      <c r="G109" s="54">
        <f>IF(_calc!$E$111="","",IF(_calc!$E$111&lt;=500,"",IF(LEN(INDEX('My equipment'!$X$4:$X$503,(_calc!$E$111-500)))=0,"",INDEX('My equipment'!$X$4:$X$503,(_calc!$E$111-500)))))</f>
        <v/>
      </c>
      <c r="K109" s="54">
        <f>IF(_calc!$E$111="","",IF(_calc!$E$111&lt;=500,"",IF(LEN(INDEX('My equipment'!$T$4:$T$503,(_calc!$E$111-500)))=0,"",INDEX('My equipment'!$T$4:$T$503,(_calc!$E$111-500)))))</f>
        <v/>
      </c>
    </row>
    <row r="110">
      <c r="A110" s="54">
        <f>IF(_calc!$E$112="","",IF(_calc!$E$112&lt;=500,"Warranty – "&amp;IF(LEN(INDEX('Dealer pipeline'!$C$4:$C$503,_calc!$E$112))=0,"",INDEX('Dealer pipeline'!$C$4:$C$503,_calc!$E$112))&amp;" – "&amp;IF(LEN(INDEX('Dealer pipeline'!$D$4:$D$503,_calc!$E$112))=0,"",INDEX('Dealer pipeline'!$D$4:$D$503,_calc!$E$112))&amp;" – "&amp;IF(LEN(INDEX('Dealer pipeline'!$A$4:$A$503,_calc!$E$112))=0,"",INDEX('Dealer pipeline'!$A$4:$A$503,_calc!$E$112)),"Warranty – "&amp;IF(LEN(INDEX('My equipment'!$A$4:$A$503,(_calc!$E$112-500)))=0,"",INDEX('My equipment'!$A$4:$A$503,(_calc!$E$112-500)))&amp;" – "&amp;IF(LEN(INDEX('My equipment'!$D$4:$D$503,(_calc!$E$112-500)))=0,"",INDEX('My equipment'!$D$4:$D$503,(_calc!$E$112-500)))))</f>
        <v/>
      </c>
      <c r="B110" s="54">
        <f>IF(_calc!$E$112="","",IF(_calc!$E$112&lt;=500,IF(ISNUMBER(INDEX('Dealer pipeline'!$M$4:$M$503,_calc!$E$112)),TEXT(INDEX('Dealer pipeline'!$M$4:$M$503,_calc!$E$112),"yyyy-mm-dd"),""),IF(ISNUMBER(INDEX('My equipment'!$M$4:$M$503,(_calc!$E$112-500))),TEXT(INDEX('My equipment'!$M$4:$M$503,(_calc!$E$112-500)),"yyyy-mm-dd"),"")))</f>
        <v/>
      </c>
      <c r="C110" s="54">
        <f>IF(_calc!$E$112="","",IF(_calc!$E$112&lt;=500,"Warranty","Warranty"))</f>
        <v/>
      </c>
      <c r="D110" s="54">
        <f>IF(_calc!$E$112="","",IF(_calc!$E$112&lt;=500,IF(ISNUMBER(INDEX('Dealer pipeline'!$H$4:$H$503,_calc!$E$112)),TEXT(INDEX('Dealer pipeline'!$H$4:$H$503,_calc!$E$112),"yyyy-mm-dd"),""),IF(ISNUMBER(INDEX('My equipment'!$H$4:$H$503,(_calc!$E$112-500))),TEXT(INDEX('My equipment'!$H$4:$H$503,(_calc!$E$112-500)),"yyyy-mm-dd"),"")))</f>
        <v/>
      </c>
      <c r="F110" s="54">
        <f>IF(_calc!$E$112="","",IF(_calc!$E$112&lt;=500,TRIM(IF(LEN(IF(LEN(INDEX('Dealer pipeline'!$A$4:$A$503,_calc!$E$112))=0,"",INDEX('Dealer pipeline'!$A$4:$A$503,_calc!$E$112)))=0,"","Customer: "&amp;IF(LEN(INDEX('Dealer pipeline'!$A$4:$A$503,_calc!$E$112))=0,"",INDEX('Dealer pipeline'!$A$4:$A$503,_calc!$E$112))&amp;". ")&amp;IF(LEN(IF(LEN(INDEX('Dealer pipeline'!$B$4:$B$503,_calc!$E$112))=0,"",INDEX('Dealer pipeline'!$B$4:$B$503,_calc!$E$112)))=0,"","Contact: "&amp;IF(LEN(INDEX('Dealer pipeline'!$B$4:$B$503,_calc!$E$112))=0,"",INDEX('Dealer pipeline'!$B$4:$B$503,_calc!$E$112))&amp;". ")&amp;IF(LEN(IF(LEN(INDEX('Dealer pipeline'!$D$4:$D$503,_calc!$E$112))=0,"",INDEX('Dealer pipeline'!$D$4:$D$503,_calc!$E$112)))=0,"","Serial: "&amp;IF(LEN(INDEX('Dealer pipeline'!$D$4:$D$503,_calc!$E$112))=0,"",INDEX('Dealer pipeline'!$D$4:$D$503,_calc!$E$112))&amp;". ")&amp;IF(LEN(IF(ISNUMBER(INDEX('Dealer pipeline'!$J$4:$J$503,_calc!$E$112)),TEXT(INDEX('Dealer pipeline'!$J$4:$J$503,_calc!$E$112),"yyyy-mm-dd"),""))=0,"","Parts end: "&amp;IF(ISNUMBER(INDEX('Dealer pipeline'!$J$4:$J$503,_calc!$E$112)),TEXT(INDEX('Dealer pipeline'!$J$4:$J$503,_calc!$E$112),"yyyy-mm-dd"),"")&amp;". ")&amp;IF(LEN(IF(ISNUMBER(INDEX('Dealer pipeline'!$L$4:$L$503,_calc!$E$112)),TEXT(INDEX('Dealer pipeline'!$L$4:$L$503,_calc!$E$112),"yyyy-mm-dd"),""))=0,"","Labor end: "&amp;IF(ISNUMBER(INDEX('Dealer pipeline'!$L$4:$L$503,_calc!$E$112)),TEXT(INDEX('Dealer pipeline'!$L$4:$L$503,_calc!$E$112),"yyyy-mm-dd"),"")&amp;". ")&amp;IF(LEN(IF(LEN(INDEX('Dealer pipeline'!$Q$4:$Q$503,_calc!$E$112))=0,"",INDEX('Dealer pipeline'!$Q$4:$Q$503,_calc!$E$112)))=0,"","Status: "&amp;IF(LEN(INDEX('Dealer pipeline'!$Q$4:$Q$503,_calc!$E$112))=0,"",INDEX('Dealer pipeline'!$Q$4:$Q$503,_calc!$E$112))&amp;". ")&amp;IF(LEN(IF(LEN(INDEX('Dealer pipeline'!$P$4:$P$503,_calc!$E$112))=0,"",INDEX('Dealer pipeline'!$P$4:$P$503,_calc!$E$112)))=0,"","Last touch: "&amp;IF(LEN(INDEX('Dealer pipeline'!$P$4:$P$503,_calc!$E$112))=0,"",INDEX('Dealer pipeline'!$P$4:$P$503,_calc!$E$112))&amp;". ")&amp;IF(LEN(IF(LEN(INDEX('Dealer pipeline'!$R$4:$R$503,_calc!$E$112))=0,"",INDEX('Dealer pipeline'!$R$4:$R$503,_calc!$E$112)))=0,"","Owner: "&amp;IF(LEN(INDEX('Dealer pipeline'!$R$4:$R$503,_calc!$E$112))=0,"",INDEX('Dealer pipeline'!$R$4:$R$503,_calc!$E$112))&amp;". ")&amp;IF(LEN(IF(LEN(INDEX('Dealer pipeline'!$S$4:$S$503,_calc!$E$112))=0,"",INDEX('Dealer pipeline'!$S$4:$S$503,_calc!$E$112)))=0,"","Backup: "&amp;IF(LEN(INDEX('Dealer pipeline'!$S$4:$S$503,_calc!$E$112))=0,"",INDEX('Dealer pipeline'!$S$4:$S$503,_calc!$E$112))&amp;". ")&amp;IF(LEN(IF(LEN(INDEX('Dealer pipeline'!$T$4:$T$503,_calc!$E$112))=0,"",INDEX('Dealer pipeline'!$T$4:$T$503,_calc!$E$112)))=0,"",IF(LEN(INDEX('Dealer pipeline'!$T$4:$T$503,_calc!$E$112))=0,"",INDEX('Dealer pipeline'!$T$4:$T$503,_calc!$E$112)))),TRIM(IF(LEN(IF(LEN(INDEX('My equipment'!$C$4:$C$503,(_calc!$E$112-500)))=0,"",INDEX('My equipment'!$C$4:$C$503,(_calc!$E$112-500))))=0,"","Model: "&amp;IF(LEN(INDEX('My equipment'!$C$4:$C$503,(_calc!$E$112-500)))=0,"",INDEX('My equipment'!$C$4:$C$503,(_calc!$E$112-500)))&amp;". ")&amp;IF(LEN(IF(LEN(INDEX('My equipment'!$D$4:$D$503,(_calc!$E$112-500)))=0,"",INDEX('My equipment'!$D$4:$D$503,(_calc!$E$112-500))))=0,"","Serial: "&amp;IF(LEN(INDEX('My equipment'!$D$4:$D$503,(_calc!$E$112-500)))=0,"",INDEX('My equipment'!$D$4:$D$503,(_calc!$E$112-500)))&amp;". ")&amp;IF(LEN(IF(ISNUMBER(INDEX('My equipment'!$J$4:$J$503,(_calc!$E$112-500))),TEXT(INDEX('My equipment'!$J$4:$J$503,(_calc!$E$112-500)),"yyyy-mm-dd"),""))=0,"","Parts end: "&amp;IF(ISNUMBER(INDEX('My equipment'!$J$4:$J$503,(_calc!$E$112-500))),TEXT(INDEX('My equipment'!$J$4:$J$503,(_calc!$E$112-500)),"yyyy-mm-dd"),"")&amp;". ")&amp;IF(LEN(IF(ISNUMBER(INDEX('My equipment'!$L$4:$L$503,(_calc!$E$112-500))),TEXT(INDEX('My equipment'!$L$4:$L$503,(_calc!$E$112-500)),"yyyy-mm-dd"),""))=0,"","Labor end: "&amp;IF(ISNUMBER(INDEX('My equipment'!$L$4:$L$503,(_calc!$E$112-500))),TEXT(INDEX('My equipment'!$L$4:$L$503,(_calc!$E$112-500)),"yyyy-mm-dd"),"")&amp;". ")&amp;IF(LEN(IF(ISNUMBER(INDEX('My equipment'!$P$4:$P$503,(_calc!$E$112-500))),TEXT(INDEX('My equipment'!$P$4:$P$503,(_calc!$E$112-500)),"yyyy-mm-dd"),""))=0,"","Check by: "&amp;IF(ISNUMBER(INDEX('My equipment'!$P$4:$P$503,(_calc!$E$112-500))),TEXT(INDEX('My equipment'!$P$4:$P$503,(_calc!$E$112-500)),"yyyy-mm-dd"),"")&amp;". ")&amp;IF(LEN(IF(LEN(INDEX('My equipment'!$Q$4:$Q$503,(_calc!$E$112-500)))=0,"",INDEX('My equipment'!$Q$4:$Q$503,(_calc!$E$112-500))))=0,"","Claim status: "&amp;IF(LEN(INDEX('My equipment'!$Q$4:$Q$503,(_calc!$E$112-500)))=0,"",INDEX('My equipment'!$Q$4:$Q$503,(_calc!$E$112-500)))&amp;". ")&amp;IF(LEN(IF(LEN(INDEX('My equipment'!$R$4:$R$503,(_calc!$E$112-500)))=0,"",INDEX('My equipment'!$R$4:$R$503,(_calc!$E$112-500))))=0,"","Claims contact: "&amp;IF(LEN(INDEX('My equipment'!$R$4:$R$503,(_calc!$E$112-500)))=0,"",INDEX('My equipment'!$R$4:$R$503,(_calc!$E$112-500)))&amp;". ")&amp;IF(LEN(IF(LEN(INDEX('My equipment'!$S$4:$S$503,(_calc!$E$112-500)))=0,"",INDEX('My equipment'!$S$4:$S$503,(_calc!$E$112-500))))=0,"","Claims email: "&amp;IF(LEN(INDEX('My equipment'!$S$4:$S$503,(_calc!$E$112-500)))=0,"",INDEX('My equipment'!$S$4:$S$503,(_calc!$E$112-500)))&amp;". ")&amp;IF(LEN(IF(LEN(INDEX('My equipment'!$U$4:$U$503,(_calc!$E$112-500)))=0,"",INDEX('My equipment'!$U$4:$U$503,(_calc!$E$112-500))))=0,"","Registered: "&amp;IF(LEN(INDEX('My equipment'!$U$4:$U$503,(_calc!$E$112-500)))=0,"",INDEX('My equipment'!$U$4:$U$503,(_calc!$E$112-500)))&amp;". ")&amp;IF(LEN(IF(LEN(INDEX('My equipment'!$V$4:$V$503,(_calc!$E$112-500)))=0,"",INDEX('My equipment'!$V$4:$V$503,(_calc!$E$112-500))))=0,"","Proof on file: "&amp;IF(LEN(INDEX('My equipment'!$V$4:$V$503,(_calc!$E$112-500)))=0,"",INDEX('My equipment'!$V$4:$V$503,(_calc!$E$112-500)))&amp;". ")&amp;IF(LEN(IF(LEN(INDEX('My equipment'!$W$4:$W$503,(_calc!$E$112-500)))=0,"",INDEX('My equipment'!$W$4:$W$503,(_calc!$E$112-500))))=0,"","Claim ref: "&amp;IF(LEN(INDEX('My equipment'!$W$4:$W$503,(_calc!$E$112-500)))=0,"",INDEX('My equipment'!$W$4:$W$503,(_calc!$E$112-500)))&amp;". ")&amp;IF(LEN(IF(LEN(INDEX('My equipment'!$Y$4:$Y$503,(_calc!$E$112-500)))=0,"",INDEX('My equipment'!$Y$4:$Y$503,(_calc!$E$112-500))))=0,"",IF(LEN(INDEX('My equipment'!$Y$4:$Y$503,(_calc!$E$112-500)))=0,"",INDEX('My equipment'!$Y$4:$Y$503,(_calc!$E$112-500)))))))</f>
        <v/>
      </c>
      <c r="G110" s="54">
        <f>IF(_calc!$E$112="","",IF(_calc!$E$112&lt;=500,"",IF(LEN(INDEX('My equipment'!$X$4:$X$503,(_calc!$E$112-500)))=0,"",INDEX('My equipment'!$X$4:$X$503,(_calc!$E$112-500)))))</f>
        <v/>
      </c>
      <c r="K110" s="54">
        <f>IF(_calc!$E$112="","",IF(_calc!$E$112&lt;=500,"",IF(LEN(INDEX('My equipment'!$T$4:$T$503,(_calc!$E$112-500)))=0,"",INDEX('My equipment'!$T$4:$T$503,(_calc!$E$112-500)))))</f>
        <v/>
      </c>
    </row>
    <row r="111">
      <c r="A111" s="54">
        <f>IF(_calc!$E$113="","",IF(_calc!$E$113&lt;=500,"Warranty – "&amp;IF(LEN(INDEX('Dealer pipeline'!$C$4:$C$503,_calc!$E$113))=0,"",INDEX('Dealer pipeline'!$C$4:$C$503,_calc!$E$113))&amp;" – "&amp;IF(LEN(INDEX('Dealer pipeline'!$D$4:$D$503,_calc!$E$113))=0,"",INDEX('Dealer pipeline'!$D$4:$D$503,_calc!$E$113))&amp;" – "&amp;IF(LEN(INDEX('Dealer pipeline'!$A$4:$A$503,_calc!$E$113))=0,"",INDEX('Dealer pipeline'!$A$4:$A$503,_calc!$E$113)),"Warranty – "&amp;IF(LEN(INDEX('My equipment'!$A$4:$A$503,(_calc!$E$113-500)))=0,"",INDEX('My equipment'!$A$4:$A$503,(_calc!$E$113-500)))&amp;" – "&amp;IF(LEN(INDEX('My equipment'!$D$4:$D$503,(_calc!$E$113-500)))=0,"",INDEX('My equipment'!$D$4:$D$503,(_calc!$E$113-500)))))</f>
        <v/>
      </c>
      <c r="B111" s="54">
        <f>IF(_calc!$E$113="","",IF(_calc!$E$113&lt;=500,IF(ISNUMBER(INDEX('Dealer pipeline'!$M$4:$M$503,_calc!$E$113)),TEXT(INDEX('Dealer pipeline'!$M$4:$M$503,_calc!$E$113),"yyyy-mm-dd"),""),IF(ISNUMBER(INDEX('My equipment'!$M$4:$M$503,(_calc!$E$113-500))),TEXT(INDEX('My equipment'!$M$4:$M$503,(_calc!$E$113-500)),"yyyy-mm-dd"),"")))</f>
        <v/>
      </c>
      <c r="C111" s="54">
        <f>IF(_calc!$E$113="","",IF(_calc!$E$113&lt;=500,"Warranty","Warranty"))</f>
        <v/>
      </c>
      <c r="D111" s="54">
        <f>IF(_calc!$E$113="","",IF(_calc!$E$113&lt;=500,IF(ISNUMBER(INDEX('Dealer pipeline'!$H$4:$H$503,_calc!$E$113)),TEXT(INDEX('Dealer pipeline'!$H$4:$H$503,_calc!$E$113),"yyyy-mm-dd"),""),IF(ISNUMBER(INDEX('My equipment'!$H$4:$H$503,(_calc!$E$113-500))),TEXT(INDEX('My equipment'!$H$4:$H$503,(_calc!$E$113-500)),"yyyy-mm-dd"),"")))</f>
        <v/>
      </c>
      <c r="F111" s="54">
        <f>IF(_calc!$E$113="","",IF(_calc!$E$113&lt;=500,TRIM(IF(LEN(IF(LEN(INDEX('Dealer pipeline'!$A$4:$A$503,_calc!$E$113))=0,"",INDEX('Dealer pipeline'!$A$4:$A$503,_calc!$E$113)))=0,"","Customer: "&amp;IF(LEN(INDEX('Dealer pipeline'!$A$4:$A$503,_calc!$E$113))=0,"",INDEX('Dealer pipeline'!$A$4:$A$503,_calc!$E$113))&amp;". ")&amp;IF(LEN(IF(LEN(INDEX('Dealer pipeline'!$B$4:$B$503,_calc!$E$113))=0,"",INDEX('Dealer pipeline'!$B$4:$B$503,_calc!$E$113)))=0,"","Contact: "&amp;IF(LEN(INDEX('Dealer pipeline'!$B$4:$B$503,_calc!$E$113))=0,"",INDEX('Dealer pipeline'!$B$4:$B$503,_calc!$E$113))&amp;". ")&amp;IF(LEN(IF(LEN(INDEX('Dealer pipeline'!$D$4:$D$503,_calc!$E$113))=0,"",INDEX('Dealer pipeline'!$D$4:$D$503,_calc!$E$113)))=0,"","Serial: "&amp;IF(LEN(INDEX('Dealer pipeline'!$D$4:$D$503,_calc!$E$113))=0,"",INDEX('Dealer pipeline'!$D$4:$D$503,_calc!$E$113))&amp;". ")&amp;IF(LEN(IF(ISNUMBER(INDEX('Dealer pipeline'!$J$4:$J$503,_calc!$E$113)),TEXT(INDEX('Dealer pipeline'!$J$4:$J$503,_calc!$E$113),"yyyy-mm-dd"),""))=0,"","Parts end: "&amp;IF(ISNUMBER(INDEX('Dealer pipeline'!$J$4:$J$503,_calc!$E$113)),TEXT(INDEX('Dealer pipeline'!$J$4:$J$503,_calc!$E$113),"yyyy-mm-dd"),"")&amp;". ")&amp;IF(LEN(IF(ISNUMBER(INDEX('Dealer pipeline'!$L$4:$L$503,_calc!$E$113)),TEXT(INDEX('Dealer pipeline'!$L$4:$L$503,_calc!$E$113),"yyyy-mm-dd"),""))=0,"","Labor end: "&amp;IF(ISNUMBER(INDEX('Dealer pipeline'!$L$4:$L$503,_calc!$E$113)),TEXT(INDEX('Dealer pipeline'!$L$4:$L$503,_calc!$E$113),"yyyy-mm-dd"),"")&amp;". ")&amp;IF(LEN(IF(LEN(INDEX('Dealer pipeline'!$Q$4:$Q$503,_calc!$E$113))=0,"",INDEX('Dealer pipeline'!$Q$4:$Q$503,_calc!$E$113)))=0,"","Status: "&amp;IF(LEN(INDEX('Dealer pipeline'!$Q$4:$Q$503,_calc!$E$113))=0,"",INDEX('Dealer pipeline'!$Q$4:$Q$503,_calc!$E$113))&amp;". ")&amp;IF(LEN(IF(LEN(INDEX('Dealer pipeline'!$P$4:$P$503,_calc!$E$113))=0,"",INDEX('Dealer pipeline'!$P$4:$P$503,_calc!$E$113)))=0,"","Last touch: "&amp;IF(LEN(INDEX('Dealer pipeline'!$P$4:$P$503,_calc!$E$113))=0,"",INDEX('Dealer pipeline'!$P$4:$P$503,_calc!$E$113))&amp;". ")&amp;IF(LEN(IF(LEN(INDEX('Dealer pipeline'!$R$4:$R$503,_calc!$E$113))=0,"",INDEX('Dealer pipeline'!$R$4:$R$503,_calc!$E$113)))=0,"","Owner: "&amp;IF(LEN(INDEX('Dealer pipeline'!$R$4:$R$503,_calc!$E$113))=0,"",INDEX('Dealer pipeline'!$R$4:$R$503,_calc!$E$113))&amp;". ")&amp;IF(LEN(IF(LEN(INDEX('Dealer pipeline'!$S$4:$S$503,_calc!$E$113))=0,"",INDEX('Dealer pipeline'!$S$4:$S$503,_calc!$E$113)))=0,"","Backup: "&amp;IF(LEN(INDEX('Dealer pipeline'!$S$4:$S$503,_calc!$E$113))=0,"",INDEX('Dealer pipeline'!$S$4:$S$503,_calc!$E$113))&amp;". ")&amp;IF(LEN(IF(LEN(INDEX('Dealer pipeline'!$T$4:$T$503,_calc!$E$113))=0,"",INDEX('Dealer pipeline'!$T$4:$T$503,_calc!$E$113)))=0,"",IF(LEN(INDEX('Dealer pipeline'!$T$4:$T$503,_calc!$E$113))=0,"",INDEX('Dealer pipeline'!$T$4:$T$503,_calc!$E$113)))),TRIM(IF(LEN(IF(LEN(INDEX('My equipment'!$C$4:$C$503,(_calc!$E$113-500)))=0,"",INDEX('My equipment'!$C$4:$C$503,(_calc!$E$113-500))))=0,"","Model: "&amp;IF(LEN(INDEX('My equipment'!$C$4:$C$503,(_calc!$E$113-500)))=0,"",INDEX('My equipment'!$C$4:$C$503,(_calc!$E$113-500)))&amp;". ")&amp;IF(LEN(IF(LEN(INDEX('My equipment'!$D$4:$D$503,(_calc!$E$113-500)))=0,"",INDEX('My equipment'!$D$4:$D$503,(_calc!$E$113-500))))=0,"","Serial: "&amp;IF(LEN(INDEX('My equipment'!$D$4:$D$503,(_calc!$E$113-500)))=0,"",INDEX('My equipment'!$D$4:$D$503,(_calc!$E$113-500)))&amp;". ")&amp;IF(LEN(IF(ISNUMBER(INDEX('My equipment'!$J$4:$J$503,(_calc!$E$113-500))),TEXT(INDEX('My equipment'!$J$4:$J$503,(_calc!$E$113-500)),"yyyy-mm-dd"),""))=0,"","Parts end: "&amp;IF(ISNUMBER(INDEX('My equipment'!$J$4:$J$503,(_calc!$E$113-500))),TEXT(INDEX('My equipment'!$J$4:$J$503,(_calc!$E$113-500)),"yyyy-mm-dd"),"")&amp;". ")&amp;IF(LEN(IF(ISNUMBER(INDEX('My equipment'!$L$4:$L$503,(_calc!$E$113-500))),TEXT(INDEX('My equipment'!$L$4:$L$503,(_calc!$E$113-500)),"yyyy-mm-dd"),""))=0,"","Labor end: "&amp;IF(ISNUMBER(INDEX('My equipment'!$L$4:$L$503,(_calc!$E$113-500))),TEXT(INDEX('My equipment'!$L$4:$L$503,(_calc!$E$113-500)),"yyyy-mm-dd"),"")&amp;". ")&amp;IF(LEN(IF(ISNUMBER(INDEX('My equipment'!$P$4:$P$503,(_calc!$E$113-500))),TEXT(INDEX('My equipment'!$P$4:$P$503,(_calc!$E$113-500)),"yyyy-mm-dd"),""))=0,"","Check by: "&amp;IF(ISNUMBER(INDEX('My equipment'!$P$4:$P$503,(_calc!$E$113-500))),TEXT(INDEX('My equipment'!$P$4:$P$503,(_calc!$E$113-500)),"yyyy-mm-dd"),"")&amp;". ")&amp;IF(LEN(IF(LEN(INDEX('My equipment'!$Q$4:$Q$503,(_calc!$E$113-500)))=0,"",INDEX('My equipment'!$Q$4:$Q$503,(_calc!$E$113-500))))=0,"","Claim status: "&amp;IF(LEN(INDEX('My equipment'!$Q$4:$Q$503,(_calc!$E$113-500)))=0,"",INDEX('My equipment'!$Q$4:$Q$503,(_calc!$E$113-500)))&amp;". ")&amp;IF(LEN(IF(LEN(INDEX('My equipment'!$R$4:$R$503,(_calc!$E$113-500)))=0,"",INDEX('My equipment'!$R$4:$R$503,(_calc!$E$113-500))))=0,"","Claims contact: "&amp;IF(LEN(INDEX('My equipment'!$R$4:$R$503,(_calc!$E$113-500)))=0,"",INDEX('My equipment'!$R$4:$R$503,(_calc!$E$113-500)))&amp;". ")&amp;IF(LEN(IF(LEN(INDEX('My equipment'!$S$4:$S$503,(_calc!$E$113-500)))=0,"",INDEX('My equipment'!$S$4:$S$503,(_calc!$E$113-500))))=0,"","Claims email: "&amp;IF(LEN(INDEX('My equipment'!$S$4:$S$503,(_calc!$E$113-500)))=0,"",INDEX('My equipment'!$S$4:$S$503,(_calc!$E$113-500)))&amp;". ")&amp;IF(LEN(IF(LEN(INDEX('My equipment'!$U$4:$U$503,(_calc!$E$113-500)))=0,"",INDEX('My equipment'!$U$4:$U$503,(_calc!$E$113-500))))=0,"","Registered: "&amp;IF(LEN(INDEX('My equipment'!$U$4:$U$503,(_calc!$E$113-500)))=0,"",INDEX('My equipment'!$U$4:$U$503,(_calc!$E$113-500)))&amp;". ")&amp;IF(LEN(IF(LEN(INDEX('My equipment'!$V$4:$V$503,(_calc!$E$113-500)))=0,"",INDEX('My equipment'!$V$4:$V$503,(_calc!$E$113-500))))=0,"","Proof on file: "&amp;IF(LEN(INDEX('My equipment'!$V$4:$V$503,(_calc!$E$113-500)))=0,"",INDEX('My equipment'!$V$4:$V$503,(_calc!$E$113-500)))&amp;". ")&amp;IF(LEN(IF(LEN(INDEX('My equipment'!$W$4:$W$503,(_calc!$E$113-500)))=0,"",INDEX('My equipment'!$W$4:$W$503,(_calc!$E$113-500))))=0,"","Claim ref: "&amp;IF(LEN(INDEX('My equipment'!$W$4:$W$503,(_calc!$E$113-500)))=0,"",INDEX('My equipment'!$W$4:$W$503,(_calc!$E$113-500)))&amp;". ")&amp;IF(LEN(IF(LEN(INDEX('My equipment'!$Y$4:$Y$503,(_calc!$E$113-500)))=0,"",INDEX('My equipment'!$Y$4:$Y$503,(_calc!$E$113-500))))=0,"",IF(LEN(INDEX('My equipment'!$Y$4:$Y$503,(_calc!$E$113-500)))=0,"",INDEX('My equipment'!$Y$4:$Y$503,(_calc!$E$113-500)))))))</f>
        <v/>
      </c>
      <c r="G111" s="54">
        <f>IF(_calc!$E$113="","",IF(_calc!$E$113&lt;=500,"",IF(LEN(INDEX('My equipment'!$X$4:$X$503,(_calc!$E$113-500)))=0,"",INDEX('My equipment'!$X$4:$X$503,(_calc!$E$113-500)))))</f>
        <v/>
      </c>
      <c r="K111" s="54">
        <f>IF(_calc!$E$113="","",IF(_calc!$E$113&lt;=500,"",IF(LEN(INDEX('My equipment'!$T$4:$T$503,(_calc!$E$113-500)))=0,"",INDEX('My equipment'!$T$4:$T$503,(_calc!$E$113-500)))))</f>
        <v/>
      </c>
    </row>
    <row r="112">
      <c r="A112" s="54">
        <f>IF(_calc!$E$114="","",IF(_calc!$E$114&lt;=500,"Warranty – "&amp;IF(LEN(INDEX('Dealer pipeline'!$C$4:$C$503,_calc!$E$114))=0,"",INDEX('Dealer pipeline'!$C$4:$C$503,_calc!$E$114))&amp;" – "&amp;IF(LEN(INDEX('Dealer pipeline'!$D$4:$D$503,_calc!$E$114))=0,"",INDEX('Dealer pipeline'!$D$4:$D$503,_calc!$E$114))&amp;" – "&amp;IF(LEN(INDEX('Dealer pipeline'!$A$4:$A$503,_calc!$E$114))=0,"",INDEX('Dealer pipeline'!$A$4:$A$503,_calc!$E$114)),"Warranty – "&amp;IF(LEN(INDEX('My equipment'!$A$4:$A$503,(_calc!$E$114-500)))=0,"",INDEX('My equipment'!$A$4:$A$503,(_calc!$E$114-500)))&amp;" – "&amp;IF(LEN(INDEX('My equipment'!$D$4:$D$503,(_calc!$E$114-500)))=0,"",INDEX('My equipment'!$D$4:$D$503,(_calc!$E$114-500)))))</f>
        <v/>
      </c>
      <c r="B112" s="54">
        <f>IF(_calc!$E$114="","",IF(_calc!$E$114&lt;=500,IF(ISNUMBER(INDEX('Dealer pipeline'!$M$4:$M$503,_calc!$E$114)),TEXT(INDEX('Dealer pipeline'!$M$4:$M$503,_calc!$E$114),"yyyy-mm-dd"),""),IF(ISNUMBER(INDEX('My equipment'!$M$4:$M$503,(_calc!$E$114-500))),TEXT(INDEX('My equipment'!$M$4:$M$503,(_calc!$E$114-500)),"yyyy-mm-dd"),"")))</f>
        <v/>
      </c>
      <c r="C112" s="54">
        <f>IF(_calc!$E$114="","",IF(_calc!$E$114&lt;=500,"Warranty","Warranty"))</f>
        <v/>
      </c>
      <c r="D112" s="54">
        <f>IF(_calc!$E$114="","",IF(_calc!$E$114&lt;=500,IF(ISNUMBER(INDEX('Dealer pipeline'!$H$4:$H$503,_calc!$E$114)),TEXT(INDEX('Dealer pipeline'!$H$4:$H$503,_calc!$E$114),"yyyy-mm-dd"),""),IF(ISNUMBER(INDEX('My equipment'!$H$4:$H$503,(_calc!$E$114-500))),TEXT(INDEX('My equipment'!$H$4:$H$503,(_calc!$E$114-500)),"yyyy-mm-dd"),"")))</f>
        <v/>
      </c>
      <c r="F112" s="54">
        <f>IF(_calc!$E$114="","",IF(_calc!$E$114&lt;=500,TRIM(IF(LEN(IF(LEN(INDEX('Dealer pipeline'!$A$4:$A$503,_calc!$E$114))=0,"",INDEX('Dealer pipeline'!$A$4:$A$503,_calc!$E$114)))=0,"","Customer: "&amp;IF(LEN(INDEX('Dealer pipeline'!$A$4:$A$503,_calc!$E$114))=0,"",INDEX('Dealer pipeline'!$A$4:$A$503,_calc!$E$114))&amp;". ")&amp;IF(LEN(IF(LEN(INDEX('Dealer pipeline'!$B$4:$B$503,_calc!$E$114))=0,"",INDEX('Dealer pipeline'!$B$4:$B$503,_calc!$E$114)))=0,"","Contact: "&amp;IF(LEN(INDEX('Dealer pipeline'!$B$4:$B$503,_calc!$E$114))=0,"",INDEX('Dealer pipeline'!$B$4:$B$503,_calc!$E$114))&amp;". ")&amp;IF(LEN(IF(LEN(INDEX('Dealer pipeline'!$D$4:$D$503,_calc!$E$114))=0,"",INDEX('Dealer pipeline'!$D$4:$D$503,_calc!$E$114)))=0,"","Serial: "&amp;IF(LEN(INDEX('Dealer pipeline'!$D$4:$D$503,_calc!$E$114))=0,"",INDEX('Dealer pipeline'!$D$4:$D$503,_calc!$E$114))&amp;". ")&amp;IF(LEN(IF(ISNUMBER(INDEX('Dealer pipeline'!$J$4:$J$503,_calc!$E$114)),TEXT(INDEX('Dealer pipeline'!$J$4:$J$503,_calc!$E$114),"yyyy-mm-dd"),""))=0,"","Parts end: "&amp;IF(ISNUMBER(INDEX('Dealer pipeline'!$J$4:$J$503,_calc!$E$114)),TEXT(INDEX('Dealer pipeline'!$J$4:$J$503,_calc!$E$114),"yyyy-mm-dd"),"")&amp;". ")&amp;IF(LEN(IF(ISNUMBER(INDEX('Dealer pipeline'!$L$4:$L$503,_calc!$E$114)),TEXT(INDEX('Dealer pipeline'!$L$4:$L$503,_calc!$E$114),"yyyy-mm-dd"),""))=0,"","Labor end: "&amp;IF(ISNUMBER(INDEX('Dealer pipeline'!$L$4:$L$503,_calc!$E$114)),TEXT(INDEX('Dealer pipeline'!$L$4:$L$503,_calc!$E$114),"yyyy-mm-dd"),"")&amp;". ")&amp;IF(LEN(IF(LEN(INDEX('Dealer pipeline'!$Q$4:$Q$503,_calc!$E$114))=0,"",INDEX('Dealer pipeline'!$Q$4:$Q$503,_calc!$E$114)))=0,"","Status: "&amp;IF(LEN(INDEX('Dealer pipeline'!$Q$4:$Q$503,_calc!$E$114))=0,"",INDEX('Dealer pipeline'!$Q$4:$Q$503,_calc!$E$114))&amp;". ")&amp;IF(LEN(IF(LEN(INDEX('Dealer pipeline'!$P$4:$P$503,_calc!$E$114))=0,"",INDEX('Dealer pipeline'!$P$4:$P$503,_calc!$E$114)))=0,"","Last touch: "&amp;IF(LEN(INDEX('Dealer pipeline'!$P$4:$P$503,_calc!$E$114))=0,"",INDEX('Dealer pipeline'!$P$4:$P$503,_calc!$E$114))&amp;". ")&amp;IF(LEN(IF(LEN(INDEX('Dealer pipeline'!$R$4:$R$503,_calc!$E$114))=0,"",INDEX('Dealer pipeline'!$R$4:$R$503,_calc!$E$114)))=0,"","Owner: "&amp;IF(LEN(INDEX('Dealer pipeline'!$R$4:$R$503,_calc!$E$114))=0,"",INDEX('Dealer pipeline'!$R$4:$R$503,_calc!$E$114))&amp;". ")&amp;IF(LEN(IF(LEN(INDEX('Dealer pipeline'!$S$4:$S$503,_calc!$E$114))=0,"",INDEX('Dealer pipeline'!$S$4:$S$503,_calc!$E$114)))=0,"","Backup: "&amp;IF(LEN(INDEX('Dealer pipeline'!$S$4:$S$503,_calc!$E$114))=0,"",INDEX('Dealer pipeline'!$S$4:$S$503,_calc!$E$114))&amp;". ")&amp;IF(LEN(IF(LEN(INDEX('Dealer pipeline'!$T$4:$T$503,_calc!$E$114))=0,"",INDEX('Dealer pipeline'!$T$4:$T$503,_calc!$E$114)))=0,"",IF(LEN(INDEX('Dealer pipeline'!$T$4:$T$503,_calc!$E$114))=0,"",INDEX('Dealer pipeline'!$T$4:$T$503,_calc!$E$114)))),TRIM(IF(LEN(IF(LEN(INDEX('My equipment'!$C$4:$C$503,(_calc!$E$114-500)))=0,"",INDEX('My equipment'!$C$4:$C$503,(_calc!$E$114-500))))=0,"","Model: "&amp;IF(LEN(INDEX('My equipment'!$C$4:$C$503,(_calc!$E$114-500)))=0,"",INDEX('My equipment'!$C$4:$C$503,(_calc!$E$114-500)))&amp;". ")&amp;IF(LEN(IF(LEN(INDEX('My equipment'!$D$4:$D$503,(_calc!$E$114-500)))=0,"",INDEX('My equipment'!$D$4:$D$503,(_calc!$E$114-500))))=0,"","Serial: "&amp;IF(LEN(INDEX('My equipment'!$D$4:$D$503,(_calc!$E$114-500)))=0,"",INDEX('My equipment'!$D$4:$D$503,(_calc!$E$114-500)))&amp;". ")&amp;IF(LEN(IF(ISNUMBER(INDEX('My equipment'!$J$4:$J$503,(_calc!$E$114-500))),TEXT(INDEX('My equipment'!$J$4:$J$503,(_calc!$E$114-500)),"yyyy-mm-dd"),""))=0,"","Parts end: "&amp;IF(ISNUMBER(INDEX('My equipment'!$J$4:$J$503,(_calc!$E$114-500))),TEXT(INDEX('My equipment'!$J$4:$J$503,(_calc!$E$114-500)),"yyyy-mm-dd"),"")&amp;". ")&amp;IF(LEN(IF(ISNUMBER(INDEX('My equipment'!$L$4:$L$503,(_calc!$E$114-500))),TEXT(INDEX('My equipment'!$L$4:$L$503,(_calc!$E$114-500)),"yyyy-mm-dd"),""))=0,"","Labor end: "&amp;IF(ISNUMBER(INDEX('My equipment'!$L$4:$L$503,(_calc!$E$114-500))),TEXT(INDEX('My equipment'!$L$4:$L$503,(_calc!$E$114-500)),"yyyy-mm-dd"),"")&amp;". ")&amp;IF(LEN(IF(ISNUMBER(INDEX('My equipment'!$P$4:$P$503,(_calc!$E$114-500))),TEXT(INDEX('My equipment'!$P$4:$P$503,(_calc!$E$114-500)),"yyyy-mm-dd"),""))=0,"","Check by: "&amp;IF(ISNUMBER(INDEX('My equipment'!$P$4:$P$503,(_calc!$E$114-500))),TEXT(INDEX('My equipment'!$P$4:$P$503,(_calc!$E$114-500)),"yyyy-mm-dd"),"")&amp;". ")&amp;IF(LEN(IF(LEN(INDEX('My equipment'!$Q$4:$Q$503,(_calc!$E$114-500)))=0,"",INDEX('My equipment'!$Q$4:$Q$503,(_calc!$E$114-500))))=0,"","Claim status: "&amp;IF(LEN(INDEX('My equipment'!$Q$4:$Q$503,(_calc!$E$114-500)))=0,"",INDEX('My equipment'!$Q$4:$Q$503,(_calc!$E$114-500)))&amp;". ")&amp;IF(LEN(IF(LEN(INDEX('My equipment'!$R$4:$R$503,(_calc!$E$114-500)))=0,"",INDEX('My equipment'!$R$4:$R$503,(_calc!$E$114-500))))=0,"","Claims contact: "&amp;IF(LEN(INDEX('My equipment'!$R$4:$R$503,(_calc!$E$114-500)))=0,"",INDEX('My equipment'!$R$4:$R$503,(_calc!$E$114-500)))&amp;". ")&amp;IF(LEN(IF(LEN(INDEX('My equipment'!$S$4:$S$503,(_calc!$E$114-500)))=0,"",INDEX('My equipment'!$S$4:$S$503,(_calc!$E$114-500))))=0,"","Claims email: "&amp;IF(LEN(INDEX('My equipment'!$S$4:$S$503,(_calc!$E$114-500)))=0,"",INDEX('My equipment'!$S$4:$S$503,(_calc!$E$114-500)))&amp;". ")&amp;IF(LEN(IF(LEN(INDEX('My equipment'!$U$4:$U$503,(_calc!$E$114-500)))=0,"",INDEX('My equipment'!$U$4:$U$503,(_calc!$E$114-500))))=0,"","Registered: "&amp;IF(LEN(INDEX('My equipment'!$U$4:$U$503,(_calc!$E$114-500)))=0,"",INDEX('My equipment'!$U$4:$U$503,(_calc!$E$114-500)))&amp;". ")&amp;IF(LEN(IF(LEN(INDEX('My equipment'!$V$4:$V$503,(_calc!$E$114-500)))=0,"",INDEX('My equipment'!$V$4:$V$503,(_calc!$E$114-500))))=0,"","Proof on file: "&amp;IF(LEN(INDEX('My equipment'!$V$4:$V$503,(_calc!$E$114-500)))=0,"",INDEX('My equipment'!$V$4:$V$503,(_calc!$E$114-500)))&amp;". ")&amp;IF(LEN(IF(LEN(INDEX('My equipment'!$W$4:$W$503,(_calc!$E$114-500)))=0,"",INDEX('My equipment'!$W$4:$W$503,(_calc!$E$114-500))))=0,"","Claim ref: "&amp;IF(LEN(INDEX('My equipment'!$W$4:$W$503,(_calc!$E$114-500)))=0,"",INDEX('My equipment'!$W$4:$W$503,(_calc!$E$114-500)))&amp;". ")&amp;IF(LEN(IF(LEN(INDEX('My equipment'!$Y$4:$Y$503,(_calc!$E$114-500)))=0,"",INDEX('My equipment'!$Y$4:$Y$503,(_calc!$E$114-500))))=0,"",IF(LEN(INDEX('My equipment'!$Y$4:$Y$503,(_calc!$E$114-500)))=0,"",INDEX('My equipment'!$Y$4:$Y$503,(_calc!$E$114-500)))))))</f>
        <v/>
      </c>
      <c r="G112" s="54">
        <f>IF(_calc!$E$114="","",IF(_calc!$E$114&lt;=500,"",IF(LEN(INDEX('My equipment'!$X$4:$X$503,(_calc!$E$114-500)))=0,"",INDEX('My equipment'!$X$4:$X$503,(_calc!$E$114-500)))))</f>
        <v/>
      </c>
      <c r="K112" s="54">
        <f>IF(_calc!$E$114="","",IF(_calc!$E$114&lt;=500,"",IF(LEN(INDEX('My equipment'!$T$4:$T$503,(_calc!$E$114-500)))=0,"",INDEX('My equipment'!$T$4:$T$503,(_calc!$E$114-500)))))</f>
        <v/>
      </c>
    </row>
    <row r="113">
      <c r="A113" s="54">
        <f>IF(_calc!$E$115="","",IF(_calc!$E$115&lt;=500,"Warranty – "&amp;IF(LEN(INDEX('Dealer pipeline'!$C$4:$C$503,_calc!$E$115))=0,"",INDEX('Dealer pipeline'!$C$4:$C$503,_calc!$E$115))&amp;" – "&amp;IF(LEN(INDEX('Dealer pipeline'!$D$4:$D$503,_calc!$E$115))=0,"",INDEX('Dealer pipeline'!$D$4:$D$503,_calc!$E$115))&amp;" – "&amp;IF(LEN(INDEX('Dealer pipeline'!$A$4:$A$503,_calc!$E$115))=0,"",INDEX('Dealer pipeline'!$A$4:$A$503,_calc!$E$115)),"Warranty – "&amp;IF(LEN(INDEX('My equipment'!$A$4:$A$503,(_calc!$E$115-500)))=0,"",INDEX('My equipment'!$A$4:$A$503,(_calc!$E$115-500)))&amp;" – "&amp;IF(LEN(INDEX('My equipment'!$D$4:$D$503,(_calc!$E$115-500)))=0,"",INDEX('My equipment'!$D$4:$D$503,(_calc!$E$115-500)))))</f>
        <v/>
      </c>
      <c r="B113" s="54">
        <f>IF(_calc!$E$115="","",IF(_calc!$E$115&lt;=500,IF(ISNUMBER(INDEX('Dealer pipeline'!$M$4:$M$503,_calc!$E$115)),TEXT(INDEX('Dealer pipeline'!$M$4:$M$503,_calc!$E$115),"yyyy-mm-dd"),""),IF(ISNUMBER(INDEX('My equipment'!$M$4:$M$503,(_calc!$E$115-500))),TEXT(INDEX('My equipment'!$M$4:$M$503,(_calc!$E$115-500)),"yyyy-mm-dd"),"")))</f>
        <v/>
      </c>
      <c r="C113" s="54">
        <f>IF(_calc!$E$115="","",IF(_calc!$E$115&lt;=500,"Warranty","Warranty"))</f>
        <v/>
      </c>
      <c r="D113" s="54">
        <f>IF(_calc!$E$115="","",IF(_calc!$E$115&lt;=500,IF(ISNUMBER(INDEX('Dealer pipeline'!$H$4:$H$503,_calc!$E$115)),TEXT(INDEX('Dealer pipeline'!$H$4:$H$503,_calc!$E$115),"yyyy-mm-dd"),""),IF(ISNUMBER(INDEX('My equipment'!$H$4:$H$503,(_calc!$E$115-500))),TEXT(INDEX('My equipment'!$H$4:$H$503,(_calc!$E$115-500)),"yyyy-mm-dd"),"")))</f>
        <v/>
      </c>
      <c r="F113" s="54">
        <f>IF(_calc!$E$115="","",IF(_calc!$E$115&lt;=500,TRIM(IF(LEN(IF(LEN(INDEX('Dealer pipeline'!$A$4:$A$503,_calc!$E$115))=0,"",INDEX('Dealer pipeline'!$A$4:$A$503,_calc!$E$115)))=0,"","Customer: "&amp;IF(LEN(INDEX('Dealer pipeline'!$A$4:$A$503,_calc!$E$115))=0,"",INDEX('Dealer pipeline'!$A$4:$A$503,_calc!$E$115))&amp;". ")&amp;IF(LEN(IF(LEN(INDEX('Dealer pipeline'!$B$4:$B$503,_calc!$E$115))=0,"",INDEX('Dealer pipeline'!$B$4:$B$503,_calc!$E$115)))=0,"","Contact: "&amp;IF(LEN(INDEX('Dealer pipeline'!$B$4:$B$503,_calc!$E$115))=0,"",INDEX('Dealer pipeline'!$B$4:$B$503,_calc!$E$115))&amp;". ")&amp;IF(LEN(IF(LEN(INDEX('Dealer pipeline'!$D$4:$D$503,_calc!$E$115))=0,"",INDEX('Dealer pipeline'!$D$4:$D$503,_calc!$E$115)))=0,"","Serial: "&amp;IF(LEN(INDEX('Dealer pipeline'!$D$4:$D$503,_calc!$E$115))=0,"",INDEX('Dealer pipeline'!$D$4:$D$503,_calc!$E$115))&amp;". ")&amp;IF(LEN(IF(ISNUMBER(INDEX('Dealer pipeline'!$J$4:$J$503,_calc!$E$115)),TEXT(INDEX('Dealer pipeline'!$J$4:$J$503,_calc!$E$115),"yyyy-mm-dd"),""))=0,"","Parts end: "&amp;IF(ISNUMBER(INDEX('Dealer pipeline'!$J$4:$J$503,_calc!$E$115)),TEXT(INDEX('Dealer pipeline'!$J$4:$J$503,_calc!$E$115),"yyyy-mm-dd"),"")&amp;". ")&amp;IF(LEN(IF(ISNUMBER(INDEX('Dealer pipeline'!$L$4:$L$503,_calc!$E$115)),TEXT(INDEX('Dealer pipeline'!$L$4:$L$503,_calc!$E$115),"yyyy-mm-dd"),""))=0,"","Labor end: "&amp;IF(ISNUMBER(INDEX('Dealer pipeline'!$L$4:$L$503,_calc!$E$115)),TEXT(INDEX('Dealer pipeline'!$L$4:$L$503,_calc!$E$115),"yyyy-mm-dd"),"")&amp;". ")&amp;IF(LEN(IF(LEN(INDEX('Dealer pipeline'!$Q$4:$Q$503,_calc!$E$115))=0,"",INDEX('Dealer pipeline'!$Q$4:$Q$503,_calc!$E$115)))=0,"","Status: "&amp;IF(LEN(INDEX('Dealer pipeline'!$Q$4:$Q$503,_calc!$E$115))=0,"",INDEX('Dealer pipeline'!$Q$4:$Q$503,_calc!$E$115))&amp;". ")&amp;IF(LEN(IF(LEN(INDEX('Dealer pipeline'!$P$4:$P$503,_calc!$E$115))=0,"",INDEX('Dealer pipeline'!$P$4:$P$503,_calc!$E$115)))=0,"","Last touch: "&amp;IF(LEN(INDEX('Dealer pipeline'!$P$4:$P$503,_calc!$E$115))=0,"",INDEX('Dealer pipeline'!$P$4:$P$503,_calc!$E$115))&amp;". ")&amp;IF(LEN(IF(LEN(INDEX('Dealer pipeline'!$R$4:$R$503,_calc!$E$115))=0,"",INDEX('Dealer pipeline'!$R$4:$R$503,_calc!$E$115)))=0,"","Owner: "&amp;IF(LEN(INDEX('Dealer pipeline'!$R$4:$R$503,_calc!$E$115))=0,"",INDEX('Dealer pipeline'!$R$4:$R$503,_calc!$E$115))&amp;". ")&amp;IF(LEN(IF(LEN(INDEX('Dealer pipeline'!$S$4:$S$503,_calc!$E$115))=0,"",INDEX('Dealer pipeline'!$S$4:$S$503,_calc!$E$115)))=0,"","Backup: "&amp;IF(LEN(INDEX('Dealer pipeline'!$S$4:$S$503,_calc!$E$115))=0,"",INDEX('Dealer pipeline'!$S$4:$S$503,_calc!$E$115))&amp;". ")&amp;IF(LEN(IF(LEN(INDEX('Dealer pipeline'!$T$4:$T$503,_calc!$E$115))=0,"",INDEX('Dealer pipeline'!$T$4:$T$503,_calc!$E$115)))=0,"",IF(LEN(INDEX('Dealer pipeline'!$T$4:$T$503,_calc!$E$115))=0,"",INDEX('Dealer pipeline'!$T$4:$T$503,_calc!$E$115)))),TRIM(IF(LEN(IF(LEN(INDEX('My equipment'!$C$4:$C$503,(_calc!$E$115-500)))=0,"",INDEX('My equipment'!$C$4:$C$503,(_calc!$E$115-500))))=0,"","Model: "&amp;IF(LEN(INDEX('My equipment'!$C$4:$C$503,(_calc!$E$115-500)))=0,"",INDEX('My equipment'!$C$4:$C$503,(_calc!$E$115-500)))&amp;". ")&amp;IF(LEN(IF(LEN(INDEX('My equipment'!$D$4:$D$503,(_calc!$E$115-500)))=0,"",INDEX('My equipment'!$D$4:$D$503,(_calc!$E$115-500))))=0,"","Serial: "&amp;IF(LEN(INDEX('My equipment'!$D$4:$D$503,(_calc!$E$115-500)))=0,"",INDEX('My equipment'!$D$4:$D$503,(_calc!$E$115-500)))&amp;". ")&amp;IF(LEN(IF(ISNUMBER(INDEX('My equipment'!$J$4:$J$503,(_calc!$E$115-500))),TEXT(INDEX('My equipment'!$J$4:$J$503,(_calc!$E$115-500)),"yyyy-mm-dd"),""))=0,"","Parts end: "&amp;IF(ISNUMBER(INDEX('My equipment'!$J$4:$J$503,(_calc!$E$115-500))),TEXT(INDEX('My equipment'!$J$4:$J$503,(_calc!$E$115-500)),"yyyy-mm-dd"),"")&amp;". ")&amp;IF(LEN(IF(ISNUMBER(INDEX('My equipment'!$L$4:$L$503,(_calc!$E$115-500))),TEXT(INDEX('My equipment'!$L$4:$L$503,(_calc!$E$115-500)),"yyyy-mm-dd"),""))=0,"","Labor end: "&amp;IF(ISNUMBER(INDEX('My equipment'!$L$4:$L$503,(_calc!$E$115-500))),TEXT(INDEX('My equipment'!$L$4:$L$503,(_calc!$E$115-500)),"yyyy-mm-dd"),"")&amp;". ")&amp;IF(LEN(IF(ISNUMBER(INDEX('My equipment'!$P$4:$P$503,(_calc!$E$115-500))),TEXT(INDEX('My equipment'!$P$4:$P$503,(_calc!$E$115-500)),"yyyy-mm-dd"),""))=0,"","Check by: "&amp;IF(ISNUMBER(INDEX('My equipment'!$P$4:$P$503,(_calc!$E$115-500))),TEXT(INDEX('My equipment'!$P$4:$P$503,(_calc!$E$115-500)),"yyyy-mm-dd"),"")&amp;". ")&amp;IF(LEN(IF(LEN(INDEX('My equipment'!$Q$4:$Q$503,(_calc!$E$115-500)))=0,"",INDEX('My equipment'!$Q$4:$Q$503,(_calc!$E$115-500))))=0,"","Claim status: "&amp;IF(LEN(INDEX('My equipment'!$Q$4:$Q$503,(_calc!$E$115-500)))=0,"",INDEX('My equipment'!$Q$4:$Q$503,(_calc!$E$115-500)))&amp;". ")&amp;IF(LEN(IF(LEN(INDEX('My equipment'!$R$4:$R$503,(_calc!$E$115-500)))=0,"",INDEX('My equipment'!$R$4:$R$503,(_calc!$E$115-500))))=0,"","Claims contact: "&amp;IF(LEN(INDEX('My equipment'!$R$4:$R$503,(_calc!$E$115-500)))=0,"",INDEX('My equipment'!$R$4:$R$503,(_calc!$E$115-500)))&amp;". ")&amp;IF(LEN(IF(LEN(INDEX('My equipment'!$S$4:$S$503,(_calc!$E$115-500)))=0,"",INDEX('My equipment'!$S$4:$S$503,(_calc!$E$115-500))))=0,"","Claims email: "&amp;IF(LEN(INDEX('My equipment'!$S$4:$S$503,(_calc!$E$115-500)))=0,"",INDEX('My equipment'!$S$4:$S$503,(_calc!$E$115-500)))&amp;". ")&amp;IF(LEN(IF(LEN(INDEX('My equipment'!$U$4:$U$503,(_calc!$E$115-500)))=0,"",INDEX('My equipment'!$U$4:$U$503,(_calc!$E$115-500))))=0,"","Registered: "&amp;IF(LEN(INDEX('My equipment'!$U$4:$U$503,(_calc!$E$115-500)))=0,"",INDEX('My equipment'!$U$4:$U$503,(_calc!$E$115-500)))&amp;". ")&amp;IF(LEN(IF(LEN(INDEX('My equipment'!$V$4:$V$503,(_calc!$E$115-500)))=0,"",INDEX('My equipment'!$V$4:$V$503,(_calc!$E$115-500))))=0,"","Proof on file: "&amp;IF(LEN(INDEX('My equipment'!$V$4:$V$503,(_calc!$E$115-500)))=0,"",INDEX('My equipment'!$V$4:$V$503,(_calc!$E$115-500)))&amp;". ")&amp;IF(LEN(IF(LEN(INDEX('My equipment'!$W$4:$W$503,(_calc!$E$115-500)))=0,"",INDEX('My equipment'!$W$4:$W$503,(_calc!$E$115-500))))=0,"","Claim ref: "&amp;IF(LEN(INDEX('My equipment'!$W$4:$W$503,(_calc!$E$115-500)))=0,"",INDEX('My equipment'!$W$4:$W$503,(_calc!$E$115-500)))&amp;". ")&amp;IF(LEN(IF(LEN(INDEX('My equipment'!$Y$4:$Y$503,(_calc!$E$115-500)))=0,"",INDEX('My equipment'!$Y$4:$Y$503,(_calc!$E$115-500))))=0,"",IF(LEN(INDEX('My equipment'!$Y$4:$Y$503,(_calc!$E$115-500)))=0,"",INDEX('My equipment'!$Y$4:$Y$503,(_calc!$E$115-500)))))))</f>
        <v/>
      </c>
      <c r="G113" s="54">
        <f>IF(_calc!$E$115="","",IF(_calc!$E$115&lt;=500,"",IF(LEN(INDEX('My equipment'!$X$4:$X$503,(_calc!$E$115-500)))=0,"",INDEX('My equipment'!$X$4:$X$503,(_calc!$E$115-500)))))</f>
        <v/>
      </c>
      <c r="K113" s="54">
        <f>IF(_calc!$E$115="","",IF(_calc!$E$115&lt;=500,"",IF(LEN(INDEX('My equipment'!$T$4:$T$503,(_calc!$E$115-500)))=0,"",INDEX('My equipment'!$T$4:$T$503,(_calc!$E$115-500)))))</f>
        <v/>
      </c>
    </row>
    <row r="114">
      <c r="A114" s="54">
        <f>IF(_calc!$E$116="","",IF(_calc!$E$116&lt;=500,"Warranty – "&amp;IF(LEN(INDEX('Dealer pipeline'!$C$4:$C$503,_calc!$E$116))=0,"",INDEX('Dealer pipeline'!$C$4:$C$503,_calc!$E$116))&amp;" – "&amp;IF(LEN(INDEX('Dealer pipeline'!$D$4:$D$503,_calc!$E$116))=0,"",INDEX('Dealer pipeline'!$D$4:$D$503,_calc!$E$116))&amp;" – "&amp;IF(LEN(INDEX('Dealer pipeline'!$A$4:$A$503,_calc!$E$116))=0,"",INDEX('Dealer pipeline'!$A$4:$A$503,_calc!$E$116)),"Warranty – "&amp;IF(LEN(INDEX('My equipment'!$A$4:$A$503,(_calc!$E$116-500)))=0,"",INDEX('My equipment'!$A$4:$A$503,(_calc!$E$116-500)))&amp;" – "&amp;IF(LEN(INDEX('My equipment'!$D$4:$D$503,(_calc!$E$116-500)))=0,"",INDEX('My equipment'!$D$4:$D$503,(_calc!$E$116-500)))))</f>
        <v/>
      </c>
      <c r="B114" s="54">
        <f>IF(_calc!$E$116="","",IF(_calc!$E$116&lt;=500,IF(ISNUMBER(INDEX('Dealer pipeline'!$M$4:$M$503,_calc!$E$116)),TEXT(INDEX('Dealer pipeline'!$M$4:$M$503,_calc!$E$116),"yyyy-mm-dd"),""),IF(ISNUMBER(INDEX('My equipment'!$M$4:$M$503,(_calc!$E$116-500))),TEXT(INDEX('My equipment'!$M$4:$M$503,(_calc!$E$116-500)),"yyyy-mm-dd"),"")))</f>
        <v/>
      </c>
      <c r="C114" s="54">
        <f>IF(_calc!$E$116="","",IF(_calc!$E$116&lt;=500,"Warranty","Warranty"))</f>
        <v/>
      </c>
      <c r="D114" s="54">
        <f>IF(_calc!$E$116="","",IF(_calc!$E$116&lt;=500,IF(ISNUMBER(INDEX('Dealer pipeline'!$H$4:$H$503,_calc!$E$116)),TEXT(INDEX('Dealer pipeline'!$H$4:$H$503,_calc!$E$116),"yyyy-mm-dd"),""),IF(ISNUMBER(INDEX('My equipment'!$H$4:$H$503,(_calc!$E$116-500))),TEXT(INDEX('My equipment'!$H$4:$H$503,(_calc!$E$116-500)),"yyyy-mm-dd"),"")))</f>
        <v/>
      </c>
      <c r="F114" s="54">
        <f>IF(_calc!$E$116="","",IF(_calc!$E$116&lt;=500,TRIM(IF(LEN(IF(LEN(INDEX('Dealer pipeline'!$A$4:$A$503,_calc!$E$116))=0,"",INDEX('Dealer pipeline'!$A$4:$A$503,_calc!$E$116)))=0,"","Customer: "&amp;IF(LEN(INDEX('Dealer pipeline'!$A$4:$A$503,_calc!$E$116))=0,"",INDEX('Dealer pipeline'!$A$4:$A$503,_calc!$E$116))&amp;". ")&amp;IF(LEN(IF(LEN(INDEX('Dealer pipeline'!$B$4:$B$503,_calc!$E$116))=0,"",INDEX('Dealer pipeline'!$B$4:$B$503,_calc!$E$116)))=0,"","Contact: "&amp;IF(LEN(INDEX('Dealer pipeline'!$B$4:$B$503,_calc!$E$116))=0,"",INDEX('Dealer pipeline'!$B$4:$B$503,_calc!$E$116))&amp;". ")&amp;IF(LEN(IF(LEN(INDEX('Dealer pipeline'!$D$4:$D$503,_calc!$E$116))=0,"",INDEX('Dealer pipeline'!$D$4:$D$503,_calc!$E$116)))=0,"","Serial: "&amp;IF(LEN(INDEX('Dealer pipeline'!$D$4:$D$503,_calc!$E$116))=0,"",INDEX('Dealer pipeline'!$D$4:$D$503,_calc!$E$116))&amp;". ")&amp;IF(LEN(IF(ISNUMBER(INDEX('Dealer pipeline'!$J$4:$J$503,_calc!$E$116)),TEXT(INDEX('Dealer pipeline'!$J$4:$J$503,_calc!$E$116),"yyyy-mm-dd"),""))=0,"","Parts end: "&amp;IF(ISNUMBER(INDEX('Dealer pipeline'!$J$4:$J$503,_calc!$E$116)),TEXT(INDEX('Dealer pipeline'!$J$4:$J$503,_calc!$E$116),"yyyy-mm-dd"),"")&amp;". ")&amp;IF(LEN(IF(ISNUMBER(INDEX('Dealer pipeline'!$L$4:$L$503,_calc!$E$116)),TEXT(INDEX('Dealer pipeline'!$L$4:$L$503,_calc!$E$116),"yyyy-mm-dd"),""))=0,"","Labor end: "&amp;IF(ISNUMBER(INDEX('Dealer pipeline'!$L$4:$L$503,_calc!$E$116)),TEXT(INDEX('Dealer pipeline'!$L$4:$L$503,_calc!$E$116),"yyyy-mm-dd"),"")&amp;". ")&amp;IF(LEN(IF(LEN(INDEX('Dealer pipeline'!$Q$4:$Q$503,_calc!$E$116))=0,"",INDEX('Dealer pipeline'!$Q$4:$Q$503,_calc!$E$116)))=0,"","Status: "&amp;IF(LEN(INDEX('Dealer pipeline'!$Q$4:$Q$503,_calc!$E$116))=0,"",INDEX('Dealer pipeline'!$Q$4:$Q$503,_calc!$E$116))&amp;". ")&amp;IF(LEN(IF(LEN(INDEX('Dealer pipeline'!$P$4:$P$503,_calc!$E$116))=0,"",INDEX('Dealer pipeline'!$P$4:$P$503,_calc!$E$116)))=0,"","Last touch: "&amp;IF(LEN(INDEX('Dealer pipeline'!$P$4:$P$503,_calc!$E$116))=0,"",INDEX('Dealer pipeline'!$P$4:$P$503,_calc!$E$116))&amp;". ")&amp;IF(LEN(IF(LEN(INDEX('Dealer pipeline'!$R$4:$R$503,_calc!$E$116))=0,"",INDEX('Dealer pipeline'!$R$4:$R$503,_calc!$E$116)))=0,"","Owner: "&amp;IF(LEN(INDEX('Dealer pipeline'!$R$4:$R$503,_calc!$E$116))=0,"",INDEX('Dealer pipeline'!$R$4:$R$503,_calc!$E$116))&amp;". ")&amp;IF(LEN(IF(LEN(INDEX('Dealer pipeline'!$S$4:$S$503,_calc!$E$116))=0,"",INDEX('Dealer pipeline'!$S$4:$S$503,_calc!$E$116)))=0,"","Backup: "&amp;IF(LEN(INDEX('Dealer pipeline'!$S$4:$S$503,_calc!$E$116))=0,"",INDEX('Dealer pipeline'!$S$4:$S$503,_calc!$E$116))&amp;". ")&amp;IF(LEN(IF(LEN(INDEX('Dealer pipeline'!$T$4:$T$503,_calc!$E$116))=0,"",INDEX('Dealer pipeline'!$T$4:$T$503,_calc!$E$116)))=0,"",IF(LEN(INDEX('Dealer pipeline'!$T$4:$T$503,_calc!$E$116))=0,"",INDEX('Dealer pipeline'!$T$4:$T$503,_calc!$E$116)))),TRIM(IF(LEN(IF(LEN(INDEX('My equipment'!$C$4:$C$503,(_calc!$E$116-500)))=0,"",INDEX('My equipment'!$C$4:$C$503,(_calc!$E$116-500))))=0,"","Model: "&amp;IF(LEN(INDEX('My equipment'!$C$4:$C$503,(_calc!$E$116-500)))=0,"",INDEX('My equipment'!$C$4:$C$503,(_calc!$E$116-500)))&amp;". ")&amp;IF(LEN(IF(LEN(INDEX('My equipment'!$D$4:$D$503,(_calc!$E$116-500)))=0,"",INDEX('My equipment'!$D$4:$D$503,(_calc!$E$116-500))))=0,"","Serial: "&amp;IF(LEN(INDEX('My equipment'!$D$4:$D$503,(_calc!$E$116-500)))=0,"",INDEX('My equipment'!$D$4:$D$503,(_calc!$E$116-500)))&amp;". ")&amp;IF(LEN(IF(ISNUMBER(INDEX('My equipment'!$J$4:$J$503,(_calc!$E$116-500))),TEXT(INDEX('My equipment'!$J$4:$J$503,(_calc!$E$116-500)),"yyyy-mm-dd"),""))=0,"","Parts end: "&amp;IF(ISNUMBER(INDEX('My equipment'!$J$4:$J$503,(_calc!$E$116-500))),TEXT(INDEX('My equipment'!$J$4:$J$503,(_calc!$E$116-500)),"yyyy-mm-dd"),"")&amp;". ")&amp;IF(LEN(IF(ISNUMBER(INDEX('My equipment'!$L$4:$L$503,(_calc!$E$116-500))),TEXT(INDEX('My equipment'!$L$4:$L$503,(_calc!$E$116-500)),"yyyy-mm-dd"),""))=0,"","Labor end: "&amp;IF(ISNUMBER(INDEX('My equipment'!$L$4:$L$503,(_calc!$E$116-500))),TEXT(INDEX('My equipment'!$L$4:$L$503,(_calc!$E$116-500)),"yyyy-mm-dd"),"")&amp;". ")&amp;IF(LEN(IF(ISNUMBER(INDEX('My equipment'!$P$4:$P$503,(_calc!$E$116-500))),TEXT(INDEX('My equipment'!$P$4:$P$503,(_calc!$E$116-500)),"yyyy-mm-dd"),""))=0,"","Check by: "&amp;IF(ISNUMBER(INDEX('My equipment'!$P$4:$P$503,(_calc!$E$116-500))),TEXT(INDEX('My equipment'!$P$4:$P$503,(_calc!$E$116-500)),"yyyy-mm-dd"),"")&amp;". ")&amp;IF(LEN(IF(LEN(INDEX('My equipment'!$Q$4:$Q$503,(_calc!$E$116-500)))=0,"",INDEX('My equipment'!$Q$4:$Q$503,(_calc!$E$116-500))))=0,"","Claim status: "&amp;IF(LEN(INDEX('My equipment'!$Q$4:$Q$503,(_calc!$E$116-500)))=0,"",INDEX('My equipment'!$Q$4:$Q$503,(_calc!$E$116-500)))&amp;". ")&amp;IF(LEN(IF(LEN(INDEX('My equipment'!$R$4:$R$503,(_calc!$E$116-500)))=0,"",INDEX('My equipment'!$R$4:$R$503,(_calc!$E$116-500))))=0,"","Claims contact: "&amp;IF(LEN(INDEX('My equipment'!$R$4:$R$503,(_calc!$E$116-500)))=0,"",INDEX('My equipment'!$R$4:$R$503,(_calc!$E$116-500)))&amp;". ")&amp;IF(LEN(IF(LEN(INDEX('My equipment'!$S$4:$S$503,(_calc!$E$116-500)))=0,"",INDEX('My equipment'!$S$4:$S$503,(_calc!$E$116-500))))=0,"","Claims email: "&amp;IF(LEN(INDEX('My equipment'!$S$4:$S$503,(_calc!$E$116-500)))=0,"",INDEX('My equipment'!$S$4:$S$503,(_calc!$E$116-500)))&amp;". ")&amp;IF(LEN(IF(LEN(INDEX('My equipment'!$U$4:$U$503,(_calc!$E$116-500)))=0,"",INDEX('My equipment'!$U$4:$U$503,(_calc!$E$116-500))))=0,"","Registered: "&amp;IF(LEN(INDEX('My equipment'!$U$4:$U$503,(_calc!$E$116-500)))=0,"",INDEX('My equipment'!$U$4:$U$503,(_calc!$E$116-500)))&amp;". ")&amp;IF(LEN(IF(LEN(INDEX('My equipment'!$V$4:$V$503,(_calc!$E$116-500)))=0,"",INDEX('My equipment'!$V$4:$V$503,(_calc!$E$116-500))))=0,"","Proof on file: "&amp;IF(LEN(INDEX('My equipment'!$V$4:$V$503,(_calc!$E$116-500)))=0,"",INDEX('My equipment'!$V$4:$V$503,(_calc!$E$116-500)))&amp;". ")&amp;IF(LEN(IF(LEN(INDEX('My equipment'!$W$4:$W$503,(_calc!$E$116-500)))=0,"",INDEX('My equipment'!$W$4:$W$503,(_calc!$E$116-500))))=0,"","Claim ref: "&amp;IF(LEN(INDEX('My equipment'!$W$4:$W$503,(_calc!$E$116-500)))=0,"",INDEX('My equipment'!$W$4:$W$503,(_calc!$E$116-500)))&amp;". ")&amp;IF(LEN(IF(LEN(INDEX('My equipment'!$Y$4:$Y$503,(_calc!$E$116-500)))=0,"",INDEX('My equipment'!$Y$4:$Y$503,(_calc!$E$116-500))))=0,"",IF(LEN(INDEX('My equipment'!$Y$4:$Y$503,(_calc!$E$116-500)))=0,"",INDEX('My equipment'!$Y$4:$Y$503,(_calc!$E$116-500)))))))</f>
        <v/>
      </c>
      <c r="G114" s="54">
        <f>IF(_calc!$E$116="","",IF(_calc!$E$116&lt;=500,"",IF(LEN(INDEX('My equipment'!$X$4:$X$503,(_calc!$E$116-500)))=0,"",INDEX('My equipment'!$X$4:$X$503,(_calc!$E$116-500)))))</f>
        <v/>
      </c>
      <c r="K114" s="54">
        <f>IF(_calc!$E$116="","",IF(_calc!$E$116&lt;=500,"",IF(LEN(INDEX('My equipment'!$T$4:$T$503,(_calc!$E$116-500)))=0,"",INDEX('My equipment'!$T$4:$T$503,(_calc!$E$116-500)))))</f>
        <v/>
      </c>
    </row>
    <row r="115">
      <c r="A115" s="54">
        <f>IF(_calc!$E$117="","",IF(_calc!$E$117&lt;=500,"Warranty – "&amp;IF(LEN(INDEX('Dealer pipeline'!$C$4:$C$503,_calc!$E$117))=0,"",INDEX('Dealer pipeline'!$C$4:$C$503,_calc!$E$117))&amp;" – "&amp;IF(LEN(INDEX('Dealer pipeline'!$D$4:$D$503,_calc!$E$117))=0,"",INDEX('Dealer pipeline'!$D$4:$D$503,_calc!$E$117))&amp;" – "&amp;IF(LEN(INDEX('Dealer pipeline'!$A$4:$A$503,_calc!$E$117))=0,"",INDEX('Dealer pipeline'!$A$4:$A$503,_calc!$E$117)),"Warranty – "&amp;IF(LEN(INDEX('My equipment'!$A$4:$A$503,(_calc!$E$117-500)))=0,"",INDEX('My equipment'!$A$4:$A$503,(_calc!$E$117-500)))&amp;" – "&amp;IF(LEN(INDEX('My equipment'!$D$4:$D$503,(_calc!$E$117-500)))=0,"",INDEX('My equipment'!$D$4:$D$503,(_calc!$E$117-500)))))</f>
        <v/>
      </c>
      <c r="B115" s="54">
        <f>IF(_calc!$E$117="","",IF(_calc!$E$117&lt;=500,IF(ISNUMBER(INDEX('Dealer pipeline'!$M$4:$M$503,_calc!$E$117)),TEXT(INDEX('Dealer pipeline'!$M$4:$M$503,_calc!$E$117),"yyyy-mm-dd"),""),IF(ISNUMBER(INDEX('My equipment'!$M$4:$M$503,(_calc!$E$117-500))),TEXT(INDEX('My equipment'!$M$4:$M$503,(_calc!$E$117-500)),"yyyy-mm-dd"),"")))</f>
        <v/>
      </c>
      <c r="C115" s="54">
        <f>IF(_calc!$E$117="","",IF(_calc!$E$117&lt;=500,"Warranty","Warranty"))</f>
        <v/>
      </c>
      <c r="D115" s="54">
        <f>IF(_calc!$E$117="","",IF(_calc!$E$117&lt;=500,IF(ISNUMBER(INDEX('Dealer pipeline'!$H$4:$H$503,_calc!$E$117)),TEXT(INDEX('Dealer pipeline'!$H$4:$H$503,_calc!$E$117),"yyyy-mm-dd"),""),IF(ISNUMBER(INDEX('My equipment'!$H$4:$H$503,(_calc!$E$117-500))),TEXT(INDEX('My equipment'!$H$4:$H$503,(_calc!$E$117-500)),"yyyy-mm-dd"),"")))</f>
        <v/>
      </c>
      <c r="F115" s="54">
        <f>IF(_calc!$E$117="","",IF(_calc!$E$117&lt;=500,TRIM(IF(LEN(IF(LEN(INDEX('Dealer pipeline'!$A$4:$A$503,_calc!$E$117))=0,"",INDEX('Dealer pipeline'!$A$4:$A$503,_calc!$E$117)))=0,"","Customer: "&amp;IF(LEN(INDEX('Dealer pipeline'!$A$4:$A$503,_calc!$E$117))=0,"",INDEX('Dealer pipeline'!$A$4:$A$503,_calc!$E$117))&amp;". ")&amp;IF(LEN(IF(LEN(INDEX('Dealer pipeline'!$B$4:$B$503,_calc!$E$117))=0,"",INDEX('Dealer pipeline'!$B$4:$B$503,_calc!$E$117)))=0,"","Contact: "&amp;IF(LEN(INDEX('Dealer pipeline'!$B$4:$B$503,_calc!$E$117))=0,"",INDEX('Dealer pipeline'!$B$4:$B$503,_calc!$E$117))&amp;". ")&amp;IF(LEN(IF(LEN(INDEX('Dealer pipeline'!$D$4:$D$503,_calc!$E$117))=0,"",INDEX('Dealer pipeline'!$D$4:$D$503,_calc!$E$117)))=0,"","Serial: "&amp;IF(LEN(INDEX('Dealer pipeline'!$D$4:$D$503,_calc!$E$117))=0,"",INDEX('Dealer pipeline'!$D$4:$D$503,_calc!$E$117))&amp;". ")&amp;IF(LEN(IF(ISNUMBER(INDEX('Dealer pipeline'!$J$4:$J$503,_calc!$E$117)),TEXT(INDEX('Dealer pipeline'!$J$4:$J$503,_calc!$E$117),"yyyy-mm-dd"),""))=0,"","Parts end: "&amp;IF(ISNUMBER(INDEX('Dealer pipeline'!$J$4:$J$503,_calc!$E$117)),TEXT(INDEX('Dealer pipeline'!$J$4:$J$503,_calc!$E$117),"yyyy-mm-dd"),"")&amp;". ")&amp;IF(LEN(IF(ISNUMBER(INDEX('Dealer pipeline'!$L$4:$L$503,_calc!$E$117)),TEXT(INDEX('Dealer pipeline'!$L$4:$L$503,_calc!$E$117),"yyyy-mm-dd"),""))=0,"","Labor end: "&amp;IF(ISNUMBER(INDEX('Dealer pipeline'!$L$4:$L$503,_calc!$E$117)),TEXT(INDEX('Dealer pipeline'!$L$4:$L$503,_calc!$E$117),"yyyy-mm-dd"),"")&amp;". ")&amp;IF(LEN(IF(LEN(INDEX('Dealer pipeline'!$Q$4:$Q$503,_calc!$E$117))=0,"",INDEX('Dealer pipeline'!$Q$4:$Q$503,_calc!$E$117)))=0,"","Status: "&amp;IF(LEN(INDEX('Dealer pipeline'!$Q$4:$Q$503,_calc!$E$117))=0,"",INDEX('Dealer pipeline'!$Q$4:$Q$503,_calc!$E$117))&amp;". ")&amp;IF(LEN(IF(LEN(INDEX('Dealer pipeline'!$P$4:$P$503,_calc!$E$117))=0,"",INDEX('Dealer pipeline'!$P$4:$P$503,_calc!$E$117)))=0,"","Last touch: "&amp;IF(LEN(INDEX('Dealer pipeline'!$P$4:$P$503,_calc!$E$117))=0,"",INDEX('Dealer pipeline'!$P$4:$P$503,_calc!$E$117))&amp;". ")&amp;IF(LEN(IF(LEN(INDEX('Dealer pipeline'!$R$4:$R$503,_calc!$E$117))=0,"",INDEX('Dealer pipeline'!$R$4:$R$503,_calc!$E$117)))=0,"","Owner: "&amp;IF(LEN(INDEX('Dealer pipeline'!$R$4:$R$503,_calc!$E$117))=0,"",INDEX('Dealer pipeline'!$R$4:$R$503,_calc!$E$117))&amp;". ")&amp;IF(LEN(IF(LEN(INDEX('Dealer pipeline'!$S$4:$S$503,_calc!$E$117))=0,"",INDEX('Dealer pipeline'!$S$4:$S$503,_calc!$E$117)))=0,"","Backup: "&amp;IF(LEN(INDEX('Dealer pipeline'!$S$4:$S$503,_calc!$E$117))=0,"",INDEX('Dealer pipeline'!$S$4:$S$503,_calc!$E$117))&amp;". ")&amp;IF(LEN(IF(LEN(INDEX('Dealer pipeline'!$T$4:$T$503,_calc!$E$117))=0,"",INDEX('Dealer pipeline'!$T$4:$T$503,_calc!$E$117)))=0,"",IF(LEN(INDEX('Dealer pipeline'!$T$4:$T$503,_calc!$E$117))=0,"",INDEX('Dealer pipeline'!$T$4:$T$503,_calc!$E$117)))),TRIM(IF(LEN(IF(LEN(INDEX('My equipment'!$C$4:$C$503,(_calc!$E$117-500)))=0,"",INDEX('My equipment'!$C$4:$C$503,(_calc!$E$117-500))))=0,"","Model: "&amp;IF(LEN(INDEX('My equipment'!$C$4:$C$503,(_calc!$E$117-500)))=0,"",INDEX('My equipment'!$C$4:$C$503,(_calc!$E$117-500)))&amp;". ")&amp;IF(LEN(IF(LEN(INDEX('My equipment'!$D$4:$D$503,(_calc!$E$117-500)))=0,"",INDEX('My equipment'!$D$4:$D$503,(_calc!$E$117-500))))=0,"","Serial: "&amp;IF(LEN(INDEX('My equipment'!$D$4:$D$503,(_calc!$E$117-500)))=0,"",INDEX('My equipment'!$D$4:$D$503,(_calc!$E$117-500)))&amp;". ")&amp;IF(LEN(IF(ISNUMBER(INDEX('My equipment'!$J$4:$J$503,(_calc!$E$117-500))),TEXT(INDEX('My equipment'!$J$4:$J$503,(_calc!$E$117-500)),"yyyy-mm-dd"),""))=0,"","Parts end: "&amp;IF(ISNUMBER(INDEX('My equipment'!$J$4:$J$503,(_calc!$E$117-500))),TEXT(INDEX('My equipment'!$J$4:$J$503,(_calc!$E$117-500)),"yyyy-mm-dd"),"")&amp;". ")&amp;IF(LEN(IF(ISNUMBER(INDEX('My equipment'!$L$4:$L$503,(_calc!$E$117-500))),TEXT(INDEX('My equipment'!$L$4:$L$503,(_calc!$E$117-500)),"yyyy-mm-dd"),""))=0,"","Labor end: "&amp;IF(ISNUMBER(INDEX('My equipment'!$L$4:$L$503,(_calc!$E$117-500))),TEXT(INDEX('My equipment'!$L$4:$L$503,(_calc!$E$117-500)),"yyyy-mm-dd"),"")&amp;". ")&amp;IF(LEN(IF(ISNUMBER(INDEX('My equipment'!$P$4:$P$503,(_calc!$E$117-500))),TEXT(INDEX('My equipment'!$P$4:$P$503,(_calc!$E$117-500)),"yyyy-mm-dd"),""))=0,"","Check by: "&amp;IF(ISNUMBER(INDEX('My equipment'!$P$4:$P$503,(_calc!$E$117-500))),TEXT(INDEX('My equipment'!$P$4:$P$503,(_calc!$E$117-500)),"yyyy-mm-dd"),"")&amp;". ")&amp;IF(LEN(IF(LEN(INDEX('My equipment'!$Q$4:$Q$503,(_calc!$E$117-500)))=0,"",INDEX('My equipment'!$Q$4:$Q$503,(_calc!$E$117-500))))=0,"","Claim status: "&amp;IF(LEN(INDEX('My equipment'!$Q$4:$Q$503,(_calc!$E$117-500)))=0,"",INDEX('My equipment'!$Q$4:$Q$503,(_calc!$E$117-500)))&amp;". ")&amp;IF(LEN(IF(LEN(INDEX('My equipment'!$R$4:$R$503,(_calc!$E$117-500)))=0,"",INDEX('My equipment'!$R$4:$R$503,(_calc!$E$117-500))))=0,"","Claims contact: "&amp;IF(LEN(INDEX('My equipment'!$R$4:$R$503,(_calc!$E$117-500)))=0,"",INDEX('My equipment'!$R$4:$R$503,(_calc!$E$117-500)))&amp;". ")&amp;IF(LEN(IF(LEN(INDEX('My equipment'!$S$4:$S$503,(_calc!$E$117-500)))=0,"",INDEX('My equipment'!$S$4:$S$503,(_calc!$E$117-500))))=0,"","Claims email: "&amp;IF(LEN(INDEX('My equipment'!$S$4:$S$503,(_calc!$E$117-500)))=0,"",INDEX('My equipment'!$S$4:$S$503,(_calc!$E$117-500)))&amp;". ")&amp;IF(LEN(IF(LEN(INDEX('My equipment'!$U$4:$U$503,(_calc!$E$117-500)))=0,"",INDEX('My equipment'!$U$4:$U$503,(_calc!$E$117-500))))=0,"","Registered: "&amp;IF(LEN(INDEX('My equipment'!$U$4:$U$503,(_calc!$E$117-500)))=0,"",INDEX('My equipment'!$U$4:$U$503,(_calc!$E$117-500)))&amp;". ")&amp;IF(LEN(IF(LEN(INDEX('My equipment'!$V$4:$V$503,(_calc!$E$117-500)))=0,"",INDEX('My equipment'!$V$4:$V$503,(_calc!$E$117-500))))=0,"","Proof on file: "&amp;IF(LEN(INDEX('My equipment'!$V$4:$V$503,(_calc!$E$117-500)))=0,"",INDEX('My equipment'!$V$4:$V$503,(_calc!$E$117-500)))&amp;". ")&amp;IF(LEN(IF(LEN(INDEX('My equipment'!$W$4:$W$503,(_calc!$E$117-500)))=0,"",INDEX('My equipment'!$W$4:$W$503,(_calc!$E$117-500))))=0,"","Claim ref: "&amp;IF(LEN(INDEX('My equipment'!$W$4:$W$503,(_calc!$E$117-500)))=0,"",INDEX('My equipment'!$W$4:$W$503,(_calc!$E$117-500)))&amp;". ")&amp;IF(LEN(IF(LEN(INDEX('My equipment'!$Y$4:$Y$503,(_calc!$E$117-500)))=0,"",INDEX('My equipment'!$Y$4:$Y$503,(_calc!$E$117-500))))=0,"",IF(LEN(INDEX('My equipment'!$Y$4:$Y$503,(_calc!$E$117-500)))=0,"",INDEX('My equipment'!$Y$4:$Y$503,(_calc!$E$117-500)))))))</f>
        <v/>
      </c>
      <c r="G115" s="54">
        <f>IF(_calc!$E$117="","",IF(_calc!$E$117&lt;=500,"",IF(LEN(INDEX('My equipment'!$X$4:$X$503,(_calc!$E$117-500)))=0,"",INDEX('My equipment'!$X$4:$X$503,(_calc!$E$117-500)))))</f>
        <v/>
      </c>
      <c r="K115" s="54">
        <f>IF(_calc!$E$117="","",IF(_calc!$E$117&lt;=500,"",IF(LEN(INDEX('My equipment'!$T$4:$T$503,(_calc!$E$117-500)))=0,"",INDEX('My equipment'!$T$4:$T$503,(_calc!$E$117-500)))))</f>
        <v/>
      </c>
    </row>
    <row r="116">
      <c r="A116" s="54">
        <f>IF(_calc!$E$118="","",IF(_calc!$E$118&lt;=500,"Warranty – "&amp;IF(LEN(INDEX('Dealer pipeline'!$C$4:$C$503,_calc!$E$118))=0,"",INDEX('Dealer pipeline'!$C$4:$C$503,_calc!$E$118))&amp;" – "&amp;IF(LEN(INDEX('Dealer pipeline'!$D$4:$D$503,_calc!$E$118))=0,"",INDEX('Dealer pipeline'!$D$4:$D$503,_calc!$E$118))&amp;" – "&amp;IF(LEN(INDEX('Dealer pipeline'!$A$4:$A$503,_calc!$E$118))=0,"",INDEX('Dealer pipeline'!$A$4:$A$503,_calc!$E$118)),"Warranty – "&amp;IF(LEN(INDEX('My equipment'!$A$4:$A$503,(_calc!$E$118-500)))=0,"",INDEX('My equipment'!$A$4:$A$503,(_calc!$E$118-500)))&amp;" – "&amp;IF(LEN(INDEX('My equipment'!$D$4:$D$503,(_calc!$E$118-500)))=0,"",INDEX('My equipment'!$D$4:$D$503,(_calc!$E$118-500)))))</f>
        <v/>
      </c>
      <c r="B116" s="54">
        <f>IF(_calc!$E$118="","",IF(_calc!$E$118&lt;=500,IF(ISNUMBER(INDEX('Dealer pipeline'!$M$4:$M$503,_calc!$E$118)),TEXT(INDEX('Dealer pipeline'!$M$4:$M$503,_calc!$E$118),"yyyy-mm-dd"),""),IF(ISNUMBER(INDEX('My equipment'!$M$4:$M$503,(_calc!$E$118-500))),TEXT(INDEX('My equipment'!$M$4:$M$503,(_calc!$E$118-500)),"yyyy-mm-dd"),"")))</f>
        <v/>
      </c>
      <c r="C116" s="54">
        <f>IF(_calc!$E$118="","",IF(_calc!$E$118&lt;=500,"Warranty","Warranty"))</f>
        <v/>
      </c>
      <c r="D116" s="54">
        <f>IF(_calc!$E$118="","",IF(_calc!$E$118&lt;=500,IF(ISNUMBER(INDEX('Dealer pipeline'!$H$4:$H$503,_calc!$E$118)),TEXT(INDEX('Dealer pipeline'!$H$4:$H$503,_calc!$E$118),"yyyy-mm-dd"),""),IF(ISNUMBER(INDEX('My equipment'!$H$4:$H$503,(_calc!$E$118-500))),TEXT(INDEX('My equipment'!$H$4:$H$503,(_calc!$E$118-500)),"yyyy-mm-dd"),"")))</f>
        <v/>
      </c>
      <c r="F116" s="54">
        <f>IF(_calc!$E$118="","",IF(_calc!$E$118&lt;=500,TRIM(IF(LEN(IF(LEN(INDEX('Dealer pipeline'!$A$4:$A$503,_calc!$E$118))=0,"",INDEX('Dealer pipeline'!$A$4:$A$503,_calc!$E$118)))=0,"","Customer: "&amp;IF(LEN(INDEX('Dealer pipeline'!$A$4:$A$503,_calc!$E$118))=0,"",INDEX('Dealer pipeline'!$A$4:$A$503,_calc!$E$118))&amp;". ")&amp;IF(LEN(IF(LEN(INDEX('Dealer pipeline'!$B$4:$B$503,_calc!$E$118))=0,"",INDEX('Dealer pipeline'!$B$4:$B$503,_calc!$E$118)))=0,"","Contact: "&amp;IF(LEN(INDEX('Dealer pipeline'!$B$4:$B$503,_calc!$E$118))=0,"",INDEX('Dealer pipeline'!$B$4:$B$503,_calc!$E$118))&amp;". ")&amp;IF(LEN(IF(LEN(INDEX('Dealer pipeline'!$D$4:$D$503,_calc!$E$118))=0,"",INDEX('Dealer pipeline'!$D$4:$D$503,_calc!$E$118)))=0,"","Serial: "&amp;IF(LEN(INDEX('Dealer pipeline'!$D$4:$D$503,_calc!$E$118))=0,"",INDEX('Dealer pipeline'!$D$4:$D$503,_calc!$E$118))&amp;". ")&amp;IF(LEN(IF(ISNUMBER(INDEX('Dealer pipeline'!$J$4:$J$503,_calc!$E$118)),TEXT(INDEX('Dealer pipeline'!$J$4:$J$503,_calc!$E$118),"yyyy-mm-dd"),""))=0,"","Parts end: "&amp;IF(ISNUMBER(INDEX('Dealer pipeline'!$J$4:$J$503,_calc!$E$118)),TEXT(INDEX('Dealer pipeline'!$J$4:$J$503,_calc!$E$118),"yyyy-mm-dd"),"")&amp;". ")&amp;IF(LEN(IF(ISNUMBER(INDEX('Dealer pipeline'!$L$4:$L$503,_calc!$E$118)),TEXT(INDEX('Dealer pipeline'!$L$4:$L$503,_calc!$E$118),"yyyy-mm-dd"),""))=0,"","Labor end: "&amp;IF(ISNUMBER(INDEX('Dealer pipeline'!$L$4:$L$503,_calc!$E$118)),TEXT(INDEX('Dealer pipeline'!$L$4:$L$503,_calc!$E$118),"yyyy-mm-dd"),"")&amp;". ")&amp;IF(LEN(IF(LEN(INDEX('Dealer pipeline'!$Q$4:$Q$503,_calc!$E$118))=0,"",INDEX('Dealer pipeline'!$Q$4:$Q$503,_calc!$E$118)))=0,"","Status: "&amp;IF(LEN(INDEX('Dealer pipeline'!$Q$4:$Q$503,_calc!$E$118))=0,"",INDEX('Dealer pipeline'!$Q$4:$Q$503,_calc!$E$118))&amp;". ")&amp;IF(LEN(IF(LEN(INDEX('Dealer pipeline'!$P$4:$P$503,_calc!$E$118))=0,"",INDEX('Dealer pipeline'!$P$4:$P$503,_calc!$E$118)))=0,"","Last touch: "&amp;IF(LEN(INDEX('Dealer pipeline'!$P$4:$P$503,_calc!$E$118))=0,"",INDEX('Dealer pipeline'!$P$4:$P$503,_calc!$E$118))&amp;". ")&amp;IF(LEN(IF(LEN(INDEX('Dealer pipeline'!$R$4:$R$503,_calc!$E$118))=0,"",INDEX('Dealer pipeline'!$R$4:$R$503,_calc!$E$118)))=0,"","Owner: "&amp;IF(LEN(INDEX('Dealer pipeline'!$R$4:$R$503,_calc!$E$118))=0,"",INDEX('Dealer pipeline'!$R$4:$R$503,_calc!$E$118))&amp;". ")&amp;IF(LEN(IF(LEN(INDEX('Dealer pipeline'!$S$4:$S$503,_calc!$E$118))=0,"",INDEX('Dealer pipeline'!$S$4:$S$503,_calc!$E$118)))=0,"","Backup: "&amp;IF(LEN(INDEX('Dealer pipeline'!$S$4:$S$503,_calc!$E$118))=0,"",INDEX('Dealer pipeline'!$S$4:$S$503,_calc!$E$118))&amp;". ")&amp;IF(LEN(IF(LEN(INDEX('Dealer pipeline'!$T$4:$T$503,_calc!$E$118))=0,"",INDEX('Dealer pipeline'!$T$4:$T$503,_calc!$E$118)))=0,"",IF(LEN(INDEX('Dealer pipeline'!$T$4:$T$503,_calc!$E$118))=0,"",INDEX('Dealer pipeline'!$T$4:$T$503,_calc!$E$118)))),TRIM(IF(LEN(IF(LEN(INDEX('My equipment'!$C$4:$C$503,(_calc!$E$118-500)))=0,"",INDEX('My equipment'!$C$4:$C$503,(_calc!$E$118-500))))=0,"","Model: "&amp;IF(LEN(INDEX('My equipment'!$C$4:$C$503,(_calc!$E$118-500)))=0,"",INDEX('My equipment'!$C$4:$C$503,(_calc!$E$118-500)))&amp;". ")&amp;IF(LEN(IF(LEN(INDEX('My equipment'!$D$4:$D$503,(_calc!$E$118-500)))=0,"",INDEX('My equipment'!$D$4:$D$503,(_calc!$E$118-500))))=0,"","Serial: "&amp;IF(LEN(INDEX('My equipment'!$D$4:$D$503,(_calc!$E$118-500)))=0,"",INDEX('My equipment'!$D$4:$D$503,(_calc!$E$118-500)))&amp;". ")&amp;IF(LEN(IF(ISNUMBER(INDEX('My equipment'!$J$4:$J$503,(_calc!$E$118-500))),TEXT(INDEX('My equipment'!$J$4:$J$503,(_calc!$E$118-500)),"yyyy-mm-dd"),""))=0,"","Parts end: "&amp;IF(ISNUMBER(INDEX('My equipment'!$J$4:$J$503,(_calc!$E$118-500))),TEXT(INDEX('My equipment'!$J$4:$J$503,(_calc!$E$118-500)),"yyyy-mm-dd"),"")&amp;". ")&amp;IF(LEN(IF(ISNUMBER(INDEX('My equipment'!$L$4:$L$503,(_calc!$E$118-500))),TEXT(INDEX('My equipment'!$L$4:$L$503,(_calc!$E$118-500)),"yyyy-mm-dd"),""))=0,"","Labor end: "&amp;IF(ISNUMBER(INDEX('My equipment'!$L$4:$L$503,(_calc!$E$118-500))),TEXT(INDEX('My equipment'!$L$4:$L$503,(_calc!$E$118-500)),"yyyy-mm-dd"),"")&amp;". ")&amp;IF(LEN(IF(ISNUMBER(INDEX('My equipment'!$P$4:$P$503,(_calc!$E$118-500))),TEXT(INDEX('My equipment'!$P$4:$P$503,(_calc!$E$118-500)),"yyyy-mm-dd"),""))=0,"","Check by: "&amp;IF(ISNUMBER(INDEX('My equipment'!$P$4:$P$503,(_calc!$E$118-500))),TEXT(INDEX('My equipment'!$P$4:$P$503,(_calc!$E$118-500)),"yyyy-mm-dd"),"")&amp;". ")&amp;IF(LEN(IF(LEN(INDEX('My equipment'!$Q$4:$Q$503,(_calc!$E$118-500)))=0,"",INDEX('My equipment'!$Q$4:$Q$503,(_calc!$E$118-500))))=0,"","Claim status: "&amp;IF(LEN(INDEX('My equipment'!$Q$4:$Q$503,(_calc!$E$118-500)))=0,"",INDEX('My equipment'!$Q$4:$Q$503,(_calc!$E$118-500)))&amp;". ")&amp;IF(LEN(IF(LEN(INDEX('My equipment'!$R$4:$R$503,(_calc!$E$118-500)))=0,"",INDEX('My equipment'!$R$4:$R$503,(_calc!$E$118-500))))=0,"","Claims contact: "&amp;IF(LEN(INDEX('My equipment'!$R$4:$R$503,(_calc!$E$118-500)))=0,"",INDEX('My equipment'!$R$4:$R$503,(_calc!$E$118-500)))&amp;". ")&amp;IF(LEN(IF(LEN(INDEX('My equipment'!$S$4:$S$503,(_calc!$E$118-500)))=0,"",INDEX('My equipment'!$S$4:$S$503,(_calc!$E$118-500))))=0,"","Claims email: "&amp;IF(LEN(INDEX('My equipment'!$S$4:$S$503,(_calc!$E$118-500)))=0,"",INDEX('My equipment'!$S$4:$S$503,(_calc!$E$118-500)))&amp;". ")&amp;IF(LEN(IF(LEN(INDEX('My equipment'!$U$4:$U$503,(_calc!$E$118-500)))=0,"",INDEX('My equipment'!$U$4:$U$503,(_calc!$E$118-500))))=0,"","Registered: "&amp;IF(LEN(INDEX('My equipment'!$U$4:$U$503,(_calc!$E$118-500)))=0,"",INDEX('My equipment'!$U$4:$U$503,(_calc!$E$118-500)))&amp;". ")&amp;IF(LEN(IF(LEN(INDEX('My equipment'!$V$4:$V$503,(_calc!$E$118-500)))=0,"",INDEX('My equipment'!$V$4:$V$503,(_calc!$E$118-500))))=0,"","Proof on file: "&amp;IF(LEN(INDEX('My equipment'!$V$4:$V$503,(_calc!$E$118-500)))=0,"",INDEX('My equipment'!$V$4:$V$503,(_calc!$E$118-500)))&amp;". ")&amp;IF(LEN(IF(LEN(INDEX('My equipment'!$W$4:$W$503,(_calc!$E$118-500)))=0,"",INDEX('My equipment'!$W$4:$W$503,(_calc!$E$118-500))))=0,"","Claim ref: "&amp;IF(LEN(INDEX('My equipment'!$W$4:$W$503,(_calc!$E$118-500)))=0,"",INDEX('My equipment'!$W$4:$W$503,(_calc!$E$118-500)))&amp;". ")&amp;IF(LEN(IF(LEN(INDEX('My equipment'!$Y$4:$Y$503,(_calc!$E$118-500)))=0,"",INDEX('My equipment'!$Y$4:$Y$503,(_calc!$E$118-500))))=0,"",IF(LEN(INDEX('My equipment'!$Y$4:$Y$503,(_calc!$E$118-500)))=0,"",INDEX('My equipment'!$Y$4:$Y$503,(_calc!$E$118-500)))))))</f>
        <v/>
      </c>
      <c r="G116" s="54">
        <f>IF(_calc!$E$118="","",IF(_calc!$E$118&lt;=500,"",IF(LEN(INDEX('My equipment'!$X$4:$X$503,(_calc!$E$118-500)))=0,"",INDEX('My equipment'!$X$4:$X$503,(_calc!$E$118-500)))))</f>
        <v/>
      </c>
      <c r="K116" s="54">
        <f>IF(_calc!$E$118="","",IF(_calc!$E$118&lt;=500,"",IF(LEN(INDEX('My equipment'!$T$4:$T$503,(_calc!$E$118-500)))=0,"",INDEX('My equipment'!$T$4:$T$503,(_calc!$E$118-500)))))</f>
        <v/>
      </c>
    </row>
    <row r="117">
      <c r="A117" s="54">
        <f>IF(_calc!$E$119="","",IF(_calc!$E$119&lt;=500,"Warranty – "&amp;IF(LEN(INDEX('Dealer pipeline'!$C$4:$C$503,_calc!$E$119))=0,"",INDEX('Dealer pipeline'!$C$4:$C$503,_calc!$E$119))&amp;" – "&amp;IF(LEN(INDEX('Dealer pipeline'!$D$4:$D$503,_calc!$E$119))=0,"",INDEX('Dealer pipeline'!$D$4:$D$503,_calc!$E$119))&amp;" – "&amp;IF(LEN(INDEX('Dealer pipeline'!$A$4:$A$503,_calc!$E$119))=0,"",INDEX('Dealer pipeline'!$A$4:$A$503,_calc!$E$119)),"Warranty – "&amp;IF(LEN(INDEX('My equipment'!$A$4:$A$503,(_calc!$E$119-500)))=0,"",INDEX('My equipment'!$A$4:$A$503,(_calc!$E$119-500)))&amp;" – "&amp;IF(LEN(INDEX('My equipment'!$D$4:$D$503,(_calc!$E$119-500)))=0,"",INDEX('My equipment'!$D$4:$D$503,(_calc!$E$119-500)))))</f>
        <v/>
      </c>
      <c r="B117" s="54">
        <f>IF(_calc!$E$119="","",IF(_calc!$E$119&lt;=500,IF(ISNUMBER(INDEX('Dealer pipeline'!$M$4:$M$503,_calc!$E$119)),TEXT(INDEX('Dealer pipeline'!$M$4:$M$503,_calc!$E$119),"yyyy-mm-dd"),""),IF(ISNUMBER(INDEX('My equipment'!$M$4:$M$503,(_calc!$E$119-500))),TEXT(INDEX('My equipment'!$M$4:$M$503,(_calc!$E$119-500)),"yyyy-mm-dd"),"")))</f>
        <v/>
      </c>
      <c r="C117" s="54">
        <f>IF(_calc!$E$119="","",IF(_calc!$E$119&lt;=500,"Warranty","Warranty"))</f>
        <v/>
      </c>
      <c r="D117" s="54">
        <f>IF(_calc!$E$119="","",IF(_calc!$E$119&lt;=500,IF(ISNUMBER(INDEX('Dealer pipeline'!$H$4:$H$503,_calc!$E$119)),TEXT(INDEX('Dealer pipeline'!$H$4:$H$503,_calc!$E$119),"yyyy-mm-dd"),""),IF(ISNUMBER(INDEX('My equipment'!$H$4:$H$503,(_calc!$E$119-500))),TEXT(INDEX('My equipment'!$H$4:$H$503,(_calc!$E$119-500)),"yyyy-mm-dd"),"")))</f>
        <v/>
      </c>
      <c r="F117" s="54">
        <f>IF(_calc!$E$119="","",IF(_calc!$E$119&lt;=500,TRIM(IF(LEN(IF(LEN(INDEX('Dealer pipeline'!$A$4:$A$503,_calc!$E$119))=0,"",INDEX('Dealer pipeline'!$A$4:$A$503,_calc!$E$119)))=0,"","Customer: "&amp;IF(LEN(INDEX('Dealer pipeline'!$A$4:$A$503,_calc!$E$119))=0,"",INDEX('Dealer pipeline'!$A$4:$A$503,_calc!$E$119))&amp;". ")&amp;IF(LEN(IF(LEN(INDEX('Dealer pipeline'!$B$4:$B$503,_calc!$E$119))=0,"",INDEX('Dealer pipeline'!$B$4:$B$503,_calc!$E$119)))=0,"","Contact: "&amp;IF(LEN(INDEX('Dealer pipeline'!$B$4:$B$503,_calc!$E$119))=0,"",INDEX('Dealer pipeline'!$B$4:$B$503,_calc!$E$119))&amp;". ")&amp;IF(LEN(IF(LEN(INDEX('Dealer pipeline'!$D$4:$D$503,_calc!$E$119))=0,"",INDEX('Dealer pipeline'!$D$4:$D$503,_calc!$E$119)))=0,"","Serial: "&amp;IF(LEN(INDEX('Dealer pipeline'!$D$4:$D$503,_calc!$E$119))=0,"",INDEX('Dealer pipeline'!$D$4:$D$503,_calc!$E$119))&amp;". ")&amp;IF(LEN(IF(ISNUMBER(INDEX('Dealer pipeline'!$J$4:$J$503,_calc!$E$119)),TEXT(INDEX('Dealer pipeline'!$J$4:$J$503,_calc!$E$119),"yyyy-mm-dd"),""))=0,"","Parts end: "&amp;IF(ISNUMBER(INDEX('Dealer pipeline'!$J$4:$J$503,_calc!$E$119)),TEXT(INDEX('Dealer pipeline'!$J$4:$J$503,_calc!$E$119),"yyyy-mm-dd"),"")&amp;". ")&amp;IF(LEN(IF(ISNUMBER(INDEX('Dealer pipeline'!$L$4:$L$503,_calc!$E$119)),TEXT(INDEX('Dealer pipeline'!$L$4:$L$503,_calc!$E$119),"yyyy-mm-dd"),""))=0,"","Labor end: "&amp;IF(ISNUMBER(INDEX('Dealer pipeline'!$L$4:$L$503,_calc!$E$119)),TEXT(INDEX('Dealer pipeline'!$L$4:$L$503,_calc!$E$119),"yyyy-mm-dd"),"")&amp;". ")&amp;IF(LEN(IF(LEN(INDEX('Dealer pipeline'!$Q$4:$Q$503,_calc!$E$119))=0,"",INDEX('Dealer pipeline'!$Q$4:$Q$503,_calc!$E$119)))=0,"","Status: "&amp;IF(LEN(INDEX('Dealer pipeline'!$Q$4:$Q$503,_calc!$E$119))=0,"",INDEX('Dealer pipeline'!$Q$4:$Q$503,_calc!$E$119))&amp;". ")&amp;IF(LEN(IF(LEN(INDEX('Dealer pipeline'!$P$4:$P$503,_calc!$E$119))=0,"",INDEX('Dealer pipeline'!$P$4:$P$503,_calc!$E$119)))=0,"","Last touch: "&amp;IF(LEN(INDEX('Dealer pipeline'!$P$4:$P$503,_calc!$E$119))=0,"",INDEX('Dealer pipeline'!$P$4:$P$503,_calc!$E$119))&amp;". ")&amp;IF(LEN(IF(LEN(INDEX('Dealer pipeline'!$R$4:$R$503,_calc!$E$119))=0,"",INDEX('Dealer pipeline'!$R$4:$R$503,_calc!$E$119)))=0,"","Owner: "&amp;IF(LEN(INDEX('Dealer pipeline'!$R$4:$R$503,_calc!$E$119))=0,"",INDEX('Dealer pipeline'!$R$4:$R$503,_calc!$E$119))&amp;". ")&amp;IF(LEN(IF(LEN(INDEX('Dealer pipeline'!$S$4:$S$503,_calc!$E$119))=0,"",INDEX('Dealer pipeline'!$S$4:$S$503,_calc!$E$119)))=0,"","Backup: "&amp;IF(LEN(INDEX('Dealer pipeline'!$S$4:$S$503,_calc!$E$119))=0,"",INDEX('Dealer pipeline'!$S$4:$S$503,_calc!$E$119))&amp;". ")&amp;IF(LEN(IF(LEN(INDEX('Dealer pipeline'!$T$4:$T$503,_calc!$E$119))=0,"",INDEX('Dealer pipeline'!$T$4:$T$503,_calc!$E$119)))=0,"",IF(LEN(INDEX('Dealer pipeline'!$T$4:$T$503,_calc!$E$119))=0,"",INDEX('Dealer pipeline'!$T$4:$T$503,_calc!$E$119)))),TRIM(IF(LEN(IF(LEN(INDEX('My equipment'!$C$4:$C$503,(_calc!$E$119-500)))=0,"",INDEX('My equipment'!$C$4:$C$503,(_calc!$E$119-500))))=0,"","Model: "&amp;IF(LEN(INDEX('My equipment'!$C$4:$C$503,(_calc!$E$119-500)))=0,"",INDEX('My equipment'!$C$4:$C$503,(_calc!$E$119-500)))&amp;". ")&amp;IF(LEN(IF(LEN(INDEX('My equipment'!$D$4:$D$503,(_calc!$E$119-500)))=0,"",INDEX('My equipment'!$D$4:$D$503,(_calc!$E$119-500))))=0,"","Serial: "&amp;IF(LEN(INDEX('My equipment'!$D$4:$D$503,(_calc!$E$119-500)))=0,"",INDEX('My equipment'!$D$4:$D$503,(_calc!$E$119-500)))&amp;". ")&amp;IF(LEN(IF(ISNUMBER(INDEX('My equipment'!$J$4:$J$503,(_calc!$E$119-500))),TEXT(INDEX('My equipment'!$J$4:$J$503,(_calc!$E$119-500)),"yyyy-mm-dd"),""))=0,"","Parts end: "&amp;IF(ISNUMBER(INDEX('My equipment'!$J$4:$J$503,(_calc!$E$119-500))),TEXT(INDEX('My equipment'!$J$4:$J$503,(_calc!$E$119-500)),"yyyy-mm-dd"),"")&amp;". ")&amp;IF(LEN(IF(ISNUMBER(INDEX('My equipment'!$L$4:$L$503,(_calc!$E$119-500))),TEXT(INDEX('My equipment'!$L$4:$L$503,(_calc!$E$119-500)),"yyyy-mm-dd"),""))=0,"","Labor end: "&amp;IF(ISNUMBER(INDEX('My equipment'!$L$4:$L$503,(_calc!$E$119-500))),TEXT(INDEX('My equipment'!$L$4:$L$503,(_calc!$E$119-500)),"yyyy-mm-dd"),"")&amp;". ")&amp;IF(LEN(IF(ISNUMBER(INDEX('My equipment'!$P$4:$P$503,(_calc!$E$119-500))),TEXT(INDEX('My equipment'!$P$4:$P$503,(_calc!$E$119-500)),"yyyy-mm-dd"),""))=0,"","Check by: "&amp;IF(ISNUMBER(INDEX('My equipment'!$P$4:$P$503,(_calc!$E$119-500))),TEXT(INDEX('My equipment'!$P$4:$P$503,(_calc!$E$119-500)),"yyyy-mm-dd"),"")&amp;". ")&amp;IF(LEN(IF(LEN(INDEX('My equipment'!$Q$4:$Q$503,(_calc!$E$119-500)))=0,"",INDEX('My equipment'!$Q$4:$Q$503,(_calc!$E$119-500))))=0,"","Claim status: "&amp;IF(LEN(INDEX('My equipment'!$Q$4:$Q$503,(_calc!$E$119-500)))=0,"",INDEX('My equipment'!$Q$4:$Q$503,(_calc!$E$119-500)))&amp;". ")&amp;IF(LEN(IF(LEN(INDEX('My equipment'!$R$4:$R$503,(_calc!$E$119-500)))=0,"",INDEX('My equipment'!$R$4:$R$503,(_calc!$E$119-500))))=0,"","Claims contact: "&amp;IF(LEN(INDEX('My equipment'!$R$4:$R$503,(_calc!$E$119-500)))=0,"",INDEX('My equipment'!$R$4:$R$503,(_calc!$E$119-500)))&amp;". ")&amp;IF(LEN(IF(LEN(INDEX('My equipment'!$S$4:$S$503,(_calc!$E$119-500)))=0,"",INDEX('My equipment'!$S$4:$S$503,(_calc!$E$119-500))))=0,"","Claims email: "&amp;IF(LEN(INDEX('My equipment'!$S$4:$S$503,(_calc!$E$119-500)))=0,"",INDEX('My equipment'!$S$4:$S$503,(_calc!$E$119-500)))&amp;". ")&amp;IF(LEN(IF(LEN(INDEX('My equipment'!$U$4:$U$503,(_calc!$E$119-500)))=0,"",INDEX('My equipment'!$U$4:$U$503,(_calc!$E$119-500))))=0,"","Registered: "&amp;IF(LEN(INDEX('My equipment'!$U$4:$U$503,(_calc!$E$119-500)))=0,"",INDEX('My equipment'!$U$4:$U$503,(_calc!$E$119-500)))&amp;". ")&amp;IF(LEN(IF(LEN(INDEX('My equipment'!$V$4:$V$503,(_calc!$E$119-500)))=0,"",INDEX('My equipment'!$V$4:$V$503,(_calc!$E$119-500))))=0,"","Proof on file: "&amp;IF(LEN(INDEX('My equipment'!$V$4:$V$503,(_calc!$E$119-500)))=0,"",INDEX('My equipment'!$V$4:$V$503,(_calc!$E$119-500)))&amp;". ")&amp;IF(LEN(IF(LEN(INDEX('My equipment'!$W$4:$W$503,(_calc!$E$119-500)))=0,"",INDEX('My equipment'!$W$4:$W$503,(_calc!$E$119-500))))=0,"","Claim ref: "&amp;IF(LEN(INDEX('My equipment'!$W$4:$W$503,(_calc!$E$119-500)))=0,"",INDEX('My equipment'!$W$4:$W$503,(_calc!$E$119-500)))&amp;". ")&amp;IF(LEN(IF(LEN(INDEX('My equipment'!$Y$4:$Y$503,(_calc!$E$119-500)))=0,"",INDEX('My equipment'!$Y$4:$Y$503,(_calc!$E$119-500))))=0,"",IF(LEN(INDEX('My equipment'!$Y$4:$Y$503,(_calc!$E$119-500)))=0,"",INDEX('My equipment'!$Y$4:$Y$503,(_calc!$E$119-500)))))))</f>
        <v/>
      </c>
      <c r="G117" s="54">
        <f>IF(_calc!$E$119="","",IF(_calc!$E$119&lt;=500,"",IF(LEN(INDEX('My equipment'!$X$4:$X$503,(_calc!$E$119-500)))=0,"",INDEX('My equipment'!$X$4:$X$503,(_calc!$E$119-500)))))</f>
        <v/>
      </c>
      <c r="K117" s="54">
        <f>IF(_calc!$E$119="","",IF(_calc!$E$119&lt;=500,"",IF(LEN(INDEX('My equipment'!$T$4:$T$503,(_calc!$E$119-500)))=0,"",INDEX('My equipment'!$T$4:$T$503,(_calc!$E$119-500)))))</f>
        <v/>
      </c>
    </row>
    <row r="118">
      <c r="A118" s="54">
        <f>IF(_calc!$E$120="","",IF(_calc!$E$120&lt;=500,"Warranty – "&amp;IF(LEN(INDEX('Dealer pipeline'!$C$4:$C$503,_calc!$E$120))=0,"",INDEX('Dealer pipeline'!$C$4:$C$503,_calc!$E$120))&amp;" – "&amp;IF(LEN(INDEX('Dealer pipeline'!$D$4:$D$503,_calc!$E$120))=0,"",INDEX('Dealer pipeline'!$D$4:$D$503,_calc!$E$120))&amp;" – "&amp;IF(LEN(INDEX('Dealer pipeline'!$A$4:$A$503,_calc!$E$120))=0,"",INDEX('Dealer pipeline'!$A$4:$A$503,_calc!$E$120)),"Warranty – "&amp;IF(LEN(INDEX('My equipment'!$A$4:$A$503,(_calc!$E$120-500)))=0,"",INDEX('My equipment'!$A$4:$A$503,(_calc!$E$120-500)))&amp;" – "&amp;IF(LEN(INDEX('My equipment'!$D$4:$D$503,(_calc!$E$120-500)))=0,"",INDEX('My equipment'!$D$4:$D$503,(_calc!$E$120-500)))))</f>
        <v/>
      </c>
      <c r="B118" s="54">
        <f>IF(_calc!$E$120="","",IF(_calc!$E$120&lt;=500,IF(ISNUMBER(INDEX('Dealer pipeline'!$M$4:$M$503,_calc!$E$120)),TEXT(INDEX('Dealer pipeline'!$M$4:$M$503,_calc!$E$120),"yyyy-mm-dd"),""),IF(ISNUMBER(INDEX('My equipment'!$M$4:$M$503,(_calc!$E$120-500))),TEXT(INDEX('My equipment'!$M$4:$M$503,(_calc!$E$120-500)),"yyyy-mm-dd"),"")))</f>
        <v/>
      </c>
      <c r="C118" s="54">
        <f>IF(_calc!$E$120="","",IF(_calc!$E$120&lt;=500,"Warranty","Warranty"))</f>
        <v/>
      </c>
      <c r="D118" s="54">
        <f>IF(_calc!$E$120="","",IF(_calc!$E$120&lt;=500,IF(ISNUMBER(INDEX('Dealer pipeline'!$H$4:$H$503,_calc!$E$120)),TEXT(INDEX('Dealer pipeline'!$H$4:$H$503,_calc!$E$120),"yyyy-mm-dd"),""),IF(ISNUMBER(INDEX('My equipment'!$H$4:$H$503,(_calc!$E$120-500))),TEXT(INDEX('My equipment'!$H$4:$H$503,(_calc!$E$120-500)),"yyyy-mm-dd"),"")))</f>
        <v/>
      </c>
      <c r="F118" s="54">
        <f>IF(_calc!$E$120="","",IF(_calc!$E$120&lt;=500,TRIM(IF(LEN(IF(LEN(INDEX('Dealer pipeline'!$A$4:$A$503,_calc!$E$120))=0,"",INDEX('Dealer pipeline'!$A$4:$A$503,_calc!$E$120)))=0,"","Customer: "&amp;IF(LEN(INDEX('Dealer pipeline'!$A$4:$A$503,_calc!$E$120))=0,"",INDEX('Dealer pipeline'!$A$4:$A$503,_calc!$E$120))&amp;". ")&amp;IF(LEN(IF(LEN(INDEX('Dealer pipeline'!$B$4:$B$503,_calc!$E$120))=0,"",INDEX('Dealer pipeline'!$B$4:$B$503,_calc!$E$120)))=0,"","Contact: "&amp;IF(LEN(INDEX('Dealer pipeline'!$B$4:$B$503,_calc!$E$120))=0,"",INDEX('Dealer pipeline'!$B$4:$B$503,_calc!$E$120))&amp;". ")&amp;IF(LEN(IF(LEN(INDEX('Dealer pipeline'!$D$4:$D$503,_calc!$E$120))=0,"",INDEX('Dealer pipeline'!$D$4:$D$503,_calc!$E$120)))=0,"","Serial: "&amp;IF(LEN(INDEX('Dealer pipeline'!$D$4:$D$503,_calc!$E$120))=0,"",INDEX('Dealer pipeline'!$D$4:$D$503,_calc!$E$120))&amp;". ")&amp;IF(LEN(IF(ISNUMBER(INDEX('Dealer pipeline'!$J$4:$J$503,_calc!$E$120)),TEXT(INDEX('Dealer pipeline'!$J$4:$J$503,_calc!$E$120),"yyyy-mm-dd"),""))=0,"","Parts end: "&amp;IF(ISNUMBER(INDEX('Dealer pipeline'!$J$4:$J$503,_calc!$E$120)),TEXT(INDEX('Dealer pipeline'!$J$4:$J$503,_calc!$E$120),"yyyy-mm-dd"),"")&amp;". ")&amp;IF(LEN(IF(ISNUMBER(INDEX('Dealer pipeline'!$L$4:$L$503,_calc!$E$120)),TEXT(INDEX('Dealer pipeline'!$L$4:$L$503,_calc!$E$120),"yyyy-mm-dd"),""))=0,"","Labor end: "&amp;IF(ISNUMBER(INDEX('Dealer pipeline'!$L$4:$L$503,_calc!$E$120)),TEXT(INDEX('Dealer pipeline'!$L$4:$L$503,_calc!$E$120),"yyyy-mm-dd"),"")&amp;". ")&amp;IF(LEN(IF(LEN(INDEX('Dealer pipeline'!$Q$4:$Q$503,_calc!$E$120))=0,"",INDEX('Dealer pipeline'!$Q$4:$Q$503,_calc!$E$120)))=0,"","Status: "&amp;IF(LEN(INDEX('Dealer pipeline'!$Q$4:$Q$503,_calc!$E$120))=0,"",INDEX('Dealer pipeline'!$Q$4:$Q$503,_calc!$E$120))&amp;". ")&amp;IF(LEN(IF(LEN(INDEX('Dealer pipeline'!$P$4:$P$503,_calc!$E$120))=0,"",INDEX('Dealer pipeline'!$P$4:$P$503,_calc!$E$120)))=0,"","Last touch: "&amp;IF(LEN(INDEX('Dealer pipeline'!$P$4:$P$503,_calc!$E$120))=0,"",INDEX('Dealer pipeline'!$P$4:$P$503,_calc!$E$120))&amp;". ")&amp;IF(LEN(IF(LEN(INDEX('Dealer pipeline'!$R$4:$R$503,_calc!$E$120))=0,"",INDEX('Dealer pipeline'!$R$4:$R$503,_calc!$E$120)))=0,"","Owner: "&amp;IF(LEN(INDEX('Dealer pipeline'!$R$4:$R$503,_calc!$E$120))=0,"",INDEX('Dealer pipeline'!$R$4:$R$503,_calc!$E$120))&amp;". ")&amp;IF(LEN(IF(LEN(INDEX('Dealer pipeline'!$S$4:$S$503,_calc!$E$120))=0,"",INDEX('Dealer pipeline'!$S$4:$S$503,_calc!$E$120)))=0,"","Backup: "&amp;IF(LEN(INDEX('Dealer pipeline'!$S$4:$S$503,_calc!$E$120))=0,"",INDEX('Dealer pipeline'!$S$4:$S$503,_calc!$E$120))&amp;". ")&amp;IF(LEN(IF(LEN(INDEX('Dealer pipeline'!$T$4:$T$503,_calc!$E$120))=0,"",INDEX('Dealer pipeline'!$T$4:$T$503,_calc!$E$120)))=0,"",IF(LEN(INDEX('Dealer pipeline'!$T$4:$T$503,_calc!$E$120))=0,"",INDEX('Dealer pipeline'!$T$4:$T$503,_calc!$E$120)))),TRIM(IF(LEN(IF(LEN(INDEX('My equipment'!$C$4:$C$503,(_calc!$E$120-500)))=0,"",INDEX('My equipment'!$C$4:$C$503,(_calc!$E$120-500))))=0,"","Model: "&amp;IF(LEN(INDEX('My equipment'!$C$4:$C$503,(_calc!$E$120-500)))=0,"",INDEX('My equipment'!$C$4:$C$503,(_calc!$E$120-500)))&amp;". ")&amp;IF(LEN(IF(LEN(INDEX('My equipment'!$D$4:$D$503,(_calc!$E$120-500)))=0,"",INDEX('My equipment'!$D$4:$D$503,(_calc!$E$120-500))))=0,"","Serial: "&amp;IF(LEN(INDEX('My equipment'!$D$4:$D$503,(_calc!$E$120-500)))=0,"",INDEX('My equipment'!$D$4:$D$503,(_calc!$E$120-500)))&amp;". ")&amp;IF(LEN(IF(ISNUMBER(INDEX('My equipment'!$J$4:$J$503,(_calc!$E$120-500))),TEXT(INDEX('My equipment'!$J$4:$J$503,(_calc!$E$120-500)),"yyyy-mm-dd"),""))=0,"","Parts end: "&amp;IF(ISNUMBER(INDEX('My equipment'!$J$4:$J$503,(_calc!$E$120-500))),TEXT(INDEX('My equipment'!$J$4:$J$503,(_calc!$E$120-500)),"yyyy-mm-dd"),"")&amp;". ")&amp;IF(LEN(IF(ISNUMBER(INDEX('My equipment'!$L$4:$L$503,(_calc!$E$120-500))),TEXT(INDEX('My equipment'!$L$4:$L$503,(_calc!$E$120-500)),"yyyy-mm-dd"),""))=0,"","Labor end: "&amp;IF(ISNUMBER(INDEX('My equipment'!$L$4:$L$503,(_calc!$E$120-500))),TEXT(INDEX('My equipment'!$L$4:$L$503,(_calc!$E$120-500)),"yyyy-mm-dd"),"")&amp;". ")&amp;IF(LEN(IF(ISNUMBER(INDEX('My equipment'!$P$4:$P$503,(_calc!$E$120-500))),TEXT(INDEX('My equipment'!$P$4:$P$503,(_calc!$E$120-500)),"yyyy-mm-dd"),""))=0,"","Check by: "&amp;IF(ISNUMBER(INDEX('My equipment'!$P$4:$P$503,(_calc!$E$120-500))),TEXT(INDEX('My equipment'!$P$4:$P$503,(_calc!$E$120-500)),"yyyy-mm-dd"),"")&amp;". ")&amp;IF(LEN(IF(LEN(INDEX('My equipment'!$Q$4:$Q$503,(_calc!$E$120-500)))=0,"",INDEX('My equipment'!$Q$4:$Q$503,(_calc!$E$120-500))))=0,"","Claim status: "&amp;IF(LEN(INDEX('My equipment'!$Q$4:$Q$503,(_calc!$E$120-500)))=0,"",INDEX('My equipment'!$Q$4:$Q$503,(_calc!$E$120-500)))&amp;". ")&amp;IF(LEN(IF(LEN(INDEX('My equipment'!$R$4:$R$503,(_calc!$E$120-500)))=0,"",INDEX('My equipment'!$R$4:$R$503,(_calc!$E$120-500))))=0,"","Claims contact: "&amp;IF(LEN(INDEX('My equipment'!$R$4:$R$503,(_calc!$E$120-500)))=0,"",INDEX('My equipment'!$R$4:$R$503,(_calc!$E$120-500)))&amp;". ")&amp;IF(LEN(IF(LEN(INDEX('My equipment'!$S$4:$S$503,(_calc!$E$120-500)))=0,"",INDEX('My equipment'!$S$4:$S$503,(_calc!$E$120-500))))=0,"","Claims email: "&amp;IF(LEN(INDEX('My equipment'!$S$4:$S$503,(_calc!$E$120-500)))=0,"",INDEX('My equipment'!$S$4:$S$503,(_calc!$E$120-500)))&amp;". ")&amp;IF(LEN(IF(LEN(INDEX('My equipment'!$U$4:$U$503,(_calc!$E$120-500)))=0,"",INDEX('My equipment'!$U$4:$U$503,(_calc!$E$120-500))))=0,"","Registered: "&amp;IF(LEN(INDEX('My equipment'!$U$4:$U$503,(_calc!$E$120-500)))=0,"",INDEX('My equipment'!$U$4:$U$503,(_calc!$E$120-500)))&amp;". ")&amp;IF(LEN(IF(LEN(INDEX('My equipment'!$V$4:$V$503,(_calc!$E$120-500)))=0,"",INDEX('My equipment'!$V$4:$V$503,(_calc!$E$120-500))))=0,"","Proof on file: "&amp;IF(LEN(INDEX('My equipment'!$V$4:$V$503,(_calc!$E$120-500)))=0,"",INDEX('My equipment'!$V$4:$V$503,(_calc!$E$120-500)))&amp;". ")&amp;IF(LEN(IF(LEN(INDEX('My equipment'!$W$4:$W$503,(_calc!$E$120-500)))=0,"",INDEX('My equipment'!$W$4:$W$503,(_calc!$E$120-500))))=0,"","Claim ref: "&amp;IF(LEN(INDEX('My equipment'!$W$4:$W$503,(_calc!$E$120-500)))=0,"",INDEX('My equipment'!$W$4:$W$503,(_calc!$E$120-500)))&amp;". ")&amp;IF(LEN(IF(LEN(INDEX('My equipment'!$Y$4:$Y$503,(_calc!$E$120-500)))=0,"",INDEX('My equipment'!$Y$4:$Y$503,(_calc!$E$120-500))))=0,"",IF(LEN(INDEX('My equipment'!$Y$4:$Y$503,(_calc!$E$120-500)))=0,"",INDEX('My equipment'!$Y$4:$Y$503,(_calc!$E$120-500)))))))</f>
        <v/>
      </c>
      <c r="G118" s="54">
        <f>IF(_calc!$E$120="","",IF(_calc!$E$120&lt;=500,"",IF(LEN(INDEX('My equipment'!$X$4:$X$503,(_calc!$E$120-500)))=0,"",INDEX('My equipment'!$X$4:$X$503,(_calc!$E$120-500)))))</f>
        <v/>
      </c>
      <c r="K118" s="54">
        <f>IF(_calc!$E$120="","",IF(_calc!$E$120&lt;=500,"",IF(LEN(INDEX('My equipment'!$T$4:$T$503,(_calc!$E$120-500)))=0,"",INDEX('My equipment'!$T$4:$T$503,(_calc!$E$120-500)))))</f>
        <v/>
      </c>
    </row>
    <row r="119">
      <c r="A119" s="54">
        <f>IF(_calc!$E$121="","",IF(_calc!$E$121&lt;=500,"Warranty – "&amp;IF(LEN(INDEX('Dealer pipeline'!$C$4:$C$503,_calc!$E$121))=0,"",INDEX('Dealer pipeline'!$C$4:$C$503,_calc!$E$121))&amp;" – "&amp;IF(LEN(INDEX('Dealer pipeline'!$D$4:$D$503,_calc!$E$121))=0,"",INDEX('Dealer pipeline'!$D$4:$D$503,_calc!$E$121))&amp;" – "&amp;IF(LEN(INDEX('Dealer pipeline'!$A$4:$A$503,_calc!$E$121))=0,"",INDEX('Dealer pipeline'!$A$4:$A$503,_calc!$E$121)),"Warranty – "&amp;IF(LEN(INDEX('My equipment'!$A$4:$A$503,(_calc!$E$121-500)))=0,"",INDEX('My equipment'!$A$4:$A$503,(_calc!$E$121-500)))&amp;" – "&amp;IF(LEN(INDEX('My equipment'!$D$4:$D$503,(_calc!$E$121-500)))=0,"",INDEX('My equipment'!$D$4:$D$503,(_calc!$E$121-500)))))</f>
        <v/>
      </c>
      <c r="B119" s="54">
        <f>IF(_calc!$E$121="","",IF(_calc!$E$121&lt;=500,IF(ISNUMBER(INDEX('Dealer pipeline'!$M$4:$M$503,_calc!$E$121)),TEXT(INDEX('Dealer pipeline'!$M$4:$M$503,_calc!$E$121),"yyyy-mm-dd"),""),IF(ISNUMBER(INDEX('My equipment'!$M$4:$M$503,(_calc!$E$121-500))),TEXT(INDEX('My equipment'!$M$4:$M$503,(_calc!$E$121-500)),"yyyy-mm-dd"),"")))</f>
        <v/>
      </c>
      <c r="C119" s="54">
        <f>IF(_calc!$E$121="","",IF(_calc!$E$121&lt;=500,"Warranty","Warranty"))</f>
        <v/>
      </c>
      <c r="D119" s="54">
        <f>IF(_calc!$E$121="","",IF(_calc!$E$121&lt;=500,IF(ISNUMBER(INDEX('Dealer pipeline'!$H$4:$H$503,_calc!$E$121)),TEXT(INDEX('Dealer pipeline'!$H$4:$H$503,_calc!$E$121),"yyyy-mm-dd"),""),IF(ISNUMBER(INDEX('My equipment'!$H$4:$H$503,(_calc!$E$121-500))),TEXT(INDEX('My equipment'!$H$4:$H$503,(_calc!$E$121-500)),"yyyy-mm-dd"),"")))</f>
        <v/>
      </c>
      <c r="F119" s="54">
        <f>IF(_calc!$E$121="","",IF(_calc!$E$121&lt;=500,TRIM(IF(LEN(IF(LEN(INDEX('Dealer pipeline'!$A$4:$A$503,_calc!$E$121))=0,"",INDEX('Dealer pipeline'!$A$4:$A$503,_calc!$E$121)))=0,"","Customer: "&amp;IF(LEN(INDEX('Dealer pipeline'!$A$4:$A$503,_calc!$E$121))=0,"",INDEX('Dealer pipeline'!$A$4:$A$503,_calc!$E$121))&amp;". ")&amp;IF(LEN(IF(LEN(INDEX('Dealer pipeline'!$B$4:$B$503,_calc!$E$121))=0,"",INDEX('Dealer pipeline'!$B$4:$B$503,_calc!$E$121)))=0,"","Contact: "&amp;IF(LEN(INDEX('Dealer pipeline'!$B$4:$B$503,_calc!$E$121))=0,"",INDEX('Dealer pipeline'!$B$4:$B$503,_calc!$E$121))&amp;". ")&amp;IF(LEN(IF(LEN(INDEX('Dealer pipeline'!$D$4:$D$503,_calc!$E$121))=0,"",INDEX('Dealer pipeline'!$D$4:$D$503,_calc!$E$121)))=0,"","Serial: "&amp;IF(LEN(INDEX('Dealer pipeline'!$D$4:$D$503,_calc!$E$121))=0,"",INDEX('Dealer pipeline'!$D$4:$D$503,_calc!$E$121))&amp;". ")&amp;IF(LEN(IF(ISNUMBER(INDEX('Dealer pipeline'!$J$4:$J$503,_calc!$E$121)),TEXT(INDEX('Dealer pipeline'!$J$4:$J$503,_calc!$E$121),"yyyy-mm-dd"),""))=0,"","Parts end: "&amp;IF(ISNUMBER(INDEX('Dealer pipeline'!$J$4:$J$503,_calc!$E$121)),TEXT(INDEX('Dealer pipeline'!$J$4:$J$503,_calc!$E$121),"yyyy-mm-dd"),"")&amp;". ")&amp;IF(LEN(IF(ISNUMBER(INDEX('Dealer pipeline'!$L$4:$L$503,_calc!$E$121)),TEXT(INDEX('Dealer pipeline'!$L$4:$L$503,_calc!$E$121),"yyyy-mm-dd"),""))=0,"","Labor end: "&amp;IF(ISNUMBER(INDEX('Dealer pipeline'!$L$4:$L$503,_calc!$E$121)),TEXT(INDEX('Dealer pipeline'!$L$4:$L$503,_calc!$E$121),"yyyy-mm-dd"),"")&amp;". ")&amp;IF(LEN(IF(LEN(INDEX('Dealer pipeline'!$Q$4:$Q$503,_calc!$E$121))=0,"",INDEX('Dealer pipeline'!$Q$4:$Q$503,_calc!$E$121)))=0,"","Status: "&amp;IF(LEN(INDEX('Dealer pipeline'!$Q$4:$Q$503,_calc!$E$121))=0,"",INDEX('Dealer pipeline'!$Q$4:$Q$503,_calc!$E$121))&amp;". ")&amp;IF(LEN(IF(LEN(INDEX('Dealer pipeline'!$P$4:$P$503,_calc!$E$121))=0,"",INDEX('Dealer pipeline'!$P$4:$P$503,_calc!$E$121)))=0,"","Last touch: "&amp;IF(LEN(INDEX('Dealer pipeline'!$P$4:$P$503,_calc!$E$121))=0,"",INDEX('Dealer pipeline'!$P$4:$P$503,_calc!$E$121))&amp;". ")&amp;IF(LEN(IF(LEN(INDEX('Dealer pipeline'!$R$4:$R$503,_calc!$E$121))=0,"",INDEX('Dealer pipeline'!$R$4:$R$503,_calc!$E$121)))=0,"","Owner: "&amp;IF(LEN(INDEX('Dealer pipeline'!$R$4:$R$503,_calc!$E$121))=0,"",INDEX('Dealer pipeline'!$R$4:$R$503,_calc!$E$121))&amp;". ")&amp;IF(LEN(IF(LEN(INDEX('Dealer pipeline'!$S$4:$S$503,_calc!$E$121))=0,"",INDEX('Dealer pipeline'!$S$4:$S$503,_calc!$E$121)))=0,"","Backup: "&amp;IF(LEN(INDEX('Dealer pipeline'!$S$4:$S$503,_calc!$E$121))=0,"",INDEX('Dealer pipeline'!$S$4:$S$503,_calc!$E$121))&amp;". ")&amp;IF(LEN(IF(LEN(INDEX('Dealer pipeline'!$T$4:$T$503,_calc!$E$121))=0,"",INDEX('Dealer pipeline'!$T$4:$T$503,_calc!$E$121)))=0,"",IF(LEN(INDEX('Dealer pipeline'!$T$4:$T$503,_calc!$E$121))=0,"",INDEX('Dealer pipeline'!$T$4:$T$503,_calc!$E$121)))),TRIM(IF(LEN(IF(LEN(INDEX('My equipment'!$C$4:$C$503,(_calc!$E$121-500)))=0,"",INDEX('My equipment'!$C$4:$C$503,(_calc!$E$121-500))))=0,"","Model: "&amp;IF(LEN(INDEX('My equipment'!$C$4:$C$503,(_calc!$E$121-500)))=0,"",INDEX('My equipment'!$C$4:$C$503,(_calc!$E$121-500)))&amp;". ")&amp;IF(LEN(IF(LEN(INDEX('My equipment'!$D$4:$D$503,(_calc!$E$121-500)))=0,"",INDEX('My equipment'!$D$4:$D$503,(_calc!$E$121-500))))=0,"","Serial: "&amp;IF(LEN(INDEX('My equipment'!$D$4:$D$503,(_calc!$E$121-500)))=0,"",INDEX('My equipment'!$D$4:$D$503,(_calc!$E$121-500)))&amp;". ")&amp;IF(LEN(IF(ISNUMBER(INDEX('My equipment'!$J$4:$J$503,(_calc!$E$121-500))),TEXT(INDEX('My equipment'!$J$4:$J$503,(_calc!$E$121-500)),"yyyy-mm-dd"),""))=0,"","Parts end: "&amp;IF(ISNUMBER(INDEX('My equipment'!$J$4:$J$503,(_calc!$E$121-500))),TEXT(INDEX('My equipment'!$J$4:$J$503,(_calc!$E$121-500)),"yyyy-mm-dd"),"")&amp;". ")&amp;IF(LEN(IF(ISNUMBER(INDEX('My equipment'!$L$4:$L$503,(_calc!$E$121-500))),TEXT(INDEX('My equipment'!$L$4:$L$503,(_calc!$E$121-500)),"yyyy-mm-dd"),""))=0,"","Labor end: "&amp;IF(ISNUMBER(INDEX('My equipment'!$L$4:$L$503,(_calc!$E$121-500))),TEXT(INDEX('My equipment'!$L$4:$L$503,(_calc!$E$121-500)),"yyyy-mm-dd"),"")&amp;". ")&amp;IF(LEN(IF(ISNUMBER(INDEX('My equipment'!$P$4:$P$503,(_calc!$E$121-500))),TEXT(INDEX('My equipment'!$P$4:$P$503,(_calc!$E$121-500)),"yyyy-mm-dd"),""))=0,"","Check by: "&amp;IF(ISNUMBER(INDEX('My equipment'!$P$4:$P$503,(_calc!$E$121-500))),TEXT(INDEX('My equipment'!$P$4:$P$503,(_calc!$E$121-500)),"yyyy-mm-dd"),"")&amp;". ")&amp;IF(LEN(IF(LEN(INDEX('My equipment'!$Q$4:$Q$503,(_calc!$E$121-500)))=0,"",INDEX('My equipment'!$Q$4:$Q$503,(_calc!$E$121-500))))=0,"","Claim status: "&amp;IF(LEN(INDEX('My equipment'!$Q$4:$Q$503,(_calc!$E$121-500)))=0,"",INDEX('My equipment'!$Q$4:$Q$503,(_calc!$E$121-500)))&amp;". ")&amp;IF(LEN(IF(LEN(INDEX('My equipment'!$R$4:$R$503,(_calc!$E$121-500)))=0,"",INDEX('My equipment'!$R$4:$R$503,(_calc!$E$121-500))))=0,"","Claims contact: "&amp;IF(LEN(INDEX('My equipment'!$R$4:$R$503,(_calc!$E$121-500)))=0,"",INDEX('My equipment'!$R$4:$R$503,(_calc!$E$121-500)))&amp;". ")&amp;IF(LEN(IF(LEN(INDEX('My equipment'!$S$4:$S$503,(_calc!$E$121-500)))=0,"",INDEX('My equipment'!$S$4:$S$503,(_calc!$E$121-500))))=0,"","Claims email: "&amp;IF(LEN(INDEX('My equipment'!$S$4:$S$503,(_calc!$E$121-500)))=0,"",INDEX('My equipment'!$S$4:$S$503,(_calc!$E$121-500)))&amp;". ")&amp;IF(LEN(IF(LEN(INDEX('My equipment'!$U$4:$U$503,(_calc!$E$121-500)))=0,"",INDEX('My equipment'!$U$4:$U$503,(_calc!$E$121-500))))=0,"","Registered: "&amp;IF(LEN(INDEX('My equipment'!$U$4:$U$503,(_calc!$E$121-500)))=0,"",INDEX('My equipment'!$U$4:$U$503,(_calc!$E$121-500)))&amp;". ")&amp;IF(LEN(IF(LEN(INDEX('My equipment'!$V$4:$V$503,(_calc!$E$121-500)))=0,"",INDEX('My equipment'!$V$4:$V$503,(_calc!$E$121-500))))=0,"","Proof on file: "&amp;IF(LEN(INDEX('My equipment'!$V$4:$V$503,(_calc!$E$121-500)))=0,"",INDEX('My equipment'!$V$4:$V$503,(_calc!$E$121-500)))&amp;". ")&amp;IF(LEN(IF(LEN(INDEX('My equipment'!$W$4:$W$503,(_calc!$E$121-500)))=0,"",INDEX('My equipment'!$W$4:$W$503,(_calc!$E$121-500))))=0,"","Claim ref: "&amp;IF(LEN(INDEX('My equipment'!$W$4:$W$503,(_calc!$E$121-500)))=0,"",INDEX('My equipment'!$W$4:$W$503,(_calc!$E$121-500)))&amp;". ")&amp;IF(LEN(IF(LEN(INDEX('My equipment'!$Y$4:$Y$503,(_calc!$E$121-500)))=0,"",INDEX('My equipment'!$Y$4:$Y$503,(_calc!$E$121-500))))=0,"",IF(LEN(INDEX('My equipment'!$Y$4:$Y$503,(_calc!$E$121-500)))=0,"",INDEX('My equipment'!$Y$4:$Y$503,(_calc!$E$121-500)))))))</f>
        <v/>
      </c>
      <c r="G119" s="54">
        <f>IF(_calc!$E$121="","",IF(_calc!$E$121&lt;=500,"",IF(LEN(INDEX('My equipment'!$X$4:$X$503,(_calc!$E$121-500)))=0,"",INDEX('My equipment'!$X$4:$X$503,(_calc!$E$121-500)))))</f>
        <v/>
      </c>
      <c r="K119" s="54">
        <f>IF(_calc!$E$121="","",IF(_calc!$E$121&lt;=500,"",IF(LEN(INDEX('My equipment'!$T$4:$T$503,(_calc!$E$121-500)))=0,"",INDEX('My equipment'!$T$4:$T$503,(_calc!$E$121-500)))))</f>
        <v/>
      </c>
    </row>
    <row r="120">
      <c r="A120" s="54">
        <f>IF(_calc!$E$122="","",IF(_calc!$E$122&lt;=500,"Warranty – "&amp;IF(LEN(INDEX('Dealer pipeline'!$C$4:$C$503,_calc!$E$122))=0,"",INDEX('Dealer pipeline'!$C$4:$C$503,_calc!$E$122))&amp;" – "&amp;IF(LEN(INDEX('Dealer pipeline'!$D$4:$D$503,_calc!$E$122))=0,"",INDEX('Dealer pipeline'!$D$4:$D$503,_calc!$E$122))&amp;" – "&amp;IF(LEN(INDEX('Dealer pipeline'!$A$4:$A$503,_calc!$E$122))=0,"",INDEX('Dealer pipeline'!$A$4:$A$503,_calc!$E$122)),"Warranty – "&amp;IF(LEN(INDEX('My equipment'!$A$4:$A$503,(_calc!$E$122-500)))=0,"",INDEX('My equipment'!$A$4:$A$503,(_calc!$E$122-500)))&amp;" – "&amp;IF(LEN(INDEX('My equipment'!$D$4:$D$503,(_calc!$E$122-500)))=0,"",INDEX('My equipment'!$D$4:$D$503,(_calc!$E$122-500)))))</f>
        <v/>
      </c>
      <c r="B120" s="54">
        <f>IF(_calc!$E$122="","",IF(_calc!$E$122&lt;=500,IF(ISNUMBER(INDEX('Dealer pipeline'!$M$4:$M$503,_calc!$E$122)),TEXT(INDEX('Dealer pipeline'!$M$4:$M$503,_calc!$E$122),"yyyy-mm-dd"),""),IF(ISNUMBER(INDEX('My equipment'!$M$4:$M$503,(_calc!$E$122-500))),TEXT(INDEX('My equipment'!$M$4:$M$503,(_calc!$E$122-500)),"yyyy-mm-dd"),"")))</f>
        <v/>
      </c>
      <c r="C120" s="54">
        <f>IF(_calc!$E$122="","",IF(_calc!$E$122&lt;=500,"Warranty","Warranty"))</f>
        <v/>
      </c>
      <c r="D120" s="54">
        <f>IF(_calc!$E$122="","",IF(_calc!$E$122&lt;=500,IF(ISNUMBER(INDEX('Dealer pipeline'!$H$4:$H$503,_calc!$E$122)),TEXT(INDEX('Dealer pipeline'!$H$4:$H$503,_calc!$E$122),"yyyy-mm-dd"),""),IF(ISNUMBER(INDEX('My equipment'!$H$4:$H$503,(_calc!$E$122-500))),TEXT(INDEX('My equipment'!$H$4:$H$503,(_calc!$E$122-500)),"yyyy-mm-dd"),"")))</f>
        <v/>
      </c>
      <c r="F120" s="54">
        <f>IF(_calc!$E$122="","",IF(_calc!$E$122&lt;=500,TRIM(IF(LEN(IF(LEN(INDEX('Dealer pipeline'!$A$4:$A$503,_calc!$E$122))=0,"",INDEX('Dealer pipeline'!$A$4:$A$503,_calc!$E$122)))=0,"","Customer: "&amp;IF(LEN(INDEX('Dealer pipeline'!$A$4:$A$503,_calc!$E$122))=0,"",INDEX('Dealer pipeline'!$A$4:$A$503,_calc!$E$122))&amp;". ")&amp;IF(LEN(IF(LEN(INDEX('Dealer pipeline'!$B$4:$B$503,_calc!$E$122))=0,"",INDEX('Dealer pipeline'!$B$4:$B$503,_calc!$E$122)))=0,"","Contact: "&amp;IF(LEN(INDEX('Dealer pipeline'!$B$4:$B$503,_calc!$E$122))=0,"",INDEX('Dealer pipeline'!$B$4:$B$503,_calc!$E$122))&amp;". ")&amp;IF(LEN(IF(LEN(INDEX('Dealer pipeline'!$D$4:$D$503,_calc!$E$122))=0,"",INDEX('Dealer pipeline'!$D$4:$D$503,_calc!$E$122)))=0,"","Serial: "&amp;IF(LEN(INDEX('Dealer pipeline'!$D$4:$D$503,_calc!$E$122))=0,"",INDEX('Dealer pipeline'!$D$4:$D$503,_calc!$E$122))&amp;". ")&amp;IF(LEN(IF(ISNUMBER(INDEX('Dealer pipeline'!$J$4:$J$503,_calc!$E$122)),TEXT(INDEX('Dealer pipeline'!$J$4:$J$503,_calc!$E$122),"yyyy-mm-dd"),""))=0,"","Parts end: "&amp;IF(ISNUMBER(INDEX('Dealer pipeline'!$J$4:$J$503,_calc!$E$122)),TEXT(INDEX('Dealer pipeline'!$J$4:$J$503,_calc!$E$122),"yyyy-mm-dd"),"")&amp;". ")&amp;IF(LEN(IF(ISNUMBER(INDEX('Dealer pipeline'!$L$4:$L$503,_calc!$E$122)),TEXT(INDEX('Dealer pipeline'!$L$4:$L$503,_calc!$E$122),"yyyy-mm-dd"),""))=0,"","Labor end: "&amp;IF(ISNUMBER(INDEX('Dealer pipeline'!$L$4:$L$503,_calc!$E$122)),TEXT(INDEX('Dealer pipeline'!$L$4:$L$503,_calc!$E$122),"yyyy-mm-dd"),"")&amp;". ")&amp;IF(LEN(IF(LEN(INDEX('Dealer pipeline'!$Q$4:$Q$503,_calc!$E$122))=0,"",INDEX('Dealer pipeline'!$Q$4:$Q$503,_calc!$E$122)))=0,"","Status: "&amp;IF(LEN(INDEX('Dealer pipeline'!$Q$4:$Q$503,_calc!$E$122))=0,"",INDEX('Dealer pipeline'!$Q$4:$Q$503,_calc!$E$122))&amp;". ")&amp;IF(LEN(IF(LEN(INDEX('Dealer pipeline'!$P$4:$P$503,_calc!$E$122))=0,"",INDEX('Dealer pipeline'!$P$4:$P$503,_calc!$E$122)))=0,"","Last touch: "&amp;IF(LEN(INDEX('Dealer pipeline'!$P$4:$P$503,_calc!$E$122))=0,"",INDEX('Dealer pipeline'!$P$4:$P$503,_calc!$E$122))&amp;". ")&amp;IF(LEN(IF(LEN(INDEX('Dealer pipeline'!$R$4:$R$503,_calc!$E$122))=0,"",INDEX('Dealer pipeline'!$R$4:$R$503,_calc!$E$122)))=0,"","Owner: "&amp;IF(LEN(INDEX('Dealer pipeline'!$R$4:$R$503,_calc!$E$122))=0,"",INDEX('Dealer pipeline'!$R$4:$R$503,_calc!$E$122))&amp;". ")&amp;IF(LEN(IF(LEN(INDEX('Dealer pipeline'!$S$4:$S$503,_calc!$E$122))=0,"",INDEX('Dealer pipeline'!$S$4:$S$503,_calc!$E$122)))=0,"","Backup: "&amp;IF(LEN(INDEX('Dealer pipeline'!$S$4:$S$503,_calc!$E$122))=0,"",INDEX('Dealer pipeline'!$S$4:$S$503,_calc!$E$122))&amp;". ")&amp;IF(LEN(IF(LEN(INDEX('Dealer pipeline'!$T$4:$T$503,_calc!$E$122))=0,"",INDEX('Dealer pipeline'!$T$4:$T$503,_calc!$E$122)))=0,"",IF(LEN(INDEX('Dealer pipeline'!$T$4:$T$503,_calc!$E$122))=0,"",INDEX('Dealer pipeline'!$T$4:$T$503,_calc!$E$122)))),TRIM(IF(LEN(IF(LEN(INDEX('My equipment'!$C$4:$C$503,(_calc!$E$122-500)))=0,"",INDEX('My equipment'!$C$4:$C$503,(_calc!$E$122-500))))=0,"","Model: "&amp;IF(LEN(INDEX('My equipment'!$C$4:$C$503,(_calc!$E$122-500)))=0,"",INDEX('My equipment'!$C$4:$C$503,(_calc!$E$122-500)))&amp;". ")&amp;IF(LEN(IF(LEN(INDEX('My equipment'!$D$4:$D$503,(_calc!$E$122-500)))=0,"",INDEX('My equipment'!$D$4:$D$503,(_calc!$E$122-500))))=0,"","Serial: "&amp;IF(LEN(INDEX('My equipment'!$D$4:$D$503,(_calc!$E$122-500)))=0,"",INDEX('My equipment'!$D$4:$D$503,(_calc!$E$122-500)))&amp;". ")&amp;IF(LEN(IF(ISNUMBER(INDEX('My equipment'!$J$4:$J$503,(_calc!$E$122-500))),TEXT(INDEX('My equipment'!$J$4:$J$503,(_calc!$E$122-500)),"yyyy-mm-dd"),""))=0,"","Parts end: "&amp;IF(ISNUMBER(INDEX('My equipment'!$J$4:$J$503,(_calc!$E$122-500))),TEXT(INDEX('My equipment'!$J$4:$J$503,(_calc!$E$122-500)),"yyyy-mm-dd"),"")&amp;". ")&amp;IF(LEN(IF(ISNUMBER(INDEX('My equipment'!$L$4:$L$503,(_calc!$E$122-500))),TEXT(INDEX('My equipment'!$L$4:$L$503,(_calc!$E$122-500)),"yyyy-mm-dd"),""))=0,"","Labor end: "&amp;IF(ISNUMBER(INDEX('My equipment'!$L$4:$L$503,(_calc!$E$122-500))),TEXT(INDEX('My equipment'!$L$4:$L$503,(_calc!$E$122-500)),"yyyy-mm-dd"),"")&amp;". ")&amp;IF(LEN(IF(ISNUMBER(INDEX('My equipment'!$P$4:$P$503,(_calc!$E$122-500))),TEXT(INDEX('My equipment'!$P$4:$P$503,(_calc!$E$122-500)),"yyyy-mm-dd"),""))=0,"","Check by: "&amp;IF(ISNUMBER(INDEX('My equipment'!$P$4:$P$503,(_calc!$E$122-500))),TEXT(INDEX('My equipment'!$P$4:$P$503,(_calc!$E$122-500)),"yyyy-mm-dd"),"")&amp;". ")&amp;IF(LEN(IF(LEN(INDEX('My equipment'!$Q$4:$Q$503,(_calc!$E$122-500)))=0,"",INDEX('My equipment'!$Q$4:$Q$503,(_calc!$E$122-500))))=0,"","Claim status: "&amp;IF(LEN(INDEX('My equipment'!$Q$4:$Q$503,(_calc!$E$122-500)))=0,"",INDEX('My equipment'!$Q$4:$Q$503,(_calc!$E$122-500)))&amp;". ")&amp;IF(LEN(IF(LEN(INDEX('My equipment'!$R$4:$R$503,(_calc!$E$122-500)))=0,"",INDEX('My equipment'!$R$4:$R$503,(_calc!$E$122-500))))=0,"","Claims contact: "&amp;IF(LEN(INDEX('My equipment'!$R$4:$R$503,(_calc!$E$122-500)))=0,"",INDEX('My equipment'!$R$4:$R$503,(_calc!$E$122-500)))&amp;". ")&amp;IF(LEN(IF(LEN(INDEX('My equipment'!$S$4:$S$503,(_calc!$E$122-500)))=0,"",INDEX('My equipment'!$S$4:$S$503,(_calc!$E$122-500))))=0,"","Claims email: "&amp;IF(LEN(INDEX('My equipment'!$S$4:$S$503,(_calc!$E$122-500)))=0,"",INDEX('My equipment'!$S$4:$S$503,(_calc!$E$122-500)))&amp;". ")&amp;IF(LEN(IF(LEN(INDEX('My equipment'!$U$4:$U$503,(_calc!$E$122-500)))=0,"",INDEX('My equipment'!$U$4:$U$503,(_calc!$E$122-500))))=0,"","Registered: "&amp;IF(LEN(INDEX('My equipment'!$U$4:$U$503,(_calc!$E$122-500)))=0,"",INDEX('My equipment'!$U$4:$U$503,(_calc!$E$122-500)))&amp;". ")&amp;IF(LEN(IF(LEN(INDEX('My equipment'!$V$4:$V$503,(_calc!$E$122-500)))=0,"",INDEX('My equipment'!$V$4:$V$503,(_calc!$E$122-500))))=0,"","Proof on file: "&amp;IF(LEN(INDEX('My equipment'!$V$4:$V$503,(_calc!$E$122-500)))=0,"",INDEX('My equipment'!$V$4:$V$503,(_calc!$E$122-500)))&amp;". ")&amp;IF(LEN(IF(LEN(INDEX('My equipment'!$W$4:$W$503,(_calc!$E$122-500)))=0,"",INDEX('My equipment'!$W$4:$W$503,(_calc!$E$122-500))))=0,"","Claim ref: "&amp;IF(LEN(INDEX('My equipment'!$W$4:$W$503,(_calc!$E$122-500)))=0,"",INDEX('My equipment'!$W$4:$W$503,(_calc!$E$122-500)))&amp;". ")&amp;IF(LEN(IF(LEN(INDEX('My equipment'!$Y$4:$Y$503,(_calc!$E$122-500)))=0,"",INDEX('My equipment'!$Y$4:$Y$503,(_calc!$E$122-500))))=0,"",IF(LEN(INDEX('My equipment'!$Y$4:$Y$503,(_calc!$E$122-500)))=0,"",INDEX('My equipment'!$Y$4:$Y$503,(_calc!$E$122-500)))))))</f>
        <v/>
      </c>
      <c r="G120" s="54">
        <f>IF(_calc!$E$122="","",IF(_calc!$E$122&lt;=500,"",IF(LEN(INDEX('My equipment'!$X$4:$X$503,(_calc!$E$122-500)))=0,"",INDEX('My equipment'!$X$4:$X$503,(_calc!$E$122-500)))))</f>
        <v/>
      </c>
      <c r="K120" s="54">
        <f>IF(_calc!$E$122="","",IF(_calc!$E$122&lt;=500,"",IF(LEN(INDEX('My equipment'!$T$4:$T$503,(_calc!$E$122-500)))=0,"",INDEX('My equipment'!$T$4:$T$503,(_calc!$E$122-500)))))</f>
        <v/>
      </c>
    </row>
    <row r="121">
      <c r="A121" s="54">
        <f>IF(_calc!$E$123="","",IF(_calc!$E$123&lt;=500,"Warranty – "&amp;IF(LEN(INDEX('Dealer pipeline'!$C$4:$C$503,_calc!$E$123))=0,"",INDEX('Dealer pipeline'!$C$4:$C$503,_calc!$E$123))&amp;" – "&amp;IF(LEN(INDEX('Dealer pipeline'!$D$4:$D$503,_calc!$E$123))=0,"",INDEX('Dealer pipeline'!$D$4:$D$503,_calc!$E$123))&amp;" – "&amp;IF(LEN(INDEX('Dealer pipeline'!$A$4:$A$503,_calc!$E$123))=0,"",INDEX('Dealer pipeline'!$A$4:$A$503,_calc!$E$123)),"Warranty – "&amp;IF(LEN(INDEX('My equipment'!$A$4:$A$503,(_calc!$E$123-500)))=0,"",INDEX('My equipment'!$A$4:$A$503,(_calc!$E$123-500)))&amp;" – "&amp;IF(LEN(INDEX('My equipment'!$D$4:$D$503,(_calc!$E$123-500)))=0,"",INDEX('My equipment'!$D$4:$D$503,(_calc!$E$123-500)))))</f>
        <v/>
      </c>
      <c r="B121" s="54">
        <f>IF(_calc!$E$123="","",IF(_calc!$E$123&lt;=500,IF(ISNUMBER(INDEX('Dealer pipeline'!$M$4:$M$503,_calc!$E$123)),TEXT(INDEX('Dealer pipeline'!$M$4:$M$503,_calc!$E$123),"yyyy-mm-dd"),""),IF(ISNUMBER(INDEX('My equipment'!$M$4:$M$503,(_calc!$E$123-500))),TEXT(INDEX('My equipment'!$M$4:$M$503,(_calc!$E$123-500)),"yyyy-mm-dd"),"")))</f>
        <v/>
      </c>
      <c r="C121" s="54">
        <f>IF(_calc!$E$123="","",IF(_calc!$E$123&lt;=500,"Warranty","Warranty"))</f>
        <v/>
      </c>
      <c r="D121" s="54">
        <f>IF(_calc!$E$123="","",IF(_calc!$E$123&lt;=500,IF(ISNUMBER(INDEX('Dealer pipeline'!$H$4:$H$503,_calc!$E$123)),TEXT(INDEX('Dealer pipeline'!$H$4:$H$503,_calc!$E$123),"yyyy-mm-dd"),""),IF(ISNUMBER(INDEX('My equipment'!$H$4:$H$503,(_calc!$E$123-500))),TEXT(INDEX('My equipment'!$H$4:$H$503,(_calc!$E$123-500)),"yyyy-mm-dd"),"")))</f>
        <v/>
      </c>
      <c r="F121" s="54">
        <f>IF(_calc!$E$123="","",IF(_calc!$E$123&lt;=500,TRIM(IF(LEN(IF(LEN(INDEX('Dealer pipeline'!$A$4:$A$503,_calc!$E$123))=0,"",INDEX('Dealer pipeline'!$A$4:$A$503,_calc!$E$123)))=0,"","Customer: "&amp;IF(LEN(INDEX('Dealer pipeline'!$A$4:$A$503,_calc!$E$123))=0,"",INDEX('Dealer pipeline'!$A$4:$A$503,_calc!$E$123))&amp;". ")&amp;IF(LEN(IF(LEN(INDEX('Dealer pipeline'!$B$4:$B$503,_calc!$E$123))=0,"",INDEX('Dealer pipeline'!$B$4:$B$503,_calc!$E$123)))=0,"","Contact: "&amp;IF(LEN(INDEX('Dealer pipeline'!$B$4:$B$503,_calc!$E$123))=0,"",INDEX('Dealer pipeline'!$B$4:$B$503,_calc!$E$123))&amp;". ")&amp;IF(LEN(IF(LEN(INDEX('Dealer pipeline'!$D$4:$D$503,_calc!$E$123))=0,"",INDEX('Dealer pipeline'!$D$4:$D$503,_calc!$E$123)))=0,"","Serial: "&amp;IF(LEN(INDEX('Dealer pipeline'!$D$4:$D$503,_calc!$E$123))=0,"",INDEX('Dealer pipeline'!$D$4:$D$503,_calc!$E$123))&amp;". ")&amp;IF(LEN(IF(ISNUMBER(INDEX('Dealer pipeline'!$J$4:$J$503,_calc!$E$123)),TEXT(INDEX('Dealer pipeline'!$J$4:$J$503,_calc!$E$123),"yyyy-mm-dd"),""))=0,"","Parts end: "&amp;IF(ISNUMBER(INDEX('Dealer pipeline'!$J$4:$J$503,_calc!$E$123)),TEXT(INDEX('Dealer pipeline'!$J$4:$J$503,_calc!$E$123),"yyyy-mm-dd"),"")&amp;". ")&amp;IF(LEN(IF(ISNUMBER(INDEX('Dealer pipeline'!$L$4:$L$503,_calc!$E$123)),TEXT(INDEX('Dealer pipeline'!$L$4:$L$503,_calc!$E$123),"yyyy-mm-dd"),""))=0,"","Labor end: "&amp;IF(ISNUMBER(INDEX('Dealer pipeline'!$L$4:$L$503,_calc!$E$123)),TEXT(INDEX('Dealer pipeline'!$L$4:$L$503,_calc!$E$123),"yyyy-mm-dd"),"")&amp;". ")&amp;IF(LEN(IF(LEN(INDEX('Dealer pipeline'!$Q$4:$Q$503,_calc!$E$123))=0,"",INDEX('Dealer pipeline'!$Q$4:$Q$503,_calc!$E$123)))=0,"","Status: "&amp;IF(LEN(INDEX('Dealer pipeline'!$Q$4:$Q$503,_calc!$E$123))=0,"",INDEX('Dealer pipeline'!$Q$4:$Q$503,_calc!$E$123))&amp;". ")&amp;IF(LEN(IF(LEN(INDEX('Dealer pipeline'!$P$4:$P$503,_calc!$E$123))=0,"",INDEX('Dealer pipeline'!$P$4:$P$503,_calc!$E$123)))=0,"","Last touch: "&amp;IF(LEN(INDEX('Dealer pipeline'!$P$4:$P$503,_calc!$E$123))=0,"",INDEX('Dealer pipeline'!$P$4:$P$503,_calc!$E$123))&amp;". ")&amp;IF(LEN(IF(LEN(INDEX('Dealer pipeline'!$R$4:$R$503,_calc!$E$123))=0,"",INDEX('Dealer pipeline'!$R$4:$R$503,_calc!$E$123)))=0,"","Owner: "&amp;IF(LEN(INDEX('Dealer pipeline'!$R$4:$R$503,_calc!$E$123))=0,"",INDEX('Dealer pipeline'!$R$4:$R$503,_calc!$E$123))&amp;". ")&amp;IF(LEN(IF(LEN(INDEX('Dealer pipeline'!$S$4:$S$503,_calc!$E$123))=0,"",INDEX('Dealer pipeline'!$S$4:$S$503,_calc!$E$123)))=0,"","Backup: "&amp;IF(LEN(INDEX('Dealer pipeline'!$S$4:$S$503,_calc!$E$123))=0,"",INDEX('Dealer pipeline'!$S$4:$S$503,_calc!$E$123))&amp;". ")&amp;IF(LEN(IF(LEN(INDEX('Dealer pipeline'!$T$4:$T$503,_calc!$E$123))=0,"",INDEX('Dealer pipeline'!$T$4:$T$503,_calc!$E$123)))=0,"",IF(LEN(INDEX('Dealer pipeline'!$T$4:$T$503,_calc!$E$123))=0,"",INDEX('Dealer pipeline'!$T$4:$T$503,_calc!$E$123)))),TRIM(IF(LEN(IF(LEN(INDEX('My equipment'!$C$4:$C$503,(_calc!$E$123-500)))=0,"",INDEX('My equipment'!$C$4:$C$503,(_calc!$E$123-500))))=0,"","Model: "&amp;IF(LEN(INDEX('My equipment'!$C$4:$C$503,(_calc!$E$123-500)))=0,"",INDEX('My equipment'!$C$4:$C$503,(_calc!$E$123-500)))&amp;". ")&amp;IF(LEN(IF(LEN(INDEX('My equipment'!$D$4:$D$503,(_calc!$E$123-500)))=0,"",INDEX('My equipment'!$D$4:$D$503,(_calc!$E$123-500))))=0,"","Serial: "&amp;IF(LEN(INDEX('My equipment'!$D$4:$D$503,(_calc!$E$123-500)))=0,"",INDEX('My equipment'!$D$4:$D$503,(_calc!$E$123-500)))&amp;". ")&amp;IF(LEN(IF(ISNUMBER(INDEX('My equipment'!$J$4:$J$503,(_calc!$E$123-500))),TEXT(INDEX('My equipment'!$J$4:$J$503,(_calc!$E$123-500)),"yyyy-mm-dd"),""))=0,"","Parts end: "&amp;IF(ISNUMBER(INDEX('My equipment'!$J$4:$J$503,(_calc!$E$123-500))),TEXT(INDEX('My equipment'!$J$4:$J$503,(_calc!$E$123-500)),"yyyy-mm-dd"),"")&amp;". ")&amp;IF(LEN(IF(ISNUMBER(INDEX('My equipment'!$L$4:$L$503,(_calc!$E$123-500))),TEXT(INDEX('My equipment'!$L$4:$L$503,(_calc!$E$123-500)),"yyyy-mm-dd"),""))=0,"","Labor end: "&amp;IF(ISNUMBER(INDEX('My equipment'!$L$4:$L$503,(_calc!$E$123-500))),TEXT(INDEX('My equipment'!$L$4:$L$503,(_calc!$E$123-500)),"yyyy-mm-dd"),"")&amp;". ")&amp;IF(LEN(IF(ISNUMBER(INDEX('My equipment'!$P$4:$P$503,(_calc!$E$123-500))),TEXT(INDEX('My equipment'!$P$4:$P$503,(_calc!$E$123-500)),"yyyy-mm-dd"),""))=0,"","Check by: "&amp;IF(ISNUMBER(INDEX('My equipment'!$P$4:$P$503,(_calc!$E$123-500))),TEXT(INDEX('My equipment'!$P$4:$P$503,(_calc!$E$123-500)),"yyyy-mm-dd"),"")&amp;". ")&amp;IF(LEN(IF(LEN(INDEX('My equipment'!$Q$4:$Q$503,(_calc!$E$123-500)))=0,"",INDEX('My equipment'!$Q$4:$Q$503,(_calc!$E$123-500))))=0,"","Claim status: "&amp;IF(LEN(INDEX('My equipment'!$Q$4:$Q$503,(_calc!$E$123-500)))=0,"",INDEX('My equipment'!$Q$4:$Q$503,(_calc!$E$123-500)))&amp;". ")&amp;IF(LEN(IF(LEN(INDEX('My equipment'!$R$4:$R$503,(_calc!$E$123-500)))=0,"",INDEX('My equipment'!$R$4:$R$503,(_calc!$E$123-500))))=0,"","Claims contact: "&amp;IF(LEN(INDEX('My equipment'!$R$4:$R$503,(_calc!$E$123-500)))=0,"",INDEX('My equipment'!$R$4:$R$503,(_calc!$E$123-500)))&amp;". ")&amp;IF(LEN(IF(LEN(INDEX('My equipment'!$S$4:$S$503,(_calc!$E$123-500)))=0,"",INDEX('My equipment'!$S$4:$S$503,(_calc!$E$123-500))))=0,"","Claims email: "&amp;IF(LEN(INDEX('My equipment'!$S$4:$S$503,(_calc!$E$123-500)))=0,"",INDEX('My equipment'!$S$4:$S$503,(_calc!$E$123-500)))&amp;". ")&amp;IF(LEN(IF(LEN(INDEX('My equipment'!$U$4:$U$503,(_calc!$E$123-500)))=0,"",INDEX('My equipment'!$U$4:$U$503,(_calc!$E$123-500))))=0,"","Registered: "&amp;IF(LEN(INDEX('My equipment'!$U$4:$U$503,(_calc!$E$123-500)))=0,"",INDEX('My equipment'!$U$4:$U$503,(_calc!$E$123-500)))&amp;". ")&amp;IF(LEN(IF(LEN(INDEX('My equipment'!$V$4:$V$503,(_calc!$E$123-500)))=0,"",INDEX('My equipment'!$V$4:$V$503,(_calc!$E$123-500))))=0,"","Proof on file: "&amp;IF(LEN(INDEX('My equipment'!$V$4:$V$503,(_calc!$E$123-500)))=0,"",INDEX('My equipment'!$V$4:$V$503,(_calc!$E$123-500)))&amp;". ")&amp;IF(LEN(IF(LEN(INDEX('My equipment'!$W$4:$W$503,(_calc!$E$123-500)))=0,"",INDEX('My equipment'!$W$4:$W$503,(_calc!$E$123-500))))=0,"","Claim ref: "&amp;IF(LEN(INDEX('My equipment'!$W$4:$W$503,(_calc!$E$123-500)))=0,"",INDEX('My equipment'!$W$4:$W$503,(_calc!$E$123-500)))&amp;". ")&amp;IF(LEN(IF(LEN(INDEX('My equipment'!$Y$4:$Y$503,(_calc!$E$123-500)))=0,"",INDEX('My equipment'!$Y$4:$Y$503,(_calc!$E$123-500))))=0,"",IF(LEN(INDEX('My equipment'!$Y$4:$Y$503,(_calc!$E$123-500)))=0,"",INDEX('My equipment'!$Y$4:$Y$503,(_calc!$E$123-500)))))))</f>
        <v/>
      </c>
      <c r="G121" s="54">
        <f>IF(_calc!$E$123="","",IF(_calc!$E$123&lt;=500,"",IF(LEN(INDEX('My equipment'!$X$4:$X$503,(_calc!$E$123-500)))=0,"",INDEX('My equipment'!$X$4:$X$503,(_calc!$E$123-500)))))</f>
        <v/>
      </c>
      <c r="K121" s="54">
        <f>IF(_calc!$E$123="","",IF(_calc!$E$123&lt;=500,"",IF(LEN(INDEX('My equipment'!$T$4:$T$503,(_calc!$E$123-500)))=0,"",INDEX('My equipment'!$T$4:$T$503,(_calc!$E$123-500)))))</f>
        <v/>
      </c>
    </row>
    <row r="122">
      <c r="A122" s="54">
        <f>IF(_calc!$E$124="","",IF(_calc!$E$124&lt;=500,"Warranty – "&amp;IF(LEN(INDEX('Dealer pipeline'!$C$4:$C$503,_calc!$E$124))=0,"",INDEX('Dealer pipeline'!$C$4:$C$503,_calc!$E$124))&amp;" – "&amp;IF(LEN(INDEX('Dealer pipeline'!$D$4:$D$503,_calc!$E$124))=0,"",INDEX('Dealer pipeline'!$D$4:$D$503,_calc!$E$124))&amp;" – "&amp;IF(LEN(INDEX('Dealer pipeline'!$A$4:$A$503,_calc!$E$124))=0,"",INDEX('Dealer pipeline'!$A$4:$A$503,_calc!$E$124)),"Warranty – "&amp;IF(LEN(INDEX('My equipment'!$A$4:$A$503,(_calc!$E$124-500)))=0,"",INDEX('My equipment'!$A$4:$A$503,(_calc!$E$124-500)))&amp;" – "&amp;IF(LEN(INDEX('My equipment'!$D$4:$D$503,(_calc!$E$124-500)))=0,"",INDEX('My equipment'!$D$4:$D$503,(_calc!$E$124-500)))))</f>
        <v/>
      </c>
      <c r="B122" s="54">
        <f>IF(_calc!$E$124="","",IF(_calc!$E$124&lt;=500,IF(ISNUMBER(INDEX('Dealer pipeline'!$M$4:$M$503,_calc!$E$124)),TEXT(INDEX('Dealer pipeline'!$M$4:$M$503,_calc!$E$124),"yyyy-mm-dd"),""),IF(ISNUMBER(INDEX('My equipment'!$M$4:$M$503,(_calc!$E$124-500))),TEXT(INDEX('My equipment'!$M$4:$M$503,(_calc!$E$124-500)),"yyyy-mm-dd"),"")))</f>
        <v/>
      </c>
      <c r="C122" s="54">
        <f>IF(_calc!$E$124="","",IF(_calc!$E$124&lt;=500,"Warranty","Warranty"))</f>
        <v/>
      </c>
      <c r="D122" s="54">
        <f>IF(_calc!$E$124="","",IF(_calc!$E$124&lt;=500,IF(ISNUMBER(INDEX('Dealer pipeline'!$H$4:$H$503,_calc!$E$124)),TEXT(INDEX('Dealer pipeline'!$H$4:$H$503,_calc!$E$124),"yyyy-mm-dd"),""),IF(ISNUMBER(INDEX('My equipment'!$H$4:$H$503,(_calc!$E$124-500))),TEXT(INDEX('My equipment'!$H$4:$H$503,(_calc!$E$124-500)),"yyyy-mm-dd"),"")))</f>
        <v/>
      </c>
      <c r="F122" s="54">
        <f>IF(_calc!$E$124="","",IF(_calc!$E$124&lt;=500,TRIM(IF(LEN(IF(LEN(INDEX('Dealer pipeline'!$A$4:$A$503,_calc!$E$124))=0,"",INDEX('Dealer pipeline'!$A$4:$A$503,_calc!$E$124)))=0,"","Customer: "&amp;IF(LEN(INDEX('Dealer pipeline'!$A$4:$A$503,_calc!$E$124))=0,"",INDEX('Dealer pipeline'!$A$4:$A$503,_calc!$E$124))&amp;". ")&amp;IF(LEN(IF(LEN(INDEX('Dealer pipeline'!$B$4:$B$503,_calc!$E$124))=0,"",INDEX('Dealer pipeline'!$B$4:$B$503,_calc!$E$124)))=0,"","Contact: "&amp;IF(LEN(INDEX('Dealer pipeline'!$B$4:$B$503,_calc!$E$124))=0,"",INDEX('Dealer pipeline'!$B$4:$B$503,_calc!$E$124))&amp;". ")&amp;IF(LEN(IF(LEN(INDEX('Dealer pipeline'!$D$4:$D$503,_calc!$E$124))=0,"",INDEX('Dealer pipeline'!$D$4:$D$503,_calc!$E$124)))=0,"","Serial: "&amp;IF(LEN(INDEX('Dealer pipeline'!$D$4:$D$503,_calc!$E$124))=0,"",INDEX('Dealer pipeline'!$D$4:$D$503,_calc!$E$124))&amp;". ")&amp;IF(LEN(IF(ISNUMBER(INDEX('Dealer pipeline'!$J$4:$J$503,_calc!$E$124)),TEXT(INDEX('Dealer pipeline'!$J$4:$J$503,_calc!$E$124),"yyyy-mm-dd"),""))=0,"","Parts end: "&amp;IF(ISNUMBER(INDEX('Dealer pipeline'!$J$4:$J$503,_calc!$E$124)),TEXT(INDEX('Dealer pipeline'!$J$4:$J$503,_calc!$E$124),"yyyy-mm-dd"),"")&amp;". ")&amp;IF(LEN(IF(ISNUMBER(INDEX('Dealer pipeline'!$L$4:$L$503,_calc!$E$124)),TEXT(INDEX('Dealer pipeline'!$L$4:$L$503,_calc!$E$124),"yyyy-mm-dd"),""))=0,"","Labor end: "&amp;IF(ISNUMBER(INDEX('Dealer pipeline'!$L$4:$L$503,_calc!$E$124)),TEXT(INDEX('Dealer pipeline'!$L$4:$L$503,_calc!$E$124),"yyyy-mm-dd"),"")&amp;". ")&amp;IF(LEN(IF(LEN(INDEX('Dealer pipeline'!$Q$4:$Q$503,_calc!$E$124))=0,"",INDEX('Dealer pipeline'!$Q$4:$Q$503,_calc!$E$124)))=0,"","Status: "&amp;IF(LEN(INDEX('Dealer pipeline'!$Q$4:$Q$503,_calc!$E$124))=0,"",INDEX('Dealer pipeline'!$Q$4:$Q$503,_calc!$E$124))&amp;". ")&amp;IF(LEN(IF(LEN(INDEX('Dealer pipeline'!$P$4:$P$503,_calc!$E$124))=0,"",INDEX('Dealer pipeline'!$P$4:$P$503,_calc!$E$124)))=0,"","Last touch: "&amp;IF(LEN(INDEX('Dealer pipeline'!$P$4:$P$503,_calc!$E$124))=0,"",INDEX('Dealer pipeline'!$P$4:$P$503,_calc!$E$124))&amp;". ")&amp;IF(LEN(IF(LEN(INDEX('Dealer pipeline'!$R$4:$R$503,_calc!$E$124))=0,"",INDEX('Dealer pipeline'!$R$4:$R$503,_calc!$E$124)))=0,"","Owner: "&amp;IF(LEN(INDEX('Dealer pipeline'!$R$4:$R$503,_calc!$E$124))=0,"",INDEX('Dealer pipeline'!$R$4:$R$503,_calc!$E$124))&amp;". ")&amp;IF(LEN(IF(LEN(INDEX('Dealer pipeline'!$S$4:$S$503,_calc!$E$124))=0,"",INDEX('Dealer pipeline'!$S$4:$S$503,_calc!$E$124)))=0,"","Backup: "&amp;IF(LEN(INDEX('Dealer pipeline'!$S$4:$S$503,_calc!$E$124))=0,"",INDEX('Dealer pipeline'!$S$4:$S$503,_calc!$E$124))&amp;". ")&amp;IF(LEN(IF(LEN(INDEX('Dealer pipeline'!$T$4:$T$503,_calc!$E$124))=0,"",INDEX('Dealer pipeline'!$T$4:$T$503,_calc!$E$124)))=0,"",IF(LEN(INDEX('Dealer pipeline'!$T$4:$T$503,_calc!$E$124))=0,"",INDEX('Dealer pipeline'!$T$4:$T$503,_calc!$E$124)))),TRIM(IF(LEN(IF(LEN(INDEX('My equipment'!$C$4:$C$503,(_calc!$E$124-500)))=0,"",INDEX('My equipment'!$C$4:$C$503,(_calc!$E$124-500))))=0,"","Model: "&amp;IF(LEN(INDEX('My equipment'!$C$4:$C$503,(_calc!$E$124-500)))=0,"",INDEX('My equipment'!$C$4:$C$503,(_calc!$E$124-500)))&amp;". ")&amp;IF(LEN(IF(LEN(INDEX('My equipment'!$D$4:$D$503,(_calc!$E$124-500)))=0,"",INDEX('My equipment'!$D$4:$D$503,(_calc!$E$124-500))))=0,"","Serial: "&amp;IF(LEN(INDEX('My equipment'!$D$4:$D$503,(_calc!$E$124-500)))=0,"",INDEX('My equipment'!$D$4:$D$503,(_calc!$E$124-500)))&amp;". ")&amp;IF(LEN(IF(ISNUMBER(INDEX('My equipment'!$J$4:$J$503,(_calc!$E$124-500))),TEXT(INDEX('My equipment'!$J$4:$J$503,(_calc!$E$124-500)),"yyyy-mm-dd"),""))=0,"","Parts end: "&amp;IF(ISNUMBER(INDEX('My equipment'!$J$4:$J$503,(_calc!$E$124-500))),TEXT(INDEX('My equipment'!$J$4:$J$503,(_calc!$E$124-500)),"yyyy-mm-dd"),"")&amp;". ")&amp;IF(LEN(IF(ISNUMBER(INDEX('My equipment'!$L$4:$L$503,(_calc!$E$124-500))),TEXT(INDEX('My equipment'!$L$4:$L$503,(_calc!$E$124-500)),"yyyy-mm-dd"),""))=0,"","Labor end: "&amp;IF(ISNUMBER(INDEX('My equipment'!$L$4:$L$503,(_calc!$E$124-500))),TEXT(INDEX('My equipment'!$L$4:$L$503,(_calc!$E$124-500)),"yyyy-mm-dd"),"")&amp;". ")&amp;IF(LEN(IF(ISNUMBER(INDEX('My equipment'!$P$4:$P$503,(_calc!$E$124-500))),TEXT(INDEX('My equipment'!$P$4:$P$503,(_calc!$E$124-500)),"yyyy-mm-dd"),""))=0,"","Check by: "&amp;IF(ISNUMBER(INDEX('My equipment'!$P$4:$P$503,(_calc!$E$124-500))),TEXT(INDEX('My equipment'!$P$4:$P$503,(_calc!$E$124-500)),"yyyy-mm-dd"),"")&amp;". ")&amp;IF(LEN(IF(LEN(INDEX('My equipment'!$Q$4:$Q$503,(_calc!$E$124-500)))=0,"",INDEX('My equipment'!$Q$4:$Q$503,(_calc!$E$124-500))))=0,"","Claim status: "&amp;IF(LEN(INDEX('My equipment'!$Q$4:$Q$503,(_calc!$E$124-500)))=0,"",INDEX('My equipment'!$Q$4:$Q$503,(_calc!$E$124-500)))&amp;". ")&amp;IF(LEN(IF(LEN(INDEX('My equipment'!$R$4:$R$503,(_calc!$E$124-500)))=0,"",INDEX('My equipment'!$R$4:$R$503,(_calc!$E$124-500))))=0,"","Claims contact: "&amp;IF(LEN(INDEX('My equipment'!$R$4:$R$503,(_calc!$E$124-500)))=0,"",INDEX('My equipment'!$R$4:$R$503,(_calc!$E$124-500)))&amp;". ")&amp;IF(LEN(IF(LEN(INDEX('My equipment'!$S$4:$S$503,(_calc!$E$124-500)))=0,"",INDEX('My equipment'!$S$4:$S$503,(_calc!$E$124-500))))=0,"","Claims email: "&amp;IF(LEN(INDEX('My equipment'!$S$4:$S$503,(_calc!$E$124-500)))=0,"",INDEX('My equipment'!$S$4:$S$503,(_calc!$E$124-500)))&amp;". ")&amp;IF(LEN(IF(LEN(INDEX('My equipment'!$U$4:$U$503,(_calc!$E$124-500)))=0,"",INDEX('My equipment'!$U$4:$U$503,(_calc!$E$124-500))))=0,"","Registered: "&amp;IF(LEN(INDEX('My equipment'!$U$4:$U$503,(_calc!$E$124-500)))=0,"",INDEX('My equipment'!$U$4:$U$503,(_calc!$E$124-500)))&amp;". ")&amp;IF(LEN(IF(LEN(INDEX('My equipment'!$V$4:$V$503,(_calc!$E$124-500)))=0,"",INDEX('My equipment'!$V$4:$V$503,(_calc!$E$124-500))))=0,"","Proof on file: "&amp;IF(LEN(INDEX('My equipment'!$V$4:$V$503,(_calc!$E$124-500)))=0,"",INDEX('My equipment'!$V$4:$V$503,(_calc!$E$124-500)))&amp;". ")&amp;IF(LEN(IF(LEN(INDEX('My equipment'!$W$4:$W$503,(_calc!$E$124-500)))=0,"",INDEX('My equipment'!$W$4:$W$503,(_calc!$E$124-500))))=0,"","Claim ref: "&amp;IF(LEN(INDEX('My equipment'!$W$4:$W$503,(_calc!$E$124-500)))=0,"",INDEX('My equipment'!$W$4:$W$503,(_calc!$E$124-500)))&amp;". ")&amp;IF(LEN(IF(LEN(INDEX('My equipment'!$Y$4:$Y$503,(_calc!$E$124-500)))=0,"",INDEX('My equipment'!$Y$4:$Y$503,(_calc!$E$124-500))))=0,"",IF(LEN(INDEX('My equipment'!$Y$4:$Y$503,(_calc!$E$124-500)))=0,"",INDEX('My equipment'!$Y$4:$Y$503,(_calc!$E$124-500)))))))</f>
        <v/>
      </c>
      <c r="G122" s="54">
        <f>IF(_calc!$E$124="","",IF(_calc!$E$124&lt;=500,"",IF(LEN(INDEX('My equipment'!$X$4:$X$503,(_calc!$E$124-500)))=0,"",INDEX('My equipment'!$X$4:$X$503,(_calc!$E$124-500)))))</f>
        <v/>
      </c>
      <c r="K122" s="54">
        <f>IF(_calc!$E$124="","",IF(_calc!$E$124&lt;=500,"",IF(LEN(INDEX('My equipment'!$T$4:$T$503,(_calc!$E$124-500)))=0,"",INDEX('My equipment'!$T$4:$T$503,(_calc!$E$124-500)))))</f>
        <v/>
      </c>
    </row>
    <row r="123">
      <c r="A123" s="54">
        <f>IF(_calc!$E$125="","",IF(_calc!$E$125&lt;=500,"Warranty – "&amp;IF(LEN(INDEX('Dealer pipeline'!$C$4:$C$503,_calc!$E$125))=0,"",INDEX('Dealer pipeline'!$C$4:$C$503,_calc!$E$125))&amp;" – "&amp;IF(LEN(INDEX('Dealer pipeline'!$D$4:$D$503,_calc!$E$125))=0,"",INDEX('Dealer pipeline'!$D$4:$D$503,_calc!$E$125))&amp;" – "&amp;IF(LEN(INDEX('Dealer pipeline'!$A$4:$A$503,_calc!$E$125))=0,"",INDEX('Dealer pipeline'!$A$4:$A$503,_calc!$E$125)),"Warranty – "&amp;IF(LEN(INDEX('My equipment'!$A$4:$A$503,(_calc!$E$125-500)))=0,"",INDEX('My equipment'!$A$4:$A$503,(_calc!$E$125-500)))&amp;" – "&amp;IF(LEN(INDEX('My equipment'!$D$4:$D$503,(_calc!$E$125-500)))=0,"",INDEX('My equipment'!$D$4:$D$503,(_calc!$E$125-500)))))</f>
        <v/>
      </c>
      <c r="B123" s="54">
        <f>IF(_calc!$E$125="","",IF(_calc!$E$125&lt;=500,IF(ISNUMBER(INDEX('Dealer pipeline'!$M$4:$M$503,_calc!$E$125)),TEXT(INDEX('Dealer pipeline'!$M$4:$M$503,_calc!$E$125),"yyyy-mm-dd"),""),IF(ISNUMBER(INDEX('My equipment'!$M$4:$M$503,(_calc!$E$125-500))),TEXT(INDEX('My equipment'!$M$4:$M$503,(_calc!$E$125-500)),"yyyy-mm-dd"),"")))</f>
        <v/>
      </c>
      <c r="C123" s="54">
        <f>IF(_calc!$E$125="","",IF(_calc!$E$125&lt;=500,"Warranty","Warranty"))</f>
        <v/>
      </c>
      <c r="D123" s="54">
        <f>IF(_calc!$E$125="","",IF(_calc!$E$125&lt;=500,IF(ISNUMBER(INDEX('Dealer pipeline'!$H$4:$H$503,_calc!$E$125)),TEXT(INDEX('Dealer pipeline'!$H$4:$H$503,_calc!$E$125),"yyyy-mm-dd"),""),IF(ISNUMBER(INDEX('My equipment'!$H$4:$H$503,(_calc!$E$125-500))),TEXT(INDEX('My equipment'!$H$4:$H$503,(_calc!$E$125-500)),"yyyy-mm-dd"),"")))</f>
        <v/>
      </c>
      <c r="F123" s="54">
        <f>IF(_calc!$E$125="","",IF(_calc!$E$125&lt;=500,TRIM(IF(LEN(IF(LEN(INDEX('Dealer pipeline'!$A$4:$A$503,_calc!$E$125))=0,"",INDEX('Dealer pipeline'!$A$4:$A$503,_calc!$E$125)))=0,"","Customer: "&amp;IF(LEN(INDEX('Dealer pipeline'!$A$4:$A$503,_calc!$E$125))=0,"",INDEX('Dealer pipeline'!$A$4:$A$503,_calc!$E$125))&amp;". ")&amp;IF(LEN(IF(LEN(INDEX('Dealer pipeline'!$B$4:$B$503,_calc!$E$125))=0,"",INDEX('Dealer pipeline'!$B$4:$B$503,_calc!$E$125)))=0,"","Contact: "&amp;IF(LEN(INDEX('Dealer pipeline'!$B$4:$B$503,_calc!$E$125))=0,"",INDEX('Dealer pipeline'!$B$4:$B$503,_calc!$E$125))&amp;". ")&amp;IF(LEN(IF(LEN(INDEX('Dealer pipeline'!$D$4:$D$503,_calc!$E$125))=0,"",INDEX('Dealer pipeline'!$D$4:$D$503,_calc!$E$125)))=0,"","Serial: "&amp;IF(LEN(INDEX('Dealer pipeline'!$D$4:$D$503,_calc!$E$125))=0,"",INDEX('Dealer pipeline'!$D$4:$D$503,_calc!$E$125))&amp;". ")&amp;IF(LEN(IF(ISNUMBER(INDEX('Dealer pipeline'!$J$4:$J$503,_calc!$E$125)),TEXT(INDEX('Dealer pipeline'!$J$4:$J$503,_calc!$E$125),"yyyy-mm-dd"),""))=0,"","Parts end: "&amp;IF(ISNUMBER(INDEX('Dealer pipeline'!$J$4:$J$503,_calc!$E$125)),TEXT(INDEX('Dealer pipeline'!$J$4:$J$503,_calc!$E$125),"yyyy-mm-dd"),"")&amp;". ")&amp;IF(LEN(IF(ISNUMBER(INDEX('Dealer pipeline'!$L$4:$L$503,_calc!$E$125)),TEXT(INDEX('Dealer pipeline'!$L$4:$L$503,_calc!$E$125),"yyyy-mm-dd"),""))=0,"","Labor end: "&amp;IF(ISNUMBER(INDEX('Dealer pipeline'!$L$4:$L$503,_calc!$E$125)),TEXT(INDEX('Dealer pipeline'!$L$4:$L$503,_calc!$E$125),"yyyy-mm-dd"),"")&amp;". ")&amp;IF(LEN(IF(LEN(INDEX('Dealer pipeline'!$Q$4:$Q$503,_calc!$E$125))=0,"",INDEX('Dealer pipeline'!$Q$4:$Q$503,_calc!$E$125)))=0,"","Status: "&amp;IF(LEN(INDEX('Dealer pipeline'!$Q$4:$Q$503,_calc!$E$125))=0,"",INDEX('Dealer pipeline'!$Q$4:$Q$503,_calc!$E$125))&amp;". ")&amp;IF(LEN(IF(LEN(INDEX('Dealer pipeline'!$P$4:$P$503,_calc!$E$125))=0,"",INDEX('Dealer pipeline'!$P$4:$P$503,_calc!$E$125)))=0,"","Last touch: "&amp;IF(LEN(INDEX('Dealer pipeline'!$P$4:$P$503,_calc!$E$125))=0,"",INDEX('Dealer pipeline'!$P$4:$P$503,_calc!$E$125))&amp;". ")&amp;IF(LEN(IF(LEN(INDEX('Dealer pipeline'!$R$4:$R$503,_calc!$E$125))=0,"",INDEX('Dealer pipeline'!$R$4:$R$503,_calc!$E$125)))=0,"","Owner: "&amp;IF(LEN(INDEX('Dealer pipeline'!$R$4:$R$503,_calc!$E$125))=0,"",INDEX('Dealer pipeline'!$R$4:$R$503,_calc!$E$125))&amp;". ")&amp;IF(LEN(IF(LEN(INDEX('Dealer pipeline'!$S$4:$S$503,_calc!$E$125))=0,"",INDEX('Dealer pipeline'!$S$4:$S$503,_calc!$E$125)))=0,"","Backup: "&amp;IF(LEN(INDEX('Dealer pipeline'!$S$4:$S$503,_calc!$E$125))=0,"",INDEX('Dealer pipeline'!$S$4:$S$503,_calc!$E$125))&amp;". ")&amp;IF(LEN(IF(LEN(INDEX('Dealer pipeline'!$T$4:$T$503,_calc!$E$125))=0,"",INDEX('Dealer pipeline'!$T$4:$T$503,_calc!$E$125)))=0,"",IF(LEN(INDEX('Dealer pipeline'!$T$4:$T$503,_calc!$E$125))=0,"",INDEX('Dealer pipeline'!$T$4:$T$503,_calc!$E$125)))),TRIM(IF(LEN(IF(LEN(INDEX('My equipment'!$C$4:$C$503,(_calc!$E$125-500)))=0,"",INDEX('My equipment'!$C$4:$C$503,(_calc!$E$125-500))))=0,"","Model: "&amp;IF(LEN(INDEX('My equipment'!$C$4:$C$503,(_calc!$E$125-500)))=0,"",INDEX('My equipment'!$C$4:$C$503,(_calc!$E$125-500)))&amp;". ")&amp;IF(LEN(IF(LEN(INDEX('My equipment'!$D$4:$D$503,(_calc!$E$125-500)))=0,"",INDEX('My equipment'!$D$4:$D$503,(_calc!$E$125-500))))=0,"","Serial: "&amp;IF(LEN(INDEX('My equipment'!$D$4:$D$503,(_calc!$E$125-500)))=0,"",INDEX('My equipment'!$D$4:$D$503,(_calc!$E$125-500)))&amp;". ")&amp;IF(LEN(IF(ISNUMBER(INDEX('My equipment'!$J$4:$J$503,(_calc!$E$125-500))),TEXT(INDEX('My equipment'!$J$4:$J$503,(_calc!$E$125-500)),"yyyy-mm-dd"),""))=0,"","Parts end: "&amp;IF(ISNUMBER(INDEX('My equipment'!$J$4:$J$503,(_calc!$E$125-500))),TEXT(INDEX('My equipment'!$J$4:$J$503,(_calc!$E$125-500)),"yyyy-mm-dd"),"")&amp;". ")&amp;IF(LEN(IF(ISNUMBER(INDEX('My equipment'!$L$4:$L$503,(_calc!$E$125-500))),TEXT(INDEX('My equipment'!$L$4:$L$503,(_calc!$E$125-500)),"yyyy-mm-dd"),""))=0,"","Labor end: "&amp;IF(ISNUMBER(INDEX('My equipment'!$L$4:$L$503,(_calc!$E$125-500))),TEXT(INDEX('My equipment'!$L$4:$L$503,(_calc!$E$125-500)),"yyyy-mm-dd"),"")&amp;". ")&amp;IF(LEN(IF(ISNUMBER(INDEX('My equipment'!$P$4:$P$503,(_calc!$E$125-500))),TEXT(INDEX('My equipment'!$P$4:$P$503,(_calc!$E$125-500)),"yyyy-mm-dd"),""))=0,"","Check by: "&amp;IF(ISNUMBER(INDEX('My equipment'!$P$4:$P$503,(_calc!$E$125-500))),TEXT(INDEX('My equipment'!$P$4:$P$503,(_calc!$E$125-500)),"yyyy-mm-dd"),"")&amp;". ")&amp;IF(LEN(IF(LEN(INDEX('My equipment'!$Q$4:$Q$503,(_calc!$E$125-500)))=0,"",INDEX('My equipment'!$Q$4:$Q$503,(_calc!$E$125-500))))=0,"","Claim status: "&amp;IF(LEN(INDEX('My equipment'!$Q$4:$Q$503,(_calc!$E$125-500)))=0,"",INDEX('My equipment'!$Q$4:$Q$503,(_calc!$E$125-500)))&amp;". ")&amp;IF(LEN(IF(LEN(INDEX('My equipment'!$R$4:$R$503,(_calc!$E$125-500)))=0,"",INDEX('My equipment'!$R$4:$R$503,(_calc!$E$125-500))))=0,"","Claims contact: "&amp;IF(LEN(INDEX('My equipment'!$R$4:$R$503,(_calc!$E$125-500)))=0,"",INDEX('My equipment'!$R$4:$R$503,(_calc!$E$125-500)))&amp;". ")&amp;IF(LEN(IF(LEN(INDEX('My equipment'!$S$4:$S$503,(_calc!$E$125-500)))=0,"",INDEX('My equipment'!$S$4:$S$503,(_calc!$E$125-500))))=0,"","Claims email: "&amp;IF(LEN(INDEX('My equipment'!$S$4:$S$503,(_calc!$E$125-500)))=0,"",INDEX('My equipment'!$S$4:$S$503,(_calc!$E$125-500)))&amp;". ")&amp;IF(LEN(IF(LEN(INDEX('My equipment'!$U$4:$U$503,(_calc!$E$125-500)))=0,"",INDEX('My equipment'!$U$4:$U$503,(_calc!$E$125-500))))=0,"","Registered: "&amp;IF(LEN(INDEX('My equipment'!$U$4:$U$503,(_calc!$E$125-500)))=0,"",INDEX('My equipment'!$U$4:$U$503,(_calc!$E$125-500)))&amp;". ")&amp;IF(LEN(IF(LEN(INDEX('My equipment'!$V$4:$V$503,(_calc!$E$125-500)))=0,"",INDEX('My equipment'!$V$4:$V$503,(_calc!$E$125-500))))=0,"","Proof on file: "&amp;IF(LEN(INDEX('My equipment'!$V$4:$V$503,(_calc!$E$125-500)))=0,"",INDEX('My equipment'!$V$4:$V$503,(_calc!$E$125-500)))&amp;". ")&amp;IF(LEN(IF(LEN(INDEX('My equipment'!$W$4:$W$503,(_calc!$E$125-500)))=0,"",INDEX('My equipment'!$W$4:$W$503,(_calc!$E$125-500))))=0,"","Claim ref: "&amp;IF(LEN(INDEX('My equipment'!$W$4:$W$503,(_calc!$E$125-500)))=0,"",INDEX('My equipment'!$W$4:$W$503,(_calc!$E$125-500)))&amp;". ")&amp;IF(LEN(IF(LEN(INDEX('My equipment'!$Y$4:$Y$503,(_calc!$E$125-500)))=0,"",INDEX('My equipment'!$Y$4:$Y$503,(_calc!$E$125-500))))=0,"",IF(LEN(INDEX('My equipment'!$Y$4:$Y$503,(_calc!$E$125-500)))=0,"",INDEX('My equipment'!$Y$4:$Y$503,(_calc!$E$125-500)))))))</f>
        <v/>
      </c>
      <c r="G123" s="54">
        <f>IF(_calc!$E$125="","",IF(_calc!$E$125&lt;=500,"",IF(LEN(INDEX('My equipment'!$X$4:$X$503,(_calc!$E$125-500)))=0,"",INDEX('My equipment'!$X$4:$X$503,(_calc!$E$125-500)))))</f>
        <v/>
      </c>
      <c r="K123" s="54">
        <f>IF(_calc!$E$125="","",IF(_calc!$E$125&lt;=500,"",IF(LEN(INDEX('My equipment'!$T$4:$T$503,(_calc!$E$125-500)))=0,"",INDEX('My equipment'!$T$4:$T$503,(_calc!$E$125-500)))))</f>
        <v/>
      </c>
    </row>
    <row r="124">
      <c r="A124" s="54">
        <f>IF(_calc!$E$126="","",IF(_calc!$E$126&lt;=500,"Warranty – "&amp;IF(LEN(INDEX('Dealer pipeline'!$C$4:$C$503,_calc!$E$126))=0,"",INDEX('Dealer pipeline'!$C$4:$C$503,_calc!$E$126))&amp;" – "&amp;IF(LEN(INDEX('Dealer pipeline'!$D$4:$D$503,_calc!$E$126))=0,"",INDEX('Dealer pipeline'!$D$4:$D$503,_calc!$E$126))&amp;" – "&amp;IF(LEN(INDEX('Dealer pipeline'!$A$4:$A$503,_calc!$E$126))=0,"",INDEX('Dealer pipeline'!$A$4:$A$503,_calc!$E$126)),"Warranty – "&amp;IF(LEN(INDEX('My equipment'!$A$4:$A$503,(_calc!$E$126-500)))=0,"",INDEX('My equipment'!$A$4:$A$503,(_calc!$E$126-500)))&amp;" – "&amp;IF(LEN(INDEX('My equipment'!$D$4:$D$503,(_calc!$E$126-500)))=0,"",INDEX('My equipment'!$D$4:$D$503,(_calc!$E$126-500)))))</f>
        <v/>
      </c>
      <c r="B124" s="54">
        <f>IF(_calc!$E$126="","",IF(_calc!$E$126&lt;=500,IF(ISNUMBER(INDEX('Dealer pipeline'!$M$4:$M$503,_calc!$E$126)),TEXT(INDEX('Dealer pipeline'!$M$4:$M$503,_calc!$E$126),"yyyy-mm-dd"),""),IF(ISNUMBER(INDEX('My equipment'!$M$4:$M$503,(_calc!$E$126-500))),TEXT(INDEX('My equipment'!$M$4:$M$503,(_calc!$E$126-500)),"yyyy-mm-dd"),"")))</f>
        <v/>
      </c>
      <c r="C124" s="54">
        <f>IF(_calc!$E$126="","",IF(_calc!$E$126&lt;=500,"Warranty","Warranty"))</f>
        <v/>
      </c>
      <c r="D124" s="54">
        <f>IF(_calc!$E$126="","",IF(_calc!$E$126&lt;=500,IF(ISNUMBER(INDEX('Dealer pipeline'!$H$4:$H$503,_calc!$E$126)),TEXT(INDEX('Dealer pipeline'!$H$4:$H$503,_calc!$E$126),"yyyy-mm-dd"),""),IF(ISNUMBER(INDEX('My equipment'!$H$4:$H$503,(_calc!$E$126-500))),TEXT(INDEX('My equipment'!$H$4:$H$503,(_calc!$E$126-500)),"yyyy-mm-dd"),"")))</f>
        <v/>
      </c>
      <c r="F124" s="54">
        <f>IF(_calc!$E$126="","",IF(_calc!$E$126&lt;=500,TRIM(IF(LEN(IF(LEN(INDEX('Dealer pipeline'!$A$4:$A$503,_calc!$E$126))=0,"",INDEX('Dealer pipeline'!$A$4:$A$503,_calc!$E$126)))=0,"","Customer: "&amp;IF(LEN(INDEX('Dealer pipeline'!$A$4:$A$503,_calc!$E$126))=0,"",INDEX('Dealer pipeline'!$A$4:$A$503,_calc!$E$126))&amp;". ")&amp;IF(LEN(IF(LEN(INDEX('Dealer pipeline'!$B$4:$B$503,_calc!$E$126))=0,"",INDEX('Dealer pipeline'!$B$4:$B$503,_calc!$E$126)))=0,"","Contact: "&amp;IF(LEN(INDEX('Dealer pipeline'!$B$4:$B$503,_calc!$E$126))=0,"",INDEX('Dealer pipeline'!$B$4:$B$503,_calc!$E$126))&amp;". ")&amp;IF(LEN(IF(LEN(INDEX('Dealer pipeline'!$D$4:$D$503,_calc!$E$126))=0,"",INDEX('Dealer pipeline'!$D$4:$D$503,_calc!$E$126)))=0,"","Serial: "&amp;IF(LEN(INDEX('Dealer pipeline'!$D$4:$D$503,_calc!$E$126))=0,"",INDEX('Dealer pipeline'!$D$4:$D$503,_calc!$E$126))&amp;". ")&amp;IF(LEN(IF(ISNUMBER(INDEX('Dealer pipeline'!$J$4:$J$503,_calc!$E$126)),TEXT(INDEX('Dealer pipeline'!$J$4:$J$503,_calc!$E$126),"yyyy-mm-dd"),""))=0,"","Parts end: "&amp;IF(ISNUMBER(INDEX('Dealer pipeline'!$J$4:$J$503,_calc!$E$126)),TEXT(INDEX('Dealer pipeline'!$J$4:$J$503,_calc!$E$126),"yyyy-mm-dd"),"")&amp;". ")&amp;IF(LEN(IF(ISNUMBER(INDEX('Dealer pipeline'!$L$4:$L$503,_calc!$E$126)),TEXT(INDEX('Dealer pipeline'!$L$4:$L$503,_calc!$E$126),"yyyy-mm-dd"),""))=0,"","Labor end: "&amp;IF(ISNUMBER(INDEX('Dealer pipeline'!$L$4:$L$503,_calc!$E$126)),TEXT(INDEX('Dealer pipeline'!$L$4:$L$503,_calc!$E$126),"yyyy-mm-dd"),"")&amp;". ")&amp;IF(LEN(IF(LEN(INDEX('Dealer pipeline'!$Q$4:$Q$503,_calc!$E$126))=0,"",INDEX('Dealer pipeline'!$Q$4:$Q$503,_calc!$E$126)))=0,"","Status: "&amp;IF(LEN(INDEX('Dealer pipeline'!$Q$4:$Q$503,_calc!$E$126))=0,"",INDEX('Dealer pipeline'!$Q$4:$Q$503,_calc!$E$126))&amp;". ")&amp;IF(LEN(IF(LEN(INDEX('Dealer pipeline'!$P$4:$P$503,_calc!$E$126))=0,"",INDEX('Dealer pipeline'!$P$4:$P$503,_calc!$E$126)))=0,"","Last touch: "&amp;IF(LEN(INDEX('Dealer pipeline'!$P$4:$P$503,_calc!$E$126))=0,"",INDEX('Dealer pipeline'!$P$4:$P$503,_calc!$E$126))&amp;". ")&amp;IF(LEN(IF(LEN(INDEX('Dealer pipeline'!$R$4:$R$503,_calc!$E$126))=0,"",INDEX('Dealer pipeline'!$R$4:$R$503,_calc!$E$126)))=0,"","Owner: "&amp;IF(LEN(INDEX('Dealer pipeline'!$R$4:$R$503,_calc!$E$126))=0,"",INDEX('Dealer pipeline'!$R$4:$R$503,_calc!$E$126))&amp;". ")&amp;IF(LEN(IF(LEN(INDEX('Dealer pipeline'!$S$4:$S$503,_calc!$E$126))=0,"",INDEX('Dealer pipeline'!$S$4:$S$503,_calc!$E$126)))=0,"","Backup: "&amp;IF(LEN(INDEX('Dealer pipeline'!$S$4:$S$503,_calc!$E$126))=0,"",INDEX('Dealer pipeline'!$S$4:$S$503,_calc!$E$126))&amp;". ")&amp;IF(LEN(IF(LEN(INDEX('Dealer pipeline'!$T$4:$T$503,_calc!$E$126))=0,"",INDEX('Dealer pipeline'!$T$4:$T$503,_calc!$E$126)))=0,"",IF(LEN(INDEX('Dealer pipeline'!$T$4:$T$503,_calc!$E$126))=0,"",INDEX('Dealer pipeline'!$T$4:$T$503,_calc!$E$126)))),TRIM(IF(LEN(IF(LEN(INDEX('My equipment'!$C$4:$C$503,(_calc!$E$126-500)))=0,"",INDEX('My equipment'!$C$4:$C$503,(_calc!$E$126-500))))=0,"","Model: "&amp;IF(LEN(INDEX('My equipment'!$C$4:$C$503,(_calc!$E$126-500)))=0,"",INDEX('My equipment'!$C$4:$C$503,(_calc!$E$126-500)))&amp;". ")&amp;IF(LEN(IF(LEN(INDEX('My equipment'!$D$4:$D$503,(_calc!$E$126-500)))=0,"",INDEX('My equipment'!$D$4:$D$503,(_calc!$E$126-500))))=0,"","Serial: "&amp;IF(LEN(INDEX('My equipment'!$D$4:$D$503,(_calc!$E$126-500)))=0,"",INDEX('My equipment'!$D$4:$D$503,(_calc!$E$126-500)))&amp;". ")&amp;IF(LEN(IF(ISNUMBER(INDEX('My equipment'!$J$4:$J$503,(_calc!$E$126-500))),TEXT(INDEX('My equipment'!$J$4:$J$503,(_calc!$E$126-500)),"yyyy-mm-dd"),""))=0,"","Parts end: "&amp;IF(ISNUMBER(INDEX('My equipment'!$J$4:$J$503,(_calc!$E$126-500))),TEXT(INDEX('My equipment'!$J$4:$J$503,(_calc!$E$126-500)),"yyyy-mm-dd"),"")&amp;". ")&amp;IF(LEN(IF(ISNUMBER(INDEX('My equipment'!$L$4:$L$503,(_calc!$E$126-500))),TEXT(INDEX('My equipment'!$L$4:$L$503,(_calc!$E$126-500)),"yyyy-mm-dd"),""))=0,"","Labor end: "&amp;IF(ISNUMBER(INDEX('My equipment'!$L$4:$L$503,(_calc!$E$126-500))),TEXT(INDEX('My equipment'!$L$4:$L$503,(_calc!$E$126-500)),"yyyy-mm-dd"),"")&amp;". ")&amp;IF(LEN(IF(ISNUMBER(INDEX('My equipment'!$P$4:$P$503,(_calc!$E$126-500))),TEXT(INDEX('My equipment'!$P$4:$P$503,(_calc!$E$126-500)),"yyyy-mm-dd"),""))=0,"","Check by: "&amp;IF(ISNUMBER(INDEX('My equipment'!$P$4:$P$503,(_calc!$E$126-500))),TEXT(INDEX('My equipment'!$P$4:$P$503,(_calc!$E$126-500)),"yyyy-mm-dd"),"")&amp;". ")&amp;IF(LEN(IF(LEN(INDEX('My equipment'!$Q$4:$Q$503,(_calc!$E$126-500)))=0,"",INDEX('My equipment'!$Q$4:$Q$503,(_calc!$E$126-500))))=0,"","Claim status: "&amp;IF(LEN(INDEX('My equipment'!$Q$4:$Q$503,(_calc!$E$126-500)))=0,"",INDEX('My equipment'!$Q$4:$Q$503,(_calc!$E$126-500)))&amp;". ")&amp;IF(LEN(IF(LEN(INDEX('My equipment'!$R$4:$R$503,(_calc!$E$126-500)))=0,"",INDEX('My equipment'!$R$4:$R$503,(_calc!$E$126-500))))=0,"","Claims contact: "&amp;IF(LEN(INDEX('My equipment'!$R$4:$R$503,(_calc!$E$126-500)))=0,"",INDEX('My equipment'!$R$4:$R$503,(_calc!$E$126-500)))&amp;". ")&amp;IF(LEN(IF(LEN(INDEX('My equipment'!$S$4:$S$503,(_calc!$E$126-500)))=0,"",INDEX('My equipment'!$S$4:$S$503,(_calc!$E$126-500))))=0,"","Claims email: "&amp;IF(LEN(INDEX('My equipment'!$S$4:$S$503,(_calc!$E$126-500)))=0,"",INDEX('My equipment'!$S$4:$S$503,(_calc!$E$126-500)))&amp;". ")&amp;IF(LEN(IF(LEN(INDEX('My equipment'!$U$4:$U$503,(_calc!$E$126-500)))=0,"",INDEX('My equipment'!$U$4:$U$503,(_calc!$E$126-500))))=0,"","Registered: "&amp;IF(LEN(INDEX('My equipment'!$U$4:$U$503,(_calc!$E$126-500)))=0,"",INDEX('My equipment'!$U$4:$U$503,(_calc!$E$126-500)))&amp;". ")&amp;IF(LEN(IF(LEN(INDEX('My equipment'!$V$4:$V$503,(_calc!$E$126-500)))=0,"",INDEX('My equipment'!$V$4:$V$503,(_calc!$E$126-500))))=0,"","Proof on file: "&amp;IF(LEN(INDEX('My equipment'!$V$4:$V$503,(_calc!$E$126-500)))=0,"",INDEX('My equipment'!$V$4:$V$503,(_calc!$E$126-500)))&amp;". ")&amp;IF(LEN(IF(LEN(INDEX('My equipment'!$W$4:$W$503,(_calc!$E$126-500)))=0,"",INDEX('My equipment'!$W$4:$W$503,(_calc!$E$126-500))))=0,"","Claim ref: "&amp;IF(LEN(INDEX('My equipment'!$W$4:$W$503,(_calc!$E$126-500)))=0,"",INDEX('My equipment'!$W$4:$W$503,(_calc!$E$126-500)))&amp;". ")&amp;IF(LEN(IF(LEN(INDEX('My equipment'!$Y$4:$Y$503,(_calc!$E$126-500)))=0,"",INDEX('My equipment'!$Y$4:$Y$503,(_calc!$E$126-500))))=0,"",IF(LEN(INDEX('My equipment'!$Y$4:$Y$503,(_calc!$E$126-500)))=0,"",INDEX('My equipment'!$Y$4:$Y$503,(_calc!$E$126-500)))))))</f>
        <v/>
      </c>
      <c r="G124" s="54">
        <f>IF(_calc!$E$126="","",IF(_calc!$E$126&lt;=500,"",IF(LEN(INDEX('My equipment'!$X$4:$X$503,(_calc!$E$126-500)))=0,"",INDEX('My equipment'!$X$4:$X$503,(_calc!$E$126-500)))))</f>
        <v/>
      </c>
      <c r="K124" s="54">
        <f>IF(_calc!$E$126="","",IF(_calc!$E$126&lt;=500,"",IF(LEN(INDEX('My equipment'!$T$4:$T$503,(_calc!$E$126-500)))=0,"",INDEX('My equipment'!$T$4:$T$503,(_calc!$E$126-500)))))</f>
        <v/>
      </c>
    </row>
    <row r="125">
      <c r="A125" s="54">
        <f>IF(_calc!$E$127="","",IF(_calc!$E$127&lt;=500,"Warranty – "&amp;IF(LEN(INDEX('Dealer pipeline'!$C$4:$C$503,_calc!$E$127))=0,"",INDEX('Dealer pipeline'!$C$4:$C$503,_calc!$E$127))&amp;" – "&amp;IF(LEN(INDEX('Dealer pipeline'!$D$4:$D$503,_calc!$E$127))=0,"",INDEX('Dealer pipeline'!$D$4:$D$503,_calc!$E$127))&amp;" – "&amp;IF(LEN(INDEX('Dealer pipeline'!$A$4:$A$503,_calc!$E$127))=0,"",INDEX('Dealer pipeline'!$A$4:$A$503,_calc!$E$127)),"Warranty – "&amp;IF(LEN(INDEX('My equipment'!$A$4:$A$503,(_calc!$E$127-500)))=0,"",INDEX('My equipment'!$A$4:$A$503,(_calc!$E$127-500)))&amp;" – "&amp;IF(LEN(INDEX('My equipment'!$D$4:$D$503,(_calc!$E$127-500)))=0,"",INDEX('My equipment'!$D$4:$D$503,(_calc!$E$127-500)))))</f>
        <v/>
      </c>
      <c r="B125" s="54">
        <f>IF(_calc!$E$127="","",IF(_calc!$E$127&lt;=500,IF(ISNUMBER(INDEX('Dealer pipeline'!$M$4:$M$503,_calc!$E$127)),TEXT(INDEX('Dealer pipeline'!$M$4:$M$503,_calc!$E$127),"yyyy-mm-dd"),""),IF(ISNUMBER(INDEX('My equipment'!$M$4:$M$503,(_calc!$E$127-500))),TEXT(INDEX('My equipment'!$M$4:$M$503,(_calc!$E$127-500)),"yyyy-mm-dd"),"")))</f>
        <v/>
      </c>
      <c r="C125" s="54">
        <f>IF(_calc!$E$127="","",IF(_calc!$E$127&lt;=500,"Warranty","Warranty"))</f>
        <v/>
      </c>
      <c r="D125" s="54">
        <f>IF(_calc!$E$127="","",IF(_calc!$E$127&lt;=500,IF(ISNUMBER(INDEX('Dealer pipeline'!$H$4:$H$503,_calc!$E$127)),TEXT(INDEX('Dealer pipeline'!$H$4:$H$503,_calc!$E$127),"yyyy-mm-dd"),""),IF(ISNUMBER(INDEX('My equipment'!$H$4:$H$503,(_calc!$E$127-500))),TEXT(INDEX('My equipment'!$H$4:$H$503,(_calc!$E$127-500)),"yyyy-mm-dd"),"")))</f>
        <v/>
      </c>
      <c r="F125" s="54">
        <f>IF(_calc!$E$127="","",IF(_calc!$E$127&lt;=500,TRIM(IF(LEN(IF(LEN(INDEX('Dealer pipeline'!$A$4:$A$503,_calc!$E$127))=0,"",INDEX('Dealer pipeline'!$A$4:$A$503,_calc!$E$127)))=0,"","Customer: "&amp;IF(LEN(INDEX('Dealer pipeline'!$A$4:$A$503,_calc!$E$127))=0,"",INDEX('Dealer pipeline'!$A$4:$A$503,_calc!$E$127))&amp;". ")&amp;IF(LEN(IF(LEN(INDEX('Dealer pipeline'!$B$4:$B$503,_calc!$E$127))=0,"",INDEX('Dealer pipeline'!$B$4:$B$503,_calc!$E$127)))=0,"","Contact: "&amp;IF(LEN(INDEX('Dealer pipeline'!$B$4:$B$503,_calc!$E$127))=0,"",INDEX('Dealer pipeline'!$B$4:$B$503,_calc!$E$127))&amp;". ")&amp;IF(LEN(IF(LEN(INDEX('Dealer pipeline'!$D$4:$D$503,_calc!$E$127))=0,"",INDEX('Dealer pipeline'!$D$4:$D$503,_calc!$E$127)))=0,"","Serial: "&amp;IF(LEN(INDEX('Dealer pipeline'!$D$4:$D$503,_calc!$E$127))=0,"",INDEX('Dealer pipeline'!$D$4:$D$503,_calc!$E$127))&amp;". ")&amp;IF(LEN(IF(ISNUMBER(INDEX('Dealer pipeline'!$J$4:$J$503,_calc!$E$127)),TEXT(INDEX('Dealer pipeline'!$J$4:$J$503,_calc!$E$127),"yyyy-mm-dd"),""))=0,"","Parts end: "&amp;IF(ISNUMBER(INDEX('Dealer pipeline'!$J$4:$J$503,_calc!$E$127)),TEXT(INDEX('Dealer pipeline'!$J$4:$J$503,_calc!$E$127),"yyyy-mm-dd"),"")&amp;". ")&amp;IF(LEN(IF(ISNUMBER(INDEX('Dealer pipeline'!$L$4:$L$503,_calc!$E$127)),TEXT(INDEX('Dealer pipeline'!$L$4:$L$503,_calc!$E$127),"yyyy-mm-dd"),""))=0,"","Labor end: "&amp;IF(ISNUMBER(INDEX('Dealer pipeline'!$L$4:$L$503,_calc!$E$127)),TEXT(INDEX('Dealer pipeline'!$L$4:$L$503,_calc!$E$127),"yyyy-mm-dd"),"")&amp;". ")&amp;IF(LEN(IF(LEN(INDEX('Dealer pipeline'!$Q$4:$Q$503,_calc!$E$127))=0,"",INDEX('Dealer pipeline'!$Q$4:$Q$503,_calc!$E$127)))=0,"","Status: "&amp;IF(LEN(INDEX('Dealer pipeline'!$Q$4:$Q$503,_calc!$E$127))=0,"",INDEX('Dealer pipeline'!$Q$4:$Q$503,_calc!$E$127))&amp;". ")&amp;IF(LEN(IF(LEN(INDEX('Dealer pipeline'!$P$4:$P$503,_calc!$E$127))=0,"",INDEX('Dealer pipeline'!$P$4:$P$503,_calc!$E$127)))=0,"","Last touch: "&amp;IF(LEN(INDEX('Dealer pipeline'!$P$4:$P$503,_calc!$E$127))=0,"",INDEX('Dealer pipeline'!$P$4:$P$503,_calc!$E$127))&amp;". ")&amp;IF(LEN(IF(LEN(INDEX('Dealer pipeline'!$R$4:$R$503,_calc!$E$127))=0,"",INDEX('Dealer pipeline'!$R$4:$R$503,_calc!$E$127)))=0,"","Owner: "&amp;IF(LEN(INDEX('Dealer pipeline'!$R$4:$R$503,_calc!$E$127))=0,"",INDEX('Dealer pipeline'!$R$4:$R$503,_calc!$E$127))&amp;". ")&amp;IF(LEN(IF(LEN(INDEX('Dealer pipeline'!$S$4:$S$503,_calc!$E$127))=0,"",INDEX('Dealer pipeline'!$S$4:$S$503,_calc!$E$127)))=0,"","Backup: "&amp;IF(LEN(INDEX('Dealer pipeline'!$S$4:$S$503,_calc!$E$127))=0,"",INDEX('Dealer pipeline'!$S$4:$S$503,_calc!$E$127))&amp;". ")&amp;IF(LEN(IF(LEN(INDEX('Dealer pipeline'!$T$4:$T$503,_calc!$E$127))=0,"",INDEX('Dealer pipeline'!$T$4:$T$503,_calc!$E$127)))=0,"",IF(LEN(INDEX('Dealer pipeline'!$T$4:$T$503,_calc!$E$127))=0,"",INDEX('Dealer pipeline'!$T$4:$T$503,_calc!$E$127)))),TRIM(IF(LEN(IF(LEN(INDEX('My equipment'!$C$4:$C$503,(_calc!$E$127-500)))=0,"",INDEX('My equipment'!$C$4:$C$503,(_calc!$E$127-500))))=0,"","Model: "&amp;IF(LEN(INDEX('My equipment'!$C$4:$C$503,(_calc!$E$127-500)))=0,"",INDEX('My equipment'!$C$4:$C$503,(_calc!$E$127-500)))&amp;". ")&amp;IF(LEN(IF(LEN(INDEX('My equipment'!$D$4:$D$503,(_calc!$E$127-500)))=0,"",INDEX('My equipment'!$D$4:$D$503,(_calc!$E$127-500))))=0,"","Serial: "&amp;IF(LEN(INDEX('My equipment'!$D$4:$D$503,(_calc!$E$127-500)))=0,"",INDEX('My equipment'!$D$4:$D$503,(_calc!$E$127-500)))&amp;". ")&amp;IF(LEN(IF(ISNUMBER(INDEX('My equipment'!$J$4:$J$503,(_calc!$E$127-500))),TEXT(INDEX('My equipment'!$J$4:$J$503,(_calc!$E$127-500)),"yyyy-mm-dd"),""))=0,"","Parts end: "&amp;IF(ISNUMBER(INDEX('My equipment'!$J$4:$J$503,(_calc!$E$127-500))),TEXT(INDEX('My equipment'!$J$4:$J$503,(_calc!$E$127-500)),"yyyy-mm-dd"),"")&amp;". ")&amp;IF(LEN(IF(ISNUMBER(INDEX('My equipment'!$L$4:$L$503,(_calc!$E$127-500))),TEXT(INDEX('My equipment'!$L$4:$L$503,(_calc!$E$127-500)),"yyyy-mm-dd"),""))=0,"","Labor end: "&amp;IF(ISNUMBER(INDEX('My equipment'!$L$4:$L$503,(_calc!$E$127-500))),TEXT(INDEX('My equipment'!$L$4:$L$503,(_calc!$E$127-500)),"yyyy-mm-dd"),"")&amp;". ")&amp;IF(LEN(IF(ISNUMBER(INDEX('My equipment'!$P$4:$P$503,(_calc!$E$127-500))),TEXT(INDEX('My equipment'!$P$4:$P$503,(_calc!$E$127-500)),"yyyy-mm-dd"),""))=0,"","Check by: "&amp;IF(ISNUMBER(INDEX('My equipment'!$P$4:$P$503,(_calc!$E$127-500))),TEXT(INDEX('My equipment'!$P$4:$P$503,(_calc!$E$127-500)),"yyyy-mm-dd"),"")&amp;". ")&amp;IF(LEN(IF(LEN(INDEX('My equipment'!$Q$4:$Q$503,(_calc!$E$127-500)))=0,"",INDEX('My equipment'!$Q$4:$Q$503,(_calc!$E$127-500))))=0,"","Claim status: "&amp;IF(LEN(INDEX('My equipment'!$Q$4:$Q$503,(_calc!$E$127-500)))=0,"",INDEX('My equipment'!$Q$4:$Q$503,(_calc!$E$127-500)))&amp;". ")&amp;IF(LEN(IF(LEN(INDEX('My equipment'!$R$4:$R$503,(_calc!$E$127-500)))=0,"",INDEX('My equipment'!$R$4:$R$503,(_calc!$E$127-500))))=0,"","Claims contact: "&amp;IF(LEN(INDEX('My equipment'!$R$4:$R$503,(_calc!$E$127-500)))=0,"",INDEX('My equipment'!$R$4:$R$503,(_calc!$E$127-500)))&amp;". ")&amp;IF(LEN(IF(LEN(INDEX('My equipment'!$S$4:$S$503,(_calc!$E$127-500)))=0,"",INDEX('My equipment'!$S$4:$S$503,(_calc!$E$127-500))))=0,"","Claims email: "&amp;IF(LEN(INDEX('My equipment'!$S$4:$S$503,(_calc!$E$127-500)))=0,"",INDEX('My equipment'!$S$4:$S$503,(_calc!$E$127-500)))&amp;". ")&amp;IF(LEN(IF(LEN(INDEX('My equipment'!$U$4:$U$503,(_calc!$E$127-500)))=0,"",INDEX('My equipment'!$U$4:$U$503,(_calc!$E$127-500))))=0,"","Registered: "&amp;IF(LEN(INDEX('My equipment'!$U$4:$U$503,(_calc!$E$127-500)))=0,"",INDEX('My equipment'!$U$4:$U$503,(_calc!$E$127-500)))&amp;". ")&amp;IF(LEN(IF(LEN(INDEX('My equipment'!$V$4:$V$503,(_calc!$E$127-500)))=0,"",INDEX('My equipment'!$V$4:$V$503,(_calc!$E$127-500))))=0,"","Proof on file: "&amp;IF(LEN(INDEX('My equipment'!$V$4:$V$503,(_calc!$E$127-500)))=0,"",INDEX('My equipment'!$V$4:$V$503,(_calc!$E$127-500)))&amp;". ")&amp;IF(LEN(IF(LEN(INDEX('My equipment'!$W$4:$W$503,(_calc!$E$127-500)))=0,"",INDEX('My equipment'!$W$4:$W$503,(_calc!$E$127-500))))=0,"","Claim ref: "&amp;IF(LEN(INDEX('My equipment'!$W$4:$W$503,(_calc!$E$127-500)))=0,"",INDEX('My equipment'!$W$4:$W$503,(_calc!$E$127-500)))&amp;". ")&amp;IF(LEN(IF(LEN(INDEX('My equipment'!$Y$4:$Y$503,(_calc!$E$127-500)))=0,"",INDEX('My equipment'!$Y$4:$Y$503,(_calc!$E$127-500))))=0,"",IF(LEN(INDEX('My equipment'!$Y$4:$Y$503,(_calc!$E$127-500)))=0,"",INDEX('My equipment'!$Y$4:$Y$503,(_calc!$E$127-500)))))))</f>
        <v/>
      </c>
      <c r="G125" s="54">
        <f>IF(_calc!$E$127="","",IF(_calc!$E$127&lt;=500,"",IF(LEN(INDEX('My equipment'!$X$4:$X$503,(_calc!$E$127-500)))=0,"",INDEX('My equipment'!$X$4:$X$503,(_calc!$E$127-500)))))</f>
        <v/>
      </c>
      <c r="K125" s="54">
        <f>IF(_calc!$E$127="","",IF(_calc!$E$127&lt;=500,"",IF(LEN(INDEX('My equipment'!$T$4:$T$503,(_calc!$E$127-500)))=0,"",INDEX('My equipment'!$T$4:$T$503,(_calc!$E$127-500)))))</f>
        <v/>
      </c>
    </row>
    <row r="126">
      <c r="A126" s="54">
        <f>IF(_calc!$E$128="","",IF(_calc!$E$128&lt;=500,"Warranty – "&amp;IF(LEN(INDEX('Dealer pipeline'!$C$4:$C$503,_calc!$E$128))=0,"",INDEX('Dealer pipeline'!$C$4:$C$503,_calc!$E$128))&amp;" – "&amp;IF(LEN(INDEX('Dealer pipeline'!$D$4:$D$503,_calc!$E$128))=0,"",INDEX('Dealer pipeline'!$D$4:$D$503,_calc!$E$128))&amp;" – "&amp;IF(LEN(INDEX('Dealer pipeline'!$A$4:$A$503,_calc!$E$128))=0,"",INDEX('Dealer pipeline'!$A$4:$A$503,_calc!$E$128)),"Warranty – "&amp;IF(LEN(INDEX('My equipment'!$A$4:$A$503,(_calc!$E$128-500)))=0,"",INDEX('My equipment'!$A$4:$A$503,(_calc!$E$128-500)))&amp;" – "&amp;IF(LEN(INDEX('My equipment'!$D$4:$D$503,(_calc!$E$128-500)))=0,"",INDEX('My equipment'!$D$4:$D$503,(_calc!$E$128-500)))))</f>
        <v/>
      </c>
      <c r="B126" s="54">
        <f>IF(_calc!$E$128="","",IF(_calc!$E$128&lt;=500,IF(ISNUMBER(INDEX('Dealer pipeline'!$M$4:$M$503,_calc!$E$128)),TEXT(INDEX('Dealer pipeline'!$M$4:$M$503,_calc!$E$128),"yyyy-mm-dd"),""),IF(ISNUMBER(INDEX('My equipment'!$M$4:$M$503,(_calc!$E$128-500))),TEXT(INDEX('My equipment'!$M$4:$M$503,(_calc!$E$128-500)),"yyyy-mm-dd"),"")))</f>
        <v/>
      </c>
      <c r="C126" s="54">
        <f>IF(_calc!$E$128="","",IF(_calc!$E$128&lt;=500,"Warranty","Warranty"))</f>
        <v/>
      </c>
      <c r="D126" s="54">
        <f>IF(_calc!$E$128="","",IF(_calc!$E$128&lt;=500,IF(ISNUMBER(INDEX('Dealer pipeline'!$H$4:$H$503,_calc!$E$128)),TEXT(INDEX('Dealer pipeline'!$H$4:$H$503,_calc!$E$128),"yyyy-mm-dd"),""),IF(ISNUMBER(INDEX('My equipment'!$H$4:$H$503,(_calc!$E$128-500))),TEXT(INDEX('My equipment'!$H$4:$H$503,(_calc!$E$128-500)),"yyyy-mm-dd"),"")))</f>
        <v/>
      </c>
      <c r="F126" s="54">
        <f>IF(_calc!$E$128="","",IF(_calc!$E$128&lt;=500,TRIM(IF(LEN(IF(LEN(INDEX('Dealer pipeline'!$A$4:$A$503,_calc!$E$128))=0,"",INDEX('Dealer pipeline'!$A$4:$A$503,_calc!$E$128)))=0,"","Customer: "&amp;IF(LEN(INDEX('Dealer pipeline'!$A$4:$A$503,_calc!$E$128))=0,"",INDEX('Dealer pipeline'!$A$4:$A$503,_calc!$E$128))&amp;". ")&amp;IF(LEN(IF(LEN(INDEX('Dealer pipeline'!$B$4:$B$503,_calc!$E$128))=0,"",INDEX('Dealer pipeline'!$B$4:$B$503,_calc!$E$128)))=0,"","Contact: "&amp;IF(LEN(INDEX('Dealer pipeline'!$B$4:$B$503,_calc!$E$128))=0,"",INDEX('Dealer pipeline'!$B$4:$B$503,_calc!$E$128))&amp;". ")&amp;IF(LEN(IF(LEN(INDEX('Dealer pipeline'!$D$4:$D$503,_calc!$E$128))=0,"",INDEX('Dealer pipeline'!$D$4:$D$503,_calc!$E$128)))=0,"","Serial: "&amp;IF(LEN(INDEX('Dealer pipeline'!$D$4:$D$503,_calc!$E$128))=0,"",INDEX('Dealer pipeline'!$D$4:$D$503,_calc!$E$128))&amp;". ")&amp;IF(LEN(IF(ISNUMBER(INDEX('Dealer pipeline'!$J$4:$J$503,_calc!$E$128)),TEXT(INDEX('Dealer pipeline'!$J$4:$J$503,_calc!$E$128),"yyyy-mm-dd"),""))=0,"","Parts end: "&amp;IF(ISNUMBER(INDEX('Dealer pipeline'!$J$4:$J$503,_calc!$E$128)),TEXT(INDEX('Dealer pipeline'!$J$4:$J$503,_calc!$E$128),"yyyy-mm-dd"),"")&amp;". ")&amp;IF(LEN(IF(ISNUMBER(INDEX('Dealer pipeline'!$L$4:$L$503,_calc!$E$128)),TEXT(INDEX('Dealer pipeline'!$L$4:$L$503,_calc!$E$128),"yyyy-mm-dd"),""))=0,"","Labor end: "&amp;IF(ISNUMBER(INDEX('Dealer pipeline'!$L$4:$L$503,_calc!$E$128)),TEXT(INDEX('Dealer pipeline'!$L$4:$L$503,_calc!$E$128),"yyyy-mm-dd"),"")&amp;". ")&amp;IF(LEN(IF(LEN(INDEX('Dealer pipeline'!$Q$4:$Q$503,_calc!$E$128))=0,"",INDEX('Dealer pipeline'!$Q$4:$Q$503,_calc!$E$128)))=0,"","Status: "&amp;IF(LEN(INDEX('Dealer pipeline'!$Q$4:$Q$503,_calc!$E$128))=0,"",INDEX('Dealer pipeline'!$Q$4:$Q$503,_calc!$E$128))&amp;". ")&amp;IF(LEN(IF(LEN(INDEX('Dealer pipeline'!$P$4:$P$503,_calc!$E$128))=0,"",INDEX('Dealer pipeline'!$P$4:$P$503,_calc!$E$128)))=0,"","Last touch: "&amp;IF(LEN(INDEX('Dealer pipeline'!$P$4:$P$503,_calc!$E$128))=0,"",INDEX('Dealer pipeline'!$P$4:$P$503,_calc!$E$128))&amp;". ")&amp;IF(LEN(IF(LEN(INDEX('Dealer pipeline'!$R$4:$R$503,_calc!$E$128))=0,"",INDEX('Dealer pipeline'!$R$4:$R$503,_calc!$E$128)))=0,"","Owner: "&amp;IF(LEN(INDEX('Dealer pipeline'!$R$4:$R$503,_calc!$E$128))=0,"",INDEX('Dealer pipeline'!$R$4:$R$503,_calc!$E$128))&amp;". ")&amp;IF(LEN(IF(LEN(INDEX('Dealer pipeline'!$S$4:$S$503,_calc!$E$128))=0,"",INDEX('Dealer pipeline'!$S$4:$S$503,_calc!$E$128)))=0,"","Backup: "&amp;IF(LEN(INDEX('Dealer pipeline'!$S$4:$S$503,_calc!$E$128))=0,"",INDEX('Dealer pipeline'!$S$4:$S$503,_calc!$E$128))&amp;". ")&amp;IF(LEN(IF(LEN(INDEX('Dealer pipeline'!$T$4:$T$503,_calc!$E$128))=0,"",INDEX('Dealer pipeline'!$T$4:$T$503,_calc!$E$128)))=0,"",IF(LEN(INDEX('Dealer pipeline'!$T$4:$T$503,_calc!$E$128))=0,"",INDEX('Dealer pipeline'!$T$4:$T$503,_calc!$E$128)))),TRIM(IF(LEN(IF(LEN(INDEX('My equipment'!$C$4:$C$503,(_calc!$E$128-500)))=0,"",INDEX('My equipment'!$C$4:$C$503,(_calc!$E$128-500))))=0,"","Model: "&amp;IF(LEN(INDEX('My equipment'!$C$4:$C$503,(_calc!$E$128-500)))=0,"",INDEX('My equipment'!$C$4:$C$503,(_calc!$E$128-500)))&amp;". ")&amp;IF(LEN(IF(LEN(INDEX('My equipment'!$D$4:$D$503,(_calc!$E$128-500)))=0,"",INDEX('My equipment'!$D$4:$D$503,(_calc!$E$128-500))))=0,"","Serial: "&amp;IF(LEN(INDEX('My equipment'!$D$4:$D$503,(_calc!$E$128-500)))=0,"",INDEX('My equipment'!$D$4:$D$503,(_calc!$E$128-500)))&amp;". ")&amp;IF(LEN(IF(ISNUMBER(INDEX('My equipment'!$J$4:$J$503,(_calc!$E$128-500))),TEXT(INDEX('My equipment'!$J$4:$J$503,(_calc!$E$128-500)),"yyyy-mm-dd"),""))=0,"","Parts end: "&amp;IF(ISNUMBER(INDEX('My equipment'!$J$4:$J$503,(_calc!$E$128-500))),TEXT(INDEX('My equipment'!$J$4:$J$503,(_calc!$E$128-500)),"yyyy-mm-dd"),"")&amp;". ")&amp;IF(LEN(IF(ISNUMBER(INDEX('My equipment'!$L$4:$L$503,(_calc!$E$128-500))),TEXT(INDEX('My equipment'!$L$4:$L$503,(_calc!$E$128-500)),"yyyy-mm-dd"),""))=0,"","Labor end: "&amp;IF(ISNUMBER(INDEX('My equipment'!$L$4:$L$503,(_calc!$E$128-500))),TEXT(INDEX('My equipment'!$L$4:$L$503,(_calc!$E$128-500)),"yyyy-mm-dd"),"")&amp;". ")&amp;IF(LEN(IF(ISNUMBER(INDEX('My equipment'!$P$4:$P$503,(_calc!$E$128-500))),TEXT(INDEX('My equipment'!$P$4:$P$503,(_calc!$E$128-500)),"yyyy-mm-dd"),""))=0,"","Check by: "&amp;IF(ISNUMBER(INDEX('My equipment'!$P$4:$P$503,(_calc!$E$128-500))),TEXT(INDEX('My equipment'!$P$4:$P$503,(_calc!$E$128-500)),"yyyy-mm-dd"),"")&amp;". ")&amp;IF(LEN(IF(LEN(INDEX('My equipment'!$Q$4:$Q$503,(_calc!$E$128-500)))=0,"",INDEX('My equipment'!$Q$4:$Q$503,(_calc!$E$128-500))))=0,"","Claim status: "&amp;IF(LEN(INDEX('My equipment'!$Q$4:$Q$503,(_calc!$E$128-500)))=0,"",INDEX('My equipment'!$Q$4:$Q$503,(_calc!$E$128-500)))&amp;". ")&amp;IF(LEN(IF(LEN(INDEX('My equipment'!$R$4:$R$503,(_calc!$E$128-500)))=0,"",INDEX('My equipment'!$R$4:$R$503,(_calc!$E$128-500))))=0,"","Claims contact: "&amp;IF(LEN(INDEX('My equipment'!$R$4:$R$503,(_calc!$E$128-500)))=0,"",INDEX('My equipment'!$R$4:$R$503,(_calc!$E$128-500)))&amp;". ")&amp;IF(LEN(IF(LEN(INDEX('My equipment'!$S$4:$S$503,(_calc!$E$128-500)))=0,"",INDEX('My equipment'!$S$4:$S$503,(_calc!$E$128-500))))=0,"","Claims email: "&amp;IF(LEN(INDEX('My equipment'!$S$4:$S$503,(_calc!$E$128-500)))=0,"",INDEX('My equipment'!$S$4:$S$503,(_calc!$E$128-500)))&amp;". ")&amp;IF(LEN(IF(LEN(INDEX('My equipment'!$U$4:$U$503,(_calc!$E$128-500)))=0,"",INDEX('My equipment'!$U$4:$U$503,(_calc!$E$128-500))))=0,"","Registered: "&amp;IF(LEN(INDEX('My equipment'!$U$4:$U$503,(_calc!$E$128-500)))=0,"",INDEX('My equipment'!$U$4:$U$503,(_calc!$E$128-500)))&amp;". ")&amp;IF(LEN(IF(LEN(INDEX('My equipment'!$V$4:$V$503,(_calc!$E$128-500)))=0,"",INDEX('My equipment'!$V$4:$V$503,(_calc!$E$128-500))))=0,"","Proof on file: "&amp;IF(LEN(INDEX('My equipment'!$V$4:$V$503,(_calc!$E$128-500)))=0,"",INDEX('My equipment'!$V$4:$V$503,(_calc!$E$128-500)))&amp;". ")&amp;IF(LEN(IF(LEN(INDEX('My equipment'!$W$4:$W$503,(_calc!$E$128-500)))=0,"",INDEX('My equipment'!$W$4:$W$503,(_calc!$E$128-500))))=0,"","Claim ref: "&amp;IF(LEN(INDEX('My equipment'!$W$4:$W$503,(_calc!$E$128-500)))=0,"",INDEX('My equipment'!$W$4:$W$503,(_calc!$E$128-500)))&amp;". ")&amp;IF(LEN(IF(LEN(INDEX('My equipment'!$Y$4:$Y$503,(_calc!$E$128-500)))=0,"",INDEX('My equipment'!$Y$4:$Y$503,(_calc!$E$128-500))))=0,"",IF(LEN(INDEX('My equipment'!$Y$4:$Y$503,(_calc!$E$128-500)))=0,"",INDEX('My equipment'!$Y$4:$Y$503,(_calc!$E$128-500)))))))</f>
        <v/>
      </c>
      <c r="G126" s="54">
        <f>IF(_calc!$E$128="","",IF(_calc!$E$128&lt;=500,"",IF(LEN(INDEX('My equipment'!$X$4:$X$503,(_calc!$E$128-500)))=0,"",INDEX('My equipment'!$X$4:$X$503,(_calc!$E$128-500)))))</f>
        <v/>
      </c>
      <c r="K126" s="54">
        <f>IF(_calc!$E$128="","",IF(_calc!$E$128&lt;=500,"",IF(LEN(INDEX('My equipment'!$T$4:$T$503,(_calc!$E$128-500)))=0,"",INDEX('My equipment'!$T$4:$T$503,(_calc!$E$128-500)))))</f>
        <v/>
      </c>
    </row>
    <row r="127">
      <c r="A127" s="54">
        <f>IF(_calc!$E$129="","",IF(_calc!$E$129&lt;=500,"Warranty – "&amp;IF(LEN(INDEX('Dealer pipeline'!$C$4:$C$503,_calc!$E$129))=0,"",INDEX('Dealer pipeline'!$C$4:$C$503,_calc!$E$129))&amp;" – "&amp;IF(LEN(INDEX('Dealer pipeline'!$D$4:$D$503,_calc!$E$129))=0,"",INDEX('Dealer pipeline'!$D$4:$D$503,_calc!$E$129))&amp;" – "&amp;IF(LEN(INDEX('Dealer pipeline'!$A$4:$A$503,_calc!$E$129))=0,"",INDEX('Dealer pipeline'!$A$4:$A$503,_calc!$E$129)),"Warranty – "&amp;IF(LEN(INDEX('My equipment'!$A$4:$A$503,(_calc!$E$129-500)))=0,"",INDEX('My equipment'!$A$4:$A$503,(_calc!$E$129-500)))&amp;" – "&amp;IF(LEN(INDEX('My equipment'!$D$4:$D$503,(_calc!$E$129-500)))=0,"",INDEX('My equipment'!$D$4:$D$503,(_calc!$E$129-500)))))</f>
        <v/>
      </c>
      <c r="B127" s="54">
        <f>IF(_calc!$E$129="","",IF(_calc!$E$129&lt;=500,IF(ISNUMBER(INDEX('Dealer pipeline'!$M$4:$M$503,_calc!$E$129)),TEXT(INDEX('Dealer pipeline'!$M$4:$M$503,_calc!$E$129),"yyyy-mm-dd"),""),IF(ISNUMBER(INDEX('My equipment'!$M$4:$M$503,(_calc!$E$129-500))),TEXT(INDEX('My equipment'!$M$4:$M$503,(_calc!$E$129-500)),"yyyy-mm-dd"),"")))</f>
        <v/>
      </c>
      <c r="C127" s="54">
        <f>IF(_calc!$E$129="","",IF(_calc!$E$129&lt;=500,"Warranty","Warranty"))</f>
        <v/>
      </c>
      <c r="D127" s="54">
        <f>IF(_calc!$E$129="","",IF(_calc!$E$129&lt;=500,IF(ISNUMBER(INDEX('Dealer pipeline'!$H$4:$H$503,_calc!$E$129)),TEXT(INDEX('Dealer pipeline'!$H$4:$H$503,_calc!$E$129),"yyyy-mm-dd"),""),IF(ISNUMBER(INDEX('My equipment'!$H$4:$H$503,(_calc!$E$129-500))),TEXT(INDEX('My equipment'!$H$4:$H$503,(_calc!$E$129-500)),"yyyy-mm-dd"),"")))</f>
        <v/>
      </c>
      <c r="F127" s="54">
        <f>IF(_calc!$E$129="","",IF(_calc!$E$129&lt;=500,TRIM(IF(LEN(IF(LEN(INDEX('Dealer pipeline'!$A$4:$A$503,_calc!$E$129))=0,"",INDEX('Dealer pipeline'!$A$4:$A$503,_calc!$E$129)))=0,"","Customer: "&amp;IF(LEN(INDEX('Dealer pipeline'!$A$4:$A$503,_calc!$E$129))=0,"",INDEX('Dealer pipeline'!$A$4:$A$503,_calc!$E$129))&amp;". ")&amp;IF(LEN(IF(LEN(INDEX('Dealer pipeline'!$B$4:$B$503,_calc!$E$129))=0,"",INDEX('Dealer pipeline'!$B$4:$B$503,_calc!$E$129)))=0,"","Contact: "&amp;IF(LEN(INDEX('Dealer pipeline'!$B$4:$B$503,_calc!$E$129))=0,"",INDEX('Dealer pipeline'!$B$4:$B$503,_calc!$E$129))&amp;". ")&amp;IF(LEN(IF(LEN(INDEX('Dealer pipeline'!$D$4:$D$503,_calc!$E$129))=0,"",INDEX('Dealer pipeline'!$D$4:$D$503,_calc!$E$129)))=0,"","Serial: "&amp;IF(LEN(INDEX('Dealer pipeline'!$D$4:$D$503,_calc!$E$129))=0,"",INDEX('Dealer pipeline'!$D$4:$D$503,_calc!$E$129))&amp;". ")&amp;IF(LEN(IF(ISNUMBER(INDEX('Dealer pipeline'!$J$4:$J$503,_calc!$E$129)),TEXT(INDEX('Dealer pipeline'!$J$4:$J$503,_calc!$E$129),"yyyy-mm-dd"),""))=0,"","Parts end: "&amp;IF(ISNUMBER(INDEX('Dealer pipeline'!$J$4:$J$503,_calc!$E$129)),TEXT(INDEX('Dealer pipeline'!$J$4:$J$503,_calc!$E$129),"yyyy-mm-dd"),"")&amp;". ")&amp;IF(LEN(IF(ISNUMBER(INDEX('Dealer pipeline'!$L$4:$L$503,_calc!$E$129)),TEXT(INDEX('Dealer pipeline'!$L$4:$L$503,_calc!$E$129),"yyyy-mm-dd"),""))=0,"","Labor end: "&amp;IF(ISNUMBER(INDEX('Dealer pipeline'!$L$4:$L$503,_calc!$E$129)),TEXT(INDEX('Dealer pipeline'!$L$4:$L$503,_calc!$E$129),"yyyy-mm-dd"),"")&amp;". ")&amp;IF(LEN(IF(LEN(INDEX('Dealer pipeline'!$Q$4:$Q$503,_calc!$E$129))=0,"",INDEX('Dealer pipeline'!$Q$4:$Q$503,_calc!$E$129)))=0,"","Status: "&amp;IF(LEN(INDEX('Dealer pipeline'!$Q$4:$Q$503,_calc!$E$129))=0,"",INDEX('Dealer pipeline'!$Q$4:$Q$503,_calc!$E$129))&amp;". ")&amp;IF(LEN(IF(LEN(INDEX('Dealer pipeline'!$P$4:$P$503,_calc!$E$129))=0,"",INDEX('Dealer pipeline'!$P$4:$P$503,_calc!$E$129)))=0,"","Last touch: "&amp;IF(LEN(INDEX('Dealer pipeline'!$P$4:$P$503,_calc!$E$129))=0,"",INDEX('Dealer pipeline'!$P$4:$P$503,_calc!$E$129))&amp;". ")&amp;IF(LEN(IF(LEN(INDEX('Dealer pipeline'!$R$4:$R$503,_calc!$E$129))=0,"",INDEX('Dealer pipeline'!$R$4:$R$503,_calc!$E$129)))=0,"","Owner: "&amp;IF(LEN(INDEX('Dealer pipeline'!$R$4:$R$503,_calc!$E$129))=0,"",INDEX('Dealer pipeline'!$R$4:$R$503,_calc!$E$129))&amp;". ")&amp;IF(LEN(IF(LEN(INDEX('Dealer pipeline'!$S$4:$S$503,_calc!$E$129))=0,"",INDEX('Dealer pipeline'!$S$4:$S$503,_calc!$E$129)))=0,"","Backup: "&amp;IF(LEN(INDEX('Dealer pipeline'!$S$4:$S$503,_calc!$E$129))=0,"",INDEX('Dealer pipeline'!$S$4:$S$503,_calc!$E$129))&amp;". ")&amp;IF(LEN(IF(LEN(INDEX('Dealer pipeline'!$T$4:$T$503,_calc!$E$129))=0,"",INDEX('Dealer pipeline'!$T$4:$T$503,_calc!$E$129)))=0,"",IF(LEN(INDEX('Dealer pipeline'!$T$4:$T$503,_calc!$E$129))=0,"",INDEX('Dealer pipeline'!$T$4:$T$503,_calc!$E$129)))),TRIM(IF(LEN(IF(LEN(INDEX('My equipment'!$C$4:$C$503,(_calc!$E$129-500)))=0,"",INDEX('My equipment'!$C$4:$C$503,(_calc!$E$129-500))))=0,"","Model: "&amp;IF(LEN(INDEX('My equipment'!$C$4:$C$503,(_calc!$E$129-500)))=0,"",INDEX('My equipment'!$C$4:$C$503,(_calc!$E$129-500)))&amp;". ")&amp;IF(LEN(IF(LEN(INDEX('My equipment'!$D$4:$D$503,(_calc!$E$129-500)))=0,"",INDEX('My equipment'!$D$4:$D$503,(_calc!$E$129-500))))=0,"","Serial: "&amp;IF(LEN(INDEX('My equipment'!$D$4:$D$503,(_calc!$E$129-500)))=0,"",INDEX('My equipment'!$D$4:$D$503,(_calc!$E$129-500)))&amp;". ")&amp;IF(LEN(IF(ISNUMBER(INDEX('My equipment'!$J$4:$J$503,(_calc!$E$129-500))),TEXT(INDEX('My equipment'!$J$4:$J$503,(_calc!$E$129-500)),"yyyy-mm-dd"),""))=0,"","Parts end: "&amp;IF(ISNUMBER(INDEX('My equipment'!$J$4:$J$503,(_calc!$E$129-500))),TEXT(INDEX('My equipment'!$J$4:$J$503,(_calc!$E$129-500)),"yyyy-mm-dd"),"")&amp;". ")&amp;IF(LEN(IF(ISNUMBER(INDEX('My equipment'!$L$4:$L$503,(_calc!$E$129-500))),TEXT(INDEX('My equipment'!$L$4:$L$503,(_calc!$E$129-500)),"yyyy-mm-dd"),""))=0,"","Labor end: "&amp;IF(ISNUMBER(INDEX('My equipment'!$L$4:$L$503,(_calc!$E$129-500))),TEXT(INDEX('My equipment'!$L$4:$L$503,(_calc!$E$129-500)),"yyyy-mm-dd"),"")&amp;". ")&amp;IF(LEN(IF(ISNUMBER(INDEX('My equipment'!$P$4:$P$503,(_calc!$E$129-500))),TEXT(INDEX('My equipment'!$P$4:$P$503,(_calc!$E$129-500)),"yyyy-mm-dd"),""))=0,"","Check by: "&amp;IF(ISNUMBER(INDEX('My equipment'!$P$4:$P$503,(_calc!$E$129-500))),TEXT(INDEX('My equipment'!$P$4:$P$503,(_calc!$E$129-500)),"yyyy-mm-dd"),"")&amp;". ")&amp;IF(LEN(IF(LEN(INDEX('My equipment'!$Q$4:$Q$503,(_calc!$E$129-500)))=0,"",INDEX('My equipment'!$Q$4:$Q$503,(_calc!$E$129-500))))=0,"","Claim status: "&amp;IF(LEN(INDEX('My equipment'!$Q$4:$Q$503,(_calc!$E$129-500)))=0,"",INDEX('My equipment'!$Q$4:$Q$503,(_calc!$E$129-500)))&amp;". ")&amp;IF(LEN(IF(LEN(INDEX('My equipment'!$R$4:$R$503,(_calc!$E$129-500)))=0,"",INDEX('My equipment'!$R$4:$R$503,(_calc!$E$129-500))))=0,"","Claims contact: "&amp;IF(LEN(INDEX('My equipment'!$R$4:$R$503,(_calc!$E$129-500)))=0,"",INDEX('My equipment'!$R$4:$R$503,(_calc!$E$129-500)))&amp;". ")&amp;IF(LEN(IF(LEN(INDEX('My equipment'!$S$4:$S$503,(_calc!$E$129-500)))=0,"",INDEX('My equipment'!$S$4:$S$503,(_calc!$E$129-500))))=0,"","Claims email: "&amp;IF(LEN(INDEX('My equipment'!$S$4:$S$503,(_calc!$E$129-500)))=0,"",INDEX('My equipment'!$S$4:$S$503,(_calc!$E$129-500)))&amp;". ")&amp;IF(LEN(IF(LEN(INDEX('My equipment'!$U$4:$U$503,(_calc!$E$129-500)))=0,"",INDEX('My equipment'!$U$4:$U$503,(_calc!$E$129-500))))=0,"","Registered: "&amp;IF(LEN(INDEX('My equipment'!$U$4:$U$503,(_calc!$E$129-500)))=0,"",INDEX('My equipment'!$U$4:$U$503,(_calc!$E$129-500)))&amp;". ")&amp;IF(LEN(IF(LEN(INDEX('My equipment'!$V$4:$V$503,(_calc!$E$129-500)))=0,"",INDEX('My equipment'!$V$4:$V$503,(_calc!$E$129-500))))=0,"","Proof on file: "&amp;IF(LEN(INDEX('My equipment'!$V$4:$V$503,(_calc!$E$129-500)))=0,"",INDEX('My equipment'!$V$4:$V$503,(_calc!$E$129-500)))&amp;". ")&amp;IF(LEN(IF(LEN(INDEX('My equipment'!$W$4:$W$503,(_calc!$E$129-500)))=0,"",INDEX('My equipment'!$W$4:$W$503,(_calc!$E$129-500))))=0,"","Claim ref: "&amp;IF(LEN(INDEX('My equipment'!$W$4:$W$503,(_calc!$E$129-500)))=0,"",INDEX('My equipment'!$W$4:$W$503,(_calc!$E$129-500)))&amp;". ")&amp;IF(LEN(IF(LEN(INDEX('My equipment'!$Y$4:$Y$503,(_calc!$E$129-500)))=0,"",INDEX('My equipment'!$Y$4:$Y$503,(_calc!$E$129-500))))=0,"",IF(LEN(INDEX('My equipment'!$Y$4:$Y$503,(_calc!$E$129-500)))=0,"",INDEX('My equipment'!$Y$4:$Y$503,(_calc!$E$129-500)))))))</f>
        <v/>
      </c>
      <c r="G127" s="54">
        <f>IF(_calc!$E$129="","",IF(_calc!$E$129&lt;=500,"",IF(LEN(INDEX('My equipment'!$X$4:$X$503,(_calc!$E$129-500)))=0,"",INDEX('My equipment'!$X$4:$X$503,(_calc!$E$129-500)))))</f>
        <v/>
      </c>
      <c r="K127" s="54">
        <f>IF(_calc!$E$129="","",IF(_calc!$E$129&lt;=500,"",IF(LEN(INDEX('My equipment'!$T$4:$T$503,(_calc!$E$129-500)))=0,"",INDEX('My equipment'!$T$4:$T$503,(_calc!$E$129-500)))))</f>
        <v/>
      </c>
    </row>
    <row r="128">
      <c r="A128" s="54">
        <f>IF(_calc!$E$130="","",IF(_calc!$E$130&lt;=500,"Warranty – "&amp;IF(LEN(INDEX('Dealer pipeline'!$C$4:$C$503,_calc!$E$130))=0,"",INDEX('Dealer pipeline'!$C$4:$C$503,_calc!$E$130))&amp;" – "&amp;IF(LEN(INDEX('Dealer pipeline'!$D$4:$D$503,_calc!$E$130))=0,"",INDEX('Dealer pipeline'!$D$4:$D$503,_calc!$E$130))&amp;" – "&amp;IF(LEN(INDEX('Dealer pipeline'!$A$4:$A$503,_calc!$E$130))=0,"",INDEX('Dealer pipeline'!$A$4:$A$503,_calc!$E$130)),"Warranty – "&amp;IF(LEN(INDEX('My equipment'!$A$4:$A$503,(_calc!$E$130-500)))=0,"",INDEX('My equipment'!$A$4:$A$503,(_calc!$E$130-500)))&amp;" – "&amp;IF(LEN(INDEX('My equipment'!$D$4:$D$503,(_calc!$E$130-500)))=0,"",INDEX('My equipment'!$D$4:$D$503,(_calc!$E$130-500)))))</f>
        <v/>
      </c>
      <c r="B128" s="54">
        <f>IF(_calc!$E$130="","",IF(_calc!$E$130&lt;=500,IF(ISNUMBER(INDEX('Dealer pipeline'!$M$4:$M$503,_calc!$E$130)),TEXT(INDEX('Dealer pipeline'!$M$4:$M$503,_calc!$E$130),"yyyy-mm-dd"),""),IF(ISNUMBER(INDEX('My equipment'!$M$4:$M$503,(_calc!$E$130-500))),TEXT(INDEX('My equipment'!$M$4:$M$503,(_calc!$E$130-500)),"yyyy-mm-dd"),"")))</f>
        <v/>
      </c>
      <c r="C128" s="54">
        <f>IF(_calc!$E$130="","",IF(_calc!$E$130&lt;=500,"Warranty","Warranty"))</f>
        <v/>
      </c>
      <c r="D128" s="54">
        <f>IF(_calc!$E$130="","",IF(_calc!$E$130&lt;=500,IF(ISNUMBER(INDEX('Dealer pipeline'!$H$4:$H$503,_calc!$E$130)),TEXT(INDEX('Dealer pipeline'!$H$4:$H$503,_calc!$E$130),"yyyy-mm-dd"),""),IF(ISNUMBER(INDEX('My equipment'!$H$4:$H$503,(_calc!$E$130-500))),TEXT(INDEX('My equipment'!$H$4:$H$503,(_calc!$E$130-500)),"yyyy-mm-dd"),"")))</f>
        <v/>
      </c>
      <c r="F128" s="54">
        <f>IF(_calc!$E$130="","",IF(_calc!$E$130&lt;=500,TRIM(IF(LEN(IF(LEN(INDEX('Dealer pipeline'!$A$4:$A$503,_calc!$E$130))=0,"",INDEX('Dealer pipeline'!$A$4:$A$503,_calc!$E$130)))=0,"","Customer: "&amp;IF(LEN(INDEX('Dealer pipeline'!$A$4:$A$503,_calc!$E$130))=0,"",INDEX('Dealer pipeline'!$A$4:$A$503,_calc!$E$130))&amp;". ")&amp;IF(LEN(IF(LEN(INDEX('Dealer pipeline'!$B$4:$B$503,_calc!$E$130))=0,"",INDEX('Dealer pipeline'!$B$4:$B$503,_calc!$E$130)))=0,"","Contact: "&amp;IF(LEN(INDEX('Dealer pipeline'!$B$4:$B$503,_calc!$E$130))=0,"",INDEX('Dealer pipeline'!$B$4:$B$503,_calc!$E$130))&amp;". ")&amp;IF(LEN(IF(LEN(INDEX('Dealer pipeline'!$D$4:$D$503,_calc!$E$130))=0,"",INDEX('Dealer pipeline'!$D$4:$D$503,_calc!$E$130)))=0,"","Serial: "&amp;IF(LEN(INDEX('Dealer pipeline'!$D$4:$D$503,_calc!$E$130))=0,"",INDEX('Dealer pipeline'!$D$4:$D$503,_calc!$E$130))&amp;". ")&amp;IF(LEN(IF(ISNUMBER(INDEX('Dealer pipeline'!$J$4:$J$503,_calc!$E$130)),TEXT(INDEX('Dealer pipeline'!$J$4:$J$503,_calc!$E$130),"yyyy-mm-dd"),""))=0,"","Parts end: "&amp;IF(ISNUMBER(INDEX('Dealer pipeline'!$J$4:$J$503,_calc!$E$130)),TEXT(INDEX('Dealer pipeline'!$J$4:$J$503,_calc!$E$130),"yyyy-mm-dd"),"")&amp;". ")&amp;IF(LEN(IF(ISNUMBER(INDEX('Dealer pipeline'!$L$4:$L$503,_calc!$E$130)),TEXT(INDEX('Dealer pipeline'!$L$4:$L$503,_calc!$E$130),"yyyy-mm-dd"),""))=0,"","Labor end: "&amp;IF(ISNUMBER(INDEX('Dealer pipeline'!$L$4:$L$503,_calc!$E$130)),TEXT(INDEX('Dealer pipeline'!$L$4:$L$503,_calc!$E$130),"yyyy-mm-dd"),"")&amp;". ")&amp;IF(LEN(IF(LEN(INDEX('Dealer pipeline'!$Q$4:$Q$503,_calc!$E$130))=0,"",INDEX('Dealer pipeline'!$Q$4:$Q$503,_calc!$E$130)))=0,"","Status: "&amp;IF(LEN(INDEX('Dealer pipeline'!$Q$4:$Q$503,_calc!$E$130))=0,"",INDEX('Dealer pipeline'!$Q$4:$Q$503,_calc!$E$130))&amp;". ")&amp;IF(LEN(IF(LEN(INDEX('Dealer pipeline'!$P$4:$P$503,_calc!$E$130))=0,"",INDEX('Dealer pipeline'!$P$4:$P$503,_calc!$E$130)))=0,"","Last touch: "&amp;IF(LEN(INDEX('Dealer pipeline'!$P$4:$P$503,_calc!$E$130))=0,"",INDEX('Dealer pipeline'!$P$4:$P$503,_calc!$E$130))&amp;". ")&amp;IF(LEN(IF(LEN(INDEX('Dealer pipeline'!$R$4:$R$503,_calc!$E$130))=0,"",INDEX('Dealer pipeline'!$R$4:$R$503,_calc!$E$130)))=0,"","Owner: "&amp;IF(LEN(INDEX('Dealer pipeline'!$R$4:$R$503,_calc!$E$130))=0,"",INDEX('Dealer pipeline'!$R$4:$R$503,_calc!$E$130))&amp;". ")&amp;IF(LEN(IF(LEN(INDEX('Dealer pipeline'!$S$4:$S$503,_calc!$E$130))=0,"",INDEX('Dealer pipeline'!$S$4:$S$503,_calc!$E$130)))=0,"","Backup: "&amp;IF(LEN(INDEX('Dealer pipeline'!$S$4:$S$503,_calc!$E$130))=0,"",INDEX('Dealer pipeline'!$S$4:$S$503,_calc!$E$130))&amp;". ")&amp;IF(LEN(IF(LEN(INDEX('Dealer pipeline'!$T$4:$T$503,_calc!$E$130))=0,"",INDEX('Dealer pipeline'!$T$4:$T$503,_calc!$E$130)))=0,"",IF(LEN(INDEX('Dealer pipeline'!$T$4:$T$503,_calc!$E$130))=0,"",INDEX('Dealer pipeline'!$T$4:$T$503,_calc!$E$130)))),TRIM(IF(LEN(IF(LEN(INDEX('My equipment'!$C$4:$C$503,(_calc!$E$130-500)))=0,"",INDEX('My equipment'!$C$4:$C$503,(_calc!$E$130-500))))=0,"","Model: "&amp;IF(LEN(INDEX('My equipment'!$C$4:$C$503,(_calc!$E$130-500)))=0,"",INDEX('My equipment'!$C$4:$C$503,(_calc!$E$130-500)))&amp;". ")&amp;IF(LEN(IF(LEN(INDEX('My equipment'!$D$4:$D$503,(_calc!$E$130-500)))=0,"",INDEX('My equipment'!$D$4:$D$503,(_calc!$E$130-500))))=0,"","Serial: "&amp;IF(LEN(INDEX('My equipment'!$D$4:$D$503,(_calc!$E$130-500)))=0,"",INDEX('My equipment'!$D$4:$D$503,(_calc!$E$130-500)))&amp;". ")&amp;IF(LEN(IF(ISNUMBER(INDEX('My equipment'!$J$4:$J$503,(_calc!$E$130-500))),TEXT(INDEX('My equipment'!$J$4:$J$503,(_calc!$E$130-500)),"yyyy-mm-dd"),""))=0,"","Parts end: "&amp;IF(ISNUMBER(INDEX('My equipment'!$J$4:$J$503,(_calc!$E$130-500))),TEXT(INDEX('My equipment'!$J$4:$J$503,(_calc!$E$130-500)),"yyyy-mm-dd"),"")&amp;". ")&amp;IF(LEN(IF(ISNUMBER(INDEX('My equipment'!$L$4:$L$503,(_calc!$E$130-500))),TEXT(INDEX('My equipment'!$L$4:$L$503,(_calc!$E$130-500)),"yyyy-mm-dd"),""))=0,"","Labor end: "&amp;IF(ISNUMBER(INDEX('My equipment'!$L$4:$L$503,(_calc!$E$130-500))),TEXT(INDEX('My equipment'!$L$4:$L$503,(_calc!$E$130-500)),"yyyy-mm-dd"),"")&amp;". ")&amp;IF(LEN(IF(ISNUMBER(INDEX('My equipment'!$P$4:$P$503,(_calc!$E$130-500))),TEXT(INDEX('My equipment'!$P$4:$P$503,(_calc!$E$130-500)),"yyyy-mm-dd"),""))=0,"","Check by: "&amp;IF(ISNUMBER(INDEX('My equipment'!$P$4:$P$503,(_calc!$E$130-500))),TEXT(INDEX('My equipment'!$P$4:$P$503,(_calc!$E$130-500)),"yyyy-mm-dd"),"")&amp;". ")&amp;IF(LEN(IF(LEN(INDEX('My equipment'!$Q$4:$Q$503,(_calc!$E$130-500)))=0,"",INDEX('My equipment'!$Q$4:$Q$503,(_calc!$E$130-500))))=0,"","Claim status: "&amp;IF(LEN(INDEX('My equipment'!$Q$4:$Q$503,(_calc!$E$130-500)))=0,"",INDEX('My equipment'!$Q$4:$Q$503,(_calc!$E$130-500)))&amp;". ")&amp;IF(LEN(IF(LEN(INDEX('My equipment'!$R$4:$R$503,(_calc!$E$130-500)))=0,"",INDEX('My equipment'!$R$4:$R$503,(_calc!$E$130-500))))=0,"","Claims contact: "&amp;IF(LEN(INDEX('My equipment'!$R$4:$R$503,(_calc!$E$130-500)))=0,"",INDEX('My equipment'!$R$4:$R$503,(_calc!$E$130-500)))&amp;". ")&amp;IF(LEN(IF(LEN(INDEX('My equipment'!$S$4:$S$503,(_calc!$E$130-500)))=0,"",INDEX('My equipment'!$S$4:$S$503,(_calc!$E$130-500))))=0,"","Claims email: "&amp;IF(LEN(INDEX('My equipment'!$S$4:$S$503,(_calc!$E$130-500)))=0,"",INDEX('My equipment'!$S$4:$S$503,(_calc!$E$130-500)))&amp;". ")&amp;IF(LEN(IF(LEN(INDEX('My equipment'!$U$4:$U$503,(_calc!$E$130-500)))=0,"",INDEX('My equipment'!$U$4:$U$503,(_calc!$E$130-500))))=0,"","Registered: "&amp;IF(LEN(INDEX('My equipment'!$U$4:$U$503,(_calc!$E$130-500)))=0,"",INDEX('My equipment'!$U$4:$U$503,(_calc!$E$130-500)))&amp;". ")&amp;IF(LEN(IF(LEN(INDEX('My equipment'!$V$4:$V$503,(_calc!$E$130-500)))=0,"",INDEX('My equipment'!$V$4:$V$503,(_calc!$E$130-500))))=0,"","Proof on file: "&amp;IF(LEN(INDEX('My equipment'!$V$4:$V$503,(_calc!$E$130-500)))=0,"",INDEX('My equipment'!$V$4:$V$503,(_calc!$E$130-500)))&amp;". ")&amp;IF(LEN(IF(LEN(INDEX('My equipment'!$W$4:$W$503,(_calc!$E$130-500)))=0,"",INDEX('My equipment'!$W$4:$W$503,(_calc!$E$130-500))))=0,"","Claim ref: "&amp;IF(LEN(INDEX('My equipment'!$W$4:$W$503,(_calc!$E$130-500)))=0,"",INDEX('My equipment'!$W$4:$W$503,(_calc!$E$130-500)))&amp;". ")&amp;IF(LEN(IF(LEN(INDEX('My equipment'!$Y$4:$Y$503,(_calc!$E$130-500)))=0,"",INDEX('My equipment'!$Y$4:$Y$503,(_calc!$E$130-500))))=0,"",IF(LEN(INDEX('My equipment'!$Y$4:$Y$503,(_calc!$E$130-500)))=0,"",INDEX('My equipment'!$Y$4:$Y$503,(_calc!$E$130-500)))))))</f>
        <v/>
      </c>
      <c r="G128" s="54">
        <f>IF(_calc!$E$130="","",IF(_calc!$E$130&lt;=500,"",IF(LEN(INDEX('My equipment'!$X$4:$X$503,(_calc!$E$130-500)))=0,"",INDEX('My equipment'!$X$4:$X$503,(_calc!$E$130-500)))))</f>
        <v/>
      </c>
      <c r="K128" s="54">
        <f>IF(_calc!$E$130="","",IF(_calc!$E$130&lt;=500,"",IF(LEN(INDEX('My equipment'!$T$4:$T$503,(_calc!$E$130-500)))=0,"",INDEX('My equipment'!$T$4:$T$503,(_calc!$E$130-500)))))</f>
        <v/>
      </c>
    </row>
    <row r="129">
      <c r="A129" s="54">
        <f>IF(_calc!$E$131="","",IF(_calc!$E$131&lt;=500,"Warranty – "&amp;IF(LEN(INDEX('Dealer pipeline'!$C$4:$C$503,_calc!$E$131))=0,"",INDEX('Dealer pipeline'!$C$4:$C$503,_calc!$E$131))&amp;" – "&amp;IF(LEN(INDEX('Dealer pipeline'!$D$4:$D$503,_calc!$E$131))=0,"",INDEX('Dealer pipeline'!$D$4:$D$503,_calc!$E$131))&amp;" – "&amp;IF(LEN(INDEX('Dealer pipeline'!$A$4:$A$503,_calc!$E$131))=0,"",INDEX('Dealer pipeline'!$A$4:$A$503,_calc!$E$131)),"Warranty – "&amp;IF(LEN(INDEX('My equipment'!$A$4:$A$503,(_calc!$E$131-500)))=0,"",INDEX('My equipment'!$A$4:$A$503,(_calc!$E$131-500)))&amp;" – "&amp;IF(LEN(INDEX('My equipment'!$D$4:$D$503,(_calc!$E$131-500)))=0,"",INDEX('My equipment'!$D$4:$D$503,(_calc!$E$131-500)))))</f>
        <v/>
      </c>
      <c r="B129" s="54">
        <f>IF(_calc!$E$131="","",IF(_calc!$E$131&lt;=500,IF(ISNUMBER(INDEX('Dealer pipeline'!$M$4:$M$503,_calc!$E$131)),TEXT(INDEX('Dealer pipeline'!$M$4:$M$503,_calc!$E$131),"yyyy-mm-dd"),""),IF(ISNUMBER(INDEX('My equipment'!$M$4:$M$503,(_calc!$E$131-500))),TEXT(INDEX('My equipment'!$M$4:$M$503,(_calc!$E$131-500)),"yyyy-mm-dd"),"")))</f>
        <v/>
      </c>
      <c r="C129" s="54">
        <f>IF(_calc!$E$131="","",IF(_calc!$E$131&lt;=500,"Warranty","Warranty"))</f>
        <v/>
      </c>
      <c r="D129" s="54">
        <f>IF(_calc!$E$131="","",IF(_calc!$E$131&lt;=500,IF(ISNUMBER(INDEX('Dealer pipeline'!$H$4:$H$503,_calc!$E$131)),TEXT(INDEX('Dealer pipeline'!$H$4:$H$503,_calc!$E$131),"yyyy-mm-dd"),""),IF(ISNUMBER(INDEX('My equipment'!$H$4:$H$503,(_calc!$E$131-500))),TEXT(INDEX('My equipment'!$H$4:$H$503,(_calc!$E$131-500)),"yyyy-mm-dd"),"")))</f>
        <v/>
      </c>
      <c r="F129" s="54">
        <f>IF(_calc!$E$131="","",IF(_calc!$E$131&lt;=500,TRIM(IF(LEN(IF(LEN(INDEX('Dealer pipeline'!$A$4:$A$503,_calc!$E$131))=0,"",INDEX('Dealer pipeline'!$A$4:$A$503,_calc!$E$131)))=0,"","Customer: "&amp;IF(LEN(INDEX('Dealer pipeline'!$A$4:$A$503,_calc!$E$131))=0,"",INDEX('Dealer pipeline'!$A$4:$A$503,_calc!$E$131))&amp;". ")&amp;IF(LEN(IF(LEN(INDEX('Dealer pipeline'!$B$4:$B$503,_calc!$E$131))=0,"",INDEX('Dealer pipeline'!$B$4:$B$503,_calc!$E$131)))=0,"","Contact: "&amp;IF(LEN(INDEX('Dealer pipeline'!$B$4:$B$503,_calc!$E$131))=0,"",INDEX('Dealer pipeline'!$B$4:$B$503,_calc!$E$131))&amp;". ")&amp;IF(LEN(IF(LEN(INDEX('Dealer pipeline'!$D$4:$D$503,_calc!$E$131))=0,"",INDEX('Dealer pipeline'!$D$4:$D$503,_calc!$E$131)))=0,"","Serial: "&amp;IF(LEN(INDEX('Dealer pipeline'!$D$4:$D$503,_calc!$E$131))=0,"",INDEX('Dealer pipeline'!$D$4:$D$503,_calc!$E$131))&amp;". ")&amp;IF(LEN(IF(ISNUMBER(INDEX('Dealer pipeline'!$J$4:$J$503,_calc!$E$131)),TEXT(INDEX('Dealer pipeline'!$J$4:$J$503,_calc!$E$131),"yyyy-mm-dd"),""))=0,"","Parts end: "&amp;IF(ISNUMBER(INDEX('Dealer pipeline'!$J$4:$J$503,_calc!$E$131)),TEXT(INDEX('Dealer pipeline'!$J$4:$J$503,_calc!$E$131),"yyyy-mm-dd"),"")&amp;". ")&amp;IF(LEN(IF(ISNUMBER(INDEX('Dealer pipeline'!$L$4:$L$503,_calc!$E$131)),TEXT(INDEX('Dealer pipeline'!$L$4:$L$503,_calc!$E$131),"yyyy-mm-dd"),""))=0,"","Labor end: "&amp;IF(ISNUMBER(INDEX('Dealer pipeline'!$L$4:$L$503,_calc!$E$131)),TEXT(INDEX('Dealer pipeline'!$L$4:$L$503,_calc!$E$131),"yyyy-mm-dd"),"")&amp;". ")&amp;IF(LEN(IF(LEN(INDEX('Dealer pipeline'!$Q$4:$Q$503,_calc!$E$131))=0,"",INDEX('Dealer pipeline'!$Q$4:$Q$503,_calc!$E$131)))=0,"","Status: "&amp;IF(LEN(INDEX('Dealer pipeline'!$Q$4:$Q$503,_calc!$E$131))=0,"",INDEX('Dealer pipeline'!$Q$4:$Q$503,_calc!$E$131))&amp;". ")&amp;IF(LEN(IF(LEN(INDEX('Dealer pipeline'!$P$4:$P$503,_calc!$E$131))=0,"",INDEX('Dealer pipeline'!$P$4:$P$503,_calc!$E$131)))=0,"","Last touch: "&amp;IF(LEN(INDEX('Dealer pipeline'!$P$4:$P$503,_calc!$E$131))=0,"",INDEX('Dealer pipeline'!$P$4:$P$503,_calc!$E$131))&amp;". ")&amp;IF(LEN(IF(LEN(INDEX('Dealer pipeline'!$R$4:$R$503,_calc!$E$131))=0,"",INDEX('Dealer pipeline'!$R$4:$R$503,_calc!$E$131)))=0,"","Owner: "&amp;IF(LEN(INDEX('Dealer pipeline'!$R$4:$R$503,_calc!$E$131))=0,"",INDEX('Dealer pipeline'!$R$4:$R$503,_calc!$E$131))&amp;". ")&amp;IF(LEN(IF(LEN(INDEX('Dealer pipeline'!$S$4:$S$503,_calc!$E$131))=0,"",INDEX('Dealer pipeline'!$S$4:$S$503,_calc!$E$131)))=0,"","Backup: "&amp;IF(LEN(INDEX('Dealer pipeline'!$S$4:$S$503,_calc!$E$131))=0,"",INDEX('Dealer pipeline'!$S$4:$S$503,_calc!$E$131))&amp;". ")&amp;IF(LEN(IF(LEN(INDEX('Dealer pipeline'!$T$4:$T$503,_calc!$E$131))=0,"",INDEX('Dealer pipeline'!$T$4:$T$503,_calc!$E$131)))=0,"",IF(LEN(INDEX('Dealer pipeline'!$T$4:$T$503,_calc!$E$131))=0,"",INDEX('Dealer pipeline'!$T$4:$T$503,_calc!$E$131)))),TRIM(IF(LEN(IF(LEN(INDEX('My equipment'!$C$4:$C$503,(_calc!$E$131-500)))=0,"",INDEX('My equipment'!$C$4:$C$503,(_calc!$E$131-500))))=0,"","Model: "&amp;IF(LEN(INDEX('My equipment'!$C$4:$C$503,(_calc!$E$131-500)))=0,"",INDEX('My equipment'!$C$4:$C$503,(_calc!$E$131-500)))&amp;". ")&amp;IF(LEN(IF(LEN(INDEX('My equipment'!$D$4:$D$503,(_calc!$E$131-500)))=0,"",INDEX('My equipment'!$D$4:$D$503,(_calc!$E$131-500))))=0,"","Serial: "&amp;IF(LEN(INDEX('My equipment'!$D$4:$D$503,(_calc!$E$131-500)))=0,"",INDEX('My equipment'!$D$4:$D$503,(_calc!$E$131-500)))&amp;". ")&amp;IF(LEN(IF(ISNUMBER(INDEX('My equipment'!$J$4:$J$503,(_calc!$E$131-500))),TEXT(INDEX('My equipment'!$J$4:$J$503,(_calc!$E$131-500)),"yyyy-mm-dd"),""))=0,"","Parts end: "&amp;IF(ISNUMBER(INDEX('My equipment'!$J$4:$J$503,(_calc!$E$131-500))),TEXT(INDEX('My equipment'!$J$4:$J$503,(_calc!$E$131-500)),"yyyy-mm-dd"),"")&amp;". ")&amp;IF(LEN(IF(ISNUMBER(INDEX('My equipment'!$L$4:$L$503,(_calc!$E$131-500))),TEXT(INDEX('My equipment'!$L$4:$L$503,(_calc!$E$131-500)),"yyyy-mm-dd"),""))=0,"","Labor end: "&amp;IF(ISNUMBER(INDEX('My equipment'!$L$4:$L$503,(_calc!$E$131-500))),TEXT(INDEX('My equipment'!$L$4:$L$503,(_calc!$E$131-500)),"yyyy-mm-dd"),"")&amp;". ")&amp;IF(LEN(IF(ISNUMBER(INDEX('My equipment'!$P$4:$P$503,(_calc!$E$131-500))),TEXT(INDEX('My equipment'!$P$4:$P$503,(_calc!$E$131-500)),"yyyy-mm-dd"),""))=0,"","Check by: "&amp;IF(ISNUMBER(INDEX('My equipment'!$P$4:$P$503,(_calc!$E$131-500))),TEXT(INDEX('My equipment'!$P$4:$P$503,(_calc!$E$131-500)),"yyyy-mm-dd"),"")&amp;". ")&amp;IF(LEN(IF(LEN(INDEX('My equipment'!$Q$4:$Q$503,(_calc!$E$131-500)))=0,"",INDEX('My equipment'!$Q$4:$Q$503,(_calc!$E$131-500))))=0,"","Claim status: "&amp;IF(LEN(INDEX('My equipment'!$Q$4:$Q$503,(_calc!$E$131-500)))=0,"",INDEX('My equipment'!$Q$4:$Q$503,(_calc!$E$131-500)))&amp;". ")&amp;IF(LEN(IF(LEN(INDEX('My equipment'!$R$4:$R$503,(_calc!$E$131-500)))=0,"",INDEX('My equipment'!$R$4:$R$503,(_calc!$E$131-500))))=0,"","Claims contact: "&amp;IF(LEN(INDEX('My equipment'!$R$4:$R$503,(_calc!$E$131-500)))=0,"",INDEX('My equipment'!$R$4:$R$503,(_calc!$E$131-500)))&amp;". ")&amp;IF(LEN(IF(LEN(INDEX('My equipment'!$S$4:$S$503,(_calc!$E$131-500)))=0,"",INDEX('My equipment'!$S$4:$S$503,(_calc!$E$131-500))))=0,"","Claims email: "&amp;IF(LEN(INDEX('My equipment'!$S$4:$S$503,(_calc!$E$131-500)))=0,"",INDEX('My equipment'!$S$4:$S$503,(_calc!$E$131-500)))&amp;". ")&amp;IF(LEN(IF(LEN(INDEX('My equipment'!$U$4:$U$503,(_calc!$E$131-500)))=0,"",INDEX('My equipment'!$U$4:$U$503,(_calc!$E$131-500))))=0,"","Registered: "&amp;IF(LEN(INDEX('My equipment'!$U$4:$U$503,(_calc!$E$131-500)))=0,"",INDEX('My equipment'!$U$4:$U$503,(_calc!$E$131-500)))&amp;". ")&amp;IF(LEN(IF(LEN(INDEX('My equipment'!$V$4:$V$503,(_calc!$E$131-500)))=0,"",INDEX('My equipment'!$V$4:$V$503,(_calc!$E$131-500))))=0,"","Proof on file: "&amp;IF(LEN(INDEX('My equipment'!$V$4:$V$503,(_calc!$E$131-500)))=0,"",INDEX('My equipment'!$V$4:$V$503,(_calc!$E$131-500)))&amp;". ")&amp;IF(LEN(IF(LEN(INDEX('My equipment'!$W$4:$W$503,(_calc!$E$131-500)))=0,"",INDEX('My equipment'!$W$4:$W$503,(_calc!$E$131-500))))=0,"","Claim ref: "&amp;IF(LEN(INDEX('My equipment'!$W$4:$W$503,(_calc!$E$131-500)))=0,"",INDEX('My equipment'!$W$4:$W$503,(_calc!$E$131-500)))&amp;". ")&amp;IF(LEN(IF(LEN(INDEX('My equipment'!$Y$4:$Y$503,(_calc!$E$131-500)))=0,"",INDEX('My equipment'!$Y$4:$Y$503,(_calc!$E$131-500))))=0,"",IF(LEN(INDEX('My equipment'!$Y$4:$Y$503,(_calc!$E$131-500)))=0,"",INDEX('My equipment'!$Y$4:$Y$503,(_calc!$E$131-500)))))))</f>
        <v/>
      </c>
      <c r="G129" s="54">
        <f>IF(_calc!$E$131="","",IF(_calc!$E$131&lt;=500,"",IF(LEN(INDEX('My equipment'!$X$4:$X$503,(_calc!$E$131-500)))=0,"",INDEX('My equipment'!$X$4:$X$503,(_calc!$E$131-500)))))</f>
        <v/>
      </c>
      <c r="K129" s="54">
        <f>IF(_calc!$E$131="","",IF(_calc!$E$131&lt;=500,"",IF(LEN(INDEX('My equipment'!$T$4:$T$503,(_calc!$E$131-500)))=0,"",INDEX('My equipment'!$T$4:$T$503,(_calc!$E$131-500)))))</f>
        <v/>
      </c>
    </row>
    <row r="130">
      <c r="A130" s="54">
        <f>IF(_calc!$E$132="","",IF(_calc!$E$132&lt;=500,"Warranty – "&amp;IF(LEN(INDEX('Dealer pipeline'!$C$4:$C$503,_calc!$E$132))=0,"",INDEX('Dealer pipeline'!$C$4:$C$503,_calc!$E$132))&amp;" – "&amp;IF(LEN(INDEX('Dealer pipeline'!$D$4:$D$503,_calc!$E$132))=0,"",INDEX('Dealer pipeline'!$D$4:$D$503,_calc!$E$132))&amp;" – "&amp;IF(LEN(INDEX('Dealer pipeline'!$A$4:$A$503,_calc!$E$132))=0,"",INDEX('Dealer pipeline'!$A$4:$A$503,_calc!$E$132)),"Warranty – "&amp;IF(LEN(INDEX('My equipment'!$A$4:$A$503,(_calc!$E$132-500)))=0,"",INDEX('My equipment'!$A$4:$A$503,(_calc!$E$132-500)))&amp;" – "&amp;IF(LEN(INDEX('My equipment'!$D$4:$D$503,(_calc!$E$132-500)))=0,"",INDEX('My equipment'!$D$4:$D$503,(_calc!$E$132-500)))))</f>
        <v/>
      </c>
      <c r="B130" s="54">
        <f>IF(_calc!$E$132="","",IF(_calc!$E$132&lt;=500,IF(ISNUMBER(INDEX('Dealer pipeline'!$M$4:$M$503,_calc!$E$132)),TEXT(INDEX('Dealer pipeline'!$M$4:$M$503,_calc!$E$132),"yyyy-mm-dd"),""),IF(ISNUMBER(INDEX('My equipment'!$M$4:$M$503,(_calc!$E$132-500))),TEXT(INDEX('My equipment'!$M$4:$M$503,(_calc!$E$132-500)),"yyyy-mm-dd"),"")))</f>
        <v/>
      </c>
      <c r="C130" s="54">
        <f>IF(_calc!$E$132="","",IF(_calc!$E$132&lt;=500,"Warranty","Warranty"))</f>
        <v/>
      </c>
      <c r="D130" s="54">
        <f>IF(_calc!$E$132="","",IF(_calc!$E$132&lt;=500,IF(ISNUMBER(INDEX('Dealer pipeline'!$H$4:$H$503,_calc!$E$132)),TEXT(INDEX('Dealer pipeline'!$H$4:$H$503,_calc!$E$132),"yyyy-mm-dd"),""),IF(ISNUMBER(INDEX('My equipment'!$H$4:$H$503,(_calc!$E$132-500))),TEXT(INDEX('My equipment'!$H$4:$H$503,(_calc!$E$132-500)),"yyyy-mm-dd"),"")))</f>
        <v/>
      </c>
      <c r="F130" s="54">
        <f>IF(_calc!$E$132="","",IF(_calc!$E$132&lt;=500,TRIM(IF(LEN(IF(LEN(INDEX('Dealer pipeline'!$A$4:$A$503,_calc!$E$132))=0,"",INDEX('Dealer pipeline'!$A$4:$A$503,_calc!$E$132)))=0,"","Customer: "&amp;IF(LEN(INDEX('Dealer pipeline'!$A$4:$A$503,_calc!$E$132))=0,"",INDEX('Dealer pipeline'!$A$4:$A$503,_calc!$E$132))&amp;". ")&amp;IF(LEN(IF(LEN(INDEX('Dealer pipeline'!$B$4:$B$503,_calc!$E$132))=0,"",INDEX('Dealer pipeline'!$B$4:$B$503,_calc!$E$132)))=0,"","Contact: "&amp;IF(LEN(INDEX('Dealer pipeline'!$B$4:$B$503,_calc!$E$132))=0,"",INDEX('Dealer pipeline'!$B$4:$B$503,_calc!$E$132))&amp;". ")&amp;IF(LEN(IF(LEN(INDEX('Dealer pipeline'!$D$4:$D$503,_calc!$E$132))=0,"",INDEX('Dealer pipeline'!$D$4:$D$503,_calc!$E$132)))=0,"","Serial: "&amp;IF(LEN(INDEX('Dealer pipeline'!$D$4:$D$503,_calc!$E$132))=0,"",INDEX('Dealer pipeline'!$D$4:$D$503,_calc!$E$132))&amp;". ")&amp;IF(LEN(IF(ISNUMBER(INDEX('Dealer pipeline'!$J$4:$J$503,_calc!$E$132)),TEXT(INDEX('Dealer pipeline'!$J$4:$J$503,_calc!$E$132),"yyyy-mm-dd"),""))=0,"","Parts end: "&amp;IF(ISNUMBER(INDEX('Dealer pipeline'!$J$4:$J$503,_calc!$E$132)),TEXT(INDEX('Dealer pipeline'!$J$4:$J$503,_calc!$E$132),"yyyy-mm-dd"),"")&amp;". ")&amp;IF(LEN(IF(ISNUMBER(INDEX('Dealer pipeline'!$L$4:$L$503,_calc!$E$132)),TEXT(INDEX('Dealer pipeline'!$L$4:$L$503,_calc!$E$132),"yyyy-mm-dd"),""))=0,"","Labor end: "&amp;IF(ISNUMBER(INDEX('Dealer pipeline'!$L$4:$L$503,_calc!$E$132)),TEXT(INDEX('Dealer pipeline'!$L$4:$L$503,_calc!$E$132),"yyyy-mm-dd"),"")&amp;". ")&amp;IF(LEN(IF(LEN(INDEX('Dealer pipeline'!$Q$4:$Q$503,_calc!$E$132))=0,"",INDEX('Dealer pipeline'!$Q$4:$Q$503,_calc!$E$132)))=0,"","Status: "&amp;IF(LEN(INDEX('Dealer pipeline'!$Q$4:$Q$503,_calc!$E$132))=0,"",INDEX('Dealer pipeline'!$Q$4:$Q$503,_calc!$E$132))&amp;". ")&amp;IF(LEN(IF(LEN(INDEX('Dealer pipeline'!$P$4:$P$503,_calc!$E$132))=0,"",INDEX('Dealer pipeline'!$P$4:$P$503,_calc!$E$132)))=0,"","Last touch: "&amp;IF(LEN(INDEX('Dealer pipeline'!$P$4:$P$503,_calc!$E$132))=0,"",INDEX('Dealer pipeline'!$P$4:$P$503,_calc!$E$132))&amp;". ")&amp;IF(LEN(IF(LEN(INDEX('Dealer pipeline'!$R$4:$R$503,_calc!$E$132))=0,"",INDEX('Dealer pipeline'!$R$4:$R$503,_calc!$E$132)))=0,"","Owner: "&amp;IF(LEN(INDEX('Dealer pipeline'!$R$4:$R$503,_calc!$E$132))=0,"",INDEX('Dealer pipeline'!$R$4:$R$503,_calc!$E$132))&amp;". ")&amp;IF(LEN(IF(LEN(INDEX('Dealer pipeline'!$S$4:$S$503,_calc!$E$132))=0,"",INDEX('Dealer pipeline'!$S$4:$S$503,_calc!$E$132)))=0,"","Backup: "&amp;IF(LEN(INDEX('Dealer pipeline'!$S$4:$S$503,_calc!$E$132))=0,"",INDEX('Dealer pipeline'!$S$4:$S$503,_calc!$E$132))&amp;". ")&amp;IF(LEN(IF(LEN(INDEX('Dealer pipeline'!$T$4:$T$503,_calc!$E$132))=0,"",INDEX('Dealer pipeline'!$T$4:$T$503,_calc!$E$132)))=0,"",IF(LEN(INDEX('Dealer pipeline'!$T$4:$T$503,_calc!$E$132))=0,"",INDEX('Dealer pipeline'!$T$4:$T$503,_calc!$E$132)))),TRIM(IF(LEN(IF(LEN(INDEX('My equipment'!$C$4:$C$503,(_calc!$E$132-500)))=0,"",INDEX('My equipment'!$C$4:$C$503,(_calc!$E$132-500))))=0,"","Model: "&amp;IF(LEN(INDEX('My equipment'!$C$4:$C$503,(_calc!$E$132-500)))=0,"",INDEX('My equipment'!$C$4:$C$503,(_calc!$E$132-500)))&amp;". ")&amp;IF(LEN(IF(LEN(INDEX('My equipment'!$D$4:$D$503,(_calc!$E$132-500)))=0,"",INDEX('My equipment'!$D$4:$D$503,(_calc!$E$132-500))))=0,"","Serial: "&amp;IF(LEN(INDEX('My equipment'!$D$4:$D$503,(_calc!$E$132-500)))=0,"",INDEX('My equipment'!$D$4:$D$503,(_calc!$E$132-500)))&amp;". ")&amp;IF(LEN(IF(ISNUMBER(INDEX('My equipment'!$J$4:$J$503,(_calc!$E$132-500))),TEXT(INDEX('My equipment'!$J$4:$J$503,(_calc!$E$132-500)),"yyyy-mm-dd"),""))=0,"","Parts end: "&amp;IF(ISNUMBER(INDEX('My equipment'!$J$4:$J$503,(_calc!$E$132-500))),TEXT(INDEX('My equipment'!$J$4:$J$503,(_calc!$E$132-500)),"yyyy-mm-dd"),"")&amp;". ")&amp;IF(LEN(IF(ISNUMBER(INDEX('My equipment'!$L$4:$L$503,(_calc!$E$132-500))),TEXT(INDEX('My equipment'!$L$4:$L$503,(_calc!$E$132-500)),"yyyy-mm-dd"),""))=0,"","Labor end: "&amp;IF(ISNUMBER(INDEX('My equipment'!$L$4:$L$503,(_calc!$E$132-500))),TEXT(INDEX('My equipment'!$L$4:$L$503,(_calc!$E$132-500)),"yyyy-mm-dd"),"")&amp;". ")&amp;IF(LEN(IF(ISNUMBER(INDEX('My equipment'!$P$4:$P$503,(_calc!$E$132-500))),TEXT(INDEX('My equipment'!$P$4:$P$503,(_calc!$E$132-500)),"yyyy-mm-dd"),""))=0,"","Check by: "&amp;IF(ISNUMBER(INDEX('My equipment'!$P$4:$P$503,(_calc!$E$132-500))),TEXT(INDEX('My equipment'!$P$4:$P$503,(_calc!$E$132-500)),"yyyy-mm-dd"),"")&amp;". ")&amp;IF(LEN(IF(LEN(INDEX('My equipment'!$Q$4:$Q$503,(_calc!$E$132-500)))=0,"",INDEX('My equipment'!$Q$4:$Q$503,(_calc!$E$132-500))))=0,"","Claim status: "&amp;IF(LEN(INDEX('My equipment'!$Q$4:$Q$503,(_calc!$E$132-500)))=0,"",INDEX('My equipment'!$Q$4:$Q$503,(_calc!$E$132-500)))&amp;". ")&amp;IF(LEN(IF(LEN(INDEX('My equipment'!$R$4:$R$503,(_calc!$E$132-500)))=0,"",INDEX('My equipment'!$R$4:$R$503,(_calc!$E$132-500))))=0,"","Claims contact: "&amp;IF(LEN(INDEX('My equipment'!$R$4:$R$503,(_calc!$E$132-500)))=0,"",INDEX('My equipment'!$R$4:$R$503,(_calc!$E$132-500)))&amp;". ")&amp;IF(LEN(IF(LEN(INDEX('My equipment'!$S$4:$S$503,(_calc!$E$132-500)))=0,"",INDEX('My equipment'!$S$4:$S$503,(_calc!$E$132-500))))=0,"","Claims email: "&amp;IF(LEN(INDEX('My equipment'!$S$4:$S$503,(_calc!$E$132-500)))=0,"",INDEX('My equipment'!$S$4:$S$503,(_calc!$E$132-500)))&amp;". ")&amp;IF(LEN(IF(LEN(INDEX('My equipment'!$U$4:$U$503,(_calc!$E$132-500)))=0,"",INDEX('My equipment'!$U$4:$U$503,(_calc!$E$132-500))))=0,"","Registered: "&amp;IF(LEN(INDEX('My equipment'!$U$4:$U$503,(_calc!$E$132-500)))=0,"",INDEX('My equipment'!$U$4:$U$503,(_calc!$E$132-500)))&amp;". ")&amp;IF(LEN(IF(LEN(INDEX('My equipment'!$V$4:$V$503,(_calc!$E$132-500)))=0,"",INDEX('My equipment'!$V$4:$V$503,(_calc!$E$132-500))))=0,"","Proof on file: "&amp;IF(LEN(INDEX('My equipment'!$V$4:$V$503,(_calc!$E$132-500)))=0,"",INDEX('My equipment'!$V$4:$V$503,(_calc!$E$132-500)))&amp;". ")&amp;IF(LEN(IF(LEN(INDEX('My equipment'!$W$4:$W$503,(_calc!$E$132-500)))=0,"",INDEX('My equipment'!$W$4:$W$503,(_calc!$E$132-500))))=0,"","Claim ref: "&amp;IF(LEN(INDEX('My equipment'!$W$4:$W$503,(_calc!$E$132-500)))=0,"",INDEX('My equipment'!$W$4:$W$503,(_calc!$E$132-500)))&amp;". ")&amp;IF(LEN(IF(LEN(INDEX('My equipment'!$Y$4:$Y$503,(_calc!$E$132-500)))=0,"",INDEX('My equipment'!$Y$4:$Y$503,(_calc!$E$132-500))))=0,"",IF(LEN(INDEX('My equipment'!$Y$4:$Y$503,(_calc!$E$132-500)))=0,"",INDEX('My equipment'!$Y$4:$Y$503,(_calc!$E$132-500)))))))</f>
        <v/>
      </c>
      <c r="G130" s="54">
        <f>IF(_calc!$E$132="","",IF(_calc!$E$132&lt;=500,"",IF(LEN(INDEX('My equipment'!$X$4:$X$503,(_calc!$E$132-500)))=0,"",INDEX('My equipment'!$X$4:$X$503,(_calc!$E$132-500)))))</f>
        <v/>
      </c>
      <c r="K130" s="54">
        <f>IF(_calc!$E$132="","",IF(_calc!$E$132&lt;=500,"",IF(LEN(INDEX('My equipment'!$T$4:$T$503,(_calc!$E$132-500)))=0,"",INDEX('My equipment'!$T$4:$T$503,(_calc!$E$132-500)))))</f>
        <v/>
      </c>
    </row>
    <row r="131">
      <c r="A131" s="54">
        <f>IF(_calc!$E$133="","",IF(_calc!$E$133&lt;=500,"Warranty – "&amp;IF(LEN(INDEX('Dealer pipeline'!$C$4:$C$503,_calc!$E$133))=0,"",INDEX('Dealer pipeline'!$C$4:$C$503,_calc!$E$133))&amp;" – "&amp;IF(LEN(INDEX('Dealer pipeline'!$D$4:$D$503,_calc!$E$133))=0,"",INDEX('Dealer pipeline'!$D$4:$D$503,_calc!$E$133))&amp;" – "&amp;IF(LEN(INDEX('Dealer pipeline'!$A$4:$A$503,_calc!$E$133))=0,"",INDEX('Dealer pipeline'!$A$4:$A$503,_calc!$E$133)),"Warranty – "&amp;IF(LEN(INDEX('My equipment'!$A$4:$A$503,(_calc!$E$133-500)))=0,"",INDEX('My equipment'!$A$4:$A$503,(_calc!$E$133-500)))&amp;" – "&amp;IF(LEN(INDEX('My equipment'!$D$4:$D$503,(_calc!$E$133-500)))=0,"",INDEX('My equipment'!$D$4:$D$503,(_calc!$E$133-500)))))</f>
        <v/>
      </c>
      <c r="B131" s="54">
        <f>IF(_calc!$E$133="","",IF(_calc!$E$133&lt;=500,IF(ISNUMBER(INDEX('Dealer pipeline'!$M$4:$M$503,_calc!$E$133)),TEXT(INDEX('Dealer pipeline'!$M$4:$M$503,_calc!$E$133),"yyyy-mm-dd"),""),IF(ISNUMBER(INDEX('My equipment'!$M$4:$M$503,(_calc!$E$133-500))),TEXT(INDEX('My equipment'!$M$4:$M$503,(_calc!$E$133-500)),"yyyy-mm-dd"),"")))</f>
        <v/>
      </c>
      <c r="C131" s="54">
        <f>IF(_calc!$E$133="","",IF(_calc!$E$133&lt;=500,"Warranty","Warranty"))</f>
        <v/>
      </c>
      <c r="D131" s="54">
        <f>IF(_calc!$E$133="","",IF(_calc!$E$133&lt;=500,IF(ISNUMBER(INDEX('Dealer pipeline'!$H$4:$H$503,_calc!$E$133)),TEXT(INDEX('Dealer pipeline'!$H$4:$H$503,_calc!$E$133),"yyyy-mm-dd"),""),IF(ISNUMBER(INDEX('My equipment'!$H$4:$H$503,(_calc!$E$133-500))),TEXT(INDEX('My equipment'!$H$4:$H$503,(_calc!$E$133-500)),"yyyy-mm-dd"),"")))</f>
        <v/>
      </c>
      <c r="F131" s="54">
        <f>IF(_calc!$E$133="","",IF(_calc!$E$133&lt;=500,TRIM(IF(LEN(IF(LEN(INDEX('Dealer pipeline'!$A$4:$A$503,_calc!$E$133))=0,"",INDEX('Dealer pipeline'!$A$4:$A$503,_calc!$E$133)))=0,"","Customer: "&amp;IF(LEN(INDEX('Dealer pipeline'!$A$4:$A$503,_calc!$E$133))=0,"",INDEX('Dealer pipeline'!$A$4:$A$503,_calc!$E$133))&amp;". ")&amp;IF(LEN(IF(LEN(INDEX('Dealer pipeline'!$B$4:$B$503,_calc!$E$133))=0,"",INDEX('Dealer pipeline'!$B$4:$B$503,_calc!$E$133)))=0,"","Contact: "&amp;IF(LEN(INDEX('Dealer pipeline'!$B$4:$B$503,_calc!$E$133))=0,"",INDEX('Dealer pipeline'!$B$4:$B$503,_calc!$E$133))&amp;". ")&amp;IF(LEN(IF(LEN(INDEX('Dealer pipeline'!$D$4:$D$503,_calc!$E$133))=0,"",INDEX('Dealer pipeline'!$D$4:$D$503,_calc!$E$133)))=0,"","Serial: "&amp;IF(LEN(INDEX('Dealer pipeline'!$D$4:$D$503,_calc!$E$133))=0,"",INDEX('Dealer pipeline'!$D$4:$D$503,_calc!$E$133))&amp;". ")&amp;IF(LEN(IF(ISNUMBER(INDEX('Dealer pipeline'!$J$4:$J$503,_calc!$E$133)),TEXT(INDEX('Dealer pipeline'!$J$4:$J$503,_calc!$E$133),"yyyy-mm-dd"),""))=0,"","Parts end: "&amp;IF(ISNUMBER(INDEX('Dealer pipeline'!$J$4:$J$503,_calc!$E$133)),TEXT(INDEX('Dealer pipeline'!$J$4:$J$503,_calc!$E$133),"yyyy-mm-dd"),"")&amp;". ")&amp;IF(LEN(IF(ISNUMBER(INDEX('Dealer pipeline'!$L$4:$L$503,_calc!$E$133)),TEXT(INDEX('Dealer pipeline'!$L$4:$L$503,_calc!$E$133),"yyyy-mm-dd"),""))=0,"","Labor end: "&amp;IF(ISNUMBER(INDEX('Dealer pipeline'!$L$4:$L$503,_calc!$E$133)),TEXT(INDEX('Dealer pipeline'!$L$4:$L$503,_calc!$E$133),"yyyy-mm-dd"),"")&amp;". ")&amp;IF(LEN(IF(LEN(INDEX('Dealer pipeline'!$Q$4:$Q$503,_calc!$E$133))=0,"",INDEX('Dealer pipeline'!$Q$4:$Q$503,_calc!$E$133)))=0,"","Status: "&amp;IF(LEN(INDEX('Dealer pipeline'!$Q$4:$Q$503,_calc!$E$133))=0,"",INDEX('Dealer pipeline'!$Q$4:$Q$503,_calc!$E$133))&amp;". ")&amp;IF(LEN(IF(LEN(INDEX('Dealer pipeline'!$P$4:$P$503,_calc!$E$133))=0,"",INDEX('Dealer pipeline'!$P$4:$P$503,_calc!$E$133)))=0,"","Last touch: "&amp;IF(LEN(INDEX('Dealer pipeline'!$P$4:$P$503,_calc!$E$133))=0,"",INDEX('Dealer pipeline'!$P$4:$P$503,_calc!$E$133))&amp;". ")&amp;IF(LEN(IF(LEN(INDEX('Dealer pipeline'!$R$4:$R$503,_calc!$E$133))=0,"",INDEX('Dealer pipeline'!$R$4:$R$503,_calc!$E$133)))=0,"","Owner: "&amp;IF(LEN(INDEX('Dealer pipeline'!$R$4:$R$503,_calc!$E$133))=0,"",INDEX('Dealer pipeline'!$R$4:$R$503,_calc!$E$133))&amp;". ")&amp;IF(LEN(IF(LEN(INDEX('Dealer pipeline'!$S$4:$S$503,_calc!$E$133))=0,"",INDEX('Dealer pipeline'!$S$4:$S$503,_calc!$E$133)))=0,"","Backup: "&amp;IF(LEN(INDEX('Dealer pipeline'!$S$4:$S$503,_calc!$E$133))=0,"",INDEX('Dealer pipeline'!$S$4:$S$503,_calc!$E$133))&amp;". ")&amp;IF(LEN(IF(LEN(INDEX('Dealer pipeline'!$T$4:$T$503,_calc!$E$133))=0,"",INDEX('Dealer pipeline'!$T$4:$T$503,_calc!$E$133)))=0,"",IF(LEN(INDEX('Dealer pipeline'!$T$4:$T$503,_calc!$E$133))=0,"",INDEX('Dealer pipeline'!$T$4:$T$503,_calc!$E$133)))),TRIM(IF(LEN(IF(LEN(INDEX('My equipment'!$C$4:$C$503,(_calc!$E$133-500)))=0,"",INDEX('My equipment'!$C$4:$C$503,(_calc!$E$133-500))))=0,"","Model: "&amp;IF(LEN(INDEX('My equipment'!$C$4:$C$503,(_calc!$E$133-500)))=0,"",INDEX('My equipment'!$C$4:$C$503,(_calc!$E$133-500)))&amp;". ")&amp;IF(LEN(IF(LEN(INDEX('My equipment'!$D$4:$D$503,(_calc!$E$133-500)))=0,"",INDEX('My equipment'!$D$4:$D$503,(_calc!$E$133-500))))=0,"","Serial: "&amp;IF(LEN(INDEX('My equipment'!$D$4:$D$503,(_calc!$E$133-500)))=0,"",INDEX('My equipment'!$D$4:$D$503,(_calc!$E$133-500)))&amp;". ")&amp;IF(LEN(IF(ISNUMBER(INDEX('My equipment'!$J$4:$J$503,(_calc!$E$133-500))),TEXT(INDEX('My equipment'!$J$4:$J$503,(_calc!$E$133-500)),"yyyy-mm-dd"),""))=0,"","Parts end: "&amp;IF(ISNUMBER(INDEX('My equipment'!$J$4:$J$503,(_calc!$E$133-500))),TEXT(INDEX('My equipment'!$J$4:$J$503,(_calc!$E$133-500)),"yyyy-mm-dd"),"")&amp;". ")&amp;IF(LEN(IF(ISNUMBER(INDEX('My equipment'!$L$4:$L$503,(_calc!$E$133-500))),TEXT(INDEX('My equipment'!$L$4:$L$503,(_calc!$E$133-500)),"yyyy-mm-dd"),""))=0,"","Labor end: "&amp;IF(ISNUMBER(INDEX('My equipment'!$L$4:$L$503,(_calc!$E$133-500))),TEXT(INDEX('My equipment'!$L$4:$L$503,(_calc!$E$133-500)),"yyyy-mm-dd"),"")&amp;". ")&amp;IF(LEN(IF(ISNUMBER(INDEX('My equipment'!$P$4:$P$503,(_calc!$E$133-500))),TEXT(INDEX('My equipment'!$P$4:$P$503,(_calc!$E$133-500)),"yyyy-mm-dd"),""))=0,"","Check by: "&amp;IF(ISNUMBER(INDEX('My equipment'!$P$4:$P$503,(_calc!$E$133-500))),TEXT(INDEX('My equipment'!$P$4:$P$503,(_calc!$E$133-500)),"yyyy-mm-dd"),"")&amp;". ")&amp;IF(LEN(IF(LEN(INDEX('My equipment'!$Q$4:$Q$503,(_calc!$E$133-500)))=0,"",INDEX('My equipment'!$Q$4:$Q$503,(_calc!$E$133-500))))=0,"","Claim status: "&amp;IF(LEN(INDEX('My equipment'!$Q$4:$Q$503,(_calc!$E$133-500)))=0,"",INDEX('My equipment'!$Q$4:$Q$503,(_calc!$E$133-500)))&amp;". ")&amp;IF(LEN(IF(LEN(INDEX('My equipment'!$R$4:$R$503,(_calc!$E$133-500)))=0,"",INDEX('My equipment'!$R$4:$R$503,(_calc!$E$133-500))))=0,"","Claims contact: "&amp;IF(LEN(INDEX('My equipment'!$R$4:$R$503,(_calc!$E$133-500)))=0,"",INDEX('My equipment'!$R$4:$R$503,(_calc!$E$133-500)))&amp;". ")&amp;IF(LEN(IF(LEN(INDEX('My equipment'!$S$4:$S$503,(_calc!$E$133-500)))=0,"",INDEX('My equipment'!$S$4:$S$503,(_calc!$E$133-500))))=0,"","Claims email: "&amp;IF(LEN(INDEX('My equipment'!$S$4:$S$503,(_calc!$E$133-500)))=0,"",INDEX('My equipment'!$S$4:$S$503,(_calc!$E$133-500)))&amp;". ")&amp;IF(LEN(IF(LEN(INDEX('My equipment'!$U$4:$U$503,(_calc!$E$133-500)))=0,"",INDEX('My equipment'!$U$4:$U$503,(_calc!$E$133-500))))=0,"","Registered: "&amp;IF(LEN(INDEX('My equipment'!$U$4:$U$503,(_calc!$E$133-500)))=0,"",INDEX('My equipment'!$U$4:$U$503,(_calc!$E$133-500)))&amp;". ")&amp;IF(LEN(IF(LEN(INDEX('My equipment'!$V$4:$V$503,(_calc!$E$133-500)))=0,"",INDEX('My equipment'!$V$4:$V$503,(_calc!$E$133-500))))=0,"","Proof on file: "&amp;IF(LEN(INDEX('My equipment'!$V$4:$V$503,(_calc!$E$133-500)))=0,"",INDEX('My equipment'!$V$4:$V$503,(_calc!$E$133-500)))&amp;". ")&amp;IF(LEN(IF(LEN(INDEX('My equipment'!$W$4:$W$503,(_calc!$E$133-500)))=0,"",INDEX('My equipment'!$W$4:$W$503,(_calc!$E$133-500))))=0,"","Claim ref: "&amp;IF(LEN(INDEX('My equipment'!$W$4:$W$503,(_calc!$E$133-500)))=0,"",INDEX('My equipment'!$W$4:$W$503,(_calc!$E$133-500)))&amp;". ")&amp;IF(LEN(IF(LEN(INDEX('My equipment'!$Y$4:$Y$503,(_calc!$E$133-500)))=0,"",INDEX('My equipment'!$Y$4:$Y$503,(_calc!$E$133-500))))=0,"",IF(LEN(INDEX('My equipment'!$Y$4:$Y$503,(_calc!$E$133-500)))=0,"",INDEX('My equipment'!$Y$4:$Y$503,(_calc!$E$133-500)))))))</f>
        <v/>
      </c>
      <c r="G131" s="54">
        <f>IF(_calc!$E$133="","",IF(_calc!$E$133&lt;=500,"",IF(LEN(INDEX('My equipment'!$X$4:$X$503,(_calc!$E$133-500)))=0,"",INDEX('My equipment'!$X$4:$X$503,(_calc!$E$133-500)))))</f>
        <v/>
      </c>
      <c r="K131" s="54">
        <f>IF(_calc!$E$133="","",IF(_calc!$E$133&lt;=500,"",IF(LEN(INDEX('My equipment'!$T$4:$T$503,(_calc!$E$133-500)))=0,"",INDEX('My equipment'!$T$4:$T$503,(_calc!$E$133-500)))))</f>
        <v/>
      </c>
    </row>
    <row r="132">
      <c r="A132" s="54">
        <f>IF(_calc!$E$134="","",IF(_calc!$E$134&lt;=500,"Warranty – "&amp;IF(LEN(INDEX('Dealer pipeline'!$C$4:$C$503,_calc!$E$134))=0,"",INDEX('Dealer pipeline'!$C$4:$C$503,_calc!$E$134))&amp;" – "&amp;IF(LEN(INDEX('Dealer pipeline'!$D$4:$D$503,_calc!$E$134))=0,"",INDEX('Dealer pipeline'!$D$4:$D$503,_calc!$E$134))&amp;" – "&amp;IF(LEN(INDEX('Dealer pipeline'!$A$4:$A$503,_calc!$E$134))=0,"",INDEX('Dealer pipeline'!$A$4:$A$503,_calc!$E$134)),"Warranty – "&amp;IF(LEN(INDEX('My equipment'!$A$4:$A$503,(_calc!$E$134-500)))=0,"",INDEX('My equipment'!$A$4:$A$503,(_calc!$E$134-500)))&amp;" – "&amp;IF(LEN(INDEX('My equipment'!$D$4:$D$503,(_calc!$E$134-500)))=0,"",INDEX('My equipment'!$D$4:$D$503,(_calc!$E$134-500)))))</f>
        <v/>
      </c>
      <c r="B132" s="54">
        <f>IF(_calc!$E$134="","",IF(_calc!$E$134&lt;=500,IF(ISNUMBER(INDEX('Dealer pipeline'!$M$4:$M$503,_calc!$E$134)),TEXT(INDEX('Dealer pipeline'!$M$4:$M$503,_calc!$E$134),"yyyy-mm-dd"),""),IF(ISNUMBER(INDEX('My equipment'!$M$4:$M$503,(_calc!$E$134-500))),TEXT(INDEX('My equipment'!$M$4:$M$503,(_calc!$E$134-500)),"yyyy-mm-dd"),"")))</f>
        <v/>
      </c>
      <c r="C132" s="54">
        <f>IF(_calc!$E$134="","",IF(_calc!$E$134&lt;=500,"Warranty","Warranty"))</f>
        <v/>
      </c>
      <c r="D132" s="54">
        <f>IF(_calc!$E$134="","",IF(_calc!$E$134&lt;=500,IF(ISNUMBER(INDEX('Dealer pipeline'!$H$4:$H$503,_calc!$E$134)),TEXT(INDEX('Dealer pipeline'!$H$4:$H$503,_calc!$E$134),"yyyy-mm-dd"),""),IF(ISNUMBER(INDEX('My equipment'!$H$4:$H$503,(_calc!$E$134-500))),TEXT(INDEX('My equipment'!$H$4:$H$503,(_calc!$E$134-500)),"yyyy-mm-dd"),"")))</f>
        <v/>
      </c>
      <c r="F132" s="54">
        <f>IF(_calc!$E$134="","",IF(_calc!$E$134&lt;=500,TRIM(IF(LEN(IF(LEN(INDEX('Dealer pipeline'!$A$4:$A$503,_calc!$E$134))=0,"",INDEX('Dealer pipeline'!$A$4:$A$503,_calc!$E$134)))=0,"","Customer: "&amp;IF(LEN(INDEX('Dealer pipeline'!$A$4:$A$503,_calc!$E$134))=0,"",INDEX('Dealer pipeline'!$A$4:$A$503,_calc!$E$134))&amp;". ")&amp;IF(LEN(IF(LEN(INDEX('Dealer pipeline'!$B$4:$B$503,_calc!$E$134))=0,"",INDEX('Dealer pipeline'!$B$4:$B$503,_calc!$E$134)))=0,"","Contact: "&amp;IF(LEN(INDEX('Dealer pipeline'!$B$4:$B$503,_calc!$E$134))=0,"",INDEX('Dealer pipeline'!$B$4:$B$503,_calc!$E$134))&amp;". ")&amp;IF(LEN(IF(LEN(INDEX('Dealer pipeline'!$D$4:$D$503,_calc!$E$134))=0,"",INDEX('Dealer pipeline'!$D$4:$D$503,_calc!$E$134)))=0,"","Serial: "&amp;IF(LEN(INDEX('Dealer pipeline'!$D$4:$D$503,_calc!$E$134))=0,"",INDEX('Dealer pipeline'!$D$4:$D$503,_calc!$E$134))&amp;". ")&amp;IF(LEN(IF(ISNUMBER(INDEX('Dealer pipeline'!$J$4:$J$503,_calc!$E$134)),TEXT(INDEX('Dealer pipeline'!$J$4:$J$503,_calc!$E$134),"yyyy-mm-dd"),""))=0,"","Parts end: "&amp;IF(ISNUMBER(INDEX('Dealer pipeline'!$J$4:$J$503,_calc!$E$134)),TEXT(INDEX('Dealer pipeline'!$J$4:$J$503,_calc!$E$134),"yyyy-mm-dd"),"")&amp;". ")&amp;IF(LEN(IF(ISNUMBER(INDEX('Dealer pipeline'!$L$4:$L$503,_calc!$E$134)),TEXT(INDEX('Dealer pipeline'!$L$4:$L$503,_calc!$E$134),"yyyy-mm-dd"),""))=0,"","Labor end: "&amp;IF(ISNUMBER(INDEX('Dealer pipeline'!$L$4:$L$503,_calc!$E$134)),TEXT(INDEX('Dealer pipeline'!$L$4:$L$503,_calc!$E$134),"yyyy-mm-dd"),"")&amp;". ")&amp;IF(LEN(IF(LEN(INDEX('Dealer pipeline'!$Q$4:$Q$503,_calc!$E$134))=0,"",INDEX('Dealer pipeline'!$Q$4:$Q$503,_calc!$E$134)))=0,"","Status: "&amp;IF(LEN(INDEX('Dealer pipeline'!$Q$4:$Q$503,_calc!$E$134))=0,"",INDEX('Dealer pipeline'!$Q$4:$Q$503,_calc!$E$134))&amp;". ")&amp;IF(LEN(IF(LEN(INDEX('Dealer pipeline'!$P$4:$P$503,_calc!$E$134))=0,"",INDEX('Dealer pipeline'!$P$4:$P$503,_calc!$E$134)))=0,"","Last touch: "&amp;IF(LEN(INDEX('Dealer pipeline'!$P$4:$P$503,_calc!$E$134))=0,"",INDEX('Dealer pipeline'!$P$4:$P$503,_calc!$E$134))&amp;". ")&amp;IF(LEN(IF(LEN(INDEX('Dealer pipeline'!$R$4:$R$503,_calc!$E$134))=0,"",INDEX('Dealer pipeline'!$R$4:$R$503,_calc!$E$134)))=0,"","Owner: "&amp;IF(LEN(INDEX('Dealer pipeline'!$R$4:$R$503,_calc!$E$134))=0,"",INDEX('Dealer pipeline'!$R$4:$R$503,_calc!$E$134))&amp;". ")&amp;IF(LEN(IF(LEN(INDEX('Dealer pipeline'!$S$4:$S$503,_calc!$E$134))=0,"",INDEX('Dealer pipeline'!$S$4:$S$503,_calc!$E$134)))=0,"","Backup: "&amp;IF(LEN(INDEX('Dealer pipeline'!$S$4:$S$503,_calc!$E$134))=0,"",INDEX('Dealer pipeline'!$S$4:$S$503,_calc!$E$134))&amp;". ")&amp;IF(LEN(IF(LEN(INDEX('Dealer pipeline'!$T$4:$T$503,_calc!$E$134))=0,"",INDEX('Dealer pipeline'!$T$4:$T$503,_calc!$E$134)))=0,"",IF(LEN(INDEX('Dealer pipeline'!$T$4:$T$503,_calc!$E$134))=0,"",INDEX('Dealer pipeline'!$T$4:$T$503,_calc!$E$134)))),TRIM(IF(LEN(IF(LEN(INDEX('My equipment'!$C$4:$C$503,(_calc!$E$134-500)))=0,"",INDEX('My equipment'!$C$4:$C$503,(_calc!$E$134-500))))=0,"","Model: "&amp;IF(LEN(INDEX('My equipment'!$C$4:$C$503,(_calc!$E$134-500)))=0,"",INDEX('My equipment'!$C$4:$C$503,(_calc!$E$134-500)))&amp;". ")&amp;IF(LEN(IF(LEN(INDEX('My equipment'!$D$4:$D$503,(_calc!$E$134-500)))=0,"",INDEX('My equipment'!$D$4:$D$503,(_calc!$E$134-500))))=0,"","Serial: "&amp;IF(LEN(INDEX('My equipment'!$D$4:$D$503,(_calc!$E$134-500)))=0,"",INDEX('My equipment'!$D$4:$D$503,(_calc!$E$134-500)))&amp;". ")&amp;IF(LEN(IF(ISNUMBER(INDEX('My equipment'!$J$4:$J$503,(_calc!$E$134-500))),TEXT(INDEX('My equipment'!$J$4:$J$503,(_calc!$E$134-500)),"yyyy-mm-dd"),""))=0,"","Parts end: "&amp;IF(ISNUMBER(INDEX('My equipment'!$J$4:$J$503,(_calc!$E$134-500))),TEXT(INDEX('My equipment'!$J$4:$J$503,(_calc!$E$134-500)),"yyyy-mm-dd"),"")&amp;". ")&amp;IF(LEN(IF(ISNUMBER(INDEX('My equipment'!$L$4:$L$503,(_calc!$E$134-500))),TEXT(INDEX('My equipment'!$L$4:$L$503,(_calc!$E$134-500)),"yyyy-mm-dd"),""))=0,"","Labor end: "&amp;IF(ISNUMBER(INDEX('My equipment'!$L$4:$L$503,(_calc!$E$134-500))),TEXT(INDEX('My equipment'!$L$4:$L$503,(_calc!$E$134-500)),"yyyy-mm-dd"),"")&amp;". ")&amp;IF(LEN(IF(ISNUMBER(INDEX('My equipment'!$P$4:$P$503,(_calc!$E$134-500))),TEXT(INDEX('My equipment'!$P$4:$P$503,(_calc!$E$134-500)),"yyyy-mm-dd"),""))=0,"","Check by: "&amp;IF(ISNUMBER(INDEX('My equipment'!$P$4:$P$503,(_calc!$E$134-500))),TEXT(INDEX('My equipment'!$P$4:$P$503,(_calc!$E$134-500)),"yyyy-mm-dd"),"")&amp;". ")&amp;IF(LEN(IF(LEN(INDEX('My equipment'!$Q$4:$Q$503,(_calc!$E$134-500)))=0,"",INDEX('My equipment'!$Q$4:$Q$503,(_calc!$E$134-500))))=0,"","Claim status: "&amp;IF(LEN(INDEX('My equipment'!$Q$4:$Q$503,(_calc!$E$134-500)))=0,"",INDEX('My equipment'!$Q$4:$Q$503,(_calc!$E$134-500)))&amp;". ")&amp;IF(LEN(IF(LEN(INDEX('My equipment'!$R$4:$R$503,(_calc!$E$134-500)))=0,"",INDEX('My equipment'!$R$4:$R$503,(_calc!$E$134-500))))=0,"","Claims contact: "&amp;IF(LEN(INDEX('My equipment'!$R$4:$R$503,(_calc!$E$134-500)))=0,"",INDEX('My equipment'!$R$4:$R$503,(_calc!$E$134-500)))&amp;". ")&amp;IF(LEN(IF(LEN(INDEX('My equipment'!$S$4:$S$503,(_calc!$E$134-500)))=0,"",INDEX('My equipment'!$S$4:$S$503,(_calc!$E$134-500))))=0,"","Claims email: "&amp;IF(LEN(INDEX('My equipment'!$S$4:$S$503,(_calc!$E$134-500)))=0,"",INDEX('My equipment'!$S$4:$S$503,(_calc!$E$134-500)))&amp;". ")&amp;IF(LEN(IF(LEN(INDEX('My equipment'!$U$4:$U$503,(_calc!$E$134-500)))=0,"",INDEX('My equipment'!$U$4:$U$503,(_calc!$E$134-500))))=0,"","Registered: "&amp;IF(LEN(INDEX('My equipment'!$U$4:$U$503,(_calc!$E$134-500)))=0,"",INDEX('My equipment'!$U$4:$U$503,(_calc!$E$134-500)))&amp;". ")&amp;IF(LEN(IF(LEN(INDEX('My equipment'!$V$4:$V$503,(_calc!$E$134-500)))=0,"",INDEX('My equipment'!$V$4:$V$503,(_calc!$E$134-500))))=0,"","Proof on file: "&amp;IF(LEN(INDEX('My equipment'!$V$4:$V$503,(_calc!$E$134-500)))=0,"",INDEX('My equipment'!$V$4:$V$503,(_calc!$E$134-500)))&amp;". ")&amp;IF(LEN(IF(LEN(INDEX('My equipment'!$W$4:$W$503,(_calc!$E$134-500)))=0,"",INDEX('My equipment'!$W$4:$W$503,(_calc!$E$134-500))))=0,"","Claim ref: "&amp;IF(LEN(INDEX('My equipment'!$W$4:$W$503,(_calc!$E$134-500)))=0,"",INDEX('My equipment'!$W$4:$W$503,(_calc!$E$134-500)))&amp;". ")&amp;IF(LEN(IF(LEN(INDEX('My equipment'!$Y$4:$Y$503,(_calc!$E$134-500)))=0,"",INDEX('My equipment'!$Y$4:$Y$503,(_calc!$E$134-500))))=0,"",IF(LEN(INDEX('My equipment'!$Y$4:$Y$503,(_calc!$E$134-500)))=0,"",INDEX('My equipment'!$Y$4:$Y$503,(_calc!$E$134-500)))))))</f>
        <v/>
      </c>
      <c r="G132" s="54">
        <f>IF(_calc!$E$134="","",IF(_calc!$E$134&lt;=500,"",IF(LEN(INDEX('My equipment'!$X$4:$X$503,(_calc!$E$134-500)))=0,"",INDEX('My equipment'!$X$4:$X$503,(_calc!$E$134-500)))))</f>
        <v/>
      </c>
      <c r="K132" s="54">
        <f>IF(_calc!$E$134="","",IF(_calc!$E$134&lt;=500,"",IF(LEN(INDEX('My equipment'!$T$4:$T$503,(_calc!$E$134-500)))=0,"",INDEX('My equipment'!$T$4:$T$503,(_calc!$E$134-500)))))</f>
        <v/>
      </c>
    </row>
    <row r="133">
      <c r="A133" s="54">
        <f>IF(_calc!$E$135="","",IF(_calc!$E$135&lt;=500,"Warranty – "&amp;IF(LEN(INDEX('Dealer pipeline'!$C$4:$C$503,_calc!$E$135))=0,"",INDEX('Dealer pipeline'!$C$4:$C$503,_calc!$E$135))&amp;" – "&amp;IF(LEN(INDEX('Dealer pipeline'!$D$4:$D$503,_calc!$E$135))=0,"",INDEX('Dealer pipeline'!$D$4:$D$503,_calc!$E$135))&amp;" – "&amp;IF(LEN(INDEX('Dealer pipeline'!$A$4:$A$503,_calc!$E$135))=0,"",INDEX('Dealer pipeline'!$A$4:$A$503,_calc!$E$135)),"Warranty – "&amp;IF(LEN(INDEX('My equipment'!$A$4:$A$503,(_calc!$E$135-500)))=0,"",INDEX('My equipment'!$A$4:$A$503,(_calc!$E$135-500)))&amp;" – "&amp;IF(LEN(INDEX('My equipment'!$D$4:$D$503,(_calc!$E$135-500)))=0,"",INDEX('My equipment'!$D$4:$D$503,(_calc!$E$135-500)))))</f>
        <v/>
      </c>
      <c r="B133" s="54">
        <f>IF(_calc!$E$135="","",IF(_calc!$E$135&lt;=500,IF(ISNUMBER(INDEX('Dealer pipeline'!$M$4:$M$503,_calc!$E$135)),TEXT(INDEX('Dealer pipeline'!$M$4:$M$503,_calc!$E$135),"yyyy-mm-dd"),""),IF(ISNUMBER(INDEX('My equipment'!$M$4:$M$503,(_calc!$E$135-500))),TEXT(INDEX('My equipment'!$M$4:$M$503,(_calc!$E$135-500)),"yyyy-mm-dd"),"")))</f>
        <v/>
      </c>
      <c r="C133" s="54">
        <f>IF(_calc!$E$135="","",IF(_calc!$E$135&lt;=500,"Warranty","Warranty"))</f>
        <v/>
      </c>
      <c r="D133" s="54">
        <f>IF(_calc!$E$135="","",IF(_calc!$E$135&lt;=500,IF(ISNUMBER(INDEX('Dealer pipeline'!$H$4:$H$503,_calc!$E$135)),TEXT(INDEX('Dealer pipeline'!$H$4:$H$503,_calc!$E$135),"yyyy-mm-dd"),""),IF(ISNUMBER(INDEX('My equipment'!$H$4:$H$503,(_calc!$E$135-500))),TEXT(INDEX('My equipment'!$H$4:$H$503,(_calc!$E$135-500)),"yyyy-mm-dd"),"")))</f>
        <v/>
      </c>
      <c r="F133" s="54">
        <f>IF(_calc!$E$135="","",IF(_calc!$E$135&lt;=500,TRIM(IF(LEN(IF(LEN(INDEX('Dealer pipeline'!$A$4:$A$503,_calc!$E$135))=0,"",INDEX('Dealer pipeline'!$A$4:$A$503,_calc!$E$135)))=0,"","Customer: "&amp;IF(LEN(INDEX('Dealer pipeline'!$A$4:$A$503,_calc!$E$135))=0,"",INDEX('Dealer pipeline'!$A$4:$A$503,_calc!$E$135))&amp;". ")&amp;IF(LEN(IF(LEN(INDEX('Dealer pipeline'!$B$4:$B$503,_calc!$E$135))=0,"",INDEX('Dealer pipeline'!$B$4:$B$503,_calc!$E$135)))=0,"","Contact: "&amp;IF(LEN(INDEX('Dealer pipeline'!$B$4:$B$503,_calc!$E$135))=0,"",INDEX('Dealer pipeline'!$B$4:$B$503,_calc!$E$135))&amp;". ")&amp;IF(LEN(IF(LEN(INDEX('Dealer pipeline'!$D$4:$D$503,_calc!$E$135))=0,"",INDEX('Dealer pipeline'!$D$4:$D$503,_calc!$E$135)))=0,"","Serial: "&amp;IF(LEN(INDEX('Dealer pipeline'!$D$4:$D$503,_calc!$E$135))=0,"",INDEX('Dealer pipeline'!$D$4:$D$503,_calc!$E$135))&amp;". ")&amp;IF(LEN(IF(ISNUMBER(INDEX('Dealer pipeline'!$J$4:$J$503,_calc!$E$135)),TEXT(INDEX('Dealer pipeline'!$J$4:$J$503,_calc!$E$135),"yyyy-mm-dd"),""))=0,"","Parts end: "&amp;IF(ISNUMBER(INDEX('Dealer pipeline'!$J$4:$J$503,_calc!$E$135)),TEXT(INDEX('Dealer pipeline'!$J$4:$J$503,_calc!$E$135),"yyyy-mm-dd"),"")&amp;". ")&amp;IF(LEN(IF(ISNUMBER(INDEX('Dealer pipeline'!$L$4:$L$503,_calc!$E$135)),TEXT(INDEX('Dealer pipeline'!$L$4:$L$503,_calc!$E$135),"yyyy-mm-dd"),""))=0,"","Labor end: "&amp;IF(ISNUMBER(INDEX('Dealer pipeline'!$L$4:$L$503,_calc!$E$135)),TEXT(INDEX('Dealer pipeline'!$L$4:$L$503,_calc!$E$135),"yyyy-mm-dd"),"")&amp;". ")&amp;IF(LEN(IF(LEN(INDEX('Dealer pipeline'!$Q$4:$Q$503,_calc!$E$135))=0,"",INDEX('Dealer pipeline'!$Q$4:$Q$503,_calc!$E$135)))=0,"","Status: "&amp;IF(LEN(INDEX('Dealer pipeline'!$Q$4:$Q$503,_calc!$E$135))=0,"",INDEX('Dealer pipeline'!$Q$4:$Q$503,_calc!$E$135))&amp;". ")&amp;IF(LEN(IF(LEN(INDEX('Dealer pipeline'!$P$4:$P$503,_calc!$E$135))=0,"",INDEX('Dealer pipeline'!$P$4:$P$503,_calc!$E$135)))=0,"","Last touch: "&amp;IF(LEN(INDEX('Dealer pipeline'!$P$4:$P$503,_calc!$E$135))=0,"",INDEX('Dealer pipeline'!$P$4:$P$503,_calc!$E$135))&amp;". ")&amp;IF(LEN(IF(LEN(INDEX('Dealer pipeline'!$R$4:$R$503,_calc!$E$135))=0,"",INDEX('Dealer pipeline'!$R$4:$R$503,_calc!$E$135)))=0,"","Owner: "&amp;IF(LEN(INDEX('Dealer pipeline'!$R$4:$R$503,_calc!$E$135))=0,"",INDEX('Dealer pipeline'!$R$4:$R$503,_calc!$E$135))&amp;". ")&amp;IF(LEN(IF(LEN(INDEX('Dealer pipeline'!$S$4:$S$503,_calc!$E$135))=0,"",INDEX('Dealer pipeline'!$S$4:$S$503,_calc!$E$135)))=0,"","Backup: "&amp;IF(LEN(INDEX('Dealer pipeline'!$S$4:$S$503,_calc!$E$135))=0,"",INDEX('Dealer pipeline'!$S$4:$S$503,_calc!$E$135))&amp;". ")&amp;IF(LEN(IF(LEN(INDEX('Dealer pipeline'!$T$4:$T$503,_calc!$E$135))=0,"",INDEX('Dealer pipeline'!$T$4:$T$503,_calc!$E$135)))=0,"",IF(LEN(INDEX('Dealer pipeline'!$T$4:$T$503,_calc!$E$135))=0,"",INDEX('Dealer pipeline'!$T$4:$T$503,_calc!$E$135)))),TRIM(IF(LEN(IF(LEN(INDEX('My equipment'!$C$4:$C$503,(_calc!$E$135-500)))=0,"",INDEX('My equipment'!$C$4:$C$503,(_calc!$E$135-500))))=0,"","Model: "&amp;IF(LEN(INDEX('My equipment'!$C$4:$C$503,(_calc!$E$135-500)))=0,"",INDEX('My equipment'!$C$4:$C$503,(_calc!$E$135-500)))&amp;". ")&amp;IF(LEN(IF(LEN(INDEX('My equipment'!$D$4:$D$503,(_calc!$E$135-500)))=0,"",INDEX('My equipment'!$D$4:$D$503,(_calc!$E$135-500))))=0,"","Serial: "&amp;IF(LEN(INDEX('My equipment'!$D$4:$D$503,(_calc!$E$135-500)))=0,"",INDEX('My equipment'!$D$4:$D$503,(_calc!$E$135-500)))&amp;". ")&amp;IF(LEN(IF(ISNUMBER(INDEX('My equipment'!$J$4:$J$503,(_calc!$E$135-500))),TEXT(INDEX('My equipment'!$J$4:$J$503,(_calc!$E$135-500)),"yyyy-mm-dd"),""))=0,"","Parts end: "&amp;IF(ISNUMBER(INDEX('My equipment'!$J$4:$J$503,(_calc!$E$135-500))),TEXT(INDEX('My equipment'!$J$4:$J$503,(_calc!$E$135-500)),"yyyy-mm-dd"),"")&amp;". ")&amp;IF(LEN(IF(ISNUMBER(INDEX('My equipment'!$L$4:$L$503,(_calc!$E$135-500))),TEXT(INDEX('My equipment'!$L$4:$L$503,(_calc!$E$135-500)),"yyyy-mm-dd"),""))=0,"","Labor end: "&amp;IF(ISNUMBER(INDEX('My equipment'!$L$4:$L$503,(_calc!$E$135-500))),TEXT(INDEX('My equipment'!$L$4:$L$503,(_calc!$E$135-500)),"yyyy-mm-dd"),"")&amp;". ")&amp;IF(LEN(IF(ISNUMBER(INDEX('My equipment'!$P$4:$P$503,(_calc!$E$135-500))),TEXT(INDEX('My equipment'!$P$4:$P$503,(_calc!$E$135-500)),"yyyy-mm-dd"),""))=0,"","Check by: "&amp;IF(ISNUMBER(INDEX('My equipment'!$P$4:$P$503,(_calc!$E$135-500))),TEXT(INDEX('My equipment'!$P$4:$P$503,(_calc!$E$135-500)),"yyyy-mm-dd"),"")&amp;". ")&amp;IF(LEN(IF(LEN(INDEX('My equipment'!$Q$4:$Q$503,(_calc!$E$135-500)))=0,"",INDEX('My equipment'!$Q$4:$Q$503,(_calc!$E$135-500))))=0,"","Claim status: "&amp;IF(LEN(INDEX('My equipment'!$Q$4:$Q$503,(_calc!$E$135-500)))=0,"",INDEX('My equipment'!$Q$4:$Q$503,(_calc!$E$135-500)))&amp;". ")&amp;IF(LEN(IF(LEN(INDEX('My equipment'!$R$4:$R$503,(_calc!$E$135-500)))=0,"",INDEX('My equipment'!$R$4:$R$503,(_calc!$E$135-500))))=0,"","Claims contact: "&amp;IF(LEN(INDEX('My equipment'!$R$4:$R$503,(_calc!$E$135-500)))=0,"",INDEX('My equipment'!$R$4:$R$503,(_calc!$E$135-500)))&amp;". ")&amp;IF(LEN(IF(LEN(INDEX('My equipment'!$S$4:$S$503,(_calc!$E$135-500)))=0,"",INDEX('My equipment'!$S$4:$S$503,(_calc!$E$135-500))))=0,"","Claims email: "&amp;IF(LEN(INDEX('My equipment'!$S$4:$S$503,(_calc!$E$135-500)))=0,"",INDEX('My equipment'!$S$4:$S$503,(_calc!$E$135-500)))&amp;". ")&amp;IF(LEN(IF(LEN(INDEX('My equipment'!$U$4:$U$503,(_calc!$E$135-500)))=0,"",INDEX('My equipment'!$U$4:$U$503,(_calc!$E$135-500))))=0,"","Registered: "&amp;IF(LEN(INDEX('My equipment'!$U$4:$U$503,(_calc!$E$135-500)))=0,"",INDEX('My equipment'!$U$4:$U$503,(_calc!$E$135-500)))&amp;". ")&amp;IF(LEN(IF(LEN(INDEX('My equipment'!$V$4:$V$503,(_calc!$E$135-500)))=0,"",INDEX('My equipment'!$V$4:$V$503,(_calc!$E$135-500))))=0,"","Proof on file: "&amp;IF(LEN(INDEX('My equipment'!$V$4:$V$503,(_calc!$E$135-500)))=0,"",INDEX('My equipment'!$V$4:$V$503,(_calc!$E$135-500)))&amp;". ")&amp;IF(LEN(IF(LEN(INDEX('My equipment'!$W$4:$W$503,(_calc!$E$135-500)))=0,"",INDEX('My equipment'!$W$4:$W$503,(_calc!$E$135-500))))=0,"","Claim ref: "&amp;IF(LEN(INDEX('My equipment'!$W$4:$W$503,(_calc!$E$135-500)))=0,"",INDEX('My equipment'!$W$4:$W$503,(_calc!$E$135-500)))&amp;". ")&amp;IF(LEN(IF(LEN(INDEX('My equipment'!$Y$4:$Y$503,(_calc!$E$135-500)))=0,"",INDEX('My equipment'!$Y$4:$Y$503,(_calc!$E$135-500))))=0,"",IF(LEN(INDEX('My equipment'!$Y$4:$Y$503,(_calc!$E$135-500)))=0,"",INDEX('My equipment'!$Y$4:$Y$503,(_calc!$E$135-500)))))))</f>
        <v/>
      </c>
      <c r="G133" s="54">
        <f>IF(_calc!$E$135="","",IF(_calc!$E$135&lt;=500,"",IF(LEN(INDEX('My equipment'!$X$4:$X$503,(_calc!$E$135-500)))=0,"",INDEX('My equipment'!$X$4:$X$503,(_calc!$E$135-500)))))</f>
        <v/>
      </c>
      <c r="K133" s="54">
        <f>IF(_calc!$E$135="","",IF(_calc!$E$135&lt;=500,"",IF(LEN(INDEX('My equipment'!$T$4:$T$503,(_calc!$E$135-500)))=0,"",INDEX('My equipment'!$T$4:$T$503,(_calc!$E$135-500)))))</f>
        <v/>
      </c>
    </row>
    <row r="134">
      <c r="A134" s="54">
        <f>IF(_calc!$E$136="","",IF(_calc!$E$136&lt;=500,"Warranty – "&amp;IF(LEN(INDEX('Dealer pipeline'!$C$4:$C$503,_calc!$E$136))=0,"",INDEX('Dealer pipeline'!$C$4:$C$503,_calc!$E$136))&amp;" – "&amp;IF(LEN(INDEX('Dealer pipeline'!$D$4:$D$503,_calc!$E$136))=0,"",INDEX('Dealer pipeline'!$D$4:$D$503,_calc!$E$136))&amp;" – "&amp;IF(LEN(INDEX('Dealer pipeline'!$A$4:$A$503,_calc!$E$136))=0,"",INDEX('Dealer pipeline'!$A$4:$A$503,_calc!$E$136)),"Warranty – "&amp;IF(LEN(INDEX('My equipment'!$A$4:$A$503,(_calc!$E$136-500)))=0,"",INDEX('My equipment'!$A$4:$A$503,(_calc!$E$136-500)))&amp;" – "&amp;IF(LEN(INDEX('My equipment'!$D$4:$D$503,(_calc!$E$136-500)))=0,"",INDEX('My equipment'!$D$4:$D$503,(_calc!$E$136-500)))))</f>
        <v/>
      </c>
      <c r="B134" s="54">
        <f>IF(_calc!$E$136="","",IF(_calc!$E$136&lt;=500,IF(ISNUMBER(INDEX('Dealer pipeline'!$M$4:$M$503,_calc!$E$136)),TEXT(INDEX('Dealer pipeline'!$M$4:$M$503,_calc!$E$136),"yyyy-mm-dd"),""),IF(ISNUMBER(INDEX('My equipment'!$M$4:$M$503,(_calc!$E$136-500))),TEXT(INDEX('My equipment'!$M$4:$M$503,(_calc!$E$136-500)),"yyyy-mm-dd"),"")))</f>
        <v/>
      </c>
      <c r="C134" s="54">
        <f>IF(_calc!$E$136="","",IF(_calc!$E$136&lt;=500,"Warranty","Warranty"))</f>
        <v/>
      </c>
      <c r="D134" s="54">
        <f>IF(_calc!$E$136="","",IF(_calc!$E$136&lt;=500,IF(ISNUMBER(INDEX('Dealer pipeline'!$H$4:$H$503,_calc!$E$136)),TEXT(INDEX('Dealer pipeline'!$H$4:$H$503,_calc!$E$136),"yyyy-mm-dd"),""),IF(ISNUMBER(INDEX('My equipment'!$H$4:$H$503,(_calc!$E$136-500))),TEXT(INDEX('My equipment'!$H$4:$H$503,(_calc!$E$136-500)),"yyyy-mm-dd"),"")))</f>
        <v/>
      </c>
      <c r="F134" s="54">
        <f>IF(_calc!$E$136="","",IF(_calc!$E$136&lt;=500,TRIM(IF(LEN(IF(LEN(INDEX('Dealer pipeline'!$A$4:$A$503,_calc!$E$136))=0,"",INDEX('Dealer pipeline'!$A$4:$A$503,_calc!$E$136)))=0,"","Customer: "&amp;IF(LEN(INDEX('Dealer pipeline'!$A$4:$A$503,_calc!$E$136))=0,"",INDEX('Dealer pipeline'!$A$4:$A$503,_calc!$E$136))&amp;". ")&amp;IF(LEN(IF(LEN(INDEX('Dealer pipeline'!$B$4:$B$503,_calc!$E$136))=0,"",INDEX('Dealer pipeline'!$B$4:$B$503,_calc!$E$136)))=0,"","Contact: "&amp;IF(LEN(INDEX('Dealer pipeline'!$B$4:$B$503,_calc!$E$136))=0,"",INDEX('Dealer pipeline'!$B$4:$B$503,_calc!$E$136))&amp;". ")&amp;IF(LEN(IF(LEN(INDEX('Dealer pipeline'!$D$4:$D$503,_calc!$E$136))=0,"",INDEX('Dealer pipeline'!$D$4:$D$503,_calc!$E$136)))=0,"","Serial: "&amp;IF(LEN(INDEX('Dealer pipeline'!$D$4:$D$503,_calc!$E$136))=0,"",INDEX('Dealer pipeline'!$D$4:$D$503,_calc!$E$136))&amp;". ")&amp;IF(LEN(IF(ISNUMBER(INDEX('Dealer pipeline'!$J$4:$J$503,_calc!$E$136)),TEXT(INDEX('Dealer pipeline'!$J$4:$J$503,_calc!$E$136),"yyyy-mm-dd"),""))=0,"","Parts end: "&amp;IF(ISNUMBER(INDEX('Dealer pipeline'!$J$4:$J$503,_calc!$E$136)),TEXT(INDEX('Dealer pipeline'!$J$4:$J$503,_calc!$E$136),"yyyy-mm-dd"),"")&amp;". ")&amp;IF(LEN(IF(ISNUMBER(INDEX('Dealer pipeline'!$L$4:$L$503,_calc!$E$136)),TEXT(INDEX('Dealer pipeline'!$L$4:$L$503,_calc!$E$136),"yyyy-mm-dd"),""))=0,"","Labor end: "&amp;IF(ISNUMBER(INDEX('Dealer pipeline'!$L$4:$L$503,_calc!$E$136)),TEXT(INDEX('Dealer pipeline'!$L$4:$L$503,_calc!$E$136),"yyyy-mm-dd"),"")&amp;". ")&amp;IF(LEN(IF(LEN(INDEX('Dealer pipeline'!$Q$4:$Q$503,_calc!$E$136))=0,"",INDEX('Dealer pipeline'!$Q$4:$Q$503,_calc!$E$136)))=0,"","Status: "&amp;IF(LEN(INDEX('Dealer pipeline'!$Q$4:$Q$503,_calc!$E$136))=0,"",INDEX('Dealer pipeline'!$Q$4:$Q$503,_calc!$E$136))&amp;". ")&amp;IF(LEN(IF(LEN(INDEX('Dealer pipeline'!$P$4:$P$503,_calc!$E$136))=0,"",INDEX('Dealer pipeline'!$P$4:$P$503,_calc!$E$136)))=0,"","Last touch: "&amp;IF(LEN(INDEX('Dealer pipeline'!$P$4:$P$503,_calc!$E$136))=0,"",INDEX('Dealer pipeline'!$P$4:$P$503,_calc!$E$136))&amp;". ")&amp;IF(LEN(IF(LEN(INDEX('Dealer pipeline'!$R$4:$R$503,_calc!$E$136))=0,"",INDEX('Dealer pipeline'!$R$4:$R$503,_calc!$E$136)))=0,"","Owner: "&amp;IF(LEN(INDEX('Dealer pipeline'!$R$4:$R$503,_calc!$E$136))=0,"",INDEX('Dealer pipeline'!$R$4:$R$503,_calc!$E$136))&amp;". ")&amp;IF(LEN(IF(LEN(INDEX('Dealer pipeline'!$S$4:$S$503,_calc!$E$136))=0,"",INDEX('Dealer pipeline'!$S$4:$S$503,_calc!$E$136)))=0,"","Backup: "&amp;IF(LEN(INDEX('Dealer pipeline'!$S$4:$S$503,_calc!$E$136))=0,"",INDEX('Dealer pipeline'!$S$4:$S$503,_calc!$E$136))&amp;". ")&amp;IF(LEN(IF(LEN(INDEX('Dealer pipeline'!$T$4:$T$503,_calc!$E$136))=0,"",INDEX('Dealer pipeline'!$T$4:$T$503,_calc!$E$136)))=0,"",IF(LEN(INDEX('Dealer pipeline'!$T$4:$T$503,_calc!$E$136))=0,"",INDEX('Dealer pipeline'!$T$4:$T$503,_calc!$E$136)))),TRIM(IF(LEN(IF(LEN(INDEX('My equipment'!$C$4:$C$503,(_calc!$E$136-500)))=0,"",INDEX('My equipment'!$C$4:$C$503,(_calc!$E$136-500))))=0,"","Model: "&amp;IF(LEN(INDEX('My equipment'!$C$4:$C$503,(_calc!$E$136-500)))=0,"",INDEX('My equipment'!$C$4:$C$503,(_calc!$E$136-500)))&amp;". ")&amp;IF(LEN(IF(LEN(INDEX('My equipment'!$D$4:$D$503,(_calc!$E$136-500)))=0,"",INDEX('My equipment'!$D$4:$D$503,(_calc!$E$136-500))))=0,"","Serial: "&amp;IF(LEN(INDEX('My equipment'!$D$4:$D$503,(_calc!$E$136-500)))=0,"",INDEX('My equipment'!$D$4:$D$503,(_calc!$E$136-500)))&amp;". ")&amp;IF(LEN(IF(ISNUMBER(INDEX('My equipment'!$J$4:$J$503,(_calc!$E$136-500))),TEXT(INDEX('My equipment'!$J$4:$J$503,(_calc!$E$136-500)),"yyyy-mm-dd"),""))=0,"","Parts end: "&amp;IF(ISNUMBER(INDEX('My equipment'!$J$4:$J$503,(_calc!$E$136-500))),TEXT(INDEX('My equipment'!$J$4:$J$503,(_calc!$E$136-500)),"yyyy-mm-dd"),"")&amp;". ")&amp;IF(LEN(IF(ISNUMBER(INDEX('My equipment'!$L$4:$L$503,(_calc!$E$136-500))),TEXT(INDEX('My equipment'!$L$4:$L$503,(_calc!$E$136-500)),"yyyy-mm-dd"),""))=0,"","Labor end: "&amp;IF(ISNUMBER(INDEX('My equipment'!$L$4:$L$503,(_calc!$E$136-500))),TEXT(INDEX('My equipment'!$L$4:$L$503,(_calc!$E$136-500)),"yyyy-mm-dd"),"")&amp;". ")&amp;IF(LEN(IF(ISNUMBER(INDEX('My equipment'!$P$4:$P$503,(_calc!$E$136-500))),TEXT(INDEX('My equipment'!$P$4:$P$503,(_calc!$E$136-500)),"yyyy-mm-dd"),""))=0,"","Check by: "&amp;IF(ISNUMBER(INDEX('My equipment'!$P$4:$P$503,(_calc!$E$136-500))),TEXT(INDEX('My equipment'!$P$4:$P$503,(_calc!$E$136-500)),"yyyy-mm-dd"),"")&amp;". ")&amp;IF(LEN(IF(LEN(INDEX('My equipment'!$Q$4:$Q$503,(_calc!$E$136-500)))=0,"",INDEX('My equipment'!$Q$4:$Q$503,(_calc!$E$136-500))))=0,"","Claim status: "&amp;IF(LEN(INDEX('My equipment'!$Q$4:$Q$503,(_calc!$E$136-500)))=0,"",INDEX('My equipment'!$Q$4:$Q$503,(_calc!$E$136-500)))&amp;". ")&amp;IF(LEN(IF(LEN(INDEX('My equipment'!$R$4:$R$503,(_calc!$E$136-500)))=0,"",INDEX('My equipment'!$R$4:$R$503,(_calc!$E$136-500))))=0,"","Claims contact: "&amp;IF(LEN(INDEX('My equipment'!$R$4:$R$503,(_calc!$E$136-500)))=0,"",INDEX('My equipment'!$R$4:$R$503,(_calc!$E$136-500)))&amp;". ")&amp;IF(LEN(IF(LEN(INDEX('My equipment'!$S$4:$S$503,(_calc!$E$136-500)))=0,"",INDEX('My equipment'!$S$4:$S$503,(_calc!$E$136-500))))=0,"","Claims email: "&amp;IF(LEN(INDEX('My equipment'!$S$4:$S$503,(_calc!$E$136-500)))=0,"",INDEX('My equipment'!$S$4:$S$503,(_calc!$E$136-500)))&amp;". ")&amp;IF(LEN(IF(LEN(INDEX('My equipment'!$U$4:$U$503,(_calc!$E$136-500)))=0,"",INDEX('My equipment'!$U$4:$U$503,(_calc!$E$136-500))))=0,"","Registered: "&amp;IF(LEN(INDEX('My equipment'!$U$4:$U$503,(_calc!$E$136-500)))=0,"",INDEX('My equipment'!$U$4:$U$503,(_calc!$E$136-500)))&amp;". ")&amp;IF(LEN(IF(LEN(INDEX('My equipment'!$V$4:$V$503,(_calc!$E$136-500)))=0,"",INDEX('My equipment'!$V$4:$V$503,(_calc!$E$136-500))))=0,"","Proof on file: "&amp;IF(LEN(INDEX('My equipment'!$V$4:$V$503,(_calc!$E$136-500)))=0,"",INDEX('My equipment'!$V$4:$V$503,(_calc!$E$136-500)))&amp;". ")&amp;IF(LEN(IF(LEN(INDEX('My equipment'!$W$4:$W$503,(_calc!$E$136-500)))=0,"",INDEX('My equipment'!$W$4:$W$503,(_calc!$E$136-500))))=0,"","Claim ref: "&amp;IF(LEN(INDEX('My equipment'!$W$4:$W$503,(_calc!$E$136-500)))=0,"",INDEX('My equipment'!$W$4:$W$503,(_calc!$E$136-500)))&amp;". ")&amp;IF(LEN(IF(LEN(INDEX('My equipment'!$Y$4:$Y$503,(_calc!$E$136-500)))=0,"",INDEX('My equipment'!$Y$4:$Y$503,(_calc!$E$136-500))))=0,"",IF(LEN(INDEX('My equipment'!$Y$4:$Y$503,(_calc!$E$136-500)))=0,"",INDEX('My equipment'!$Y$4:$Y$503,(_calc!$E$136-500)))))))</f>
        <v/>
      </c>
      <c r="G134" s="54">
        <f>IF(_calc!$E$136="","",IF(_calc!$E$136&lt;=500,"",IF(LEN(INDEX('My equipment'!$X$4:$X$503,(_calc!$E$136-500)))=0,"",INDEX('My equipment'!$X$4:$X$503,(_calc!$E$136-500)))))</f>
        <v/>
      </c>
      <c r="K134" s="54">
        <f>IF(_calc!$E$136="","",IF(_calc!$E$136&lt;=500,"",IF(LEN(INDEX('My equipment'!$T$4:$T$503,(_calc!$E$136-500)))=0,"",INDEX('My equipment'!$T$4:$T$503,(_calc!$E$136-500)))))</f>
        <v/>
      </c>
    </row>
    <row r="135">
      <c r="A135" s="54">
        <f>IF(_calc!$E$137="","",IF(_calc!$E$137&lt;=500,"Warranty – "&amp;IF(LEN(INDEX('Dealer pipeline'!$C$4:$C$503,_calc!$E$137))=0,"",INDEX('Dealer pipeline'!$C$4:$C$503,_calc!$E$137))&amp;" – "&amp;IF(LEN(INDEX('Dealer pipeline'!$D$4:$D$503,_calc!$E$137))=0,"",INDEX('Dealer pipeline'!$D$4:$D$503,_calc!$E$137))&amp;" – "&amp;IF(LEN(INDEX('Dealer pipeline'!$A$4:$A$503,_calc!$E$137))=0,"",INDEX('Dealer pipeline'!$A$4:$A$503,_calc!$E$137)),"Warranty – "&amp;IF(LEN(INDEX('My equipment'!$A$4:$A$503,(_calc!$E$137-500)))=0,"",INDEX('My equipment'!$A$4:$A$503,(_calc!$E$137-500)))&amp;" – "&amp;IF(LEN(INDEX('My equipment'!$D$4:$D$503,(_calc!$E$137-500)))=0,"",INDEX('My equipment'!$D$4:$D$503,(_calc!$E$137-500)))))</f>
        <v/>
      </c>
      <c r="B135" s="54">
        <f>IF(_calc!$E$137="","",IF(_calc!$E$137&lt;=500,IF(ISNUMBER(INDEX('Dealer pipeline'!$M$4:$M$503,_calc!$E$137)),TEXT(INDEX('Dealer pipeline'!$M$4:$M$503,_calc!$E$137),"yyyy-mm-dd"),""),IF(ISNUMBER(INDEX('My equipment'!$M$4:$M$503,(_calc!$E$137-500))),TEXT(INDEX('My equipment'!$M$4:$M$503,(_calc!$E$137-500)),"yyyy-mm-dd"),"")))</f>
        <v/>
      </c>
      <c r="C135" s="54">
        <f>IF(_calc!$E$137="","",IF(_calc!$E$137&lt;=500,"Warranty","Warranty"))</f>
        <v/>
      </c>
      <c r="D135" s="54">
        <f>IF(_calc!$E$137="","",IF(_calc!$E$137&lt;=500,IF(ISNUMBER(INDEX('Dealer pipeline'!$H$4:$H$503,_calc!$E$137)),TEXT(INDEX('Dealer pipeline'!$H$4:$H$503,_calc!$E$137),"yyyy-mm-dd"),""),IF(ISNUMBER(INDEX('My equipment'!$H$4:$H$503,(_calc!$E$137-500))),TEXT(INDEX('My equipment'!$H$4:$H$503,(_calc!$E$137-500)),"yyyy-mm-dd"),"")))</f>
        <v/>
      </c>
      <c r="F135" s="54">
        <f>IF(_calc!$E$137="","",IF(_calc!$E$137&lt;=500,TRIM(IF(LEN(IF(LEN(INDEX('Dealer pipeline'!$A$4:$A$503,_calc!$E$137))=0,"",INDEX('Dealer pipeline'!$A$4:$A$503,_calc!$E$137)))=0,"","Customer: "&amp;IF(LEN(INDEX('Dealer pipeline'!$A$4:$A$503,_calc!$E$137))=0,"",INDEX('Dealer pipeline'!$A$4:$A$503,_calc!$E$137))&amp;". ")&amp;IF(LEN(IF(LEN(INDEX('Dealer pipeline'!$B$4:$B$503,_calc!$E$137))=0,"",INDEX('Dealer pipeline'!$B$4:$B$503,_calc!$E$137)))=0,"","Contact: "&amp;IF(LEN(INDEX('Dealer pipeline'!$B$4:$B$503,_calc!$E$137))=0,"",INDEX('Dealer pipeline'!$B$4:$B$503,_calc!$E$137))&amp;". ")&amp;IF(LEN(IF(LEN(INDEX('Dealer pipeline'!$D$4:$D$503,_calc!$E$137))=0,"",INDEX('Dealer pipeline'!$D$4:$D$503,_calc!$E$137)))=0,"","Serial: "&amp;IF(LEN(INDEX('Dealer pipeline'!$D$4:$D$503,_calc!$E$137))=0,"",INDEX('Dealer pipeline'!$D$4:$D$503,_calc!$E$137))&amp;". ")&amp;IF(LEN(IF(ISNUMBER(INDEX('Dealer pipeline'!$J$4:$J$503,_calc!$E$137)),TEXT(INDEX('Dealer pipeline'!$J$4:$J$503,_calc!$E$137),"yyyy-mm-dd"),""))=0,"","Parts end: "&amp;IF(ISNUMBER(INDEX('Dealer pipeline'!$J$4:$J$503,_calc!$E$137)),TEXT(INDEX('Dealer pipeline'!$J$4:$J$503,_calc!$E$137),"yyyy-mm-dd"),"")&amp;". ")&amp;IF(LEN(IF(ISNUMBER(INDEX('Dealer pipeline'!$L$4:$L$503,_calc!$E$137)),TEXT(INDEX('Dealer pipeline'!$L$4:$L$503,_calc!$E$137),"yyyy-mm-dd"),""))=0,"","Labor end: "&amp;IF(ISNUMBER(INDEX('Dealer pipeline'!$L$4:$L$503,_calc!$E$137)),TEXT(INDEX('Dealer pipeline'!$L$4:$L$503,_calc!$E$137),"yyyy-mm-dd"),"")&amp;". ")&amp;IF(LEN(IF(LEN(INDEX('Dealer pipeline'!$Q$4:$Q$503,_calc!$E$137))=0,"",INDEX('Dealer pipeline'!$Q$4:$Q$503,_calc!$E$137)))=0,"","Status: "&amp;IF(LEN(INDEX('Dealer pipeline'!$Q$4:$Q$503,_calc!$E$137))=0,"",INDEX('Dealer pipeline'!$Q$4:$Q$503,_calc!$E$137))&amp;". ")&amp;IF(LEN(IF(LEN(INDEX('Dealer pipeline'!$P$4:$P$503,_calc!$E$137))=0,"",INDEX('Dealer pipeline'!$P$4:$P$503,_calc!$E$137)))=0,"","Last touch: "&amp;IF(LEN(INDEX('Dealer pipeline'!$P$4:$P$503,_calc!$E$137))=0,"",INDEX('Dealer pipeline'!$P$4:$P$503,_calc!$E$137))&amp;". ")&amp;IF(LEN(IF(LEN(INDEX('Dealer pipeline'!$R$4:$R$503,_calc!$E$137))=0,"",INDEX('Dealer pipeline'!$R$4:$R$503,_calc!$E$137)))=0,"","Owner: "&amp;IF(LEN(INDEX('Dealer pipeline'!$R$4:$R$503,_calc!$E$137))=0,"",INDEX('Dealer pipeline'!$R$4:$R$503,_calc!$E$137))&amp;". ")&amp;IF(LEN(IF(LEN(INDEX('Dealer pipeline'!$S$4:$S$503,_calc!$E$137))=0,"",INDEX('Dealer pipeline'!$S$4:$S$503,_calc!$E$137)))=0,"","Backup: "&amp;IF(LEN(INDEX('Dealer pipeline'!$S$4:$S$503,_calc!$E$137))=0,"",INDEX('Dealer pipeline'!$S$4:$S$503,_calc!$E$137))&amp;". ")&amp;IF(LEN(IF(LEN(INDEX('Dealer pipeline'!$T$4:$T$503,_calc!$E$137))=0,"",INDEX('Dealer pipeline'!$T$4:$T$503,_calc!$E$137)))=0,"",IF(LEN(INDEX('Dealer pipeline'!$T$4:$T$503,_calc!$E$137))=0,"",INDEX('Dealer pipeline'!$T$4:$T$503,_calc!$E$137)))),TRIM(IF(LEN(IF(LEN(INDEX('My equipment'!$C$4:$C$503,(_calc!$E$137-500)))=0,"",INDEX('My equipment'!$C$4:$C$503,(_calc!$E$137-500))))=0,"","Model: "&amp;IF(LEN(INDEX('My equipment'!$C$4:$C$503,(_calc!$E$137-500)))=0,"",INDEX('My equipment'!$C$4:$C$503,(_calc!$E$137-500)))&amp;". ")&amp;IF(LEN(IF(LEN(INDEX('My equipment'!$D$4:$D$503,(_calc!$E$137-500)))=0,"",INDEX('My equipment'!$D$4:$D$503,(_calc!$E$137-500))))=0,"","Serial: "&amp;IF(LEN(INDEX('My equipment'!$D$4:$D$503,(_calc!$E$137-500)))=0,"",INDEX('My equipment'!$D$4:$D$503,(_calc!$E$137-500)))&amp;". ")&amp;IF(LEN(IF(ISNUMBER(INDEX('My equipment'!$J$4:$J$503,(_calc!$E$137-500))),TEXT(INDEX('My equipment'!$J$4:$J$503,(_calc!$E$137-500)),"yyyy-mm-dd"),""))=0,"","Parts end: "&amp;IF(ISNUMBER(INDEX('My equipment'!$J$4:$J$503,(_calc!$E$137-500))),TEXT(INDEX('My equipment'!$J$4:$J$503,(_calc!$E$137-500)),"yyyy-mm-dd"),"")&amp;". ")&amp;IF(LEN(IF(ISNUMBER(INDEX('My equipment'!$L$4:$L$503,(_calc!$E$137-500))),TEXT(INDEX('My equipment'!$L$4:$L$503,(_calc!$E$137-500)),"yyyy-mm-dd"),""))=0,"","Labor end: "&amp;IF(ISNUMBER(INDEX('My equipment'!$L$4:$L$503,(_calc!$E$137-500))),TEXT(INDEX('My equipment'!$L$4:$L$503,(_calc!$E$137-500)),"yyyy-mm-dd"),"")&amp;". ")&amp;IF(LEN(IF(ISNUMBER(INDEX('My equipment'!$P$4:$P$503,(_calc!$E$137-500))),TEXT(INDEX('My equipment'!$P$4:$P$503,(_calc!$E$137-500)),"yyyy-mm-dd"),""))=0,"","Check by: "&amp;IF(ISNUMBER(INDEX('My equipment'!$P$4:$P$503,(_calc!$E$137-500))),TEXT(INDEX('My equipment'!$P$4:$P$503,(_calc!$E$137-500)),"yyyy-mm-dd"),"")&amp;". ")&amp;IF(LEN(IF(LEN(INDEX('My equipment'!$Q$4:$Q$503,(_calc!$E$137-500)))=0,"",INDEX('My equipment'!$Q$4:$Q$503,(_calc!$E$137-500))))=0,"","Claim status: "&amp;IF(LEN(INDEX('My equipment'!$Q$4:$Q$503,(_calc!$E$137-500)))=0,"",INDEX('My equipment'!$Q$4:$Q$503,(_calc!$E$137-500)))&amp;". ")&amp;IF(LEN(IF(LEN(INDEX('My equipment'!$R$4:$R$503,(_calc!$E$137-500)))=0,"",INDEX('My equipment'!$R$4:$R$503,(_calc!$E$137-500))))=0,"","Claims contact: "&amp;IF(LEN(INDEX('My equipment'!$R$4:$R$503,(_calc!$E$137-500)))=0,"",INDEX('My equipment'!$R$4:$R$503,(_calc!$E$137-500)))&amp;". ")&amp;IF(LEN(IF(LEN(INDEX('My equipment'!$S$4:$S$503,(_calc!$E$137-500)))=0,"",INDEX('My equipment'!$S$4:$S$503,(_calc!$E$137-500))))=0,"","Claims email: "&amp;IF(LEN(INDEX('My equipment'!$S$4:$S$503,(_calc!$E$137-500)))=0,"",INDEX('My equipment'!$S$4:$S$503,(_calc!$E$137-500)))&amp;". ")&amp;IF(LEN(IF(LEN(INDEX('My equipment'!$U$4:$U$503,(_calc!$E$137-500)))=0,"",INDEX('My equipment'!$U$4:$U$503,(_calc!$E$137-500))))=0,"","Registered: "&amp;IF(LEN(INDEX('My equipment'!$U$4:$U$503,(_calc!$E$137-500)))=0,"",INDEX('My equipment'!$U$4:$U$503,(_calc!$E$137-500)))&amp;". ")&amp;IF(LEN(IF(LEN(INDEX('My equipment'!$V$4:$V$503,(_calc!$E$137-500)))=0,"",INDEX('My equipment'!$V$4:$V$503,(_calc!$E$137-500))))=0,"","Proof on file: "&amp;IF(LEN(INDEX('My equipment'!$V$4:$V$503,(_calc!$E$137-500)))=0,"",INDEX('My equipment'!$V$4:$V$503,(_calc!$E$137-500)))&amp;". ")&amp;IF(LEN(IF(LEN(INDEX('My equipment'!$W$4:$W$503,(_calc!$E$137-500)))=0,"",INDEX('My equipment'!$W$4:$W$503,(_calc!$E$137-500))))=0,"","Claim ref: "&amp;IF(LEN(INDEX('My equipment'!$W$4:$W$503,(_calc!$E$137-500)))=0,"",INDEX('My equipment'!$W$4:$W$503,(_calc!$E$137-500)))&amp;". ")&amp;IF(LEN(IF(LEN(INDEX('My equipment'!$Y$4:$Y$503,(_calc!$E$137-500)))=0,"",INDEX('My equipment'!$Y$4:$Y$503,(_calc!$E$137-500))))=0,"",IF(LEN(INDEX('My equipment'!$Y$4:$Y$503,(_calc!$E$137-500)))=0,"",INDEX('My equipment'!$Y$4:$Y$503,(_calc!$E$137-500)))))))</f>
        <v/>
      </c>
      <c r="G135" s="54">
        <f>IF(_calc!$E$137="","",IF(_calc!$E$137&lt;=500,"",IF(LEN(INDEX('My equipment'!$X$4:$X$503,(_calc!$E$137-500)))=0,"",INDEX('My equipment'!$X$4:$X$503,(_calc!$E$137-500)))))</f>
        <v/>
      </c>
      <c r="K135" s="54">
        <f>IF(_calc!$E$137="","",IF(_calc!$E$137&lt;=500,"",IF(LEN(INDEX('My equipment'!$T$4:$T$503,(_calc!$E$137-500)))=0,"",INDEX('My equipment'!$T$4:$T$503,(_calc!$E$137-500)))))</f>
        <v/>
      </c>
    </row>
    <row r="136">
      <c r="A136" s="54">
        <f>IF(_calc!$E$138="","",IF(_calc!$E$138&lt;=500,"Warranty – "&amp;IF(LEN(INDEX('Dealer pipeline'!$C$4:$C$503,_calc!$E$138))=0,"",INDEX('Dealer pipeline'!$C$4:$C$503,_calc!$E$138))&amp;" – "&amp;IF(LEN(INDEX('Dealer pipeline'!$D$4:$D$503,_calc!$E$138))=0,"",INDEX('Dealer pipeline'!$D$4:$D$503,_calc!$E$138))&amp;" – "&amp;IF(LEN(INDEX('Dealer pipeline'!$A$4:$A$503,_calc!$E$138))=0,"",INDEX('Dealer pipeline'!$A$4:$A$503,_calc!$E$138)),"Warranty – "&amp;IF(LEN(INDEX('My equipment'!$A$4:$A$503,(_calc!$E$138-500)))=0,"",INDEX('My equipment'!$A$4:$A$503,(_calc!$E$138-500)))&amp;" – "&amp;IF(LEN(INDEX('My equipment'!$D$4:$D$503,(_calc!$E$138-500)))=0,"",INDEX('My equipment'!$D$4:$D$503,(_calc!$E$138-500)))))</f>
        <v/>
      </c>
      <c r="B136" s="54">
        <f>IF(_calc!$E$138="","",IF(_calc!$E$138&lt;=500,IF(ISNUMBER(INDEX('Dealer pipeline'!$M$4:$M$503,_calc!$E$138)),TEXT(INDEX('Dealer pipeline'!$M$4:$M$503,_calc!$E$138),"yyyy-mm-dd"),""),IF(ISNUMBER(INDEX('My equipment'!$M$4:$M$503,(_calc!$E$138-500))),TEXT(INDEX('My equipment'!$M$4:$M$503,(_calc!$E$138-500)),"yyyy-mm-dd"),"")))</f>
        <v/>
      </c>
      <c r="C136" s="54">
        <f>IF(_calc!$E$138="","",IF(_calc!$E$138&lt;=500,"Warranty","Warranty"))</f>
        <v/>
      </c>
      <c r="D136" s="54">
        <f>IF(_calc!$E$138="","",IF(_calc!$E$138&lt;=500,IF(ISNUMBER(INDEX('Dealer pipeline'!$H$4:$H$503,_calc!$E$138)),TEXT(INDEX('Dealer pipeline'!$H$4:$H$503,_calc!$E$138),"yyyy-mm-dd"),""),IF(ISNUMBER(INDEX('My equipment'!$H$4:$H$503,(_calc!$E$138-500))),TEXT(INDEX('My equipment'!$H$4:$H$503,(_calc!$E$138-500)),"yyyy-mm-dd"),"")))</f>
        <v/>
      </c>
      <c r="F136" s="54">
        <f>IF(_calc!$E$138="","",IF(_calc!$E$138&lt;=500,TRIM(IF(LEN(IF(LEN(INDEX('Dealer pipeline'!$A$4:$A$503,_calc!$E$138))=0,"",INDEX('Dealer pipeline'!$A$4:$A$503,_calc!$E$138)))=0,"","Customer: "&amp;IF(LEN(INDEX('Dealer pipeline'!$A$4:$A$503,_calc!$E$138))=0,"",INDEX('Dealer pipeline'!$A$4:$A$503,_calc!$E$138))&amp;". ")&amp;IF(LEN(IF(LEN(INDEX('Dealer pipeline'!$B$4:$B$503,_calc!$E$138))=0,"",INDEX('Dealer pipeline'!$B$4:$B$503,_calc!$E$138)))=0,"","Contact: "&amp;IF(LEN(INDEX('Dealer pipeline'!$B$4:$B$503,_calc!$E$138))=0,"",INDEX('Dealer pipeline'!$B$4:$B$503,_calc!$E$138))&amp;". ")&amp;IF(LEN(IF(LEN(INDEX('Dealer pipeline'!$D$4:$D$503,_calc!$E$138))=0,"",INDEX('Dealer pipeline'!$D$4:$D$503,_calc!$E$138)))=0,"","Serial: "&amp;IF(LEN(INDEX('Dealer pipeline'!$D$4:$D$503,_calc!$E$138))=0,"",INDEX('Dealer pipeline'!$D$4:$D$503,_calc!$E$138))&amp;". ")&amp;IF(LEN(IF(ISNUMBER(INDEX('Dealer pipeline'!$J$4:$J$503,_calc!$E$138)),TEXT(INDEX('Dealer pipeline'!$J$4:$J$503,_calc!$E$138),"yyyy-mm-dd"),""))=0,"","Parts end: "&amp;IF(ISNUMBER(INDEX('Dealer pipeline'!$J$4:$J$503,_calc!$E$138)),TEXT(INDEX('Dealer pipeline'!$J$4:$J$503,_calc!$E$138),"yyyy-mm-dd"),"")&amp;". ")&amp;IF(LEN(IF(ISNUMBER(INDEX('Dealer pipeline'!$L$4:$L$503,_calc!$E$138)),TEXT(INDEX('Dealer pipeline'!$L$4:$L$503,_calc!$E$138),"yyyy-mm-dd"),""))=0,"","Labor end: "&amp;IF(ISNUMBER(INDEX('Dealer pipeline'!$L$4:$L$503,_calc!$E$138)),TEXT(INDEX('Dealer pipeline'!$L$4:$L$503,_calc!$E$138),"yyyy-mm-dd"),"")&amp;". ")&amp;IF(LEN(IF(LEN(INDEX('Dealer pipeline'!$Q$4:$Q$503,_calc!$E$138))=0,"",INDEX('Dealer pipeline'!$Q$4:$Q$503,_calc!$E$138)))=0,"","Status: "&amp;IF(LEN(INDEX('Dealer pipeline'!$Q$4:$Q$503,_calc!$E$138))=0,"",INDEX('Dealer pipeline'!$Q$4:$Q$503,_calc!$E$138))&amp;". ")&amp;IF(LEN(IF(LEN(INDEX('Dealer pipeline'!$P$4:$P$503,_calc!$E$138))=0,"",INDEX('Dealer pipeline'!$P$4:$P$503,_calc!$E$138)))=0,"","Last touch: "&amp;IF(LEN(INDEX('Dealer pipeline'!$P$4:$P$503,_calc!$E$138))=0,"",INDEX('Dealer pipeline'!$P$4:$P$503,_calc!$E$138))&amp;". ")&amp;IF(LEN(IF(LEN(INDEX('Dealer pipeline'!$R$4:$R$503,_calc!$E$138))=0,"",INDEX('Dealer pipeline'!$R$4:$R$503,_calc!$E$138)))=0,"","Owner: "&amp;IF(LEN(INDEX('Dealer pipeline'!$R$4:$R$503,_calc!$E$138))=0,"",INDEX('Dealer pipeline'!$R$4:$R$503,_calc!$E$138))&amp;". ")&amp;IF(LEN(IF(LEN(INDEX('Dealer pipeline'!$S$4:$S$503,_calc!$E$138))=0,"",INDEX('Dealer pipeline'!$S$4:$S$503,_calc!$E$138)))=0,"","Backup: "&amp;IF(LEN(INDEX('Dealer pipeline'!$S$4:$S$503,_calc!$E$138))=0,"",INDEX('Dealer pipeline'!$S$4:$S$503,_calc!$E$138))&amp;". ")&amp;IF(LEN(IF(LEN(INDEX('Dealer pipeline'!$T$4:$T$503,_calc!$E$138))=0,"",INDEX('Dealer pipeline'!$T$4:$T$503,_calc!$E$138)))=0,"",IF(LEN(INDEX('Dealer pipeline'!$T$4:$T$503,_calc!$E$138))=0,"",INDEX('Dealer pipeline'!$T$4:$T$503,_calc!$E$138)))),TRIM(IF(LEN(IF(LEN(INDEX('My equipment'!$C$4:$C$503,(_calc!$E$138-500)))=0,"",INDEX('My equipment'!$C$4:$C$503,(_calc!$E$138-500))))=0,"","Model: "&amp;IF(LEN(INDEX('My equipment'!$C$4:$C$503,(_calc!$E$138-500)))=0,"",INDEX('My equipment'!$C$4:$C$503,(_calc!$E$138-500)))&amp;". ")&amp;IF(LEN(IF(LEN(INDEX('My equipment'!$D$4:$D$503,(_calc!$E$138-500)))=0,"",INDEX('My equipment'!$D$4:$D$503,(_calc!$E$138-500))))=0,"","Serial: "&amp;IF(LEN(INDEX('My equipment'!$D$4:$D$503,(_calc!$E$138-500)))=0,"",INDEX('My equipment'!$D$4:$D$503,(_calc!$E$138-500)))&amp;". ")&amp;IF(LEN(IF(ISNUMBER(INDEX('My equipment'!$J$4:$J$503,(_calc!$E$138-500))),TEXT(INDEX('My equipment'!$J$4:$J$503,(_calc!$E$138-500)),"yyyy-mm-dd"),""))=0,"","Parts end: "&amp;IF(ISNUMBER(INDEX('My equipment'!$J$4:$J$503,(_calc!$E$138-500))),TEXT(INDEX('My equipment'!$J$4:$J$503,(_calc!$E$138-500)),"yyyy-mm-dd"),"")&amp;". ")&amp;IF(LEN(IF(ISNUMBER(INDEX('My equipment'!$L$4:$L$503,(_calc!$E$138-500))),TEXT(INDEX('My equipment'!$L$4:$L$503,(_calc!$E$138-500)),"yyyy-mm-dd"),""))=0,"","Labor end: "&amp;IF(ISNUMBER(INDEX('My equipment'!$L$4:$L$503,(_calc!$E$138-500))),TEXT(INDEX('My equipment'!$L$4:$L$503,(_calc!$E$138-500)),"yyyy-mm-dd"),"")&amp;". ")&amp;IF(LEN(IF(ISNUMBER(INDEX('My equipment'!$P$4:$P$503,(_calc!$E$138-500))),TEXT(INDEX('My equipment'!$P$4:$P$503,(_calc!$E$138-500)),"yyyy-mm-dd"),""))=0,"","Check by: "&amp;IF(ISNUMBER(INDEX('My equipment'!$P$4:$P$503,(_calc!$E$138-500))),TEXT(INDEX('My equipment'!$P$4:$P$503,(_calc!$E$138-500)),"yyyy-mm-dd"),"")&amp;". ")&amp;IF(LEN(IF(LEN(INDEX('My equipment'!$Q$4:$Q$503,(_calc!$E$138-500)))=0,"",INDEX('My equipment'!$Q$4:$Q$503,(_calc!$E$138-500))))=0,"","Claim status: "&amp;IF(LEN(INDEX('My equipment'!$Q$4:$Q$503,(_calc!$E$138-500)))=0,"",INDEX('My equipment'!$Q$4:$Q$503,(_calc!$E$138-500)))&amp;". ")&amp;IF(LEN(IF(LEN(INDEX('My equipment'!$R$4:$R$503,(_calc!$E$138-500)))=0,"",INDEX('My equipment'!$R$4:$R$503,(_calc!$E$138-500))))=0,"","Claims contact: "&amp;IF(LEN(INDEX('My equipment'!$R$4:$R$503,(_calc!$E$138-500)))=0,"",INDEX('My equipment'!$R$4:$R$503,(_calc!$E$138-500)))&amp;". ")&amp;IF(LEN(IF(LEN(INDEX('My equipment'!$S$4:$S$503,(_calc!$E$138-500)))=0,"",INDEX('My equipment'!$S$4:$S$503,(_calc!$E$138-500))))=0,"","Claims email: "&amp;IF(LEN(INDEX('My equipment'!$S$4:$S$503,(_calc!$E$138-500)))=0,"",INDEX('My equipment'!$S$4:$S$503,(_calc!$E$138-500)))&amp;". ")&amp;IF(LEN(IF(LEN(INDEX('My equipment'!$U$4:$U$503,(_calc!$E$138-500)))=0,"",INDEX('My equipment'!$U$4:$U$503,(_calc!$E$138-500))))=0,"","Registered: "&amp;IF(LEN(INDEX('My equipment'!$U$4:$U$503,(_calc!$E$138-500)))=0,"",INDEX('My equipment'!$U$4:$U$503,(_calc!$E$138-500)))&amp;". ")&amp;IF(LEN(IF(LEN(INDEX('My equipment'!$V$4:$V$503,(_calc!$E$138-500)))=0,"",INDEX('My equipment'!$V$4:$V$503,(_calc!$E$138-500))))=0,"","Proof on file: "&amp;IF(LEN(INDEX('My equipment'!$V$4:$V$503,(_calc!$E$138-500)))=0,"",INDEX('My equipment'!$V$4:$V$503,(_calc!$E$138-500)))&amp;". ")&amp;IF(LEN(IF(LEN(INDEX('My equipment'!$W$4:$W$503,(_calc!$E$138-500)))=0,"",INDEX('My equipment'!$W$4:$W$503,(_calc!$E$138-500))))=0,"","Claim ref: "&amp;IF(LEN(INDEX('My equipment'!$W$4:$W$503,(_calc!$E$138-500)))=0,"",INDEX('My equipment'!$W$4:$W$503,(_calc!$E$138-500)))&amp;". ")&amp;IF(LEN(IF(LEN(INDEX('My equipment'!$Y$4:$Y$503,(_calc!$E$138-500)))=0,"",INDEX('My equipment'!$Y$4:$Y$503,(_calc!$E$138-500))))=0,"",IF(LEN(INDEX('My equipment'!$Y$4:$Y$503,(_calc!$E$138-500)))=0,"",INDEX('My equipment'!$Y$4:$Y$503,(_calc!$E$138-500)))))))</f>
        <v/>
      </c>
      <c r="G136" s="54">
        <f>IF(_calc!$E$138="","",IF(_calc!$E$138&lt;=500,"",IF(LEN(INDEX('My equipment'!$X$4:$X$503,(_calc!$E$138-500)))=0,"",INDEX('My equipment'!$X$4:$X$503,(_calc!$E$138-500)))))</f>
        <v/>
      </c>
      <c r="K136" s="54">
        <f>IF(_calc!$E$138="","",IF(_calc!$E$138&lt;=500,"",IF(LEN(INDEX('My equipment'!$T$4:$T$503,(_calc!$E$138-500)))=0,"",INDEX('My equipment'!$T$4:$T$503,(_calc!$E$138-500)))))</f>
        <v/>
      </c>
    </row>
    <row r="137">
      <c r="A137" s="54">
        <f>IF(_calc!$E$139="","",IF(_calc!$E$139&lt;=500,"Warranty – "&amp;IF(LEN(INDEX('Dealer pipeline'!$C$4:$C$503,_calc!$E$139))=0,"",INDEX('Dealer pipeline'!$C$4:$C$503,_calc!$E$139))&amp;" – "&amp;IF(LEN(INDEX('Dealer pipeline'!$D$4:$D$503,_calc!$E$139))=0,"",INDEX('Dealer pipeline'!$D$4:$D$503,_calc!$E$139))&amp;" – "&amp;IF(LEN(INDEX('Dealer pipeline'!$A$4:$A$503,_calc!$E$139))=0,"",INDEX('Dealer pipeline'!$A$4:$A$503,_calc!$E$139)),"Warranty – "&amp;IF(LEN(INDEX('My equipment'!$A$4:$A$503,(_calc!$E$139-500)))=0,"",INDEX('My equipment'!$A$4:$A$503,(_calc!$E$139-500)))&amp;" – "&amp;IF(LEN(INDEX('My equipment'!$D$4:$D$503,(_calc!$E$139-500)))=0,"",INDEX('My equipment'!$D$4:$D$503,(_calc!$E$139-500)))))</f>
        <v/>
      </c>
      <c r="B137" s="54">
        <f>IF(_calc!$E$139="","",IF(_calc!$E$139&lt;=500,IF(ISNUMBER(INDEX('Dealer pipeline'!$M$4:$M$503,_calc!$E$139)),TEXT(INDEX('Dealer pipeline'!$M$4:$M$503,_calc!$E$139),"yyyy-mm-dd"),""),IF(ISNUMBER(INDEX('My equipment'!$M$4:$M$503,(_calc!$E$139-500))),TEXT(INDEX('My equipment'!$M$4:$M$503,(_calc!$E$139-500)),"yyyy-mm-dd"),"")))</f>
        <v/>
      </c>
      <c r="C137" s="54">
        <f>IF(_calc!$E$139="","",IF(_calc!$E$139&lt;=500,"Warranty","Warranty"))</f>
        <v/>
      </c>
      <c r="D137" s="54">
        <f>IF(_calc!$E$139="","",IF(_calc!$E$139&lt;=500,IF(ISNUMBER(INDEX('Dealer pipeline'!$H$4:$H$503,_calc!$E$139)),TEXT(INDEX('Dealer pipeline'!$H$4:$H$503,_calc!$E$139),"yyyy-mm-dd"),""),IF(ISNUMBER(INDEX('My equipment'!$H$4:$H$503,(_calc!$E$139-500))),TEXT(INDEX('My equipment'!$H$4:$H$503,(_calc!$E$139-500)),"yyyy-mm-dd"),"")))</f>
        <v/>
      </c>
      <c r="F137" s="54">
        <f>IF(_calc!$E$139="","",IF(_calc!$E$139&lt;=500,TRIM(IF(LEN(IF(LEN(INDEX('Dealer pipeline'!$A$4:$A$503,_calc!$E$139))=0,"",INDEX('Dealer pipeline'!$A$4:$A$503,_calc!$E$139)))=0,"","Customer: "&amp;IF(LEN(INDEX('Dealer pipeline'!$A$4:$A$503,_calc!$E$139))=0,"",INDEX('Dealer pipeline'!$A$4:$A$503,_calc!$E$139))&amp;". ")&amp;IF(LEN(IF(LEN(INDEX('Dealer pipeline'!$B$4:$B$503,_calc!$E$139))=0,"",INDEX('Dealer pipeline'!$B$4:$B$503,_calc!$E$139)))=0,"","Contact: "&amp;IF(LEN(INDEX('Dealer pipeline'!$B$4:$B$503,_calc!$E$139))=0,"",INDEX('Dealer pipeline'!$B$4:$B$503,_calc!$E$139))&amp;". ")&amp;IF(LEN(IF(LEN(INDEX('Dealer pipeline'!$D$4:$D$503,_calc!$E$139))=0,"",INDEX('Dealer pipeline'!$D$4:$D$503,_calc!$E$139)))=0,"","Serial: "&amp;IF(LEN(INDEX('Dealer pipeline'!$D$4:$D$503,_calc!$E$139))=0,"",INDEX('Dealer pipeline'!$D$4:$D$503,_calc!$E$139))&amp;". ")&amp;IF(LEN(IF(ISNUMBER(INDEX('Dealer pipeline'!$J$4:$J$503,_calc!$E$139)),TEXT(INDEX('Dealer pipeline'!$J$4:$J$503,_calc!$E$139),"yyyy-mm-dd"),""))=0,"","Parts end: "&amp;IF(ISNUMBER(INDEX('Dealer pipeline'!$J$4:$J$503,_calc!$E$139)),TEXT(INDEX('Dealer pipeline'!$J$4:$J$503,_calc!$E$139),"yyyy-mm-dd"),"")&amp;". ")&amp;IF(LEN(IF(ISNUMBER(INDEX('Dealer pipeline'!$L$4:$L$503,_calc!$E$139)),TEXT(INDEX('Dealer pipeline'!$L$4:$L$503,_calc!$E$139),"yyyy-mm-dd"),""))=0,"","Labor end: "&amp;IF(ISNUMBER(INDEX('Dealer pipeline'!$L$4:$L$503,_calc!$E$139)),TEXT(INDEX('Dealer pipeline'!$L$4:$L$503,_calc!$E$139),"yyyy-mm-dd"),"")&amp;". ")&amp;IF(LEN(IF(LEN(INDEX('Dealer pipeline'!$Q$4:$Q$503,_calc!$E$139))=0,"",INDEX('Dealer pipeline'!$Q$4:$Q$503,_calc!$E$139)))=0,"","Status: "&amp;IF(LEN(INDEX('Dealer pipeline'!$Q$4:$Q$503,_calc!$E$139))=0,"",INDEX('Dealer pipeline'!$Q$4:$Q$503,_calc!$E$139))&amp;". ")&amp;IF(LEN(IF(LEN(INDEX('Dealer pipeline'!$P$4:$P$503,_calc!$E$139))=0,"",INDEX('Dealer pipeline'!$P$4:$P$503,_calc!$E$139)))=0,"","Last touch: "&amp;IF(LEN(INDEX('Dealer pipeline'!$P$4:$P$503,_calc!$E$139))=0,"",INDEX('Dealer pipeline'!$P$4:$P$503,_calc!$E$139))&amp;". ")&amp;IF(LEN(IF(LEN(INDEX('Dealer pipeline'!$R$4:$R$503,_calc!$E$139))=0,"",INDEX('Dealer pipeline'!$R$4:$R$503,_calc!$E$139)))=0,"","Owner: "&amp;IF(LEN(INDEX('Dealer pipeline'!$R$4:$R$503,_calc!$E$139))=0,"",INDEX('Dealer pipeline'!$R$4:$R$503,_calc!$E$139))&amp;". ")&amp;IF(LEN(IF(LEN(INDEX('Dealer pipeline'!$S$4:$S$503,_calc!$E$139))=0,"",INDEX('Dealer pipeline'!$S$4:$S$503,_calc!$E$139)))=0,"","Backup: "&amp;IF(LEN(INDEX('Dealer pipeline'!$S$4:$S$503,_calc!$E$139))=0,"",INDEX('Dealer pipeline'!$S$4:$S$503,_calc!$E$139))&amp;". ")&amp;IF(LEN(IF(LEN(INDEX('Dealer pipeline'!$T$4:$T$503,_calc!$E$139))=0,"",INDEX('Dealer pipeline'!$T$4:$T$503,_calc!$E$139)))=0,"",IF(LEN(INDEX('Dealer pipeline'!$T$4:$T$503,_calc!$E$139))=0,"",INDEX('Dealer pipeline'!$T$4:$T$503,_calc!$E$139)))),TRIM(IF(LEN(IF(LEN(INDEX('My equipment'!$C$4:$C$503,(_calc!$E$139-500)))=0,"",INDEX('My equipment'!$C$4:$C$503,(_calc!$E$139-500))))=0,"","Model: "&amp;IF(LEN(INDEX('My equipment'!$C$4:$C$503,(_calc!$E$139-500)))=0,"",INDEX('My equipment'!$C$4:$C$503,(_calc!$E$139-500)))&amp;". ")&amp;IF(LEN(IF(LEN(INDEX('My equipment'!$D$4:$D$503,(_calc!$E$139-500)))=0,"",INDEX('My equipment'!$D$4:$D$503,(_calc!$E$139-500))))=0,"","Serial: "&amp;IF(LEN(INDEX('My equipment'!$D$4:$D$503,(_calc!$E$139-500)))=0,"",INDEX('My equipment'!$D$4:$D$503,(_calc!$E$139-500)))&amp;". ")&amp;IF(LEN(IF(ISNUMBER(INDEX('My equipment'!$J$4:$J$503,(_calc!$E$139-500))),TEXT(INDEX('My equipment'!$J$4:$J$503,(_calc!$E$139-500)),"yyyy-mm-dd"),""))=0,"","Parts end: "&amp;IF(ISNUMBER(INDEX('My equipment'!$J$4:$J$503,(_calc!$E$139-500))),TEXT(INDEX('My equipment'!$J$4:$J$503,(_calc!$E$139-500)),"yyyy-mm-dd"),"")&amp;". ")&amp;IF(LEN(IF(ISNUMBER(INDEX('My equipment'!$L$4:$L$503,(_calc!$E$139-500))),TEXT(INDEX('My equipment'!$L$4:$L$503,(_calc!$E$139-500)),"yyyy-mm-dd"),""))=0,"","Labor end: "&amp;IF(ISNUMBER(INDEX('My equipment'!$L$4:$L$503,(_calc!$E$139-500))),TEXT(INDEX('My equipment'!$L$4:$L$503,(_calc!$E$139-500)),"yyyy-mm-dd"),"")&amp;". ")&amp;IF(LEN(IF(ISNUMBER(INDEX('My equipment'!$P$4:$P$503,(_calc!$E$139-500))),TEXT(INDEX('My equipment'!$P$4:$P$503,(_calc!$E$139-500)),"yyyy-mm-dd"),""))=0,"","Check by: "&amp;IF(ISNUMBER(INDEX('My equipment'!$P$4:$P$503,(_calc!$E$139-500))),TEXT(INDEX('My equipment'!$P$4:$P$503,(_calc!$E$139-500)),"yyyy-mm-dd"),"")&amp;". ")&amp;IF(LEN(IF(LEN(INDEX('My equipment'!$Q$4:$Q$503,(_calc!$E$139-500)))=0,"",INDEX('My equipment'!$Q$4:$Q$503,(_calc!$E$139-500))))=0,"","Claim status: "&amp;IF(LEN(INDEX('My equipment'!$Q$4:$Q$503,(_calc!$E$139-500)))=0,"",INDEX('My equipment'!$Q$4:$Q$503,(_calc!$E$139-500)))&amp;". ")&amp;IF(LEN(IF(LEN(INDEX('My equipment'!$R$4:$R$503,(_calc!$E$139-500)))=0,"",INDEX('My equipment'!$R$4:$R$503,(_calc!$E$139-500))))=0,"","Claims contact: "&amp;IF(LEN(INDEX('My equipment'!$R$4:$R$503,(_calc!$E$139-500)))=0,"",INDEX('My equipment'!$R$4:$R$503,(_calc!$E$139-500)))&amp;". ")&amp;IF(LEN(IF(LEN(INDEX('My equipment'!$S$4:$S$503,(_calc!$E$139-500)))=0,"",INDEX('My equipment'!$S$4:$S$503,(_calc!$E$139-500))))=0,"","Claims email: "&amp;IF(LEN(INDEX('My equipment'!$S$4:$S$503,(_calc!$E$139-500)))=0,"",INDEX('My equipment'!$S$4:$S$503,(_calc!$E$139-500)))&amp;". ")&amp;IF(LEN(IF(LEN(INDEX('My equipment'!$U$4:$U$503,(_calc!$E$139-500)))=0,"",INDEX('My equipment'!$U$4:$U$503,(_calc!$E$139-500))))=0,"","Registered: "&amp;IF(LEN(INDEX('My equipment'!$U$4:$U$503,(_calc!$E$139-500)))=0,"",INDEX('My equipment'!$U$4:$U$503,(_calc!$E$139-500)))&amp;". ")&amp;IF(LEN(IF(LEN(INDEX('My equipment'!$V$4:$V$503,(_calc!$E$139-500)))=0,"",INDEX('My equipment'!$V$4:$V$503,(_calc!$E$139-500))))=0,"","Proof on file: "&amp;IF(LEN(INDEX('My equipment'!$V$4:$V$503,(_calc!$E$139-500)))=0,"",INDEX('My equipment'!$V$4:$V$503,(_calc!$E$139-500)))&amp;". ")&amp;IF(LEN(IF(LEN(INDEX('My equipment'!$W$4:$W$503,(_calc!$E$139-500)))=0,"",INDEX('My equipment'!$W$4:$W$503,(_calc!$E$139-500))))=0,"","Claim ref: "&amp;IF(LEN(INDEX('My equipment'!$W$4:$W$503,(_calc!$E$139-500)))=0,"",INDEX('My equipment'!$W$4:$W$503,(_calc!$E$139-500)))&amp;". ")&amp;IF(LEN(IF(LEN(INDEX('My equipment'!$Y$4:$Y$503,(_calc!$E$139-500)))=0,"",INDEX('My equipment'!$Y$4:$Y$503,(_calc!$E$139-500))))=0,"",IF(LEN(INDEX('My equipment'!$Y$4:$Y$503,(_calc!$E$139-500)))=0,"",INDEX('My equipment'!$Y$4:$Y$503,(_calc!$E$139-500)))))))</f>
        <v/>
      </c>
      <c r="G137" s="54">
        <f>IF(_calc!$E$139="","",IF(_calc!$E$139&lt;=500,"",IF(LEN(INDEX('My equipment'!$X$4:$X$503,(_calc!$E$139-500)))=0,"",INDEX('My equipment'!$X$4:$X$503,(_calc!$E$139-500)))))</f>
        <v/>
      </c>
      <c r="K137" s="54">
        <f>IF(_calc!$E$139="","",IF(_calc!$E$139&lt;=500,"",IF(LEN(INDEX('My equipment'!$T$4:$T$503,(_calc!$E$139-500)))=0,"",INDEX('My equipment'!$T$4:$T$503,(_calc!$E$139-500)))))</f>
        <v/>
      </c>
    </row>
    <row r="138">
      <c r="A138" s="54">
        <f>IF(_calc!$E$140="","",IF(_calc!$E$140&lt;=500,"Warranty – "&amp;IF(LEN(INDEX('Dealer pipeline'!$C$4:$C$503,_calc!$E$140))=0,"",INDEX('Dealer pipeline'!$C$4:$C$503,_calc!$E$140))&amp;" – "&amp;IF(LEN(INDEX('Dealer pipeline'!$D$4:$D$503,_calc!$E$140))=0,"",INDEX('Dealer pipeline'!$D$4:$D$503,_calc!$E$140))&amp;" – "&amp;IF(LEN(INDEX('Dealer pipeline'!$A$4:$A$503,_calc!$E$140))=0,"",INDEX('Dealer pipeline'!$A$4:$A$503,_calc!$E$140)),"Warranty – "&amp;IF(LEN(INDEX('My equipment'!$A$4:$A$503,(_calc!$E$140-500)))=0,"",INDEX('My equipment'!$A$4:$A$503,(_calc!$E$140-500)))&amp;" – "&amp;IF(LEN(INDEX('My equipment'!$D$4:$D$503,(_calc!$E$140-500)))=0,"",INDEX('My equipment'!$D$4:$D$503,(_calc!$E$140-500)))))</f>
        <v/>
      </c>
      <c r="B138" s="54">
        <f>IF(_calc!$E$140="","",IF(_calc!$E$140&lt;=500,IF(ISNUMBER(INDEX('Dealer pipeline'!$M$4:$M$503,_calc!$E$140)),TEXT(INDEX('Dealer pipeline'!$M$4:$M$503,_calc!$E$140),"yyyy-mm-dd"),""),IF(ISNUMBER(INDEX('My equipment'!$M$4:$M$503,(_calc!$E$140-500))),TEXT(INDEX('My equipment'!$M$4:$M$503,(_calc!$E$140-500)),"yyyy-mm-dd"),"")))</f>
        <v/>
      </c>
      <c r="C138" s="54">
        <f>IF(_calc!$E$140="","",IF(_calc!$E$140&lt;=500,"Warranty","Warranty"))</f>
        <v/>
      </c>
      <c r="D138" s="54">
        <f>IF(_calc!$E$140="","",IF(_calc!$E$140&lt;=500,IF(ISNUMBER(INDEX('Dealer pipeline'!$H$4:$H$503,_calc!$E$140)),TEXT(INDEX('Dealer pipeline'!$H$4:$H$503,_calc!$E$140),"yyyy-mm-dd"),""),IF(ISNUMBER(INDEX('My equipment'!$H$4:$H$503,(_calc!$E$140-500))),TEXT(INDEX('My equipment'!$H$4:$H$503,(_calc!$E$140-500)),"yyyy-mm-dd"),"")))</f>
        <v/>
      </c>
      <c r="F138" s="54">
        <f>IF(_calc!$E$140="","",IF(_calc!$E$140&lt;=500,TRIM(IF(LEN(IF(LEN(INDEX('Dealer pipeline'!$A$4:$A$503,_calc!$E$140))=0,"",INDEX('Dealer pipeline'!$A$4:$A$503,_calc!$E$140)))=0,"","Customer: "&amp;IF(LEN(INDEX('Dealer pipeline'!$A$4:$A$503,_calc!$E$140))=0,"",INDEX('Dealer pipeline'!$A$4:$A$503,_calc!$E$140))&amp;". ")&amp;IF(LEN(IF(LEN(INDEX('Dealer pipeline'!$B$4:$B$503,_calc!$E$140))=0,"",INDEX('Dealer pipeline'!$B$4:$B$503,_calc!$E$140)))=0,"","Contact: "&amp;IF(LEN(INDEX('Dealer pipeline'!$B$4:$B$503,_calc!$E$140))=0,"",INDEX('Dealer pipeline'!$B$4:$B$503,_calc!$E$140))&amp;". ")&amp;IF(LEN(IF(LEN(INDEX('Dealer pipeline'!$D$4:$D$503,_calc!$E$140))=0,"",INDEX('Dealer pipeline'!$D$4:$D$503,_calc!$E$140)))=0,"","Serial: "&amp;IF(LEN(INDEX('Dealer pipeline'!$D$4:$D$503,_calc!$E$140))=0,"",INDEX('Dealer pipeline'!$D$4:$D$503,_calc!$E$140))&amp;". ")&amp;IF(LEN(IF(ISNUMBER(INDEX('Dealer pipeline'!$J$4:$J$503,_calc!$E$140)),TEXT(INDEX('Dealer pipeline'!$J$4:$J$503,_calc!$E$140),"yyyy-mm-dd"),""))=0,"","Parts end: "&amp;IF(ISNUMBER(INDEX('Dealer pipeline'!$J$4:$J$503,_calc!$E$140)),TEXT(INDEX('Dealer pipeline'!$J$4:$J$503,_calc!$E$140),"yyyy-mm-dd"),"")&amp;". ")&amp;IF(LEN(IF(ISNUMBER(INDEX('Dealer pipeline'!$L$4:$L$503,_calc!$E$140)),TEXT(INDEX('Dealer pipeline'!$L$4:$L$503,_calc!$E$140),"yyyy-mm-dd"),""))=0,"","Labor end: "&amp;IF(ISNUMBER(INDEX('Dealer pipeline'!$L$4:$L$503,_calc!$E$140)),TEXT(INDEX('Dealer pipeline'!$L$4:$L$503,_calc!$E$140),"yyyy-mm-dd"),"")&amp;". ")&amp;IF(LEN(IF(LEN(INDEX('Dealer pipeline'!$Q$4:$Q$503,_calc!$E$140))=0,"",INDEX('Dealer pipeline'!$Q$4:$Q$503,_calc!$E$140)))=0,"","Status: "&amp;IF(LEN(INDEX('Dealer pipeline'!$Q$4:$Q$503,_calc!$E$140))=0,"",INDEX('Dealer pipeline'!$Q$4:$Q$503,_calc!$E$140))&amp;". ")&amp;IF(LEN(IF(LEN(INDEX('Dealer pipeline'!$P$4:$P$503,_calc!$E$140))=0,"",INDEX('Dealer pipeline'!$P$4:$P$503,_calc!$E$140)))=0,"","Last touch: "&amp;IF(LEN(INDEX('Dealer pipeline'!$P$4:$P$503,_calc!$E$140))=0,"",INDEX('Dealer pipeline'!$P$4:$P$503,_calc!$E$140))&amp;". ")&amp;IF(LEN(IF(LEN(INDEX('Dealer pipeline'!$R$4:$R$503,_calc!$E$140))=0,"",INDEX('Dealer pipeline'!$R$4:$R$503,_calc!$E$140)))=0,"","Owner: "&amp;IF(LEN(INDEX('Dealer pipeline'!$R$4:$R$503,_calc!$E$140))=0,"",INDEX('Dealer pipeline'!$R$4:$R$503,_calc!$E$140))&amp;". ")&amp;IF(LEN(IF(LEN(INDEX('Dealer pipeline'!$S$4:$S$503,_calc!$E$140))=0,"",INDEX('Dealer pipeline'!$S$4:$S$503,_calc!$E$140)))=0,"","Backup: "&amp;IF(LEN(INDEX('Dealer pipeline'!$S$4:$S$503,_calc!$E$140))=0,"",INDEX('Dealer pipeline'!$S$4:$S$503,_calc!$E$140))&amp;". ")&amp;IF(LEN(IF(LEN(INDEX('Dealer pipeline'!$T$4:$T$503,_calc!$E$140))=0,"",INDEX('Dealer pipeline'!$T$4:$T$503,_calc!$E$140)))=0,"",IF(LEN(INDEX('Dealer pipeline'!$T$4:$T$503,_calc!$E$140))=0,"",INDEX('Dealer pipeline'!$T$4:$T$503,_calc!$E$140)))),TRIM(IF(LEN(IF(LEN(INDEX('My equipment'!$C$4:$C$503,(_calc!$E$140-500)))=0,"",INDEX('My equipment'!$C$4:$C$503,(_calc!$E$140-500))))=0,"","Model: "&amp;IF(LEN(INDEX('My equipment'!$C$4:$C$503,(_calc!$E$140-500)))=0,"",INDEX('My equipment'!$C$4:$C$503,(_calc!$E$140-500)))&amp;". ")&amp;IF(LEN(IF(LEN(INDEX('My equipment'!$D$4:$D$503,(_calc!$E$140-500)))=0,"",INDEX('My equipment'!$D$4:$D$503,(_calc!$E$140-500))))=0,"","Serial: "&amp;IF(LEN(INDEX('My equipment'!$D$4:$D$503,(_calc!$E$140-500)))=0,"",INDEX('My equipment'!$D$4:$D$503,(_calc!$E$140-500)))&amp;". ")&amp;IF(LEN(IF(ISNUMBER(INDEX('My equipment'!$J$4:$J$503,(_calc!$E$140-500))),TEXT(INDEX('My equipment'!$J$4:$J$503,(_calc!$E$140-500)),"yyyy-mm-dd"),""))=0,"","Parts end: "&amp;IF(ISNUMBER(INDEX('My equipment'!$J$4:$J$503,(_calc!$E$140-500))),TEXT(INDEX('My equipment'!$J$4:$J$503,(_calc!$E$140-500)),"yyyy-mm-dd"),"")&amp;". ")&amp;IF(LEN(IF(ISNUMBER(INDEX('My equipment'!$L$4:$L$503,(_calc!$E$140-500))),TEXT(INDEX('My equipment'!$L$4:$L$503,(_calc!$E$140-500)),"yyyy-mm-dd"),""))=0,"","Labor end: "&amp;IF(ISNUMBER(INDEX('My equipment'!$L$4:$L$503,(_calc!$E$140-500))),TEXT(INDEX('My equipment'!$L$4:$L$503,(_calc!$E$140-500)),"yyyy-mm-dd"),"")&amp;". ")&amp;IF(LEN(IF(ISNUMBER(INDEX('My equipment'!$P$4:$P$503,(_calc!$E$140-500))),TEXT(INDEX('My equipment'!$P$4:$P$503,(_calc!$E$140-500)),"yyyy-mm-dd"),""))=0,"","Check by: "&amp;IF(ISNUMBER(INDEX('My equipment'!$P$4:$P$503,(_calc!$E$140-500))),TEXT(INDEX('My equipment'!$P$4:$P$503,(_calc!$E$140-500)),"yyyy-mm-dd"),"")&amp;". ")&amp;IF(LEN(IF(LEN(INDEX('My equipment'!$Q$4:$Q$503,(_calc!$E$140-500)))=0,"",INDEX('My equipment'!$Q$4:$Q$503,(_calc!$E$140-500))))=0,"","Claim status: "&amp;IF(LEN(INDEX('My equipment'!$Q$4:$Q$503,(_calc!$E$140-500)))=0,"",INDEX('My equipment'!$Q$4:$Q$503,(_calc!$E$140-500)))&amp;". ")&amp;IF(LEN(IF(LEN(INDEX('My equipment'!$R$4:$R$503,(_calc!$E$140-500)))=0,"",INDEX('My equipment'!$R$4:$R$503,(_calc!$E$140-500))))=0,"","Claims contact: "&amp;IF(LEN(INDEX('My equipment'!$R$4:$R$503,(_calc!$E$140-500)))=0,"",INDEX('My equipment'!$R$4:$R$503,(_calc!$E$140-500)))&amp;". ")&amp;IF(LEN(IF(LEN(INDEX('My equipment'!$S$4:$S$503,(_calc!$E$140-500)))=0,"",INDEX('My equipment'!$S$4:$S$503,(_calc!$E$140-500))))=0,"","Claims email: "&amp;IF(LEN(INDEX('My equipment'!$S$4:$S$503,(_calc!$E$140-500)))=0,"",INDEX('My equipment'!$S$4:$S$503,(_calc!$E$140-500)))&amp;". ")&amp;IF(LEN(IF(LEN(INDEX('My equipment'!$U$4:$U$503,(_calc!$E$140-500)))=0,"",INDEX('My equipment'!$U$4:$U$503,(_calc!$E$140-500))))=0,"","Registered: "&amp;IF(LEN(INDEX('My equipment'!$U$4:$U$503,(_calc!$E$140-500)))=0,"",INDEX('My equipment'!$U$4:$U$503,(_calc!$E$140-500)))&amp;". ")&amp;IF(LEN(IF(LEN(INDEX('My equipment'!$V$4:$V$503,(_calc!$E$140-500)))=0,"",INDEX('My equipment'!$V$4:$V$503,(_calc!$E$140-500))))=0,"","Proof on file: "&amp;IF(LEN(INDEX('My equipment'!$V$4:$V$503,(_calc!$E$140-500)))=0,"",INDEX('My equipment'!$V$4:$V$503,(_calc!$E$140-500)))&amp;". ")&amp;IF(LEN(IF(LEN(INDEX('My equipment'!$W$4:$W$503,(_calc!$E$140-500)))=0,"",INDEX('My equipment'!$W$4:$W$503,(_calc!$E$140-500))))=0,"","Claim ref: "&amp;IF(LEN(INDEX('My equipment'!$W$4:$W$503,(_calc!$E$140-500)))=0,"",INDEX('My equipment'!$W$4:$W$503,(_calc!$E$140-500)))&amp;". ")&amp;IF(LEN(IF(LEN(INDEX('My equipment'!$Y$4:$Y$503,(_calc!$E$140-500)))=0,"",INDEX('My equipment'!$Y$4:$Y$503,(_calc!$E$140-500))))=0,"",IF(LEN(INDEX('My equipment'!$Y$4:$Y$503,(_calc!$E$140-500)))=0,"",INDEX('My equipment'!$Y$4:$Y$503,(_calc!$E$140-500)))))))</f>
        <v/>
      </c>
      <c r="G138" s="54">
        <f>IF(_calc!$E$140="","",IF(_calc!$E$140&lt;=500,"",IF(LEN(INDEX('My equipment'!$X$4:$X$503,(_calc!$E$140-500)))=0,"",INDEX('My equipment'!$X$4:$X$503,(_calc!$E$140-500)))))</f>
        <v/>
      </c>
      <c r="K138" s="54">
        <f>IF(_calc!$E$140="","",IF(_calc!$E$140&lt;=500,"",IF(LEN(INDEX('My equipment'!$T$4:$T$503,(_calc!$E$140-500)))=0,"",INDEX('My equipment'!$T$4:$T$503,(_calc!$E$140-500)))))</f>
        <v/>
      </c>
    </row>
    <row r="139">
      <c r="A139" s="54">
        <f>IF(_calc!$E$141="","",IF(_calc!$E$141&lt;=500,"Warranty – "&amp;IF(LEN(INDEX('Dealer pipeline'!$C$4:$C$503,_calc!$E$141))=0,"",INDEX('Dealer pipeline'!$C$4:$C$503,_calc!$E$141))&amp;" – "&amp;IF(LEN(INDEX('Dealer pipeline'!$D$4:$D$503,_calc!$E$141))=0,"",INDEX('Dealer pipeline'!$D$4:$D$503,_calc!$E$141))&amp;" – "&amp;IF(LEN(INDEX('Dealer pipeline'!$A$4:$A$503,_calc!$E$141))=0,"",INDEX('Dealer pipeline'!$A$4:$A$503,_calc!$E$141)),"Warranty – "&amp;IF(LEN(INDEX('My equipment'!$A$4:$A$503,(_calc!$E$141-500)))=0,"",INDEX('My equipment'!$A$4:$A$503,(_calc!$E$141-500)))&amp;" – "&amp;IF(LEN(INDEX('My equipment'!$D$4:$D$503,(_calc!$E$141-500)))=0,"",INDEX('My equipment'!$D$4:$D$503,(_calc!$E$141-500)))))</f>
        <v/>
      </c>
      <c r="B139" s="54">
        <f>IF(_calc!$E$141="","",IF(_calc!$E$141&lt;=500,IF(ISNUMBER(INDEX('Dealer pipeline'!$M$4:$M$503,_calc!$E$141)),TEXT(INDEX('Dealer pipeline'!$M$4:$M$503,_calc!$E$141),"yyyy-mm-dd"),""),IF(ISNUMBER(INDEX('My equipment'!$M$4:$M$503,(_calc!$E$141-500))),TEXT(INDEX('My equipment'!$M$4:$M$503,(_calc!$E$141-500)),"yyyy-mm-dd"),"")))</f>
        <v/>
      </c>
      <c r="C139" s="54">
        <f>IF(_calc!$E$141="","",IF(_calc!$E$141&lt;=500,"Warranty","Warranty"))</f>
        <v/>
      </c>
      <c r="D139" s="54">
        <f>IF(_calc!$E$141="","",IF(_calc!$E$141&lt;=500,IF(ISNUMBER(INDEX('Dealer pipeline'!$H$4:$H$503,_calc!$E$141)),TEXT(INDEX('Dealer pipeline'!$H$4:$H$503,_calc!$E$141),"yyyy-mm-dd"),""),IF(ISNUMBER(INDEX('My equipment'!$H$4:$H$503,(_calc!$E$141-500))),TEXT(INDEX('My equipment'!$H$4:$H$503,(_calc!$E$141-500)),"yyyy-mm-dd"),"")))</f>
        <v/>
      </c>
      <c r="F139" s="54">
        <f>IF(_calc!$E$141="","",IF(_calc!$E$141&lt;=500,TRIM(IF(LEN(IF(LEN(INDEX('Dealer pipeline'!$A$4:$A$503,_calc!$E$141))=0,"",INDEX('Dealer pipeline'!$A$4:$A$503,_calc!$E$141)))=0,"","Customer: "&amp;IF(LEN(INDEX('Dealer pipeline'!$A$4:$A$503,_calc!$E$141))=0,"",INDEX('Dealer pipeline'!$A$4:$A$503,_calc!$E$141))&amp;". ")&amp;IF(LEN(IF(LEN(INDEX('Dealer pipeline'!$B$4:$B$503,_calc!$E$141))=0,"",INDEX('Dealer pipeline'!$B$4:$B$503,_calc!$E$141)))=0,"","Contact: "&amp;IF(LEN(INDEX('Dealer pipeline'!$B$4:$B$503,_calc!$E$141))=0,"",INDEX('Dealer pipeline'!$B$4:$B$503,_calc!$E$141))&amp;". ")&amp;IF(LEN(IF(LEN(INDEX('Dealer pipeline'!$D$4:$D$503,_calc!$E$141))=0,"",INDEX('Dealer pipeline'!$D$4:$D$503,_calc!$E$141)))=0,"","Serial: "&amp;IF(LEN(INDEX('Dealer pipeline'!$D$4:$D$503,_calc!$E$141))=0,"",INDEX('Dealer pipeline'!$D$4:$D$503,_calc!$E$141))&amp;". ")&amp;IF(LEN(IF(ISNUMBER(INDEX('Dealer pipeline'!$J$4:$J$503,_calc!$E$141)),TEXT(INDEX('Dealer pipeline'!$J$4:$J$503,_calc!$E$141),"yyyy-mm-dd"),""))=0,"","Parts end: "&amp;IF(ISNUMBER(INDEX('Dealer pipeline'!$J$4:$J$503,_calc!$E$141)),TEXT(INDEX('Dealer pipeline'!$J$4:$J$503,_calc!$E$141),"yyyy-mm-dd"),"")&amp;". ")&amp;IF(LEN(IF(ISNUMBER(INDEX('Dealer pipeline'!$L$4:$L$503,_calc!$E$141)),TEXT(INDEX('Dealer pipeline'!$L$4:$L$503,_calc!$E$141),"yyyy-mm-dd"),""))=0,"","Labor end: "&amp;IF(ISNUMBER(INDEX('Dealer pipeline'!$L$4:$L$503,_calc!$E$141)),TEXT(INDEX('Dealer pipeline'!$L$4:$L$503,_calc!$E$141),"yyyy-mm-dd"),"")&amp;". ")&amp;IF(LEN(IF(LEN(INDEX('Dealer pipeline'!$Q$4:$Q$503,_calc!$E$141))=0,"",INDEX('Dealer pipeline'!$Q$4:$Q$503,_calc!$E$141)))=0,"","Status: "&amp;IF(LEN(INDEX('Dealer pipeline'!$Q$4:$Q$503,_calc!$E$141))=0,"",INDEX('Dealer pipeline'!$Q$4:$Q$503,_calc!$E$141))&amp;". ")&amp;IF(LEN(IF(LEN(INDEX('Dealer pipeline'!$P$4:$P$503,_calc!$E$141))=0,"",INDEX('Dealer pipeline'!$P$4:$P$503,_calc!$E$141)))=0,"","Last touch: "&amp;IF(LEN(INDEX('Dealer pipeline'!$P$4:$P$503,_calc!$E$141))=0,"",INDEX('Dealer pipeline'!$P$4:$P$503,_calc!$E$141))&amp;". ")&amp;IF(LEN(IF(LEN(INDEX('Dealer pipeline'!$R$4:$R$503,_calc!$E$141))=0,"",INDEX('Dealer pipeline'!$R$4:$R$503,_calc!$E$141)))=0,"","Owner: "&amp;IF(LEN(INDEX('Dealer pipeline'!$R$4:$R$503,_calc!$E$141))=0,"",INDEX('Dealer pipeline'!$R$4:$R$503,_calc!$E$141))&amp;". ")&amp;IF(LEN(IF(LEN(INDEX('Dealer pipeline'!$S$4:$S$503,_calc!$E$141))=0,"",INDEX('Dealer pipeline'!$S$4:$S$503,_calc!$E$141)))=0,"","Backup: "&amp;IF(LEN(INDEX('Dealer pipeline'!$S$4:$S$503,_calc!$E$141))=0,"",INDEX('Dealer pipeline'!$S$4:$S$503,_calc!$E$141))&amp;". ")&amp;IF(LEN(IF(LEN(INDEX('Dealer pipeline'!$T$4:$T$503,_calc!$E$141))=0,"",INDEX('Dealer pipeline'!$T$4:$T$503,_calc!$E$141)))=0,"",IF(LEN(INDEX('Dealer pipeline'!$T$4:$T$503,_calc!$E$141))=0,"",INDEX('Dealer pipeline'!$T$4:$T$503,_calc!$E$141)))),TRIM(IF(LEN(IF(LEN(INDEX('My equipment'!$C$4:$C$503,(_calc!$E$141-500)))=0,"",INDEX('My equipment'!$C$4:$C$503,(_calc!$E$141-500))))=0,"","Model: "&amp;IF(LEN(INDEX('My equipment'!$C$4:$C$503,(_calc!$E$141-500)))=0,"",INDEX('My equipment'!$C$4:$C$503,(_calc!$E$141-500)))&amp;". ")&amp;IF(LEN(IF(LEN(INDEX('My equipment'!$D$4:$D$503,(_calc!$E$141-500)))=0,"",INDEX('My equipment'!$D$4:$D$503,(_calc!$E$141-500))))=0,"","Serial: "&amp;IF(LEN(INDEX('My equipment'!$D$4:$D$503,(_calc!$E$141-500)))=0,"",INDEX('My equipment'!$D$4:$D$503,(_calc!$E$141-500)))&amp;". ")&amp;IF(LEN(IF(ISNUMBER(INDEX('My equipment'!$J$4:$J$503,(_calc!$E$141-500))),TEXT(INDEX('My equipment'!$J$4:$J$503,(_calc!$E$141-500)),"yyyy-mm-dd"),""))=0,"","Parts end: "&amp;IF(ISNUMBER(INDEX('My equipment'!$J$4:$J$503,(_calc!$E$141-500))),TEXT(INDEX('My equipment'!$J$4:$J$503,(_calc!$E$141-500)),"yyyy-mm-dd"),"")&amp;". ")&amp;IF(LEN(IF(ISNUMBER(INDEX('My equipment'!$L$4:$L$503,(_calc!$E$141-500))),TEXT(INDEX('My equipment'!$L$4:$L$503,(_calc!$E$141-500)),"yyyy-mm-dd"),""))=0,"","Labor end: "&amp;IF(ISNUMBER(INDEX('My equipment'!$L$4:$L$503,(_calc!$E$141-500))),TEXT(INDEX('My equipment'!$L$4:$L$503,(_calc!$E$141-500)),"yyyy-mm-dd"),"")&amp;". ")&amp;IF(LEN(IF(ISNUMBER(INDEX('My equipment'!$P$4:$P$503,(_calc!$E$141-500))),TEXT(INDEX('My equipment'!$P$4:$P$503,(_calc!$E$141-500)),"yyyy-mm-dd"),""))=0,"","Check by: "&amp;IF(ISNUMBER(INDEX('My equipment'!$P$4:$P$503,(_calc!$E$141-500))),TEXT(INDEX('My equipment'!$P$4:$P$503,(_calc!$E$141-500)),"yyyy-mm-dd"),"")&amp;". ")&amp;IF(LEN(IF(LEN(INDEX('My equipment'!$Q$4:$Q$503,(_calc!$E$141-500)))=0,"",INDEX('My equipment'!$Q$4:$Q$503,(_calc!$E$141-500))))=0,"","Claim status: "&amp;IF(LEN(INDEX('My equipment'!$Q$4:$Q$503,(_calc!$E$141-500)))=0,"",INDEX('My equipment'!$Q$4:$Q$503,(_calc!$E$141-500)))&amp;". ")&amp;IF(LEN(IF(LEN(INDEX('My equipment'!$R$4:$R$503,(_calc!$E$141-500)))=0,"",INDEX('My equipment'!$R$4:$R$503,(_calc!$E$141-500))))=0,"","Claims contact: "&amp;IF(LEN(INDEX('My equipment'!$R$4:$R$503,(_calc!$E$141-500)))=0,"",INDEX('My equipment'!$R$4:$R$503,(_calc!$E$141-500)))&amp;". ")&amp;IF(LEN(IF(LEN(INDEX('My equipment'!$S$4:$S$503,(_calc!$E$141-500)))=0,"",INDEX('My equipment'!$S$4:$S$503,(_calc!$E$141-500))))=0,"","Claims email: "&amp;IF(LEN(INDEX('My equipment'!$S$4:$S$503,(_calc!$E$141-500)))=0,"",INDEX('My equipment'!$S$4:$S$503,(_calc!$E$141-500)))&amp;". ")&amp;IF(LEN(IF(LEN(INDEX('My equipment'!$U$4:$U$503,(_calc!$E$141-500)))=0,"",INDEX('My equipment'!$U$4:$U$503,(_calc!$E$141-500))))=0,"","Registered: "&amp;IF(LEN(INDEX('My equipment'!$U$4:$U$503,(_calc!$E$141-500)))=0,"",INDEX('My equipment'!$U$4:$U$503,(_calc!$E$141-500)))&amp;". ")&amp;IF(LEN(IF(LEN(INDEX('My equipment'!$V$4:$V$503,(_calc!$E$141-500)))=0,"",INDEX('My equipment'!$V$4:$V$503,(_calc!$E$141-500))))=0,"","Proof on file: "&amp;IF(LEN(INDEX('My equipment'!$V$4:$V$503,(_calc!$E$141-500)))=0,"",INDEX('My equipment'!$V$4:$V$503,(_calc!$E$141-500)))&amp;". ")&amp;IF(LEN(IF(LEN(INDEX('My equipment'!$W$4:$W$503,(_calc!$E$141-500)))=0,"",INDEX('My equipment'!$W$4:$W$503,(_calc!$E$141-500))))=0,"","Claim ref: "&amp;IF(LEN(INDEX('My equipment'!$W$4:$W$503,(_calc!$E$141-500)))=0,"",INDEX('My equipment'!$W$4:$W$503,(_calc!$E$141-500)))&amp;". ")&amp;IF(LEN(IF(LEN(INDEX('My equipment'!$Y$4:$Y$503,(_calc!$E$141-500)))=0,"",INDEX('My equipment'!$Y$4:$Y$503,(_calc!$E$141-500))))=0,"",IF(LEN(INDEX('My equipment'!$Y$4:$Y$503,(_calc!$E$141-500)))=0,"",INDEX('My equipment'!$Y$4:$Y$503,(_calc!$E$141-500)))))))</f>
        <v/>
      </c>
      <c r="G139" s="54">
        <f>IF(_calc!$E$141="","",IF(_calc!$E$141&lt;=500,"",IF(LEN(INDEX('My equipment'!$X$4:$X$503,(_calc!$E$141-500)))=0,"",INDEX('My equipment'!$X$4:$X$503,(_calc!$E$141-500)))))</f>
        <v/>
      </c>
      <c r="K139" s="54">
        <f>IF(_calc!$E$141="","",IF(_calc!$E$141&lt;=500,"",IF(LEN(INDEX('My equipment'!$T$4:$T$503,(_calc!$E$141-500)))=0,"",INDEX('My equipment'!$T$4:$T$503,(_calc!$E$141-500)))))</f>
        <v/>
      </c>
    </row>
    <row r="140">
      <c r="A140" s="54">
        <f>IF(_calc!$E$142="","",IF(_calc!$E$142&lt;=500,"Warranty – "&amp;IF(LEN(INDEX('Dealer pipeline'!$C$4:$C$503,_calc!$E$142))=0,"",INDEX('Dealer pipeline'!$C$4:$C$503,_calc!$E$142))&amp;" – "&amp;IF(LEN(INDEX('Dealer pipeline'!$D$4:$D$503,_calc!$E$142))=0,"",INDEX('Dealer pipeline'!$D$4:$D$503,_calc!$E$142))&amp;" – "&amp;IF(LEN(INDEX('Dealer pipeline'!$A$4:$A$503,_calc!$E$142))=0,"",INDEX('Dealer pipeline'!$A$4:$A$503,_calc!$E$142)),"Warranty – "&amp;IF(LEN(INDEX('My equipment'!$A$4:$A$503,(_calc!$E$142-500)))=0,"",INDEX('My equipment'!$A$4:$A$503,(_calc!$E$142-500)))&amp;" – "&amp;IF(LEN(INDEX('My equipment'!$D$4:$D$503,(_calc!$E$142-500)))=0,"",INDEX('My equipment'!$D$4:$D$503,(_calc!$E$142-500)))))</f>
        <v/>
      </c>
      <c r="B140" s="54">
        <f>IF(_calc!$E$142="","",IF(_calc!$E$142&lt;=500,IF(ISNUMBER(INDEX('Dealer pipeline'!$M$4:$M$503,_calc!$E$142)),TEXT(INDEX('Dealer pipeline'!$M$4:$M$503,_calc!$E$142),"yyyy-mm-dd"),""),IF(ISNUMBER(INDEX('My equipment'!$M$4:$M$503,(_calc!$E$142-500))),TEXT(INDEX('My equipment'!$M$4:$M$503,(_calc!$E$142-500)),"yyyy-mm-dd"),"")))</f>
        <v/>
      </c>
      <c r="C140" s="54">
        <f>IF(_calc!$E$142="","",IF(_calc!$E$142&lt;=500,"Warranty","Warranty"))</f>
        <v/>
      </c>
      <c r="D140" s="54">
        <f>IF(_calc!$E$142="","",IF(_calc!$E$142&lt;=500,IF(ISNUMBER(INDEX('Dealer pipeline'!$H$4:$H$503,_calc!$E$142)),TEXT(INDEX('Dealer pipeline'!$H$4:$H$503,_calc!$E$142),"yyyy-mm-dd"),""),IF(ISNUMBER(INDEX('My equipment'!$H$4:$H$503,(_calc!$E$142-500))),TEXT(INDEX('My equipment'!$H$4:$H$503,(_calc!$E$142-500)),"yyyy-mm-dd"),"")))</f>
        <v/>
      </c>
      <c r="F140" s="54">
        <f>IF(_calc!$E$142="","",IF(_calc!$E$142&lt;=500,TRIM(IF(LEN(IF(LEN(INDEX('Dealer pipeline'!$A$4:$A$503,_calc!$E$142))=0,"",INDEX('Dealer pipeline'!$A$4:$A$503,_calc!$E$142)))=0,"","Customer: "&amp;IF(LEN(INDEX('Dealer pipeline'!$A$4:$A$503,_calc!$E$142))=0,"",INDEX('Dealer pipeline'!$A$4:$A$503,_calc!$E$142))&amp;". ")&amp;IF(LEN(IF(LEN(INDEX('Dealer pipeline'!$B$4:$B$503,_calc!$E$142))=0,"",INDEX('Dealer pipeline'!$B$4:$B$503,_calc!$E$142)))=0,"","Contact: "&amp;IF(LEN(INDEX('Dealer pipeline'!$B$4:$B$503,_calc!$E$142))=0,"",INDEX('Dealer pipeline'!$B$4:$B$503,_calc!$E$142))&amp;". ")&amp;IF(LEN(IF(LEN(INDEX('Dealer pipeline'!$D$4:$D$503,_calc!$E$142))=0,"",INDEX('Dealer pipeline'!$D$4:$D$503,_calc!$E$142)))=0,"","Serial: "&amp;IF(LEN(INDEX('Dealer pipeline'!$D$4:$D$503,_calc!$E$142))=0,"",INDEX('Dealer pipeline'!$D$4:$D$503,_calc!$E$142))&amp;". ")&amp;IF(LEN(IF(ISNUMBER(INDEX('Dealer pipeline'!$J$4:$J$503,_calc!$E$142)),TEXT(INDEX('Dealer pipeline'!$J$4:$J$503,_calc!$E$142),"yyyy-mm-dd"),""))=0,"","Parts end: "&amp;IF(ISNUMBER(INDEX('Dealer pipeline'!$J$4:$J$503,_calc!$E$142)),TEXT(INDEX('Dealer pipeline'!$J$4:$J$503,_calc!$E$142),"yyyy-mm-dd"),"")&amp;". ")&amp;IF(LEN(IF(ISNUMBER(INDEX('Dealer pipeline'!$L$4:$L$503,_calc!$E$142)),TEXT(INDEX('Dealer pipeline'!$L$4:$L$503,_calc!$E$142),"yyyy-mm-dd"),""))=0,"","Labor end: "&amp;IF(ISNUMBER(INDEX('Dealer pipeline'!$L$4:$L$503,_calc!$E$142)),TEXT(INDEX('Dealer pipeline'!$L$4:$L$503,_calc!$E$142),"yyyy-mm-dd"),"")&amp;". ")&amp;IF(LEN(IF(LEN(INDEX('Dealer pipeline'!$Q$4:$Q$503,_calc!$E$142))=0,"",INDEX('Dealer pipeline'!$Q$4:$Q$503,_calc!$E$142)))=0,"","Status: "&amp;IF(LEN(INDEX('Dealer pipeline'!$Q$4:$Q$503,_calc!$E$142))=0,"",INDEX('Dealer pipeline'!$Q$4:$Q$503,_calc!$E$142))&amp;". ")&amp;IF(LEN(IF(LEN(INDEX('Dealer pipeline'!$P$4:$P$503,_calc!$E$142))=0,"",INDEX('Dealer pipeline'!$P$4:$P$503,_calc!$E$142)))=0,"","Last touch: "&amp;IF(LEN(INDEX('Dealer pipeline'!$P$4:$P$503,_calc!$E$142))=0,"",INDEX('Dealer pipeline'!$P$4:$P$503,_calc!$E$142))&amp;". ")&amp;IF(LEN(IF(LEN(INDEX('Dealer pipeline'!$R$4:$R$503,_calc!$E$142))=0,"",INDEX('Dealer pipeline'!$R$4:$R$503,_calc!$E$142)))=0,"","Owner: "&amp;IF(LEN(INDEX('Dealer pipeline'!$R$4:$R$503,_calc!$E$142))=0,"",INDEX('Dealer pipeline'!$R$4:$R$503,_calc!$E$142))&amp;". ")&amp;IF(LEN(IF(LEN(INDEX('Dealer pipeline'!$S$4:$S$503,_calc!$E$142))=0,"",INDEX('Dealer pipeline'!$S$4:$S$503,_calc!$E$142)))=0,"","Backup: "&amp;IF(LEN(INDEX('Dealer pipeline'!$S$4:$S$503,_calc!$E$142))=0,"",INDEX('Dealer pipeline'!$S$4:$S$503,_calc!$E$142))&amp;". ")&amp;IF(LEN(IF(LEN(INDEX('Dealer pipeline'!$T$4:$T$503,_calc!$E$142))=0,"",INDEX('Dealer pipeline'!$T$4:$T$503,_calc!$E$142)))=0,"",IF(LEN(INDEX('Dealer pipeline'!$T$4:$T$503,_calc!$E$142))=0,"",INDEX('Dealer pipeline'!$T$4:$T$503,_calc!$E$142)))),TRIM(IF(LEN(IF(LEN(INDEX('My equipment'!$C$4:$C$503,(_calc!$E$142-500)))=0,"",INDEX('My equipment'!$C$4:$C$503,(_calc!$E$142-500))))=0,"","Model: "&amp;IF(LEN(INDEX('My equipment'!$C$4:$C$503,(_calc!$E$142-500)))=0,"",INDEX('My equipment'!$C$4:$C$503,(_calc!$E$142-500)))&amp;". ")&amp;IF(LEN(IF(LEN(INDEX('My equipment'!$D$4:$D$503,(_calc!$E$142-500)))=0,"",INDEX('My equipment'!$D$4:$D$503,(_calc!$E$142-500))))=0,"","Serial: "&amp;IF(LEN(INDEX('My equipment'!$D$4:$D$503,(_calc!$E$142-500)))=0,"",INDEX('My equipment'!$D$4:$D$503,(_calc!$E$142-500)))&amp;". ")&amp;IF(LEN(IF(ISNUMBER(INDEX('My equipment'!$J$4:$J$503,(_calc!$E$142-500))),TEXT(INDEX('My equipment'!$J$4:$J$503,(_calc!$E$142-500)),"yyyy-mm-dd"),""))=0,"","Parts end: "&amp;IF(ISNUMBER(INDEX('My equipment'!$J$4:$J$503,(_calc!$E$142-500))),TEXT(INDEX('My equipment'!$J$4:$J$503,(_calc!$E$142-500)),"yyyy-mm-dd"),"")&amp;". ")&amp;IF(LEN(IF(ISNUMBER(INDEX('My equipment'!$L$4:$L$503,(_calc!$E$142-500))),TEXT(INDEX('My equipment'!$L$4:$L$503,(_calc!$E$142-500)),"yyyy-mm-dd"),""))=0,"","Labor end: "&amp;IF(ISNUMBER(INDEX('My equipment'!$L$4:$L$503,(_calc!$E$142-500))),TEXT(INDEX('My equipment'!$L$4:$L$503,(_calc!$E$142-500)),"yyyy-mm-dd"),"")&amp;". ")&amp;IF(LEN(IF(ISNUMBER(INDEX('My equipment'!$P$4:$P$503,(_calc!$E$142-500))),TEXT(INDEX('My equipment'!$P$4:$P$503,(_calc!$E$142-500)),"yyyy-mm-dd"),""))=0,"","Check by: "&amp;IF(ISNUMBER(INDEX('My equipment'!$P$4:$P$503,(_calc!$E$142-500))),TEXT(INDEX('My equipment'!$P$4:$P$503,(_calc!$E$142-500)),"yyyy-mm-dd"),"")&amp;". ")&amp;IF(LEN(IF(LEN(INDEX('My equipment'!$Q$4:$Q$503,(_calc!$E$142-500)))=0,"",INDEX('My equipment'!$Q$4:$Q$503,(_calc!$E$142-500))))=0,"","Claim status: "&amp;IF(LEN(INDEX('My equipment'!$Q$4:$Q$503,(_calc!$E$142-500)))=0,"",INDEX('My equipment'!$Q$4:$Q$503,(_calc!$E$142-500)))&amp;". ")&amp;IF(LEN(IF(LEN(INDEX('My equipment'!$R$4:$R$503,(_calc!$E$142-500)))=0,"",INDEX('My equipment'!$R$4:$R$503,(_calc!$E$142-500))))=0,"","Claims contact: "&amp;IF(LEN(INDEX('My equipment'!$R$4:$R$503,(_calc!$E$142-500)))=0,"",INDEX('My equipment'!$R$4:$R$503,(_calc!$E$142-500)))&amp;". ")&amp;IF(LEN(IF(LEN(INDEX('My equipment'!$S$4:$S$503,(_calc!$E$142-500)))=0,"",INDEX('My equipment'!$S$4:$S$503,(_calc!$E$142-500))))=0,"","Claims email: "&amp;IF(LEN(INDEX('My equipment'!$S$4:$S$503,(_calc!$E$142-500)))=0,"",INDEX('My equipment'!$S$4:$S$503,(_calc!$E$142-500)))&amp;". ")&amp;IF(LEN(IF(LEN(INDEX('My equipment'!$U$4:$U$503,(_calc!$E$142-500)))=0,"",INDEX('My equipment'!$U$4:$U$503,(_calc!$E$142-500))))=0,"","Registered: "&amp;IF(LEN(INDEX('My equipment'!$U$4:$U$503,(_calc!$E$142-500)))=0,"",INDEX('My equipment'!$U$4:$U$503,(_calc!$E$142-500)))&amp;". ")&amp;IF(LEN(IF(LEN(INDEX('My equipment'!$V$4:$V$503,(_calc!$E$142-500)))=0,"",INDEX('My equipment'!$V$4:$V$503,(_calc!$E$142-500))))=0,"","Proof on file: "&amp;IF(LEN(INDEX('My equipment'!$V$4:$V$503,(_calc!$E$142-500)))=0,"",INDEX('My equipment'!$V$4:$V$503,(_calc!$E$142-500)))&amp;". ")&amp;IF(LEN(IF(LEN(INDEX('My equipment'!$W$4:$W$503,(_calc!$E$142-500)))=0,"",INDEX('My equipment'!$W$4:$W$503,(_calc!$E$142-500))))=0,"","Claim ref: "&amp;IF(LEN(INDEX('My equipment'!$W$4:$W$503,(_calc!$E$142-500)))=0,"",INDEX('My equipment'!$W$4:$W$503,(_calc!$E$142-500)))&amp;". ")&amp;IF(LEN(IF(LEN(INDEX('My equipment'!$Y$4:$Y$503,(_calc!$E$142-500)))=0,"",INDEX('My equipment'!$Y$4:$Y$503,(_calc!$E$142-500))))=0,"",IF(LEN(INDEX('My equipment'!$Y$4:$Y$503,(_calc!$E$142-500)))=0,"",INDEX('My equipment'!$Y$4:$Y$503,(_calc!$E$142-500)))))))</f>
        <v/>
      </c>
      <c r="G140" s="54">
        <f>IF(_calc!$E$142="","",IF(_calc!$E$142&lt;=500,"",IF(LEN(INDEX('My equipment'!$X$4:$X$503,(_calc!$E$142-500)))=0,"",INDEX('My equipment'!$X$4:$X$503,(_calc!$E$142-500)))))</f>
        <v/>
      </c>
      <c r="K140" s="54">
        <f>IF(_calc!$E$142="","",IF(_calc!$E$142&lt;=500,"",IF(LEN(INDEX('My equipment'!$T$4:$T$503,(_calc!$E$142-500)))=0,"",INDEX('My equipment'!$T$4:$T$503,(_calc!$E$142-500)))))</f>
        <v/>
      </c>
    </row>
    <row r="141">
      <c r="A141" s="54">
        <f>IF(_calc!$E$143="","",IF(_calc!$E$143&lt;=500,"Warranty – "&amp;IF(LEN(INDEX('Dealer pipeline'!$C$4:$C$503,_calc!$E$143))=0,"",INDEX('Dealer pipeline'!$C$4:$C$503,_calc!$E$143))&amp;" – "&amp;IF(LEN(INDEX('Dealer pipeline'!$D$4:$D$503,_calc!$E$143))=0,"",INDEX('Dealer pipeline'!$D$4:$D$503,_calc!$E$143))&amp;" – "&amp;IF(LEN(INDEX('Dealer pipeline'!$A$4:$A$503,_calc!$E$143))=0,"",INDEX('Dealer pipeline'!$A$4:$A$503,_calc!$E$143)),"Warranty – "&amp;IF(LEN(INDEX('My equipment'!$A$4:$A$503,(_calc!$E$143-500)))=0,"",INDEX('My equipment'!$A$4:$A$503,(_calc!$E$143-500)))&amp;" – "&amp;IF(LEN(INDEX('My equipment'!$D$4:$D$503,(_calc!$E$143-500)))=0,"",INDEX('My equipment'!$D$4:$D$503,(_calc!$E$143-500)))))</f>
        <v/>
      </c>
      <c r="B141" s="54">
        <f>IF(_calc!$E$143="","",IF(_calc!$E$143&lt;=500,IF(ISNUMBER(INDEX('Dealer pipeline'!$M$4:$M$503,_calc!$E$143)),TEXT(INDEX('Dealer pipeline'!$M$4:$M$503,_calc!$E$143),"yyyy-mm-dd"),""),IF(ISNUMBER(INDEX('My equipment'!$M$4:$M$503,(_calc!$E$143-500))),TEXT(INDEX('My equipment'!$M$4:$M$503,(_calc!$E$143-500)),"yyyy-mm-dd"),"")))</f>
        <v/>
      </c>
      <c r="C141" s="54">
        <f>IF(_calc!$E$143="","",IF(_calc!$E$143&lt;=500,"Warranty","Warranty"))</f>
        <v/>
      </c>
      <c r="D141" s="54">
        <f>IF(_calc!$E$143="","",IF(_calc!$E$143&lt;=500,IF(ISNUMBER(INDEX('Dealer pipeline'!$H$4:$H$503,_calc!$E$143)),TEXT(INDEX('Dealer pipeline'!$H$4:$H$503,_calc!$E$143),"yyyy-mm-dd"),""),IF(ISNUMBER(INDEX('My equipment'!$H$4:$H$503,(_calc!$E$143-500))),TEXT(INDEX('My equipment'!$H$4:$H$503,(_calc!$E$143-500)),"yyyy-mm-dd"),"")))</f>
        <v/>
      </c>
      <c r="F141" s="54">
        <f>IF(_calc!$E$143="","",IF(_calc!$E$143&lt;=500,TRIM(IF(LEN(IF(LEN(INDEX('Dealer pipeline'!$A$4:$A$503,_calc!$E$143))=0,"",INDEX('Dealer pipeline'!$A$4:$A$503,_calc!$E$143)))=0,"","Customer: "&amp;IF(LEN(INDEX('Dealer pipeline'!$A$4:$A$503,_calc!$E$143))=0,"",INDEX('Dealer pipeline'!$A$4:$A$503,_calc!$E$143))&amp;". ")&amp;IF(LEN(IF(LEN(INDEX('Dealer pipeline'!$B$4:$B$503,_calc!$E$143))=0,"",INDEX('Dealer pipeline'!$B$4:$B$503,_calc!$E$143)))=0,"","Contact: "&amp;IF(LEN(INDEX('Dealer pipeline'!$B$4:$B$503,_calc!$E$143))=0,"",INDEX('Dealer pipeline'!$B$4:$B$503,_calc!$E$143))&amp;". ")&amp;IF(LEN(IF(LEN(INDEX('Dealer pipeline'!$D$4:$D$503,_calc!$E$143))=0,"",INDEX('Dealer pipeline'!$D$4:$D$503,_calc!$E$143)))=0,"","Serial: "&amp;IF(LEN(INDEX('Dealer pipeline'!$D$4:$D$503,_calc!$E$143))=0,"",INDEX('Dealer pipeline'!$D$4:$D$503,_calc!$E$143))&amp;". ")&amp;IF(LEN(IF(ISNUMBER(INDEX('Dealer pipeline'!$J$4:$J$503,_calc!$E$143)),TEXT(INDEX('Dealer pipeline'!$J$4:$J$503,_calc!$E$143),"yyyy-mm-dd"),""))=0,"","Parts end: "&amp;IF(ISNUMBER(INDEX('Dealer pipeline'!$J$4:$J$503,_calc!$E$143)),TEXT(INDEX('Dealer pipeline'!$J$4:$J$503,_calc!$E$143),"yyyy-mm-dd"),"")&amp;". ")&amp;IF(LEN(IF(ISNUMBER(INDEX('Dealer pipeline'!$L$4:$L$503,_calc!$E$143)),TEXT(INDEX('Dealer pipeline'!$L$4:$L$503,_calc!$E$143),"yyyy-mm-dd"),""))=0,"","Labor end: "&amp;IF(ISNUMBER(INDEX('Dealer pipeline'!$L$4:$L$503,_calc!$E$143)),TEXT(INDEX('Dealer pipeline'!$L$4:$L$503,_calc!$E$143),"yyyy-mm-dd"),"")&amp;". ")&amp;IF(LEN(IF(LEN(INDEX('Dealer pipeline'!$Q$4:$Q$503,_calc!$E$143))=0,"",INDEX('Dealer pipeline'!$Q$4:$Q$503,_calc!$E$143)))=0,"","Status: "&amp;IF(LEN(INDEX('Dealer pipeline'!$Q$4:$Q$503,_calc!$E$143))=0,"",INDEX('Dealer pipeline'!$Q$4:$Q$503,_calc!$E$143))&amp;". ")&amp;IF(LEN(IF(LEN(INDEX('Dealer pipeline'!$P$4:$P$503,_calc!$E$143))=0,"",INDEX('Dealer pipeline'!$P$4:$P$503,_calc!$E$143)))=0,"","Last touch: "&amp;IF(LEN(INDEX('Dealer pipeline'!$P$4:$P$503,_calc!$E$143))=0,"",INDEX('Dealer pipeline'!$P$4:$P$503,_calc!$E$143))&amp;". ")&amp;IF(LEN(IF(LEN(INDEX('Dealer pipeline'!$R$4:$R$503,_calc!$E$143))=0,"",INDEX('Dealer pipeline'!$R$4:$R$503,_calc!$E$143)))=0,"","Owner: "&amp;IF(LEN(INDEX('Dealer pipeline'!$R$4:$R$503,_calc!$E$143))=0,"",INDEX('Dealer pipeline'!$R$4:$R$503,_calc!$E$143))&amp;". ")&amp;IF(LEN(IF(LEN(INDEX('Dealer pipeline'!$S$4:$S$503,_calc!$E$143))=0,"",INDEX('Dealer pipeline'!$S$4:$S$503,_calc!$E$143)))=0,"","Backup: "&amp;IF(LEN(INDEX('Dealer pipeline'!$S$4:$S$503,_calc!$E$143))=0,"",INDEX('Dealer pipeline'!$S$4:$S$503,_calc!$E$143))&amp;". ")&amp;IF(LEN(IF(LEN(INDEX('Dealer pipeline'!$T$4:$T$503,_calc!$E$143))=0,"",INDEX('Dealer pipeline'!$T$4:$T$503,_calc!$E$143)))=0,"",IF(LEN(INDEX('Dealer pipeline'!$T$4:$T$503,_calc!$E$143))=0,"",INDEX('Dealer pipeline'!$T$4:$T$503,_calc!$E$143)))),TRIM(IF(LEN(IF(LEN(INDEX('My equipment'!$C$4:$C$503,(_calc!$E$143-500)))=0,"",INDEX('My equipment'!$C$4:$C$503,(_calc!$E$143-500))))=0,"","Model: "&amp;IF(LEN(INDEX('My equipment'!$C$4:$C$503,(_calc!$E$143-500)))=0,"",INDEX('My equipment'!$C$4:$C$503,(_calc!$E$143-500)))&amp;". ")&amp;IF(LEN(IF(LEN(INDEX('My equipment'!$D$4:$D$503,(_calc!$E$143-500)))=0,"",INDEX('My equipment'!$D$4:$D$503,(_calc!$E$143-500))))=0,"","Serial: "&amp;IF(LEN(INDEX('My equipment'!$D$4:$D$503,(_calc!$E$143-500)))=0,"",INDEX('My equipment'!$D$4:$D$503,(_calc!$E$143-500)))&amp;". ")&amp;IF(LEN(IF(ISNUMBER(INDEX('My equipment'!$J$4:$J$503,(_calc!$E$143-500))),TEXT(INDEX('My equipment'!$J$4:$J$503,(_calc!$E$143-500)),"yyyy-mm-dd"),""))=0,"","Parts end: "&amp;IF(ISNUMBER(INDEX('My equipment'!$J$4:$J$503,(_calc!$E$143-500))),TEXT(INDEX('My equipment'!$J$4:$J$503,(_calc!$E$143-500)),"yyyy-mm-dd"),"")&amp;". ")&amp;IF(LEN(IF(ISNUMBER(INDEX('My equipment'!$L$4:$L$503,(_calc!$E$143-500))),TEXT(INDEX('My equipment'!$L$4:$L$503,(_calc!$E$143-500)),"yyyy-mm-dd"),""))=0,"","Labor end: "&amp;IF(ISNUMBER(INDEX('My equipment'!$L$4:$L$503,(_calc!$E$143-500))),TEXT(INDEX('My equipment'!$L$4:$L$503,(_calc!$E$143-500)),"yyyy-mm-dd"),"")&amp;". ")&amp;IF(LEN(IF(ISNUMBER(INDEX('My equipment'!$P$4:$P$503,(_calc!$E$143-500))),TEXT(INDEX('My equipment'!$P$4:$P$503,(_calc!$E$143-500)),"yyyy-mm-dd"),""))=0,"","Check by: "&amp;IF(ISNUMBER(INDEX('My equipment'!$P$4:$P$503,(_calc!$E$143-500))),TEXT(INDEX('My equipment'!$P$4:$P$503,(_calc!$E$143-500)),"yyyy-mm-dd"),"")&amp;". ")&amp;IF(LEN(IF(LEN(INDEX('My equipment'!$Q$4:$Q$503,(_calc!$E$143-500)))=0,"",INDEX('My equipment'!$Q$4:$Q$503,(_calc!$E$143-500))))=0,"","Claim status: "&amp;IF(LEN(INDEX('My equipment'!$Q$4:$Q$503,(_calc!$E$143-500)))=0,"",INDEX('My equipment'!$Q$4:$Q$503,(_calc!$E$143-500)))&amp;". ")&amp;IF(LEN(IF(LEN(INDEX('My equipment'!$R$4:$R$503,(_calc!$E$143-500)))=0,"",INDEX('My equipment'!$R$4:$R$503,(_calc!$E$143-500))))=0,"","Claims contact: "&amp;IF(LEN(INDEX('My equipment'!$R$4:$R$503,(_calc!$E$143-500)))=0,"",INDEX('My equipment'!$R$4:$R$503,(_calc!$E$143-500)))&amp;". ")&amp;IF(LEN(IF(LEN(INDEX('My equipment'!$S$4:$S$503,(_calc!$E$143-500)))=0,"",INDEX('My equipment'!$S$4:$S$503,(_calc!$E$143-500))))=0,"","Claims email: "&amp;IF(LEN(INDEX('My equipment'!$S$4:$S$503,(_calc!$E$143-500)))=0,"",INDEX('My equipment'!$S$4:$S$503,(_calc!$E$143-500)))&amp;". ")&amp;IF(LEN(IF(LEN(INDEX('My equipment'!$U$4:$U$503,(_calc!$E$143-500)))=0,"",INDEX('My equipment'!$U$4:$U$503,(_calc!$E$143-500))))=0,"","Registered: "&amp;IF(LEN(INDEX('My equipment'!$U$4:$U$503,(_calc!$E$143-500)))=0,"",INDEX('My equipment'!$U$4:$U$503,(_calc!$E$143-500)))&amp;". ")&amp;IF(LEN(IF(LEN(INDEX('My equipment'!$V$4:$V$503,(_calc!$E$143-500)))=0,"",INDEX('My equipment'!$V$4:$V$503,(_calc!$E$143-500))))=0,"","Proof on file: "&amp;IF(LEN(INDEX('My equipment'!$V$4:$V$503,(_calc!$E$143-500)))=0,"",INDEX('My equipment'!$V$4:$V$503,(_calc!$E$143-500)))&amp;". ")&amp;IF(LEN(IF(LEN(INDEX('My equipment'!$W$4:$W$503,(_calc!$E$143-500)))=0,"",INDEX('My equipment'!$W$4:$W$503,(_calc!$E$143-500))))=0,"","Claim ref: "&amp;IF(LEN(INDEX('My equipment'!$W$4:$W$503,(_calc!$E$143-500)))=0,"",INDEX('My equipment'!$W$4:$W$503,(_calc!$E$143-500)))&amp;". ")&amp;IF(LEN(IF(LEN(INDEX('My equipment'!$Y$4:$Y$503,(_calc!$E$143-500)))=0,"",INDEX('My equipment'!$Y$4:$Y$503,(_calc!$E$143-500))))=0,"",IF(LEN(INDEX('My equipment'!$Y$4:$Y$503,(_calc!$E$143-500)))=0,"",INDEX('My equipment'!$Y$4:$Y$503,(_calc!$E$143-500)))))))</f>
        <v/>
      </c>
      <c r="G141" s="54">
        <f>IF(_calc!$E$143="","",IF(_calc!$E$143&lt;=500,"",IF(LEN(INDEX('My equipment'!$X$4:$X$503,(_calc!$E$143-500)))=0,"",INDEX('My equipment'!$X$4:$X$503,(_calc!$E$143-500)))))</f>
        <v/>
      </c>
      <c r="K141" s="54">
        <f>IF(_calc!$E$143="","",IF(_calc!$E$143&lt;=500,"",IF(LEN(INDEX('My equipment'!$T$4:$T$503,(_calc!$E$143-500)))=0,"",INDEX('My equipment'!$T$4:$T$503,(_calc!$E$143-500)))))</f>
        <v/>
      </c>
    </row>
    <row r="142">
      <c r="A142" s="54">
        <f>IF(_calc!$E$144="","",IF(_calc!$E$144&lt;=500,"Warranty – "&amp;IF(LEN(INDEX('Dealer pipeline'!$C$4:$C$503,_calc!$E$144))=0,"",INDEX('Dealer pipeline'!$C$4:$C$503,_calc!$E$144))&amp;" – "&amp;IF(LEN(INDEX('Dealer pipeline'!$D$4:$D$503,_calc!$E$144))=0,"",INDEX('Dealer pipeline'!$D$4:$D$503,_calc!$E$144))&amp;" – "&amp;IF(LEN(INDEX('Dealer pipeline'!$A$4:$A$503,_calc!$E$144))=0,"",INDEX('Dealer pipeline'!$A$4:$A$503,_calc!$E$144)),"Warranty – "&amp;IF(LEN(INDEX('My equipment'!$A$4:$A$503,(_calc!$E$144-500)))=0,"",INDEX('My equipment'!$A$4:$A$503,(_calc!$E$144-500)))&amp;" – "&amp;IF(LEN(INDEX('My equipment'!$D$4:$D$503,(_calc!$E$144-500)))=0,"",INDEX('My equipment'!$D$4:$D$503,(_calc!$E$144-500)))))</f>
        <v/>
      </c>
      <c r="B142" s="54">
        <f>IF(_calc!$E$144="","",IF(_calc!$E$144&lt;=500,IF(ISNUMBER(INDEX('Dealer pipeline'!$M$4:$M$503,_calc!$E$144)),TEXT(INDEX('Dealer pipeline'!$M$4:$M$503,_calc!$E$144),"yyyy-mm-dd"),""),IF(ISNUMBER(INDEX('My equipment'!$M$4:$M$503,(_calc!$E$144-500))),TEXT(INDEX('My equipment'!$M$4:$M$503,(_calc!$E$144-500)),"yyyy-mm-dd"),"")))</f>
        <v/>
      </c>
      <c r="C142" s="54">
        <f>IF(_calc!$E$144="","",IF(_calc!$E$144&lt;=500,"Warranty","Warranty"))</f>
        <v/>
      </c>
      <c r="D142" s="54">
        <f>IF(_calc!$E$144="","",IF(_calc!$E$144&lt;=500,IF(ISNUMBER(INDEX('Dealer pipeline'!$H$4:$H$503,_calc!$E$144)),TEXT(INDEX('Dealer pipeline'!$H$4:$H$503,_calc!$E$144),"yyyy-mm-dd"),""),IF(ISNUMBER(INDEX('My equipment'!$H$4:$H$503,(_calc!$E$144-500))),TEXT(INDEX('My equipment'!$H$4:$H$503,(_calc!$E$144-500)),"yyyy-mm-dd"),"")))</f>
        <v/>
      </c>
      <c r="F142" s="54">
        <f>IF(_calc!$E$144="","",IF(_calc!$E$144&lt;=500,TRIM(IF(LEN(IF(LEN(INDEX('Dealer pipeline'!$A$4:$A$503,_calc!$E$144))=0,"",INDEX('Dealer pipeline'!$A$4:$A$503,_calc!$E$144)))=0,"","Customer: "&amp;IF(LEN(INDEX('Dealer pipeline'!$A$4:$A$503,_calc!$E$144))=0,"",INDEX('Dealer pipeline'!$A$4:$A$503,_calc!$E$144))&amp;". ")&amp;IF(LEN(IF(LEN(INDEX('Dealer pipeline'!$B$4:$B$503,_calc!$E$144))=0,"",INDEX('Dealer pipeline'!$B$4:$B$503,_calc!$E$144)))=0,"","Contact: "&amp;IF(LEN(INDEX('Dealer pipeline'!$B$4:$B$503,_calc!$E$144))=0,"",INDEX('Dealer pipeline'!$B$4:$B$503,_calc!$E$144))&amp;". ")&amp;IF(LEN(IF(LEN(INDEX('Dealer pipeline'!$D$4:$D$503,_calc!$E$144))=0,"",INDEX('Dealer pipeline'!$D$4:$D$503,_calc!$E$144)))=0,"","Serial: "&amp;IF(LEN(INDEX('Dealer pipeline'!$D$4:$D$503,_calc!$E$144))=0,"",INDEX('Dealer pipeline'!$D$4:$D$503,_calc!$E$144))&amp;". ")&amp;IF(LEN(IF(ISNUMBER(INDEX('Dealer pipeline'!$J$4:$J$503,_calc!$E$144)),TEXT(INDEX('Dealer pipeline'!$J$4:$J$503,_calc!$E$144),"yyyy-mm-dd"),""))=0,"","Parts end: "&amp;IF(ISNUMBER(INDEX('Dealer pipeline'!$J$4:$J$503,_calc!$E$144)),TEXT(INDEX('Dealer pipeline'!$J$4:$J$503,_calc!$E$144),"yyyy-mm-dd"),"")&amp;". ")&amp;IF(LEN(IF(ISNUMBER(INDEX('Dealer pipeline'!$L$4:$L$503,_calc!$E$144)),TEXT(INDEX('Dealer pipeline'!$L$4:$L$503,_calc!$E$144),"yyyy-mm-dd"),""))=0,"","Labor end: "&amp;IF(ISNUMBER(INDEX('Dealer pipeline'!$L$4:$L$503,_calc!$E$144)),TEXT(INDEX('Dealer pipeline'!$L$4:$L$503,_calc!$E$144),"yyyy-mm-dd"),"")&amp;". ")&amp;IF(LEN(IF(LEN(INDEX('Dealer pipeline'!$Q$4:$Q$503,_calc!$E$144))=0,"",INDEX('Dealer pipeline'!$Q$4:$Q$503,_calc!$E$144)))=0,"","Status: "&amp;IF(LEN(INDEX('Dealer pipeline'!$Q$4:$Q$503,_calc!$E$144))=0,"",INDEX('Dealer pipeline'!$Q$4:$Q$503,_calc!$E$144))&amp;". ")&amp;IF(LEN(IF(LEN(INDEX('Dealer pipeline'!$P$4:$P$503,_calc!$E$144))=0,"",INDEX('Dealer pipeline'!$P$4:$P$503,_calc!$E$144)))=0,"","Last touch: "&amp;IF(LEN(INDEX('Dealer pipeline'!$P$4:$P$503,_calc!$E$144))=0,"",INDEX('Dealer pipeline'!$P$4:$P$503,_calc!$E$144))&amp;". ")&amp;IF(LEN(IF(LEN(INDEX('Dealer pipeline'!$R$4:$R$503,_calc!$E$144))=0,"",INDEX('Dealer pipeline'!$R$4:$R$503,_calc!$E$144)))=0,"","Owner: "&amp;IF(LEN(INDEX('Dealer pipeline'!$R$4:$R$503,_calc!$E$144))=0,"",INDEX('Dealer pipeline'!$R$4:$R$503,_calc!$E$144))&amp;". ")&amp;IF(LEN(IF(LEN(INDEX('Dealer pipeline'!$S$4:$S$503,_calc!$E$144))=0,"",INDEX('Dealer pipeline'!$S$4:$S$503,_calc!$E$144)))=0,"","Backup: "&amp;IF(LEN(INDEX('Dealer pipeline'!$S$4:$S$503,_calc!$E$144))=0,"",INDEX('Dealer pipeline'!$S$4:$S$503,_calc!$E$144))&amp;". ")&amp;IF(LEN(IF(LEN(INDEX('Dealer pipeline'!$T$4:$T$503,_calc!$E$144))=0,"",INDEX('Dealer pipeline'!$T$4:$T$503,_calc!$E$144)))=0,"",IF(LEN(INDEX('Dealer pipeline'!$T$4:$T$503,_calc!$E$144))=0,"",INDEX('Dealer pipeline'!$T$4:$T$503,_calc!$E$144)))),TRIM(IF(LEN(IF(LEN(INDEX('My equipment'!$C$4:$C$503,(_calc!$E$144-500)))=0,"",INDEX('My equipment'!$C$4:$C$503,(_calc!$E$144-500))))=0,"","Model: "&amp;IF(LEN(INDEX('My equipment'!$C$4:$C$503,(_calc!$E$144-500)))=0,"",INDEX('My equipment'!$C$4:$C$503,(_calc!$E$144-500)))&amp;". ")&amp;IF(LEN(IF(LEN(INDEX('My equipment'!$D$4:$D$503,(_calc!$E$144-500)))=0,"",INDEX('My equipment'!$D$4:$D$503,(_calc!$E$144-500))))=0,"","Serial: "&amp;IF(LEN(INDEX('My equipment'!$D$4:$D$503,(_calc!$E$144-500)))=0,"",INDEX('My equipment'!$D$4:$D$503,(_calc!$E$144-500)))&amp;". ")&amp;IF(LEN(IF(ISNUMBER(INDEX('My equipment'!$J$4:$J$503,(_calc!$E$144-500))),TEXT(INDEX('My equipment'!$J$4:$J$503,(_calc!$E$144-500)),"yyyy-mm-dd"),""))=0,"","Parts end: "&amp;IF(ISNUMBER(INDEX('My equipment'!$J$4:$J$503,(_calc!$E$144-500))),TEXT(INDEX('My equipment'!$J$4:$J$503,(_calc!$E$144-500)),"yyyy-mm-dd"),"")&amp;". ")&amp;IF(LEN(IF(ISNUMBER(INDEX('My equipment'!$L$4:$L$503,(_calc!$E$144-500))),TEXT(INDEX('My equipment'!$L$4:$L$503,(_calc!$E$144-500)),"yyyy-mm-dd"),""))=0,"","Labor end: "&amp;IF(ISNUMBER(INDEX('My equipment'!$L$4:$L$503,(_calc!$E$144-500))),TEXT(INDEX('My equipment'!$L$4:$L$503,(_calc!$E$144-500)),"yyyy-mm-dd"),"")&amp;". ")&amp;IF(LEN(IF(ISNUMBER(INDEX('My equipment'!$P$4:$P$503,(_calc!$E$144-500))),TEXT(INDEX('My equipment'!$P$4:$P$503,(_calc!$E$144-500)),"yyyy-mm-dd"),""))=0,"","Check by: "&amp;IF(ISNUMBER(INDEX('My equipment'!$P$4:$P$503,(_calc!$E$144-500))),TEXT(INDEX('My equipment'!$P$4:$P$503,(_calc!$E$144-500)),"yyyy-mm-dd"),"")&amp;". ")&amp;IF(LEN(IF(LEN(INDEX('My equipment'!$Q$4:$Q$503,(_calc!$E$144-500)))=0,"",INDEX('My equipment'!$Q$4:$Q$503,(_calc!$E$144-500))))=0,"","Claim status: "&amp;IF(LEN(INDEX('My equipment'!$Q$4:$Q$503,(_calc!$E$144-500)))=0,"",INDEX('My equipment'!$Q$4:$Q$503,(_calc!$E$144-500)))&amp;". ")&amp;IF(LEN(IF(LEN(INDEX('My equipment'!$R$4:$R$503,(_calc!$E$144-500)))=0,"",INDEX('My equipment'!$R$4:$R$503,(_calc!$E$144-500))))=0,"","Claims contact: "&amp;IF(LEN(INDEX('My equipment'!$R$4:$R$503,(_calc!$E$144-500)))=0,"",INDEX('My equipment'!$R$4:$R$503,(_calc!$E$144-500)))&amp;". ")&amp;IF(LEN(IF(LEN(INDEX('My equipment'!$S$4:$S$503,(_calc!$E$144-500)))=0,"",INDEX('My equipment'!$S$4:$S$503,(_calc!$E$144-500))))=0,"","Claims email: "&amp;IF(LEN(INDEX('My equipment'!$S$4:$S$503,(_calc!$E$144-500)))=0,"",INDEX('My equipment'!$S$4:$S$503,(_calc!$E$144-500)))&amp;". ")&amp;IF(LEN(IF(LEN(INDEX('My equipment'!$U$4:$U$503,(_calc!$E$144-500)))=0,"",INDEX('My equipment'!$U$4:$U$503,(_calc!$E$144-500))))=0,"","Registered: "&amp;IF(LEN(INDEX('My equipment'!$U$4:$U$503,(_calc!$E$144-500)))=0,"",INDEX('My equipment'!$U$4:$U$503,(_calc!$E$144-500)))&amp;". ")&amp;IF(LEN(IF(LEN(INDEX('My equipment'!$V$4:$V$503,(_calc!$E$144-500)))=0,"",INDEX('My equipment'!$V$4:$V$503,(_calc!$E$144-500))))=0,"","Proof on file: "&amp;IF(LEN(INDEX('My equipment'!$V$4:$V$503,(_calc!$E$144-500)))=0,"",INDEX('My equipment'!$V$4:$V$503,(_calc!$E$144-500)))&amp;". ")&amp;IF(LEN(IF(LEN(INDEX('My equipment'!$W$4:$W$503,(_calc!$E$144-500)))=0,"",INDEX('My equipment'!$W$4:$W$503,(_calc!$E$144-500))))=0,"","Claim ref: "&amp;IF(LEN(INDEX('My equipment'!$W$4:$W$503,(_calc!$E$144-500)))=0,"",INDEX('My equipment'!$W$4:$W$503,(_calc!$E$144-500)))&amp;". ")&amp;IF(LEN(IF(LEN(INDEX('My equipment'!$Y$4:$Y$503,(_calc!$E$144-500)))=0,"",INDEX('My equipment'!$Y$4:$Y$503,(_calc!$E$144-500))))=0,"",IF(LEN(INDEX('My equipment'!$Y$4:$Y$503,(_calc!$E$144-500)))=0,"",INDEX('My equipment'!$Y$4:$Y$503,(_calc!$E$144-500)))))))</f>
        <v/>
      </c>
      <c r="G142" s="54">
        <f>IF(_calc!$E$144="","",IF(_calc!$E$144&lt;=500,"",IF(LEN(INDEX('My equipment'!$X$4:$X$503,(_calc!$E$144-500)))=0,"",INDEX('My equipment'!$X$4:$X$503,(_calc!$E$144-500)))))</f>
        <v/>
      </c>
      <c r="K142" s="54">
        <f>IF(_calc!$E$144="","",IF(_calc!$E$144&lt;=500,"",IF(LEN(INDEX('My equipment'!$T$4:$T$503,(_calc!$E$144-500)))=0,"",INDEX('My equipment'!$T$4:$T$503,(_calc!$E$144-500)))))</f>
        <v/>
      </c>
    </row>
    <row r="143">
      <c r="A143" s="54">
        <f>IF(_calc!$E$145="","",IF(_calc!$E$145&lt;=500,"Warranty – "&amp;IF(LEN(INDEX('Dealer pipeline'!$C$4:$C$503,_calc!$E$145))=0,"",INDEX('Dealer pipeline'!$C$4:$C$503,_calc!$E$145))&amp;" – "&amp;IF(LEN(INDEX('Dealer pipeline'!$D$4:$D$503,_calc!$E$145))=0,"",INDEX('Dealer pipeline'!$D$4:$D$503,_calc!$E$145))&amp;" – "&amp;IF(LEN(INDEX('Dealer pipeline'!$A$4:$A$503,_calc!$E$145))=0,"",INDEX('Dealer pipeline'!$A$4:$A$503,_calc!$E$145)),"Warranty – "&amp;IF(LEN(INDEX('My equipment'!$A$4:$A$503,(_calc!$E$145-500)))=0,"",INDEX('My equipment'!$A$4:$A$503,(_calc!$E$145-500)))&amp;" – "&amp;IF(LEN(INDEX('My equipment'!$D$4:$D$503,(_calc!$E$145-500)))=0,"",INDEX('My equipment'!$D$4:$D$503,(_calc!$E$145-500)))))</f>
        <v/>
      </c>
      <c r="B143" s="54">
        <f>IF(_calc!$E$145="","",IF(_calc!$E$145&lt;=500,IF(ISNUMBER(INDEX('Dealer pipeline'!$M$4:$M$503,_calc!$E$145)),TEXT(INDEX('Dealer pipeline'!$M$4:$M$503,_calc!$E$145),"yyyy-mm-dd"),""),IF(ISNUMBER(INDEX('My equipment'!$M$4:$M$503,(_calc!$E$145-500))),TEXT(INDEX('My equipment'!$M$4:$M$503,(_calc!$E$145-500)),"yyyy-mm-dd"),"")))</f>
        <v/>
      </c>
      <c r="C143" s="54">
        <f>IF(_calc!$E$145="","",IF(_calc!$E$145&lt;=500,"Warranty","Warranty"))</f>
        <v/>
      </c>
      <c r="D143" s="54">
        <f>IF(_calc!$E$145="","",IF(_calc!$E$145&lt;=500,IF(ISNUMBER(INDEX('Dealer pipeline'!$H$4:$H$503,_calc!$E$145)),TEXT(INDEX('Dealer pipeline'!$H$4:$H$503,_calc!$E$145),"yyyy-mm-dd"),""),IF(ISNUMBER(INDEX('My equipment'!$H$4:$H$503,(_calc!$E$145-500))),TEXT(INDEX('My equipment'!$H$4:$H$503,(_calc!$E$145-500)),"yyyy-mm-dd"),"")))</f>
        <v/>
      </c>
      <c r="F143" s="54">
        <f>IF(_calc!$E$145="","",IF(_calc!$E$145&lt;=500,TRIM(IF(LEN(IF(LEN(INDEX('Dealer pipeline'!$A$4:$A$503,_calc!$E$145))=0,"",INDEX('Dealer pipeline'!$A$4:$A$503,_calc!$E$145)))=0,"","Customer: "&amp;IF(LEN(INDEX('Dealer pipeline'!$A$4:$A$503,_calc!$E$145))=0,"",INDEX('Dealer pipeline'!$A$4:$A$503,_calc!$E$145))&amp;". ")&amp;IF(LEN(IF(LEN(INDEX('Dealer pipeline'!$B$4:$B$503,_calc!$E$145))=0,"",INDEX('Dealer pipeline'!$B$4:$B$503,_calc!$E$145)))=0,"","Contact: "&amp;IF(LEN(INDEX('Dealer pipeline'!$B$4:$B$503,_calc!$E$145))=0,"",INDEX('Dealer pipeline'!$B$4:$B$503,_calc!$E$145))&amp;". ")&amp;IF(LEN(IF(LEN(INDEX('Dealer pipeline'!$D$4:$D$503,_calc!$E$145))=0,"",INDEX('Dealer pipeline'!$D$4:$D$503,_calc!$E$145)))=0,"","Serial: "&amp;IF(LEN(INDEX('Dealer pipeline'!$D$4:$D$503,_calc!$E$145))=0,"",INDEX('Dealer pipeline'!$D$4:$D$503,_calc!$E$145))&amp;". ")&amp;IF(LEN(IF(ISNUMBER(INDEX('Dealer pipeline'!$J$4:$J$503,_calc!$E$145)),TEXT(INDEX('Dealer pipeline'!$J$4:$J$503,_calc!$E$145),"yyyy-mm-dd"),""))=0,"","Parts end: "&amp;IF(ISNUMBER(INDEX('Dealer pipeline'!$J$4:$J$503,_calc!$E$145)),TEXT(INDEX('Dealer pipeline'!$J$4:$J$503,_calc!$E$145),"yyyy-mm-dd"),"")&amp;". ")&amp;IF(LEN(IF(ISNUMBER(INDEX('Dealer pipeline'!$L$4:$L$503,_calc!$E$145)),TEXT(INDEX('Dealer pipeline'!$L$4:$L$503,_calc!$E$145),"yyyy-mm-dd"),""))=0,"","Labor end: "&amp;IF(ISNUMBER(INDEX('Dealer pipeline'!$L$4:$L$503,_calc!$E$145)),TEXT(INDEX('Dealer pipeline'!$L$4:$L$503,_calc!$E$145),"yyyy-mm-dd"),"")&amp;". ")&amp;IF(LEN(IF(LEN(INDEX('Dealer pipeline'!$Q$4:$Q$503,_calc!$E$145))=0,"",INDEX('Dealer pipeline'!$Q$4:$Q$503,_calc!$E$145)))=0,"","Status: "&amp;IF(LEN(INDEX('Dealer pipeline'!$Q$4:$Q$503,_calc!$E$145))=0,"",INDEX('Dealer pipeline'!$Q$4:$Q$503,_calc!$E$145))&amp;". ")&amp;IF(LEN(IF(LEN(INDEX('Dealer pipeline'!$P$4:$P$503,_calc!$E$145))=0,"",INDEX('Dealer pipeline'!$P$4:$P$503,_calc!$E$145)))=0,"","Last touch: "&amp;IF(LEN(INDEX('Dealer pipeline'!$P$4:$P$503,_calc!$E$145))=0,"",INDEX('Dealer pipeline'!$P$4:$P$503,_calc!$E$145))&amp;". ")&amp;IF(LEN(IF(LEN(INDEX('Dealer pipeline'!$R$4:$R$503,_calc!$E$145))=0,"",INDEX('Dealer pipeline'!$R$4:$R$503,_calc!$E$145)))=0,"","Owner: "&amp;IF(LEN(INDEX('Dealer pipeline'!$R$4:$R$503,_calc!$E$145))=0,"",INDEX('Dealer pipeline'!$R$4:$R$503,_calc!$E$145))&amp;". ")&amp;IF(LEN(IF(LEN(INDEX('Dealer pipeline'!$S$4:$S$503,_calc!$E$145))=0,"",INDEX('Dealer pipeline'!$S$4:$S$503,_calc!$E$145)))=0,"","Backup: "&amp;IF(LEN(INDEX('Dealer pipeline'!$S$4:$S$503,_calc!$E$145))=0,"",INDEX('Dealer pipeline'!$S$4:$S$503,_calc!$E$145))&amp;". ")&amp;IF(LEN(IF(LEN(INDEX('Dealer pipeline'!$T$4:$T$503,_calc!$E$145))=0,"",INDEX('Dealer pipeline'!$T$4:$T$503,_calc!$E$145)))=0,"",IF(LEN(INDEX('Dealer pipeline'!$T$4:$T$503,_calc!$E$145))=0,"",INDEX('Dealer pipeline'!$T$4:$T$503,_calc!$E$145)))),TRIM(IF(LEN(IF(LEN(INDEX('My equipment'!$C$4:$C$503,(_calc!$E$145-500)))=0,"",INDEX('My equipment'!$C$4:$C$503,(_calc!$E$145-500))))=0,"","Model: "&amp;IF(LEN(INDEX('My equipment'!$C$4:$C$503,(_calc!$E$145-500)))=0,"",INDEX('My equipment'!$C$4:$C$503,(_calc!$E$145-500)))&amp;". ")&amp;IF(LEN(IF(LEN(INDEX('My equipment'!$D$4:$D$503,(_calc!$E$145-500)))=0,"",INDEX('My equipment'!$D$4:$D$503,(_calc!$E$145-500))))=0,"","Serial: "&amp;IF(LEN(INDEX('My equipment'!$D$4:$D$503,(_calc!$E$145-500)))=0,"",INDEX('My equipment'!$D$4:$D$503,(_calc!$E$145-500)))&amp;". ")&amp;IF(LEN(IF(ISNUMBER(INDEX('My equipment'!$J$4:$J$503,(_calc!$E$145-500))),TEXT(INDEX('My equipment'!$J$4:$J$503,(_calc!$E$145-500)),"yyyy-mm-dd"),""))=0,"","Parts end: "&amp;IF(ISNUMBER(INDEX('My equipment'!$J$4:$J$503,(_calc!$E$145-500))),TEXT(INDEX('My equipment'!$J$4:$J$503,(_calc!$E$145-500)),"yyyy-mm-dd"),"")&amp;". ")&amp;IF(LEN(IF(ISNUMBER(INDEX('My equipment'!$L$4:$L$503,(_calc!$E$145-500))),TEXT(INDEX('My equipment'!$L$4:$L$503,(_calc!$E$145-500)),"yyyy-mm-dd"),""))=0,"","Labor end: "&amp;IF(ISNUMBER(INDEX('My equipment'!$L$4:$L$503,(_calc!$E$145-500))),TEXT(INDEX('My equipment'!$L$4:$L$503,(_calc!$E$145-500)),"yyyy-mm-dd"),"")&amp;". ")&amp;IF(LEN(IF(ISNUMBER(INDEX('My equipment'!$P$4:$P$503,(_calc!$E$145-500))),TEXT(INDEX('My equipment'!$P$4:$P$503,(_calc!$E$145-500)),"yyyy-mm-dd"),""))=0,"","Check by: "&amp;IF(ISNUMBER(INDEX('My equipment'!$P$4:$P$503,(_calc!$E$145-500))),TEXT(INDEX('My equipment'!$P$4:$P$503,(_calc!$E$145-500)),"yyyy-mm-dd"),"")&amp;". ")&amp;IF(LEN(IF(LEN(INDEX('My equipment'!$Q$4:$Q$503,(_calc!$E$145-500)))=0,"",INDEX('My equipment'!$Q$4:$Q$503,(_calc!$E$145-500))))=0,"","Claim status: "&amp;IF(LEN(INDEX('My equipment'!$Q$4:$Q$503,(_calc!$E$145-500)))=0,"",INDEX('My equipment'!$Q$4:$Q$503,(_calc!$E$145-500)))&amp;". ")&amp;IF(LEN(IF(LEN(INDEX('My equipment'!$R$4:$R$503,(_calc!$E$145-500)))=0,"",INDEX('My equipment'!$R$4:$R$503,(_calc!$E$145-500))))=0,"","Claims contact: "&amp;IF(LEN(INDEX('My equipment'!$R$4:$R$503,(_calc!$E$145-500)))=0,"",INDEX('My equipment'!$R$4:$R$503,(_calc!$E$145-500)))&amp;". ")&amp;IF(LEN(IF(LEN(INDEX('My equipment'!$S$4:$S$503,(_calc!$E$145-500)))=0,"",INDEX('My equipment'!$S$4:$S$503,(_calc!$E$145-500))))=0,"","Claims email: "&amp;IF(LEN(INDEX('My equipment'!$S$4:$S$503,(_calc!$E$145-500)))=0,"",INDEX('My equipment'!$S$4:$S$503,(_calc!$E$145-500)))&amp;". ")&amp;IF(LEN(IF(LEN(INDEX('My equipment'!$U$4:$U$503,(_calc!$E$145-500)))=0,"",INDEX('My equipment'!$U$4:$U$503,(_calc!$E$145-500))))=0,"","Registered: "&amp;IF(LEN(INDEX('My equipment'!$U$4:$U$503,(_calc!$E$145-500)))=0,"",INDEX('My equipment'!$U$4:$U$503,(_calc!$E$145-500)))&amp;". ")&amp;IF(LEN(IF(LEN(INDEX('My equipment'!$V$4:$V$503,(_calc!$E$145-500)))=0,"",INDEX('My equipment'!$V$4:$V$503,(_calc!$E$145-500))))=0,"","Proof on file: "&amp;IF(LEN(INDEX('My equipment'!$V$4:$V$503,(_calc!$E$145-500)))=0,"",INDEX('My equipment'!$V$4:$V$503,(_calc!$E$145-500)))&amp;". ")&amp;IF(LEN(IF(LEN(INDEX('My equipment'!$W$4:$W$503,(_calc!$E$145-500)))=0,"",INDEX('My equipment'!$W$4:$W$503,(_calc!$E$145-500))))=0,"","Claim ref: "&amp;IF(LEN(INDEX('My equipment'!$W$4:$W$503,(_calc!$E$145-500)))=0,"",INDEX('My equipment'!$W$4:$W$503,(_calc!$E$145-500)))&amp;". ")&amp;IF(LEN(IF(LEN(INDEX('My equipment'!$Y$4:$Y$503,(_calc!$E$145-500)))=0,"",INDEX('My equipment'!$Y$4:$Y$503,(_calc!$E$145-500))))=0,"",IF(LEN(INDEX('My equipment'!$Y$4:$Y$503,(_calc!$E$145-500)))=0,"",INDEX('My equipment'!$Y$4:$Y$503,(_calc!$E$145-500)))))))</f>
        <v/>
      </c>
      <c r="G143" s="54">
        <f>IF(_calc!$E$145="","",IF(_calc!$E$145&lt;=500,"",IF(LEN(INDEX('My equipment'!$X$4:$X$503,(_calc!$E$145-500)))=0,"",INDEX('My equipment'!$X$4:$X$503,(_calc!$E$145-500)))))</f>
        <v/>
      </c>
      <c r="K143" s="54">
        <f>IF(_calc!$E$145="","",IF(_calc!$E$145&lt;=500,"",IF(LEN(INDEX('My equipment'!$T$4:$T$503,(_calc!$E$145-500)))=0,"",INDEX('My equipment'!$T$4:$T$503,(_calc!$E$145-500)))))</f>
        <v/>
      </c>
    </row>
    <row r="144">
      <c r="A144" s="54">
        <f>IF(_calc!$E$146="","",IF(_calc!$E$146&lt;=500,"Warranty – "&amp;IF(LEN(INDEX('Dealer pipeline'!$C$4:$C$503,_calc!$E$146))=0,"",INDEX('Dealer pipeline'!$C$4:$C$503,_calc!$E$146))&amp;" – "&amp;IF(LEN(INDEX('Dealer pipeline'!$D$4:$D$503,_calc!$E$146))=0,"",INDEX('Dealer pipeline'!$D$4:$D$503,_calc!$E$146))&amp;" – "&amp;IF(LEN(INDEX('Dealer pipeline'!$A$4:$A$503,_calc!$E$146))=0,"",INDEX('Dealer pipeline'!$A$4:$A$503,_calc!$E$146)),"Warranty – "&amp;IF(LEN(INDEX('My equipment'!$A$4:$A$503,(_calc!$E$146-500)))=0,"",INDEX('My equipment'!$A$4:$A$503,(_calc!$E$146-500)))&amp;" – "&amp;IF(LEN(INDEX('My equipment'!$D$4:$D$503,(_calc!$E$146-500)))=0,"",INDEX('My equipment'!$D$4:$D$503,(_calc!$E$146-500)))))</f>
        <v/>
      </c>
      <c r="B144" s="54">
        <f>IF(_calc!$E$146="","",IF(_calc!$E$146&lt;=500,IF(ISNUMBER(INDEX('Dealer pipeline'!$M$4:$M$503,_calc!$E$146)),TEXT(INDEX('Dealer pipeline'!$M$4:$M$503,_calc!$E$146),"yyyy-mm-dd"),""),IF(ISNUMBER(INDEX('My equipment'!$M$4:$M$503,(_calc!$E$146-500))),TEXT(INDEX('My equipment'!$M$4:$M$503,(_calc!$E$146-500)),"yyyy-mm-dd"),"")))</f>
        <v/>
      </c>
      <c r="C144" s="54">
        <f>IF(_calc!$E$146="","",IF(_calc!$E$146&lt;=500,"Warranty","Warranty"))</f>
        <v/>
      </c>
      <c r="D144" s="54">
        <f>IF(_calc!$E$146="","",IF(_calc!$E$146&lt;=500,IF(ISNUMBER(INDEX('Dealer pipeline'!$H$4:$H$503,_calc!$E$146)),TEXT(INDEX('Dealer pipeline'!$H$4:$H$503,_calc!$E$146),"yyyy-mm-dd"),""),IF(ISNUMBER(INDEX('My equipment'!$H$4:$H$503,(_calc!$E$146-500))),TEXT(INDEX('My equipment'!$H$4:$H$503,(_calc!$E$146-500)),"yyyy-mm-dd"),"")))</f>
        <v/>
      </c>
      <c r="F144" s="54">
        <f>IF(_calc!$E$146="","",IF(_calc!$E$146&lt;=500,TRIM(IF(LEN(IF(LEN(INDEX('Dealer pipeline'!$A$4:$A$503,_calc!$E$146))=0,"",INDEX('Dealer pipeline'!$A$4:$A$503,_calc!$E$146)))=0,"","Customer: "&amp;IF(LEN(INDEX('Dealer pipeline'!$A$4:$A$503,_calc!$E$146))=0,"",INDEX('Dealer pipeline'!$A$4:$A$503,_calc!$E$146))&amp;". ")&amp;IF(LEN(IF(LEN(INDEX('Dealer pipeline'!$B$4:$B$503,_calc!$E$146))=0,"",INDEX('Dealer pipeline'!$B$4:$B$503,_calc!$E$146)))=0,"","Contact: "&amp;IF(LEN(INDEX('Dealer pipeline'!$B$4:$B$503,_calc!$E$146))=0,"",INDEX('Dealer pipeline'!$B$4:$B$503,_calc!$E$146))&amp;". ")&amp;IF(LEN(IF(LEN(INDEX('Dealer pipeline'!$D$4:$D$503,_calc!$E$146))=0,"",INDEX('Dealer pipeline'!$D$4:$D$503,_calc!$E$146)))=0,"","Serial: "&amp;IF(LEN(INDEX('Dealer pipeline'!$D$4:$D$503,_calc!$E$146))=0,"",INDEX('Dealer pipeline'!$D$4:$D$503,_calc!$E$146))&amp;". ")&amp;IF(LEN(IF(ISNUMBER(INDEX('Dealer pipeline'!$J$4:$J$503,_calc!$E$146)),TEXT(INDEX('Dealer pipeline'!$J$4:$J$503,_calc!$E$146),"yyyy-mm-dd"),""))=0,"","Parts end: "&amp;IF(ISNUMBER(INDEX('Dealer pipeline'!$J$4:$J$503,_calc!$E$146)),TEXT(INDEX('Dealer pipeline'!$J$4:$J$503,_calc!$E$146),"yyyy-mm-dd"),"")&amp;". ")&amp;IF(LEN(IF(ISNUMBER(INDEX('Dealer pipeline'!$L$4:$L$503,_calc!$E$146)),TEXT(INDEX('Dealer pipeline'!$L$4:$L$503,_calc!$E$146),"yyyy-mm-dd"),""))=0,"","Labor end: "&amp;IF(ISNUMBER(INDEX('Dealer pipeline'!$L$4:$L$503,_calc!$E$146)),TEXT(INDEX('Dealer pipeline'!$L$4:$L$503,_calc!$E$146),"yyyy-mm-dd"),"")&amp;". ")&amp;IF(LEN(IF(LEN(INDEX('Dealer pipeline'!$Q$4:$Q$503,_calc!$E$146))=0,"",INDEX('Dealer pipeline'!$Q$4:$Q$503,_calc!$E$146)))=0,"","Status: "&amp;IF(LEN(INDEX('Dealer pipeline'!$Q$4:$Q$503,_calc!$E$146))=0,"",INDEX('Dealer pipeline'!$Q$4:$Q$503,_calc!$E$146))&amp;". ")&amp;IF(LEN(IF(LEN(INDEX('Dealer pipeline'!$P$4:$P$503,_calc!$E$146))=0,"",INDEX('Dealer pipeline'!$P$4:$P$503,_calc!$E$146)))=0,"","Last touch: "&amp;IF(LEN(INDEX('Dealer pipeline'!$P$4:$P$503,_calc!$E$146))=0,"",INDEX('Dealer pipeline'!$P$4:$P$503,_calc!$E$146))&amp;". ")&amp;IF(LEN(IF(LEN(INDEX('Dealer pipeline'!$R$4:$R$503,_calc!$E$146))=0,"",INDEX('Dealer pipeline'!$R$4:$R$503,_calc!$E$146)))=0,"","Owner: "&amp;IF(LEN(INDEX('Dealer pipeline'!$R$4:$R$503,_calc!$E$146))=0,"",INDEX('Dealer pipeline'!$R$4:$R$503,_calc!$E$146))&amp;". ")&amp;IF(LEN(IF(LEN(INDEX('Dealer pipeline'!$S$4:$S$503,_calc!$E$146))=0,"",INDEX('Dealer pipeline'!$S$4:$S$503,_calc!$E$146)))=0,"","Backup: "&amp;IF(LEN(INDEX('Dealer pipeline'!$S$4:$S$503,_calc!$E$146))=0,"",INDEX('Dealer pipeline'!$S$4:$S$503,_calc!$E$146))&amp;". ")&amp;IF(LEN(IF(LEN(INDEX('Dealer pipeline'!$T$4:$T$503,_calc!$E$146))=0,"",INDEX('Dealer pipeline'!$T$4:$T$503,_calc!$E$146)))=0,"",IF(LEN(INDEX('Dealer pipeline'!$T$4:$T$503,_calc!$E$146))=0,"",INDEX('Dealer pipeline'!$T$4:$T$503,_calc!$E$146)))),TRIM(IF(LEN(IF(LEN(INDEX('My equipment'!$C$4:$C$503,(_calc!$E$146-500)))=0,"",INDEX('My equipment'!$C$4:$C$503,(_calc!$E$146-500))))=0,"","Model: "&amp;IF(LEN(INDEX('My equipment'!$C$4:$C$503,(_calc!$E$146-500)))=0,"",INDEX('My equipment'!$C$4:$C$503,(_calc!$E$146-500)))&amp;". ")&amp;IF(LEN(IF(LEN(INDEX('My equipment'!$D$4:$D$503,(_calc!$E$146-500)))=0,"",INDEX('My equipment'!$D$4:$D$503,(_calc!$E$146-500))))=0,"","Serial: "&amp;IF(LEN(INDEX('My equipment'!$D$4:$D$503,(_calc!$E$146-500)))=0,"",INDEX('My equipment'!$D$4:$D$503,(_calc!$E$146-500)))&amp;". ")&amp;IF(LEN(IF(ISNUMBER(INDEX('My equipment'!$J$4:$J$503,(_calc!$E$146-500))),TEXT(INDEX('My equipment'!$J$4:$J$503,(_calc!$E$146-500)),"yyyy-mm-dd"),""))=0,"","Parts end: "&amp;IF(ISNUMBER(INDEX('My equipment'!$J$4:$J$503,(_calc!$E$146-500))),TEXT(INDEX('My equipment'!$J$4:$J$503,(_calc!$E$146-500)),"yyyy-mm-dd"),"")&amp;". ")&amp;IF(LEN(IF(ISNUMBER(INDEX('My equipment'!$L$4:$L$503,(_calc!$E$146-500))),TEXT(INDEX('My equipment'!$L$4:$L$503,(_calc!$E$146-500)),"yyyy-mm-dd"),""))=0,"","Labor end: "&amp;IF(ISNUMBER(INDEX('My equipment'!$L$4:$L$503,(_calc!$E$146-500))),TEXT(INDEX('My equipment'!$L$4:$L$503,(_calc!$E$146-500)),"yyyy-mm-dd"),"")&amp;". ")&amp;IF(LEN(IF(ISNUMBER(INDEX('My equipment'!$P$4:$P$503,(_calc!$E$146-500))),TEXT(INDEX('My equipment'!$P$4:$P$503,(_calc!$E$146-500)),"yyyy-mm-dd"),""))=0,"","Check by: "&amp;IF(ISNUMBER(INDEX('My equipment'!$P$4:$P$503,(_calc!$E$146-500))),TEXT(INDEX('My equipment'!$P$4:$P$503,(_calc!$E$146-500)),"yyyy-mm-dd"),"")&amp;". ")&amp;IF(LEN(IF(LEN(INDEX('My equipment'!$Q$4:$Q$503,(_calc!$E$146-500)))=0,"",INDEX('My equipment'!$Q$4:$Q$503,(_calc!$E$146-500))))=0,"","Claim status: "&amp;IF(LEN(INDEX('My equipment'!$Q$4:$Q$503,(_calc!$E$146-500)))=0,"",INDEX('My equipment'!$Q$4:$Q$503,(_calc!$E$146-500)))&amp;". ")&amp;IF(LEN(IF(LEN(INDEX('My equipment'!$R$4:$R$503,(_calc!$E$146-500)))=0,"",INDEX('My equipment'!$R$4:$R$503,(_calc!$E$146-500))))=0,"","Claims contact: "&amp;IF(LEN(INDEX('My equipment'!$R$4:$R$503,(_calc!$E$146-500)))=0,"",INDEX('My equipment'!$R$4:$R$503,(_calc!$E$146-500)))&amp;". ")&amp;IF(LEN(IF(LEN(INDEX('My equipment'!$S$4:$S$503,(_calc!$E$146-500)))=0,"",INDEX('My equipment'!$S$4:$S$503,(_calc!$E$146-500))))=0,"","Claims email: "&amp;IF(LEN(INDEX('My equipment'!$S$4:$S$503,(_calc!$E$146-500)))=0,"",INDEX('My equipment'!$S$4:$S$503,(_calc!$E$146-500)))&amp;". ")&amp;IF(LEN(IF(LEN(INDEX('My equipment'!$U$4:$U$503,(_calc!$E$146-500)))=0,"",INDEX('My equipment'!$U$4:$U$503,(_calc!$E$146-500))))=0,"","Registered: "&amp;IF(LEN(INDEX('My equipment'!$U$4:$U$503,(_calc!$E$146-500)))=0,"",INDEX('My equipment'!$U$4:$U$503,(_calc!$E$146-500)))&amp;". ")&amp;IF(LEN(IF(LEN(INDEX('My equipment'!$V$4:$V$503,(_calc!$E$146-500)))=0,"",INDEX('My equipment'!$V$4:$V$503,(_calc!$E$146-500))))=0,"","Proof on file: "&amp;IF(LEN(INDEX('My equipment'!$V$4:$V$503,(_calc!$E$146-500)))=0,"",INDEX('My equipment'!$V$4:$V$503,(_calc!$E$146-500)))&amp;". ")&amp;IF(LEN(IF(LEN(INDEX('My equipment'!$W$4:$W$503,(_calc!$E$146-500)))=0,"",INDEX('My equipment'!$W$4:$W$503,(_calc!$E$146-500))))=0,"","Claim ref: "&amp;IF(LEN(INDEX('My equipment'!$W$4:$W$503,(_calc!$E$146-500)))=0,"",INDEX('My equipment'!$W$4:$W$503,(_calc!$E$146-500)))&amp;". ")&amp;IF(LEN(IF(LEN(INDEX('My equipment'!$Y$4:$Y$503,(_calc!$E$146-500)))=0,"",INDEX('My equipment'!$Y$4:$Y$503,(_calc!$E$146-500))))=0,"",IF(LEN(INDEX('My equipment'!$Y$4:$Y$503,(_calc!$E$146-500)))=0,"",INDEX('My equipment'!$Y$4:$Y$503,(_calc!$E$146-500)))))))</f>
        <v/>
      </c>
      <c r="G144" s="54">
        <f>IF(_calc!$E$146="","",IF(_calc!$E$146&lt;=500,"",IF(LEN(INDEX('My equipment'!$X$4:$X$503,(_calc!$E$146-500)))=0,"",INDEX('My equipment'!$X$4:$X$503,(_calc!$E$146-500)))))</f>
        <v/>
      </c>
      <c r="K144" s="54">
        <f>IF(_calc!$E$146="","",IF(_calc!$E$146&lt;=500,"",IF(LEN(INDEX('My equipment'!$T$4:$T$503,(_calc!$E$146-500)))=0,"",INDEX('My equipment'!$T$4:$T$503,(_calc!$E$146-500)))))</f>
        <v/>
      </c>
    </row>
    <row r="145">
      <c r="A145" s="54">
        <f>IF(_calc!$E$147="","",IF(_calc!$E$147&lt;=500,"Warranty – "&amp;IF(LEN(INDEX('Dealer pipeline'!$C$4:$C$503,_calc!$E$147))=0,"",INDEX('Dealer pipeline'!$C$4:$C$503,_calc!$E$147))&amp;" – "&amp;IF(LEN(INDEX('Dealer pipeline'!$D$4:$D$503,_calc!$E$147))=0,"",INDEX('Dealer pipeline'!$D$4:$D$503,_calc!$E$147))&amp;" – "&amp;IF(LEN(INDEX('Dealer pipeline'!$A$4:$A$503,_calc!$E$147))=0,"",INDEX('Dealer pipeline'!$A$4:$A$503,_calc!$E$147)),"Warranty – "&amp;IF(LEN(INDEX('My equipment'!$A$4:$A$503,(_calc!$E$147-500)))=0,"",INDEX('My equipment'!$A$4:$A$503,(_calc!$E$147-500)))&amp;" – "&amp;IF(LEN(INDEX('My equipment'!$D$4:$D$503,(_calc!$E$147-500)))=0,"",INDEX('My equipment'!$D$4:$D$503,(_calc!$E$147-500)))))</f>
        <v/>
      </c>
      <c r="B145" s="54">
        <f>IF(_calc!$E$147="","",IF(_calc!$E$147&lt;=500,IF(ISNUMBER(INDEX('Dealer pipeline'!$M$4:$M$503,_calc!$E$147)),TEXT(INDEX('Dealer pipeline'!$M$4:$M$503,_calc!$E$147),"yyyy-mm-dd"),""),IF(ISNUMBER(INDEX('My equipment'!$M$4:$M$503,(_calc!$E$147-500))),TEXT(INDEX('My equipment'!$M$4:$M$503,(_calc!$E$147-500)),"yyyy-mm-dd"),"")))</f>
        <v/>
      </c>
      <c r="C145" s="54">
        <f>IF(_calc!$E$147="","",IF(_calc!$E$147&lt;=500,"Warranty","Warranty"))</f>
        <v/>
      </c>
      <c r="D145" s="54">
        <f>IF(_calc!$E$147="","",IF(_calc!$E$147&lt;=500,IF(ISNUMBER(INDEX('Dealer pipeline'!$H$4:$H$503,_calc!$E$147)),TEXT(INDEX('Dealer pipeline'!$H$4:$H$503,_calc!$E$147),"yyyy-mm-dd"),""),IF(ISNUMBER(INDEX('My equipment'!$H$4:$H$503,(_calc!$E$147-500))),TEXT(INDEX('My equipment'!$H$4:$H$503,(_calc!$E$147-500)),"yyyy-mm-dd"),"")))</f>
        <v/>
      </c>
      <c r="F145" s="54">
        <f>IF(_calc!$E$147="","",IF(_calc!$E$147&lt;=500,TRIM(IF(LEN(IF(LEN(INDEX('Dealer pipeline'!$A$4:$A$503,_calc!$E$147))=0,"",INDEX('Dealer pipeline'!$A$4:$A$503,_calc!$E$147)))=0,"","Customer: "&amp;IF(LEN(INDEX('Dealer pipeline'!$A$4:$A$503,_calc!$E$147))=0,"",INDEX('Dealer pipeline'!$A$4:$A$503,_calc!$E$147))&amp;". ")&amp;IF(LEN(IF(LEN(INDEX('Dealer pipeline'!$B$4:$B$503,_calc!$E$147))=0,"",INDEX('Dealer pipeline'!$B$4:$B$503,_calc!$E$147)))=0,"","Contact: "&amp;IF(LEN(INDEX('Dealer pipeline'!$B$4:$B$503,_calc!$E$147))=0,"",INDEX('Dealer pipeline'!$B$4:$B$503,_calc!$E$147))&amp;". ")&amp;IF(LEN(IF(LEN(INDEX('Dealer pipeline'!$D$4:$D$503,_calc!$E$147))=0,"",INDEX('Dealer pipeline'!$D$4:$D$503,_calc!$E$147)))=0,"","Serial: "&amp;IF(LEN(INDEX('Dealer pipeline'!$D$4:$D$503,_calc!$E$147))=0,"",INDEX('Dealer pipeline'!$D$4:$D$503,_calc!$E$147))&amp;". ")&amp;IF(LEN(IF(ISNUMBER(INDEX('Dealer pipeline'!$J$4:$J$503,_calc!$E$147)),TEXT(INDEX('Dealer pipeline'!$J$4:$J$503,_calc!$E$147),"yyyy-mm-dd"),""))=0,"","Parts end: "&amp;IF(ISNUMBER(INDEX('Dealer pipeline'!$J$4:$J$503,_calc!$E$147)),TEXT(INDEX('Dealer pipeline'!$J$4:$J$503,_calc!$E$147),"yyyy-mm-dd"),"")&amp;". ")&amp;IF(LEN(IF(ISNUMBER(INDEX('Dealer pipeline'!$L$4:$L$503,_calc!$E$147)),TEXT(INDEX('Dealer pipeline'!$L$4:$L$503,_calc!$E$147),"yyyy-mm-dd"),""))=0,"","Labor end: "&amp;IF(ISNUMBER(INDEX('Dealer pipeline'!$L$4:$L$503,_calc!$E$147)),TEXT(INDEX('Dealer pipeline'!$L$4:$L$503,_calc!$E$147),"yyyy-mm-dd"),"")&amp;". ")&amp;IF(LEN(IF(LEN(INDEX('Dealer pipeline'!$Q$4:$Q$503,_calc!$E$147))=0,"",INDEX('Dealer pipeline'!$Q$4:$Q$503,_calc!$E$147)))=0,"","Status: "&amp;IF(LEN(INDEX('Dealer pipeline'!$Q$4:$Q$503,_calc!$E$147))=0,"",INDEX('Dealer pipeline'!$Q$4:$Q$503,_calc!$E$147))&amp;". ")&amp;IF(LEN(IF(LEN(INDEX('Dealer pipeline'!$P$4:$P$503,_calc!$E$147))=0,"",INDEX('Dealer pipeline'!$P$4:$P$503,_calc!$E$147)))=0,"","Last touch: "&amp;IF(LEN(INDEX('Dealer pipeline'!$P$4:$P$503,_calc!$E$147))=0,"",INDEX('Dealer pipeline'!$P$4:$P$503,_calc!$E$147))&amp;". ")&amp;IF(LEN(IF(LEN(INDEX('Dealer pipeline'!$R$4:$R$503,_calc!$E$147))=0,"",INDEX('Dealer pipeline'!$R$4:$R$503,_calc!$E$147)))=0,"","Owner: "&amp;IF(LEN(INDEX('Dealer pipeline'!$R$4:$R$503,_calc!$E$147))=0,"",INDEX('Dealer pipeline'!$R$4:$R$503,_calc!$E$147))&amp;". ")&amp;IF(LEN(IF(LEN(INDEX('Dealer pipeline'!$S$4:$S$503,_calc!$E$147))=0,"",INDEX('Dealer pipeline'!$S$4:$S$503,_calc!$E$147)))=0,"","Backup: "&amp;IF(LEN(INDEX('Dealer pipeline'!$S$4:$S$503,_calc!$E$147))=0,"",INDEX('Dealer pipeline'!$S$4:$S$503,_calc!$E$147))&amp;". ")&amp;IF(LEN(IF(LEN(INDEX('Dealer pipeline'!$T$4:$T$503,_calc!$E$147))=0,"",INDEX('Dealer pipeline'!$T$4:$T$503,_calc!$E$147)))=0,"",IF(LEN(INDEX('Dealer pipeline'!$T$4:$T$503,_calc!$E$147))=0,"",INDEX('Dealer pipeline'!$T$4:$T$503,_calc!$E$147)))),TRIM(IF(LEN(IF(LEN(INDEX('My equipment'!$C$4:$C$503,(_calc!$E$147-500)))=0,"",INDEX('My equipment'!$C$4:$C$503,(_calc!$E$147-500))))=0,"","Model: "&amp;IF(LEN(INDEX('My equipment'!$C$4:$C$503,(_calc!$E$147-500)))=0,"",INDEX('My equipment'!$C$4:$C$503,(_calc!$E$147-500)))&amp;". ")&amp;IF(LEN(IF(LEN(INDEX('My equipment'!$D$4:$D$503,(_calc!$E$147-500)))=0,"",INDEX('My equipment'!$D$4:$D$503,(_calc!$E$147-500))))=0,"","Serial: "&amp;IF(LEN(INDEX('My equipment'!$D$4:$D$503,(_calc!$E$147-500)))=0,"",INDEX('My equipment'!$D$4:$D$503,(_calc!$E$147-500)))&amp;". ")&amp;IF(LEN(IF(ISNUMBER(INDEX('My equipment'!$J$4:$J$503,(_calc!$E$147-500))),TEXT(INDEX('My equipment'!$J$4:$J$503,(_calc!$E$147-500)),"yyyy-mm-dd"),""))=0,"","Parts end: "&amp;IF(ISNUMBER(INDEX('My equipment'!$J$4:$J$503,(_calc!$E$147-500))),TEXT(INDEX('My equipment'!$J$4:$J$503,(_calc!$E$147-500)),"yyyy-mm-dd"),"")&amp;". ")&amp;IF(LEN(IF(ISNUMBER(INDEX('My equipment'!$L$4:$L$503,(_calc!$E$147-500))),TEXT(INDEX('My equipment'!$L$4:$L$503,(_calc!$E$147-500)),"yyyy-mm-dd"),""))=0,"","Labor end: "&amp;IF(ISNUMBER(INDEX('My equipment'!$L$4:$L$503,(_calc!$E$147-500))),TEXT(INDEX('My equipment'!$L$4:$L$503,(_calc!$E$147-500)),"yyyy-mm-dd"),"")&amp;". ")&amp;IF(LEN(IF(ISNUMBER(INDEX('My equipment'!$P$4:$P$503,(_calc!$E$147-500))),TEXT(INDEX('My equipment'!$P$4:$P$503,(_calc!$E$147-500)),"yyyy-mm-dd"),""))=0,"","Check by: "&amp;IF(ISNUMBER(INDEX('My equipment'!$P$4:$P$503,(_calc!$E$147-500))),TEXT(INDEX('My equipment'!$P$4:$P$503,(_calc!$E$147-500)),"yyyy-mm-dd"),"")&amp;". ")&amp;IF(LEN(IF(LEN(INDEX('My equipment'!$Q$4:$Q$503,(_calc!$E$147-500)))=0,"",INDEX('My equipment'!$Q$4:$Q$503,(_calc!$E$147-500))))=0,"","Claim status: "&amp;IF(LEN(INDEX('My equipment'!$Q$4:$Q$503,(_calc!$E$147-500)))=0,"",INDEX('My equipment'!$Q$4:$Q$503,(_calc!$E$147-500)))&amp;". ")&amp;IF(LEN(IF(LEN(INDEX('My equipment'!$R$4:$R$503,(_calc!$E$147-500)))=0,"",INDEX('My equipment'!$R$4:$R$503,(_calc!$E$147-500))))=0,"","Claims contact: "&amp;IF(LEN(INDEX('My equipment'!$R$4:$R$503,(_calc!$E$147-500)))=0,"",INDEX('My equipment'!$R$4:$R$503,(_calc!$E$147-500)))&amp;". ")&amp;IF(LEN(IF(LEN(INDEX('My equipment'!$S$4:$S$503,(_calc!$E$147-500)))=0,"",INDEX('My equipment'!$S$4:$S$503,(_calc!$E$147-500))))=0,"","Claims email: "&amp;IF(LEN(INDEX('My equipment'!$S$4:$S$503,(_calc!$E$147-500)))=0,"",INDEX('My equipment'!$S$4:$S$503,(_calc!$E$147-500)))&amp;". ")&amp;IF(LEN(IF(LEN(INDEX('My equipment'!$U$4:$U$503,(_calc!$E$147-500)))=0,"",INDEX('My equipment'!$U$4:$U$503,(_calc!$E$147-500))))=0,"","Registered: "&amp;IF(LEN(INDEX('My equipment'!$U$4:$U$503,(_calc!$E$147-500)))=0,"",INDEX('My equipment'!$U$4:$U$503,(_calc!$E$147-500)))&amp;". ")&amp;IF(LEN(IF(LEN(INDEX('My equipment'!$V$4:$V$503,(_calc!$E$147-500)))=0,"",INDEX('My equipment'!$V$4:$V$503,(_calc!$E$147-500))))=0,"","Proof on file: "&amp;IF(LEN(INDEX('My equipment'!$V$4:$V$503,(_calc!$E$147-500)))=0,"",INDEX('My equipment'!$V$4:$V$503,(_calc!$E$147-500)))&amp;". ")&amp;IF(LEN(IF(LEN(INDEX('My equipment'!$W$4:$W$503,(_calc!$E$147-500)))=0,"",INDEX('My equipment'!$W$4:$W$503,(_calc!$E$147-500))))=0,"","Claim ref: "&amp;IF(LEN(INDEX('My equipment'!$W$4:$W$503,(_calc!$E$147-500)))=0,"",INDEX('My equipment'!$W$4:$W$503,(_calc!$E$147-500)))&amp;". ")&amp;IF(LEN(IF(LEN(INDEX('My equipment'!$Y$4:$Y$503,(_calc!$E$147-500)))=0,"",INDEX('My equipment'!$Y$4:$Y$503,(_calc!$E$147-500))))=0,"",IF(LEN(INDEX('My equipment'!$Y$4:$Y$503,(_calc!$E$147-500)))=0,"",INDEX('My equipment'!$Y$4:$Y$503,(_calc!$E$147-500)))))))</f>
        <v/>
      </c>
      <c r="G145" s="54">
        <f>IF(_calc!$E$147="","",IF(_calc!$E$147&lt;=500,"",IF(LEN(INDEX('My equipment'!$X$4:$X$503,(_calc!$E$147-500)))=0,"",INDEX('My equipment'!$X$4:$X$503,(_calc!$E$147-500)))))</f>
        <v/>
      </c>
      <c r="K145" s="54">
        <f>IF(_calc!$E$147="","",IF(_calc!$E$147&lt;=500,"",IF(LEN(INDEX('My equipment'!$T$4:$T$503,(_calc!$E$147-500)))=0,"",INDEX('My equipment'!$T$4:$T$503,(_calc!$E$147-500)))))</f>
        <v/>
      </c>
    </row>
    <row r="146">
      <c r="A146" s="54">
        <f>IF(_calc!$E$148="","",IF(_calc!$E$148&lt;=500,"Warranty – "&amp;IF(LEN(INDEX('Dealer pipeline'!$C$4:$C$503,_calc!$E$148))=0,"",INDEX('Dealer pipeline'!$C$4:$C$503,_calc!$E$148))&amp;" – "&amp;IF(LEN(INDEX('Dealer pipeline'!$D$4:$D$503,_calc!$E$148))=0,"",INDEX('Dealer pipeline'!$D$4:$D$503,_calc!$E$148))&amp;" – "&amp;IF(LEN(INDEX('Dealer pipeline'!$A$4:$A$503,_calc!$E$148))=0,"",INDEX('Dealer pipeline'!$A$4:$A$503,_calc!$E$148)),"Warranty – "&amp;IF(LEN(INDEX('My equipment'!$A$4:$A$503,(_calc!$E$148-500)))=0,"",INDEX('My equipment'!$A$4:$A$503,(_calc!$E$148-500)))&amp;" – "&amp;IF(LEN(INDEX('My equipment'!$D$4:$D$503,(_calc!$E$148-500)))=0,"",INDEX('My equipment'!$D$4:$D$503,(_calc!$E$148-500)))))</f>
        <v/>
      </c>
      <c r="B146" s="54">
        <f>IF(_calc!$E$148="","",IF(_calc!$E$148&lt;=500,IF(ISNUMBER(INDEX('Dealer pipeline'!$M$4:$M$503,_calc!$E$148)),TEXT(INDEX('Dealer pipeline'!$M$4:$M$503,_calc!$E$148),"yyyy-mm-dd"),""),IF(ISNUMBER(INDEX('My equipment'!$M$4:$M$503,(_calc!$E$148-500))),TEXT(INDEX('My equipment'!$M$4:$M$503,(_calc!$E$148-500)),"yyyy-mm-dd"),"")))</f>
        <v/>
      </c>
      <c r="C146" s="54">
        <f>IF(_calc!$E$148="","",IF(_calc!$E$148&lt;=500,"Warranty","Warranty"))</f>
        <v/>
      </c>
      <c r="D146" s="54">
        <f>IF(_calc!$E$148="","",IF(_calc!$E$148&lt;=500,IF(ISNUMBER(INDEX('Dealer pipeline'!$H$4:$H$503,_calc!$E$148)),TEXT(INDEX('Dealer pipeline'!$H$4:$H$503,_calc!$E$148),"yyyy-mm-dd"),""),IF(ISNUMBER(INDEX('My equipment'!$H$4:$H$503,(_calc!$E$148-500))),TEXT(INDEX('My equipment'!$H$4:$H$503,(_calc!$E$148-500)),"yyyy-mm-dd"),"")))</f>
        <v/>
      </c>
      <c r="F146" s="54">
        <f>IF(_calc!$E$148="","",IF(_calc!$E$148&lt;=500,TRIM(IF(LEN(IF(LEN(INDEX('Dealer pipeline'!$A$4:$A$503,_calc!$E$148))=0,"",INDEX('Dealer pipeline'!$A$4:$A$503,_calc!$E$148)))=0,"","Customer: "&amp;IF(LEN(INDEX('Dealer pipeline'!$A$4:$A$503,_calc!$E$148))=0,"",INDEX('Dealer pipeline'!$A$4:$A$503,_calc!$E$148))&amp;". ")&amp;IF(LEN(IF(LEN(INDEX('Dealer pipeline'!$B$4:$B$503,_calc!$E$148))=0,"",INDEX('Dealer pipeline'!$B$4:$B$503,_calc!$E$148)))=0,"","Contact: "&amp;IF(LEN(INDEX('Dealer pipeline'!$B$4:$B$503,_calc!$E$148))=0,"",INDEX('Dealer pipeline'!$B$4:$B$503,_calc!$E$148))&amp;". ")&amp;IF(LEN(IF(LEN(INDEX('Dealer pipeline'!$D$4:$D$503,_calc!$E$148))=0,"",INDEX('Dealer pipeline'!$D$4:$D$503,_calc!$E$148)))=0,"","Serial: "&amp;IF(LEN(INDEX('Dealer pipeline'!$D$4:$D$503,_calc!$E$148))=0,"",INDEX('Dealer pipeline'!$D$4:$D$503,_calc!$E$148))&amp;". ")&amp;IF(LEN(IF(ISNUMBER(INDEX('Dealer pipeline'!$J$4:$J$503,_calc!$E$148)),TEXT(INDEX('Dealer pipeline'!$J$4:$J$503,_calc!$E$148),"yyyy-mm-dd"),""))=0,"","Parts end: "&amp;IF(ISNUMBER(INDEX('Dealer pipeline'!$J$4:$J$503,_calc!$E$148)),TEXT(INDEX('Dealer pipeline'!$J$4:$J$503,_calc!$E$148),"yyyy-mm-dd"),"")&amp;". ")&amp;IF(LEN(IF(ISNUMBER(INDEX('Dealer pipeline'!$L$4:$L$503,_calc!$E$148)),TEXT(INDEX('Dealer pipeline'!$L$4:$L$503,_calc!$E$148),"yyyy-mm-dd"),""))=0,"","Labor end: "&amp;IF(ISNUMBER(INDEX('Dealer pipeline'!$L$4:$L$503,_calc!$E$148)),TEXT(INDEX('Dealer pipeline'!$L$4:$L$503,_calc!$E$148),"yyyy-mm-dd"),"")&amp;". ")&amp;IF(LEN(IF(LEN(INDEX('Dealer pipeline'!$Q$4:$Q$503,_calc!$E$148))=0,"",INDEX('Dealer pipeline'!$Q$4:$Q$503,_calc!$E$148)))=0,"","Status: "&amp;IF(LEN(INDEX('Dealer pipeline'!$Q$4:$Q$503,_calc!$E$148))=0,"",INDEX('Dealer pipeline'!$Q$4:$Q$503,_calc!$E$148))&amp;". ")&amp;IF(LEN(IF(LEN(INDEX('Dealer pipeline'!$P$4:$P$503,_calc!$E$148))=0,"",INDEX('Dealer pipeline'!$P$4:$P$503,_calc!$E$148)))=0,"","Last touch: "&amp;IF(LEN(INDEX('Dealer pipeline'!$P$4:$P$503,_calc!$E$148))=0,"",INDEX('Dealer pipeline'!$P$4:$P$503,_calc!$E$148))&amp;". ")&amp;IF(LEN(IF(LEN(INDEX('Dealer pipeline'!$R$4:$R$503,_calc!$E$148))=0,"",INDEX('Dealer pipeline'!$R$4:$R$503,_calc!$E$148)))=0,"","Owner: "&amp;IF(LEN(INDEX('Dealer pipeline'!$R$4:$R$503,_calc!$E$148))=0,"",INDEX('Dealer pipeline'!$R$4:$R$503,_calc!$E$148))&amp;". ")&amp;IF(LEN(IF(LEN(INDEX('Dealer pipeline'!$S$4:$S$503,_calc!$E$148))=0,"",INDEX('Dealer pipeline'!$S$4:$S$503,_calc!$E$148)))=0,"","Backup: "&amp;IF(LEN(INDEX('Dealer pipeline'!$S$4:$S$503,_calc!$E$148))=0,"",INDEX('Dealer pipeline'!$S$4:$S$503,_calc!$E$148))&amp;". ")&amp;IF(LEN(IF(LEN(INDEX('Dealer pipeline'!$T$4:$T$503,_calc!$E$148))=0,"",INDEX('Dealer pipeline'!$T$4:$T$503,_calc!$E$148)))=0,"",IF(LEN(INDEX('Dealer pipeline'!$T$4:$T$503,_calc!$E$148))=0,"",INDEX('Dealer pipeline'!$T$4:$T$503,_calc!$E$148)))),TRIM(IF(LEN(IF(LEN(INDEX('My equipment'!$C$4:$C$503,(_calc!$E$148-500)))=0,"",INDEX('My equipment'!$C$4:$C$503,(_calc!$E$148-500))))=0,"","Model: "&amp;IF(LEN(INDEX('My equipment'!$C$4:$C$503,(_calc!$E$148-500)))=0,"",INDEX('My equipment'!$C$4:$C$503,(_calc!$E$148-500)))&amp;". ")&amp;IF(LEN(IF(LEN(INDEX('My equipment'!$D$4:$D$503,(_calc!$E$148-500)))=0,"",INDEX('My equipment'!$D$4:$D$503,(_calc!$E$148-500))))=0,"","Serial: "&amp;IF(LEN(INDEX('My equipment'!$D$4:$D$503,(_calc!$E$148-500)))=0,"",INDEX('My equipment'!$D$4:$D$503,(_calc!$E$148-500)))&amp;". ")&amp;IF(LEN(IF(ISNUMBER(INDEX('My equipment'!$J$4:$J$503,(_calc!$E$148-500))),TEXT(INDEX('My equipment'!$J$4:$J$503,(_calc!$E$148-500)),"yyyy-mm-dd"),""))=0,"","Parts end: "&amp;IF(ISNUMBER(INDEX('My equipment'!$J$4:$J$503,(_calc!$E$148-500))),TEXT(INDEX('My equipment'!$J$4:$J$503,(_calc!$E$148-500)),"yyyy-mm-dd"),"")&amp;". ")&amp;IF(LEN(IF(ISNUMBER(INDEX('My equipment'!$L$4:$L$503,(_calc!$E$148-500))),TEXT(INDEX('My equipment'!$L$4:$L$503,(_calc!$E$148-500)),"yyyy-mm-dd"),""))=0,"","Labor end: "&amp;IF(ISNUMBER(INDEX('My equipment'!$L$4:$L$503,(_calc!$E$148-500))),TEXT(INDEX('My equipment'!$L$4:$L$503,(_calc!$E$148-500)),"yyyy-mm-dd"),"")&amp;". ")&amp;IF(LEN(IF(ISNUMBER(INDEX('My equipment'!$P$4:$P$503,(_calc!$E$148-500))),TEXT(INDEX('My equipment'!$P$4:$P$503,(_calc!$E$148-500)),"yyyy-mm-dd"),""))=0,"","Check by: "&amp;IF(ISNUMBER(INDEX('My equipment'!$P$4:$P$503,(_calc!$E$148-500))),TEXT(INDEX('My equipment'!$P$4:$P$503,(_calc!$E$148-500)),"yyyy-mm-dd"),"")&amp;". ")&amp;IF(LEN(IF(LEN(INDEX('My equipment'!$Q$4:$Q$503,(_calc!$E$148-500)))=0,"",INDEX('My equipment'!$Q$4:$Q$503,(_calc!$E$148-500))))=0,"","Claim status: "&amp;IF(LEN(INDEX('My equipment'!$Q$4:$Q$503,(_calc!$E$148-500)))=0,"",INDEX('My equipment'!$Q$4:$Q$503,(_calc!$E$148-500)))&amp;". ")&amp;IF(LEN(IF(LEN(INDEX('My equipment'!$R$4:$R$503,(_calc!$E$148-500)))=0,"",INDEX('My equipment'!$R$4:$R$503,(_calc!$E$148-500))))=0,"","Claims contact: "&amp;IF(LEN(INDEX('My equipment'!$R$4:$R$503,(_calc!$E$148-500)))=0,"",INDEX('My equipment'!$R$4:$R$503,(_calc!$E$148-500)))&amp;". ")&amp;IF(LEN(IF(LEN(INDEX('My equipment'!$S$4:$S$503,(_calc!$E$148-500)))=0,"",INDEX('My equipment'!$S$4:$S$503,(_calc!$E$148-500))))=0,"","Claims email: "&amp;IF(LEN(INDEX('My equipment'!$S$4:$S$503,(_calc!$E$148-500)))=0,"",INDEX('My equipment'!$S$4:$S$503,(_calc!$E$148-500)))&amp;". ")&amp;IF(LEN(IF(LEN(INDEX('My equipment'!$U$4:$U$503,(_calc!$E$148-500)))=0,"",INDEX('My equipment'!$U$4:$U$503,(_calc!$E$148-500))))=0,"","Registered: "&amp;IF(LEN(INDEX('My equipment'!$U$4:$U$503,(_calc!$E$148-500)))=0,"",INDEX('My equipment'!$U$4:$U$503,(_calc!$E$148-500)))&amp;". ")&amp;IF(LEN(IF(LEN(INDEX('My equipment'!$V$4:$V$503,(_calc!$E$148-500)))=0,"",INDEX('My equipment'!$V$4:$V$503,(_calc!$E$148-500))))=0,"","Proof on file: "&amp;IF(LEN(INDEX('My equipment'!$V$4:$V$503,(_calc!$E$148-500)))=0,"",INDEX('My equipment'!$V$4:$V$503,(_calc!$E$148-500)))&amp;". ")&amp;IF(LEN(IF(LEN(INDEX('My equipment'!$W$4:$W$503,(_calc!$E$148-500)))=0,"",INDEX('My equipment'!$W$4:$W$503,(_calc!$E$148-500))))=0,"","Claim ref: "&amp;IF(LEN(INDEX('My equipment'!$W$4:$W$503,(_calc!$E$148-500)))=0,"",INDEX('My equipment'!$W$4:$W$503,(_calc!$E$148-500)))&amp;". ")&amp;IF(LEN(IF(LEN(INDEX('My equipment'!$Y$4:$Y$503,(_calc!$E$148-500)))=0,"",INDEX('My equipment'!$Y$4:$Y$503,(_calc!$E$148-500))))=0,"",IF(LEN(INDEX('My equipment'!$Y$4:$Y$503,(_calc!$E$148-500)))=0,"",INDEX('My equipment'!$Y$4:$Y$503,(_calc!$E$148-500)))))))</f>
        <v/>
      </c>
      <c r="G146" s="54">
        <f>IF(_calc!$E$148="","",IF(_calc!$E$148&lt;=500,"",IF(LEN(INDEX('My equipment'!$X$4:$X$503,(_calc!$E$148-500)))=0,"",INDEX('My equipment'!$X$4:$X$503,(_calc!$E$148-500)))))</f>
        <v/>
      </c>
      <c r="K146" s="54">
        <f>IF(_calc!$E$148="","",IF(_calc!$E$148&lt;=500,"",IF(LEN(INDEX('My equipment'!$T$4:$T$503,(_calc!$E$148-500)))=0,"",INDEX('My equipment'!$T$4:$T$503,(_calc!$E$148-500)))))</f>
        <v/>
      </c>
    </row>
    <row r="147">
      <c r="A147" s="54">
        <f>IF(_calc!$E$149="","",IF(_calc!$E$149&lt;=500,"Warranty – "&amp;IF(LEN(INDEX('Dealer pipeline'!$C$4:$C$503,_calc!$E$149))=0,"",INDEX('Dealer pipeline'!$C$4:$C$503,_calc!$E$149))&amp;" – "&amp;IF(LEN(INDEX('Dealer pipeline'!$D$4:$D$503,_calc!$E$149))=0,"",INDEX('Dealer pipeline'!$D$4:$D$503,_calc!$E$149))&amp;" – "&amp;IF(LEN(INDEX('Dealer pipeline'!$A$4:$A$503,_calc!$E$149))=0,"",INDEX('Dealer pipeline'!$A$4:$A$503,_calc!$E$149)),"Warranty – "&amp;IF(LEN(INDEX('My equipment'!$A$4:$A$503,(_calc!$E$149-500)))=0,"",INDEX('My equipment'!$A$4:$A$503,(_calc!$E$149-500)))&amp;" – "&amp;IF(LEN(INDEX('My equipment'!$D$4:$D$503,(_calc!$E$149-500)))=0,"",INDEX('My equipment'!$D$4:$D$503,(_calc!$E$149-500)))))</f>
        <v/>
      </c>
      <c r="B147" s="54">
        <f>IF(_calc!$E$149="","",IF(_calc!$E$149&lt;=500,IF(ISNUMBER(INDEX('Dealer pipeline'!$M$4:$M$503,_calc!$E$149)),TEXT(INDEX('Dealer pipeline'!$M$4:$M$503,_calc!$E$149),"yyyy-mm-dd"),""),IF(ISNUMBER(INDEX('My equipment'!$M$4:$M$503,(_calc!$E$149-500))),TEXT(INDEX('My equipment'!$M$4:$M$503,(_calc!$E$149-500)),"yyyy-mm-dd"),"")))</f>
        <v/>
      </c>
      <c r="C147" s="54">
        <f>IF(_calc!$E$149="","",IF(_calc!$E$149&lt;=500,"Warranty","Warranty"))</f>
        <v/>
      </c>
      <c r="D147" s="54">
        <f>IF(_calc!$E$149="","",IF(_calc!$E$149&lt;=500,IF(ISNUMBER(INDEX('Dealer pipeline'!$H$4:$H$503,_calc!$E$149)),TEXT(INDEX('Dealer pipeline'!$H$4:$H$503,_calc!$E$149),"yyyy-mm-dd"),""),IF(ISNUMBER(INDEX('My equipment'!$H$4:$H$503,(_calc!$E$149-500))),TEXT(INDEX('My equipment'!$H$4:$H$503,(_calc!$E$149-500)),"yyyy-mm-dd"),"")))</f>
        <v/>
      </c>
      <c r="F147" s="54">
        <f>IF(_calc!$E$149="","",IF(_calc!$E$149&lt;=500,TRIM(IF(LEN(IF(LEN(INDEX('Dealer pipeline'!$A$4:$A$503,_calc!$E$149))=0,"",INDEX('Dealer pipeline'!$A$4:$A$503,_calc!$E$149)))=0,"","Customer: "&amp;IF(LEN(INDEX('Dealer pipeline'!$A$4:$A$503,_calc!$E$149))=0,"",INDEX('Dealer pipeline'!$A$4:$A$503,_calc!$E$149))&amp;". ")&amp;IF(LEN(IF(LEN(INDEX('Dealer pipeline'!$B$4:$B$503,_calc!$E$149))=0,"",INDEX('Dealer pipeline'!$B$4:$B$503,_calc!$E$149)))=0,"","Contact: "&amp;IF(LEN(INDEX('Dealer pipeline'!$B$4:$B$503,_calc!$E$149))=0,"",INDEX('Dealer pipeline'!$B$4:$B$503,_calc!$E$149))&amp;". ")&amp;IF(LEN(IF(LEN(INDEX('Dealer pipeline'!$D$4:$D$503,_calc!$E$149))=0,"",INDEX('Dealer pipeline'!$D$4:$D$503,_calc!$E$149)))=0,"","Serial: "&amp;IF(LEN(INDEX('Dealer pipeline'!$D$4:$D$503,_calc!$E$149))=0,"",INDEX('Dealer pipeline'!$D$4:$D$503,_calc!$E$149))&amp;". ")&amp;IF(LEN(IF(ISNUMBER(INDEX('Dealer pipeline'!$J$4:$J$503,_calc!$E$149)),TEXT(INDEX('Dealer pipeline'!$J$4:$J$503,_calc!$E$149),"yyyy-mm-dd"),""))=0,"","Parts end: "&amp;IF(ISNUMBER(INDEX('Dealer pipeline'!$J$4:$J$503,_calc!$E$149)),TEXT(INDEX('Dealer pipeline'!$J$4:$J$503,_calc!$E$149),"yyyy-mm-dd"),"")&amp;". ")&amp;IF(LEN(IF(ISNUMBER(INDEX('Dealer pipeline'!$L$4:$L$503,_calc!$E$149)),TEXT(INDEX('Dealer pipeline'!$L$4:$L$503,_calc!$E$149),"yyyy-mm-dd"),""))=0,"","Labor end: "&amp;IF(ISNUMBER(INDEX('Dealer pipeline'!$L$4:$L$503,_calc!$E$149)),TEXT(INDEX('Dealer pipeline'!$L$4:$L$503,_calc!$E$149),"yyyy-mm-dd"),"")&amp;". ")&amp;IF(LEN(IF(LEN(INDEX('Dealer pipeline'!$Q$4:$Q$503,_calc!$E$149))=0,"",INDEX('Dealer pipeline'!$Q$4:$Q$503,_calc!$E$149)))=0,"","Status: "&amp;IF(LEN(INDEX('Dealer pipeline'!$Q$4:$Q$503,_calc!$E$149))=0,"",INDEX('Dealer pipeline'!$Q$4:$Q$503,_calc!$E$149))&amp;". ")&amp;IF(LEN(IF(LEN(INDEX('Dealer pipeline'!$P$4:$P$503,_calc!$E$149))=0,"",INDEX('Dealer pipeline'!$P$4:$P$503,_calc!$E$149)))=0,"","Last touch: "&amp;IF(LEN(INDEX('Dealer pipeline'!$P$4:$P$503,_calc!$E$149))=0,"",INDEX('Dealer pipeline'!$P$4:$P$503,_calc!$E$149))&amp;". ")&amp;IF(LEN(IF(LEN(INDEX('Dealer pipeline'!$R$4:$R$503,_calc!$E$149))=0,"",INDEX('Dealer pipeline'!$R$4:$R$503,_calc!$E$149)))=0,"","Owner: "&amp;IF(LEN(INDEX('Dealer pipeline'!$R$4:$R$503,_calc!$E$149))=0,"",INDEX('Dealer pipeline'!$R$4:$R$503,_calc!$E$149))&amp;". ")&amp;IF(LEN(IF(LEN(INDEX('Dealer pipeline'!$S$4:$S$503,_calc!$E$149))=0,"",INDEX('Dealer pipeline'!$S$4:$S$503,_calc!$E$149)))=0,"","Backup: "&amp;IF(LEN(INDEX('Dealer pipeline'!$S$4:$S$503,_calc!$E$149))=0,"",INDEX('Dealer pipeline'!$S$4:$S$503,_calc!$E$149))&amp;". ")&amp;IF(LEN(IF(LEN(INDEX('Dealer pipeline'!$T$4:$T$503,_calc!$E$149))=0,"",INDEX('Dealer pipeline'!$T$4:$T$503,_calc!$E$149)))=0,"",IF(LEN(INDEX('Dealer pipeline'!$T$4:$T$503,_calc!$E$149))=0,"",INDEX('Dealer pipeline'!$T$4:$T$503,_calc!$E$149)))),TRIM(IF(LEN(IF(LEN(INDEX('My equipment'!$C$4:$C$503,(_calc!$E$149-500)))=0,"",INDEX('My equipment'!$C$4:$C$503,(_calc!$E$149-500))))=0,"","Model: "&amp;IF(LEN(INDEX('My equipment'!$C$4:$C$503,(_calc!$E$149-500)))=0,"",INDEX('My equipment'!$C$4:$C$503,(_calc!$E$149-500)))&amp;". ")&amp;IF(LEN(IF(LEN(INDEX('My equipment'!$D$4:$D$503,(_calc!$E$149-500)))=0,"",INDEX('My equipment'!$D$4:$D$503,(_calc!$E$149-500))))=0,"","Serial: "&amp;IF(LEN(INDEX('My equipment'!$D$4:$D$503,(_calc!$E$149-500)))=0,"",INDEX('My equipment'!$D$4:$D$503,(_calc!$E$149-500)))&amp;". ")&amp;IF(LEN(IF(ISNUMBER(INDEX('My equipment'!$J$4:$J$503,(_calc!$E$149-500))),TEXT(INDEX('My equipment'!$J$4:$J$503,(_calc!$E$149-500)),"yyyy-mm-dd"),""))=0,"","Parts end: "&amp;IF(ISNUMBER(INDEX('My equipment'!$J$4:$J$503,(_calc!$E$149-500))),TEXT(INDEX('My equipment'!$J$4:$J$503,(_calc!$E$149-500)),"yyyy-mm-dd"),"")&amp;". ")&amp;IF(LEN(IF(ISNUMBER(INDEX('My equipment'!$L$4:$L$503,(_calc!$E$149-500))),TEXT(INDEX('My equipment'!$L$4:$L$503,(_calc!$E$149-500)),"yyyy-mm-dd"),""))=0,"","Labor end: "&amp;IF(ISNUMBER(INDEX('My equipment'!$L$4:$L$503,(_calc!$E$149-500))),TEXT(INDEX('My equipment'!$L$4:$L$503,(_calc!$E$149-500)),"yyyy-mm-dd"),"")&amp;". ")&amp;IF(LEN(IF(ISNUMBER(INDEX('My equipment'!$P$4:$P$503,(_calc!$E$149-500))),TEXT(INDEX('My equipment'!$P$4:$P$503,(_calc!$E$149-500)),"yyyy-mm-dd"),""))=0,"","Check by: "&amp;IF(ISNUMBER(INDEX('My equipment'!$P$4:$P$503,(_calc!$E$149-500))),TEXT(INDEX('My equipment'!$P$4:$P$503,(_calc!$E$149-500)),"yyyy-mm-dd"),"")&amp;". ")&amp;IF(LEN(IF(LEN(INDEX('My equipment'!$Q$4:$Q$503,(_calc!$E$149-500)))=0,"",INDEX('My equipment'!$Q$4:$Q$503,(_calc!$E$149-500))))=0,"","Claim status: "&amp;IF(LEN(INDEX('My equipment'!$Q$4:$Q$503,(_calc!$E$149-500)))=0,"",INDEX('My equipment'!$Q$4:$Q$503,(_calc!$E$149-500)))&amp;". ")&amp;IF(LEN(IF(LEN(INDEX('My equipment'!$R$4:$R$503,(_calc!$E$149-500)))=0,"",INDEX('My equipment'!$R$4:$R$503,(_calc!$E$149-500))))=0,"","Claims contact: "&amp;IF(LEN(INDEX('My equipment'!$R$4:$R$503,(_calc!$E$149-500)))=0,"",INDEX('My equipment'!$R$4:$R$503,(_calc!$E$149-500)))&amp;". ")&amp;IF(LEN(IF(LEN(INDEX('My equipment'!$S$4:$S$503,(_calc!$E$149-500)))=0,"",INDEX('My equipment'!$S$4:$S$503,(_calc!$E$149-500))))=0,"","Claims email: "&amp;IF(LEN(INDEX('My equipment'!$S$4:$S$503,(_calc!$E$149-500)))=0,"",INDEX('My equipment'!$S$4:$S$503,(_calc!$E$149-500)))&amp;". ")&amp;IF(LEN(IF(LEN(INDEX('My equipment'!$U$4:$U$503,(_calc!$E$149-500)))=0,"",INDEX('My equipment'!$U$4:$U$503,(_calc!$E$149-500))))=0,"","Registered: "&amp;IF(LEN(INDEX('My equipment'!$U$4:$U$503,(_calc!$E$149-500)))=0,"",INDEX('My equipment'!$U$4:$U$503,(_calc!$E$149-500)))&amp;". ")&amp;IF(LEN(IF(LEN(INDEX('My equipment'!$V$4:$V$503,(_calc!$E$149-500)))=0,"",INDEX('My equipment'!$V$4:$V$503,(_calc!$E$149-500))))=0,"","Proof on file: "&amp;IF(LEN(INDEX('My equipment'!$V$4:$V$503,(_calc!$E$149-500)))=0,"",INDEX('My equipment'!$V$4:$V$503,(_calc!$E$149-500)))&amp;". ")&amp;IF(LEN(IF(LEN(INDEX('My equipment'!$W$4:$W$503,(_calc!$E$149-500)))=0,"",INDEX('My equipment'!$W$4:$W$503,(_calc!$E$149-500))))=0,"","Claim ref: "&amp;IF(LEN(INDEX('My equipment'!$W$4:$W$503,(_calc!$E$149-500)))=0,"",INDEX('My equipment'!$W$4:$W$503,(_calc!$E$149-500)))&amp;". ")&amp;IF(LEN(IF(LEN(INDEX('My equipment'!$Y$4:$Y$503,(_calc!$E$149-500)))=0,"",INDEX('My equipment'!$Y$4:$Y$503,(_calc!$E$149-500))))=0,"",IF(LEN(INDEX('My equipment'!$Y$4:$Y$503,(_calc!$E$149-500)))=0,"",INDEX('My equipment'!$Y$4:$Y$503,(_calc!$E$149-500)))))))</f>
        <v/>
      </c>
      <c r="G147" s="54">
        <f>IF(_calc!$E$149="","",IF(_calc!$E$149&lt;=500,"",IF(LEN(INDEX('My equipment'!$X$4:$X$503,(_calc!$E$149-500)))=0,"",INDEX('My equipment'!$X$4:$X$503,(_calc!$E$149-500)))))</f>
        <v/>
      </c>
      <c r="K147" s="54">
        <f>IF(_calc!$E$149="","",IF(_calc!$E$149&lt;=500,"",IF(LEN(INDEX('My equipment'!$T$4:$T$503,(_calc!$E$149-500)))=0,"",INDEX('My equipment'!$T$4:$T$503,(_calc!$E$149-500)))))</f>
        <v/>
      </c>
    </row>
    <row r="148">
      <c r="A148" s="54">
        <f>IF(_calc!$E$150="","",IF(_calc!$E$150&lt;=500,"Warranty – "&amp;IF(LEN(INDEX('Dealer pipeline'!$C$4:$C$503,_calc!$E$150))=0,"",INDEX('Dealer pipeline'!$C$4:$C$503,_calc!$E$150))&amp;" – "&amp;IF(LEN(INDEX('Dealer pipeline'!$D$4:$D$503,_calc!$E$150))=0,"",INDEX('Dealer pipeline'!$D$4:$D$503,_calc!$E$150))&amp;" – "&amp;IF(LEN(INDEX('Dealer pipeline'!$A$4:$A$503,_calc!$E$150))=0,"",INDEX('Dealer pipeline'!$A$4:$A$503,_calc!$E$150)),"Warranty – "&amp;IF(LEN(INDEX('My equipment'!$A$4:$A$503,(_calc!$E$150-500)))=0,"",INDEX('My equipment'!$A$4:$A$503,(_calc!$E$150-500)))&amp;" – "&amp;IF(LEN(INDEX('My equipment'!$D$4:$D$503,(_calc!$E$150-500)))=0,"",INDEX('My equipment'!$D$4:$D$503,(_calc!$E$150-500)))))</f>
        <v/>
      </c>
      <c r="B148" s="54">
        <f>IF(_calc!$E$150="","",IF(_calc!$E$150&lt;=500,IF(ISNUMBER(INDEX('Dealer pipeline'!$M$4:$M$503,_calc!$E$150)),TEXT(INDEX('Dealer pipeline'!$M$4:$M$503,_calc!$E$150),"yyyy-mm-dd"),""),IF(ISNUMBER(INDEX('My equipment'!$M$4:$M$503,(_calc!$E$150-500))),TEXT(INDEX('My equipment'!$M$4:$M$503,(_calc!$E$150-500)),"yyyy-mm-dd"),"")))</f>
        <v/>
      </c>
      <c r="C148" s="54">
        <f>IF(_calc!$E$150="","",IF(_calc!$E$150&lt;=500,"Warranty","Warranty"))</f>
        <v/>
      </c>
      <c r="D148" s="54">
        <f>IF(_calc!$E$150="","",IF(_calc!$E$150&lt;=500,IF(ISNUMBER(INDEX('Dealer pipeline'!$H$4:$H$503,_calc!$E$150)),TEXT(INDEX('Dealer pipeline'!$H$4:$H$503,_calc!$E$150),"yyyy-mm-dd"),""),IF(ISNUMBER(INDEX('My equipment'!$H$4:$H$503,(_calc!$E$150-500))),TEXT(INDEX('My equipment'!$H$4:$H$503,(_calc!$E$150-500)),"yyyy-mm-dd"),"")))</f>
        <v/>
      </c>
      <c r="F148" s="54">
        <f>IF(_calc!$E$150="","",IF(_calc!$E$150&lt;=500,TRIM(IF(LEN(IF(LEN(INDEX('Dealer pipeline'!$A$4:$A$503,_calc!$E$150))=0,"",INDEX('Dealer pipeline'!$A$4:$A$503,_calc!$E$150)))=0,"","Customer: "&amp;IF(LEN(INDEX('Dealer pipeline'!$A$4:$A$503,_calc!$E$150))=0,"",INDEX('Dealer pipeline'!$A$4:$A$503,_calc!$E$150))&amp;". ")&amp;IF(LEN(IF(LEN(INDEX('Dealer pipeline'!$B$4:$B$503,_calc!$E$150))=0,"",INDEX('Dealer pipeline'!$B$4:$B$503,_calc!$E$150)))=0,"","Contact: "&amp;IF(LEN(INDEX('Dealer pipeline'!$B$4:$B$503,_calc!$E$150))=0,"",INDEX('Dealer pipeline'!$B$4:$B$503,_calc!$E$150))&amp;". ")&amp;IF(LEN(IF(LEN(INDEX('Dealer pipeline'!$D$4:$D$503,_calc!$E$150))=0,"",INDEX('Dealer pipeline'!$D$4:$D$503,_calc!$E$150)))=0,"","Serial: "&amp;IF(LEN(INDEX('Dealer pipeline'!$D$4:$D$503,_calc!$E$150))=0,"",INDEX('Dealer pipeline'!$D$4:$D$503,_calc!$E$150))&amp;". ")&amp;IF(LEN(IF(ISNUMBER(INDEX('Dealer pipeline'!$J$4:$J$503,_calc!$E$150)),TEXT(INDEX('Dealer pipeline'!$J$4:$J$503,_calc!$E$150),"yyyy-mm-dd"),""))=0,"","Parts end: "&amp;IF(ISNUMBER(INDEX('Dealer pipeline'!$J$4:$J$503,_calc!$E$150)),TEXT(INDEX('Dealer pipeline'!$J$4:$J$503,_calc!$E$150),"yyyy-mm-dd"),"")&amp;". ")&amp;IF(LEN(IF(ISNUMBER(INDEX('Dealer pipeline'!$L$4:$L$503,_calc!$E$150)),TEXT(INDEX('Dealer pipeline'!$L$4:$L$503,_calc!$E$150),"yyyy-mm-dd"),""))=0,"","Labor end: "&amp;IF(ISNUMBER(INDEX('Dealer pipeline'!$L$4:$L$503,_calc!$E$150)),TEXT(INDEX('Dealer pipeline'!$L$4:$L$503,_calc!$E$150),"yyyy-mm-dd"),"")&amp;". ")&amp;IF(LEN(IF(LEN(INDEX('Dealer pipeline'!$Q$4:$Q$503,_calc!$E$150))=0,"",INDEX('Dealer pipeline'!$Q$4:$Q$503,_calc!$E$150)))=0,"","Status: "&amp;IF(LEN(INDEX('Dealer pipeline'!$Q$4:$Q$503,_calc!$E$150))=0,"",INDEX('Dealer pipeline'!$Q$4:$Q$503,_calc!$E$150))&amp;". ")&amp;IF(LEN(IF(LEN(INDEX('Dealer pipeline'!$P$4:$P$503,_calc!$E$150))=0,"",INDEX('Dealer pipeline'!$P$4:$P$503,_calc!$E$150)))=0,"","Last touch: "&amp;IF(LEN(INDEX('Dealer pipeline'!$P$4:$P$503,_calc!$E$150))=0,"",INDEX('Dealer pipeline'!$P$4:$P$503,_calc!$E$150))&amp;". ")&amp;IF(LEN(IF(LEN(INDEX('Dealer pipeline'!$R$4:$R$503,_calc!$E$150))=0,"",INDEX('Dealer pipeline'!$R$4:$R$503,_calc!$E$150)))=0,"","Owner: "&amp;IF(LEN(INDEX('Dealer pipeline'!$R$4:$R$503,_calc!$E$150))=0,"",INDEX('Dealer pipeline'!$R$4:$R$503,_calc!$E$150))&amp;". ")&amp;IF(LEN(IF(LEN(INDEX('Dealer pipeline'!$S$4:$S$503,_calc!$E$150))=0,"",INDEX('Dealer pipeline'!$S$4:$S$503,_calc!$E$150)))=0,"","Backup: "&amp;IF(LEN(INDEX('Dealer pipeline'!$S$4:$S$503,_calc!$E$150))=0,"",INDEX('Dealer pipeline'!$S$4:$S$503,_calc!$E$150))&amp;". ")&amp;IF(LEN(IF(LEN(INDEX('Dealer pipeline'!$T$4:$T$503,_calc!$E$150))=0,"",INDEX('Dealer pipeline'!$T$4:$T$503,_calc!$E$150)))=0,"",IF(LEN(INDEX('Dealer pipeline'!$T$4:$T$503,_calc!$E$150))=0,"",INDEX('Dealer pipeline'!$T$4:$T$503,_calc!$E$150)))),TRIM(IF(LEN(IF(LEN(INDEX('My equipment'!$C$4:$C$503,(_calc!$E$150-500)))=0,"",INDEX('My equipment'!$C$4:$C$503,(_calc!$E$150-500))))=0,"","Model: "&amp;IF(LEN(INDEX('My equipment'!$C$4:$C$503,(_calc!$E$150-500)))=0,"",INDEX('My equipment'!$C$4:$C$503,(_calc!$E$150-500)))&amp;". ")&amp;IF(LEN(IF(LEN(INDEX('My equipment'!$D$4:$D$503,(_calc!$E$150-500)))=0,"",INDEX('My equipment'!$D$4:$D$503,(_calc!$E$150-500))))=0,"","Serial: "&amp;IF(LEN(INDEX('My equipment'!$D$4:$D$503,(_calc!$E$150-500)))=0,"",INDEX('My equipment'!$D$4:$D$503,(_calc!$E$150-500)))&amp;". ")&amp;IF(LEN(IF(ISNUMBER(INDEX('My equipment'!$J$4:$J$503,(_calc!$E$150-500))),TEXT(INDEX('My equipment'!$J$4:$J$503,(_calc!$E$150-500)),"yyyy-mm-dd"),""))=0,"","Parts end: "&amp;IF(ISNUMBER(INDEX('My equipment'!$J$4:$J$503,(_calc!$E$150-500))),TEXT(INDEX('My equipment'!$J$4:$J$503,(_calc!$E$150-500)),"yyyy-mm-dd"),"")&amp;". ")&amp;IF(LEN(IF(ISNUMBER(INDEX('My equipment'!$L$4:$L$503,(_calc!$E$150-500))),TEXT(INDEX('My equipment'!$L$4:$L$503,(_calc!$E$150-500)),"yyyy-mm-dd"),""))=0,"","Labor end: "&amp;IF(ISNUMBER(INDEX('My equipment'!$L$4:$L$503,(_calc!$E$150-500))),TEXT(INDEX('My equipment'!$L$4:$L$503,(_calc!$E$150-500)),"yyyy-mm-dd"),"")&amp;". ")&amp;IF(LEN(IF(ISNUMBER(INDEX('My equipment'!$P$4:$P$503,(_calc!$E$150-500))),TEXT(INDEX('My equipment'!$P$4:$P$503,(_calc!$E$150-500)),"yyyy-mm-dd"),""))=0,"","Check by: "&amp;IF(ISNUMBER(INDEX('My equipment'!$P$4:$P$503,(_calc!$E$150-500))),TEXT(INDEX('My equipment'!$P$4:$P$503,(_calc!$E$150-500)),"yyyy-mm-dd"),"")&amp;". ")&amp;IF(LEN(IF(LEN(INDEX('My equipment'!$Q$4:$Q$503,(_calc!$E$150-500)))=0,"",INDEX('My equipment'!$Q$4:$Q$503,(_calc!$E$150-500))))=0,"","Claim status: "&amp;IF(LEN(INDEX('My equipment'!$Q$4:$Q$503,(_calc!$E$150-500)))=0,"",INDEX('My equipment'!$Q$4:$Q$503,(_calc!$E$150-500)))&amp;". ")&amp;IF(LEN(IF(LEN(INDEX('My equipment'!$R$4:$R$503,(_calc!$E$150-500)))=0,"",INDEX('My equipment'!$R$4:$R$503,(_calc!$E$150-500))))=0,"","Claims contact: "&amp;IF(LEN(INDEX('My equipment'!$R$4:$R$503,(_calc!$E$150-500)))=0,"",INDEX('My equipment'!$R$4:$R$503,(_calc!$E$150-500)))&amp;". ")&amp;IF(LEN(IF(LEN(INDEX('My equipment'!$S$4:$S$503,(_calc!$E$150-500)))=0,"",INDEX('My equipment'!$S$4:$S$503,(_calc!$E$150-500))))=0,"","Claims email: "&amp;IF(LEN(INDEX('My equipment'!$S$4:$S$503,(_calc!$E$150-500)))=0,"",INDEX('My equipment'!$S$4:$S$503,(_calc!$E$150-500)))&amp;". ")&amp;IF(LEN(IF(LEN(INDEX('My equipment'!$U$4:$U$503,(_calc!$E$150-500)))=0,"",INDEX('My equipment'!$U$4:$U$503,(_calc!$E$150-500))))=0,"","Registered: "&amp;IF(LEN(INDEX('My equipment'!$U$4:$U$503,(_calc!$E$150-500)))=0,"",INDEX('My equipment'!$U$4:$U$503,(_calc!$E$150-500)))&amp;". ")&amp;IF(LEN(IF(LEN(INDEX('My equipment'!$V$4:$V$503,(_calc!$E$150-500)))=0,"",INDEX('My equipment'!$V$4:$V$503,(_calc!$E$150-500))))=0,"","Proof on file: "&amp;IF(LEN(INDEX('My equipment'!$V$4:$V$503,(_calc!$E$150-500)))=0,"",INDEX('My equipment'!$V$4:$V$503,(_calc!$E$150-500)))&amp;". ")&amp;IF(LEN(IF(LEN(INDEX('My equipment'!$W$4:$W$503,(_calc!$E$150-500)))=0,"",INDEX('My equipment'!$W$4:$W$503,(_calc!$E$150-500))))=0,"","Claim ref: "&amp;IF(LEN(INDEX('My equipment'!$W$4:$W$503,(_calc!$E$150-500)))=0,"",INDEX('My equipment'!$W$4:$W$503,(_calc!$E$150-500)))&amp;". ")&amp;IF(LEN(IF(LEN(INDEX('My equipment'!$Y$4:$Y$503,(_calc!$E$150-500)))=0,"",INDEX('My equipment'!$Y$4:$Y$503,(_calc!$E$150-500))))=0,"",IF(LEN(INDEX('My equipment'!$Y$4:$Y$503,(_calc!$E$150-500)))=0,"",INDEX('My equipment'!$Y$4:$Y$503,(_calc!$E$150-500)))))))</f>
        <v/>
      </c>
      <c r="G148" s="54">
        <f>IF(_calc!$E$150="","",IF(_calc!$E$150&lt;=500,"",IF(LEN(INDEX('My equipment'!$X$4:$X$503,(_calc!$E$150-500)))=0,"",INDEX('My equipment'!$X$4:$X$503,(_calc!$E$150-500)))))</f>
        <v/>
      </c>
      <c r="K148" s="54">
        <f>IF(_calc!$E$150="","",IF(_calc!$E$150&lt;=500,"",IF(LEN(INDEX('My equipment'!$T$4:$T$503,(_calc!$E$150-500)))=0,"",INDEX('My equipment'!$T$4:$T$503,(_calc!$E$150-500)))))</f>
        <v/>
      </c>
    </row>
    <row r="149">
      <c r="A149" s="54">
        <f>IF(_calc!$E$151="","",IF(_calc!$E$151&lt;=500,"Warranty – "&amp;IF(LEN(INDEX('Dealer pipeline'!$C$4:$C$503,_calc!$E$151))=0,"",INDEX('Dealer pipeline'!$C$4:$C$503,_calc!$E$151))&amp;" – "&amp;IF(LEN(INDEX('Dealer pipeline'!$D$4:$D$503,_calc!$E$151))=0,"",INDEX('Dealer pipeline'!$D$4:$D$503,_calc!$E$151))&amp;" – "&amp;IF(LEN(INDEX('Dealer pipeline'!$A$4:$A$503,_calc!$E$151))=0,"",INDEX('Dealer pipeline'!$A$4:$A$503,_calc!$E$151)),"Warranty – "&amp;IF(LEN(INDEX('My equipment'!$A$4:$A$503,(_calc!$E$151-500)))=0,"",INDEX('My equipment'!$A$4:$A$503,(_calc!$E$151-500)))&amp;" – "&amp;IF(LEN(INDEX('My equipment'!$D$4:$D$503,(_calc!$E$151-500)))=0,"",INDEX('My equipment'!$D$4:$D$503,(_calc!$E$151-500)))))</f>
        <v/>
      </c>
      <c r="B149" s="54">
        <f>IF(_calc!$E$151="","",IF(_calc!$E$151&lt;=500,IF(ISNUMBER(INDEX('Dealer pipeline'!$M$4:$M$503,_calc!$E$151)),TEXT(INDEX('Dealer pipeline'!$M$4:$M$503,_calc!$E$151),"yyyy-mm-dd"),""),IF(ISNUMBER(INDEX('My equipment'!$M$4:$M$503,(_calc!$E$151-500))),TEXT(INDEX('My equipment'!$M$4:$M$503,(_calc!$E$151-500)),"yyyy-mm-dd"),"")))</f>
        <v/>
      </c>
      <c r="C149" s="54">
        <f>IF(_calc!$E$151="","",IF(_calc!$E$151&lt;=500,"Warranty","Warranty"))</f>
        <v/>
      </c>
      <c r="D149" s="54">
        <f>IF(_calc!$E$151="","",IF(_calc!$E$151&lt;=500,IF(ISNUMBER(INDEX('Dealer pipeline'!$H$4:$H$503,_calc!$E$151)),TEXT(INDEX('Dealer pipeline'!$H$4:$H$503,_calc!$E$151),"yyyy-mm-dd"),""),IF(ISNUMBER(INDEX('My equipment'!$H$4:$H$503,(_calc!$E$151-500))),TEXT(INDEX('My equipment'!$H$4:$H$503,(_calc!$E$151-500)),"yyyy-mm-dd"),"")))</f>
        <v/>
      </c>
      <c r="F149" s="54">
        <f>IF(_calc!$E$151="","",IF(_calc!$E$151&lt;=500,TRIM(IF(LEN(IF(LEN(INDEX('Dealer pipeline'!$A$4:$A$503,_calc!$E$151))=0,"",INDEX('Dealer pipeline'!$A$4:$A$503,_calc!$E$151)))=0,"","Customer: "&amp;IF(LEN(INDEX('Dealer pipeline'!$A$4:$A$503,_calc!$E$151))=0,"",INDEX('Dealer pipeline'!$A$4:$A$503,_calc!$E$151))&amp;". ")&amp;IF(LEN(IF(LEN(INDEX('Dealer pipeline'!$B$4:$B$503,_calc!$E$151))=0,"",INDEX('Dealer pipeline'!$B$4:$B$503,_calc!$E$151)))=0,"","Contact: "&amp;IF(LEN(INDEX('Dealer pipeline'!$B$4:$B$503,_calc!$E$151))=0,"",INDEX('Dealer pipeline'!$B$4:$B$503,_calc!$E$151))&amp;". ")&amp;IF(LEN(IF(LEN(INDEX('Dealer pipeline'!$D$4:$D$503,_calc!$E$151))=0,"",INDEX('Dealer pipeline'!$D$4:$D$503,_calc!$E$151)))=0,"","Serial: "&amp;IF(LEN(INDEX('Dealer pipeline'!$D$4:$D$503,_calc!$E$151))=0,"",INDEX('Dealer pipeline'!$D$4:$D$503,_calc!$E$151))&amp;". ")&amp;IF(LEN(IF(ISNUMBER(INDEX('Dealer pipeline'!$J$4:$J$503,_calc!$E$151)),TEXT(INDEX('Dealer pipeline'!$J$4:$J$503,_calc!$E$151),"yyyy-mm-dd"),""))=0,"","Parts end: "&amp;IF(ISNUMBER(INDEX('Dealer pipeline'!$J$4:$J$503,_calc!$E$151)),TEXT(INDEX('Dealer pipeline'!$J$4:$J$503,_calc!$E$151),"yyyy-mm-dd"),"")&amp;". ")&amp;IF(LEN(IF(ISNUMBER(INDEX('Dealer pipeline'!$L$4:$L$503,_calc!$E$151)),TEXT(INDEX('Dealer pipeline'!$L$4:$L$503,_calc!$E$151),"yyyy-mm-dd"),""))=0,"","Labor end: "&amp;IF(ISNUMBER(INDEX('Dealer pipeline'!$L$4:$L$503,_calc!$E$151)),TEXT(INDEX('Dealer pipeline'!$L$4:$L$503,_calc!$E$151),"yyyy-mm-dd"),"")&amp;". ")&amp;IF(LEN(IF(LEN(INDEX('Dealer pipeline'!$Q$4:$Q$503,_calc!$E$151))=0,"",INDEX('Dealer pipeline'!$Q$4:$Q$503,_calc!$E$151)))=0,"","Status: "&amp;IF(LEN(INDEX('Dealer pipeline'!$Q$4:$Q$503,_calc!$E$151))=0,"",INDEX('Dealer pipeline'!$Q$4:$Q$503,_calc!$E$151))&amp;". ")&amp;IF(LEN(IF(LEN(INDEX('Dealer pipeline'!$P$4:$P$503,_calc!$E$151))=0,"",INDEX('Dealer pipeline'!$P$4:$P$503,_calc!$E$151)))=0,"","Last touch: "&amp;IF(LEN(INDEX('Dealer pipeline'!$P$4:$P$503,_calc!$E$151))=0,"",INDEX('Dealer pipeline'!$P$4:$P$503,_calc!$E$151))&amp;". ")&amp;IF(LEN(IF(LEN(INDEX('Dealer pipeline'!$R$4:$R$503,_calc!$E$151))=0,"",INDEX('Dealer pipeline'!$R$4:$R$503,_calc!$E$151)))=0,"","Owner: "&amp;IF(LEN(INDEX('Dealer pipeline'!$R$4:$R$503,_calc!$E$151))=0,"",INDEX('Dealer pipeline'!$R$4:$R$503,_calc!$E$151))&amp;". ")&amp;IF(LEN(IF(LEN(INDEX('Dealer pipeline'!$S$4:$S$503,_calc!$E$151))=0,"",INDEX('Dealer pipeline'!$S$4:$S$503,_calc!$E$151)))=0,"","Backup: "&amp;IF(LEN(INDEX('Dealer pipeline'!$S$4:$S$503,_calc!$E$151))=0,"",INDEX('Dealer pipeline'!$S$4:$S$503,_calc!$E$151))&amp;". ")&amp;IF(LEN(IF(LEN(INDEX('Dealer pipeline'!$T$4:$T$503,_calc!$E$151))=0,"",INDEX('Dealer pipeline'!$T$4:$T$503,_calc!$E$151)))=0,"",IF(LEN(INDEX('Dealer pipeline'!$T$4:$T$503,_calc!$E$151))=0,"",INDEX('Dealer pipeline'!$T$4:$T$503,_calc!$E$151)))),TRIM(IF(LEN(IF(LEN(INDEX('My equipment'!$C$4:$C$503,(_calc!$E$151-500)))=0,"",INDEX('My equipment'!$C$4:$C$503,(_calc!$E$151-500))))=0,"","Model: "&amp;IF(LEN(INDEX('My equipment'!$C$4:$C$503,(_calc!$E$151-500)))=0,"",INDEX('My equipment'!$C$4:$C$503,(_calc!$E$151-500)))&amp;". ")&amp;IF(LEN(IF(LEN(INDEX('My equipment'!$D$4:$D$503,(_calc!$E$151-500)))=0,"",INDEX('My equipment'!$D$4:$D$503,(_calc!$E$151-500))))=0,"","Serial: "&amp;IF(LEN(INDEX('My equipment'!$D$4:$D$503,(_calc!$E$151-500)))=0,"",INDEX('My equipment'!$D$4:$D$503,(_calc!$E$151-500)))&amp;". ")&amp;IF(LEN(IF(ISNUMBER(INDEX('My equipment'!$J$4:$J$503,(_calc!$E$151-500))),TEXT(INDEX('My equipment'!$J$4:$J$503,(_calc!$E$151-500)),"yyyy-mm-dd"),""))=0,"","Parts end: "&amp;IF(ISNUMBER(INDEX('My equipment'!$J$4:$J$503,(_calc!$E$151-500))),TEXT(INDEX('My equipment'!$J$4:$J$503,(_calc!$E$151-500)),"yyyy-mm-dd"),"")&amp;". ")&amp;IF(LEN(IF(ISNUMBER(INDEX('My equipment'!$L$4:$L$503,(_calc!$E$151-500))),TEXT(INDEX('My equipment'!$L$4:$L$503,(_calc!$E$151-500)),"yyyy-mm-dd"),""))=0,"","Labor end: "&amp;IF(ISNUMBER(INDEX('My equipment'!$L$4:$L$503,(_calc!$E$151-500))),TEXT(INDEX('My equipment'!$L$4:$L$503,(_calc!$E$151-500)),"yyyy-mm-dd"),"")&amp;". ")&amp;IF(LEN(IF(ISNUMBER(INDEX('My equipment'!$P$4:$P$503,(_calc!$E$151-500))),TEXT(INDEX('My equipment'!$P$4:$P$503,(_calc!$E$151-500)),"yyyy-mm-dd"),""))=0,"","Check by: "&amp;IF(ISNUMBER(INDEX('My equipment'!$P$4:$P$503,(_calc!$E$151-500))),TEXT(INDEX('My equipment'!$P$4:$P$503,(_calc!$E$151-500)),"yyyy-mm-dd"),"")&amp;". ")&amp;IF(LEN(IF(LEN(INDEX('My equipment'!$Q$4:$Q$503,(_calc!$E$151-500)))=0,"",INDEX('My equipment'!$Q$4:$Q$503,(_calc!$E$151-500))))=0,"","Claim status: "&amp;IF(LEN(INDEX('My equipment'!$Q$4:$Q$503,(_calc!$E$151-500)))=0,"",INDEX('My equipment'!$Q$4:$Q$503,(_calc!$E$151-500)))&amp;". ")&amp;IF(LEN(IF(LEN(INDEX('My equipment'!$R$4:$R$503,(_calc!$E$151-500)))=0,"",INDEX('My equipment'!$R$4:$R$503,(_calc!$E$151-500))))=0,"","Claims contact: "&amp;IF(LEN(INDEX('My equipment'!$R$4:$R$503,(_calc!$E$151-500)))=0,"",INDEX('My equipment'!$R$4:$R$503,(_calc!$E$151-500)))&amp;". ")&amp;IF(LEN(IF(LEN(INDEX('My equipment'!$S$4:$S$503,(_calc!$E$151-500)))=0,"",INDEX('My equipment'!$S$4:$S$503,(_calc!$E$151-500))))=0,"","Claims email: "&amp;IF(LEN(INDEX('My equipment'!$S$4:$S$503,(_calc!$E$151-500)))=0,"",INDEX('My equipment'!$S$4:$S$503,(_calc!$E$151-500)))&amp;". ")&amp;IF(LEN(IF(LEN(INDEX('My equipment'!$U$4:$U$503,(_calc!$E$151-500)))=0,"",INDEX('My equipment'!$U$4:$U$503,(_calc!$E$151-500))))=0,"","Registered: "&amp;IF(LEN(INDEX('My equipment'!$U$4:$U$503,(_calc!$E$151-500)))=0,"",INDEX('My equipment'!$U$4:$U$503,(_calc!$E$151-500)))&amp;". ")&amp;IF(LEN(IF(LEN(INDEX('My equipment'!$V$4:$V$503,(_calc!$E$151-500)))=0,"",INDEX('My equipment'!$V$4:$V$503,(_calc!$E$151-500))))=0,"","Proof on file: "&amp;IF(LEN(INDEX('My equipment'!$V$4:$V$503,(_calc!$E$151-500)))=0,"",INDEX('My equipment'!$V$4:$V$503,(_calc!$E$151-500)))&amp;". ")&amp;IF(LEN(IF(LEN(INDEX('My equipment'!$W$4:$W$503,(_calc!$E$151-500)))=0,"",INDEX('My equipment'!$W$4:$W$503,(_calc!$E$151-500))))=0,"","Claim ref: "&amp;IF(LEN(INDEX('My equipment'!$W$4:$W$503,(_calc!$E$151-500)))=0,"",INDEX('My equipment'!$W$4:$W$503,(_calc!$E$151-500)))&amp;". ")&amp;IF(LEN(IF(LEN(INDEX('My equipment'!$Y$4:$Y$503,(_calc!$E$151-500)))=0,"",INDEX('My equipment'!$Y$4:$Y$503,(_calc!$E$151-500))))=0,"",IF(LEN(INDEX('My equipment'!$Y$4:$Y$503,(_calc!$E$151-500)))=0,"",INDEX('My equipment'!$Y$4:$Y$503,(_calc!$E$151-500)))))))</f>
        <v/>
      </c>
      <c r="G149" s="54">
        <f>IF(_calc!$E$151="","",IF(_calc!$E$151&lt;=500,"",IF(LEN(INDEX('My equipment'!$X$4:$X$503,(_calc!$E$151-500)))=0,"",INDEX('My equipment'!$X$4:$X$503,(_calc!$E$151-500)))))</f>
        <v/>
      </c>
      <c r="K149" s="54">
        <f>IF(_calc!$E$151="","",IF(_calc!$E$151&lt;=500,"",IF(LEN(INDEX('My equipment'!$T$4:$T$503,(_calc!$E$151-500)))=0,"",INDEX('My equipment'!$T$4:$T$503,(_calc!$E$151-500)))))</f>
        <v/>
      </c>
    </row>
    <row r="150">
      <c r="A150" s="54">
        <f>IF(_calc!$E$152="","",IF(_calc!$E$152&lt;=500,"Warranty – "&amp;IF(LEN(INDEX('Dealer pipeline'!$C$4:$C$503,_calc!$E$152))=0,"",INDEX('Dealer pipeline'!$C$4:$C$503,_calc!$E$152))&amp;" – "&amp;IF(LEN(INDEX('Dealer pipeline'!$D$4:$D$503,_calc!$E$152))=0,"",INDEX('Dealer pipeline'!$D$4:$D$503,_calc!$E$152))&amp;" – "&amp;IF(LEN(INDEX('Dealer pipeline'!$A$4:$A$503,_calc!$E$152))=0,"",INDEX('Dealer pipeline'!$A$4:$A$503,_calc!$E$152)),"Warranty – "&amp;IF(LEN(INDEX('My equipment'!$A$4:$A$503,(_calc!$E$152-500)))=0,"",INDEX('My equipment'!$A$4:$A$503,(_calc!$E$152-500)))&amp;" – "&amp;IF(LEN(INDEX('My equipment'!$D$4:$D$503,(_calc!$E$152-500)))=0,"",INDEX('My equipment'!$D$4:$D$503,(_calc!$E$152-500)))))</f>
        <v/>
      </c>
      <c r="B150" s="54">
        <f>IF(_calc!$E$152="","",IF(_calc!$E$152&lt;=500,IF(ISNUMBER(INDEX('Dealer pipeline'!$M$4:$M$503,_calc!$E$152)),TEXT(INDEX('Dealer pipeline'!$M$4:$M$503,_calc!$E$152),"yyyy-mm-dd"),""),IF(ISNUMBER(INDEX('My equipment'!$M$4:$M$503,(_calc!$E$152-500))),TEXT(INDEX('My equipment'!$M$4:$M$503,(_calc!$E$152-500)),"yyyy-mm-dd"),"")))</f>
        <v/>
      </c>
      <c r="C150" s="54">
        <f>IF(_calc!$E$152="","",IF(_calc!$E$152&lt;=500,"Warranty","Warranty"))</f>
        <v/>
      </c>
      <c r="D150" s="54">
        <f>IF(_calc!$E$152="","",IF(_calc!$E$152&lt;=500,IF(ISNUMBER(INDEX('Dealer pipeline'!$H$4:$H$503,_calc!$E$152)),TEXT(INDEX('Dealer pipeline'!$H$4:$H$503,_calc!$E$152),"yyyy-mm-dd"),""),IF(ISNUMBER(INDEX('My equipment'!$H$4:$H$503,(_calc!$E$152-500))),TEXT(INDEX('My equipment'!$H$4:$H$503,(_calc!$E$152-500)),"yyyy-mm-dd"),"")))</f>
        <v/>
      </c>
      <c r="F150" s="54">
        <f>IF(_calc!$E$152="","",IF(_calc!$E$152&lt;=500,TRIM(IF(LEN(IF(LEN(INDEX('Dealer pipeline'!$A$4:$A$503,_calc!$E$152))=0,"",INDEX('Dealer pipeline'!$A$4:$A$503,_calc!$E$152)))=0,"","Customer: "&amp;IF(LEN(INDEX('Dealer pipeline'!$A$4:$A$503,_calc!$E$152))=0,"",INDEX('Dealer pipeline'!$A$4:$A$503,_calc!$E$152))&amp;". ")&amp;IF(LEN(IF(LEN(INDEX('Dealer pipeline'!$B$4:$B$503,_calc!$E$152))=0,"",INDEX('Dealer pipeline'!$B$4:$B$503,_calc!$E$152)))=0,"","Contact: "&amp;IF(LEN(INDEX('Dealer pipeline'!$B$4:$B$503,_calc!$E$152))=0,"",INDEX('Dealer pipeline'!$B$4:$B$503,_calc!$E$152))&amp;". ")&amp;IF(LEN(IF(LEN(INDEX('Dealer pipeline'!$D$4:$D$503,_calc!$E$152))=0,"",INDEX('Dealer pipeline'!$D$4:$D$503,_calc!$E$152)))=0,"","Serial: "&amp;IF(LEN(INDEX('Dealer pipeline'!$D$4:$D$503,_calc!$E$152))=0,"",INDEX('Dealer pipeline'!$D$4:$D$503,_calc!$E$152))&amp;". ")&amp;IF(LEN(IF(ISNUMBER(INDEX('Dealer pipeline'!$J$4:$J$503,_calc!$E$152)),TEXT(INDEX('Dealer pipeline'!$J$4:$J$503,_calc!$E$152),"yyyy-mm-dd"),""))=0,"","Parts end: "&amp;IF(ISNUMBER(INDEX('Dealer pipeline'!$J$4:$J$503,_calc!$E$152)),TEXT(INDEX('Dealer pipeline'!$J$4:$J$503,_calc!$E$152),"yyyy-mm-dd"),"")&amp;". ")&amp;IF(LEN(IF(ISNUMBER(INDEX('Dealer pipeline'!$L$4:$L$503,_calc!$E$152)),TEXT(INDEX('Dealer pipeline'!$L$4:$L$503,_calc!$E$152),"yyyy-mm-dd"),""))=0,"","Labor end: "&amp;IF(ISNUMBER(INDEX('Dealer pipeline'!$L$4:$L$503,_calc!$E$152)),TEXT(INDEX('Dealer pipeline'!$L$4:$L$503,_calc!$E$152),"yyyy-mm-dd"),"")&amp;". ")&amp;IF(LEN(IF(LEN(INDEX('Dealer pipeline'!$Q$4:$Q$503,_calc!$E$152))=0,"",INDEX('Dealer pipeline'!$Q$4:$Q$503,_calc!$E$152)))=0,"","Status: "&amp;IF(LEN(INDEX('Dealer pipeline'!$Q$4:$Q$503,_calc!$E$152))=0,"",INDEX('Dealer pipeline'!$Q$4:$Q$503,_calc!$E$152))&amp;". ")&amp;IF(LEN(IF(LEN(INDEX('Dealer pipeline'!$P$4:$P$503,_calc!$E$152))=0,"",INDEX('Dealer pipeline'!$P$4:$P$503,_calc!$E$152)))=0,"","Last touch: "&amp;IF(LEN(INDEX('Dealer pipeline'!$P$4:$P$503,_calc!$E$152))=0,"",INDEX('Dealer pipeline'!$P$4:$P$503,_calc!$E$152))&amp;". ")&amp;IF(LEN(IF(LEN(INDEX('Dealer pipeline'!$R$4:$R$503,_calc!$E$152))=0,"",INDEX('Dealer pipeline'!$R$4:$R$503,_calc!$E$152)))=0,"","Owner: "&amp;IF(LEN(INDEX('Dealer pipeline'!$R$4:$R$503,_calc!$E$152))=0,"",INDEX('Dealer pipeline'!$R$4:$R$503,_calc!$E$152))&amp;". ")&amp;IF(LEN(IF(LEN(INDEX('Dealer pipeline'!$S$4:$S$503,_calc!$E$152))=0,"",INDEX('Dealer pipeline'!$S$4:$S$503,_calc!$E$152)))=0,"","Backup: "&amp;IF(LEN(INDEX('Dealer pipeline'!$S$4:$S$503,_calc!$E$152))=0,"",INDEX('Dealer pipeline'!$S$4:$S$503,_calc!$E$152))&amp;". ")&amp;IF(LEN(IF(LEN(INDEX('Dealer pipeline'!$T$4:$T$503,_calc!$E$152))=0,"",INDEX('Dealer pipeline'!$T$4:$T$503,_calc!$E$152)))=0,"",IF(LEN(INDEX('Dealer pipeline'!$T$4:$T$503,_calc!$E$152))=0,"",INDEX('Dealer pipeline'!$T$4:$T$503,_calc!$E$152)))),TRIM(IF(LEN(IF(LEN(INDEX('My equipment'!$C$4:$C$503,(_calc!$E$152-500)))=0,"",INDEX('My equipment'!$C$4:$C$503,(_calc!$E$152-500))))=0,"","Model: "&amp;IF(LEN(INDEX('My equipment'!$C$4:$C$503,(_calc!$E$152-500)))=0,"",INDEX('My equipment'!$C$4:$C$503,(_calc!$E$152-500)))&amp;". ")&amp;IF(LEN(IF(LEN(INDEX('My equipment'!$D$4:$D$503,(_calc!$E$152-500)))=0,"",INDEX('My equipment'!$D$4:$D$503,(_calc!$E$152-500))))=0,"","Serial: "&amp;IF(LEN(INDEX('My equipment'!$D$4:$D$503,(_calc!$E$152-500)))=0,"",INDEX('My equipment'!$D$4:$D$503,(_calc!$E$152-500)))&amp;". ")&amp;IF(LEN(IF(ISNUMBER(INDEX('My equipment'!$J$4:$J$503,(_calc!$E$152-500))),TEXT(INDEX('My equipment'!$J$4:$J$503,(_calc!$E$152-500)),"yyyy-mm-dd"),""))=0,"","Parts end: "&amp;IF(ISNUMBER(INDEX('My equipment'!$J$4:$J$503,(_calc!$E$152-500))),TEXT(INDEX('My equipment'!$J$4:$J$503,(_calc!$E$152-500)),"yyyy-mm-dd"),"")&amp;". ")&amp;IF(LEN(IF(ISNUMBER(INDEX('My equipment'!$L$4:$L$503,(_calc!$E$152-500))),TEXT(INDEX('My equipment'!$L$4:$L$503,(_calc!$E$152-500)),"yyyy-mm-dd"),""))=0,"","Labor end: "&amp;IF(ISNUMBER(INDEX('My equipment'!$L$4:$L$503,(_calc!$E$152-500))),TEXT(INDEX('My equipment'!$L$4:$L$503,(_calc!$E$152-500)),"yyyy-mm-dd"),"")&amp;". ")&amp;IF(LEN(IF(ISNUMBER(INDEX('My equipment'!$P$4:$P$503,(_calc!$E$152-500))),TEXT(INDEX('My equipment'!$P$4:$P$503,(_calc!$E$152-500)),"yyyy-mm-dd"),""))=0,"","Check by: "&amp;IF(ISNUMBER(INDEX('My equipment'!$P$4:$P$503,(_calc!$E$152-500))),TEXT(INDEX('My equipment'!$P$4:$P$503,(_calc!$E$152-500)),"yyyy-mm-dd"),"")&amp;". ")&amp;IF(LEN(IF(LEN(INDEX('My equipment'!$Q$4:$Q$503,(_calc!$E$152-500)))=0,"",INDEX('My equipment'!$Q$4:$Q$503,(_calc!$E$152-500))))=0,"","Claim status: "&amp;IF(LEN(INDEX('My equipment'!$Q$4:$Q$503,(_calc!$E$152-500)))=0,"",INDEX('My equipment'!$Q$4:$Q$503,(_calc!$E$152-500)))&amp;". ")&amp;IF(LEN(IF(LEN(INDEX('My equipment'!$R$4:$R$503,(_calc!$E$152-500)))=0,"",INDEX('My equipment'!$R$4:$R$503,(_calc!$E$152-500))))=0,"","Claims contact: "&amp;IF(LEN(INDEX('My equipment'!$R$4:$R$503,(_calc!$E$152-500)))=0,"",INDEX('My equipment'!$R$4:$R$503,(_calc!$E$152-500)))&amp;". ")&amp;IF(LEN(IF(LEN(INDEX('My equipment'!$S$4:$S$503,(_calc!$E$152-500)))=0,"",INDEX('My equipment'!$S$4:$S$503,(_calc!$E$152-500))))=0,"","Claims email: "&amp;IF(LEN(INDEX('My equipment'!$S$4:$S$503,(_calc!$E$152-500)))=0,"",INDEX('My equipment'!$S$4:$S$503,(_calc!$E$152-500)))&amp;". ")&amp;IF(LEN(IF(LEN(INDEX('My equipment'!$U$4:$U$503,(_calc!$E$152-500)))=0,"",INDEX('My equipment'!$U$4:$U$503,(_calc!$E$152-500))))=0,"","Registered: "&amp;IF(LEN(INDEX('My equipment'!$U$4:$U$503,(_calc!$E$152-500)))=0,"",INDEX('My equipment'!$U$4:$U$503,(_calc!$E$152-500)))&amp;". ")&amp;IF(LEN(IF(LEN(INDEX('My equipment'!$V$4:$V$503,(_calc!$E$152-500)))=0,"",INDEX('My equipment'!$V$4:$V$503,(_calc!$E$152-500))))=0,"","Proof on file: "&amp;IF(LEN(INDEX('My equipment'!$V$4:$V$503,(_calc!$E$152-500)))=0,"",INDEX('My equipment'!$V$4:$V$503,(_calc!$E$152-500)))&amp;". ")&amp;IF(LEN(IF(LEN(INDEX('My equipment'!$W$4:$W$503,(_calc!$E$152-500)))=0,"",INDEX('My equipment'!$W$4:$W$503,(_calc!$E$152-500))))=0,"","Claim ref: "&amp;IF(LEN(INDEX('My equipment'!$W$4:$W$503,(_calc!$E$152-500)))=0,"",INDEX('My equipment'!$W$4:$W$503,(_calc!$E$152-500)))&amp;". ")&amp;IF(LEN(IF(LEN(INDEX('My equipment'!$Y$4:$Y$503,(_calc!$E$152-500)))=0,"",INDEX('My equipment'!$Y$4:$Y$503,(_calc!$E$152-500))))=0,"",IF(LEN(INDEX('My equipment'!$Y$4:$Y$503,(_calc!$E$152-500)))=0,"",INDEX('My equipment'!$Y$4:$Y$503,(_calc!$E$152-500)))))))</f>
        <v/>
      </c>
      <c r="G150" s="54">
        <f>IF(_calc!$E$152="","",IF(_calc!$E$152&lt;=500,"",IF(LEN(INDEX('My equipment'!$X$4:$X$503,(_calc!$E$152-500)))=0,"",INDEX('My equipment'!$X$4:$X$503,(_calc!$E$152-500)))))</f>
        <v/>
      </c>
      <c r="K150" s="54">
        <f>IF(_calc!$E$152="","",IF(_calc!$E$152&lt;=500,"",IF(LEN(INDEX('My equipment'!$T$4:$T$503,(_calc!$E$152-500)))=0,"",INDEX('My equipment'!$T$4:$T$503,(_calc!$E$152-500)))))</f>
        <v/>
      </c>
    </row>
    <row r="151">
      <c r="A151" s="54">
        <f>IF(_calc!$E$153="","",IF(_calc!$E$153&lt;=500,"Warranty – "&amp;IF(LEN(INDEX('Dealer pipeline'!$C$4:$C$503,_calc!$E$153))=0,"",INDEX('Dealer pipeline'!$C$4:$C$503,_calc!$E$153))&amp;" – "&amp;IF(LEN(INDEX('Dealer pipeline'!$D$4:$D$503,_calc!$E$153))=0,"",INDEX('Dealer pipeline'!$D$4:$D$503,_calc!$E$153))&amp;" – "&amp;IF(LEN(INDEX('Dealer pipeline'!$A$4:$A$503,_calc!$E$153))=0,"",INDEX('Dealer pipeline'!$A$4:$A$503,_calc!$E$153)),"Warranty – "&amp;IF(LEN(INDEX('My equipment'!$A$4:$A$503,(_calc!$E$153-500)))=0,"",INDEX('My equipment'!$A$4:$A$503,(_calc!$E$153-500)))&amp;" – "&amp;IF(LEN(INDEX('My equipment'!$D$4:$D$503,(_calc!$E$153-500)))=0,"",INDEX('My equipment'!$D$4:$D$503,(_calc!$E$153-500)))))</f>
        <v/>
      </c>
      <c r="B151" s="54">
        <f>IF(_calc!$E$153="","",IF(_calc!$E$153&lt;=500,IF(ISNUMBER(INDEX('Dealer pipeline'!$M$4:$M$503,_calc!$E$153)),TEXT(INDEX('Dealer pipeline'!$M$4:$M$503,_calc!$E$153),"yyyy-mm-dd"),""),IF(ISNUMBER(INDEX('My equipment'!$M$4:$M$503,(_calc!$E$153-500))),TEXT(INDEX('My equipment'!$M$4:$M$503,(_calc!$E$153-500)),"yyyy-mm-dd"),"")))</f>
        <v/>
      </c>
      <c r="C151" s="54">
        <f>IF(_calc!$E$153="","",IF(_calc!$E$153&lt;=500,"Warranty","Warranty"))</f>
        <v/>
      </c>
      <c r="D151" s="54">
        <f>IF(_calc!$E$153="","",IF(_calc!$E$153&lt;=500,IF(ISNUMBER(INDEX('Dealer pipeline'!$H$4:$H$503,_calc!$E$153)),TEXT(INDEX('Dealer pipeline'!$H$4:$H$503,_calc!$E$153),"yyyy-mm-dd"),""),IF(ISNUMBER(INDEX('My equipment'!$H$4:$H$503,(_calc!$E$153-500))),TEXT(INDEX('My equipment'!$H$4:$H$503,(_calc!$E$153-500)),"yyyy-mm-dd"),"")))</f>
        <v/>
      </c>
      <c r="F151" s="54">
        <f>IF(_calc!$E$153="","",IF(_calc!$E$153&lt;=500,TRIM(IF(LEN(IF(LEN(INDEX('Dealer pipeline'!$A$4:$A$503,_calc!$E$153))=0,"",INDEX('Dealer pipeline'!$A$4:$A$503,_calc!$E$153)))=0,"","Customer: "&amp;IF(LEN(INDEX('Dealer pipeline'!$A$4:$A$503,_calc!$E$153))=0,"",INDEX('Dealer pipeline'!$A$4:$A$503,_calc!$E$153))&amp;". ")&amp;IF(LEN(IF(LEN(INDEX('Dealer pipeline'!$B$4:$B$503,_calc!$E$153))=0,"",INDEX('Dealer pipeline'!$B$4:$B$503,_calc!$E$153)))=0,"","Contact: "&amp;IF(LEN(INDEX('Dealer pipeline'!$B$4:$B$503,_calc!$E$153))=0,"",INDEX('Dealer pipeline'!$B$4:$B$503,_calc!$E$153))&amp;". ")&amp;IF(LEN(IF(LEN(INDEX('Dealer pipeline'!$D$4:$D$503,_calc!$E$153))=0,"",INDEX('Dealer pipeline'!$D$4:$D$503,_calc!$E$153)))=0,"","Serial: "&amp;IF(LEN(INDEX('Dealer pipeline'!$D$4:$D$503,_calc!$E$153))=0,"",INDEX('Dealer pipeline'!$D$4:$D$503,_calc!$E$153))&amp;". ")&amp;IF(LEN(IF(ISNUMBER(INDEX('Dealer pipeline'!$J$4:$J$503,_calc!$E$153)),TEXT(INDEX('Dealer pipeline'!$J$4:$J$503,_calc!$E$153),"yyyy-mm-dd"),""))=0,"","Parts end: "&amp;IF(ISNUMBER(INDEX('Dealer pipeline'!$J$4:$J$503,_calc!$E$153)),TEXT(INDEX('Dealer pipeline'!$J$4:$J$503,_calc!$E$153),"yyyy-mm-dd"),"")&amp;". ")&amp;IF(LEN(IF(ISNUMBER(INDEX('Dealer pipeline'!$L$4:$L$503,_calc!$E$153)),TEXT(INDEX('Dealer pipeline'!$L$4:$L$503,_calc!$E$153),"yyyy-mm-dd"),""))=0,"","Labor end: "&amp;IF(ISNUMBER(INDEX('Dealer pipeline'!$L$4:$L$503,_calc!$E$153)),TEXT(INDEX('Dealer pipeline'!$L$4:$L$503,_calc!$E$153),"yyyy-mm-dd"),"")&amp;". ")&amp;IF(LEN(IF(LEN(INDEX('Dealer pipeline'!$Q$4:$Q$503,_calc!$E$153))=0,"",INDEX('Dealer pipeline'!$Q$4:$Q$503,_calc!$E$153)))=0,"","Status: "&amp;IF(LEN(INDEX('Dealer pipeline'!$Q$4:$Q$503,_calc!$E$153))=0,"",INDEX('Dealer pipeline'!$Q$4:$Q$503,_calc!$E$153))&amp;". ")&amp;IF(LEN(IF(LEN(INDEX('Dealer pipeline'!$P$4:$P$503,_calc!$E$153))=0,"",INDEX('Dealer pipeline'!$P$4:$P$503,_calc!$E$153)))=0,"","Last touch: "&amp;IF(LEN(INDEX('Dealer pipeline'!$P$4:$P$503,_calc!$E$153))=0,"",INDEX('Dealer pipeline'!$P$4:$P$503,_calc!$E$153))&amp;". ")&amp;IF(LEN(IF(LEN(INDEX('Dealer pipeline'!$R$4:$R$503,_calc!$E$153))=0,"",INDEX('Dealer pipeline'!$R$4:$R$503,_calc!$E$153)))=0,"","Owner: "&amp;IF(LEN(INDEX('Dealer pipeline'!$R$4:$R$503,_calc!$E$153))=0,"",INDEX('Dealer pipeline'!$R$4:$R$503,_calc!$E$153))&amp;". ")&amp;IF(LEN(IF(LEN(INDEX('Dealer pipeline'!$S$4:$S$503,_calc!$E$153))=0,"",INDEX('Dealer pipeline'!$S$4:$S$503,_calc!$E$153)))=0,"","Backup: "&amp;IF(LEN(INDEX('Dealer pipeline'!$S$4:$S$503,_calc!$E$153))=0,"",INDEX('Dealer pipeline'!$S$4:$S$503,_calc!$E$153))&amp;". ")&amp;IF(LEN(IF(LEN(INDEX('Dealer pipeline'!$T$4:$T$503,_calc!$E$153))=0,"",INDEX('Dealer pipeline'!$T$4:$T$503,_calc!$E$153)))=0,"",IF(LEN(INDEX('Dealer pipeline'!$T$4:$T$503,_calc!$E$153))=0,"",INDEX('Dealer pipeline'!$T$4:$T$503,_calc!$E$153)))),TRIM(IF(LEN(IF(LEN(INDEX('My equipment'!$C$4:$C$503,(_calc!$E$153-500)))=0,"",INDEX('My equipment'!$C$4:$C$503,(_calc!$E$153-500))))=0,"","Model: "&amp;IF(LEN(INDEX('My equipment'!$C$4:$C$503,(_calc!$E$153-500)))=0,"",INDEX('My equipment'!$C$4:$C$503,(_calc!$E$153-500)))&amp;". ")&amp;IF(LEN(IF(LEN(INDEX('My equipment'!$D$4:$D$503,(_calc!$E$153-500)))=0,"",INDEX('My equipment'!$D$4:$D$503,(_calc!$E$153-500))))=0,"","Serial: "&amp;IF(LEN(INDEX('My equipment'!$D$4:$D$503,(_calc!$E$153-500)))=0,"",INDEX('My equipment'!$D$4:$D$503,(_calc!$E$153-500)))&amp;". ")&amp;IF(LEN(IF(ISNUMBER(INDEX('My equipment'!$J$4:$J$503,(_calc!$E$153-500))),TEXT(INDEX('My equipment'!$J$4:$J$503,(_calc!$E$153-500)),"yyyy-mm-dd"),""))=0,"","Parts end: "&amp;IF(ISNUMBER(INDEX('My equipment'!$J$4:$J$503,(_calc!$E$153-500))),TEXT(INDEX('My equipment'!$J$4:$J$503,(_calc!$E$153-500)),"yyyy-mm-dd"),"")&amp;". ")&amp;IF(LEN(IF(ISNUMBER(INDEX('My equipment'!$L$4:$L$503,(_calc!$E$153-500))),TEXT(INDEX('My equipment'!$L$4:$L$503,(_calc!$E$153-500)),"yyyy-mm-dd"),""))=0,"","Labor end: "&amp;IF(ISNUMBER(INDEX('My equipment'!$L$4:$L$503,(_calc!$E$153-500))),TEXT(INDEX('My equipment'!$L$4:$L$503,(_calc!$E$153-500)),"yyyy-mm-dd"),"")&amp;". ")&amp;IF(LEN(IF(ISNUMBER(INDEX('My equipment'!$P$4:$P$503,(_calc!$E$153-500))),TEXT(INDEX('My equipment'!$P$4:$P$503,(_calc!$E$153-500)),"yyyy-mm-dd"),""))=0,"","Check by: "&amp;IF(ISNUMBER(INDEX('My equipment'!$P$4:$P$503,(_calc!$E$153-500))),TEXT(INDEX('My equipment'!$P$4:$P$503,(_calc!$E$153-500)),"yyyy-mm-dd"),"")&amp;". ")&amp;IF(LEN(IF(LEN(INDEX('My equipment'!$Q$4:$Q$503,(_calc!$E$153-500)))=0,"",INDEX('My equipment'!$Q$4:$Q$503,(_calc!$E$153-500))))=0,"","Claim status: "&amp;IF(LEN(INDEX('My equipment'!$Q$4:$Q$503,(_calc!$E$153-500)))=0,"",INDEX('My equipment'!$Q$4:$Q$503,(_calc!$E$153-500)))&amp;". ")&amp;IF(LEN(IF(LEN(INDEX('My equipment'!$R$4:$R$503,(_calc!$E$153-500)))=0,"",INDEX('My equipment'!$R$4:$R$503,(_calc!$E$153-500))))=0,"","Claims contact: "&amp;IF(LEN(INDEX('My equipment'!$R$4:$R$503,(_calc!$E$153-500)))=0,"",INDEX('My equipment'!$R$4:$R$503,(_calc!$E$153-500)))&amp;". ")&amp;IF(LEN(IF(LEN(INDEX('My equipment'!$S$4:$S$503,(_calc!$E$153-500)))=0,"",INDEX('My equipment'!$S$4:$S$503,(_calc!$E$153-500))))=0,"","Claims email: "&amp;IF(LEN(INDEX('My equipment'!$S$4:$S$503,(_calc!$E$153-500)))=0,"",INDEX('My equipment'!$S$4:$S$503,(_calc!$E$153-500)))&amp;". ")&amp;IF(LEN(IF(LEN(INDEX('My equipment'!$U$4:$U$503,(_calc!$E$153-500)))=0,"",INDEX('My equipment'!$U$4:$U$503,(_calc!$E$153-500))))=0,"","Registered: "&amp;IF(LEN(INDEX('My equipment'!$U$4:$U$503,(_calc!$E$153-500)))=0,"",INDEX('My equipment'!$U$4:$U$503,(_calc!$E$153-500)))&amp;". ")&amp;IF(LEN(IF(LEN(INDEX('My equipment'!$V$4:$V$503,(_calc!$E$153-500)))=0,"",INDEX('My equipment'!$V$4:$V$503,(_calc!$E$153-500))))=0,"","Proof on file: "&amp;IF(LEN(INDEX('My equipment'!$V$4:$V$503,(_calc!$E$153-500)))=0,"",INDEX('My equipment'!$V$4:$V$503,(_calc!$E$153-500)))&amp;". ")&amp;IF(LEN(IF(LEN(INDEX('My equipment'!$W$4:$W$503,(_calc!$E$153-500)))=0,"",INDEX('My equipment'!$W$4:$W$503,(_calc!$E$153-500))))=0,"","Claim ref: "&amp;IF(LEN(INDEX('My equipment'!$W$4:$W$503,(_calc!$E$153-500)))=0,"",INDEX('My equipment'!$W$4:$W$503,(_calc!$E$153-500)))&amp;". ")&amp;IF(LEN(IF(LEN(INDEX('My equipment'!$Y$4:$Y$503,(_calc!$E$153-500)))=0,"",INDEX('My equipment'!$Y$4:$Y$503,(_calc!$E$153-500))))=0,"",IF(LEN(INDEX('My equipment'!$Y$4:$Y$503,(_calc!$E$153-500)))=0,"",INDEX('My equipment'!$Y$4:$Y$503,(_calc!$E$153-500)))))))</f>
        <v/>
      </c>
      <c r="G151" s="54">
        <f>IF(_calc!$E$153="","",IF(_calc!$E$153&lt;=500,"",IF(LEN(INDEX('My equipment'!$X$4:$X$503,(_calc!$E$153-500)))=0,"",INDEX('My equipment'!$X$4:$X$503,(_calc!$E$153-500)))))</f>
        <v/>
      </c>
      <c r="K151" s="54">
        <f>IF(_calc!$E$153="","",IF(_calc!$E$153&lt;=500,"",IF(LEN(INDEX('My equipment'!$T$4:$T$503,(_calc!$E$153-500)))=0,"",INDEX('My equipment'!$T$4:$T$503,(_calc!$E$153-500)))))</f>
        <v/>
      </c>
    </row>
    <row r="152">
      <c r="A152" s="54">
        <f>IF(_calc!$E$154="","",IF(_calc!$E$154&lt;=500,"Warranty – "&amp;IF(LEN(INDEX('Dealer pipeline'!$C$4:$C$503,_calc!$E$154))=0,"",INDEX('Dealer pipeline'!$C$4:$C$503,_calc!$E$154))&amp;" – "&amp;IF(LEN(INDEX('Dealer pipeline'!$D$4:$D$503,_calc!$E$154))=0,"",INDEX('Dealer pipeline'!$D$4:$D$503,_calc!$E$154))&amp;" – "&amp;IF(LEN(INDEX('Dealer pipeline'!$A$4:$A$503,_calc!$E$154))=0,"",INDEX('Dealer pipeline'!$A$4:$A$503,_calc!$E$154)),"Warranty – "&amp;IF(LEN(INDEX('My equipment'!$A$4:$A$503,(_calc!$E$154-500)))=0,"",INDEX('My equipment'!$A$4:$A$503,(_calc!$E$154-500)))&amp;" – "&amp;IF(LEN(INDEX('My equipment'!$D$4:$D$503,(_calc!$E$154-500)))=0,"",INDEX('My equipment'!$D$4:$D$503,(_calc!$E$154-500)))))</f>
        <v/>
      </c>
      <c r="B152" s="54">
        <f>IF(_calc!$E$154="","",IF(_calc!$E$154&lt;=500,IF(ISNUMBER(INDEX('Dealer pipeline'!$M$4:$M$503,_calc!$E$154)),TEXT(INDEX('Dealer pipeline'!$M$4:$M$503,_calc!$E$154),"yyyy-mm-dd"),""),IF(ISNUMBER(INDEX('My equipment'!$M$4:$M$503,(_calc!$E$154-500))),TEXT(INDEX('My equipment'!$M$4:$M$503,(_calc!$E$154-500)),"yyyy-mm-dd"),"")))</f>
        <v/>
      </c>
      <c r="C152" s="54">
        <f>IF(_calc!$E$154="","",IF(_calc!$E$154&lt;=500,"Warranty","Warranty"))</f>
        <v/>
      </c>
      <c r="D152" s="54">
        <f>IF(_calc!$E$154="","",IF(_calc!$E$154&lt;=500,IF(ISNUMBER(INDEX('Dealer pipeline'!$H$4:$H$503,_calc!$E$154)),TEXT(INDEX('Dealer pipeline'!$H$4:$H$503,_calc!$E$154),"yyyy-mm-dd"),""),IF(ISNUMBER(INDEX('My equipment'!$H$4:$H$503,(_calc!$E$154-500))),TEXT(INDEX('My equipment'!$H$4:$H$503,(_calc!$E$154-500)),"yyyy-mm-dd"),"")))</f>
        <v/>
      </c>
      <c r="F152" s="54">
        <f>IF(_calc!$E$154="","",IF(_calc!$E$154&lt;=500,TRIM(IF(LEN(IF(LEN(INDEX('Dealer pipeline'!$A$4:$A$503,_calc!$E$154))=0,"",INDEX('Dealer pipeline'!$A$4:$A$503,_calc!$E$154)))=0,"","Customer: "&amp;IF(LEN(INDEX('Dealer pipeline'!$A$4:$A$503,_calc!$E$154))=0,"",INDEX('Dealer pipeline'!$A$4:$A$503,_calc!$E$154))&amp;". ")&amp;IF(LEN(IF(LEN(INDEX('Dealer pipeline'!$B$4:$B$503,_calc!$E$154))=0,"",INDEX('Dealer pipeline'!$B$4:$B$503,_calc!$E$154)))=0,"","Contact: "&amp;IF(LEN(INDEX('Dealer pipeline'!$B$4:$B$503,_calc!$E$154))=0,"",INDEX('Dealer pipeline'!$B$4:$B$503,_calc!$E$154))&amp;". ")&amp;IF(LEN(IF(LEN(INDEX('Dealer pipeline'!$D$4:$D$503,_calc!$E$154))=0,"",INDEX('Dealer pipeline'!$D$4:$D$503,_calc!$E$154)))=0,"","Serial: "&amp;IF(LEN(INDEX('Dealer pipeline'!$D$4:$D$503,_calc!$E$154))=0,"",INDEX('Dealer pipeline'!$D$4:$D$503,_calc!$E$154))&amp;". ")&amp;IF(LEN(IF(ISNUMBER(INDEX('Dealer pipeline'!$J$4:$J$503,_calc!$E$154)),TEXT(INDEX('Dealer pipeline'!$J$4:$J$503,_calc!$E$154),"yyyy-mm-dd"),""))=0,"","Parts end: "&amp;IF(ISNUMBER(INDEX('Dealer pipeline'!$J$4:$J$503,_calc!$E$154)),TEXT(INDEX('Dealer pipeline'!$J$4:$J$503,_calc!$E$154),"yyyy-mm-dd"),"")&amp;". ")&amp;IF(LEN(IF(ISNUMBER(INDEX('Dealer pipeline'!$L$4:$L$503,_calc!$E$154)),TEXT(INDEX('Dealer pipeline'!$L$4:$L$503,_calc!$E$154),"yyyy-mm-dd"),""))=0,"","Labor end: "&amp;IF(ISNUMBER(INDEX('Dealer pipeline'!$L$4:$L$503,_calc!$E$154)),TEXT(INDEX('Dealer pipeline'!$L$4:$L$503,_calc!$E$154),"yyyy-mm-dd"),"")&amp;". ")&amp;IF(LEN(IF(LEN(INDEX('Dealer pipeline'!$Q$4:$Q$503,_calc!$E$154))=0,"",INDEX('Dealer pipeline'!$Q$4:$Q$503,_calc!$E$154)))=0,"","Status: "&amp;IF(LEN(INDEX('Dealer pipeline'!$Q$4:$Q$503,_calc!$E$154))=0,"",INDEX('Dealer pipeline'!$Q$4:$Q$503,_calc!$E$154))&amp;". ")&amp;IF(LEN(IF(LEN(INDEX('Dealer pipeline'!$P$4:$P$503,_calc!$E$154))=0,"",INDEX('Dealer pipeline'!$P$4:$P$503,_calc!$E$154)))=0,"","Last touch: "&amp;IF(LEN(INDEX('Dealer pipeline'!$P$4:$P$503,_calc!$E$154))=0,"",INDEX('Dealer pipeline'!$P$4:$P$503,_calc!$E$154))&amp;". ")&amp;IF(LEN(IF(LEN(INDEX('Dealer pipeline'!$R$4:$R$503,_calc!$E$154))=0,"",INDEX('Dealer pipeline'!$R$4:$R$503,_calc!$E$154)))=0,"","Owner: "&amp;IF(LEN(INDEX('Dealer pipeline'!$R$4:$R$503,_calc!$E$154))=0,"",INDEX('Dealer pipeline'!$R$4:$R$503,_calc!$E$154))&amp;". ")&amp;IF(LEN(IF(LEN(INDEX('Dealer pipeline'!$S$4:$S$503,_calc!$E$154))=0,"",INDEX('Dealer pipeline'!$S$4:$S$503,_calc!$E$154)))=0,"","Backup: "&amp;IF(LEN(INDEX('Dealer pipeline'!$S$4:$S$503,_calc!$E$154))=0,"",INDEX('Dealer pipeline'!$S$4:$S$503,_calc!$E$154))&amp;". ")&amp;IF(LEN(IF(LEN(INDEX('Dealer pipeline'!$T$4:$T$503,_calc!$E$154))=0,"",INDEX('Dealer pipeline'!$T$4:$T$503,_calc!$E$154)))=0,"",IF(LEN(INDEX('Dealer pipeline'!$T$4:$T$503,_calc!$E$154))=0,"",INDEX('Dealer pipeline'!$T$4:$T$503,_calc!$E$154)))),TRIM(IF(LEN(IF(LEN(INDEX('My equipment'!$C$4:$C$503,(_calc!$E$154-500)))=0,"",INDEX('My equipment'!$C$4:$C$503,(_calc!$E$154-500))))=0,"","Model: "&amp;IF(LEN(INDEX('My equipment'!$C$4:$C$503,(_calc!$E$154-500)))=0,"",INDEX('My equipment'!$C$4:$C$503,(_calc!$E$154-500)))&amp;". ")&amp;IF(LEN(IF(LEN(INDEX('My equipment'!$D$4:$D$503,(_calc!$E$154-500)))=0,"",INDEX('My equipment'!$D$4:$D$503,(_calc!$E$154-500))))=0,"","Serial: "&amp;IF(LEN(INDEX('My equipment'!$D$4:$D$503,(_calc!$E$154-500)))=0,"",INDEX('My equipment'!$D$4:$D$503,(_calc!$E$154-500)))&amp;". ")&amp;IF(LEN(IF(ISNUMBER(INDEX('My equipment'!$J$4:$J$503,(_calc!$E$154-500))),TEXT(INDEX('My equipment'!$J$4:$J$503,(_calc!$E$154-500)),"yyyy-mm-dd"),""))=0,"","Parts end: "&amp;IF(ISNUMBER(INDEX('My equipment'!$J$4:$J$503,(_calc!$E$154-500))),TEXT(INDEX('My equipment'!$J$4:$J$503,(_calc!$E$154-500)),"yyyy-mm-dd"),"")&amp;". ")&amp;IF(LEN(IF(ISNUMBER(INDEX('My equipment'!$L$4:$L$503,(_calc!$E$154-500))),TEXT(INDEX('My equipment'!$L$4:$L$503,(_calc!$E$154-500)),"yyyy-mm-dd"),""))=0,"","Labor end: "&amp;IF(ISNUMBER(INDEX('My equipment'!$L$4:$L$503,(_calc!$E$154-500))),TEXT(INDEX('My equipment'!$L$4:$L$503,(_calc!$E$154-500)),"yyyy-mm-dd"),"")&amp;". ")&amp;IF(LEN(IF(ISNUMBER(INDEX('My equipment'!$P$4:$P$503,(_calc!$E$154-500))),TEXT(INDEX('My equipment'!$P$4:$P$503,(_calc!$E$154-500)),"yyyy-mm-dd"),""))=0,"","Check by: "&amp;IF(ISNUMBER(INDEX('My equipment'!$P$4:$P$503,(_calc!$E$154-500))),TEXT(INDEX('My equipment'!$P$4:$P$503,(_calc!$E$154-500)),"yyyy-mm-dd"),"")&amp;". ")&amp;IF(LEN(IF(LEN(INDEX('My equipment'!$Q$4:$Q$503,(_calc!$E$154-500)))=0,"",INDEX('My equipment'!$Q$4:$Q$503,(_calc!$E$154-500))))=0,"","Claim status: "&amp;IF(LEN(INDEX('My equipment'!$Q$4:$Q$503,(_calc!$E$154-500)))=0,"",INDEX('My equipment'!$Q$4:$Q$503,(_calc!$E$154-500)))&amp;". ")&amp;IF(LEN(IF(LEN(INDEX('My equipment'!$R$4:$R$503,(_calc!$E$154-500)))=0,"",INDEX('My equipment'!$R$4:$R$503,(_calc!$E$154-500))))=0,"","Claims contact: "&amp;IF(LEN(INDEX('My equipment'!$R$4:$R$503,(_calc!$E$154-500)))=0,"",INDEX('My equipment'!$R$4:$R$503,(_calc!$E$154-500)))&amp;". ")&amp;IF(LEN(IF(LEN(INDEX('My equipment'!$S$4:$S$503,(_calc!$E$154-500)))=0,"",INDEX('My equipment'!$S$4:$S$503,(_calc!$E$154-500))))=0,"","Claims email: "&amp;IF(LEN(INDEX('My equipment'!$S$4:$S$503,(_calc!$E$154-500)))=0,"",INDEX('My equipment'!$S$4:$S$503,(_calc!$E$154-500)))&amp;". ")&amp;IF(LEN(IF(LEN(INDEX('My equipment'!$U$4:$U$503,(_calc!$E$154-500)))=0,"",INDEX('My equipment'!$U$4:$U$503,(_calc!$E$154-500))))=0,"","Registered: "&amp;IF(LEN(INDEX('My equipment'!$U$4:$U$503,(_calc!$E$154-500)))=0,"",INDEX('My equipment'!$U$4:$U$503,(_calc!$E$154-500)))&amp;". ")&amp;IF(LEN(IF(LEN(INDEX('My equipment'!$V$4:$V$503,(_calc!$E$154-500)))=0,"",INDEX('My equipment'!$V$4:$V$503,(_calc!$E$154-500))))=0,"","Proof on file: "&amp;IF(LEN(INDEX('My equipment'!$V$4:$V$503,(_calc!$E$154-500)))=0,"",INDEX('My equipment'!$V$4:$V$503,(_calc!$E$154-500)))&amp;". ")&amp;IF(LEN(IF(LEN(INDEX('My equipment'!$W$4:$W$503,(_calc!$E$154-500)))=0,"",INDEX('My equipment'!$W$4:$W$503,(_calc!$E$154-500))))=0,"","Claim ref: "&amp;IF(LEN(INDEX('My equipment'!$W$4:$W$503,(_calc!$E$154-500)))=0,"",INDEX('My equipment'!$W$4:$W$503,(_calc!$E$154-500)))&amp;". ")&amp;IF(LEN(IF(LEN(INDEX('My equipment'!$Y$4:$Y$503,(_calc!$E$154-500)))=0,"",INDEX('My equipment'!$Y$4:$Y$503,(_calc!$E$154-500))))=0,"",IF(LEN(INDEX('My equipment'!$Y$4:$Y$503,(_calc!$E$154-500)))=0,"",INDEX('My equipment'!$Y$4:$Y$503,(_calc!$E$154-500)))))))</f>
        <v/>
      </c>
      <c r="G152" s="54">
        <f>IF(_calc!$E$154="","",IF(_calc!$E$154&lt;=500,"",IF(LEN(INDEX('My equipment'!$X$4:$X$503,(_calc!$E$154-500)))=0,"",INDEX('My equipment'!$X$4:$X$503,(_calc!$E$154-500)))))</f>
        <v/>
      </c>
      <c r="K152" s="54">
        <f>IF(_calc!$E$154="","",IF(_calc!$E$154&lt;=500,"",IF(LEN(INDEX('My equipment'!$T$4:$T$503,(_calc!$E$154-500)))=0,"",INDEX('My equipment'!$T$4:$T$503,(_calc!$E$154-500)))))</f>
        <v/>
      </c>
    </row>
    <row r="153">
      <c r="A153" s="54">
        <f>IF(_calc!$E$155="","",IF(_calc!$E$155&lt;=500,"Warranty – "&amp;IF(LEN(INDEX('Dealer pipeline'!$C$4:$C$503,_calc!$E$155))=0,"",INDEX('Dealer pipeline'!$C$4:$C$503,_calc!$E$155))&amp;" – "&amp;IF(LEN(INDEX('Dealer pipeline'!$D$4:$D$503,_calc!$E$155))=0,"",INDEX('Dealer pipeline'!$D$4:$D$503,_calc!$E$155))&amp;" – "&amp;IF(LEN(INDEX('Dealer pipeline'!$A$4:$A$503,_calc!$E$155))=0,"",INDEX('Dealer pipeline'!$A$4:$A$503,_calc!$E$155)),"Warranty – "&amp;IF(LEN(INDEX('My equipment'!$A$4:$A$503,(_calc!$E$155-500)))=0,"",INDEX('My equipment'!$A$4:$A$503,(_calc!$E$155-500)))&amp;" – "&amp;IF(LEN(INDEX('My equipment'!$D$4:$D$503,(_calc!$E$155-500)))=0,"",INDEX('My equipment'!$D$4:$D$503,(_calc!$E$155-500)))))</f>
        <v/>
      </c>
      <c r="B153" s="54">
        <f>IF(_calc!$E$155="","",IF(_calc!$E$155&lt;=500,IF(ISNUMBER(INDEX('Dealer pipeline'!$M$4:$M$503,_calc!$E$155)),TEXT(INDEX('Dealer pipeline'!$M$4:$M$503,_calc!$E$155),"yyyy-mm-dd"),""),IF(ISNUMBER(INDEX('My equipment'!$M$4:$M$503,(_calc!$E$155-500))),TEXT(INDEX('My equipment'!$M$4:$M$503,(_calc!$E$155-500)),"yyyy-mm-dd"),"")))</f>
        <v/>
      </c>
      <c r="C153" s="54">
        <f>IF(_calc!$E$155="","",IF(_calc!$E$155&lt;=500,"Warranty","Warranty"))</f>
        <v/>
      </c>
      <c r="D153" s="54">
        <f>IF(_calc!$E$155="","",IF(_calc!$E$155&lt;=500,IF(ISNUMBER(INDEX('Dealer pipeline'!$H$4:$H$503,_calc!$E$155)),TEXT(INDEX('Dealer pipeline'!$H$4:$H$503,_calc!$E$155),"yyyy-mm-dd"),""),IF(ISNUMBER(INDEX('My equipment'!$H$4:$H$503,(_calc!$E$155-500))),TEXT(INDEX('My equipment'!$H$4:$H$503,(_calc!$E$155-500)),"yyyy-mm-dd"),"")))</f>
        <v/>
      </c>
      <c r="F153" s="54">
        <f>IF(_calc!$E$155="","",IF(_calc!$E$155&lt;=500,TRIM(IF(LEN(IF(LEN(INDEX('Dealer pipeline'!$A$4:$A$503,_calc!$E$155))=0,"",INDEX('Dealer pipeline'!$A$4:$A$503,_calc!$E$155)))=0,"","Customer: "&amp;IF(LEN(INDEX('Dealer pipeline'!$A$4:$A$503,_calc!$E$155))=0,"",INDEX('Dealer pipeline'!$A$4:$A$503,_calc!$E$155))&amp;". ")&amp;IF(LEN(IF(LEN(INDEX('Dealer pipeline'!$B$4:$B$503,_calc!$E$155))=0,"",INDEX('Dealer pipeline'!$B$4:$B$503,_calc!$E$155)))=0,"","Contact: "&amp;IF(LEN(INDEX('Dealer pipeline'!$B$4:$B$503,_calc!$E$155))=0,"",INDEX('Dealer pipeline'!$B$4:$B$503,_calc!$E$155))&amp;". ")&amp;IF(LEN(IF(LEN(INDEX('Dealer pipeline'!$D$4:$D$503,_calc!$E$155))=0,"",INDEX('Dealer pipeline'!$D$4:$D$503,_calc!$E$155)))=0,"","Serial: "&amp;IF(LEN(INDEX('Dealer pipeline'!$D$4:$D$503,_calc!$E$155))=0,"",INDEX('Dealer pipeline'!$D$4:$D$503,_calc!$E$155))&amp;". ")&amp;IF(LEN(IF(ISNUMBER(INDEX('Dealer pipeline'!$J$4:$J$503,_calc!$E$155)),TEXT(INDEX('Dealer pipeline'!$J$4:$J$503,_calc!$E$155),"yyyy-mm-dd"),""))=0,"","Parts end: "&amp;IF(ISNUMBER(INDEX('Dealer pipeline'!$J$4:$J$503,_calc!$E$155)),TEXT(INDEX('Dealer pipeline'!$J$4:$J$503,_calc!$E$155),"yyyy-mm-dd"),"")&amp;". ")&amp;IF(LEN(IF(ISNUMBER(INDEX('Dealer pipeline'!$L$4:$L$503,_calc!$E$155)),TEXT(INDEX('Dealer pipeline'!$L$4:$L$503,_calc!$E$155),"yyyy-mm-dd"),""))=0,"","Labor end: "&amp;IF(ISNUMBER(INDEX('Dealer pipeline'!$L$4:$L$503,_calc!$E$155)),TEXT(INDEX('Dealer pipeline'!$L$4:$L$503,_calc!$E$155),"yyyy-mm-dd"),"")&amp;". ")&amp;IF(LEN(IF(LEN(INDEX('Dealer pipeline'!$Q$4:$Q$503,_calc!$E$155))=0,"",INDEX('Dealer pipeline'!$Q$4:$Q$503,_calc!$E$155)))=0,"","Status: "&amp;IF(LEN(INDEX('Dealer pipeline'!$Q$4:$Q$503,_calc!$E$155))=0,"",INDEX('Dealer pipeline'!$Q$4:$Q$503,_calc!$E$155))&amp;". ")&amp;IF(LEN(IF(LEN(INDEX('Dealer pipeline'!$P$4:$P$503,_calc!$E$155))=0,"",INDEX('Dealer pipeline'!$P$4:$P$503,_calc!$E$155)))=0,"","Last touch: "&amp;IF(LEN(INDEX('Dealer pipeline'!$P$4:$P$503,_calc!$E$155))=0,"",INDEX('Dealer pipeline'!$P$4:$P$503,_calc!$E$155))&amp;". ")&amp;IF(LEN(IF(LEN(INDEX('Dealer pipeline'!$R$4:$R$503,_calc!$E$155))=0,"",INDEX('Dealer pipeline'!$R$4:$R$503,_calc!$E$155)))=0,"","Owner: "&amp;IF(LEN(INDEX('Dealer pipeline'!$R$4:$R$503,_calc!$E$155))=0,"",INDEX('Dealer pipeline'!$R$4:$R$503,_calc!$E$155))&amp;". ")&amp;IF(LEN(IF(LEN(INDEX('Dealer pipeline'!$S$4:$S$503,_calc!$E$155))=0,"",INDEX('Dealer pipeline'!$S$4:$S$503,_calc!$E$155)))=0,"","Backup: "&amp;IF(LEN(INDEX('Dealer pipeline'!$S$4:$S$503,_calc!$E$155))=0,"",INDEX('Dealer pipeline'!$S$4:$S$503,_calc!$E$155))&amp;". ")&amp;IF(LEN(IF(LEN(INDEX('Dealer pipeline'!$T$4:$T$503,_calc!$E$155))=0,"",INDEX('Dealer pipeline'!$T$4:$T$503,_calc!$E$155)))=0,"",IF(LEN(INDEX('Dealer pipeline'!$T$4:$T$503,_calc!$E$155))=0,"",INDEX('Dealer pipeline'!$T$4:$T$503,_calc!$E$155)))),TRIM(IF(LEN(IF(LEN(INDEX('My equipment'!$C$4:$C$503,(_calc!$E$155-500)))=0,"",INDEX('My equipment'!$C$4:$C$503,(_calc!$E$155-500))))=0,"","Model: "&amp;IF(LEN(INDEX('My equipment'!$C$4:$C$503,(_calc!$E$155-500)))=0,"",INDEX('My equipment'!$C$4:$C$503,(_calc!$E$155-500)))&amp;". ")&amp;IF(LEN(IF(LEN(INDEX('My equipment'!$D$4:$D$503,(_calc!$E$155-500)))=0,"",INDEX('My equipment'!$D$4:$D$503,(_calc!$E$155-500))))=0,"","Serial: "&amp;IF(LEN(INDEX('My equipment'!$D$4:$D$503,(_calc!$E$155-500)))=0,"",INDEX('My equipment'!$D$4:$D$503,(_calc!$E$155-500)))&amp;". ")&amp;IF(LEN(IF(ISNUMBER(INDEX('My equipment'!$J$4:$J$503,(_calc!$E$155-500))),TEXT(INDEX('My equipment'!$J$4:$J$503,(_calc!$E$155-500)),"yyyy-mm-dd"),""))=0,"","Parts end: "&amp;IF(ISNUMBER(INDEX('My equipment'!$J$4:$J$503,(_calc!$E$155-500))),TEXT(INDEX('My equipment'!$J$4:$J$503,(_calc!$E$155-500)),"yyyy-mm-dd"),"")&amp;". ")&amp;IF(LEN(IF(ISNUMBER(INDEX('My equipment'!$L$4:$L$503,(_calc!$E$155-500))),TEXT(INDEX('My equipment'!$L$4:$L$503,(_calc!$E$155-500)),"yyyy-mm-dd"),""))=0,"","Labor end: "&amp;IF(ISNUMBER(INDEX('My equipment'!$L$4:$L$503,(_calc!$E$155-500))),TEXT(INDEX('My equipment'!$L$4:$L$503,(_calc!$E$155-500)),"yyyy-mm-dd"),"")&amp;". ")&amp;IF(LEN(IF(ISNUMBER(INDEX('My equipment'!$P$4:$P$503,(_calc!$E$155-500))),TEXT(INDEX('My equipment'!$P$4:$P$503,(_calc!$E$155-500)),"yyyy-mm-dd"),""))=0,"","Check by: "&amp;IF(ISNUMBER(INDEX('My equipment'!$P$4:$P$503,(_calc!$E$155-500))),TEXT(INDEX('My equipment'!$P$4:$P$503,(_calc!$E$155-500)),"yyyy-mm-dd"),"")&amp;". ")&amp;IF(LEN(IF(LEN(INDEX('My equipment'!$Q$4:$Q$503,(_calc!$E$155-500)))=0,"",INDEX('My equipment'!$Q$4:$Q$503,(_calc!$E$155-500))))=0,"","Claim status: "&amp;IF(LEN(INDEX('My equipment'!$Q$4:$Q$503,(_calc!$E$155-500)))=0,"",INDEX('My equipment'!$Q$4:$Q$503,(_calc!$E$155-500)))&amp;". ")&amp;IF(LEN(IF(LEN(INDEX('My equipment'!$R$4:$R$503,(_calc!$E$155-500)))=0,"",INDEX('My equipment'!$R$4:$R$503,(_calc!$E$155-500))))=0,"","Claims contact: "&amp;IF(LEN(INDEX('My equipment'!$R$4:$R$503,(_calc!$E$155-500)))=0,"",INDEX('My equipment'!$R$4:$R$503,(_calc!$E$155-500)))&amp;". ")&amp;IF(LEN(IF(LEN(INDEX('My equipment'!$S$4:$S$503,(_calc!$E$155-500)))=0,"",INDEX('My equipment'!$S$4:$S$503,(_calc!$E$155-500))))=0,"","Claims email: "&amp;IF(LEN(INDEX('My equipment'!$S$4:$S$503,(_calc!$E$155-500)))=0,"",INDEX('My equipment'!$S$4:$S$503,(_calc!$E$155-500)))&amp;". ")&amp;IF(LEN(IF(LEN(INDEX('My equipment'!$U$4:$U$503,(_calc!$E$155-500)))=0,"",INDEX('My equipment'!$U$4:$U$503,(_calc!$E$155-500))))=0,"","Registered: "&amp;IF(LEN(INDEX('My equipment'!$U$4:$U$503,(_calc!$E$155-500)))=0,"",INDEX('My equipment'!$U$4:$U$503,(_calc!$E$155-500)))&amp;". ")&amp;IF(LEN(IF(LEN(INDEX('My equipment'!$V$4:$V$503,(_calc!$E$155-500)))=0,"",INDEX('My equipment'!$V$4:$V$503,(_calc!$E$155-500))))=0,"","Proof on file: "&amp;IF(LEN(INDEX('My equipment'!$V$4:$V$503,(_calc!$E$155-500)))=0,"",INDEX('My equipment'!$V$4:$V$503,(_calc!$E$155-500)))&amp;". ")&amp;IF(LEN(IF(LEN(INDEX('My equipment'!$W$4:$W$503,(_calc!$E$155-500)))=0,"",INDEX('My equipment'!$W$4:$W$503,(_calc!$E$155-500))))=0,"","Claim ref: "&amp;IF(LEN(INDEX('My equipment'!$W$4:$W$503,(_calc!$E$155-500)))=0,"",INDEX('My equipment'!$W$4:$W$503,(_calc!$E$155-500)))&amp;". ")&amp;IF(LEN(IF(LEN(INDEX('My equipment'!$Y$4:$Y$503,(_calc!$E$155-500)))=0,"",INDEX('My equipment'!$Y$4:$Y$503,(_calc!$E$155-500))))=0,"",IF(LEN(INDEX('My equipment'!$Y$4:$Y$503,(_calc!$E$155-500)))=0,"",INDEX('My equipment'!$Y$4:$Y$503,(_calc!$E$155-500)))))))</f>
        <v/>
      </c>
      <c r="G153" s="54">
        <f>IF(_calc!$E$155="","",IF(_calc!$E$155&lt;=500,"",IF(LEN(INDEX('My equipment'!$X$4:$X$503,(_calc!$E$155-500)))=0,"",INDEX('My equipment'!$X$4:$X$503,(_calc!$E$155-500)))))</f>
        <v/>
      </c>
      <c r="K153" s="54">
        <f>IF(_calc!$E$155="","",IF(_calc!$E$155&lt;=500,"",IF(LEN(INDEX('My equipment'!$T$4:$T$503,(_calc!$E$155-500)))=0,"",INDEX('My equipment'!$T$4:$T$503,(_calc!$E$155-500)))))</f>
        <v/>
      </c>
    </row>
    <row r="154">
      <c r="A154" s="54">
        <f>IF(_calc!$E$156="","",IF(_calc!$E$156&lt;=500,"Warranty – "&amp;IF(LEN(INDEX('Dealer pipeline'!$C$4:$C$503,_calc!$E$156))=0,"",INDEX('Dealer pipeline'!$C$4:$C$503,_calc!$E$156))&amp;" – "&amp;IF(LEN(INDEX('Dealer pipeline'!$D$4:$D$503,_calc!$E$156))=0,"",INDEX('Dealer pipeline'!$D$4:$D$503,_calc!$E$156))&amp;" – "&amp;IF(LEN(INDEX('Dealer pipeline'!$A$4:$A$503,_calc!$E$156))=0,"",INDEX('Dealer pipeline'!$A$4:$A$503,_calc!$E$156)),"Warranty – "&amp;IF(LEN(INDEX('My equipment'!$A$4:$A$503,(_calc!$E$156-500)))=0,"",INDEX('My equipment'!$A$4:$A$503,(_calc!$E$156-500)))&amp;" – "&amp;IF(LEN(INDEX('My equipment'!$D$4:$D$503,(_calc!$E$156-500)))=0,"",INDEX('My equipment'!$D$4:$D$503,(_calc!$E$156-500)))))</f>
        <v/>
      </c>
      <c r="B154" s="54">
        <f>IF(_calc!$E$156="","",IF(_calc!$E$156&lt;=500,IF(ISNUMBER(INDEX('Dealer pipeline'!$M$4:$M$503,_calc!$E$156)),TEXT(INDEX('Dealer pipeline'!$M$4:$M$503,_calc!$E$156),"yyyy-mm-dd"),""),IF(ISNUMBER(INDEX('My equipment'!$M$4:$M$503,(_calc!$E$156-500))),TEXT(INDEX('My equipment'!$M$4:$M$503,(_calc!$E$156-500)),"yyyy-mm-dd"),"")))</f>
        <v/>
      </c>
      <c r="C154" s="54">
        <f>IF(_calc!$E$156="","",IF(_calc!$E$156&lt;=500,"Warranty","Warranty"))</f>
        <v/>
      </c>
      <c r="D154" s="54">
        <f>IF(_calc!$E$156="","",IF(_calc!$E$156&lt;=500,IF(ISNUMBER(INDEX('Dealer pipeline'!$H$4:$H$503,_calc!$E$156)),TEXT(INDEX('Dealer pipeline'!$H$4:$H$503,_calc!$E$156),"yyyy-mm-dd"),""),IF(ISNUMBER(INDEX('My equipment'!$H$4:$H$503,(_calc!$E$156-500))),TEXT(INDEX('My equipment'!$H$4:$H$503,(_calc!$E$156-500)),"yyyy-mm-dd"),"")))</f>
        <v/>
      </c>
      <c r="F154" s="54">
        <f>IF(_calc!$E$156="","",IF(_calc!$E$156&lt;=500,TRIM(IF(LEN(IF(LEN(INDEX('Dealer pipeline'!$A$4:$A$503,_calc!$E$156))=0,"",INDEX('Dealer pipeline'!$A$4:$A$503,_calc!$E$156)))=0,"","Customer: "&amp;IF(LEN(INDEX('Dealer pipeline'!$A$4:$A$503,_calc!$E$156))=0,"",INDEX('Dealer pipeline'!$A$4:$A$503,_calc!$E$156))&amp;". ")&amp;IF(LEN(IF(LEN(INDEX('Dealer pipeline'!$B$4:$B$503,_calc!$E$156))=0,"",INDEX('Dealer pipeline'!$B$4:$B$503,_calc!$E$156)))=0,"","Contact: "&amp;IF(LEN(INDEX('Dealer pipeline'!$B$4:$B$503,_calc!$E$156))=0,"",INDEX('Dealer pipeline'!$B$4:$B$503,_calc!$E$156))&amp;". ")&amp;IF(LEN(IF(LEN(INDEX('Dealer pipeline'!$D$4:$D$503,_calc!$E$156))=0,"",INDEX('Dealer pipeline'!$D$4:$D$503,_calc!$E$156)))=0,"","Serial: "&amp;IF(LEN(INDEX('Dealer pipeline'!$D$4:$D$503,_calc!$E$156))=0,"",INDEX('Dealer pipeline'!$D$4:$D$503,_calc!$E$156))&amp;". ")&amp;IF(LEN(IF(ISNUMBER(INDEX('Dealer pipeline'!$J$4:$J$503,_calc!$E$156)),TEXT(INDEX('Dealer pipeline'!$J$4:$J$503,_calc!$E$156),"yyyy-mm-dd"),""))=0,"","Parts end: "&amp;IF(ISNUMBER(INDEX('Dealer pipeline'!$J$4:$J$503,_calc!$E$156)),TEXT(INDEX('Dealer pipeline'!$J$4:$J$503,_calc!$E$156),"yyyy-mm-dd"),"")&amp;". ")&amp;IF(LEN(IF(ISNUMBER(INDEX('Dealer pipeline'!$L$4:$L$503,_calc!$E$156)),TEXT(INDEX('Dealer pipeline'!$L$4:$L$503,_calc!$E$156),"yyyy-mm-dd"),""))=0,"","Labor end: "&amp;IF(ISNUMBER(INDEX('Dealer pipeline'!$L$4:$L$503,_calc!$E$156)),TEXT(INDEX('Dealer pipeline'!$L$4:$L$503,_calc!$E$156),"yyyy-mm-dd"),"")&amp;". ")&amp;IF(LEN(IF(LEN(INDEX('Dealer pipeline'!$Q$4:$Q$503,_calc!$E$156))=0,"",INDEX('Dealer pipeline'!$Q$4:$Q$503,_calc!$E$156)))=0,"","Status: "&amp;IF(LEN(INDEX('Dealer pipeline'!$Q$4:$Q$503,_calc!$E$156))=0,"",INDEX('Dealer pipeline'!$Q$4:$Q$503,_calc!$E$156))&amp;". ")&amp;IF(LEN(IF(LEN(INDEX('Dealer pipeline'!$P$4:$P$503,_calc!$E$156))=0,"",INDEX('Dealer pipeline'!$P$4:$P$503,_calc!$E$156)))=0,"","Last touch: "&amp;IF(LEN(INDEX('Dealer pipeline'!$P$4:$P$503,_calc!$E$156))=0,"",INDEX('Dealer pipeline'!$P$4:$P$503,_calc!$E$156))&amp;". ")&amp;IF(LEN(IF(LEN(INDEX('Dealer pipeline'!$R$4:$R$503,_calc!$E$156))=0,"",INDEX('Dealer pipeline'!$R$4:$R$503,_calc!$E$156)))=0,"","Owner: "&amp;IF(LEN(INDEX('Dealer pipeline'!$R$4:$R$503,_calc!$E$156))=0,"",INDEX('Dealer pipeline'!$R$4:$R$503,_calc!$E$156))&amp;". ")&amp;IF(LEN(IF(LEN(INDEX('Dealer pipeline'!$S$4:$S$503,_calc!$E$156))=0,"",INDEX('Dealer pipeline'!$S$4:$S$503,_calc!$E$156)))=0,"","Backup: "&amp;IF(LEN(INDEX('Dealer pipeline'!$S$4:$S$503,_calc!$E$156))=0,"",INDEX('Dealer pipeline'!$S$4:$S$503,_calc!$E$156))&amp;". ")&amp;IF(LEN(IF(LEN(INDEX('Dealer pipeline'!$T$4:$T$503,_calc!$E$156))=0,"",INDEX('Dealer pipeline'!$T$4:$T$503,_calc!$E$156)))=0,"",IF(LEN(INDEX('Dealer pipeline'!$T$4:$T$503,_calc!$E$156))=0,"",INDEX('Dealer pipeline'!$T$4:$T$503,_calc!$E$156)))),TRIM(IF(LEN(IF(LEN(INDEX('My equipment'!$C$4:$C$503,(_calc!$E$156-500)))=0,"",INDEX('My equipment'!$C$4:$C$503,(_calc!$E$156-500))))=0,"","Model: "&amp;IF(LEN(INDEX('My equipment'!$C$4:$C$503,(_calc!$E$156-500)))=0,"",INDEX('My equipment'!$C$4:$C$503,(_calc!$E$156-500)))&amp;". ")&amp;IF(LEN(IF(LEN(INDEX('My equipment'!$D$4:$D$503,(_calc!$E$156-500)))=0,"",INDEX('My equipment'!$D$4:$D$503,(_calc!$E$156-500))))=0,"","Serial: "&amp;IF(LEN(INDEX('My equipment'!$D$4:$D$503,(_calc!$E$156-500)))=0,"",INDEX('My equipment'!$D$4:$D$503,(_calc!$E$156-500)))&amp;". ")&amp;IF(LEN(IF(ISNUMBER(INDEX('My equipment'!$J$4:$J$503,(_calc!$E$156-500))),TEXT(INDEX('My equipment'!$J$4:$J$503,(_calc!$E$156-500)),"yyyy-mm-dd"),""))=0,"","Parts end: "&amp;IF(ISNUMBER(INDEX('My equipment'!$J$4:$J$503,(_calc!$E$156-500))),TEXT(INDEX('My equipment'!$J$4:$J$503,(_calc!$E$156-500)),"yyyy-mm-dd"),"")&amp;". ")&amp;IF(LEN(IF(ISNUMBER(INDEX('My equipment'!$L$4:$L$503,(_calc!$E$156-500))),TEXT(INDEX('My equipment'!$L$4:$L$503,(_calc!$E$156-500)),"yyyy-mm-dd"),""))=0,"","Labor end: "&amp;IF(ISNUMBER(INDEX('My equipment'!$L$4:$L$503,(_calc!$E$156-500))),TEXT(INDEX('My equipment'!$L$4:$L$503,(_calc!$E$156-500)),"yyyy-mm-dd"),"")&amp;". ")&amp;IF(LEN(IF(ISNUMBER(INDEX('My equipment'!$P$4:$P$503,(_calc!$E$156-500))),TEXT(INDEX('My equipment'!$P$4:$P$503,(_calc!$E$156-500)),"yyyy-mm-dd"),""))=0,"","Check by: "&amp;IF(ISNUMBER(INDEX('My equipment'!$P$4:$P$503,(_calc!$E$156-500))),TEXT(INDEX('My equipment'!$P$4:$P$503,(_calc!$E$156-500)),"yyyy-mm-dd"),"")&amp;". ")&amp;IF(LEN(IF(LEN(INDEX('My equipment'!$Q$4:$Q$503,(_calc!$E$156-500)))=0,"",INDEX('My equipment'!$Q$4:$Q$503,(_calc!$E$156-500))))=0,"","Claim status: "&amp;IF(LEN(INDEX('My equipment'!$Q$4:$Q$503,(_calc!$E$156-500)))=0,"",INDEX('My equipment'!$Q$4:$Q$503,(_calc!$E$156-500)))&amp;". ")&amp;IF(LEN(IF(LEN(INDEX('My equipment'!$R$4:$R$503,(_calc!$E$156-500)))=0,"",INDEX('My equipment'!$R$4:$R$503,(_calc!$E$156-500))))=0,"","Claims contact: "&amp;IF(LEN(INDEX('My equipment'!$R$4:$R$503,(_calc!$E$156-500)))=0,"",INDEX('My equipment'!$R$4:$R$503,(_calc!$E$156-500)))&amp;". ")&amp;IF(LEN(IF(LEN(INDEX('My equipment'!$S$4:$S$503,(_calc!$E$156-500)))=0,"",INDEX('My equipment'!$S$4:$S$503,(_calc!$E$156-500))))=0,"","Claims email: "&amp;IF(LEN(INDEX('My equipment'!$S$4:$S$503,(_calc!$E$156-500)))=0,"",INDEX('My equipment'!$S$4:$S$503,(_calc!$E$156-500)))&amp;". ")&amp;IF(LEN(IF(LEN(INDEX('My equipment'!$U$4:$U$503,(_calc!$E$156-500)))=0,"",INDEX('My equipment'!$U$4:$U$503,(_calc!$E$156-500))))=0,"","Registered: "&amp;IF(LEN(INDEX('My equipment'!$U$4:$U$503,(_calc!$E$156-500)))=0,"",INDEX('My equipment'!$U$4:$U$503,(_calc!$E$156-500)))&amp;". ")&amp;IF(LEN(IF(LEN(INDEX('My equipment'!$V$4:$V$503,(_calc!$E$156-500)))=0,"",INDEX('My equipment'!$V$4:$V$503,(_calc!$E$156-500))))=0,"","Proof on file: "&amp;IF(LEN(INDEX('My equipment'!$V$4:$V$503,(_calc!$E$156-500)))=0,"",INDEX('My equipment'!$V$4:$V$503,(_calc!$E$156-500)))&amp;". ")&amp;IF(LEN(IF(LEN(INDEX('My equipment'!$W$4:$W$503,(_calc!$E$156-500)))=0,"",INDEX('My equipment'!$W$4:$W$503,(_calc!$E$156-500))))=0,"","Claim ref: "&amp;IF(LEN(INDEX('My equipment'!$W$4:$W$503,(_calc!$E$156-500)))=0,"",INDEX('My equipment'!$W$4:$W$503,(_calc!$E$156-500)))&amp;". ")&amp;IF(LEN(IF(LEN(INDEX('My equipment'!$Y$4:$Y$503,(_calc!$E$156-500)))=0,"",INDEX('My equipment'!$Y$4:$Y$503,(_calc!$E$156-500))))=0,"",IF(LEN(INDEX('My equipment'!$Y$4:$Y$503,(_calc!$E$156-500)))=0,"",INDEX('My equipment'!$Y$4:$Y$503,(_calc!$E$156-500)))))))</f>
        <v/>
      </c>
      <c r="G154" s="54">
        <f>IF(_calc!$E$156="","",IF(_calc!$E$156&lt;=500,"",IF(LEN(INDEX('My equipment'!$X$4:$X$503,(_calc!$E$156-500)))=0,"",INDEX('My equipment'!$X$4:$X$503,(_calc!$E$156-500)))))</f>
        <v/>
      </c>
      <c r="K154" s="54">
        <f>IF(_calc!$E$156="","",IF(_calc!$E$156&lt;=500,"",IF(LEN(INDEX('My equipment'!$T$4:$T$503,(_calc!$E$156-500)))=0,"",INDEX('My equipment'!$T$4:$T$503,(_calc!$E$156-500)))))</f>
        <v/>
      </c>
    </row>
    <row r="155">
      <c r="A155" s="54">
        <f>IF(_calc!$E$157="","",IF(_calc!$E$157&lt;=500,"Warranty – "&amp;IF(LEN(INDEX('Dealer pipeline'!$C$4:$C$503,_calc!$E$157))=0,"",INDEX('Dealer pipeline'!$C$4:$C$503,_calc!$E$157))&amp;" – "&amp;IF(LEN(INDEX('Dealer pipeline'!$D$4:$D$503,_calc!$E$157))=0,"",INDEX('Dealer pipeline'!$D$4:$D$503,_calc!$E$157))&amp;" – "&amp;IF(LEN(INDEX('Dealer pipeline'!$A$4:$A$503,_calc!$E$157))=0,"",INDEX('Dealer pipeline'!$A$4:$A$503,_calc!$E$157)),"Warranty – "&amp;IF(LEN(INDEX('My equipment'!$A$4:$A$503,(_calc!$E$157-500)))=0,"",INDEX('My equipment'!$A$4:$A$503,(_calc!$E$157-500)))&amp;" – "&amp;IF(LEN(INDEX('My equipment'!$D$4:$D$503,(_calc!$E$157-500)))=0,"",INDEX('My equipment'!$D$4:$D$503,(_calc!$E$157-500)))))</f>
        <v/>
      </c>
      <c r="B155" s="54">
        <f>IF(_calc!$E$157="","",IF(_calc!$E$157&lt;=500,IF(ISNUMBER(INDEX('Dealer pipeline'!$M$4:$M$503,_calc!$E$157)),TEXT(INDEX('Dealer pipeline'!$M$4:$M$503,_calc!$E$157),"yyyy-mm-dd"),""),IF(ISNUMBER(INDEX('My equipment'!$M$4:$M$503,(_calc!$E$157-500))),TEXT(INDEX('My equipment'!$M$4:$M$503,(_calc!$E$157-500)),"yyyy-mm-dd"),"")))</f>
        <v/>
      </c>
      <c r="C155" s="54">
        <f>IF(_calc!$E$157="","",IF(_calc!$E$157&lt;=500,"Warranty","Warranty"))</f>
        <v/>
      </c>
      <c r="D155" s="54">
        <f>IF(_calc!$E$157="","",IF(_calc!$E$157&lt;=500,IF(ISNUMBER(INDEX('Dealer pipeline'!$H$4:$H$503,_calc!$E$157)),TEXT(INDEX('Dealer pipeline'!$H$4:$H$503,_calc!$E$157),"yyyy-mm-dd"),""),IF(ISNUMBER(INDEX('My equipment'!$H$4:$H$503,(_calc!$E$157-500))),TEXT(INDEX('My equipment'!$H$4:$H$503,(_calc!$E$157-500)),"yyyy-mm-dd"),"")))</f>
        <v/>
      </c>
      <c r="F155" s="54">
        <f>IF(_calc!$E$157="","",IF(_calc!$E$157&lt;=500,TRIM(IF(LEN(IF(LEN(INDEX('Dealer pipeline'!$A$4:$A$503,_calc!$E$157))=0,"",INDEX('Dealer pipeline'!$A$4:$A$503,_calc!$E$157)))=0,"","Customer: "&amp;IF(LEN(INDEX('Dealer pipeline'!$A$4:$A$503,_calc!$E$157))=0,"",INDEX('Dealer pipeline'!$A$4:$A$503,_calc!$E$157))&amp;". ")&amp;IF(LEN(IF(LEN(INDEX('Dealer pipeline'!$B$4:$B$503,_calc!$E$157))=0,"",INDEX('Dealer pipeline'!$B$4:$B$503,_calc!$E$157)))=0,"","Contact: "&amp;IF(LEN(INDEX('Dealer pipeline'!$B$4:$B$503,_calc!$E$157))=0,"",INDEX('Dealer pipeline'!$B$4:$B$503,_calc!$E$157))&amp;". ")&amp;IF(LEN(IF(LEN(INDEX('Dealer pipeline'!$D$4:$D$503,_calc!$E$157))=0,"",INDEX('Dealer pipeline'!$D$4:$D$503,_calc!$E$157)))=0,"","Serial: "&amp;IF(LEN(INDEX('Dealer pipeline'!$D$4:$D$503,_calc!$E$157))=0,"",INDEX('Dealer pipeline'!$D$4:$D$503,_calc!$E$157))&amp;". ")&amp;IF(LEN(IF(ISNUMBER(INDEX('Dealer pipeline'!$J$4:$J$503,_calc!$E$157)),TEXT(INDEX('Dealer pipeline'!$J$4:$J$503,_calc!$E$157),"yyyy-mm-dd"),""))=0,"","Parts end: "&amp;IF(ISNUMBER(INDEX('Dealer pipeline'!$J$4:$J$503,_calc!$E$157)),TEXT(INDEX('Dealer pipeline'!$J$4:$J$503,_calc!$E$157),"yyyy-mm-dd"),"")&amp;". ")&amp;IF(LEN(IF(ISNUMBER(INDEX('Dealer pipeline'!$L$4:$L$503,_calc!$E$157)),TEXT(INDEX('Dealer pipeline'!$L$4:$L$503,_calc!$E$157),"yyyy-mm-dd"),""))=0,"","Labor end: "&amp;IF(ISNUMBER(INDEX('Dealer pipeline'!$L$4:$L$503,_calc!$E$157)),TEXT(INDEX('Dealer pipeline'!$L$4:$L$503,_calc!$E$157),"yyyy-mm-dd"),"")&amp;". ")&amp;IF(LEN(IF(LEN(INDEX('Dealer pipeline'!$Q$4:$Q$503,_calc!$E$157))=0,"",INDEX('Dealer pipeline'!$Q$4:$Q$503,_calc!$E$157)))=0,"","Status: "&amp;IF(LEN(INDEX('Dealer pipeline'!$Q$4:$Q$503,_calc!$E$157))=0,"",INDEX('Dealer pipeline'!$Q$4:$Q$503,_calc!$E$157))&amp;". ")&amp;IF(LEN(IF(LEN(INDEX('Dealer pipeline'!$P$4:$P$503,_calc!$E$157))=0,"",INDEX('Dealer pipeline'!$P$4:$P$503,_calc!$E$157)))=0,"","Last touch: "&amp;IF(LEN(INDEX('Dealer pipeline'!$P$4:$P$503,_calc!$E$157))=0,"",INDEX('Dealer pipeline'!$P$4:$P$503,_calc!$E$157))&amp;". ")&amp;IF(LEN(IF(LEN(INDEX('Dealer pipeline'!$R$4:$R$503,_calc!$E$157))=0,"",INDEX('Dealer pipeline'!$R$4:$R$503,_calc!$E$157)))=0,"","Owner: "&amp;IF(LEN(INDEX('Dealer pipeline'!$R$4:$R$503,_calc!$E$157))=0,"",INDEX('Dealer pipeline'!$R$4:$R$503,_calc!$E$157))&amp;". ")&amp;IF(LEN(IF(LEN(INDEX('Dealer pipeline'!$S$4:$S$503,_calc!$E$157))=0,"",INDEX('Dealer pipeline'!$S$4:$S$503,_calc!$E$157)))=0,"","Backup: "&amp;IF(LEN(INDEX('Dealer pipeline'!$S$4:$S$503,_calc!$E$157))=0,"",INDEX('Dealer pipeline'!$S$4:$S$503,_calc!$E$157))&amp;". ")&amp;IF(LEN(IF(LEN(INDEX('Dealer pipeline'!$T$4:$T$503,_calc!$E$157))=0,"",INDEX('Dealer pipeline'!$T$4:$T$503,_calc!$E$157)))=0,"",IF(LEN(INDEX('Dealer pipeline'!$T$4:$T$503,_calc!$E$157))=0,"",INDEX('Dealer pipeline'!$T$4:$T$503,_calc!$E$157)))),TRIM(IF(LEN(IF(LEN(INDEX('My equipment'!$C$4:$C$503,(_calc!$E$157-500)))=0,"",INDEX('My equipment'!$C$4:$C$503,(_calc!$E$157-500))))=0,"","Model: "&amp;IF(LEN(INDEX('My equipment'!$C$4:$C$503,(_calc!$E$157-500)))=0,"",INDEX('My equipment'!$C$4:$C$503,(_calc!$E$157-500)))&amp;". ")&amp;IF(LEN(IF(LEN(INDEX('My equipment'!$D$4:$D$503,(_calc!$E$157-500)))=0,"",INDEX('My equipment'!$D$4:$D$503,(_calc!$E$157-500))))=0,"","Serial: "&amp;IF(LEN(INDEX('My equipment'!$D$4:$D$503,(_calc!$E$157-500)))=0,"",INDEX('My equipment'!$D$4:$D$503,(_calc!$E$157-500)))&amp;". ")&amp;IF(LEN(IF(ISNUMBER(INDEX('My equipment'!$J$4:$J$503,(_calc!$E$157-500))),TEXT(INDEX('My equipment'!$J$4:$J$503,(_calc!$E$157-500)),"yyyy-mm-dd"),""))=0,"","Parts end: "&amp;IF(ISNUMBER(INDEX('My equipment'!$J$4:$J$503,(_calc!$E$157-500))),TEXT(INDEX('My equipment'!$J$4:$J$503,(_calc!$E$157-500)),"yyyy-mm-dd"),"")&amp;". ")&amp;IF(LEN(IF(ISNUMBER(INDEX('My equipment'!$L$4:$L$503,(_calc!$E$157-500))),TEXT(INDEX('My equipment'!$L$4:$L$503,(_calc!$E$157-500)),"yyyy-mm-dd"),""))=0,"","Labor end: "&amp;IF(ISNUMBER(INDEX('My equipment'!$L$4:$L$503,(_calc!$E$157-500))),TEXT(INDEX('My equipment'!$L$4:$L$503,(_calc!$E$157-500)),"yyyy-mm-dd"),"")&amp;". ")&amp;IF(LEN(IF(ISNUMBER(INDEX('My equipment'!$P$4:$P$503,(_calc!$E$157-500))),TEXT(INDEX('My equipment'!$P$4:$P$503,(_calc!$E$157-500)),"yyyy-mm-dd"),""))=0,"","Check by: "&amp;IF(ISNUMBER(INDEX('My equipment'!$P$4:$P$503,(_calc!$E$157-500))),TEXT(INDEX('My equipment'!$P$4:$P$503,(_calc!$E$157-500)),"yyyy-mm-dd"),"")&amp;". ")&amp;IF(LEN(IF(LEN(INDEX('My equipment'!$Q$4:$Q$503,(_calc!$E$157-500)))=0,"",INDEX('My equipment'!$Q$4:$Q$503,(_calc!$E$157-500))))=0,"","Claim status: "&amp;IF(LEN(INDEX('My equipment'!$Q$4:$Q$503,(_calc!$E$157-500)))=0,"",INDEX('My equipment'!$Q$4:$Q$503,(_calc!$E$157-500)))&amp;". ")&amp;IF(LEN(IF(LEN(INDEX('My equipment'!$R$4:$R$503,(_calc!$E$157-500)))=0,"",INDEX('My equipment'!$R$4:$R$503,(_calc!$E$157-500))))=0,"","Claims contact: "&amp;IF(LEN(INDEX('My equipment'!$R$4:$R$503,(_calc!$E$157-500)))=0,"",INDEX('My equipment'!$R$4:$R$503,(_calc!$E$157-500)))&amp;". ")&amp;IF(LEN(IF(LEN(INDEX('My equipment'!$S$4:$S$503,(_calc!$E$157-500)))=0,"",INDEX('My equipment'!$S$4:$S$503,(_calc!$E$157-500))))=0,"","Claims email: "&amp;IF(LEN(INDEX('My equipment'!$S$4:$S$503,(_calc!$E$157-500)))=0,"",INDEX('My equipment'!$S$4:$S$503,(_calc!$E$157-500)))&amp;". ")&amp;IF(LEN(IF(LEN(INDEX('My equipment'!$U$4:$U$503,(_calc!$E$157-500)))=0,"",INDEX('My equipment'!$U$4:$U$503,(_calc!$E$157-500))))=0,"","Registered: "&amp;IF(LEN(INDEX('My equipment'!$U$4:$U$503,(_calc!$E$157-500)))=0,"",INDEX('My equipment'!$U$4:$U$503,(_calc!$E$157-500)))&amp;". ")&amp;IF(LEN(IF(LEN(INDEX('My equipment'!$V$4:$V$503,(_calc!$E$157-500)))=0,"",INDEX('My equipment'!$V$4:$V$503,(_calc!$E$157-500))))=0,"","Proof on file: "&amp;IF(LEN(INDEX('My equipment'!$V$4:$V$503,(_calc!$E$157-500)))=0,"",INDEX('My equipment'!$V$4:$V$503,(_calc!$E$157-500)))&amp;". ")&amp;IF(LEN(IF(LEN(INDEX('My equipment'!$W$4:$W$503,(_calc!$E$157-500)))=0,"",INDEX('My equipment'!$W$4:$W$503,(_calc!$E$157-500))))=0,"","Claim ref: "&amp;IF(LEN(INDEX('My equipment'!$W$4:$W$503,(_calc!$E$157-500)))=0,"",INDEX('My equipment'!$W$4:$W$503,(_calc!$E$157-500)))&amp;". ")&amp;IF(LEN(IF(LEN(INDEX('My equipment'!$Y$4:$Y$503,(_calc!$E$157-500)))=0,"",INDEX('My equipment'!$Y$4:$Y$503,(_calc!$E$157-500))))=0,"",IF(LEN(INDEX('My equipment'!$Y$4:$Y$503,(_calc!$E$157-500)))=0,"",INDEX('My equipment'!$Y$4:$Y$503,(_calc!$E$157-500)))))))</f>
        <v/>
      </c>
      <c r="G155" s="54">
        <f>IF(_calc!$E$157="","",IF(_calc!$E$157&lt;=500,"",IF(LEN(INDEX('My equipment'!$X$4:$X$503,(_calc!$E$157-500)))=0,"",INDEX('My equipment'!$X$4:$X$503,(_calc!$E$157-500)))))</f>
        <v/>
      </c>
      <c r="K155" s="54">
        <f>IF(_calc!$E$157="","",IF(_calc!$E$157&lt;=500,"",IF(LEN(INDEX('My equipment'!$T$4:$T$503,(_calc!$E$157-500)))=0,"",INDEX('My equipment'!$T$4:$T$503,(_calc!$E$157-500)))))</f>
        <v/>
      </c>
    </row>
    <row r="156">
      <c r="A156" s="54">
        <f>IF(_calc!$E$158="","",IF(_calc!$E$158&lt;=500,"Warranty – "&amp;IF(LEN(INDEX('Dealer pipeline'!$C$4:$C$503,_calc!$E$158))=0,"",INDEX('Dealer pipeline'!$C$4:$C$503,_calc!$E$158))&amp;" – "&amp;IF(LEN(INDEX('Dealer pipeline'!$D$4:$D$503,_calc!$E$158))=0,"",INDEX('Dealer pipeline'!$D$4:$D$503,_calc!$E$158))&amp;" – "&amp;IF(LEN(INDEX('Dealer pipeline'!$A$4:$A$503,_calc!$E$158))=0,"",INDEX('Dealer pipeline'!$A$4:$A$503,_calc!$E$158)),"Warranty – "&amp;IF(LEN(INDEX('My equipment'!$A$4:$A$503,(_calc!$E$158-500)))=0,"",INDEX('My equipment'!$A$4:$A$503,(_calc!$E$158-500)))&amp;" – "&amp;IF(LEN(INDEX('My equipment'!$D$4:$D$503,(_calc!$E$158-500)))=0,"",INDEX('My equipment'!$D$4:$D$503,(_calc!$E$158-500)))))</f>
        <v/>
      </c>
      <c r="B156" s="54">
        <f>IF(_calc!$E$158="","",IF(_calc!$E$158&lt;=500,IF(ISNUMBER(INDEX('Dealer pipeline'!$M$4:$M$503,_calc!$E$158)),TEXT(INDEX('Dealer pipeline'!$M$4:$M$503,_calc!$E$158),"yyyy-mm-dd"),""),IF(ISNUMBER(INDEX('My equipment'!$M$4:$M$503,(_calc!$E$158-500))),TEXT(INDEX('My equipment'!$M$4:$M$503,(_calc!$E$158-500)),"yyyy-mm-dd"),"")))</f>
        <v/>
      </c>
      <c r="C156" s="54">
        <f>IF(_calc!$E$158="","",IF(_calc!$E$158&lt;=500,"Warranty","Warranty"))</f>
        <v/>
      </c>
      <c r="D156" s="54">
        <f>IF(_calc!$E$158="","",IF(_calc!$E$158&lt;=500,IF(ISNUMBER(INDEX('Dealer pipeline'!$H$4:$H$503,_calc!$E$158)),TEXT(INDEX('Dealer pipeline'!$H$4:$H$503,_calc!$E$158),"yyyy-mm-dd"),""),IF(ISNUMBER(INDEX('My equipment'!$H$4:$H$503,(_calc!$E$158-500))),TEXT(INDEX('My equipment'!$H$4:$H$503,(_calc!$E$158-500)),"yyyy-mm-dd"),"")))</f>
        <v/>
      </c>
      <c r="F156" s="54">
        <f>IF(_calc!$E$158="","",IF(_calc!$E$158&lt;=500,TRIM(IF(LEN(IF(LEN(INDEX('Dealer pipeline'!$A$4:$A$503,_calc!$E$158))=0,"",INDEX('Dealer pipeline'!$A$4:$A$503,_calc!$E$158)))=0,"","Customer: "&amp;IF(LEN(INDEX('Dealer pipeline'!$A$4:$A$503,_calc!$E$158))=0,"",INDEX('Dealer pipeline'!$A$4:$A$503,_calc!$E$158))&amp;". ")&amp;IF(LEN(IF(LEN(INDEX('Dealer pipeline'!$B$4:$B$503,_calc!$E$158))=0,"",INDEX('Dealer pipeline'!$B$4:$B$503,_calc!$E$158)))=0,"","Contact: "&amp;IF(LEN(INDEX('Dealer pipeline'!$B$4:$B$503,_calc!$E$158))=0,"",INDEX('Dealer pipeline'!$B$4:$B$503,_calc!$E$158))&amp;". ")&amp;IF(LEN(IF(LEN(INDEX('Dealer pipeline'!$D$4:$D$503,_calc!$E$158))=0,"",INDEX('Dealer pipeline'!$D$4:$D$503,_calc!$E$158)))=0,"","Serial: "&amp;IF(LEN(INDEX('Dealer pipeline'!$D$4:$D$503,_calc!$E$158))=0,"",INDEX('Dealer pipeline'!$D$4:$D$503,_calc!$E$158))&amp;". ")&amp;IF(LEN(IF(ISNUMBER(INDEX('Dealer pipeline'!$J$4:$J$503,_calc!$E$158)),TEXT(INDEX('Dealer pipeline'!$J$4:$J$503,_calc!$E$158),"yyyy-mm-dd"),""))=0,"","Parts end: "&amp;IF(ISNUMBER(INDEX('Dealer pipeline'!$J$4:$J$503,_calc!$E$158)),TEXT(INDEX('Dealer pipeline'!$J$4:$J$503,_calc!$E$158),"yyyy-mm-dd"),"")&amp;". ")&amp;IF(LEN(IF(ISNUMBER(INDEX('Dealer pipeline'!$L$4:$L$503,_calc!$E$158)),TEXT(INDEX('Dealer pipeline'!$L$4:$L$503,_calc!$E$158),"yyyy-mm-dd"),""))=0,"","Labor end: "&amp;IF(ISNUMBER(INDEX('Dealer pipeline'!$L$4:$L$503,_calc!$E$158)),TEXT(INDEX('Dealer pipeline'!$L$4:$L$503,_calc!$E$158),"yyyy-mm-dd"),"")&amp;". ")&amp;IF(LEN(IF(LEN(INDEX('Dealer pipeline'!$Q$4:$Q$503,_calc!$E$158))=0,"",INDEX('Dealer pipeline'!$Q$4:$Q$503,_calc!$E$158)))=0,"","Status: "&amp;IF(LEN(INDEX('Dealer pipeline'!$Q$4:$Q$503,_calc!$E$158))=0,"",INDEX('Dealer pipeline'!$Q$4:$Q$503,_calc!$E$158))&amp;". ")&amp;IF(LEN(IF(LEN(INDEX('Dealer pipeline'!$P$4:$P$503,_calc!$E$158))=0,"",INDEX('Dealer pipeline'!$P$4:$P$503,_calc!$E$158)))=0,"","Last touch: "&amp;IF(LEN(INDEX('Dealer pipeline'!$P$4:$P$503,_calc!$E$158))=0,"",INDEX('Dealer pipeline'!$P$4:$P$503,_calc!$E$158))&amp;". ")&amp;IF(LEN(IF(LEN(INDEX('Dealer pipeline'!$R$4:$R$503,_calc!$E$158))=0,"",INDEX('Dealer pipeline'!$R$4:$R$503,_calc!$E$158)))=0,"","Owner: "&amp;IF(LEN(INDEX('Dealer pipeline'!$R$4:$R$503,_calc!$E$158))=0,"",INDEX('Dealer pipeline'!$R$4:$R$503,_calc!$E$158))&amp;". ")&amp;IF(LEN(IF(LEN(INDEX('Dealer pipeline'!$S$4:$S$503,_calc!$E$158))=0,"",INDEX('Dealer pipeline'!$S$4:$S$503,_calc!$E$158)))=0,"","Backup: "&amp;IF(LEN(INDEX('Dealer pipeline'!$S$4:$S$503,_calc!$E$158))=0,"",INDEX('Dealer pipeline'!$S$4:$S$503,_calc!$E$158))&amp;". ")&amp;IF(LEN(IF(LEN(INDEX('Dealer pipeline'!$T$4:$T$503,_calc!$E$158))=0,"",INDEX('Dealer pipeline'!$T$4:$T$503,_calc!$E$158)))=0,"",IF(LEN(INDEX('Dealer pipeline'!$T$4:$T$503,_calc!$E$158))=0,"",INDEX('Dealer pipeline'!$T$4:$T$503,_calc!$E$158)))),TRIM(IF(LEN(IF(LEN(INDEX('My equipment'!$C$4:$C$503,(_calc!$E$158-500)))=0,"",INDEX('My equipment'!$C$4:$C$503,(_calc!$E$158-500))))=0,"","Model: "&amp;IF(LEN(INDEX('My equipment'!$C$4:$C$503,(_calc!$E$158-500)))=0,"",INDEX('My equipment'!$C$4:$C$503,(_calc!$E$158-500)))&amp;". ")&amp;IF(LEN(IF(LEN(INDEX('My equipment'!$D$4:$D$503,(_calc!$E$158-500)))=0,"",INDEX('My equipment'!$D$4:$D$503,(_calc!$E$158-500))))=0,"","Serial: "&amp;IF(LEN(INDEX('My equipment'!$D$4:$D$503,(_calc!$E$158-500)))=0,"",INDEX('My equipment'!$D$4:$D$503,(_calc!$E$158-500)))&amp;". ")&amp;IF(LEN(IF(ISNUMBER(INDEX('My equipment'!$J$4:$J$503,(_calc!$E$158-500))),TEXT(INDEX('My equipment'!$J$4:$J$503,(_calc!$E$158-500)),"yyyy-mm-dd"),""))=0,"","Parts end: "&amp;IF(ISNUMBER(INDEX('My equipment'!$J$4:$J$503,(_calc!$E$158-500))),TEXT(INDEX('My equipment'!$J$4:$J$503,(_calc!$E$158-500)),"yyyy-mm-dd"),"")&amp;". ")&amp;IF(LEN(IF(ISNUMBER(INDEX('My equipment'!$L$4:$L$503,(_calc!$E$158-500))),TEXT(INDEX('My equipment'!$L$4:$L$503,(_calc!$E$158-500)),"yyyy-mm-dd"),""))=0,"","Labor end: "&amp;IF(ISNUMBER(INDEX('My equipment'!$L$4:$L$503,(_calc!$E$158-500))),TEXT(INDEX('My equipment'!$L$4:$L$503,(_calc!$E$158-500)),"yyyy-mm-dd"),"")&amp;". ")&amp;IF(LEN(IF(ISNUMBER(INDEX('My equipment'!$P$4:$P$503,(_calc!$E$158-500))),TEXT(INDEX('My equipment'!$P$4:$P$503,(_calc!$E$158-500)),"yyyy-mm-dd"),""))=0,"","Check by: "&amp;IF(ISNUMBER(INDEX('My equipment'!$P$4:$P$503,(_calc!$E$158-500))),TEXT(INDEX('My equipment'!$P$4:$P$503,(_calc!$E$158-500)),"yyyy-mm-dd"),"")&amp;". ")&amp;IF(LEN(IF(LEN(INDEX('My equipment'!$Q$4:$Q$503,(_calc!$E$158-500)))=0,"",INDEX('My equipment'!$Q$4:$Q$503,(_calc!$E$158-500))))=0,"","Claim status: "&amp;IF(LEN(INDEX('My equipment'!$Q$4:$Q$503,(_calc!$E$158-500)))=0,"",INDEX('My equipment'!$Q$4:$Q$503,(_calc!$E$158-500)))&amp;". ")&amp;IF(LEN(IF(LEN(INDEX('My equipment'!$R$4:$R$503,(_calc!$E$158-500)))=0,"",INDEX('My equipment'!$R$4:$R$503,(_calc!$E$158-500))))=0,"","Claims contact: "&amp;IF(LEN(INDEX('My equipment'!$R$4:$R$503,(_calc!$E$158-500)))=0,"",INDEX('My equipment'!$R$4:$R$503,(_calc!$E$158-500)))&amp;". ")&amp;IF(LEN(IF(LEN(INDEX('My equipment'!$S$4:$S$503,(_calc!$E$158-500)))=0,"",INDEX('My equipment'!$S$4:$S$503,(_calc!$E$158-500))))=0,"","Claims email: "&amp;IF(LEN(INDEX('My equipment'!$S$4:$S$503,(_calc!$E$158-500)))=0,"",INDEX('My equipment'!$S$4:$S$503,(_calc!$E$158-500)))&amp;". ")&amp;IF(LEN(IF(LEN(INDEX('My equipment'!$U$4:$U$503,(_calc!$E$158-500)))=0,"",INDEX('My equipment'!$U$4:$U$503,(_calc!$E$158-500))))=0,"","Registered: "&amp;IF(LEN(INDEX('My equipment'!$U$4:$U$503,(_calc!$E$158-500)))=0,"",INDEX('My equipment'!$U$4:$U$503,(_calc!$E$158-500)))&amp;". ")&amp;IF(LEN(IF(LEN(INDEX('My equipment'!$V$4:$V$503,(_calc!$E$158-500)))=0,"",INDEX('My equipment'!$V$4:$V$503,(_calc!$E$158-500))))=0,"","Proof on file: "&amp;IF(LEN(INDEX('My equipment'!$V$4:$V$503,(_calc!$E$158-500)))=0,"",INDEX('My equipment'!$V$4:$V$503,(_calc!$E$158-500)))&amp;". ")&amp;IF(LEN(IF(LEN(INDEX('My equipment'!$W$4:$W$503,(_calc!$E$158-500)))=0,"",INDEX('My equipment'!$W$4:$W$503,(_calc!$E$158-500))))=0,"","Claim ref: "&amp;IF(LEN(INDEX('My equipment'!$W$4:$W$503,(_calc!$E$158-500)))=0,"",INDEX('My equipment'!$W$4:$W$503,(_calc!$E$158-500)))&amp;". ")&amp;IF(LEN(IF(LEN(INDEX('My equipment'!$Y$4:$Y$503,(_calc!$E$158-500)))=0,"",INDEX('My equipment'!$Y$4:$Y$503,(_calc!$E$158-500))))=0,"",IF(LEN(INDEX('My equipment'!$Y$4:$Y$503,(_calc!$E$158-500)))=0,"",INDEX('My equipment'!$Y$4:$Y$503,(_calc!$E$158-500)))))))</f>
        <v/>
      </c>
      <c r="G156" s="54">
        <f>IF(_calc!$E$158="","",IF(_calc!$E$158&lt;=500,"",IF(LEN(INDEX('My equipment'!$X$4:$X$503,(_calc!$E$158-500)))=0,"",INDEX('My equipment'!$X$4:$X$503,(_calc!$E$158-500)))))</f>
        <v/>
      </c>
      <c r="K156" s="54">
        <f>IF(_calc!$E$158="","",IF(_calc!$E$158&lt;=500,"",IF(LEN(INDEX('My equipment'!$T$4:$T$503,(_calc!$E$158-500)))=0,"",INDEX('My equipment'!$T$4:$T$503,(_calc!$E$158-500)))))</f>
        <v/>
      </c>
    </row>
    <row r="157">
      <c r="A157" s="54">
        <f>IF(_calc!$E$159="","",IF(_calc!$E$159&lt;=500,"Warranty – "&amp;IF(LEN(INDEX('Dealer pipeline'!$C$4:$C$503,_calc!$E$159))=0,"",INDEX('Dealer pipeline'!$C$4:$C$503,_calc!$E$159))&amp;" – "&amp;IF(LEN(INDEX('Dealer pipeline'!$D$4:$D$503,_calc!$E$159))=0,"",INDEX('Dealer pipeline'!$D$4:$D$503,_calc!$E$159))&amp;" – "&amp;IF(LEN(INDEX('Dealer pipeline'!$A$4:$A$503,_calc!$E$159))=0,"",INDEX('Dealer pipeline'!$A$4:$A$503,_calc!$E$159)),"Warranty – "&amp;IF(LEN(INDEX('My equipment'!$A$4:$A$503,(_calc!$E$159-500)))=0,"",INDEX('My equipment'!$A$4:$A$503,(_calc!$E$159-500)))&amp;" – "&amp;IF(LEN(INDEX('My equipment'!$D$4:$D$503,(_calc!$E$159-500)))=0,"",INDEX('My equipment'!$D$4:$D$503,(_calc!$E$159-500)))))</f>
        <v/>
      </c>
      <c r="B157" s="54">
        <f>IF(_calc!$E$159="","",IF(_calc!$E$159&lt;=500,IF(ISNUMBER(INDEX('Dealer pipeline'!$M$4:$M$503,_calc!$E$159)),TEXT(INDEX('Dealer pipeline'!$M$4:$M$503,_calc!$E$159),"yyyy-mm-dd"),""),IF(ISNUMBER(INDEX('My equipment'!$M$4:$M$503,(_calc!$E$159-500))),TEXT(INDEX('My equipment'!$M$4:$M$503,(_calc!$E$159-500)),"yyyy-mm-dd"),"")))</f>
        <v/>
      </c>
      <c r="C157" s="54">
        <f>IF(_calc!$E$159="","",IF(_calc!$E$159&lt;=500,"Warranty","Warranty"))</f>
        <v/>
      </c>
      <c r="D157" s="54">
        <f>IF(_calc!$E$159="","",IF(_calc!$E$159&lt;=500,IF(ISNUMBER(INDEX('Dealer pipeline'!$H$4:$H$503,_calc!$E$159)),TEXT(INDEX('Dealer pipeline'!$H$4:$H$503,_calc!$E$159),"yyyy-mm-dd"),""),IF(ISNUMBER(INDEX('My equipment'!$H$4:$H$503,(_calc!$E$159-500))),TEXT(INDEX('My equipment'!$H$4:$H$503,(_calc!$E$159-500)),"yyyy-mm-dd"),"")))</f>
        <v/>
      </c>
      <c r="F157" s="54">
        <f>IF(_calc!$E$159="","",IF(_calc!$E$159&lt;=500,TRIM(IF(LEN(IF(LEN(INDEX('Dealer pipeline'!$A$4:$A$503,_calc!$E$159))=0,"",INDEX('Dealer pipeline'!$A$4:$A$503,_calc!$E$159)))=0,"","Customer: "&amp;IF(LEN(INDEX('Dealer pipeline'!$A$4:$A$503,_calc!$E$159))=0,"",INDEX('Dealer pipeline'!$A$4:$A$503,_calc!$E$159))&amp;". ")&amp;IF(LEN(IF(LEN(INDEX('Dealer pipeline'!$B$4:$B$503,_calc!$E$159))=0,"",INDEX('Dealer pipeline'!$B$4:$B$503,_calc!$E$159)))=0,"","Contact: "&amp;IF(LEN(INDEX('Dealer pipeline'!$B$4:$B$503,_calc!$E$159))=0,"",INDEX('Dealer pipeline'!$B$4:$B$503,_calc!$E$159))&amp;". ")&amp;IF(LEN(IF(LEN(INDEX('Dealer pipeline'!$D$4:$D$503,_calc!$E$159))=0,"",INDEX('Dealer pipeline'!$D$4:$D$503,_calc!$E$159)))=0,"","Serial: "&amp;IF(LEN(INDEX('Dealer pipeline'!$D$4:$D$503,_calc!$E$159))=0,"",INDEX('Dealer pipeline'!$D$4:$D$503,_calc!$E$159))&amp;". ")&amp;IF(LEN(IF(ISNUMBER(INDEX('Dealer pipeline'!$J$4:$J$503,_calc!$E$159)),TEXT(INDEX('Dealer pipeline'!$J$4:$J$503,_calc!$E$159),"yyyy-mm-dd"),""))=0,"","Parts end: "&amp;IF(ISNUMBER(INDEX('Dealer pipeline'!$J$4:$J$503,_calc!$E$159)),TEXT(INDEX('Dealer pipeline'!$J$4:$J$503,_calc!$E$159),"yyyy-mm-dd"),"")&amp;". ")&amp;IF(LEN(IF(ISNUMBER(INDEX('Dealer pipeline'!$L$4:$L$503,_calc!$E$159)),TEXT(INDEX('Dealer pipeline'!$L$4:$L$503,_calc!$E$159),"yyyy-mm-dd"),""))=0,"","Labor end: "&amp;IF(ISNUMBER(INDEX('Dealer pipeline'!$L$4:$L$503,_calc!$E$159)),TEXT(INDEX('Dealer pipeline'!$L$4:$L$503,_calc!$E$159),"yyyy-mm-dd"),"")&amp;". ")&amp;IF(LEN(IF(LEN(INDEX('Dealer pipeline'!$Q$4:$Q$503,_calc!$E$159))=0,"",INDEX('Dealer pipeline'!$Q$4:$Q$503,_calc!$E$159)))=0,"","Status: "&amp;IF(LEN(INDEX('Dealer pipeline'!$Q$4:$Q$503,_calc!$E$159))=0,"",INDEX('Dealer pipeline'!$Q$4:$Q$503,_calc!$E$159))&amp;". ")&amp;IF(LEN(IF(LEN(INDEX('Dealer pipeline'!$P$4:$P$503,_calc!$E$159))=0,"",INDEX('Dealer pipeline'!$P$4:$P$503,_calc!$E$159)))=0,"","Last touch: "&amp;IF(LEN(INDEX('Dealer pipeline'!$P$4:$P$503,_calc!$E$159))=0,"",INDEX('Dealer pipeline'!$P$4:$P$503,_calc!$E$159))&amp;". ")&amp;IF(LEN(IF(LEN(INDEX('Dealer pipeline'!$R$4:$R$503,_calc!$E$159))=0,"",INDEX('Dealer pipeline'!$R$4:$R$503,_calc!$E$159)))=0,"","Owner: "&amp;IF(LEN(INDEX('Dealer pipeline'!$R$4:$R$503,_calc!$E$159))=0,"",INDEX('Dealer pipeline'!$R$4:$R$503,_calc!$E$159))&amp;". ")&amp;IF(LEN(IF(LEN(INDEX('Dealer pipeline'!$S$4:$S$503,_calc!$E$159))=0,"",INDEX('Dealer pipeline'!$S$4:$S$503,_calc!$E$159)))=0,"","Backup: "&amp;IF(LEN(INDEX('Dealer pipeline'!$S$4:$S$503,_calc!$E$159))=0,"",INDEX('Dealer pipeline'!$S$4:$S$503,_calc!$E$159))&amp;". ")&amp;IF(LEN(IF(LEN(INDEX('Dealer pipeline'!$T$4:$T$503,_calc!$E$159))=0,"",INDEX('Dealer pipeline'!$T$4:$T$503,_calc!$E$159)))=0,"",IF(LEN(INDEX('Dealer pipeline'!$T$4:$T$503,_calc!$E$159))=0,"",INDEX('Dealer pipeline'!$T$4:$T$503,_calc!$E$159)))),TRIM(IF(LEN(IF(LEN(INDEX('My equipment'!$C$4:$C$503,(_calc!$E$159-500)))=0,"",INDEX('My equipment'!$C$4:$C$503,(_calc!$E$159-500))))=0,"","Model: "&amp;IF(LEN(INDEX('My equipment'!$C$4:$C$503,(_calc!$E$159-500)))=0,"",INDEX('My equipment'!$C$4:$C$503,(_calc!$E$159-500)))&amp;". ")&amp;IF(LEN(IF(LEN(INDEX('My equipment'!$D$4:$D$503,(_calc!$E$159-500)))=0,"",INDEX('My equipment'!$D$4:$D$503,(_calc!$E$159-500))))=0,"","Serial: "&amp;IF(LEN(INDEX('My equipment'!$D$4:$D$503,(_calc!$E$159-500)))=0,"",INDEX('My equipment'!$D$4:$D$503,(_calc!$E$159-500)))&amp;". ")&amp;IF(LEN(IF(ISNUMBER(INDEX('My equipment'!$J$4:$J$503,(_calc!$E$159-500))),TEXT(INDEX('My equipment'!$J$4:$J$503,(_calc!$E$159-500)),"yyyy-mm-dd"),""))=0,"","Parts end: "&amp;IF(ISNUMBER(INDEX('My equipment'!$J$4:$J$503,(_calc!$E$159-500))),TEXT(INDEX('My equipment'!$J$4:$J$503,(_calc!$E$159-500)),"yyyy-mm-dd"),"")&amp;". ")&amp;IF(LEN(IF(ISNUMBER(INDEX('My equipment'!$L$4:$L$503,(_calc!$E$159-500))),TEXT(INDEX('My equipment'!$L$4:$L$503,(_calc!$E$159-500)),"yyyy-mm-dd"),""))=0,"","Labor end: "&amp;IF(ISNUMBER(INDEX('My equipment'!$L$4:$L$503,(_calc!$E$159-500))),TEXT(INDEX('My equipment'!$L$4:$L$503,(_calc!$E$159-500)),"yyyy-mm-dd"),"")&amp;". ")&amp;IF(LEN(IF(ISNUMBER(INDEX('My equipment'!$P$4:$P$503,(_calc!$E$159-500))),TEXT(INDEX('My equipment'!$P$4:$P$503,(_calc!$E$159-500)),"yyyy-mm-dd"),""))=0,"","Check by: "&amp;IF(ISNUMBER(INDEX('My equipment'!$P$4:$P$503,(_calc!$E$159-500))),TEXT(INDEX('My equipment'!$P$4:$P$503,(_calc!$E$159-500)),"yyyy-mm-dd"),"")&amp;". ")&amp;IF(LEN(IF(LEN(INDEX('My equipment'!$Q$4:$Q$503,(_calc!$E$159-500)))=0,"",INDEX('My equipment'!$Q$4:$Q$503,(_calc!$E$159-500))))=0,"","Claim status: "&amp;IF(LEN(INDEX('My equipment'!$Q$4:$Q$503,(_calc!$E$159-500)))=0,"",INDEX('My equipment'!$Q$4:$Q$503,(_calc!$E$159-500)))&amp;". ")&amp;IF(LEN(IF(LEN(INDEX('My equipment'!$R$4:$R$503,(_calc!$E$159-500)))=0,"",INDEX('My equipment'!$R$4:$R$503,(_calc!$E$159-500))))=0,"","Claims contact: "&amp;IF(LEN(INDEX('My equipment'!$R$4:$R$503,(_calc!$E$159-500)))=0,"",INDEX('My equipment'!$R$4:$R$503,(_calc!$E$159-500)))&amp;". ")&amp;IF(LEN(IF(LEN(INDEX('My equipment'!$S$4:$S$503,(_calc!$E$159-500)))=0,"",INDEX('My equipment'!$S$4:$S$503,(_calc!$E$159-500))))=0,"","Claims email: "&amp;IF(LEN(INDEX('My equipment'!$S$4:$S$503,(_calc!$E$159-500)))=0,"",INDEX('My equipment'!$S$4:$S$503,(_calc!$E$159-500)))&amp;". ")&amp;IF(LEN(IF(LEN(INDEX('My equipment'!$U$4:$U$503,(_calc!$E$159-500)))=0,"",INDEX('My equipment'!$U$4:$U$503,(_calc!$E$159-500))))=0,"","Registered: "&amp;IF(LEN(INDEX('My equipment'!$U$4:$U$503,(_calc!$E$159-500)))=0,"",INDEX('My equipment'!$U$4:$U$503,(_calc!$E$159-500)))&amp;". ")&amp;IF(LEN(IF(LEN(INDEX('My equipment'!$V$4:$V$503,(_calc!$E$159-500)))=0,"",INDEX('My equipment'!$V$4:$V$503,(_calc!$E$159-500))))=0,"","Proof on file: "&amp;IF(LEN(INDEX('My equipment'!$V$4:$V$503,(_calc!$E$159-500)))=0,"",INDEX('My equipment'!$V$4:$V$503,(_calc!$E$159-500)))&amp;". ")&amp;IF(LEN(IF(LEN(INDEX('My equipment'!$W$4:$W$503,(_calc!$E$159-500)))=0,"",INDEX('My equipment'!$W$4:$W$503,(_calc!$E$159-500))))=0,"","Claim ref: "&amp;IF(LEN(INDEX('My equipment'!$W$4:$W$503,(_calc!$E$159-500)))=0,"",INDEX('My equipment'!$W$4:$W$503,(_calc!$E$159-500)))&amp;". ")&amp;IF(LEN(IF(LEN(INDEX('My equipment'!$Y$4:$Y$503,(_calc!$E$159-500)))=0,"",INDEX('My equipment'!$Y$4:$Y$503,(_calc!$E$159-500))))=0,"",IF(LEN(INDEX('My equipment'!$Y$4:$Y$503,(_calc!$E$159-500)))=0,"",INDEX('My equipment'!$Y$4:$Y$503,(_calc!$E$159-500)))))))</f>
        <v/>
      </c>
      <c r="G157" s="54">
        <f>IF(_calc!$E$159="","",IF(_calc!$E$159&lt;=500,"",IF(LEN(INDEX('My equipment'!$X$4:$X$503,(_calc!$E$159-500)))=0,"",INDEX('My equipment'!$X$4:$X$503,(_calc!$E$159-500)))))</f>
        <v/>
      </c>
      <c r="K157" s="54">
        <f>IF(_calc!$E$159="","",IF(_calc!$E$159&lt;=500,"",IF(LEN(INDEX('My equipment'!$T$4:$T$503,(_calc!$E$159-500)))=0,"",INDEX('My equipment'!$T$4:$T$503,(_calc!$E$159-500)))))</f>
        <v/>
      </c>
    </row>
    <row r="158">
      <c r="A158" s="54">
        <f>IF(_calc!$E$160="","",IF(_calc!$E$160&lt;=500,"Warranty – "&amp;IF(LEN(INDEX('Dealer pipeline'!$C$4:$C$503,_calc!$E$160))=0,"",INDEX('Dealer pipeline'!$C$4:$C$503,_calc!$E$160))&amp;" – "&amp;IF(LEN(INDEX('Dealer pipeline'!$D$4:$D$503,_calc!$E$160))=0,"",INDEX('Dealer pipeline'!$D$4:$D$503,_calc!$E$160))&amp;" – "&amp;IF(LEN(INDEX('Dealer pipeline'!$A$4:$A$503,_calc!$E$160))=0,"",INDEX('Dealer pipeline'!$A$4:$A$503,_calc!$E$160)),"Warranty – "&amp;IF(LEN(INDEX('My equipment'!$A$4:$A$503,(_calc!$E$160-500)))=0,"",INDEX('My equipment'!$A$4:$A$503,(_calc!$E$160-500)))&amp;" – "&amp;IF(LEN(INDEX('My equipment'!$D$4:$D$503,(_calc!$E$160-500)))=0,"",INDEX('My equipment'!$D$4:$D$503,(_calc!$E$160-500)))))</f>
        <v/>
      </c>
      <c r="B158" s="54">
        <f>IF(_calc!$E$160="","",IF(_calc!$E$160&lt;=500,IF(ISNUMBER(INDEX('Dealer pipeline'!$M$4:$M$503,_calc!$E$160)),TEXT(INDEX('Dealer pipeline'!$M$4:$M$503,_calc!$E$160),"yyyy-mm-dd"),""),IF(ISNUMBER(INDEX('My equipment'!$M$4:$M$503,(_calc!$E$160-500))),TEXT(INDEX('My equipment'!$M$4:$M$503,(_calc!$E$160-500)),"yyyy-mm-dd"),"")))</f>
        <v/>
      </c>
      <c r="C158" s="54">
        <f>IF(_calc!$E$160="","",IF(_calc!$E$160&lt;=500,"Warranty","Warranty"))</f>
        <v/>
      </c>
      <c r="D158" s="54">
        <f>IF(_calc!$E$160="","",IF(_calc!$E$160&lt;=500,IF(ISNUMBER(INDEX('Dealer pipeline'!$H$4:$H$503,_calc!$E$160)),TEXT(INDEX('Dealer pipeline'!$H$4:$H$503,_calc!$E$160),"yyyy-mm-dd"),""),IF(ISNUMBER(INDEX('My equipment'!$H$4:$H$503,(_calc!$E$160-500))),TEXT(INDEX('My equipment'!$H$4:$H$503,(_calc!$E$160-500)),"yyyy-mm-dd"),"")))</f>
        <v/>
      </c>
      <c r="F158" s="54">
        <f>IF(_calc!$E$160="","",IF(_calc!$E$160&lt;=500,TRIM(IF(LEN(IF(LEN(INDEX('Dealer pipeline'!$A$4:$A$503,_calc!$E$160))=0,"",INDEX('Dealer pipeline'!$A$4:$A$503,_calc!$E$160)))=0,"","Customer: "&amp;IF(LEN(INDEX('Dealer pipeline'!$A$4:$A$503,_calc!$E$160))=0,"",INDEX('Dealer pipeline'!$A$4:$A$503,_calc!$E$160))&amp;". ")&amp;IF(LEN(IF(LEN(INDEX('Dealer pipeline'!$B$4:$B$503,_calc!$E$160))=0,"",INDEX('Dealer pipeline'!$B$4:$B$503,_calc!$E$160)))=0,"","Contact: "&amp;IF(LEN(INDEX('Dealer pipeline'!$B$4:$B$503,_calc!$E$160))=0,"",INDEX('Dealer pipeline'!$B$4:$B$503,_calc!$E$160))&amp;". ")&amp;IF(LEN(IF(LEN(INDEX('Dealer pipeline'!$D$4:$D$503,_calc!$E$160))=0,"",INDEX('Dealer pipeline'!$D$4:$D$503,_calc!$E$160)))=0,"","Serial: "&amp;IF(LEN(INDEX('Dealer pipeline'!$D$4:$D$503,_calc!$E$160))=0,"",INDEX('Dealer pipeline'!$D$4:$D$503,_calc!$E$160))&amp;". ")&amp;IF(LEN(IF(ISNUMBER(INDEX('Dealer pipeline'!$J$4:$J$503,_calc!$E$160)),TEXT(INDEX('Dealer pipeline'!$J$4:$J$503,_calc!$E$160),"yyyy-mm-dd"),""))=0,"","Parts end: "&amp;IF(ISNUMBER(INDEX('Dealer pipeline'!$J$4:$J$503,_calc!$E$160)),TEXT(INDEX('Dealer pipeline'!$J$4:$J$503,_calc!$E$160),"yyyy-mm-dd"),"")&amp;". ")&amp;IF(LEN(IF(ISNUMBER(INDEX('Dealer pipeline'!$L$4:$L$503,_calc!$E$160)),TEXT(INDEX('Dealer pipeline'!$L$4:$L$503,_calc!$E$160),"yyyy-mm-dd"),""))=0,"","Labor end: "&amp;IF(ISNUMBER(INDEX('Dealer pipeline'!$L$4:$L$503,_calc!$E$160)),TEXT(INDEX('Dealer pipeline'!$L$4:$L$503,_calc!$E$160),"yyyy-mm-dd"),"")&amp;". ")&amp;IF(LEN(IF(LEN(INDEX('Dealer pipeline'!$Q$4:$Q$503,_calc!$E$160))=0,"",INDEX('Dealer pipeline'!$Q$4:$Q$503,_calc!$E$160)))=0,"","Status: "&amp;IF(LEN(INDEX('Dealer pipeline'!$Q$4:$Q$503,_calc!$E$160))=0,"",INDEX('Dealer pipeline'!$Q$4:$Q$503,_calc!$E$160))&amp;". ")&amp;IF(LEN(IF(LEN(INDEX('Dealer pipeline'!$P$4:$P$503,_calc!$E$160))=0,"",INDEX('Dealer pipeline'!$P$4:$P$503,_calc!$E$160)))=0,"","Last touch: "&amp;IF(LEN(INDEX('Dealer pipeline'!$P$4:$P$503,_calc!$E$160))=0,"",INDEX('Dealer pipeline'!$P$4:$P$503,_calc!$E$160))&amp;". ")&amp;IF(LEN(IF(LEN(INDEX('Dealer pipeline'!$R$4:$R$503,_calc!$E$160))=0,"",INDEX('Dealer pipeline'!$R$4:$R$503,_calc!$E$160)))=0,"","Owner: "&amp;IF(LEN(INDEX('Dealer pipeline'!$R$4:$R$503,_calc!$E$160))=0,"",INDEX('Dealer pipeline'!$R$4:$R$503,_calc!$E$160))&amp;". ")&amp;IF(LEN(IF(LEN(INDEX('Dealer pipeline'!$S$4:$S$503,_calc!$E$160))=0,"",INDEX('Dealer pipeline'!$S$4:$S$503,_calc!$E$160)))=0,"","Backup: "&amp;IF(LEN(INDEX('Dealer pipeline'!$S$4:$S$503,_calc!$E$160))=0,"",INDEX('Dealer pipeline'!$S$4:$S$503,_calc!$E$160))&amp;". ")&amp;IF(LEN(IF(LEN(INDEX('Dealer pipeline'!$T$4:$T$503,_calc!$E$160))=0,"",INDEX('Dealer pipeline'!$T$4:$T$503,_calc!$E$160)))=0,"",IF(LEN(INDEX('Dealer pipeline'!$T$4:$T$503,_calc!$E$160))=0,"",INDEX('Dealer pipeline'!$T$4:$T$503,_calc!$E$160)))),TRIM(IF(LEN(IF(LEN(INDEX('My equipment'!$C$4:$C$503,(_calc!$E$160-500)))=0,"",INDEX('My equipment'!$C$4:$C$503,(_calc!$E$160-500))))=0,"","Model: "&amp;IF(LEN(INDEX('My equipment'!$C$4:$C$503,(_calc!$E$160-500)))=0,"",INDEX('My equipment'!$C$4:$C$503,(_calc!$E$160-500)))&amp;". ")&amp;IF(LEN(IF(LEN(INDEX('My equipment'!$D$4:$D$503,(_calc!$E$160-500)))=0,"",INDEX('My equipment'!$D$4:$D$503,(_calc!$E$160-500))))=0,"","Serial: "&amp;IF(LEN(INDEX('My equipment'!$D$4:$D$503,(_calc!$E$160-500)))=0,"",INDEX('My equipment'!$D$4:$D$503,(_calc!$E$160-500)))&amp;". ")&amp;IF(LEN(IF(ISNUMBER(INDEX('My equipment'!$J$4:$J$503,(_calc!$E$160-500))),TEXT(INDEX('My equipment'!$J$4:$J$503,(_calc!$E$160-500)),"yyyy-mm-dd"),""))=0,"","Parts end: "&amp;IF(ISNUMBER(INDEX('My equipment'!$J$4:$J$503,(_calc!$E$160-500))),TEXT(INDEX('My equipment'!$J$4:$J$503,(_calc!$E$160-500)),"yyyy-mm-dd"),"")&amp;". ")&amp;IF(LEN(IF(ISNUMBER(INDEX('My equipment'!$L$4:$L$503,(_calc!$E$160-500))),TEXT(INDEX('My equipment'!$L$4:$L$503,(_calc!$E$160-500)),"yyyy-mm-dd"),""))=0,"","Labor end: "&amp;IF(ISNUMBER(INDEX('My equipment'!$L$4:$L$503,(_calc!$E$160-500))),TEXT(INDEX('My equipment'!$L$4:$L$503,(_calc!$E$160-500)),"yyyy-mm-dd"),"")&amp;". ")&amp;IF(LEN(IF(ISNUMBER(INDEX('My equipment'!$P$4:$P$503,(_calc!$E$160-500))),TEXT(INDEX('My equipment'!$P$4:$P$503,(_calc!$E$160-500)),"yyyy-mm-dd"),""))=0,"","Check by: "&amp;IF(ISNUMBER(INDEX('My equipment'!$P$4:$P$503,(_calc!$E$160-500))),TEXT(INDEX('My equipment'!$P$4:$P$503,(_calc!$E$160-500)),"yyyy-mm-dd"),"")&amp;". ")&amp;IF(LEN(IF(LEN(INDEX('My equipment'!$Q$4:$Q$503,(_calc!$E$160-500)))=0,"",INDEX('My equipment'!$Q$4:$Q$503,(_calc!$E$160-500))))=0,"","Claim status: "&amp;IF(LEN(INDEX('My equipment'!$Q$4:$Q$503,(_calc!$E$160-500)))=0,"",INDEX('My equipment'!$Q$4:$Q$503,(_calc!$E$160-500)))&amp;". ")&amp;IF(LEN(IF(LEN(INDEX('My equipment'!$R$4:$R$503,(_calc!$E$160-500)))=0,"",INDEX('My equipment'!$R$4:$R$503,(_calc!$E$160-500))))=0,"","Claims contact: "&amp;IF(LEN(INDEX('My equipment'!$R$4:$R$503,(_calc!$E$160-500)))=0,"",INDEX('My equipment'!$R$4:$R$503,(_calc!$E$160-500)))&amp;". ")&amp;IF(LEN(IF(LEN(INDEX('My equipment'!$S$4:$S$503,(_calc!$E$160-500)))=0,"",INDEX('My equipment'!$S$4:$S$503,(_calc!$E$160-500))))=0,"","Claims email: "&amp;IF(LEN(INDEX('My equipment'!$S$4:$S$503,(_calc!$E$160-500)))=0,"",INDEX('My equipment'!$S$4:$S$503,(_calc!$E$160-500)))&amp;". ")&amp;IF(LEN(IF(LEN(INDEX('My equipment'!$U$4:$U$503,(_calc!$E$160-500)))=0,"",INDEX('My equipment'!$U$4:$U$503,(_calc!$E$160-500))))=0,"","Registered: "&amp;IF(LEN(INDEX('My equipment'!$U$4:$U$503,(_calc!$E$160-500)))=0,"",INDEX('My equipment'!$U$4:$U$503,(_calc!$E$160-500)))&amp;". ")&amp;IF(LEN(IF(LEN(INDEX('My equipment'!$V$4:$V$503,(_calc!$E$160-500)))=0,"",INDEX('My equipment'!$V$4:$V$503,(_calc!$E$160-500))))=0,"","Proof on file: "&amp;IF(LEN(INDEX('My equipment'!$V$4:$V$503,(_calc!$E$160-500)))=0,"",INDEX('My equipment'!$V$4:$V$503,(_calc!$E$160-500)))&amp;". ")&amp;IF(LEN(IF(LEN(INDEX('My equipment'!$W$4:$W$503,(_calc!$E$160-500)))=0,"",INDEX('My equipment'!$W$4:$W$503,(_calc!$E$160-500))))=0,"","Claim ref: "&amp;IF(LEN(INDEX('My equipment'!$W$4:$W$503,(_calc!$E$160-500)))=0,"",INDEX('My equipment'!$W$4:$W$503,(_calc!$E$160-500)))&amp;". ")&amp;IF(LEN(IF(LEN(INDEX('My equipment'!$Y$4:$Y$503,(_calc!$E$160-500)))=0,"",INDEX('My equipment'!$Y$4:$Y$503,(_calc!$E$160-500))))=0,"",IF(LEN(INDEX('My equipment'!$Y$4:$Y$503,(_calc!$E$160-500)))=0,"",INDEX('My equipment'!$Y$4:$Y$503,(_calc!$E$160-500)))))))</f>
        <v/>
      </c>
      <c r="G158" s="54">
        <f>IF(_calc!$E$160="","",IF(_calc!$E$160&lt;=500,"",IF(LEN(INDEX('My equipment'!$X$4:$X$503,(_calc!$E$160-500)))=0,"",INDEX('My equipment'!$X$4:$X$503,(_calc!$E$160-500)))))</f>
        <v/>
      </c>
      <c r="K158" s="54">
        <f>IF(_calc!$E$160="","",IF(_calc!$E$160&lt;=500,"",IF(LEN(INDEX('My equipment'!$T$4:$T$503,(_calc!$E$160-500)))=0,"",INDEX('My equipment'!$T$4:$T$503,(_calc!$E$160-500)))))</f>
        <v/>
      </c>
    </row>
    <row r="159">
      <c r="A159" s="54">
        <f>IF(_calc!$E$161="","",IF(_calc!$E$161&lt;=500,"Warranty – "&amp;IF(LEN(INDEX('Dealer pipeline'!$C$4:$C$503,_calc!$E$161))=0,"",INDEX('Dealer pipeline'!$C$4:$C$503,_calc!$E$161))&amp;" – "&amp;IF(LEN(INDEX('Dealer pipeline'!$D$4:$D$503,_calc!$E$161))=0,"",INDEX('Dealer pipeline'!$D$4:$D$503,_calc!$E$161))&amp;" – "&amp;IF(LEN(INDEX('Dealer pipeline'!$A$4:$A$503,_calc!$E$161))=0,"",INDEX('Dealer pipeline'!$A$4:$A$503,_calc!$E$161)),"Warranty – "&amp;IF(LEN(INDEX('My equipment'!$A$4:$A$503,(_calc!$E$161-500)))=0,"",INDEX('My equipment'!$A$4:$A$503,(_calc!$E$161-500)))&amp;" – "&amp;IF(LEN(INDEX('My equipment'!$D$4:$D$503,(_calc!$E$161-500)))=0,"",INDEX('My equipment'!$D$4:$D$503,(_calc!$E$161-500)))))</f>
        <v/>
      </c>
      <c r="B159" s="54">
        <f>IF(_calc!$E$161="","",IF(_calc!$E$161&lt;=500,IF(ISNUMBER(INDEX('Dealer pipeline'!$M$4:$M$503,_calc!$E$161)),TEXT(INDEX('Dealer pipeline'!$M$4:$M$503,_calc!$E$161),"yyyy-mm-dd"),""),IF(ISNUMBER(INDEX('My equipment'!$M$4:$M$503,(_calc!$E$161-500))),TEXT(INDEX('My equipment'!$M$4:$M$503,(_calc!$E$161-500)),"yyyy-mm-dd"),"")))</f>
        <v/>
      </c>
      <c r="C159" s="54">
        <f>IF(_calc!$E$161="","",IF(_calc!$E$161&lt;=500,"Warranty","Warranty"))</f>
        <v/>
      </c>
      <c r="D159" s="54">
        <f>IF(_calc!$E$161="","",IF(_calc!$E$161&lt;=500,IF(ISNUMBER(INDEX('Dealer pipeline'!$H$4:$H$503,_calc!$E$161)),TEXT(INDEX('Dealer pipeline'!$H$4:$H$503,_calc!$E$161),"yyyy-mm-dd"),""),IF(ISNUMBER(INDEX('My equipment'!$H$4:$H$503,(_calc!$E$161-500))),TEXT(INDEX('My equipment'!$H$4:$H$503,(_calc!$E$161-500)),"yyyy-mm-dd"),"")))</f>
        <v/>
      </c>
      <c r="F159" s="54">
        <f>IF(_calc!$E$161="","",IF(_calc!$E$161&lt;=500,TRIM(IF(LEN(IF(LEN(INDEX('Dealer pipeline'!$A$4:$A$503,_calc!$E$161))=0,"",INDEX('Dealer pipeline'!$A$4:$A$503,_calc!$E$161)))=0,"","Customer: "&amp;IF(LEN(INDEX('Dealer pipeline'!$A$4:$A$503,_calc!$E$161))=0,"",INDEX('Dealer pipeline'!$A$4:$A$503,_calc!$E$161))&amp;". ")&amp;IF(LEN(IF(LEN(INDEX('Dealer pipeline'!$B$4:$B$503,_calc!$E$161))=0,"",INDEX('Dealer pipeline'!$B$4:$B$503,_calc!$E$161)))=0,"","Contact: "&amp;IF(LEN(INDEX('Dealer pipeline'!$B$4:$B$503,_calc!$E$161))=0,"",INDEX('Dealer pipeline'!$B$4:$B$503,_calc!$E$161))&amp;". ")&amp;IF(LEN(IF(LEN(INDEX('Dealer pipeline'!$D$4:$D$503,_calc!$E$161))=0,"",INDEX('Dealer pipeline'!$D$4:$D$503,_calc!$E$161)))=0,"","Serial: "&amp;IF(LEN(INDEX('Dealer pipeline'!$D$4:$D$503,_calc!$E$161))=0,"",INDEX('Dealer pipeline'!$D$4:$D$503,_calc!$E$161))&amp;". ")&amp;IF(LEN(IF(ISNUMBER(INDEX('Dealer pipeline'!$J$4:$J$503,_calc!$E$161)),TEXT(INDEX('Dealer pipeline'!$J$4:$J$503,_calc!$E$161),"yyyy-mm-dd"),""))=0,"","Parts end: "&amp;IF(ISNUMBER(INDEX('Dealer pipeline'!$J$4:$J$503,_calc!$E$161)),TEXT(INDEX('Dealer pipeline'!$J$4:$J$503,_calc!$E$161),"yyyy-mm-dd"),"")&amp;". ")&amp;IF(LEN(IF(ISNUMBER(INDEX('Dealer pipeline'!$L$4:$L$503,_calc!$E$161)),TEXT(INDEX('Dealer pipeline'!$L$4:$L$503,_calc!$E$161),"yyyy-mm-dd"),""))=0,"","Labor end: "&amp;IF(ISNUMBER(INDEX('Dealer pipeline'!$L$4:$L$503,_calc!$E$161)),TEXT(INDEX('Dealer pipeline'!$L$4:$L$503,_calc!$E$161),"yyyy-mm-dd"),"")&amp;". ")&amp;IF(LEN(IF(LEN(INDEX('Dealer pipeline'!$Q$4:$Q$503,_calc!$E$161))=0,"",INDEX('Dealer pipeline'!$Q$4:$Q$503,_calc!$E$161)))=0,"","Status: "&amp;IF(LEN(INDEX('Dealer pipeline'!$Q$4:$Q$503,_calc!$E$161))=0,"",INDEX('Dealer pipeline'!$Q$4:$Q$503,_calc!$E$161))&amp;". ")&amp;IF(LEN(IF(LEN(INDEX('Dealer pipeline'!$P$4:$P$503,_calc!$E$161))=0,"",INDEX('Dealer pipeline'!$P$4:$P$503,_calc!$E$161)))=0,"","Last touch: "&amp;IF(LEN(INDEX('Dealer pipeline'!$P$4:$P$503,_calc!$E$161))=0,"",INDEX('Dealer pipeline'!$P$4:$P$503,_calc!$E$161))&amp;". ")&amp;IF(LEN(IF(LEN(INDEX('Dealer pipeline'!$R$4:$R$503,_calc!$E$161))=0,"",INDEX('Dealer pipeline'!$R$4:$R$503,_calc!$E$161)))=0,"","Owner: "&amp;IF(LEN(INDEX('Dealer pipeline'!$R$4:$R$503,_calc!$E$161))=0,"",INDEX('Dealer pipeline'!$R$4:$R$503,_calc!$E$161))&amp;". ")&amp;IF(LEN(IF(LEN(INDEX('Dealer pipeline'!$S$4:$S$503,_calc!$E$161))=0,"",INDEX('Dealer pipeline'!$S$4:$S$503,_calc!$E$161)))=0,"","Backup: "&amp;IF(LEN(INDEX('Dealer pipeline'!$S$4:$S$503,_calc!$E$161))=0,"",INDEX('Dealer pipeline'!$S$4:$S$503,_calc!$E$161))&amp;". ")&amp;IF(LEN(IF(LEN(INDEX('Dealer pipeline'!$T$4:$T$503,_calc!$E$161))=0,"",INDEX('Dealer pipeline'!$T$4:$T$503,_calc!$E$161)))=0,"",IF(LEN(INDEX('Dealer pipeline'!$T$4:$T$503,_calc!$E$161))=0,"",INDEX('Dealer pipeline'!$T$4:$T$503,_calc!$E$161)))),TRIM(IF(LEN(IF(LEN(INDEX('My equipment'!$C$4:$C$503,(_calc!$E$161-500)))=0,"",INDEX('My equipment'!$C$4:$C$503,(_calc!$E$161-500))))=0,"","Model: "&amp;IF(LEN(INDEX('My equipment'!$C$4:$C$503,(_calc!$E$161-500)))=0,"",INDEX('My equipment'!$C$4:$C$503,(_calc!$E$161-500)))&amp;". ")&amp;IF(LEN(IF(LEN(INDEX('My equipment'!$D$4:$D$503,(_calc!$E$161-500)))=0,"",INDEX('My equipment'!$D$4:$D$503,(_calc!$E$161-500))))=0,"","Serial: "&amp;IF(LEN(INDEX('My equipment'!$D$4:$D$503,(_calc!$E$161-500)))=0,"",INDEX('My equipment'!$D$4:$D$503,(_calc!$E$161-500)))&amp;". ")&amp;IF(LEN(IF(ISNUMBER(INDEX('My equipment'!$J$4:$J$503,(_calc!$E$161-500))),TEXT(INDEX('My equipment'!$J$4:$J$503,(_calc!$E$161-500)),"yyyy-mm-dd"),""))=0,"","Parts end: "&amp;IF(ISNUMBER(INDEX('My equipment'!$J$4:$J$503,(_calc!$E$161-500))),TEXT(INDEX('My equipment'!$J$4:$J$503,(_calc!$E$161-500)),"yyyy-mm-dd"),"")&amp;". ")&amp;IF(LEN(IF(ISNUMBER(INDEX('My equipment'!$L$4:$L$503,(_calc!$E$161-500))),TEXT(INDEX('My equipment'!$L$4:$L$503,(_calc!$E$161-500)),"yyyy-mm-dd"),""))=0,"","Labor end: "&amp;IF(ISNUMBER(INDEX('My equipment'!$L$4:$L$503,(_calc!$E$161-500))),TEXT(INDEX('My equipment'!$L$4:$L$503,(_calc!$E$161-500)),"yyyy-mm-dd"),"")&amp;". ")&amp;IF(LEN(IF(ISNUMBER(INDEX('My equipment'!$P$4:$P$503,(_calc!$E$161-500))),TEXT(INDEX('My equipment'!$P$4:$P$503,(_calc!$E$161-500)),"yyyy-mm-dd"),""))=0,"","Check by: "&amp;IF(ISNUMBER(INDEX('My equipment'!$P$4:$P$503,(_calc!$E$161-500))),TEXT(INDEX('My equipment'!$P$4:$P$503,(_calc!$E$161-500)),"yyyy-mm-dd"),"")&amp;". ")&amp;IF(LEN(IF(LEN(INDEX('My equipment'!$Q$4:$Q$503,(_calc!$E$161-500)))=0,"",INDEX('My equipment'!$Q$4:$Q$503,(_calc!$E$161-500))))=0,"","Claim status: "&amp;IF(LEN(INDEX('My equipment'!$Q$4:$Q$503,(_calc!$E$161-500)))=0,"",INDEX('My equipment'!$Q$4:$Q$503,(_calc!$E$161-500)))&amp;". ")&amp;IF(LEN(IF(LEN(INDEX('My equipment'!$R$4:$R$503,(_calc!$E$161-500)))=0,"",INDEX('My equipment'!$R$4:$R$503,(_calc!$E$161-500))))=0,"","Claims contact: "&amp;IF(LEN(INDEX('My equipment'!$R$4:$R$503,(_calc!$E$161-500)))=0,"",INDEX('My equipment'!$R$4:$R$503,(_calc!$E$161-500)))&amp;". ")&amp;IF(LEN(IF(LEN(INDEX('My equipment'!$S$4:$S$503,(_calc!$E$161-500)))=0,"",INDEX('My equipment'!$S$4:$S$503,(_calc!$E$161-500))))=0,"","Claims email: "&amp;IF(LEN(INDEX('My equipment'!$S$4:$S$503,(_calc!$E$161-500)))=0,"",INDEX('My equipment'!$S$4:$S$503,(_calc!$E$161-500)))&amp;". ")&amp;IF(LEN(IF(LEN(INDEX('My equipment'!$U$4:$U$503,(_calc!$E$161-500)))=0,"",INDEX('My equipment'!$U$4:$U$503,(_calc!$E$161-500))))=0,"","Registered: "&amp;IF(LEN(INDEX('My equipment'!$U$4:$U$503,(_calc!$E$161-500)))=0,"",INDEX('My equipment'!$U$4:$U$503,(_calc!$E$161-500)))&amp;". ")&amp;IF(LEN(IF(LEN(INDEX('My equipment'!$V$4:$V$503,(_calc!$E$161-500)))=0,"",INDEX('My equipment'!$V$4:$V$503,(_calc!$E$161-500))))=0,"","Proof on file: "&amp;IF(LEN(INDEX('My equipment'!$V$4:$V$503,(_calc!$E$161-500)))=0,"",INDEX('My equipment'!$V$4:$V$503,(_calc!$E$161-500)))&amp;". ")&amp;IF(LEN(IF(LEN(INDEX('My equipment'!$W$4:$W$503,(_calc!$E$161-500)))=0,"",INDEX('My equipment'!$W$4:$W$503,(_calc!$E$161-500))))=0,"","Claim ref: "&amp;IF(LEN(INDEX('My equipment'!$W$4:$W$503,(_calc!$E$161-500)))=0,"",INDEX('My equipment'!$W$4:$W$503,(_calc!$E$161-500)))&amp;". ")&amp;IF(LEN(IF(LEN(INDEX('My equipment'!$Y$4:$Y$503,(_calc!$E$161-500)))=0,"",INDEX('My equipment'!$Y$4:$Y$503,(_calc!$E$161-500))))=0,"",IF(LEN(INDEX('My equipment'!$Y$4:$Y$503,(_calc!$E$161-500)))=0,"",INDEX('My equipment'!$Y$4:$Y$503,(_calc!$E$161-500)))))))</f>
        <v/>
      </c>
      <c r="G159" s="54">
        <f>IF(_calc!$E$161="","",IF(_calc!$E$161&lt;=500,"",IF(LEN(INDEX('My equipment'!$X$4:$X$503,(_calc!$E$161-500)))=0,"",INDEX('My equipment'!$X$4:$X$503,(_calc!$E$161-500)))))</f>
        <v/>
      </c>
      <c r="K159" s="54">
        <f>IF(_calc!$E$161="","",IF(_calc!$E$161&lt;=500,"",IF(LEN(INDEX('My equipment'!$T$4:$T$503,(_calc!$E$161-500)))=0,"",INDEX('My equipment'!$T$4:$T$503,(_calc!$E$161-500)))))</f>
        <v/>
      </c>
    </row>
    <row r="160">
      <c r="A160" s="54">
        <f>IF(_calc!$E$162="","",IF(_calc!$E$162&lt;=500,"Warranty – "&amp;IF(LEN(INDEX('Dealer pipeline'!$C$4:$C$503,_calc!$E$162))=0,"",INDEX('Dealer pipeline'!$C$4:$C$503,_calc!$E$162))&amp;" – "&amp;IF(LEN(INDEX('Dealer pipeline'!$D$4:$D$503,_calc!$E$162))=0,"",INDEX('Dealer pipeline'!$D$4:$D$503,_calc!$E$162))&amp;" – "&amp;IF(LEN(INDEX('Dealer pipeline'!$A$4:$A$503,_calc!$E$162))=0,"",INDEX('Dealer pipeline'!$A$4:$A$503,_calc!$E$162)),"Warranty – "&amp;IF(LEN(INDEX('My equipment'!$A$4:$A$503,(_calc!$E$162-500)))=0,"",INDEX('My equipment'!$A$4:$A$503,(_calc!$E$162-500)))&amp;" – "&amp;IF(LEN(INDEX('My equipment'!$D$4:$D$503,(_calc!$E$162-500)))=0,"",INDEX('My equipment'!$D$4:$D$503,(_calc!$E$162-500)))))</f>
        <v/>
      </c>
      <c r="B160" s="54">
        <f>IF(_calc!$E$162="","",IF(_calc!$E$162&lt;=500,IF(ISNUMBER(INDEX('Dealer pipeline'!$M$4:$M$503,_calc!$E$162)),TEXT(INDEX('Dealer pipeline'!$M$4:$M$503,_calc!$E$162),"yyyy-mm-dd"),""),IF(ISNUMBER(INDEX('My equipment'!$M$4:$M$503,(_calc!$E$162-500))),TEXT(INDEX('My equipment'!$M$4:$M$503,(_calc!$E$162-500)),"yyyy-mm-dd"),"")))</f>
        <v/>
      </c>
      <c r="C160" s="54">
        <f>IF(_calc!$E$162="","",IF(_calc!$E$162&lt;=500,"Warranty","Warranty"))</f>
        <v/>
      </c>
      <c r="D160" s="54">
        <f>IF(_calc!$E$162="","",IF(_calc!$E$162&lt;=500,IF(ISNUMBER(INDEX('Dealer pipeline'!$H$4:$H$503,_calc!$E$162)),TEXT(INDEX('Dealer pipeline'!$H$4:$H$503,_calc!$E$162),"yyyy-mm-dd"),""),IF(ISNUMBER(INDEX('My equipment'!$H$4:$H$503,(_calc!$E$162-500))),TEXT(INDEX('My equipment'!$H$4:$H$503,(_calc!$E$162-500)),"yyyy-mm-dd"),"")))</f>
        <v/>
      </c>
      <c r="F160" s="54">
        <f>IF(_calc!$E$162="","",IF(_calc!$E$162&lt;=500,TRIM(IF(LEN(IF(LEN(INDEX('Dealer pipeline'!$A$4:$A$503,_calc!$E$162))=0,"",INDEX('Dealer pipeline'!$A$4:$A$503,_calc!$E$162)))=0,"","Customer: "&amp;IF(LEN(INDEX('Dealer pipeline'!$A$4:$A$503,_calc!$E$162))=0,"",INDEX('Dealer pipeline'!$A$4:$A$503,_calc!$E$162))&amp;". ")&amp;IF(LEN(IF(LEN(INDEX('Dealer pipeline'!$B$4:$B$503,_calc!$E$162))=0,"",INDEX('Dealer pipeline'!$B$4:$B$503,_calc!$E$162)))=0,"","Contact: "&amp;IF(LEN(INDEX('Dealer pipeline'!$B$4:$B$503,_calc!$E$162))=0,"",INDEX('Dealer pipeline'!$B$4:$B$503,_calc!$E$162))&amp;". ")&amp;IF(LEN(IF(LEN(INDEX('Dealer pipeline'!$D$4:$D$503,_calc!$E$162))=0,"",INDEX('Dealer pipeline'!$D$4:$D$503,_calc!$E$162)))=0,"","Serial: "&amp;IF(LEN(INDEX('Dealer pipeline'!$D$4:$D$503,_calc!$E$162))=0,"",INDEX('Dealer pipeline'!$D$4:$D$503,_calc!$E$162))&amp;". ")&amp;IF(LEN(IF(ISNUMBER(INDEX('Dealer pipeline'!$J$4:$J$503,_calc!$E$162)),TEXT(INDEX('Dealer pipeline'!$J$4:$J$503,_calc!$E$162),"yyyy-mm-dd"),""))=0,"","Parts end: "&amp;IF(ISNUMBER(INDEX('Dealer pipeline'!$J$4:$J$503,_calc!$E$162)),TEXT(INDEX('Dealer pipeline'!$J$4:$J$503,_calc!$E$162),"yyyy-mm-dd"),"")&amp;". ")&amp;IF(LEN(IF(ISNUMBER(INDEX('Dealer pipeline'!$L$4:$L$503,_calc!$E$162)),TEXT(INDEX('Dealer pipeline'!$L$4:$L$503,_calc!$E$162),"yyyy-mm-dd"),""))=0,"","Labor end: "&amp;IF(ISNUMBER(INDEX('Dealer pipeline'!$L$4:$L$503,_calc!$E$162)),TEXT(INDEX('Dealer pipeline'!$L$4:$L$503,_calc!$E$162),"yyyy-mm-dd"),"")&amp;". ")&amp;IF(LEN(IF(LEN(INDEX('Dealer pipeline'!$Q$4:$Q$503,_calc!$E$162))=0,"",INDEX('Dealer pipeline'!$Q$4:$Q$503,_calc!$E$162)))=0,"","Status: "&amp;IF(LEN(INDEX('Dealer pipeline'!$Q$4:$Q$503,_calc!$E$162))=0,"",INDEX('Dealer pipeline'!$Q$4:$Q$503,_calc!$E$162))&amp;". ")&amp;IF(LEN(IF(LEN(INDEX('Dealer pipeline'!$P$4:$P$503,_calc!$E$162))=0,"",INDEX('Dealer pipeline'!$P$4:$P$503,_calc!$E$162)))=0,"","Last touch: "&amp;IF(LEN(INDEX('Dealer pipeline'!$P$4:$P$503,_calc!$E$162))=0,"",INDEX('Dealer pipeline'!$P$4:$P$503,_calc!$E$162))&amp;". ")&amp;IF(LEN(IF(LEN(INDEX('Dealer pipeline'!$R$4:$R$503,_calc!$E$162))=0,"",INDEX('Dealer pipeline'!$R$4:$R$503,_calc!$E$162)))=0,"","Owner: "&amp;IF(LEN(INDEX('Dealer pipeline'!$R$4:$R$503,_calc!$E$162))=0,"",INDEX('Dealer pipeline'!$R$4:$R$503,_calc!$E$162))&amp;". ")&amp;IF(LEN(IF(LEN(INDEX('Dealer pipeline'!$S$4:$S$503,_calc!$E$162))=0,"",INDEX('Dealer pipeline'!$S$4:$S$503,_calc!$E$162)))=0,"","Backup: "&amp;IF(LEN(INDEX('Dealer pipeline'!$S$4:$S$503,_calc!$E$162))=0,"",INDEX('Dealer pipeline'!$S$4:$S$503,_calc!$E$162))&amp;". ")&amp;IF(LEN(IF(LEN(INDEX('Dealer pipeline'!$T$4:$T$503,_calc!$E$162))=0,"",INDEX('Dealer pipeline'!$T$4:$T$503,_calc!$E$162)))=0,"",IF(LEN(INDEX('Dealer pipeline'!$T$4:$T$503,_calc!$E$162))=0,"",INDEX('Dealer pipeline'!$T$4:$T$503,_calc!$E$162)))),TRIM(IF(LEN(IF(LEN(INDEX('My equipment'!$C$4:$C$503,(_calc!$E$162-500)))=0,"",INDEX('My equipment'!$C$4:$C$503,(_calc!$E$162-500))))=0,"","Model: "&amp;IF(LEN(INDEX('My equipment'!$C$4:$C$503,(_calc!$E$162-500)))=0,"",INDEX('My equipment'!$C$4:$C$503,(_calc!$E$162-500)))&amp;". ")&amp;IF(LEN(IF(LEN(INDEX('My equipment'!$D$4:$D$503,(_calc!$E$162-500)))=0,"",INDEX('My equipment'!$D$4:$D$503,(_calc!$E$162-500))))=0,"","Serial: "&amp;IF(LEN(INDEX('My equipment'!$D$4:$D$503,(_calc!$E$162-500)))=0,"",INDEX('My equipment'!$D$4:$D$503,(_calc!$E$162-500)))&amp;". ")&amp;IF(LEN(IF(ISNUMBER(INDEX('My equipment'!$J$4:$J$503,(_calc!$E$162-500))),TEXT(INDEX('My equipment'!$J$4:$J$503,(_calc!$E$162-500)),"yyyy-mm-dd"),""))=0,"","Parts end: "&amp;IF(ISNUMBER(INDEX('My equipment'!$J$4:$J$503,(_calc!$E$162-500))),TEXT(INDEX('My equipment'!$J$4:$J$503,(_calc!$E$162-500)),"yyyy-mm-dd"),"")&amp;". ")&amp;IF(LEN(IF(ISNUMBER(INDEX('My equipment'!$L$4:$L$503,(_calc!$E$162-500))),TEXT(INDEX('My equipment'!$L$4:$L$503,(_calc!$E$162-500)),"yyyy-mm-dd"),""))=0,"","Labor end: "&amp;IF(ISNUMBER(INDEX('My equipment'!$L$4:$L$503,(_calc!$E$162-500))),TEXT(INDEX('My equipment'!$L$4:$L$503,(_calc!$E$162-500)),"yyyy-mm-dd"),"")&amp;". ")&amp;IF(LEN(IF(ISNUMBER(INDEX('My equipment'!$P$4:$P$503,(_calc!$E$162-500))),TEXT(INDEX('My equipment'!$P$4:$P$503,(_calc!$E$162-500)),"yyyy-mm-dd"),""))=0,"","Check by: "&amp;IF(ISNUMBER(INDEX('My equipment'!$P$4:$P$503,(_calc!$E$162-500))),TEXT(INDEX('My equipment'!$P$4:$P$503,(_calc!$E$162-500)),"yyyy-mm-dd"),"")&amp;". ")&amp;IF(LEN(IF(LEN(INDEX('My equipment'!$Q$4:$Q$503,(_calc!$E$162-500)))=0,"",INDEX('My equipment'!$Q$4:$Q$503,(_calc!$E$162-500))))=0,"","Claim status: "&amp;IF(LEN(INDEX('My equipment'!$Q$4:$Q$503,(_calc!$E$162-500)))=0,"",INDEX('My equipment'!$Q$4:$Q$503,(_calc!$E$162-500)))&amp;". ")&amp;IF(LEN(IF(LEN(INDEX('My equipment'!$R$4:$R$503,(_calc!$E$162-500)))=0,"",INDEX('My equipment'!$R$4:$R$503,(_calc!$E$162-500))))=0,"","Claims contact: "&amp;IF(LEN(INDEX('My equipment'!$R$4:$R$503,(_calc!$E$162-500)))=0,"",INDEX('My equipment'!$R$4:$R$503,(_calc!$E$162-500)))&amp;". ")&amp;IF(LEN(IF(LEN(INDEX('My equipment'!$S$4:$S$503,(_calc!$E$162-500)))=0,"",INDEX('My equipment'!$S$4:$S$503,(_calc!$E$162-500))))=0,"","Claims email: "&amp;IF(LEN(INDEX('My equipment'!$S$4:$S$503,(_calc!$E$162-500)))=0,"",INDEX('My equipment'!$S$4:$S$503,(_calc!$E$162-500)))&amp;". ")&amp;IF(LEN(IF(LEN(INDEX('My equipment'!$U$4:$U$503,(_calc!$E$162-500)))=0,"",INDEX('My equipment'!$U$4:$U$503,(_calc!$E$162-500))))=0,"","Registered: "&amp;IF(LEN(INDEX('My equipment'!$U$4:$U$503,(_calc!$E$162-500)))=0,"",INDEX('My equipment'!$U$4:$U$503,(_calc!$E$162-500)))&amp;". ")&amp;IF(LEN(IF(LEN(INDEX('My equipment'!$V$4:$V$503,(_calc!$E$162-500)))=0,"",INDEX('My equipment'!$V$4:$V$503,(_calc!$E$162-500))))=0,"","Proof on file: "&amp;IF(LEN(INDEX('My equipment'!$V$4:$V$503,(_calc!$E$162-500)))=0,"",INDEX('My equipment'!$V$4:$V$503,(_calc!$E$162-500)))&amp;". ")&amp;IF(LEN(IF(LEN(INDEX('My equipment'!$W$4:$W$503,(_calc!$E$162-500)))=0,"",INDEX('My equipment'!$W$4:$W$503,(_calc!$E$162-500))))=0,"","Claim ref: "&amp;IF(LEN(INDEX('My equipment'!$W$4:$W$503,(_calc!$E$162-500)))=0,"",INDEX('My equipment'!$W$4:$W$503,(_calc!$E$162-500)))&amp;". ")&amp;IF(LEN(IF(LEN(INDEX('My equipment'!$Y$4:$Y$503,(_calc!$E$162-500)))=0,"",INDEX('My equipment'!$Y$4:$Y$503,(_calc!$E$162-500))))=0,"",IF(LEN(INDEX('My equipment'!$Y$4:$Y$503,(_calc!$E$162-500)))=0,"",INDEX('My equipment'!$Y$4:$Y$503,(_calc!$E$162-500)))))))</f>
        <v/>
      </c>
      <c r="G160" s="54">
        <f>IF(_calc!$E$162="","",IF(_calc!$E$162&lt;=500,"",IF(LEN(INDEX('My equipment'!$X$4:$X$503,(_calc!$E$162-500)))=0,"",INDEX('My equipment'!$X$4:$X$503,(_calc!$E$162-500)))))</f>
        <v/>
      </c>
      <c r="K160" s="54">
        <f>IF(_calc!$E$162="","",IF(_calc!$E$162&lt;=500,"",IF(LEN(INDEX('My equipment'!$T$4:$T$503,(_calc!$E$162-500)))=0,"",INDEX('My equipment'!$T$4:$T$503,(_calc!$E$162-500)))))</f>
        <v/>
      </c>
    </row>
    <row r="161">
      <c r="A161" s="54">
        <f>IF(_calc!$E$163="","",IF(_calc!$E$163&lt;=500,"Warranty – "&amp;IF(LEN(INDEX('Dealer pipeline'!$C$4:$C$503,_calc!$E$163))=0,"",INDEX('Dealer pipeline'!$C$4:$C$503,_calc!$E$163))&amp;" – "&amp;IF(LEN(INDEX('Dealer pipeline'!$D$4:$D$503,_calc!$E$163))=0,"",INDEX('Dealer pipeline'!$D$4:$D$503,_calc!$E$163))&amp;" – "&amp;IF(LEN(INDEX('Dealer pipeline'!$A$4:$A$503,_calc!$E$163))=0,"",INDEX('Dealer pipeline'!$A$4:$A$503,_calc!$E$163)),"Warranty – "&amp;IF(LEN(INDEX('My equipment'!$A$4:$A$503,(_calc!$E$163-500)))=0,"",INDEX('My equipment'!$A$4:$A$503,(_calc!$E$163-500)))&amp;" – "&amp;IF(LEN(INDEX('My equipment'!$D$4:$D$503,(_calc!$E$163-500)))=0,"",INDEX('My equipment'!$D$4:$D$503,(_calc!$E$163-500)))))</f>
        <v/>
      </c>
      <c r="B161" s="54">
        <f>IF(_calc!$E$163="","",IF(_calc!$E$163&lt;=500,IF(ISNUMBER(INDEX('Dealer pipeline'!$M$4:$M$503,_calc!$E$163)),TEXT(INDEX('Dealer pipeline'!$M$4:$M$503,_calc!$E$163),"yyyy-mm-dd"),""),IF(ISNUMBER(INDEX('My equipment'!$M$4:$M$503,(_calc!$E$163-500))),TEXT(INDEX('My equipment'!$M$4:$M$503,(_calc!$E$163-500)),"yyyy-mm-dd"),"")))</f>
        <v/>
      </c>
      <c r="C161" s="54">
        <f>IF(_calc!$E$163="","",IF(_calc!$E$163&lt;=500,"Warranty","Warranty"))</f>
        <v/>
      </c>
      <c r="D161" s="54">
        <f>IF(_calc!$E$163="","",IF(_calc!$E$163&lt;=500,IF(ISNUMBER(INDEX('Dealer pipeline'!$H$4:$H$503,_calc!$E$163)),TEXT(INDEX('Dealer pipeline'!$H$4:$H$503,_calc!$E$163),"yyyy-mm-dd"),""),IF(ISNUMBER(INDEX('My equipment'!$H$4:$H$503,(_calc!$E$163-500))),TEXT(INDEX('My equipment'!$H$4:$H$503,(_calc!$E$163-500)),"yyyy-mm-dd"),"")))</f>
        <v/>
      </c>
      <c r="F161" s="54">
        <f>IF(_calc!$E$163="","",IF(_calc!$E$163&lt;=500,TRIM(IF(LEN(IF(LEN(INDEX('Dealer pipeline'!$A$4:$A$503,_calc!$E$163))=0,"",INDEX('Dealer pipeline'!$A$4:$A$503,_calc!$E$163)))=0,"","Customer: "&amp;IF(LEN(INDEX('Dealer pipeline'!$A$4:$A$503,_calc!$E$163))=0,"",INDEX('Dealer pipeline'!$A$4:$A$503,_calc!$E$163))&amp;". ")&amp;IF(LEN(IF(LEN(INDEX('Dealer pipeline'!$B$4:$B$503,_calc!$E$163))=0,"",INDEX('Dealer pipeline'!$B$4:$B$503,_calc!$E$163)))=0,"","Contact: "&amp;IF(LEN(INDEX('Dealer pipeline'!$B$4:$B$503,_calc!$E$163))=0,"",INDEX('Dealer pipeline'!$B$4:$B$503,_calc!$E$163))&amp;". ")&amp;IF(LEN(IF(LEN(INDEX('Dealer pipeline'!$D$4:$D$503,_calc!$E$163))=0,"",INDEX('Dealer pipeline'!$D$4:$D$503,_calc!$E$163)))=0,"","Serial: "&amp;IF(LEN(INDEX('Dealer pipeline'!$D$4:$D$503,_calc!$E$163))=0,"",INDEX('Dealer pipeline'!$D$4:$D$503,_calc!$E$163))&amp;". ")&amp;IF(LEN(IF(ISNUMBER(INDEX('Dealer pipeline'!$J$4:$J$503,_calc!$E$163)),TEXT(INDEX('Dealer pipeline'!$J$4:$J$503,_calc!$E$163),"yyyy-mm-dd"),""))=0,"","Parts end: "&amp;IF(ISNUMBER(INDEX('Dealer pipeline'!$J$4:$J$503,_calc!$E$163)),TEXT(INDEX('Dealer pipeline'!$J$4:$J$503,_calc!$E$163),"yyyy-mm-dd"),"")&amp;". ")&amp;IF(LEN(IF(ISNUMBER(INDEX('Dealer pipeline'!$L$4:$L$503,_calc!$E$163)),TEXT(INDEX('Dealer pipeline'!$L$4:$L$503,_calc!$E$163),"yyyy-mm-dd"),""))=0,"","Labor end: "&amp;IF(ISNUMBER(INDEX('Dealer pipeline'!$L$4:$L$503,_calc!$E$163)),TEXT(INDEX('Dealer pipeline'!$L$4:$L$503,_calc!$E$163),"yyyy-mm-dd"),"")&amp;". ")&amp;IF(LEN(IF(LEN(INDEX('Dealer pipeline'!$Q$4:$Q$503,_calc!$E$163))=0,"",INDEX('Dealer pipeline'!$Q$4:$Q$503,_calc!$E$163)))=0,"","Status: "&amp;IF(LEN(INDEX('Dealer pipeline'!$Q$4:$Q$503,_calc!$E$163))=0,"",INDEX('Dealer pipeline'!$Q$4:$Q$503,_calc!$E$163))&amp;". ")&amp;IF(LEN(IF(LEN(INDEX('Dealer pipeline'!$P$4:$P$503,_calc!$E$163))=0,"",INDEX('Dealer pipeline'!$P$4:$P$503,_calc!$E$163)))=0,"","Last touch: "&amp;IF(LEN(INDEX('Dealer pipeline'!$P$4:$P$503,_calc!$E$163))=0,"",INDEX('Dealer pipeline'!$P$4:$P$503,_calc!$E$163))&amp;". ")&amp;IF(LEN(IF(LEN(INDEX('Dealer pipeline'!$R$4:$R$503,_calc!$E$163))=0,"",INDEX('Dealer pipeline'!$R$4:$R$503,_calc!$E$163)))=0,"","Owner: "&amp;IF(LEN(INDEX('Dealer pipeline'!$R$4:$R$503,_calc!$E$163))=0,"",INDEX('Dealer pipeline'!$R$4:$R$503,_calc!$E$163))&amp;". ")&amp;IF(LEN(IF(LEN(INDEX('Dealer pipeline'!$S$4:$S$503,_calc!$E$163))=0,"",INDEX('Dealer pipeline'!$S$4:$S$503,_calc!$E$163)))=0,"","Backup: "&amp;IF(LEN(INDEX('Dealer pipeline'!$S$4:$S$503,_calc!$E$163))=0,"",INDEX('Dealer pipeline'!$S$4:$S$503,_calc!$E$163))&amp;". ")&amp;IF(LEN(IF(LEN(INDEX('Dealer pipeline'!$T$4:$T$503,_calc!$E$163))=0,"",INDEX('Dealer pipeline'!$T$4:$T$503,_calc!$E$163)))=0,"",IF(LEN(INDEX('Dealer pipeline'!$T$4:$T$503,_calc!$E$163))=0,"",INDEX('Dealer pipeline'!$T$4:$T$503,_calc!$E$163)))),TRIM(IF(LEN(IF(LEN(INDEX('My equipment'!$C$4:$C$503,(_calc!$E$163-500)))=0,"",INDEX('My equipment'!$C$4:$C$503,(_calc!$E$163-500))))=0,"","Model: "&amp;IF(LEN(INDEX('My equipment'!$C$4:$C$503,(_calc!$E$163-500)))=0,"",INDEX('My equipment'!$C$4:$C$503,(_calc!$E$163-500)))&amp;". ")&amp;IF(LEN(IF(LEN(INDEX('My equipment'!$D$4:$D$503,(_calc!$E$163-500)))=0,"",INDEX('My equipment'!$D$4:$D$503,(_calc!$E$163-500))))=0,"","Serial: "&amp;IF(LEN(INDEX('My equipment'!$D$4:$D$503,(_calc!$E$163-500)))=0,"",INDEX('My equipment'!$D$4:$D$503,(_calc!$E$163-500)))&amp;". ")&amp;IF(LEN(IF(ISNUMBER(INDEX('My equipment'!$J$4:$J$503,(_calc!$E$163-500))),TEXT(INDEX('My equipment'!$J$4:$J$503,(_calc!$E$163-500)),"yyyy-mm-dd"),""))=0,"","Parts end: "&amp;IF(ISNUMBER(INDEX('My equipment'!$J$4:$J$503,(_calc!$E$163-500))),TEXT(INDEX('My equipment'!$J$4:$J$503,(_calc!$E$163-500)),"yyyy-mm-dd"),"")&amp;". ")&amp;IF(LEN(IF(ISNUMBER(INDEX('My equipment'!$L$4:$L$503,(_calc!$E$163-500))),TEXT(INDEX('My equipment'!$L$4:$L$503,(_calc!$E$163-500)),"yyyy-mm-dd"),""))=0,"","Labor end: "&amp;IF(ISNUMBER(INDEX('My equipment'!$L$4:$L$503,(_calc!$E$163-500))),TEXT(INDEX('My equipment'!$L$4:$L$503,(_calc!$E$163-500)),"yyyy-mm-dd"),"")&amp;". ")&amp;IF(LEN(IF(ISNUMBER(INDEX('My equipment'!$P$4:$P$503,(_calc!$E$163-500))),TEXT(INDEX('My equipment'!$P$4:$P$503,(_calc!$E$163-500)),"yyyy-mm-dd"),""))=0,"","Check by: "&amp;IF(ISNUMBER(INDEX('My equipment'!$P$4:$P$503,(_calc!$E$163-500))),TEXT(INDEX('My equipment'!$P$4:$P$503,(_calc!$E$163-500)),"yyyy-mm-dd"),"")&amp;". ")&amp;IF(LEN(IF(LEN(INDEX('My equipment'!$Q$4:$Q$503,(_calc!$E$163-500)))=0,"",INDEX('My equipment'!$Q$4:$Q$503,(_calc!$E$163-500))))=0,"","Claim status: "&amp;IF(LEN(INDEX('My equipment'!$Q$4:$Q$503,(_calc!$E$163-500)))=0,"",INDEX('My equipment'!$Q$4:$Q$503,(_calc!$E$163-500)))&amp;". ")&amp;IF(LEN(IF(LEN(INDEX('My equipment'!$R$4:$R$503,(_calc!$E$163-500)))=0,"",INDEX('My equipment'!$R$4:$R$503,(_calc!$E$163-500))))=0,"","Claims contact: "&amp;IF(LEN(INDEX('My equipment'!$R$4:$R$503,(_calc!$E$163-500)))=0,"",INDEX('My equipment'!$R$4:$R$503,(_calc!$E$163-500)))&amp;". ")&amp;IF(LEN(IF(LEN(INDEX('My equipment'!$S$4:$S$503,(_calc!$E$163-500)))=0,"",INDEX('My equipment'!$S$4:$S$503,(_calc!$E$163-500))))=0,"","Claims email: "&amp;IF(LEN(INDEX('My equipment'!$S$4:$S$503,(_calc!$E$163-500)))=0,"",INDEX('My equipment'!$S$4:$S$503,(_calc!$E$163-500)))&amp;". ")&amp;IF(LEN(IF(LEN(INDEX('My equipment'!$U$4:$U$503,(_calc!$E$163-500)))=0,"",INDEX('My equipment'!$U$4:$U$503,(_calc!$E$163-500))))=0,"","Registered: "&amp;IF(LEN(INDEX('My equipment'!$U$4:$U$503,(_calc!$E$163-500)))=0,"",INDEX('My equipment'!$U$4:$U$503,(_calc!$E$163-500)))&amp;". ")&amp;IF(LEN(IF(LEN(INDEX('My equipment'!$V$4:$V$503,(_calc!$E$163-500)))=0,"",INDEX('My equipment'!$V$4:$V$503,(_calc!$E$163-500))))=0,"","Proof on file: "&amp;IF(LEN(INDEX('My equipment'!$V$4:$V$503,(_calc!$E$163-500)))=0,"",INDEX('My equipment'!$V$4:$V$503,(_calc!$E$163-500)))&amp;". ")&amp;IF(LEN(IF(LEN(INDEX('My equipment'!$W$4:$W$503,(_calc!$E$163-500)))=0,"",INDEX('My equipment'!$W$4:$W$503,(_calc!$E$163-500))))=0,"","Claim ref: "&amp;IF(LEN(INDEX('My equipment'!$W$4:$W$503,(_calc!$E$163-500)))=0,"",INDEX('My equipment'!$W$4:$W$503,(_calc!$E$163-500)))&amp;". ")&amp;IF(LEN(IF(LEN(INDEX('My equipment'!$Y$4:$Y$503,(_calc!$E$163-500)))=0,"",INDEX('My equipment'!$Y$4:$Y$503,(_calc!$E$163-500))))=0,"",IF(LEN(INDEX('My equipment'!$Y$4:$Y$503,(_calc!$E$163-500)))=0,"",INDEX('My equipment'!$Y$4:$Y$503,(_calc!$E$163-500)))))))</f>
        <v/>
      </c>
      <c r="G161" s="54">
        <f>IF(_calc!$E$163="","",IF(_calc!$E$163&lt;=500,"",IF(LEN(INDEX('My equipment'!$X$4:$X$503,(_calc!$E$163-500)))=0,"",INDEX('My equipment'!$X$4:$X$503,(_calc!$E$163-500)))))</f>
        <v/>
      </c>
      <c r="K161" s="54">
        <f>IF(_calc!$E$163="","",IF(_calc!$E$163&lt;=500,"",IF(LEN(INDEX('My equipment'!$T$4:$T$503,(_calc!$E$163-500)))=0,"",INDEX('My equipment'!$T$4:$T$503,(_calc!$E$163-500)))))</f>
        <v/>
      </c>
    </row>
    <row r="162">
      <c r="A162" s="54">
        <f>IF(_calc!$E$164="","",IF(_calc!$E$164&lt;=500,"Warranty – "&amp;IF(LEN(INDEX('Dealer pipeline'!$C$4:$C$503,_calc!$E$164))=0,"",INDEX('Dealer pipeline'!$C$4:$C$503,_calc!$E$164))&amp;" – "&amp;IF(LEN(INDEX('Dealer pipeline'!$D$4:$D$503,_calc!$E$164))=0,"",INDEX('Dealer pipeline'!$D$4:$D$503,_calc!$E$164))&amp;" – "&amp;IF(LEN(INDEX('Dealer pipeline'!$A$4:$A$503,_calc!$E$164))=0,"",INDEX('Dealer pipeline'!$A$4:$A$503,_calc!$E$164)),"Warranty – "&amp;IF(LEN(INDEX('My equipment'!$A$4:$A$503,(_calc!$E$164-500)))=0,"",INDEX('My equipment'!$A$4:$A$503,(_calc!$E$164-500)))&amp;" – "&amp;IF(LEN(INDEX('My equipment'!$D$4:$D$503,(_calc!$E$164-500)))=0,"",INDEX('My equipment'!$D$4:$D$503,(_calc!$E$164-500)))))</f>
        <v/>
      </c>
      <c r="B162" s="54">
        <f>IF(_calc!$E$164="","",IF(_calc!$E$164&lt;=500,IF(ISNUMBER(INDEX('Dealer pipeline'!$M$4:$M$503,_calc!$E$164)),TEXT(INDEX('Dealer pipeline'!$M$4:$M$503,_calc!$E$164),"yyyy-mm-dd"),""),IF(ISNUMBER(INDEX('My equipment'!$M$4:$M$503,(_calc!$E$164-500))),TEXT(INDEX('My equipment'!$M$4:$M$503,(_calc!$E$164-500)),"yyyy-mm-dd"),"")))</f>
        <v/>
      </c>
      <c r="C162" s="54">
        <f>IF(_calc!$E$164="","",IF(_calc!$E$164&lt;=500,"Warranty","Warranty"))</f>
        <v/>
      </c>
      <c r="D162" s="54">
        <f>IF(_calc!$E$164="","",IF(_calc!$E$164&lt;=500,IF(ISNUMBER(INDEX('Dealer pipeline'!$H$4:$H$503,_calc!$E$164)),TEXT(INDEX('Dealer pipeline'!$H$4:$H$503,_calc!$E$164),"yyyy-mm-dd"),""),IF(ISNUMBER(INDEX('My equipment'!$H$4:$H$503,(_calc!$E$164-500))),TEXT(INDEX('My equipment'!$H$4:$H$503,(_calc!$E$164-500)),"yyyy-mm-dd"),"")))</f>
        <v/>
      </c>
      <c r="F162" s="54">
        <f>IF(_calc!$E$164="","",IF(_calc!$E$164&lt;=500,TRIM(IF(LEN(IF(LEN(INDEX('Dealer pipeline'!$A$4:$A$503,_calc!$E$164))=0,"",INDEX('Dealer pipeline'!$A$4:$A$503,_calc!$E$164)))=0,"","Customer: "&amp;IF(LEN(INDEX('Dealer pipeline'!$A$4:$A$503,_calc!$E$164))=0,"",INDEX('Dealer pipeline'!$A$4:$A$503,_calc!$E$164))&amp;". ")&amp;IF(LEN(IF(LEN(INDEX('Dealer pipeline'!$B$4:$B$503,_calc!$E$164))=0,"",INDEX('Dealer pipeline'!$B$4:$B$503,_calc!$E$164)))=0,"","Contact: "&amp;IF(LEN(INDEX('Dealer pipeline'!$B$4:$B$503,_calc!$E$164))=0,"",INDEX('Dealer pipeline'!$B$4:$B$503,_calc!$E$164))&amp;". ")&amp;IF(LEN(IF(LEN(INDEX('Dealer pipeline'!$D$4:$D$503,_calc!$E$164))=0,"",INDEX('Dealer pipeline'!$D$4:$D$503,_calc!$E$164)))=0,"","Serial: "&amp;IF(LEN(INDEX('Dealer pipeline'!$D$4:$D$503,_calc!$E$164))=0,"",INDEX('Dealer pipeline'!$D$4:$D$503,_calc!$E$164))&amp;". ")&amp;IF(LEN(IF(ISNUMBER(INDEX('Dealer pipeline'!$J$4:$J$503,_calc!$E$164)),TEXT(INDEX('Dealer pipeline'!$J$4:$J$503,_calc!$E$164),"yyyy-mm-dd"),""))=0,"","Parts end: "&amp;IF(ISNUMBER(INDEX('Dealer pipeline'!$J$4:$J$503,_calc!$E$164)),TEXT(INDEX('Dealer pipeline'!$J$4:$J$503,_calc!$E$164),"yyyy-mm-dd"),"")&amp;". ")&amp;IF(LEN(IF(ISNUMBER(INDEX('Dealer pipeline'!$L$4:$L$503,_calc!$E$164)),TEXT(INDEX('Dealer pipeline'!$L$4:$L$503,_calc!$E$164),"yyyy-mm-dd"),""))=0,"","Labor end: "&amp;IF(ISNUMBER(INDEX('Dealer pipeline'!$L$4:$L$503,_calc!$E$164)),TEXT(INDEX('Dealer pipeline'!$L$4:$L$503,_calc!$E$164),"yyyy-mm-dd"),"")&amp;". ")&amp;IF(LEN(IF(LEN(INDEX('Dealer pipeline'!$Q$4:$Q$503,_calc!$E$164))=0,"",INDEX('Dealer pipeline'!$Q$4:$Q$503,_calc!$E$164)))=0,"","Status: "&amp;IF(LEN(INDEX('Dealer pipeline'!$Q$4:$Q$503,_calc!$E$164))=0,"",INDEX('Dealer pipeline'!$Q$4:$Q$503,_calc!$E$164))&amp;". ")&amp;IF(LEN(IF(LEN(INDEX('Dealer pipeline'!$P$4:$P$503,_calc!$E$164))=0,"",INDEX('Dealer pipeline'!$P$4:$P$503,_calc!$E$164)))=0,"","Last touch: "&amp;IF(LEN(INDEX('Dealer pipeline'!$P$4:$P$503,_calc!$E$164))=0,"",INDEX('Dealer pipeline'!$P$4:$P$503,_calc!$E$164))&amp;". ")&amp;IF(LEN(IF(LEN(INDEX('Dealer pipeline'!$R$4:$R$503,_calc!$E$164))=0,"",INDEX('Dealer pipeline'!$R$4:$R$503,_calc!$E$164)))=0,"","Owner: "&amp;IF(LEN(INDEX('Dealer pipeline'!$R$4:$R$503,_calc!$E$164))=0,"",INDEX('Dealer pipeline'!$R$4:$R$503,_calc!$E$164))&amp;". ")&amp;IF(LEN(IF(LEN(INDEX('Dealer pipeline'!$S$4:$S$503,_calc!$E$164))=0,"",INDEX('Dealer pipeline'!$S$4:$S$503,_calc!$E$164)))=0,"","Backup: "&amp;IF(LEN(INDEX('Dealer pipeline'!$S$4:$S$503,_calc!$E$164))=0,"",INDEX('Dealer pipeline'!$S$4:$S$503,_calc!$E$164))&amp;". ")&amp;IF(LEN(IF(LEN(INDEX('Dealer pipeline'!$T$4:$T$503,_calc!$E$164))=0,"",INDEX('Dealer pipeline'!$T$4:$T$503,_calc!$E$164)))=0,"",IF(LEN(INDEX('Dealer pipeline'!$T$4:$T$503,_calc!$E$164))=0,"",INDEX('Dealer pipeline'!$T$4:$T$503,_calc!$E$164)))),TRIM(IF(LEN(IF(LEN(INDEX('My equipment'!$C$4:$C$503,(_calc!$E$164-500)))=0,"",INDEX('My equipment'!$C$4:$C$503,(_calc!$E$164-500))))=0,"","Model: "&amp;IF(LEN(INDEX('My equipment'!$C$4:$C$503,(_calc!$E$164-500)))=0,"",INDEX('My equipment'!$C$4:$C$503,(_calc!$E$164-500)))&amp;". ")&amp;IF(LEN(IF(LEN(INDEX('My equipment'!$D$4:$D$503,(_calc!$E$164-500)))=0,"",INDEX('My equipment'!$D$4:$D$503,(_calc!$E$164-500))))=0,"","Serial: "&amp;IF(LEN(INDEX('My equipment'!$D$4:$D$503,(_calc!$E$164-500)))=0,"",INDEX('My equipment'!$D$4:$D$503,(_calc!$E$164-500)))&amp;". ")&amp;IF(LEN(IF(ISNUMBER(INDEX('My equipment'!$J$4:$J$503,(_calc!$E$164-500))),TEXT(INDEX('My equipment'!$J$4:$J$503,(_calc!$E$164-500)),"yyyy-mm-dd"),""))=0,"","Parts end: "&amp;IF(ISNUMBER(INDEX('My equipment'!$J$4:$J$503,(_calc!$E$164-500))),TEXT(INDEX('My equipment'!$J$4:$J$503,(_calc!$E$164-500)),"yyyy-mm-dd"),"")&amp;". ")&amp;IF(LEN(IF(ISNUMBER(INDEX('My equipment'!$L$4:$L$503,(_calc!$E$164-500))),TEXT(INDEX('My equipment'!$L$4:$L$503,(_calc!$E$164-500)),"yyyy-mm-dd"),""))=0,"","Labor end: "&amp;IF(ISNUMBER(INDEX('My equipment'!$L$4:$L$503,(_calc!$E$164-500))),TEXT(INDEX('My equipment'!$L$4:$L$503,(_calc!$E$164-500)),"yyyy-mm-dd"),"")&amp;". ")&amp;IF(LEN(IF(ISNUMBER(INDEX('My equipment'!$P$4:$P$503,(_calc!$E$164-500))),TEXT(INDEX('My equipment'!$P$4:$P$503,(_calc!$E$164-500)),"yyyy-mm-dd"),""))=0,"","Check by: "&amp;IF(ISNUMBER(INDEX('My equipment'!$P$4:$P$503,(_calc!$E$164-500))),TEXT(INDEX('My equipment'!$P$4:$P$503,(_calc!$E$164-500)),"yyyy-mm-dd"),"")&amp;". ")&amp;IF(LEN(IF(LEN(INDEX('My equipment'!$Q$4:$Q$503,(_calc!$E$164-500)))=0,"",INDEX('My equipment'!$Q$4:$Q$503,(_calc!$E$164-500))))=0,"","Claim status: "&amp;IF(LEN(INDEX('My equipment'!$Q$4:$Q$503,(_calc!$E$164-500)))=0,"",INDEX('My equipment'!$Q$4:$Q$503,(_calc!$E$164-500)))&amp;". ")&amp;IF(LEN(IF(LEN(INDEX('My equipment'!$R$4:$R$503,(_calc!$E$164-500)))=0,"",INDEX('My equipment'!$R$4:$R$503,(_calc!$E$164-500))))=0,"","Claims contact: "&amp;IF(LEN(INDEX('My equipment'!$R$4:$R$503,(_calc!$E$164-500)))=0,"",INDEX('My equipment'!$R$4:$R$503,(_calc!$E$164-500)))&amp;". ")&amp;IF(LEN(IF(LEN(INDEX('My equipment'!$S$4:$S$503,(_calc!$E$164-500)))=0,"",INDEX('My equipment'!$S$4:$S$503,(_calc!$E$164-500))))=0,"","Claims email: "&amp;IF(LEN(INDEX('My equipment'!$S$4:$S$503,(_calc!$E$164-500)))=0,"",INDEX('My equipment'!$S$4:$S$503,(_calc!$E$164-500)))&amp;". ")&amp;IF(LEN(IF(LEN(INDEX('My equipment'!$U$4:$U$503,(_calc!$E$164-500)))=0,"",INDEX('My equipment'!$U$4:$U$503,(_calc!$E$164-500))))=0,"","Registered: "&amp;IF(LEN(INDEX('My equipment'!$U$4:$U$503,(_calc!$E$164-500)))=0,"",INDEX('My equipment'!$U$4:$U$503,(_calc!$E$164-500)))&amp;". ")&amp;IF(LEN(IF(LEN(INDEX('My equipment'!$V$4:$V$503,(_calc!$E$164-500)))=0,"",INDEX('My equipment'!$V$4:$V$503,(_calc!$E$164-500))))=0,"","Proof on file: "&amp;IF(LEN(INDEX('My equipment'!$V$4:$V$503,(_calc!$E$164-500)))=0,"",INDEX('My equipment'!$V$4:$V$503,(_calc!$E$164-500)))&amp;". ")&amp;IF(LEN(IF(LEN(INDEX('My equipment'!$W$4:$W$503,(_calc!$E$164-500)))=0,"",INDEX('My equipment'!$W$4:$W$503,(_calc!$E$164-500))))=0,"","Claim ref: "&amp;IF(LEN(INDEX('My equipment'!$W$4:$W$503,(_calc!$E$164-500)))=0,"",INDEX('My equipment'!$W$4:$W$503,(_calc!$E$164-500)))&amp;". ")&amp;IF(LEN(IF(LEN(INDEX('My equipment'!$Y$4:$Y$503,(_calc!$E$164-500)))=0,"",INDEX('My equipment'!$Y$4:$Y$503,(_calc!$E$164-500))))=0,"",IF(LEN(INDEX('My equipment'!$Y$4:$Y$503,(_calc!$E$164-500)))=0,"",INDEX('My equipment'!$Y$4:$Y$503,(_calc!$E$164-500)))))))</f>
        <v/>
      </c>
      <c r="G162" s="54">
        <f>IF(_calc!$E$164="","",IF(_calc!$E$164&lt;=500,"",IF(LEN(INDEX('My equipment'!$X$4:$X$503,(_calc!$E$164-500)))=0,"",INDEX('My equipment'!$X$4:$X$503,(_calc!$E$164-500)))))</f>
        <v/>
      </c>
      <c r="K162" s="54">
        <f>IF(_calc!$E$164="","",IF(_calc!$E$164&lt;=500,"",IF(LEN(INDEX('My equipment'!$T$4:$T$503,(_calc!$E$164-500)))=0,"",INDEX('My equipment'!$T$4:$T$503,(_calc!$E$164-500)))))</f>
        <v/>
      </c>
    </row>
    <row r="163">
      <c r="A163" s="54">
        <f>IF(_calc!$E$165="","",IF(_calc!$E$165&lt;=500,"Warranty – "&amp;IF(LEN(INDEX('Dealer pipeline'!$C$4:$C$503,_calc!$E$165))=0,"",INDEX('Dealer pipeline'!$C$4:$C$503,_calc!$E$165))&amp;" – "&amp;IF(LEN(INDEX('Dealer pipeline'!$D$4:$D$503,_calc!$E$165))=0,"",INDEX('Dealer pipeline'!$D$4:$D$503,_calc!$E$165))&amp;" – "&amp;IF(LEN(INDEX('Dealer pipeline'!$A$4:$A$503,_calc!$E$165))=0,"",INDEX('Dealer pipeline'!$A$4:$A$503,_calc!$E$165)),"Warranty – "&amp;IF(LEN(INDEX('My equipment'!$A$4:$A$503,(_calc!$E$165-500)))=0,"",INDEX('My equipment'!$A$4:$A$503,(_calc!$E$165-500)))&amp;" – "&amp;IF(LEN(INDEX('My equipment'!$D$4:$D$503,(_calc!$E$165-500)))=0,"",INDEX('My equipment'!$D$4:$D$503,(_calc!$E$165-500)))))</f>
        <v/>
      </c>
      <c r="B163" s="54">
        <f>IF(_calc!$E$165="","",IF(_calc!$E$165&lt;=500,IF(ISNUMBER(INDEX('Dealer pipeline'!$M$4:$M$503,_calc!$E$165)),TEXT(INDEX('Dealer pipeline'!$M$4:$M$503,_calc!$E$165),"yyyy-mm-dd"),""),IF(ISNUMBER(INDEX('My equipment'!$M$4:$M$503,(_calc!$E$165-500))),TEXT(INDEX('My equipment'!$M$4:$M$503,(_calc!$E$165-500)),"yyyy-mm-dd"),"")))</f>
        <v/>
      </c>
      <c r="C163" s="54">
        <f>IF(_calc!$E$165="","",IF(_calc!$E$165&lt;=500,"Warranty","Warranty"))</f>
        <v/>
      </c>
      <c r="D163" s="54">
        <f>IF(_calc!$E$165="","",IF(_calc!$E$165&lt;=500,IF(ISNUMBER(INDEX('Dealer pipeline'!$H$4:$H$503,_calc!$E$165)),TEXT(INDEX('Dealer pipeline'!$H$4:$H$503,_calc!$E$165),"yyyy-mm-dd"),""),IF(ISNUMBER(INDEX('My equipment'!$H$4:$H$503,(_calc!$E$165-500))),TEXT(INDEX('My equipment'!$H$4:$H$503,(_calc!$E$165-500)),"yyyy-mm-dd"),"")))</f>
        <v/>
      </c>
      <c r="F163" s="54">
        <f>IF(_calc!$E$165="","",IF(_calc!$E$165&lt;=500,TRIM(IF(LEN(IF(LEN(INDEX('Dealer pipeline'!$A$4:$A$503,_calc!$E$165))=0,"",INDEX('Dealer pipeline'!$A$4:$A$503,_calc!$E$165)))=0,"","Customer: "&amp;IF(LEN(INDEX('Dealer pipeline'!$A$4:$A$503,_calc!$E$165))=0,"",INDEX('Dealer pipeline'!$A$4:$A$503,_calc!$E$165))&amp;". ")&amp;IF(LEN(IF(LEN(INDEX('Dealer pipeline'!$B$4:$B$503,_calc!$E$165))=0,"",INDEX('Dealer pipeline'!$B$4:$B$503,_calc!$E$165)))=0,"","Contact: "&amp;IF(LEN(INDEX('Dealer pipeline'!$B$4:$B$503,_calc!$E$165))=0,"",INDEX('Dealer pipeline'!$B$4:$B$503,_calc!$E$165))&amp;". ")&amp;IF(LEN(IF(LEN(INDEX('Dealer pipeline'!$D$4:$D$503,_calc!$E$165))=0,"",INDEX('Dealer pipeline'!$D$4:$D$503,_calc!$E$165)))=0,"","Serial: "&amp;IF(LEN(INDEX('Dealer pipeline'!$D$4:$D$503,_calc!$E$165))=0,"",INDEX('Dealer pipeline'!$D$4:$D$503,_calc!$E$165))&amp;". ")&amp;IF(LEN(IF(ISNUMBER(INDEX('Dealer pipeline'!$J$4:$J$503,_calc!$E$165)),TEXT(INDEX('Dealer pipeline'!$J$4:$J$503,_calc!$E$165),"yyyy-mm-dd"),""))=0,"","Parts end: "&amp;IF(ISNUMBER(INDEX('Dealer pipeline'!$J$4:$J$503,_calc!$E$165)),TEXT(INDEX('Dealer pipeline'!$J$4:$J$503,_calc!$E$165),"yyyy-mm-dd"),"")&amp;". ")&amp;IF(LEN(IF(ISNUMBER(INDEX('Dealer pipeline'!$L$4:$L$503,_calc!$E$165)),TEXT(INDEX('Dealer pipeline'!$L$4:$L$503,_calc!$E$165),"yyyy-mm-dd"),""))=0,"","Labor end: "&amp;IF(ISNUMBER(INDEX('Dealer pipeline'!$L$4:$L$503,_calc!$E$165)),TEXT(INDEX('Dealer pipeline'!$L$4:$L$503,_calc!$E$165),"yyyy-mm-dd"),"")&amp;". ")&amp;IF(LEN(IF(LEN(INDEX('Dealer pipeline'!$Q$4:$Q$503,_calc!$E$165))=0,"",INDEX('Dealer pipeline'!$Q$4:$Q$503,_calc!$E$165)))=0,"","Status: "&amp;IF(LEN(INDEX('Dealer pipeline'!$Q$4:$Q$503,_calc!$E$165))=0,"",INDEX('Dealer pipeline'!$Q$4:$Q$503,_calc!$E$165))&amp;". ")&amp;IF(LEN(IF(LEN(INDEX('Dealer pipeline'!$P$4:$P$503,_calc!$E$165))=0,"",INDEX('Dealer pipeline'!$P$4:$P$503,_calc!$E$165)))=0,"","Last touch: "&amp;IF(LEN(INDEX('Dealer pipeline'!$P$4:$P$503,_calc!$E$165))=0,"",INDEX('Dealer pipeline'!$P$4:$P$503,_calc!$E$165))&amp;". ")&amp;IF(LEN(IF(LEN(INDEX('Dealer pipeline'!$R$4:$R$503,_calc!$E$165))=0,"",INDEX('Dealer pipeline'!$R$4:$R$503,_calc!$E$165)))=0,"","Owner: "&amp;IF(LEN(INDEX('Dealer pipeline'!$R$4:$R$503,_calc!$E$165))=0,"",INDEX('Dealer pipeline'!$R$4:$R$503,_calc!$E$165))&amp;". ")&amp;IF(LEN(IF(LEN(INDEX('Dealer pipeline'!$S$4:$S$503,_calc!$E$165))=0,"",INDEX('Dealer pipeline'!$S$4:$S$503,_calc!$E$165)))=0,"","Backup: "&amp;IF(LEN(INDEX('Dealer pipeline'!$S$4:$S$503,_calc!$E$165))=0,"",INDEX('Dealer pipeline'!$S$4:$S$503,_calc!$E$165))&amp;". ")&amp;IF(LEN(IF(LEN(INDEX('Dealer pipeline'!$T$4:$T$503,_calc!$E$165))=0,"",INDEX('Dealer pipeline'!$T$4:$T$503,_calc!$E$165)))=0,"",IF(LEN(INDEX('Dealer pipeline'!$T$4:$T$503,_calc!$E$165))=0,"",INDEX('Dealer pipeline'!$T$4:$T$503,_calc!$E$165)))),TRIM(IF(LEN(IF(LEN(INDEX('My equipment'!$C$4:$C$503,(_calc!$E$165-500)))=0,"",INDEX('My equipment'!$C$4:$C$503,(_calc!$E$165-500))))=0,"","Model: "&amp;IF(LEN(INDEX('My equipment'!$C$4:$C$503,(_calc!$E$165-500)))=0,"",INDEX('My equipment'!$C$4:$C$503,(_calc!$E$165-500)))&amp;". ")&amp;IF(LEN(IF(LEN(INDEX('My equipment'!$D$4:$D$503,(_calc!$E$165-500)))=0,"",INDEX('My equipment'!$D$4:$D$503,(_calc!$E$165-500))))=0,"","Serial: "&amp;IF(LEN(INDEX('My equipment'!$D$4:$D$503,(_calc!$E$165-500)))=0,"",INDEX('My equipment'!$D$4:$D$503,(_calc!$E$165-500)))&amp;". ")&amp;IF(LEN(IF(ISNUMBER(INDEX('My equipment'!$J$4:$J$503,(_calc!$E$165-500))),TEXT(INDEX('My equipment'!$J$4:$J$503,(_calc!$E$165-500)),"yyyy-mm-dd"),""))=0,"","Parts end: "&amp;IF(ISNUMBER(INDEX('My equipment'!$J$4:$J$503,(_calc!$E$165-500))),TEXT(INDEX('My equipment'!$J$4:$J$503,(_calc!$E$165-500)),"yyyy-mm-dd"),"")&amp;". ")&amp;IF(LEN(IF(ISNUMBER(INDEX('My equipment'!$L$4:$L$503,(_calc!$E$165-500))),TEXT(INDEX('My equipment'!$L$4:$L$503,(_calc!$E$165-500)),"yyyy-mm-dd"),""))=0,"","Labor end: "&amp;IF(ISNUMBER(INDEX('My equipment'!$L$4:$L$503,(_calc!$E$165-500))),TEXT(INDEX('My equipment'!$L$4:$L$503,(_calc!$E$165-500)),"yyyy-mm-dd"),"")&amp;". ")&amp;IF(LEN(IF(ISNUMBER(INDEX('My equipment'!$P$4:$P$503,(_calc!$E$165-500))),TEXT(INDEX('My equipment'!$P$4:$P$503,(_calc!$E$165-500)),"yyyy-mm-dd"),""))=0,"","Check by: "&amp;IF(ISNUMBER(INDEX('My equipment'!$P$4:$P$503,(_calc!$E$165-500))),TEXT(INDEX('My equipment'!$P$4:$P$503,(_calc!$E$165-500)),"yyyy-mm-dd"),"")&amp;". ")&amp;IF(LEN(IF(LEN(INDEX('My equipment'!$Q$4:$Q$503,(_calc!$E$165-500)))=0,"",INDEX('My equipment'!$Q$4:$Q$503,(_calc!$E$165-500))))=0,"","Claim status: "&amp;IF(LEN(INDEX('My equipment'!$Q$4:$Q$503,(_calc!$E$165-500)))=0,"",INDEX('My equipment'!$Q$4:$Q$503,(_calc!$E$165-500)))&amp;". ")&amp;IF(LEN(IF(LEN(INDEX('My equipment'!$R$4:$R$503,(_calc!$E$165-500)))=0,"",INDEX('My equipment'!$R$4:$R$503,(_calc!$E$165-500))))=0,"","Claims contact: "&amp;IF(LEN(INDEX('My equipment'!$R$4:$R$503,(_calc!$E$165-500)))=0,"",INDEX('My equipment'!$R$4:$R$503,(_calc!$E$165-500)))&amp;". ")&amp;IF(LEN(IF(LEN(INDEX('My equipment'!$S$4:$S$503,(_calc!$E$165-500)))=0,"",INDEX('My equipment'!$S$4:$S$503,(_calc!$E$165-500))))=0,"","Claims email: "&amp;IF(LEN(INDEX('My equipment'!$S$4:$S$503,(_calc!$E$165-500)))=0,"",INDEX('My equipment'!$S$4:$S$503,(_calc!$E$165-500)))&amp;". ")&amp;IF(LEN(IF(LEN(INDEX('My equipment'!$U$4:$U$503,(_calc!$E$165-500)))=0,"",INDEX('My equipment'!$U$4:$U$503,(_calc!$E$165-500))))=0,"","Registered: "&amp;IF(LEN(INDEX('My equipment'!$U$4:$U$503,(_calc!$E$165-500)))=0,"",INDEX('My equipment'!$U$4:$U$503,(_calc!$E$165-500)))&amp;". ")&amp;IF(LEN(IF(LEN(INDEX('My equipment'!$V$4:$V$503,(_calc!$E$165-500)))=0,"",INDEX('My equipment'!$V$4:$V$503,(_calc!$E$165-500))))=0,"","Proof on file: "&amp;IF(LEN(INDEX('My equipment'!$V$4:$V$503,(_calc!$E$165-500)))=0,"",INDEX('My equipment'!$V$4:$V$503,(_calc!$E$165-500)))&amp;". ")&amp;IF(LEN(IF(LEN(INDEX('My equipment'!$W$4:$W$503,(_calc!$E$165-500)))=0,"",INDEX('My equipment'!$W$4:$W$503,(_calc!$E$165-500))))=0,"","Claim ref: "&amp;IF(LEN(INDEX('My equipment'!$W$4:$W$503,(_calc!$E$165-500)))=0,"",INDEX('My equipment'!$W$4:$W$503,(_calc!$E$165-500)))&amp;". ")&amp;IF(LEN(IF(LEN(INDEX('My equipment'!$Y$4:$Y$503,(_calc!$E$165-500)))=0,"",INDEX('My equipment'!$Y$4:$Y$503,(_calc!$E$165-500))))=0,"",IF(LEN(INDEX('My equipment'!$Y$4:$Y$503,(_calc!$E$165-500)))=0,"",INDEX('My equipment'!$Y$4:$Y$503,(_calc!$E$165-500)))))))</f>
        <v/>
      </c>
      <c r="G163" s="54">
        <f>IF(_calc!$E$165="","",IF(_calc!$E$165&lt;=500,"",IF(LEN(INDEX('My equipment'!$X$4:$X$503,(_calc!$E$165-500)))=0,"",INDEX('My equipment'!$X$4:$X$503,(_calc!$E$165-500)))))</f>
        <v/>
      </c>
      <c r="K163" s="54">
        <f>IF(_calc!$E$165="","",IF(_calc!$E$165&lt;=500,"",IF(LEN(INDEX('My equipment'!$T$4:$T$503,(_calc!$E$165-500)))=0,"",INDEX('My equipment'!$T$4:$T$503,(_calc!$E$165-500)))))</f>
        <v/>
      </c>
    </row>
    <row r="164">
      <c r="A164" s="54">
        <f>IF(_calc!$E$166="","",IF(_calc!$E$166&lt;=500,"Warranty – "&amp;IF(LEN(INDEX('Dealer pipeline'!$C$4:$C$503,_calc!$E$166))=0,"",INDEX('Dealer pipeline'!$C$4:$C$503,_calc!$E$166))&amp;" – "&amp;IF(LEN(INDEX('Dealer pipeline'!$D$4:$D$503,_calc!$E$166))=0,"",INDEX('Dealer pipeline'!$D$4:$D$503,_calc!$E$166))&amp;" – "&amp;IF(LEN(INDEX('Dealer pipeline'!$A$4:$A$503,_calc!$E$166))=0,"",INDEX('Dealer pipeline'!$A$4:$A$503,_calc!$E$166)),"Warranty – "&amp;IF(LEN(INDEX('My equipment'!$A$4:$A$503,(_calc!$E$166-500)))=0,"",INDEX('My equipment'!$A$4:$A$503,(_calc!$E$166-500)))&amp;" – "&amp;IF(LEN(INDEX('My equipment'!$D$4:$D$503,(_calc!$E$166-500)))=0,"",INDEX('My equipment'!$D$4:$D$503,(_calc!$E$166-500)))))</f>
        <v/>
      </c>
      <c r="B164" s="54">
        <f>IF(_calc!$E$166="","",IF(_calc!$E$166&lt;=500,IF(ISNUMBER(INDEX('Dealer pipeline'!$M$4:$M$503,_calc!$E$166)),TEXT(INDEX('Dealer pipeline'!$M$4:$M$503,_calc!$E$166),"yyyy-mm-dd"),""),IF(ISNUMBER(INDEX('My equipment'!$M$4:$M$503,(_calc!$E$166-500))),TEXT(INDEX('My equipment'!$M$4:$M$503,(_calc!$E$166-500)),"yyyy-mm-dd"),"")))</f>
        <v/>
      </c>
      <c r="C164" s="54">
        <f>IF(_calc!$E$166="","",IF(_calc!$E$166&lt;=500,"Warranty","Warranty"))</f>
        <v/>
      </c>
      <c r="D164" s="54">
        <f>IF(_calc!$E$166="","",IF(_calc!$E$166&lt;=500,IF(ISNUMBER(INDEX('Dealer pipeline'!$H$4:$H$503,_calc!$E$166)),TEXT(INDEX('Dealer pipeline'!$H$4:$H$503,_calc!$E$166),"yyyy-mm-dd"),""),IF(ISNUMBER(INDEX('My equipment'!$H$4:$H$503,(_calc!$E$166-500))),TEXT(INDEX('My equipment'!$H$4:$H$503,(_calc!$E$166-500)),"yyyy-mm-dd"),"")))</f>
        <v/>
      </c>
      <c r="F164" s="54">
        <f>IF(_calc!$E$166="","",IF(_calc!$E$166&lt;=500,TRIM(IF(LEN(IF(LEN(INDEX('Dealer pipeline'!$A$4:$A$503,_calc!$E$166))=0,"",INDEX('Dealer pipeline'!$A$4:$A$503,_calc!$E$166)))=0,"","Customer: "&amp;IF(LEN(INDEX('Dealer pipeline'!$A$4:$A$503,_calc!$E$166))=0,"",INDEX('Dealer pipeline'!$A$4:$A$503,_calc!$E$166))&amp;". ")&amp;IF(LEN(IF(LEN(INDEX('Dealer pipeline'!$B$4:$B$503,_calc!$E$166))=0,"",INDEX('Dealer pipeline'!$B$4:$B$503,_calc!$E$166)))=0,"","Contact: "&amp;IF(LEN(INDEX('Dealer pipeline'!$B$4:$B$503,_calc!$E$166))=0,"",INDEX('Dealer pipeline'!$B$4:$B$503,_calc!$E$166))&amp;". ")&amp;IF(LEN(IF(LEN(INDEX('Dealer pipeline'!$D$4:$D$503,_calc!$E$166))=0,"",INDEX('Dealer pipeline'!$D$4:$D$503,_calc!$E$166)))=0,"","Serial: "&amp;IF(LEN(INDEX('Dealer pipeline'!$D$4:$D$503,_calc!$E$166))=0,"",INDEX('Dealer pipeline'!$D$4:$D$503,_calc!$E$166))&amp;". ")&amp;IF(LEN(IF(ISNUMBER(INDEX('Dealer pipeline'!$J$4:$J$503,_calc!$E$166)),TEXT(INDEX('Dealer pipeline'!$J$4:$J$503,_calc!$E$166),"yyyy-mm-dd"),""))=0,"","Parts end: "&amp;IF(ISNUMBER(INDEX('Dealer pipeline'!$J$4:$J$503,_calc!$E$166)),TEXT(INDEX('Dealer pipeline'!$J$4:$J$503,_calc!$E$166),"yyyy-mm-dd"),"")&amp;". ")&amp;IF(LEN(IF(ISNUMBER(INDEX('Dealer pipeline'!$L$4:$L$503,_calc!$E$166)),TEXT(INDEX('Dealer pipeline'!$L$4:$L$503,_calc!$E$166),"yyyy-mm-dd"),""))=0,"","Labor end: "&amp;IF(ISNUMBER(INDEX('Dealer pipeline'!$L$4:$L$503,_calc!$E$166)),TEXT(INDEX('Dealer pipeline'!$L$4:$L$503,_calc!$E$166),"yyyy-mm-dd"),"")&amp;". ")&amp;IF(LEN(IF(LEN(INDEX('Dealer pipeline'!$Q$4:$Q$503,_calc!$E$166))=0,"",INDEX('Dealer pipeline'!$Q$4:$Q$503,_calc!$E$166)))=0,"","Status: "&amp;IF(LEN(INDEX('Dealer pipeline'!$Q$4:$Q$503,_calc!$E$166))=0,"",INDEX('Dealer pipeline'!$Q$4:$Q$503,_calc!$E$166))&amp;". ")&amp;IF(LEN(IF(LEN(INDEX('Dealer pipeline'!$P$4:$P$503,_calc!$E$166))=0,"",INDEX('Dealer pipeline'!$P$4:$P$503,_calc!$E$166)))=0,"","Last touch: "&amp;IF(LEN(INDEX('Dealer pipeline'!$P$4:$P$503,_calc!$E$166))=0,"",INDEX('Dealer pipeline'!$P$4:$P$503,_calc!$E$166))&amp;". ")&amp;IF(LEN(IF(LEN(INDEX('Dealer pipeline'!$R$4:$R$503,_calc!$E$166))=0,"",INDEX('Dealer pipeline'!$R$4:$R$503,_calc!$E$166)))=0,"","Owner: "&amp;IF(LEN(INDEX('Dealer pipeline'!$R$4:$R$503,_calc!$E$166))=0,"",INDEX('Dealer pipeline'!$R$4:$R$503,_calc!$E$166))&amp;". ")&amp;IF(LEN(IF(LEN(INDEX('Dealer pipeline'!$S$4:$S$503,_calc!$E$166))=0,"",INDEX('Dealer pipeline'!$S$4:$S$503,_calc!$E$166)))=0,"","Backup: "&amp;IF(LEN(INDEX('Dealer pipeline'!$S$4:$S$503,_calc!$E$166))=0,"",INDEX('Dealer pipeline'!$S$4:$S$503,_calc!$E$166))&amp;". ")&amp;IF(LEN(IF(LEN(INDEX('Dealer pipeline'!$T$4:$T$503,_calc!$E$166))=0,"",INDEX('Dealer pipeline'!$T$4:$T$503,_calc!$E$166)))=0,"",IF(LEN(INDEX('Dealer pipeline'!$T$4:$T$503,_calc!$E$166))=0,"",INDEX('Dealer pipeline'!$T$4:$T$503,_calc!$E$166)))),TRIM(IF(LEN(IF(LEN(INDEX('My equipment'!$C$4:$C$503,(_calc!$E$166-500)))=0,"",INDEX('My equipment'!$C$4:$C$503,(_calc!$E$166-500))))=0,"","Model: "&amp;IF(LEN(INDEX('My equipment'!$C$4:$C$503,(_calc!$E$166-500)))=0,"",INDEX('My equipment'!$C$4:$C$503,(_calc!$E$166-500)))&amp;". ")&amp;IF(LEN(IF(LEN(INDEX('My equipment'!$D$4:$D$503,(_calc!$E$166-500)))=0,"",INDEX('My equipment'!$D$4:$D$503,(_calc!$E$166-500))))=0,"","Serial: "&amp;IF(LEN(INDEX('My equipment'!$D$4:$D$503,(_calc!$E$166-500)))=0,"",INDEX('My equipment'!$D$4:$D$503,(_calc!$E$166-500)))&amp;". ")&amp;IF(LEN(IF(ISNUMBER(INDEX('My equipment'!$J$4:$J$503,(_calc!$E$166-500))),TEXT(INDEX('My equipment'!$J$4:$J$503,(_calc!$E$166-500)),"yyyy-mm-dd"),""))=0,"","Parts end: "&amp;IF(ISNUMBER(INDEX('My equipment'!$J$4:$J$503,(_calc!$E$166-500))),TEXT(INDEX('My equipment'!$J$4:$J$503,(_calc!$E$166-500)),"yyyy-mm-dd"),"")&amp;". ")&amp;IF(LEN(IF(ISNUMBER(INDEX('My equipment'!$L$4:$L$503,(_calc!$E$166-500))),TEXT(INDEX('My equipment'!$L$4:$L$503,(_calc!$E$166-500)),"yyyy-mm-dd"),""))=0,"","Labor end: "&amp;IF(ISNUMBER(INDEX('My equipment'!$L$4:$L$503,(_calc!$E$166-500))),TEXT(INDEX('My equipment'!$L$4:$L$503,(_calc!$E$166-500)),"yyyy-mm-dd"),"")&amp;". ")&amp;IF(LEN(IF(ISNUMBER(INDEX('My equipment'!$P$4:$P$503,(_calc!$E$166-500))),TEXT(INDEX('My equipment'!$P$4:$P$503,(_calc!$E$166-500)),"yyyy-mm-dd"),""))=0,"","Check by: "&amp;IF(ISNUMBER(INDEX('My equipment'!$P$4:$P$503,(_calc!$E$166-500))),TEXT(INDEX('My equipment'!$P$4:$P$503,(_calc!$E$166-500)),"yyyy-mm-dd"),"")&amp;". ")&amp;IF(LEN(IF(LEN(INDEX('My equipment'!$Q$4:$Q$503,(_calc!$E$166-500)))=0,"",INDEX('My equipment'!$Q$4:$Q$503,(_calc!$E$166-500))))=0,"","Claim status: "&amp;IF(LEN(INDEX('My equipment'!$Q$4:$Q$503,(_calc!$E$166-500)))=0,"",INDEX('My equipment'!$Q$4:$Q$503,(_calc!$E$166-500)))&amp;". ")&amp;IF(LEN(IF(LEN(INDEX('My equipment'!$R$4:$R$503,(_calc!$E$166-500)))=0,"",INDEX('My equipment'!$R$4:$R$503,(_calc!$E$166-500))))=0,"","Claims contact: "&amp;IF(LEN(INDEX('My equipment'!$R$4:$R$503,(_calc!$E$166-500)))=0,"",INDEX('My equipment'!$R$4:$R$503,(_calc!$E$166-500)))&amp;". ")&amp;IF(LEN(IF(LEN(INDEX('My equipment'!$S$4:$S$503,(_calc!$E$166-500)))=0,"",INDEX('My equipment'!$S$4:$S$503,(_calc!$E$166-500))))=0,"","Claims email: "&amp;IF(LEN(INDEX('My equipment'!$S$4:$S$503,(_calc!$E$166-500)))=0,"",INDEX('My equipment'!$S$4:$S$503,(_calc!$E$166-500)))&amp;". ")&amp;IF(LEN(IF(LEN(INDEX('My equipment'!$U$4:$U$503,(_calc!$E$166-500)))=0,"",INDEX('My equipment'!$U$4:$U$503,(_calc!$E$166-500))))=0,"","Registered: "&amp;IF(LEN(INDEX('My equipment'!$U$4:$U$503,(_calc!$E$166-500)))=0,"",INDEX('My equipment'!$U$4:$U$503,(_calc!$E$166-500)))&amp;". ")&amp;IF(LEN(IF(LEN(INDEX('My equipment'!$V$4:$V$503,(_calc!$E$166-500)))=0,"",INDEX('My equipment'!$V$4:$V$503,(_calc!$E$166-500))))=0,"","Proof on file: "&amp;IF(LEN(INDEX('My equipment'!$V$4:$V$503,(_calc!$E$166-500)))=0,"",INDEX('My equipment'!$V$4:$V$503,(_calc!$E$166-500)))&amp;". ")&amp;IF(LEN(IF(LEN(INDEX('My equipment'!$W$4:$W$503,(_calc!$E$166-500)))=0,"",INDEX('My equipment'!$W$4:$W$503,(_calc!$E$166-500))))=0,"","Claim ref: "&amp;IF(LEN(INDEX('My equipment'!$W$4:$W$503,(_calc!$E$166-500)))=0,"",INDEX('My equipment'!$W$4:$W$503,(_calc!$E$166-500)))&amp;". ")&amp;IF(LEN(IF(LEN(INDEX('My equipment'!$Y$4:$Y$503,(_calc!$E$166-500)))=0,"",INDEX('My equipment'!$Y$4:$Y$503,(_calc!$E$166-500))))=0,"",IF(LEN(INDEX('My equipment'!$Y$4:$Y$503,(_calc!$E$166-500)))=0,"",INDEX('My equipment'!$Y$4:$Y$503,(_calc!$E$166-500)))))))</f>
        <v/>
      </c>
      <c r="G164" s="54">
        <f>IF(_calc!$E$166="","",IF(_calc!$E$166&lt;=500,"",IF(LEN(INDEX('My equipment'!$X$4:$X$503,(_calc!$E$166-500)))=0,"",INDEX('My equipment'!$X$4:$X$503,(_calc!$E$166-500)))))</f>
        <v/>
      </c>
      <c r="K164" s="54">
        <f>IF(_calc!$E$166="","",IF(_calc!$E$166&lt;=500,"",IF(LEN(INDEX('My equipment'!$T$4:$T$503,(_calc!$E$166-500)))=0,"",INDEX('My equipment'!$T$4:$T$503,(_calc!$E$166-500)))))</f>
        <v/>
      </c>
    </row>
    <row r="165">
      <c r="A165" s="54">
        <f>IF(_calc!$E$167="","",IF(_calc!$E$167&lt;=500,"Warranty – "&amp;IF(LEN(INDEX('Dealer pipeline'!$C$4:$C$503,_calc!$E$167))=0,"",INDEX('Dealer pipeline'!$C$4:$C$503,_calc!$E$167))&amp;" – "&amp;IF(LEN(INDEX('Dealer pipeline'!$D$4:$D$503,_calc!$E$167))=0,"",INDEX('Dealer pipeline'!$D$4:$D$503,_calc!$E$167))&amp;" – "&amp;IF(LEN(INDEX('Dealer pipeline'!$A$4:$A$503,_calc!$E$167))=0,"",INDEX('Dealer pipeline'!$A$4:$A$503,_calc!$E$167)),"Warranty – "&amp;IF(LEN(INDEX('My equipment'!$A$4:$A$503,(_calc!$E$167-500)))=0,"",INDEX('My equipment'!$A$4:$A$503,(_calc!$E$167-500)))&amp;" – "&amp;IF(LEN(INDEX('My equipment'!$D$4:$D$503,(_calc!$E$167-500)))=0,"",INDEX('My equipment'!$D$4:$D$503,(_calc!$E$167-500)))))</f>
        <v/>
      </c>
      <c r="B165" s="54">
        <f>IF(_calc!$E$167="","",IF(_calc!$E$167&lt;=500,IF(ISNUMBER(INDEX('Dealer pipeline'!$M$4:$M$503,_calc!$E$167)),TEXT(INDEX('Dealer pipeline'!$M$4:$M$503,_calc!$E$167),"yyyy-mm-dd"),""),IF(ISNUMBER(INDEX('My equipment'!$M$4:$M$503,(_calc!$E$167-500))),TEXT(INDEX('My equipment'!$M$4:$M$503,(_calc!$E$167-500)),"yyyy-mm-dd"),"")))</f>
        <v/>
      </c>
      <c r="C165" s="54">
        <f>IF(_calc!$E$167="","",IF(_calc!$E$167&lt;=500,"Warranty","Warranty"))</f>
        <v/>
      </c>
      <c r="D165" s="54">
        <f>IF(_calc!$E$167="","",IF(_calc!$E$167&lt;=500,IF(ISNUMBER(INDEX('Dealer pipeline'!$H$4:$H$503,_calc!$E$167)),TEXT(INDEX('Dealer pipeline'!$H$4:$H$503,_calc!$E$167),"yyyy-mm-dd"),""),IF(ISNUMBER(INDEX('My equipment'!$H$4:$H$503,(_calc!$E$167-500))),TEXT(INDEX('My equipment'!$H$4:$H$503,(_calc!$E$167-500)),"yyyy-mm-dd"),"")))</f>
        <v/>
      </c>
      <c r="F165" s="54">
        <f>IF(_calc!$E$167="","",IF(_calc!$E$167&lt;=500,TRIM(IF(LEN(IF(LEN(INDEX('Dealer pipeline'!$A$4:$A$503,_calc!$E$167))=0,"",INDEX('Dealer pipeline'!$A$4:$A$503,_calc!$E$167)))=0,"","Customer: "&amp;IF(LEN(INDEX('Dealer pipeline'!$A$4:$A$503,_calc!$E$167))=0,"",INDEX('Dealer pipeline'!$A$4:$A$503,_calc!$E$167))&amp;". ")&amp;IF(LEN(IF(LEN(INDEX('Dealer pipeline'!$B$4:$B$503,_calc!$E$167))=0,"",INDEX('Dealer pipeline'!$B$4:$B$503,_calc!$E$167)))=0,"","Contact: "&amp;IF(LEN(INDEX('Dealer pipeline'!$B$4:$B$503,_calc!$E$167))=0,"",INDEX('Dealer pipeline'!$B$4:$B$503,_calc!$E$167))&amp;". ")&amp;IF(LEN(IF(LEN(INDEX('Dealer pipeline'!$D$4:$D$503,_calc!$E$167))=0,"",INDEX('Dealer pipeline'!$D$4:$D$503,_calc!$E$167)))=0,"","Serial: "&amp;IF(LEN(INDEX('Dealer pipeline'!$D$4:$D$503,_calc!$E$167))=0,"",INDEX('Dealer pipeline'!$D$4:$D$503,_calc!$E$167))&amp;". ")&amp;IF(LEN(IF(ISNUMBER(INDEX('Dealer pipeline'!$J$4:$J$503,_calc!$E$167)),TEXT(INDEX('Dealer pipeline'!$J$4:$J$503,_calc!$E$167),"yyyy-mm-dd"),""))=0,"","Parts end: "&amp;IF(ISNUMBER(INDEX('Dealer pipeline'!$J$4:$J$503,_calc!$E$167)),TEXT(INDEX('Dealer pipeline'!$J$4:$J$503,_calc!$E$167),"yyyy-mm-dd"),"")&amp;". ")&amp;IF(LEN(IF(ISNUMBER(INDEX('Dealer pipeline'!$L$4:$L$503,_calc!$E$167)),TEXT(INDEX('Dealer pipeline'!$L$4:$L$503,_calc!$E$167),"yyyy-mm-dd"),""))=0,"","Labor end: "&amp;IF(ISNUMBER(INDEX('Dealer pipeline'!$L$4:$L$503,_calc!$E$167)),TEXT(INDEX('Dealer pipeline'!$L$4:$L$503,_calc!$E$167),"yyyy-mm-dd"),"")&amp;". ")&amp;IF(LEN(IF(LEN(INDEX('Dealer pipeline'!$Q$4:$Q$503,_calc!$E$167))=0,"",INDEX('Dealer pipeline'!$Q$4:$Q$503,_calc!$E$167)))=0,"","Status: "&amp;IF(LEN(INDEX('Dealer pipeline'!$Q$4:$Q$503,_calc!$E$167))=0,"",INDEX('Dealer pipeline'!$Q$4:$Q$503,_calc!$E$167))&amp;". ")&amp;IF(LEN(IF(LEN(INDEX('Dealer pipeline'!$P$4:$P$503,_calc!$E$167))=0,"",INDEX('Dealer pipeline'!$P$4:$P$503,_calc!$E$167)))=0,"","Last touch: "&amp;IF(LEN(INDEX('Dealer pipeline'!$P$4:$P$503,_calc!$E$167))=0,"",INDEX('Dealer pipeline'!$P$4:$P$503,_calc!$E$167))&amp;". ")&amp;IF(LEN(IF(LEN(INDEX('Dealer pipeline'!$R$4:$R$503,_calc!$E$167))=0,"",INDEX('Dealer pipeline'!$R$4:$R$503,_calc!$E$167)))=0,"","Owner: "&amp;IF(LEN(INDEX('Dealer pipeline'!$R$4:$R$503,_calc!$E$167))=0,"",INDEX('Dealer pipeline'!$R$4:$R$503,_calc!$E$167))&amp;". ")&amp;IF(LEN(IF(LEN(INDEX('Dealer pipeline'!$S$4:$S$503,_calc!$E$167))=0,"",INDEX('Dealer pipeline'!$S$4:$S$503,_calc!$E$167)))=0,"","Backup: "&amp;IF(LEN(INDEX('Dealer pipeline'!$S$4:$S$503,_calc!$E$167))=0,"",INDEX('Dealer pipeline'!$S$4:$S$503,_calc!$E$167))&amp;". ")&amp;IF(LEN(IF(LEN(INDEX('Dealer pipeline'!$T$4:$T$503,_calc!$E$167))=0,"",INDEX('Dealer pipeline'!$T$4:$T$503,_calc!$E$167)))=0,"",IF(LEN(INDEX('Dealer pipeline'!$T$4:$T$503,_calc!$E$167))=0,"",INDEX('Dealer pipeline'!$T$4:$T$503,_calc!$E$167)))),TRIM(IF(LEN(IF(LEN(INDEX('My equipment'!$C$4:$C$503,(_calc!$E$167-500)))=0,"",INDEX('My equipment'!$C$4:$C$503,(_calc!$E$167-500))))=0,"","Model: "&amp;IF(LEN(INDEX('My equipment'!$C$4:$C$503,(_calc!$E$167-500)))=0,"",INDEX('My equipment'!$C$4:$C$503,(_calc!$E$167-500)))&amp;". ")&amp;IF(LEN(IF(LEN(INDEX('My equipment'!$D$4:$D$503,(_calc!$E$167-500)))=0,"",INDEX('My equipment'!$D$4:$D$503,(_calc!$E$167-500))))=0,"","Serial: "&amp;IF(LEN(INDEX('My equipment'!$D$4:$D$503,(_calc!$E$167-500)))=0,"",INDEX('My equipment'!$D$4:$D$503,(_calc!$E$167-500)))&amp;". ")&amp;IF(LEN(IF(ISNUMBER(INDEX('My equipment'!$J$4:$J$503,(_calc!$E$167-500))),TEXT(INDEX('My equipment'!$J$4:$J$503,(_calc!$E$167-500)),"yyyy-mm-dd"),""))=0,"","Parts end: "&amp;IF(ISNUMBER(INDEX('My equipment'!$J$4:$J$503,(_calc!$E$167-500))),TEXT(INDEX('My equipment'!$J$4:$J$503,(_calc!$E$167-500)),"yyyy-mm-dd"),"")&amp;". ")&amp;IF(LEN(IF(ISNUMBER(INDEX('My equipment'!$L$4:$L$503,(_calc!$E$167-500))),TEXT(INDEX('My equipment'!$L$4:$L$503,(_calc!$E$167-500)),"yyyy-mm-dd"),""))=0,"","Labor end: "&amp;IF(ISNUMBER(INDEX('My equipment'!$L$4:$L$503,(_calc!$E$167-500))),TEXT(INDEX('My equipment'!$L$4:$L$503,(_calc!$E$167-500)),"yyyy-mm-dd"),"")&amp;". ")&amp;IF(LEN(IF(ISNUMBER(INDEX('My equipment'!$P$4:$P$503,(_calc!$E$167-500))),TEXT(INDEX('My equipment'!$P$4:$P$503,(_calc!$E$167-500)),"yyyy-mm-dd"),""))=0,"","Check by: "&amp;IF(ISNUMBER(INDEX('My equipment'!$P$4:$P$503,(_calc!$E$167-500))),TEXT(INDEX('My equipment'!$P$4:$P$503,(_calc!$E$167-500)),"yyyy-mm-dd"),"")&amp;". ")&amp;IF(LEN(IF(LEN(INDEX('My equipment'!$Q$4:$Q$503,(_calc!$E$167-500)))=0,"",INDEX('My equipment'!$Q$4:$Q$503,(_calc!$E$167-500))))=0,"","Claim status: "&amp;IF(LEN(INDEX('My equipment'!$Q$4:$Q$503,(_calc!$E$167-500)))=0,"",INDEX('My equipment'!$Q$4:$Q$503,(_calc!$E$167-500)))&amp;". ")&amp;IF(LEN(IF(LEN(INDEX('My equipment'!$R$4:$R$503,(_calc!$E$167-500)))=0,"",INDEX('My equipment'!$R$4:$R$503,(_calc!$E$167-500))))=0,"","Claims contact: "&amp;IF(LEN(INDEX('My equipment'!$R$4:$R$503,(_calc!$E$167-500)))=0,"",INDEX('My equipment'!$R$4:$R$503,(_calc!$E$167-500)))&amp;". ")&amp;IF(LEN(IF(LEN(INDEX('My equipment'!$S$4:$S$503,(_calc!$E$167-500)))=0,"",INDEX('My equipment'!$S$4:$S$503,(_calc!$E$167-500))))=0,"","Claims email: "&amp;IF(LEN(INDEX('My equipment'!$S$4:$S$503,(_calc!$E$167-500)))=0,"",INDEX('My equipment'!$S$4:$S$503,(_calc!$E$167-500)))&amp;". ")&amp;IF(LEN(IF(LEN(INDEX('My equipment'!$U$4:$U$503,(_calc!$E$167-500)))=0,"",INDEX('My equipment'!$U$4:$U$503,(_calc!$E$167-500))))=0,"","Registered: "&amp;IF(LEN(INDEX('My equipment'!$U$4:$U$503,(_calc!$E$167-500)))=0,"",INDEX('My equipment'!$U$4:$U$503,(_calc!$E$167-500)))&amp;". ")&amp;IF(LEN(IF(LEN(INDEX('My equipment'!$V$4:$V$503,(_calc!$E$167-500)))=0,"",INDEX('My equipment'!$V$4:$V$503,(_calc!$E$167-500))))=0,"","Proof on file: "&amp;IF(LEN(INDEX('My equipment'!$V$4:$V$503,(_calc!$E$167-500)))=0,"",INDEX('My equipment'!$V$4:$V$503,(_calc!$E$167-500)))&amp;". ")&amp;IF(LEN(IF(LEN(INDEX('My equipment'!$W$4:$W$503,(_calc!$E$167-500)))=0,"",INDEX('My equipment'!$W$4:$W$503,(_calc!$E$167-500))))=0,"","Claim ref: "&amp;IF(LEN(INDEX('My equipment'!$W$4:$W$503,(_calc!$E$167-500)))=0,"",INDEX('My equipment'!$W$4:$W$503,(_calc!$E$167-500)))&amp;". ")&amp;IF(LEN(IF(LEN(INDEX('My equipment'!$Y$4:$Y$503,(_calc!$E$167-500)))=0,"",INDEX('My equipment'!$Y$4:$Y$503,(_calc!$E$167-500))))=0,"",IF(LEN(INDEX('My equipment'!$Y$4:$Y$503,(_calc!$E$167-500)))=0,"",INDEX('My equipment'!$Y$4:$Y$503,(_calc!$E$167-500)))))))</f>
        <v/>
      </c>
      <c r="G165" s="54">
        <f>IF(_calc!$E$167="","",IF(_calc!$E$167&lt;=500,"",IF(LEN(INDEX('My equipment'!$X$4:$X$503,(_calc!$E$167-500)))=0,"",INDEX('My equipment'!$X$4:$X$503,(_calc!$E$167-500)))))</f>
        <v/>
      </c>
      <c r="K165" s="54">
        <f>IF(_calc!$E$167="","",IF(_calc!$E$167&lt;=500,"",IF(LEN(INDEX('My equipment'!$T$4:$T$503,(_calc!$E$167-500)))=0,"",INDEX('My equipment'!$T$4:$T$503,(_calc!$E$167-500)))))</f>
        <v/>
      </c>
    </row>
    <row r="166">
      <c r="A166" s="54">
        <f>IF(_calc!$E$168="","",IF(_calc!$E$168&lt;=500,"Warranty – "&amp;IF(LEN(INDEX('Dealer pipeline'!$C$4:$C$503,_calc!$E$168))=0,"",INDEX('Dealer pipeline'!$C$4:$C$503,_calc!$E$168))&amp;" – "&amp;IF(LEN(INDEX('Dealer pipeline'!$D$4:$D$503,_calc!$E$168))=0,"",INDEX('Dealer pipeline'!$D$4:$D$503,_calc!$E$168))&amp;" – "&amp;IF(LEN(INDEX('Dealer pipeline'!$A$4:$A$503,_calc!$E$168))=0,"",INDEX('Dealer pipeline'!$A$4:$A$503,_calc!$E$168)),"Warranty – "&amp;IF(LEN(INDEX('My equipment'!$A$4:$A$503,(_calc!$E$168-500)))=0,"",INDEX('My equipment'!$A$4:$A$503,(_calc!$E$168-500)))&amp;" – "&amp;IF(LEN(INDEX('My equipment'!$D$4:$D$503,(_calc!$E$168-500)))=0,"",INDEX('My equipment'!$D$4:$D$503,(_calc!$E$168-500)))))</f>
        <v/>
      </c>
      <c r="B166" s="54">
        <f>IF(_calc!$E$168="","",IF(_calc!$E$168&lt;=500,IF(ISNUMBER(INDEX('Dealer pipeline'!$M$4:$M$503,_calc!$E$168)),TEXT(INDEX('Dealer pipeline'!$M$4:$M$503,_calc!$E$168),"yyyy-mm-dd"),""),IF(ISNUMBER(INDEX('My equipment'!$M$4:$M$503,(_calc!$E$168-500))),TEXT(INDEX('My equipment'!$M$4:$M$503,(_calc!$E$168-500)),"yyyy-mm-dd"),"")))</f>
        <v/>
      </c>
      <c r="C166" s="54">
        <f>IF(_calc!$E$168="","",IF(_calc!$E$168&lt;=500,"Warranty","Warranty"))</f>
        <v/>
      </c>
      <c r="D166" s="54">
        <f>IF(_calc!$E$168="","",IF(_calc!$E$168&lt;=500,IF(ISNUMBER(INDEX('Dealer pipeline'!$H$4:$H$503,_calc!$E$168)),TEXT(INDEX('Dealer pipeline'!$H$4:$H$503,_calc!$E$168),"yyyy-mm-dd"),""),IF(ISNUMBER(INDEX('My equipment'!$H$4:$H$503,(_calc!$E$168-500))),TEXT(INDEX('My equipment'!$H$4:$H$503,(_calc!$E$168-500)),"yyyy-mm-dd"),"")))</f>
        <v/>
      </c>
      <c r="F166" s="54">
        <f>IF(_calc!$E$168="","",IF(_calc!$E$168&lt;=500,TRIM(IF(LEN(IF(LEN(INDEX('Dealer pipeline'!$A$4:$A$503,_calc!$E$168))=0,"",INDEX('Dealer pipeline'!$A$4:$A$503,_calc!$E$168)))=0,"","Customer: "&amp;IF(LEN(INDEX('Dealer pipeline'!$A$4:$A$503,_calc!$E$168))=0,"",INDEX('Dealer pipeline'!$A$4:$A$503,_calc!$E$168))&amp;". ")&amp;IF(LEN(IF(LEN(INDEX('Dealer pipeline'!$B$4:$B$503,_calc!$E$168))=0,"",INDEX('Dealer pipeline'!$B$4:$B$503,_calc!$E$168)))=0,"","Contact: "&amp;IF(LEN(INDEX('Dealer pipeline'!$B$4:$B$503,_calc!$E$168))=0,"",INDEX('Dealer pipeline'!$B$4:$B$503,_calc!$E$168))&amp;". ")&amp;IF(LEN(IF(LEN(INDEX('Dealer pipeline'!$D$4:$D$503,_calc!$E$168))=0,"",INDEX('Dealer pipeline'!$D$4:$D$503,_calc!$E$168)))=0,"","Serial: "&amp;IF(LEN(INDEX('Dealer pipeline'!$D$4:$D$503,_calc!$E$168))=0,"",INDEX('Dealer pipeline'!$D$4:$D$503,_calc!$E$168))&amp;". ")&amp;IF(LEN(IF(ISNUMBER(INDEX('Dealer pipeline'!$J$4:$J$503,_calc!$E$168)),TEXT(INDEX('Dealer pipeline'!$J$4:$J$503,_calc!$E$168),"yyyy-mm-dd"),""))=0,"","Parts end: "&amp;IF(ISNUMBER(INDEX('Dealer pipeline'!$J$4:$J$503,_calc!$E$168)),TEXT(INDEX('Dealer pipeline'!$J$4:$J$503,_calc!$E$168),"yyyy-mm-dd"),"")&amp;". ")&amp;IF(LEN(IF(ISNUMBER(INDEX('Dealer pipeline'!$L$4:$L$503,_calc!$E$168)),TEXT(INDEX('Dealer pipeline'!$L$4:$L$503,_calc!$E$168),"yyyy-mm-dd"),""))=0,"","Labor end: "&amp;IF(ISNUMBER(INDEX('Dealer pipeline'!$L$4:$L$503,_calc!$E$168)),TEXT(INDEX('Dealer pipeline'!$L$4:$L$503,_calc!$E$168),"yyyy-mm-dd"),"")&amp;". ")&amp;IF(LEN(IF(LEN(INDEX('Dealer pipeline'!$Q$4:$Q$503,_calc!$E$168))=0,"",INDEX('Dealer pipeline'!$Q$4:$Q$503,_calc!$E$168)))=0,"","Status: "&amp;IF(LEN(INDEX('Dealer pipeline'!$Q$4:$Q$503,_calc!$E$168))=0,"",INDEX('Dealer pipeline'!$Q$4:$Q$503,_calc!$E$168))&amp;". ")&amp;IF(LEN(IF(LEN(INDEX('Dealer pipeline'!$P$4:$P$503,_calc!$E$168))=0,"",INDEX('Dealer pipeline'!$P$4:$P$503,_calc!$E$168)))=0,"","Last touch: "&amp;IF(LEN(INDEX('Dealer pipeline'!$P$4:$P$503,_calc!$E$168))=0,"",INDEX('Dealer pipeline'!$P$4:$P$503,_calc!$E$168))&amp;". ")&amp;IF(LEN(IF(LEN(INDEX('Dealer pipeline'!$R$4:$R$503,_calc!$E$168))=0,"",INDEX('Dealer pipeline'!$R$4:$R$503,_calc!$E$168)))=0,"","Owner: "&amp;IF(LEN(INDEX('Dealer pipeline'!$R$4:$R$503,_calc!$E$168))=0,"",INDEX('Dealer pipeline'!$R$4:$R$503,_calc!$E$168))&amp;". ")&amp;IF(LEN(IF(LEN(INDEX('Dealer pipeline'!$S$4:$S$503,_calc!$E$168))=0,"",INDEX('Dealer pipeline'!$S$4:$S$503,_calc!$E$168)))=0,"","Backup: "&amp;IF(LEN(INDEX('Dealer pipeline'!$S$4:$S$503,_calc!$E$168))=0,"",INDEX('Dealer pipeline'!$S$4:$S$503,_calc!$E$168))&amp;". ")&amp;IF(LEN(IF(LEN(INDEX('Dealer pipeline'!$T$4:$T$503,_calc!$E$168))=0,"",INDEX('Dealer pipeline'!$T$4:$T$503,_calc!$E$168)))=0,"",IF(LEN(INDEX('Dealer pipeline'!$T$4:$T$503,_calc!$E$168))=0,"",INDEX('Dealer pipeline'!$T$4:$T$503,_calc!$E$168)))),TRIM(IF(LEN(IF(LEN(INDEX('My equipment'!$C$4:$C$503,(_calc!$E$168-500)))=0,"",INDEX('My equipment'!$C$4:$C$503,(_calc!$E$168-500))))=0,"","Model: "&amp;IF(LEN(INDEX('My equipment'!$C$4:$C$503,(_calc!$E$168-500)))=0,"",INDEX('My equipment'!$C$4:$C$503,(_calc!$E$168-500)))&amp;". ")&amp;IF(LEN(IF(LEN(INDEX('My equipment'!$D$4:$D$503,(_calc!$E$168-500)))=0,"",INDEX('My equipment'!$D$4:$D$503,(_calc!$E$168-500))))=0,"","Serial: "&amp;IF(LEN(INDEX('My equipment'!$D$4:$D$503,(_calc!$E$168-500)))=0,"",INDEX('My equipment'!$D$4:$D$503,(_calc!$E$168-500)))&amp;". ")&amp;IF(LEN(IF(ISNUMBER(INDEX('My equipment'!$J$4:$J$503,(_calc!$E$168-500))),TEXT(INDEX('My equipment'!$J$4:$J$503,(_calc!$E$168-500)),"yyyy-mm-dd"),""))=0,"","Parts end: "&amp;IF(ISNUMBER(INDEX('My equipment'!$J$4:$J$503,(_calc!$E$168-500))),TEXT(INDEX('My equipment'!$J$4:$J$503,(_calc!$E$168-500)),"yyyy-mm-dd"),"")&amp;". ")&amp;IF(LEN(IF(ISNUMBER(INDEX('My equipment'!$L$4:$L$503,(_calc!$E$168-500))),TEXT(INDEX('My equipment'!$L$4:$L$503,(_calc!$E$168-500)),"yyyy-mm-dd"),""))=0,"","Labor end: "&amp;IF(ISNUMBER(INDEX('My equipment'!$L$4:$L$503,(_calc!$E$168-500))),TEXT(INDEX('My equipment'!$L$4:$L$503,(_calc!$E$168-500)),"yyyy-mm-dd"),"")&amp;". ")&amp;IF(LEN(IF(ISNUMBER(INDEX('My equipment'!$P$4:$P$503,(_calc!$E$168-500))),TEXT(INDEX('My equipment'!$P$4:$P$503,(_calc!$E$168-500)),"yyyy-mm-dd"),""))=0,"","Check by: "&amp;IF(ISNUMBER(INDEX('My equipment'!$P$4:$P$503,(_calc!$E$168-500))),TEXT(INDEX('My equipment'!$P$4:$P$503,(_calc!$E$168-500)),"yyyy-mm-dd"),"")&amp;". ")&amp;IF(LEN(IF(LEN(INDEX('My equipment'!$Q$4:$Q$503,(_calc!$E$168-500)))=0,"",INDEX('My equipment'!$Q$4:$Q$503,(_calc!$E$168-500))))=0,"","Claim status: "&amp;IF(LEN(INDEX('My equipment'!$Q$4:$Q$503,(_calc!$E$168-500)))=0,"",INDEX('My equipment'!$Q$4:$Q$503,(_calc!$E$168-500)))&amp;". ")&amp;IF(LEN(IF(LEN(INDEX('My equipment'!$R$4:$R$503,(_calc!$E$168-500)))=0,"",INDEX('My equipment'!$R$4:$R$503,(_calc!$E$168-500))))=0,"","Claims contact: "&amp;IF(LEN(INDEX('My equipment'!$R$4:$R$503,(_calc!$E$168-500)))=0,"",INDEX('My equipment'!$R$4:$R$503,(_calc!$E$168-500)))&amp;". ")&amp;IF(LEN(IF(LEN(INDEX('My equipment'!$S$4:$S$503,(_calc!$E$168-500)))=0,"",INDEX('My equipment'!$S$4:$S$503,(_calc!$E$168-500))))=0,"","Claims email: "&amp;IF(LEN(INDEX('My equipment'!$S$4:$S$503,(_calc!$E$168-500)))=0,"",INDEX('My equipment'!$S$4:$S$503,(_calc!$E$168-500)))&amp;". ")&amp;IF(LEN(IF(LEN(INDEX('My equipment'!$U$4:$U$503,(_calc!$E$168-500)))=0,"",INDEX('My equipment'!$U$4:$U$503,(_calc!$E$168-500))))=0,"","Registered: "&amp;IF(LEN(INDEX('My equipment'!$U$4:$U$503,(_calc!$E$168-500)))=0,"",INDEX('My equipment'!$U$4:$U$503,(_calc!$E$168-500)))&amp;". ")&amp;IF(LEN(IF(LEN(INDEX('My equipment'!$V$4:$V$503,(_calc!$E$168-500)))=0,"",INDEX('My equipment'!$V$4:$V$503,(_calc!$E$168-500))))=0,"","Proof on file: "&amp;IF(LEN(INDEX('My equipment'!$V$4:$V$503,(_calc!$E$168-500)))=0,"",INDEX('My equipment'!$V$4:$V$503,(_calc!$E$168-500)))&amp;". ")&amp;IF(LEN(IF(LEN(INDEX('My equipment'!$W$4:$W$503,(_calc!$E$168-500)))=0,"",INDEX('My equipment'!$W$4:$W$503,(_calc!$E$168-500))))=0,"","Claim ref: "&amp;IF(LEN(INDEX('My equipment'!$W$4:$W$503,(_calc!$E$168-500)))=0,"",INDEX('My equipment'!$W$4:$W$503,(_calc!$E$168-500)))&amp;". ")&amp;IF(LEN(IF(LEN(INDEX('My equipment'!$Y$4:$Y$503,(_calc!$E$168-500)))=0,"",INDEX('My equipment'!$Y$4:$Y$503,(_calc!$E$168-500))))=0,"",IF(LEN(INDEX('My equipment'!$Y$4:$Y$503,(_calc!$E$168-500)))=0,"",INDEX('My equipment'!$Y$4:$Y$503,(_calc!$E$168-500)))))))</f>
        <v/>
      </c>
      <c r="G166" s="54">
        <f>IF(_calc!$E$168="","",IF(_calc!$E$168&lt;=500,"",IF(LEN(INDEX('My equipment'!$X$4:$X$503,(_calc!$E$168-500)))=0,"",INDEX('My equipment'!$X$4:$X$503,(_calc!$E$168-500)))))</f>
        <v/>
      </c>
      <c r="K166" s="54">
        <f>IF(_calc!$E$168="","",IF(_calc!$E$168&lt;=500,"",IF(LEN(INDEX('My equipment'!$T$4:$T$503,(_calc!$E$168-500)))=0,"",INDEX('My equipment'!$T$4:$T$503,(_calc!$E$168-500)))))</f>
        <v/>
      </c>
    </row>
    <row r="167">
      <c r="A167" s="54">
        <f>IF(_calc!$E$169="","",IF(_calc!$E$169&lt;=500,"Warranty – "&amp;IF(LEN(INDEX('Dealer pipeline'!$C$4:$C$503,_calc!$E$169))=0,"",INDEX('Dealer pipeline'!$C$4:$C$503,_calc!$E$169))&amp;" – "&amp;IF(LEN(INDEX('Dealer pipeline'!$D$4:$D$503,_calc!$E$169))=0,"",INDEX('Dealer pipeline'!$D$4:$D$503,_calc!$E$169))&amp;" – "&amp;IF(LEN(INDEX('Dealer pipeline'!$A$4:$A$503,_calc!$E$169))=0,"",INDEX('Dealer pipeline'!$A$4:$A$503,_calc!$E$169)),"Warranty – "&amp;IF(LEN(INDEX('My equipment'!$A$4:$A$503,(_calc!$E$169-500)))=0,"",INDEX('My equipment'!$A$4:$A$503,(_calc!$E$169-500)))&amp;" – "&amp;IF(LEN(INDEX('My equipment'!$D$4:$D$503,(_calc!$E$169-500)))=0,"",INDEX('My equipment'!$D$4:$D$503,(_calc!$E$169-500)))))</f>
        <v/>
      </c>
      <c r="B167" s="54">
        <f>IF(_calc!$E$169="","",IF(_calc!$E$169&lt;=500,IF(ISNUMBER(INDEX('Dealer pipeline'!$M$4:$M$503,_calc!$E$169)),TEXT(INDEX('Dealer pipeline'!$M$4:$M$503,_calc!$E$169),"yyyy-mm-dd"),""),IF(ISNUMBER(INDEX('My equipment'!$M$4:$M$503,(_calc!$E$169-500))),TEXT(INDEX('My equipment'!$M$4:$M$503,(_calc!$E$169-500)),"yyyy-mm-dd"),"")))</f>
        <v/>
      </c>
      <c r="C167" s="54">
        <f>IF(_calc!$E$169="","",IF(_calc!$E$169&lt;=500,"Warranty","Warranty"))</f>
        <v/>
      </c>
      <c r="D167" s="54">
        <f>IF(_calc!$E$169="","",IF(_calc!$E$169&lt;=500,IF(ISNUMBER(INDEX('Dealer pipeline'!$H$4:$H$503,_calc!$E$169)),TEXT(INDEX('Dealer pipeline'!$H$4:$H$503,_calc!$E$169),"yyyy-mm-dd"),""),IF(ISNUMBER(INDEX('My equipment'!$H$4:$H$503,(_calc!$E$169-500))),TEXT(INDEX('My equipment'!$H$4:$H$503,(_calc!$E$169-500)),"yyyy-mm-dd"),"")))</f>
        <v/>
      </c>
      <c r="F167" s="54">
        <f>IF(_calc!$E$169="","",IF(_calc!$E$169&lt;=500,TRIM(IF(LEN(IF(LEN(INDEX('Dealer pipeline'!$A$4:$A$503,_calc!$E$169))=0,"",INDEX('Dealer pipeline'!$A$4:$A$503,_calc!$E$169)))=0,"","Customer: "&amp;IF(LEN(INDEX('Dealer pipeline'!$A$4:$A$503,_calc!$E$169))=0,"",INDEX('Dealer pipeline'!$A$4:$A$503,_calc!$E$169))&amp;". ")&amp;IF(LEN(IF(LEN(INDEX('Dealer pipeline'!$B$4:$B$503,_calc!$E$169))=0,"",INDEX('Dealer pipeline'!$B$4:$B$503,_calc!$E$169)))=0,"","Contact: "&amp;IF(LEN(INDEX('Dealer pipeline'!$B$4:$B$503,_calc!$E$169))=0,"",INDEX('Dealer pipeline'!$B$4:$B$503,_calc!$E$169))&amp;". ")&amp;IF(LEN(IF(LEN(INDEX('Dealer pipeline'!$D$4:$D$503,_calc!$E$169))=0,"",INDEX('Dealer pipeline'!$D$4:$D$503,_calc!$E$169)))=0,"","Serial: "&amp;IF(LEN(INDEX('Dealer pipeline'!$D$4:$D$503,_calc!$E$169))=0,"",INDEX('Dealer pipeline'!$D$4:$D$503,_calc!$E$169))&amp;". ")&amp;IF(LEN(IF(ISNUMBER(INDEX('Dealer pipeline'!$J$4:$J$503,_calc!$E$169)),TEXT(INDEX('Dealer pipeline'!$J$4:$J$503,_calc!$E$169),"yyyy-mm-dd"),""))=0,"","Parts end: "&amp;IF(ISNUMBER(INDEX('Dealer pipeline'!$J$4:$J$503,_calc!$E$169)),TEXT(INDEX('Dealer pipeline'!$J$4:$J$503,_calc!$E$169),"yyyy-mm-dd"),"")&amp;". ")&amp;IF(LEN(IF(ISNUMBER(INDEX('Dealer pipeline'!$L$4:$L$503,_calc!$E$169)),TEXT(INDEX('Dealer pipeline'!$L$4:$L$503,_calc!$E$169),"yyyy-mm-dd"),""))=0,"","Labor end: "&amp;IF(ISNUMBER(INDEX('Dealer pipeline'!$L$4:$L$503,_calc!$E$169)),TEXT(INDEX('Dealer pipeline'!$L$4:$L$503,_calc!$E$169),"yyyy-mm-dd"),"")&amp;". ")&amp;IF(LEN(IF(LEN(INDEX('Dealer pipeline'!$Q$4:$Q$503,_calc!$E$169))=0,"",INDEX('Dealer pipeline'!$Q$4:$Q$503,_calc!$E$169)))=0,"","Status: "&amp;IF(LEN(INDEX('Dealer pipeline'!$Q$4:$Q$503,_calc!$E$169))=0,"",INDEX('Dealer pipeline'!$Q$4:$Q$503,_calc!$E$169))&amp;". ")&amp;IF(LEN(IF(LEN(INDEX('Dealer pipeline'!$P$4:$P$503,_calc!$E$169))=0,"",INDEX('Dealer pipeline'!$P$4:$P$503,_calc!$E$169)))=0,"","Last touch: "&amp;IF(LEN(INDEX('Dealer pipeline'!$P$4:$P$503,_calc!$E$169))=0,"",INDEX('Dealer pipeline'!$P$4:$P$503,_calc!$E$169))&amp;". ")&amp;IF(LEN(IF(LEN(INDEX('Dealer pipeline'!$R$4:$R$503,_calc!$E$169))=0,"",INDEX('Dealer pipeline'!$R$4:$R$503,_calc!$E$169)))=0,"","Owner: "&amp;IF(LEN(INDEX('Dealer pipeline'!$R$4:$R$503,_calc!$E$169))=0,"",INDEX('Dealer pipeline'!$R$4:$R$503,_calc!$E$169))&amp;". ")&amp;IF(LEN(IF(LEN(INDEX('Dealer pipeline'!$S$4:$S$503,_calc!$E$169))=0,"",INDEX('Dealer pipeline'!$S$4:$S$503,_calc!$E$169)))=0,"","Backup: "&amp;IF(LEN(INDEX('Dealer pipeline'!$S$4:$S$503,_calc!$E$169))=0,"",INDEX('Dealer pipeline'!$S$4:$S$503,_calc!$E$169))&amp;". ")&amp;IF(LEN(IF(LEN(INDEX('Dealer pipeline'!$T$4:$T$503,_calc!$E$169))=0,"",INDEX('Dealer pipeline'!$T$4:$T$503,_calc!$E$169)))=0,"",IF(LEN(INDEX('Dealer pipeline'!$T$4:$T$503,_calc!$E$169))=0,"",INDEX('Dealer pipeline'!$T$4:$T$503,_calc!$E$169)))),TRIM(IF(LEN(IF(LEN(INDEX('My equipment'!$C$4:$C$503,(_calc!$E$169-500)))=0,"",INDEX('My equipment'!$C$4:$C$503,(_calc!$E$169-500))))=0,"","Model: "&amp;IF(LEN(INDEX('My equipment'!$C$4:$C$503,(_calc!$E$169-500)))=0,"",INDEX('My equipment'!$C$4:$C$503,(_calc!$E$169-500)))&amp;". ")&amp;IF(LEN(IF(LEN(INDEX('My equipment'!$D$4:$D$503,(_calc!$E$169-500)))=0,"",INDEX('My equipment'!$D$4:$D$503,(_calc!$E$169-500))))=0,"","Serial: "&amp;IF(LEN(INDEX('My equipment'!$D$4:$D$503,(_calc!$E$169-500)))=0,"",INDEX('My equipment'!$D$4:$D$503,(_calc!$E$169-500)))&amp;". ")&amp;IF(LEN(IF(ISNUMBER(INDEX('My equipment'!$J$4:$J$503,(_calc!$E$169-500))),TEXT(INDEX('My equipment'!$J$4:$J$503,(_calc!$E$169-500)),"yyyy-mm-dd"),""))=0,"","Parts end: "&amp;IF(ISNUMBER(INDEX('My equipment'!$J$4:$J$503,(_calc!$E$169-500))),TEXT(INDEX('My equipment'!$J$4:$J$503,(_calc!$E$169-500)),"yyyy-mm-dd"),"")&amp;". ")&amp;IF(LEN(IF(ISNUMBER(INDEX('My equipment'!$L$4:$L$503,(_calc!$E$169-500))),TEXT(INDEX('My equipment'!$L$4:$L$503,(_calc!$E$169-500)),"yyyy-mm-dd"),""))=0,"","Labor end: "&amp;IF(ISNUMBER(INDEX('My equipment'!$L$4:$L$503,(_calc!$E$169-500))),TEXT(INDEX('My equipment'!$L$4:$L$503,(_calc!$E$169-500)),"yyyy-mm-dd"),"")&amp;". ")&amp;IF(LEN(IF(ISNUMBER(INDEX('My equipment'!$P$4:$P$503,(_calc!$E$169-500))),TEXT(INDEX('My equipment'!$P$4:$P$503,(_calc!$E$169-500)),"yyyy-mm-dd"),""))=0,"","Check by: "&amp;IF(ISNUMBER(INDEX('My equipment'!$P$4:$P$503,(_calc!$E$169-500))),TEXT(INDEX('My equipment'!$P$4:$P$503,(_calc!$E$169-500)),"yyyy-mm-dd"),"")&amp;". ")&amp;IF(LEN(IF(LEN(INDEX('My equipment'!$Q$4:$Q$503,(_calc!$E$169-500)))=0,"",INDEX('My equipment'!$Q$4:$Q$503,(_calc!$E$169-500))))=0,"","Claim status: "&amp;IF(LEN(INDEX('My equipment'!$Q$4:$Q$503,(_calc!$E$169-500)))=0,"",INDEX('My equipment'!$Q$4:$Q$503,(_calc!$E$169-500)))&amp;". ")&amp;IF(LEN(IF(LEN(INDEX('My equipment'!$R$4:$R$503,(_calc!$E$169-500)))=0,"",INDEX('My equipment'!$R$4:$R$503,(_calc!$E$169-500))))=0,"","Claims contact: "&amp;IF(LEN(INDEX('My equipment'!$R$4:$R$503,(_calc!$E$169-500)))=0,"",INDEX('My equipment'!$R$4:$R$503,(_calc!$E$169-500)))&amp;". ")&amp;IF(LEN(IF(LEN(INDEX('My equipment'!$S$4:$S$503,(_calc!$E$169-500)))=0,"",INDEX('My equipment'!$S$4:$S$503,(_calc!$E$169-500))))=0,"","Claims email: "&amp;IF(LEN(INDEX('My equipment'!$S$4:$S$503,(_calc!$E$169-500)))=0,"",INDEX('My equipment'!$S$4:$S$503,(_calc!$E$169-500)))&amp;". ")&amp;IF(LEN(IF(LEN(INDEX('My equipment'!$U$4:$U$503,(_calc!$E$169-500)))=0,"",INDEX('My equipment'!$U$4:$U$503,(_calc!$E$169-500))))=0,"","Registered: "&amp;IF(LEN(INDEX('My equipment'!$U$4:$U$503,(_calc!$E$169-500)))=0,"",INDEX('My equipment'!$U$4:$U$503,(_calc!$E$169-500)))&amp;". ")&amp;IF(LEN(IF(LEN(INDEX('My equipment'!$V$4:$V$503,(_calc!$E$169-500)))=0,"",INDEX('My equipment'!$V$4:$V$503,(_calc!$E$169-500))))=0,"","Proof on file: "&amp;IF(LEN(INDEX('My equipment'!$V$4:$V$503,(_calc!$E$169-500)))=0,"",INDEX('My equipment'!$V$4:$V$503,(_calc!$E$169-500)))&amp;". ")&amp;IF(LEN(IF(LEN(INDEX('My equipment'!$W$4:$W$503,(_calc!$E$169-500)))=0,"",INDEX('My equipment'!$W$4:$W$503,(_calc!$E$169-500))))=0,"","Claim ref: "&amp;IF(LEN(INDEX('My equipment'!$W$4:$W$503,(_calc!$E$169-500)))=0,"",INDEX('My equipment'!$W$4:$W$503,(_calc!$E$169-500)))&amp;". ")&amp;IF(LEN(IF(LEN(INDEX('My equipment'!$Y$4:$Y$503,(_calc!$E$169-500)))=0,"",INDEX('My equipment'!$Y$4:$Y$503,(_calc!$E$169-500))))=0,"",IF(LEN(INDEX('My equipment'!$Y$4:$Y$503,(_calc!$E$169-500)))=0,"",INDEX('My equipment'!$Y$4:$Y$503,(_calc!$E$169-500)))))))</f>
        <v/>
      </c>
      <c r="G167" s="54">
        <f>IF(_calc!$E$169="","",IF(_calc!$E$169&lt;=500,"",IF(LEN(INDEX('My equipment'!$X$4:$X$503,(_calc!$E$169-500)))=0,"",INDEX('My equipment'!$X$4:$X$503,(_calc!$E$169-500)))))</f>
        <v/>
      </c>
      <c r="K167" s="54">
        <f>IF(_calc!$E$169="","",IF(_calc!$E$169&lt;=500,"",IF(LEN(INDEX('My equipment'!$T$4:$T$503,(_calc!$E$169-500)))=0,"",INDEX('My equipment'!$T$4:$T$503,(_calc!$E$169-500)))))</f>
        <v/>
      </c>
    </row>
    <row r="168">
      <c r="A168" s="54">
        <f>IF(_calc!$E$170="","",IF(_calc!$E$170&lt;=500,"Warranty – "&amp;IF(LEN(INDEX('Dealer pipeline'!$C$4:$C$503,_calc!$E$170))=0,"",INDEX('Dealer pipeline'!$C$4:$C$503,_calc!$E$170))&amp;" – "&amp;IF(LEN(INDEX('Dealer pipeline'!$D$4:$D$503,_calc!$E$170))=0,"",INDEX('Dealer pipeline'!$D$4:$D$503,_calc!$E$170))&amp;" – "&amp;IF(LEN(INDEX('Dealer pipeline'!$A$4:$A$503,_calc!$E$170))=0,"",INDEX('Dealer pipeline'!$A$4:$A$503,_calc!$E$170)),"Warranty – "&amp;IF(LEN(INDEX('My equipment'!$A$4:$A$503,(_calc!$E$170-500)))=0,"",INDEX('My equipment'!$A$4:$A$503,(_calc!$E$170-500)))&amp;" – "&amp;IF(LEN(INDEX('My equipment'!$D$4:$D$503,(_calc!$E$170-500)))=0,"",INDEX('My equipment'!$D$4:$D$503,(_calc!$E$170-500)))))</f>
        <v/>
      </c>
      <c r="B168" s="54">
        <f>IF(_calc!$E$170="","",IF(_calc!$E$170&lt;=500,IF(ISNUMBER(INDEX('Dealer pipeline'!$M$4:$M$503,_calc!$E$170)),TEXT(INDEX('Dealer pipeline'!$M$4:$M$503,_calc!$E$170),"yyyy-mm-dd"),""),IF(ISNUMBER(INDEX('My equipment'!$M$4:$M$503,(_calc!$E$170-500))),TEXT(INDEX('My equipment'!$M$4:$M$503,(_calc!$E$170-500)),"yyyy-mm-dd"),"")))</f>
        <v/>
      </c>
      <c r="C168" s="54">
        <f>IF(_calc!$E$170="","",IF(_calc!$E$170&lt;=500,"Warranty","Warranty"))</f>
        <v/>
      </c>
      <c r="D168" s="54">
        <f>IF(_calc!$E$170="","",IF(_calc!$E$170&lt;=500,IF(ISNUMBER(INDEX('Dealer pipeline'!$H$4:$H$503,_calc!$E$170)),TEXT(INDEX('Dealer pipeline'!$H$4:$H$503,_calc!$E$170),"yyyy-mm-dd"),""),IF(ISNUMBER(INDEX('My equipment'!$H$4:$H$503,(_calc!$E$170-500))),TEXT(INDEX('My equipment'!$H$4:$H$503,(_calc!$E$170-500)),"yyyy-mm-dd"),"")))</f>
        <v/>
      </c>
      <c r="F168" s="54">
        <f>IF(_calc!$E$170="","",IF(_calc!$E$170&lt;=500,TRIM(IF(LEN(IF(LEN(INDEX('Dealer pipeline'!$A$4:$A$503,_calc!$E$170))=0,"",INDEX('Dealer pipeline'!$A$4:$A$503,_calc!$E$170)))=0,"","Customer: "&amp;IF(LEN(INDEX('Dealer pipeline'!$A$4:$A$503,_calc!$E$170))=0,"",INDEX('Dealer pipeline'!$A$4:$A$503,_calc!$E$170))&amp;". ")&amp;IF(LEN(IF(LEN(INDEX('Dealer pipeline'!$B$4:$B$503,_calc!$E$170))=0,"",INDEX('Dealer pipeline'!$B$4:$B$503,_calc!$E$170)))=0,"","Contact: "&amp;IF(LEN(INDEX('Dealer pipeline'!$B$4:$B$503,_calc!$E$170))=0,"",INDEX('Dealer pipeline'!$B$4:$B$503,_calc!$E$170))&amp;". ")&amp;IF(LEN(IF(LEN(INDEX('Dealer pipeline'!$D$4:$D$503,_calc!$E$170))=0,"",INDEX('Dealer pipeline'!$D$4:$D$503,_calc!$E$170)))=0,"","Serial: "&amp;IF(LEN(INDEX('Dealer pipeline'!$D$4:$D$503,_calc!$E$170))=0,"",INDEX('Dealer pipeline'!$D$4:$D$503,_calc!$E$170))&amp;". ")&amp;IF(LEN(IF(ISNUMBER(INDEX('Dealer pipeline'!$J$4:$J$503,_calc!$E$170)),TEXT(INDEX('Dealer pipeline'!$J$4:$J$503,_calc!$E$170),"yyyy-mm-dd"),""))=0,"","Parts end: "&amp;IF(ISNUMBER(INDEX('Dealer pipeline'!$J$4:$J$503,_calc!$E$170)),TEXT(INDEX('Dealer pipeline'!$J$4:$J$503,_calc!$E$170),"yyyy-mm-dd"),"")&amp;". ")&amp;IF(LEN(IF(ISNUMBER(INDEX('Dealer pipeline'!$L$4:$L$503,_calc!$E$170)),TEXT(INDEX('Dealer pipeline'!$L$4:$L$503,_calc!$E$170),"yyyy-mm-dd"),""))=0,"","Labor end: "&amp;IF(ISNUMBER(INDEX('Dealer pipeline'!$L$4:$L$503,_calc!$E$170)),TEXT(INDEX('Dealer pipeline'!$L$4:$L$503,_calc!$E$170),"yyyy-mm-dd"),"")&amp;". ")&amp;IF(LEN(IF(LEN(INDEX('Dealer pipeline'!$Q$4:$Q$503,_calc!$E$170))=0,"",INDEX('Dealer pipeline'!$Q$4:$Q$503,_calc!$E$170)))=0,"","Status: "&amp;IF(LEN(INDEX('Dealer pipeline'!$Q$4:$Q$503,_calc!$E$170))=0,"",INDEX('Dealer pipeline'!$Q$4:$Q$503,_calc!$E$170))&amp;". ")&amp;IF(LEN(IF(LEN(INDEX('Dealer pipeline'!$P$4:$P$503,_calc!$E$170))=0,"",INDEX('Dealer pipeline'!$P$4:$P$503,_calc!$E$170)))=0,"","Last touch: "&amp;IF(LEN(INDEX('Dealer pipeline'!$P$4:$P$503,_calc!$E$170))=0,"",INDEX('Dealer pipeline'!$P$4:$P$503,_calc!$E$170))&amp;". ")&amp;IF(LEN(IF(LEN(INDEX('Dealer pipeline'!$R$4:$R$503,_calc!$E$170))=0,"",INDEX('Dealer pipeline'!$R$4:$R$503,_calc!$E$170)))=0,"","Owner: "&amp;IF(LEN(INDEX('Dealer pipeline'!$R$4:$R$503,_calc!$E$170))=0,"",INDEX('Dealer pipeline'!$R$4:$R$503,_calc!$E$170))&amp;". ")&amp;IF(LEN(IF(LEN(INDEX('Dealer pipeline'!$S$4:$S$503,_calc!$E$170))=0,"",INDEX('Dealer pipeline'!$S$4:$S$503,_calc!$E$170)))=0,"","Backup: "&amp;IF(LEN(INDEX('Dealer pipeline'!$S$4:$S$503,_calc!$E$170))=0,"",INDEX('Dealer pipeline'!$S$4:$S$503,_calc!$E$170))&amp;". ")&amp;IF(LEN(IF(LEN(INDEX('Dealer pipeline'!$T$4:$T$503,_calc!$E$170))=0,"",INDEX('Dealer pipeline'!$T$4:$T$503,_calc!$E$170)))=0,"",IF(LEN(INDEX('Dealer pipeline'!$T$4:$T$503,_calc!$E$170))=0,"",INDEX('Dealer pipeline'!$T$4:$T$503,_calc!$E$170)))),TRIM(IF(LEN(IF(LEN(INDEX('My equipment'!$C$4:$C$503,(_calc!$E$170-500)))=0,"",INDEX('My equipment'!$C$4:$C$503,(_calc!$E$170-500))))=0,"","Model: "&amp;IF(LEN(INDEX('My equipment'!$C$4:$C$503,(_calc!$E$170-500)))=0,"",INDEX('My equipment'!$C$4:$C$503,(_calc!$E$170-500)))&amp;". ")&amp;IF(LEN(IF(LEN(INDEX('My equipment'!$D$4:$D$503,(_calc!$E$170-500)))=0,"",INDEX('My equipment'!$D$4:$D$503,(_calc!$E$170-500))))=0,"","Serial: "&amp;IF(LEN(INDEX('My equipment'!$D$4:$D$503,(_calc!$E$170-500)))=0,"",INDEX('My equipment'!$D$4:$D$503,(_calc!$E$170-500)))&amp;". ")&amp;IF(LEN(IF(ISNUMBER(INDEX('My equipment'!$J$4:$J$503,(_calc!$E$170-500))),TEXT(INDEX('My equipment'!$J$4:$J$503,(_calc!$E$170-500)),"yyyy-mm-dd"),""))=0,"","Parts end: "&amp;IF(ISNUMBER(INDEX('My equipment'!$J$4:$J$503,(_calc!$E$170-500))),TEXT(INDEX('My equipment'!$J$4:$J$503,(_calc!$E$170-500)),"yyyy-mm-dd"),"")&amp;". ")&amp;IF(LEN(IF(ISNUMBER(INDEX('My equipment'!$L$4:$L$503,(_calc!$E$170-500))),TEXT(INDEX('My equipment'!$L$4:$L$503,(_calc!$E$170-500)),"yyyy-mm-dd"),""))=0,"","Labor end: "&amp;IF(ISNUMBER(INDEX('My equipment'!$L$4:$L$503,(_calc!$E$170-500))),TEXT(INDEX('My equipment'!$L$4:$L$503,(_calc!$E$170-500)),"yyyy-mm-dd"),"")&amp;". ")&amp;IF(LEN(IF(ISNUMBER(INDEX('My equipment'!$P$4:$P$503,(_calc!$E$170-500))),TEXT(INDEX('My equipment'!$P$4:$P$503,(_calc!$E$170-500)),"yyyy-mm-dd"),""))=0,"","Check by: "&amp;IF(ISNUMBER(INDEX('My equipment'!$P$4:$P$503,(_calc!$E$170-500))),TEXT(INDEX('My equipment'!$P$4:$P$503,(_calc!$E$170-500)),"yyyy-mm-dd"),"")&amp;". ")&amp;IF(LEN(IF(LEN(INDEX('My equipment'!$Q$4:$Q$503,(_calc!$E$170-500)))=0,"",INDEX('My equipment'!$Q$4:$Q$503,(_calc!$E$170-500))))=0,"","Claim status: "&amp;IF(LEN(INDEX('My equipment'!$Q$4:$Q$503,(_calc!$E$170-500)))=0,"",INDEX('My equipment'!$Q$4:$Q$503,(_calc!$E$170-500)))&amp;". ")&amp;IF(LEN(IF(LEN(INDEX('My equipment'!$R$4:$R$503,(_calc!$E$170-500)))=0,"",INDEX('My equipment'!$R$4:$R$503,(_calc!$E$170-500))))=0,"","Claims contact: "&amp;IF(LEN(INDEX('My equipment'!$R$4:$R$503,(_calc!$E$170-500)))=0,"",INDEX('My equipment'!$R$4:$R$503,(_calc!$E$170-500)))&amp;". ")&amp;IF(LEN(IF(LEN(INDEX('My equipment'!$S$4:$S$503,(_calc!$E$170-500)))=0,"",INDEX('My equipment'!$S$4:$S$503,(_calc!$E$170-500))))=0,"","Claims email: "&amp;IF(LEN(INDEX('My equipment'!$S$4:$S$503,(_calc!$E$170-500)))=0,"",INDEX('My equipment'!$S$4:$S$503,(_calc!$E$170-500)))&amp;". ")&amp;IF(LEN(IF(LEN(INDEX('My equipment'!$U$4:$U$503,(_calc!$E$170-500)))=0,"",INDEX('My equipment'!$U$4:$U$503,(_calc!$E$170-500))))=0,"","Registered: "&amp;IF(LEN(INDEX('My equipment'!$U$4:$U$503,(_calc!$E$170-500)))=0,"",INDEX('My equipment'!$U$4:$U$503,(_calc!$E$170-500)))&amp;". ")&amp;IF(LEN(IF(LEN(INDEX('My equipment'!$V$4:$V$503,(_calc!$E$170-500)))=0,"",INDEX('My equipment'!$V$4:$V$503,(_calc!$E$170-500))))=0,"","Proof on file: "&amp;IF(LEN(INDEX('My equipment'!$V$4:$V$503,(_calc!$E$170-500)))=0,"",INDEX('My equipment'!$V$4:$V$503,(_calc!$E$170-500)))&amp;". ")&amp;IF(LEN(IF(LEN(INDEX('My equipment'!$W$4:$W$503,(_calc!$E$170-500)))=0,"",INDEX('My equipment'!$W$4:$W$503,(_calc!$E$170-500))))=0,"","Claim ref: "&amp;IF(LEN(INDEX('My equipment'!$W$4:$W$503,(_calc!$E$170-500)))=0,"",INDEX('My equipment'!$W$4:$W$503,(_calc!$E$170-500)))&amp;". ")&amp;IF(LEN(IF(LEN(INDEX('My equipment'!$Y$4:$Y$503,(_calc!$E$170-500)))=0,"",INDEX('My equipment'!$Y$4:$Y$503,(_calc!$E$170-500))))=0,"",IF(LEN(INDEX('My equipment'!$Y$4:$Y$503,(_calc!$E$170-500)))=0,"",INDEX('My equipment'!$Y$4:$Y$503,(_calc!$E$170-500)))))))</f>
        <v/>
      </c>
      <c r="G168" s="54">
        <f>IF(_calc!$E$170="","",IF(_calc!$E$170&lt;=500,"",IF(LEN(INDEX('My equipment'!$X$4:$X$503,(_calc!$E$170-500)))=0,"",INDEX('My equipment'!$X$4:$X$503,(_calc!$E$170-500)))))</f>
        <v/>
      </c>
      <c r="K168" s="54">
        <f>IF(_calc!$E$170="","",IF(_calc!$E$170&lt;=500,"",IF(LEN(INDEX('My equipment'!$T$4:$T$503,(_calc!$E$170-500)))=0,"",INDEX('My equipment'!$T$4:$T$503,(_calc!$E$170-500)))))</f>
        <v/>
      </c>
    </row>
    <row r="169">
      <c r="A169" s="54">
        <f>IF(_calc!$E$171="","",IF(_calc!$E$171&lt;=500,"Warranty – "&amp;IF(LEN(INDEX('Dealer pipeline'!$C$4:$C$503,_calc!$E$171))=0,"",INDEX('Dealer pipeline'!$C$4:$C$503,_calc!$E$171))&amp;" – "&amp;IF(LEN(INDEX('Dealer pipeline'!$D$4:$D$503,_calc!$E$171))=0,"",INDEX('Dealer pipeline'!$D$4:$D$503,_calc!$E$171))&amp;" – "&amp;IF(LEN(INDEX('Dealer pipeline'!$A$4:$A$503,_calc!$E$171))=0,"",INDEX('Dealer pipeline'!$A$4:$A$503,_calc!$E$171)),"Warranty – "&amp;IF(LEN(INDEX('My equipment'!$A$4:$A$503,(_calc!$E$171-500)))=0,"",INDEX('My equipment'!$A$4:$A$503,(_calc!$E$171-500)))&amp;" – "&amp;IF(LEN(INDEX('My equipment'!$D$4:$D$503,(_calc!$E$171-500)))=0,"",INDEX('My equipment'!$D$4:$D$503,(_calc!$E$171-500)))))</f>
        <v/>
      </c>
      <c r="B169" s="54">
        <f>IF(_calc!$E$171="","",IF(_calc!$E$171&lt;=500,IF(ISNUMBER(INDEX('Dealer pipeline'!$M$4:$M$503,_calc!$E$171)),TEXT(INDEX('Dealer pipeline'!$M$4:$M$503,_calc!$E$171),"yyyy-mm-dd"),""),IF(ISNUMBER(INDEX('My equipment'!$M$4:$M$503,(_calc!$E$171-500))),TEXT(INDEX('My equipment'!$M$4:$M$503,(_calc!$E$171-500)),"yyyy-mm-dd"),"")))</f>
        <v/>
      </c>
      <c r="C169" s="54">
        <f>IF(_calc!$E$171="","",IF(_calc!$E$171&lt;=500,"Warranty","Warranty"))</f>
        <v/>
      </c>
      <c r="D169" s="54">
        <f>IF(_calc!$E$171="","",IF(_calc!$E$171&lt;=500,IF(ISNUMBER(INDEX('Dealer pipeline'!$H$4:$H$503,_calc!$E$171)),TEXT(INDEX('Dealer pipeline'!$H$4:$H$503,_calc!$E$171),"yyyy-mm-dd"),""),IF(ISNUMBER(INDEX('My equipment'!$H$4:$H$503,(_calc!$E$171-500))),TEXT(INDEX('My equipment'!$H$4:$H$503,(_calc!$E$171-500)),"yyyy-mm-dd"),"")))</f>
        <v/>
      </c>
      <c r="F169" s="54">
        <f>IF(_calc!$E$171="","",IF(_calc!$E$171&lt;=500,TRIM(IF(LEN(IF(LEN(INDEX('Dealer pipeline'!$A$4:$A$503,_calc!$E$171))=0,"",INDEX('Dealer pipeline'!$A$4:$A$503,_calc!$E$171)))=0,"","Customer: "&amp;IF(LEN(INDEX('Dealer pipeline'!$A$4:$A$503,_calc!$E$171))=0,"",INDEX('Dealer pipeline'!$A$4:$A$503,_calc!$E$171))&amp;". ")&amp;IF(LEN(IF(LEN(INDEX('Dealer pipeline'!$B$4:$B$503,_calc!$E$171))=0,"",INDEX('Dealer pipeline'!$B$4:$B$503,_calc!$E$171)))=0,"","Contact: "&amp;IF(LEN(INDEX('Dealer pipeline'!$B$4:$B$503,_calc!$E$171))=0,"",INDEX('Dealer pipeline'!$B$4:$B$503,_calc!$E$171))&amp;". ")&amp;IF(LEN(IF(LEN(INDEX('Dealer pipeline'!$D$4:$D$503,_calc!$E$171))=0,"",INDEX('Dealer pipeline'!$D$4:$D$503,_calc!$E$171)))=0,"","Serial: "&amp;IF(LEN(INDEX('Dealer pipeline'!$D$4:$D$503,_calc!$E$171))=0,"",INDEX('Dealer pipeline'!$D$4:$D$503,_calc!$E$171))&amp;". ")&amp;IF(LEN(IF(ISNUMBER(INDEX('Dealer pipeline'!$J$4:$J$503,_calc!$E$171)),TEXT(INDEX('Dealer pipeline'!$J$4:$J$503,_calc!$E$171),"yyyy-mm-dd"),""))=0,"","Parts end: "&amp;IF(ISNUMBER(INDEX('Dealer pipeline'!$J$4:$J$503,_calc!$E$171)),TEXT(INDEX('Dealer pipeline'!$J$4:$J$503,_calc!$E$171),"yyyy-mm-dd"),"")&amp;". ")&amp;IF(LEN(IF(ISNUMBER(INDEX('Dealer pipeline'!$L$4:$L$503,_calc!$E$171)),TEXT(INDEX('Dealer pipeline'!$L$4:$L$503,_calc!$E$171),"yyyy-mm-dd"),""))=0,"","Labor end: "&amp;IF(ISNUMBER(INDEX('Dealer pipeline'!$L$4:$L$503,_calc!$E$171)),TEXT(INDEX('Dealer pipeline'!$L$4:$L$503,_calc!$E$171),"yyyy-mm-dd"),"")&amp;". ")&amp;IF(LEN(IF(LEN(INDEX('Dealer pipeline'!$Q$4:$Q$503,_calc!$E$171))=0,"",INDEX('Dealer pipeline'!$Q$4:$Q$503,_calc!$E$171)))=0,"","Status: "&amp;IF(LEN(INDEX('Dealer pipeline'!$Q$4:$Q$503,_calc!$E$171))=0,"",INDEX('Dealer pipeline'!$Q$4:$Q$503,_calc!$E$171))&amp;". ")&amp;IF(LEN(IF(LEN(INDEX('Dealer pipeline'!$P$4:$P$503,_calc!$E$171))=0,"",INDEX('Dealer pipeline'!$P$4:$P$503,_calc!$E$171)))=0,"","Last touch: "&amp;IF(LEN(INDEX('Dealer pipeline'!$P$4:$P$503,_calc!$E$171))=0,"",INDEX('Dealer pipeline'!$P$4:$P$503,_calc!$E$171))&amp;". ")&amp;IF(LEN(IF(LEN(INDEX('Dealer pipeline'!$R$4:$R$503,_calc!$E$171))=0,"",INDEX('Dealer pipeline'!$R$4:$R$503,_calc!$E$171)))=0,"","Owner: "&amp;IF(LEN(INDEX('Dealer pipeline'!$R$4:$R$503,_calc!$E$171))=0,"",INDEX('Dealer pipeline'!$R$4:$R$503,_calc!$E$171))&amp;". ")&amp;IF(LEN(IF(LEN(INDEX('Dealer pipeline'!$S$4:$S$503,_calc!$E$171))=0,"",INDEX('Dealer pipeline'!$S$4:$S$503,_calc!$E$171)))=0,"","Backup: "&amp;IF(LEN(INDEX('Dealer pipeline'!$S$4:$S$503,_calc!$E$171))=0,"",INDEX('Dealer pipeline'!$S$4:$S$503,_calc!$E$171))&amp;". ")&amp;IF(LEN(IF(LEN(INDEX('Dealer pipeline'!$T$4:$T$503,_calc!$E$171))=0,"",INDEX('Dealer pipeline'!$T$4:$T$503,_calc!$E$171)))=0,"",IF(LEN(INDEX('Dealer pipeline'!$T$4:$T$503,_calc!$E$171))=0,"",INDEX('Dealer pipeline'!$T$4:$T$503,_calc!$E$171)))),TRIM(IF(LEN(IF(LEN(INDEX('My equipment'!$C$4:$C$503,(_calc!$E$171-500)))=0,"",INDEX('My equipment'!$C$4:$C$503,(_calc!$E$171-500))))=0,"","Model: "&amp;IF(LEN(INDEX('My equipment'!$C$4:$C$503,(_calc!$E$171-500)))=0,"",INDEX('My equipment'!$C$4:$C$503,(_calc!$E$171-500)))&amp;". ")&amp;IF(LEN(IF(LEN(INDEX('My equipment'!$D$4:$D$503,(_calc!$E$171-500)))=0,"",INDEX('My equipment'!$D$4:$D$503,(_calc!$E$171-500))))=0,"","Serial: "&amp;IF(LEN(INDEX('My equipment'!$D$4:$D$503,(_calc!$E$171-500)))=0,"",INDEX('My equipment'!$D$4:$D$503,(_calc!$E$171-500)))&amp;". ")&amp;IF(LEN(IF(ISNUMBER(INDEX('My equipment'!$J$4:$J$503,(_calc!$E$171-500))),TEXT(INDEX('My equipment'!$J$4:$J$503,(_calc!$E$171-500)),"yyyy-mm-dd"),""))=0,"","Parts end: "&amp;IF(ISNUMBER(INDEX('My equipment'!$J$4:$J$503,(_calc!$E$171-500))),TEXT(INDEX('My equipment'!$J$4:$J$503,(_calc!$E$171-500)),"yyyy-mm-dd"),"")&amp;". ")&amp;IF(LEN(IF(ISNUMBER(INDEX('My equipment'!$L$4:$L$503,(_calc!$E$171-500))),TEXT(INDEX('My equipment'!$L$4:$L$503,(_calc!$E$171-500)),"yyyy-mm-dd"),""))=0,"","Labor end: "&amp;IF(ISNUMBER(INDEX('My equipment'!$L$4:$L$503,(_calc!$E$171-500))),TEXT(INDEX('My equipment'!$L$4:$L$503,(_calc!$E$171-500)),"yyyy-mm-dd"),"")&amp;". ")&amp;IF(LEN(IF(ISNUMBER(INDEX('My equipment'!$P$4:$P$503,(_calc!$E$171-500))),TEXT(INDEX('My equipment'!$P$4:$P$503,(_calc!$E$171-500)),"yyyy-mm-dd"),""))=0,"","Check by: "&amp;IF(ISNUMBER(INDEX('My equipment'!$P$4:$P$503,(_calc!$E$171-500))),TEXT(INDEX('My equipment'!$P$4:$P$503,(_calc!$E$171-500)),"yyyy-mm-dd"),"")&amp;". ")&amp;IF(LEN(IF(LEN(INDEX('My equipment'!$Q$4:$Q$503,(_calc!$E$171-500)))=0,"",INDEX('My equipment'!$Q$4:$Q$503,(_calc!$E$171-500))))=0,"","Claim status: "&amp;IF(LEN(INDEX('My equipment'!$Q$4:$Q$503,(_calc!$E$171-500)))=0,"",INDEX('My equipment'!$Q$4:$Q$503,(_calc!$E$171-500)))&amp;". ")&amp;IF(LEN(IF(LEN(INDEX('My equipment'!$R$4:$R$503,(_calc!$E$171-500)))=0,"",INDEX('My equipment'!$R$4:$R$503,(_calc!$E$171-500))))=0,"","Claims contact: "&amp;IF(LEN(INDEX('My equipment'!$R$4:$R$503,(_calc!$E$171-500)))=0,"",INDEX('My equipment'!$R$4:$R$503,(_calc!$E$171-500)))&amp;". ")&amp;IF(LEN(IF(LEN(INDEX('My equipment'!$S$4:$S$503,(_calc!$E$171-500)))=0,"",INDEX('My equipment'!$S$4:$S$503,(_calc!$E$171-500))))=0,"","Claims email: "&amp;IF(LEN(INDEX('My equipment'!$S$4:$S$503,(_calc!$E$171-500)))=0,"",INDEX('My equipment'!$S$4:$S$503,(_calc!$E$171-500)))&amp;". ")&amp;IF(LEN(IF(LEN(INDEX('My equipment'!$U$4:$U$503,(_calc!$E$171-500)))=0,"",INDEX('My equipment'!$U$4:$U$503,(_calc!$E$171-500))))=0,"","Registered: "&amp;IF(LEN(INDEX('My equipment'!$U$4:$U$503,(_calc!$E$171-500)))=0,"",INDEX('My equipment'!$U$4:$U$503,(_calc!$E$171-500)))&amp;". ")&amp;IF(LEN(IF(LEN(INDEX('My equipment'!$V$4:$V$503,(_calc!$E$171-500)))=0,"",INDEX('My equipment'!$V$4:$V$503,(_calc!$E$171-500))))=0,"","Proof on file: "&amp;IF(LEN(INDEX('My equipment'!$V$4:$V$503,(_calc!$E$171-500)))=0,"",INDEX('My equipment'!$V$4:$V$503,(_calc!$E$171-500)))&amp;". ")&amp;IF(LEN(IF(LEN(INDEX('My equipment'!$W$4:$W$503,(_calc!$E$171-500)))=0,"",INDEX('My equipment'!$W$4:$W$503,(_calc!$E$171-500))))=0,"","Claim ref: "&amp;IF(LEN(INDEX('My equipment'!$W$4:$W$503,(_calc!$E$171-500)))=0,"",INDEX('My equipment'!$W$4:$W$503,(_calc!$E$171-500)))&amp;". ")&amp;IF(LEN(IF(LEN(INDEX('My equipment'!$Y$4:$Y$503,(_calc!$E$171-500)))=0,"",INDEX('My equipment'!$Y$4:$Y$503,(_calc!$E$171-500))))=0,"",IF(LEN(INDEX('My equipment'!$Y$4:$Y$503,(_calc!$E$171-500)))=0,"",INDEX('My equipment'!$Y$4:$Y$503,(_calc!$E$171-500)))))))</f>
        <v/>
      </c>
      <c r="G169" s="54">
        <f>IF(_calc!$E$171="","",IF(_calc!$E$171&lt;=500,"",IF(LEN(INDEX('My equipment'!$X$4:$X$503,(_calc!$E$171-500)))=0,"",INDEX('My equipment'!$X$4:$X$503,(_calc!$E$171-500)))))</f>
        <v/>
      </c>
      <c r="K169" s="54">
        <f>IF(_calc!$E$171="","",IF(_calc!$E$171&lt;=500,"",IF(LEN(INDEX('My equipment'!$T$4:$T$503,(_calc!$E$171-500)))=0,"",INDEX('My equipment'!$T$4:$T$503,(_calc!$E$171-500)))))</f>
        <v/>
      </c>
    </row>
    <row r="170">
      <c r="A170" s="54">
        <f>IF(_calc!$E$172="","",IF(_calc!$E$172&lt;=500,"Warranty – "&amp;IF(LEN(INDEX('Dealer pipeline'!$C$4:$C$503,_calc!$E$172))=0,"",INDEX('Dealer pipeline'!$C$4:$C$503,_calc!$E$172))&amp;" – "&amp;IF(LEN(INDEX('Dealer pipeline'!$D$4:$D$503,_calc!$E$172))=0,"",INDEX('Dealer pipeline'!$D$4:$D$503,_calc!$E$172))&amp;" – "&amp;IF(LEN(INDEX('Dealer pipeline'!$A$4:$A$503,_calc!$E$172))=0,"",INDEX('Dealer pipeline'!$A$4:$A$503,_calc!$E$172)),"Warranty – "&amp;IF(LEN(INDEX('My equipment'!$A$4:$A$503,(_calc!$E$172-500)))=0,"",INDEX('My equipment'!$A$4:$A$503,(_calc!$E$172-500)))&amp;" – "&amp;IF(LEN(INDEX('My equipment'!$D$4:$D$503,(_calc!$E$172-500)))=0,"",INDEX('My equipment'!$D$4:$D$503,(_calc!$E$172-500)))))</f>
        <v/>
      </c>
      <c r="B170" s="54">
        <f>IF(_calc!$E$172="","",IF(_calc!$E$172&lt;=500,IF(ISNUMBER(INDEX('Dealer pipeline'!$M$4:$M$503,_calc!$E$172)),TEXT(INDEX('Dealer pipeline'!$M$4:$M$503,_calc!$E$172),"yyyy-mm-dd"),""),IF(ISNUMBER(INDEX('My equipment'!$M$4:$M$503,(_calc!$E$172-500))),TEXT(INDEX('My equipment'!$M$4:$M$503,(_calc!$E$172-500)),"yyyy-mm-dd"),"")))</f>
        <v/>
      </c>
      <c r="C170" s="54">
        <f>IF(_calc!$E$172="","",IF(_calc!$E$172&lt;=500,"Warranty","Warranty"))</f>
        <v/>
      </c>
      <c r="D170" s="54">
        <f>IF(_calc!$E$172="","",IF(_calc!$E$172&lt;=500,IF(ISNUMBER(INDEX('Dealer pipeline'!$H$4:$H$503,_calc!$E$172)),TEXT(INDEX('Dealer pipeline'!$H$4:$H$503,_calc!$E$172),"yyyy-mm-dd"),""),IF(ISNUMBER(INDEX('My equipment'!$H$4:$H$503,(_calc!$E$172-500))),TEXT(INDEX('My equipment'!$H$4:$H$503,(_calc!$E$172-500)),"yyyy-mm-dd"),"")))</f>
        <v/>
      </c>
      <c r="F170" s="54">
        <f>IF(_calc!$E$172="","",IF(_calc!$E$172&lt;=500,TRIM(IF(LEN(IF(LEN(INDEX('Dealer pipeline'!$A$4:$A$503,_calc!$E$172))=0,"",INDEX('Dealer pipeline'!$A$4:$A$503,_calc!$E$172)))=0,"","Customer: "&amp;IF(LEN(INDEX('Dealer pipeline'!$A$4:$A$503,_calc!$E$172))=0,"",INDEX('Dealer pipeline'!$A$4:$A$503,_calc!$E$172))&amp;". ")&amp;IF(LEN(IF(LEN(INDEX('Dealer pipeline'!$B$4:$B$503,_calc!$E$172))=0,"",INDEX('Dealer pipeline'!$B$4:$B$503,_calc!$E$172)))=0,"","Contact: "&amp;IF(LEN(INDEX('Dealer pipeline'!$B$4:$B$503,_calc!$E$172))=0,"",INDEX('Dealer pipeline'!$B$4:$B$503,_calc!$E$172))&amp;". ")&amp;IF(LEN(IF(LEN(INDEX('Dealer pipeline'!$D$4:$D$503,_calc!$E$172))=0,"",INDEX('Dealer pipeline'!$D$4:$D$503,_calc!$E$172)))=0,"","Serial: "&amp;IF(LEN(INDEX('Dealer pipeline'!$D$4:$D$503,_calc!$E$172))=0,"",INDEX('Dealer pipeline'!$D$4:$D$503,_calc!$E$172))&amp;". ")&amp;IF(LEN(IF(ISNUMBER(INDEX('Dealer pipeline'!$J$4:$J$503,_calc!$E$172)),TEXT(INDEX('Dealer pipeline'!$J$4:$J$503,_calc!$E$172),"yyyy-mm-dd"),""))=0,"","Parts end: "&amp;IF(ISNUMBER(INDEX('Dealer pipeline'!$J$4:$J$503,_calc!$E$172)),TEXT(INDEX('Dealer pipeline'!$J$4:$J$503,_calc!$E$172),"yyyy-mm-dd"),"")&amp;". ")&amp;IF(LEN(IF(ISNUMBER(INDEX('Dealer pipeline'!$L$4:$L$503,_calc!$E$172)),TEXT(INDEX('Dealer pipeline'!$L$4:$L$503,_calc!$E$172),"yyyy-mm-dd"),""))=0,"","Labor end: "&amp;IF(ISNUMBER(INDEX('Dealer pipeline'!$L$4:$L$503,_calc!$E$172)),TEXT(INDEX('Dealer pipeline'!$L$4:$L$503,_calc!$E$172),"yyyy-mm-dd"),"")&amp;". ")&amp;IF(LEN(IF(LEN(INDEX('Dealer pipeline'!$Q$4:$Q$503,_calc!$E$172))=0,"",INDEX('Dealer pipeline'!$Q$4:$Q$503,_calc!$E$172)))=0,"","Status: "&amp;IF(LEN(INDEX('Dealer pipeline'!$Q$4:$Q$503,_calc!$E$172))=0,"",INDEX('Dealer pipeline'!$Q$4:$Q$503,_calc!$E$172))&amp;". ")&amp;IF(LEN(IF(LEN(INDEX('Dealer pipeline'!$P$4:$P$503,_calc!$E$172))=0,"",INDEX('Dealer pipeline'!$P$4:$P$503,_calc!$E$172)))=0,"","Last touch: "&amp;IF(LEN(INDEX('Dealer pipeline'!$P$4:$P$503,_calc!$E$172))=0,"",INDEX('Dealer pipeline'!$P$4:$P$503,_calc!$E$172))&amp;". ")&amp;IF(LEN(IF(LEN(INDEX('Dealer pipeline'!$R$4:$R$503,_calc!$E$172))=0,"",INDEX('Dealer pipeline'!$R$4:$R$503,_calc!$E$172)))=0,"","Owner: "&amp;IF(LEN(INDEX('Dealer pipeline'!$R$4:$R$503,_calc!$E$172))=0,"",INDEX('Dealer pipeline'!$R$4:$R$503,_calc!$E$172))&amp;". ")&amp;IF(LEN(IF(LEN(INDEX('Dealer pipeline'!$S$4:$S$503,_calc!$E$172))=0,"",INDEX('Dealer pipeline'!$S$4:$S$503,_calc!$E$172)))=0,"","Backup: "&amp;IF(LEN(INDEX('Dealer pipeline'!$S$4:$S$503,_calc!$E$172))=0,"",INDEX('Dealer pipeline'!$S$4:$S$503,_calc!$E$172))&amp;". ")&amp;IF(LEN(IF(LEN(INDEX('Dealer pipeline'!$T$4:$T$503,_calc!$E$172))=0,"",INDEX('Dealer pipeline'!$T$4:$T$503,_calc!$E$172)))=0,"",IF(LEN(INDEX('Dealer pipeline'!$T$4:$T$503,_calc!$E$172))=0,"",INDEX('Dealer pipeline'!$T$4:$T$503,_calc!$E$172)))),TRIM(IF(LEN(IF(LEN(INDEX('My equipment'!$C$4:$C$503,(_calc!$E$172-500)))=0,"",INDEX('My equipment'!$C$4:$C$503,(_calc!$E$172-500))))=0,"","Model: "&amp;IF(LEN(INDEX('My equipment'!$C$4:$C$503,(_calc!$E$172-500)))=0,"",INDEX('My equipment'!$C$4:$C$503,(_calc!$E$172-500)))&amp;". ")&amp;IF(LEN(IF(LEN(INDEX('My equipment'!$D$4:$D$503,(_calc!$E$172-500)))=0,"",INDEX('My equipment'!$D$4:$D$503,(_calc!$E$172-500))))=0,"","Serial: "&amp;IF(LEN(INDEX('My equipment'!$D$4:$D$503,(_calc!$E$172-500)))=0,"",INDEX('My equipment'!$D$4:$D$503,(_calc!$E$172-500)))&amp;". ")&amp;IF(LEN(IF(ISNUMBER(INDEX('My equipment'!$J$4:$J$503,(_calc!$E$172-500))),TEXT(INDEX('My equipment'!$J$4:$J$503,(_calc!$E$172-500)),"yyyy-mm-dd"),""))=0,"","Parts end: "&amp;IF(ISNUMBER(INDEX('My equipment'!$J$4:$J$503,(_calc!$E$172-500))),TEXT(INDEX('My equipment'!$J$4:$J$503,(_calc!$E$172-500)),"yyyy-mm-dd"),"")&amp;". ")&amp;IF(LEN(IF(ISNUMBER(INDEX('My equipment'!$L$4:$L$503,(_calc!$E$172-500))),TEXT(INDEX('My equipment'!$L$4:$L$503,(_calc!$E$172-500)),"yyyy-mm-dd"),""))=0,"","Labor end: "&amp;IF(ISNUMBER(INDEX('My equipment'!$L$4:$L$503,(_calc!$E$172-500))),TEXT(INDEX('My equipment'!$L$4:$L$503,(_calc!$E$172-500)),"yyyy-mm-dd"),"")&amp;". ")&amp;IF(LEN(IF(ISNUMBER(INDEX('My equipment'!$P$4:$P$503,(_calc!$E$172-500))),TEXT(INDEX('My equipment'!$P$4:$P$503,(_calc!$E$172-500)),"yyyy-mm-dd"),""))=0,"","Check by: "&amp;IF(ISNUMBER(INDEX('My equipment'!$P$4:$P$503,(_calc!$E$172-500))),TEXT(INDEX('My equipment'!$P$4:$P$503,(_calc!$E$172-500)),"yyyy-mm-dd"),"")&amp;". ")&amp;IF(LEN(IF(LEN(INDEX('My equipment'!$Q$4:$Q$503,(_calc!$E$172-500)))=0,"",INDEX('My equipment'!$Q$4:$Q$503,(_calc!$E$172-500))))=0,"","Claim status: "&amp;IF(LEN(INDEX('My equipment'!$Q$4:$Q$503,(_calc!$E$172-500)))=0,"",INDEX('My equipment'!$Q$4:$Q$503,(_calc!$E$172-500)))&amp;". ")&amp;IF(LEN(IF(LEN(INDEX('My equipment'!$R$4:$R$503,(_calc!$E$172-500)))=0,"",INDEX('My equipment'!$R$4:$R$503,(_calc!$E$172-500))))=0,"","Claims contact: "&amp;IF(LEN(INDEX('My equipment'!$R$4:$R$503,(_calc!$E$172-500)))=0,"",INDEX('My equipment'!$R$4:$R$503,(_calc!$E$172-500)))&amp;". ")&amp;IF(LEN(IF(LEN(INDEX('My equipment'!$S$4:$S$503,(_calc!$E$172-500)))=0,"",INDEX('My equipment'!$S$4:$S$503,(_calc!$E$172-500))))=0,"","Claims email: "&amp;IF(LEN(INDEX('My equipment'!$S$4:$S$503,(_calc!$E$172-500)))=0,"",INDEX('My equipment'!$S$4:$S$503,(_calc!$E$172-500)))&amp;". ")&amp;IF(LEN(IF(LEN(INDEX('My equipment'!$U$4:$U$503,(_calc!$E$172-500)))=0,"",INDEX('My equipment'!$U$4:$U$503,(_calc!$E$172-500))))=0,"","Registered: "&amp;IF(LEN(INDEX('My equipment'!$U$4:$U$503,(_calc!$E$172-500)))=0,"",INDEX('My equipment'!$U$4:$U$503,(_calc!$E$172-500)))&amp;". ")&amp;IF(LEN(IF(LEN(INDEX('My equipment'!$V$4:$V$503,(_calc!$E$172-500)))=0,"",INDEX('My equipment'!$V$4:$V$503,(_calc!$E$172-500))))=0,"","Proof on file: "&amp;IF(LEN(INDEX('My equipment'!$V$4:$V$503,(_calc!$E$172-500)))=0,"",INDEX('My equipment'!$V$4:$V$503,(_calc!$E$172-500)))&amp;". ")&amp;IF(LEN(IF(LEN(INDEX('My equipment'!$W$4:$W$503,(_calc!$E$172-500)))=0,"",INDEX('My equipment'!$W$4:$W$503,(_calc!$E$172-500))))=0,"","Claim ref: "&amp;IF(LEN(INDEX('My equipment'!$W$4:$W$503,(_calc!$E$172-500)))=0,"",INDEX('My equipment'!$W$4:$W$503,(_calc!$E$172-500)))&amp;". ")&amp;IF(LEN(IF(LEN(INDEX('My equipment'!$Y$4:$Y$503,(_calc!$E$172-500)))=0,"",INDEX('My equipment'!$Y$4:$Y$503,(_calc!$E$172-500))))=0,"",IF(LEN(INDEX('My equipment'!$Y$4:$Y$503,(_calc!$E$172-500)))=0,"",INDEX('My equipment'!$Y$4:$Y$503,(_calc!$E$172-500)))))))</f>
        <v/>
      </c>
      <c r="G170" s="54">
        <f>IF(_calc!$E$172="","",IF(_calc!$E$172&lt;=500,"",IF(LEN(INDEX('My equipment'!$X$4:$X$503,(_calc!$E$172-500)))=0,"",INDEX('My equipment'!$X$4:$X$503,(_calc!$E$172-500)))))</f>
        <v/>
      </c>
      <c r="K170" s="54">
        <f>IF(_calc!$E$172="","",IF(_calc!$E$172&lt;=500,"",IF(LEN(INDEX('My equipment'!$T$4:$T$503,(_calc!$E$172-500)))=0,"",INDEX('My equipment'!$T$4:$T$503,(_calc!$E$172-500)))))</f>
        <v/>
      </c>
    </row>
    <row r="171">
      <c r="A171" s="54">
        <f>IF(_calc!$E$173="","",IF(_calc!$E$173&lt;=500,"Warranty – "&amp;IF(LEN(INDEX('Dealer pipeline'!$C$4:$C$503,_calc!$E$173))=0,"",INDEX('Dealer pipeline'!$C$4:$C$503,_calc!$E$173))&amp;" – "&amp;IF(LEN(INDEX('Dealer pipeline'!$D$4:$D$503,_calc!$E$173))=0,"",INDEX('Dealer pipeline'!$D$4:$D$503,_calc!$E$173))&amp;" – "&amp;IF(LEN(INDEX('Dealer pipeline'!$A$4:$A$503,_calc!$E$173))=0,"",INDEX('Dealer pipeline'!$A$4:$A$503,_calc!$E$173)),"Warranty – "&amp;IF(LEN(INDEX('My equipment'!$A$4:$A$503,(_calc!$E$173-500)))=0,"",INDEX('My equipment'!$A$4:$A$503,(_calc!$E$173-500)))&amp;" – "&amp;IF(LEN(INDEX('My equipment'!$D$4:$D$503,(_calc!$E$173-500)))=0,"",INDEX('My equipment'!$D$4:$D$503,(_calc!$E$173-500)))))</f>
        <v/>
      </c>
      <c r="B171" s="54">
        <f>IF(_calc!$E$173="","",IF(_calc!$E$173&lt;=500,IF(ISNUMBER(INDEX('Dealer pipeline'!$M$4:$M$503,_calc!$E$173)),TEXT(INDEX('Dealer pipeline'!$M$4:$M$503,_calc!$E$173),"yyyy-mm-dd"),""),IF(ISNUMBER(INDEX('My equipment'!$M$4:$M$503,(_calc!$E$173-500))),TEXT(INDEX('My equipment'!$M$4:$M$503,(_calc!$E$173-500)),"yyyy-mm-dd"),"")))</f>
        <v/>
      </c>
      <c r="C171" s="54">
        <f>IF(_calc!$E$173="","",IF(_calc!$E$173&lt;=500,"Warranty","Warranty"))</f>
        <v/>
      </c>
      <c r="D171" s="54">
        <f>IF(_calc!$E$173="","",IF(_calc!$E$173&lt;=500,IF(ISNUMBER(INDEX('Dealer pipeline'!$H$4:$H$503,_calc!$E$173)),TEXT(INDEX('Dealer pipeline'!$H$4:$H$503,_calc!$E$173),"yyyy-mm-dd"),""),IF(ISNUMBER(INDEX('My equipment'!$H$4:$H$503,(_calc!$E$173-500))),TEXT(INDEX('My equipment'!$H$4:$H$503,(_calc!$E$173-500)),"yyyy-mm-dd"),"")))</f>
        <v/>
      </c>
      <c r="F171" s="54">
        <f>IF(_calc!$E$173="","",IF(_calc!$E$173&lt;=500,TRIM(IF(LEN(IF(LEN(INDEX('Dealer pipeline'!$A$4:$A$503,_calc!$E$173))=0,"",INDEX('Dealer pipeline'!$A$4:$A$503,_calc!$E$173)))=0,"","Customer: "&amp;IF(LEN(INDEX('Dealer pipeline'!$A$4:$A$503,_calc!$E$173))=0,"",INDEX('Dealer pipeline'!$A$4:$A$503,_calc!$E$173))&amp;". ")&amp;IF(LEN(IF(LEN(INDEX('Dealer pipeline'!$B$4:$B$503,_calc!$E$173))=0,"",INDEX('Dealer pipeline'!$B$4:$B$503,_calc!$E$173)))=0,"","Contact: "&amp;IF(LEN(INDEX('Dealer pipeline'!$B$4:$B$503,_calc!$E$173))=0,"",INDEX('Dealer pipeline'!$B$4:$B$503,_calc!$E$173))&amp;". ")&amp;IF(LEN(IF(LEN(INDEX('Dealer pipeline'!$D$4:$D$503,_calc!$E$173))=0,"",INDEX('Dealer pipeline'!$D$4:$D$503,_calc!$E$173)))=0,"","Serial: "&amp;IF(LEN(INDEX('Dealer pipeline'!$D$4:$D$503,_calc!$E$173))=0,"",INDEX('Dealer pipeline'!$D$4:$D$503,_calc!$E$173))&amp;". ")&amp;IF(LEN(IF(ISNUMBER(INDEX('Dealer pipeline'!$J$4:$J$503,_calc!$E$173)),TEXT(INDEX('Dealer pipeline'!$J$4:$J$503,_calc!$E$173),"yyyy-mm-dd"),""))=0,"","Parts end: "&amp;IF(ISNUMBER(INDEX('Dealer pipeline'!$J$4:$J$503,_calc!$E$173)),TEXT(INDEX('Dealer pipeline'!$J$4:$J$503,_calc!$E$173),"yyyy-mm-dd"),"")&amp;". ")&amp;IF(LEN(IF(ISNUMBER(INDEX('Dealer pipeline'!$L$4:$L$503,_calc!$E$173)),TEXT(INDEX('Dealer pipeline'!$L$4:$L$503,_calc!$E$173),"yyyy-mm-dd"),""))=0,"","Labor end: "&amp;IF(ISNUMBER(INDEX('Dealer pipeline'!$L$4:$L$503,_calc!$E$173)),TEXT(INDEX('Dealer pipeline'!$L$4:$L$503,_calc!$E$173),"yyyy-mm-dd"),"")&amp;". ")&amp;IF(LEN(IF(LEN(INDEX('Dealer pipeline'!$Q$4:$Q$503,_calc!$E$173))=0,"",INDEX('Dealer pipeline'!$Q$4:$Q$503,_calc!$E$173)))=0,"","Status: "&amp;IF(LEN(INDEX('Dealer pipeline'!$Q$4:$Q$503,_calc!$E$173))=0,"",INDEX('Dealer pipeline'!$Q$4:$Q$503,_calc!$E$173))&amp;". ")&amp;IF(LEN(IF(LEN(INDEX('Dealer pipeline'!$P$4:$P$503,_calc!$E$173))=0,"",INDEX('Dealer pipeline'!$P$4:$P$503,_calc!$E$173)))=0,"","Last touch: "&amp;IF(LEN(INDEX('Dealer pipeline'!$P$4:$P$503,_calc!$E$173))=0,"",INDEX('Dealer pipeline'!$P$4:$P$503,_calc!$E$173))&amp;". ")&amp;IF(LEN(IF(LEN(INDEX('Dealer pipeline'!$R$4:$R$503,_calc!$E$173))=0,"",INDEX('Dealer pipeline'!$R$4:$R$503,_calc!$E$173)))=0,"","Owner: "&amp;IF(LEN(INDEX('Dealer pipeline'!$R$4:$R$503,_calc!$E$173))=0,"",INDEX('Dealer pipeline'!$R$4:$R$503,_calc!$E$173))&amp;". ")&amp;IF(LEN(IF(LEN(INDEX('Dealer pipeline'!$S$4:$S$503,_calc!$E$173))=0,"",INDEX('Dealer pipeline'!$S$4:$S$503,_calc!$E$173)))=0,"","Backup: "&amp;IF(LEN(INDEX('Dealer pipeline'!$S$4:$S$503,_calc!$E$173))=0,"",INDEX('Dealer pipeline'!$S$4:$S$503,_calc!$E$173))&amp;". ")&amp;IF(LEN(IF(LEN(INDEX('Dealer pipeline'!$T$4:$T$503,_calc!$E$173))=0,"",INDEX('Dealer pipeline'!$T$4:$T$503,_calc!$E$173)))=0,"",IF(LEN(INDEX('Dealer pipeline'!$T$4:$T$503,_calc!$E$173))=0,"",INDEX('Dealer pipeline'!$T$4:$T$503,_calc!$E$173)))),TRIM(IF(LEN(IF(LEN(INDEX('My equipment'!$C$4:$C$503,(_calc!$E$173-500)))=0,"",INDEX('My equipment'!$C$4:$C$503,(_calc!$E$173-500))))=0,"","Model: "&amp;IF(LEN(INDEX('My equipment'!$C$4:$C$503,(_calc!$E$173-500)))=0,"",INDEX('My equipment'!$C$4:$C$503,(_calc!$E$173-500)))&amp;". ")&amp;IF(LEN(IF(LEN(INDEX('My equipment'!$D$4:$D$503,(_calc!$E$173-500)))=0,"",INDEX('My equipment'!$D$4:$D$503,(_calc!$E$173-500))))=0,"","Serial: "&amp;IF(LEN(INDEX('My equipment'!$D$4:$D$503,(_calc!$E$173-500)))=0,"",INDEX('My equipment'!$D$4:$D$503,(_calc!$E$173-500)))&amp;". ")&amp;IF(LEN(IF(ISNUMBER(INDEX('My equipment'!$J$4:$J$503,(_calc!$E$173-500))),TEXT(INDEX('My equipment'!$J$4:$J$503,(_calc!$E$173-500)),"yyyy-mm-dd"),""))=0,"","Parts end: "&amp;IF(ISNUMBER(INDEX('My equipment'!$J$4:$J$503,(_calc!$E$173-500))),TEXT(INDEX('My equipment'!$J$4:$J$503,(_calc!$E$173-500)),"yyyy-mm-dd"),"")&amp;". ")&amp;IF(LEN(IF(ISNUMBER(INDEX('My equipment'!$L$4:$L$503,(_calc!$E$173-500))),TEXT(INDEX('My equipment'!$L$4:$L$503,(_calc!$E$173-500)),"yyyy-mm-dd"),""))=0,"","Labor end: "&amp;IF(ISNUMBER(INDEX('My equipment'!$L$4:$L$503,(_calc!$E$173-500))),TEXT(INDEX('My equipment'!$L$4:$L$503,(_calc!$E$173-500)),"yyyy-mm-dd"),"")&amp;". ")&amp;IF(LEN(IF(ISNUMBER(INDEX('My equipment'!$P$4:$P$503,(_calc!$E$173-500))),TEXT(INDEX('My equipment'!$P$4:$P$503,(_calc!$E$173-500)),"yyyy-mm-dd"),""))=0,"","Check by: "&amp;IF(ISNUMBER(INDEX('My equipment'!$P$4:$P$503,(_calc!$E$173-500))),TEXT(INDEX('My equipment'!$P$4:$P$503,(_calc!$E$173-500)),"yyyy-mm-dd"),"")&amp;". ")&amp;IF(LEN(IF(LEN(INDEX('My equipment'!$Q$4:$Q$503,(_calc!$E$173-500)))=0,"",INDEX('My equipment'!$Q$4:$Q$503,(_calc!$E$173-500))))=0,"","Claim status: "&amp;IF(LEN(INDEX('My equipment'!$Q$4:$Q$503,(_calc!$E$173-500)))=0,"",INDEX('My equipment'!$Q$4:$Q$503,(_calc!$E$173-500)))&amp;". ")&amp;IF(LEN(IF(LEN(INDEX('My equipment'!$R$4:$R$503,(_calc!$E$173-500)))=0,"",INDEX('My equipment'!$R$4:$R$503,(_calc!$E$173-500))))=0,"","Claims contact: "&amp;IF(LEN(INDEX('My equipment'!$R$4:$R$503,(_calc!$E$173-500)))=0,"",INDEX('My equipment'!$R$4:$R$503,(_calc!$E$173-500)))&amp;". ")&amp;IF(LEN(IF(LEN(INDEX('My equipment'!$S$4:$S$503,(_calc!$E$173-500)))=0,"",INDEX('My equipment'!$S$4:$S$503,(_calc!$E$173-500))))=0,"","Claims email: "&amp;IF(LEN(INDEX('My equipment'!$S$4:$S$503,(_calc!$E$173-500)))=0,"",INDEX('My equipment'!$S$4:$S$503,(_calc!$E$173-500)))&amp;". ")&amp;IF(LEN(IF(LEN(INDEX('My equipment'!$U$4:$U$503,(_calc!$E$173-500)))=0,"",INDEX('My equipment'!$U$4:$U$503,(_calc!$E$173-500))))=0,"","Registered: "&amp;IF(LEN(INDEX('My equipment'!$U$4:$U$503,(_calc!$E$173-500)))=0,"",INDEX('My equipment'!$U$4:$U$503,(_calc!$E$173-500)))&amp;". ")&amp;IF(LEN(IF(LEN(INDEX('My equipment'!$V$4:$V$503,(_calc!$E$173-500)))=0,"",INDEX('My equipment'!$V$4:$V$503,(_calc!$E$173-500))))=0,"","Proof on file: "&amp;IF(LEN(INDEX('My equipment'!$V$4:$V$503,(_calc!$E$173-500)))=0,"",INDEX('My equipment'!$V$4:$V$503,(_calc!$E$173-500)))&amp;". ")&amp;IF(LEN(IF(LEN(INDEX('My equipment'!$W$4:$W$503,(_calc!$E$173-500)))=0,"",INDEX('My equipment'!$W$4:$W$503,(_calc!$E$173-500))))=0,"","Claim ref: "&amp;IF(LEN(INDEX('My equipment'!$W$4:$W$503,(_calc!$E$173-500)))=0,"",INDEX('My equipment'!$W$4:$W$503,(_calc!$E$173-500)))&amp;". ")&amp;IF(LEN(IF(LEN(INDEX('My equipment'!$Y$4:$Y$503,(_calc!$E$173-500)))=0,"",INDEX('My equipment'!$Y$4:$Y$503,(_calc!$E$173-500))))=0,"",IF(LEN(INDEX('My equipment'!$Y$4:$Y$503,(_calc!$E$173-500)))=0,"",INDEX('My equipment'!$Y$4:$Y$503,(_calc!$E$173-500)))))))</f>
        <v/>
      </c>
      <c r="G171" s="54">
        <f>IF(_calc!$E$173="","",IF(_calc!$E$173&lt;=500,"",IF(LEN(INDEX('My equipment'!$X$4:$X$503,(_calc!$E$173-500)))=0,"",INDEX('My equipment'!$X$4:$X$503,(_calc!$E$173-500)))))</f>
        <v/>
      </c>
      <c r="K171" s="54">
        <f>IF(_calc!$E$173="","",IF(_calc!$E$173&lt;=500,"",IF(LEN(INDEX('My equipment'!$T$4:$T$503,(_calc!$E$173-500)))=0,"",INDEX('My equipment'!$T$4:$T$503,(_calc!$E$173-500)))))</f>
        <v/>
      </c>
    </row>
    <row r="172">
      <c r="A172" s="54">
        <f>IF(_calc!$E$174="","",IF(_calc!$E$174&lt;=500,"Warranty – "&amp;IF(LEN(INDEX('Dealer pipeline'!$C$4:$C$503,_calc!$E$174))=0,"",INDEX('Dealer pipeline'!$C$4:$C$503,_calc!$E$174))&amp;" – "&amp;IF(LEN(INDEX('Dealer pipeline'!$D$4:$D$503,_calc!$E$174))=0,"",INDEX('Dealer pipeline'!$D$4:$D$503,_calc!$E$174))&amp;" – "&amp;IF(LEN(INDEX('Dealer pipeline'!$A$4:$A$503,_calc!$E$174))=0,"",INDEX('Dealer pipeline'!$A$4:$A$503,_calc!$E$174)),"Warranty – "&amp;IF(LEN(INDEX('My equipment'!$A$4:$A$503,(_calc!$E$174-500)))=0,"",INDEX('My equipment'!$A$4:$A$503,(_calc!$E$174-500)))&amp;" – "&amp;IF(LEN(INDEX('My equipment'!$D$4:$D$503,(_calc!$E$174-500)))=0,"",INDEX('My equipment'!$D$4:$D$503,(_calc!$E$174-500)))))</f>
        <v/>
      </c>
      <c r="B172" s="54">
        <f>IF(_calc!$E$174="","",IF(_calc!$E$174&lt;=500,IF(ISNUMBER(INDEX('Dealer pipeline'!$M$4:$M$503,_calc!$E$174)),TEXT(INDEX('Dealer pipeline'!$M$4:$M$503,_calc!$E$174),"yyyy-mm-dd"),""),IF(ISNUMBER(INDEX('My equipment'!$M$4:$M$503,(_calc!$E$174-500))),TEXT(INDEX('My equipment'!$M$4:$M$503,(_calc!$E$174-500)),"yyyy-mm-dd"),"")))</f>
        <v/>
      </c>
      <c r="C172" s="54">
        <f>IF(_calc!$E$174="","",IF(_calc!$E$174&lt;=500,"Warranty","Warranty"))</f>
        <v/>
      </c>
      <c r="D172" s="54">
        <f>IF(_calc!$E$174="","",IF(_calc!$E$174&lt;=500,IF(ISNUMBER(INDEX('Dealer pipeline'!$H$4:$H$503,_calc!$E$174)),TEXT(INDEX('Dealer pipeline'!$H$4:$H$503,_calc!$E$174),"yyyy-mm-dd"),""),IF(ISNUMBER(INDEX('My equipment'!$H$4:$H$503,(_calc!$E$174-500))),TEXT(INDEX('My equipment'!$H$4:$H$503,(_calc!$E$174-500)),"yyyy-mm-dd"),"")))</f>
        <v/>
      </c>
      <c r="F172" s="54">
        <f>IF(_calc!$E$174="","",IF(_calc!$E$174&lt;=500,TRIM(IF(LEN(IF(LEN(INDEX('Dealer pipeline'!$A$4:$A$503,_calc!$E$174))=0,"",INDEX('Dealer pipeline'!$A$4:$A$503,_calc!$E$174)))=0,"","Customer: "&amp;IF(LEN(INDEX('Dealer pipeline'!$A$4:$A$503,_calc!$E$174))=0,"",INDEX('Dealer pipeline'!$A$4:$A$503,_calc!$E$174))&amp;". ")&amp;IF(LEN(IF(LEN(INDEX('Dealer pipeline'!$B$4:$B$503,_calc!$E$174))=0,"",INDEX('Dealer pipeline'!$B$4:$B$503,_calc!$E$174)))=0,"","Contact: "&amp;IF(LEN(INDEX('Dealer pipeline'!$B$4:$B$503,_calc!$E$174))=0,"",INDEX('Dealer pipeline'!$B$4:$B$503,_calc!$E$174))&amp;". ")&amp;IF(LEN(IF(LEN(INDEX('Dealer pipeline'!$D$4:$D$503,_calc!$E$174))=0,"",INDEX('Dealer pipeline'!$D$4:$D$503,_calc!$E$174)))=0,"","Serial: "&amp;IF(LEN(INDEX('Dealer pipeline'!$D$4:$D$503,_calc!$E$174))=0,"",INDEX('Dealer pipeline'!$D$4:$D$503,_calc!$E$174))&amp;". ")&amp;IF(LEN(IF(ISNUMBER(INDEX('Dealer pipeline'!$J$4:$J$503,_calc!$E$174)),TEXT(INDEX('Dealer pipeline'!$J$4:$J$503,_calc!$E$174),"yyyy-mm-dd"),""))=0,"","Parts end: "&amp;IF(ISNUMBER(INDEX('Dealer pipeline'!$J$4:$J$503,_calc!$E$174)),TEXT(INDEX('Dealer pipeline'!$J$4:$J$503,_calc!$E$174),"yyyy-mm-dd"),"")&amp;". ")&amp;IF(LEN(IF(ISNUMBER(INDEX('Dealer pipeline'!$L$4:$L$503,_calc!$E$174)),TEXT(INDEX('Dealer pipeline'!$L$4:$L$503,_calc!$E$174),"yyyy-mm-dd"),""))=0,"","Labor end: "&amp;IF(ISNUMBER(INDEX('Dealer pipeline'!$L$4:$L$503,_calc!$E$174)),TEXT(INDEX('Dealer pipeline'!$L$4:$L$503,_calc!$E$174),"yyyy-mm-dd"),"")&amp;". ")&amp;IF(LEN(IF(LEN(INDEX('Dealer pipeline'!$Q$4:$Q$503,_calc!$E$174))=0,"",INDEX('Dealer pipeline'!$Q$4:$Q$503,_calc!$E$174)))=0,"","Status: "&amp;IF(LEN(INDEX('Dealer pipeline'!$Q$4:$Q$503,_calc!$E$174))=0,"",INDEX('Dealer pipeline'!$Q$4:$Q$503,_calc!$E$174))&amp;". ")&amp;IF(LEN(IF(LEN(INDEX('Dealer pipeline'!$P$4:$P$503,_calc!$E$174))=0,"",INDEX('Dealer pipeline'!$P$4:$P$503,_calc!$E$174)))=0,"","Last touch: "&amp;IF(LEN(INDEX('Dealer pipeline'!$P$4:$P$503,_calc!$E$174))=0,"",INDEX('Dealer pipeline'!$P$4:$P$503,_calc!$E$174))&amp;". ")&amp;IF(LEN(IF(LEN(INDEX('Dealer pipeline'!$R$4:$R$503,_calc!$E$174))=0,"",INDEX('Dealer pipeline'!$R$4:$R$503,_calc!$E$174)))=0,"","Owner: "&amp;IF(LEN(INDEX('Dealer pipeline'!$R$4:$R$503,_calc!$E$174))=0,"",INDEX('Dealer pipeline'!$R$4:$R$503,_calc!$E$174))&amp;". ")&amp;IF(LEN(IF(LEN(INDEX('Dealer pipeline'!$S$4:$S$503,_calc!$E$174))=0,"",INDEX('Dealer pipeline'!$S$4:$S$503,_calc!$E$174)))=0,"","Backup: "&amp;IF(LEN(INDEX('Dealer pipeline'!$S$4:$S$503,_calc!$E$174))=0,"",INDEX('Dealer pipeline'!$S$4:$S$503,_calc!$E$174))&amp;". ")&amp;IF(LEN(IF(LEN(INDEX('Dealer pipeline'!$T$4:$T$503,_calc!$E$174))=0,"",INDEX('Dealer pipeline'!$T$4:$T$503,_calc!$E$174)))=0,"",IF(LEN(INDEX('Dealer pipeline'!$T$4:$T$503,_calc!$E$174))=0,"",INDEX('Dealer pipeline'!$T$4:$T$503,_calc!$E$174)))),TRIM(IF(LEN(IF(LEN(INDEX('My equipment'!$C$4:$C$503,(_calc!$E$174-500)))=0,"",INDEX('My equipment'!$C$4:$C$503,(_calc!$E$174-500))))=0,"","Model: "&amp;IF(LEN(INDEX('My equipment'!$C$4:$C$503,(_calc!$E$174-500)))=0,"",INDEX('My equipment'!$C$4:$C$503,(_calc!$E$174-500)))&amp;". ")&amp;IF(LEN(IF(LEN(INDEX('My equipment'!$D$4:$D$503,(_calc!$E$174-500)))=0,"",INDEX('My equipment'!$D$4:$D$503,(_calc!$E$174-500))))=0,"","Serial: "&amp;IF(LEN(INDEX('My equipment'!$D$4:$D$503,(_calc!$E$174-500)))=0,"",INDEX('My equipment'!$D$4:$D$503,(_calc!$E$174-500)))&amp;". ")&amp;IF(LEN(IF(ISNUMBER(INDEX('My equipment'!$J$4:$J$503,(_calc!$E$174-500))),TEXT(INDEX('My equipment'!$J$4:$J$503,(_calc!$E$174-500)),"yyyy-mm-dd"),""))=0,"","Parts end: "&amp;IF(ISNUMBER(INDEX('My equipment'!$J$4:$J$503,(_calc!$E$174-500))),TEXT(INDEX('My equipment'!$J$4:$J$503,(_calc!$E$174-500)),"yyyy-mm-dd"),"")&amp;". ")&amp;IF(LEN(IF(ISNUMBER(INDEX('My equipment'!$L$4:$L$503,(_calc!$E$174-500))),TEXT(INDEX('My equipment'!$L$4:$L$503,(_calc!$E$174-500)),"yyyy-mm-dd"),""))=0,"","Labor end: "&amp;IF(ISNUMBER(INDEX('My equipment'!$L$4:$L$503,(_calc!$E$174-500))),TEXT(INDEX('My equipment'!$L$4:$L$503,(_calc!$E$174-500)),"yyyy-mm-dd"),"")&amp;". ")&amp;IF(LEN(IF(ISNUMBER(INDEX('My equipment'!$P$4:$P$503,(_calc!$E$174-500))),TEXT(INDEX('My equipment'!$P$4:$P$503,(_calc!$E$174-500)),"yyyy-mm-dd"),""))=0,"","Check by: "&amp;IF(ISNUMBER(INDEX('My equipment'!$P$4:$P$503,(_calc!$E$174-500))),TEXT(INDEX('My equipment'!$P$4:$P$503,(_calc!$E$174-500)),"yyyy-mm-dd"),"")&amp;". ")&amp;IF(LEN(IF(LEN(INDEX('My equipment'!$Q$4:$Q$503,(_calc!$E$174-500)))=0,"",INDEX('My equipment'!$Q$4:$Q$503,(_calc!$E$174-500))))=0,"","Claim status: "&amp;IF(LEN(INDEX('My equipment'!$Q$4:$Q$503,(_calc!$E$174-500)))=0,"",INDEX('My equipment'!$Q$4:$Q$503,(_calc!$E$174-500)))&amp;". ")&amp;IF(LEN(IF(LEN(INDEX('My equipment'!$R$4:$R$503,(_calc!$E$174-500)))=0,"",INDEX('My equipment'!$R$4:$R$503,(_calc!$E$174-500))))=0,"","Claims contact: "&amp;IF(LEN(INDEX('My equipment'!$R$4:$R$503,(_calc!$E$174-500)))=0,"",INDEX('My equipment'!$R$4:$R$503,(_calc!$E$174-500)))&amp;". ")&amp;IF(LEN(IF(LEN(INDEX('My equipment'!$S$4:$S$503,(_calc!$E$174-500)))=0,"",INDEX('My equipment'!$S$4:$S$503,(_calc!$E$174-500))))=0,"","Claims email: "&amp;IF(LEN(INDEX('My equipment'!$S$4:$S$503,(_calc!$E$174-500)))=0,"",INDEX('My equipment'!$S$4:$S$503,(_calc!$E$174-500)))&amp;". ")&amp;IF(LEN(IF(LEN(INDEX('My equipment'!$U$4:$U$503,(_calc!$E$174-500)))=0,"",INDEX('My equipment'!$U$4:$U$503,(_calc!$E$174-500))))=0,"","Registered: "&amp;IF(LEN(INDEX('My equipment'!$U$4:$U$503,(_calc!$E$174-500)))=0,"",INDEX('My equipment'!$U$4:$U$503,(_calc!$E$174-500)))&amp;". ")&amp;IF(LEN(IF(LEN(INDEX('My equipment'!$V$4:$V$503,(_calc!$E$174-500)))=0,"",INDEX('My equipment'!$V$4:$V$503,(_calc!$E$174-500))))=0,"","Proof on file: "&amp;IF(LEN(INDEX('My equipment'!$V$4:$V$503,(_calc!$E$174-500)))=0,"",INDEX('My equipment'!$V$4:$V$503,(_calc!$E$174-500)))&amp;". ")&amp;IF(LEN(IF(LEN(INDEX('My equipment'!$W$4:$W$503,(_calc!$E$174-500)))=0,"",INDEX('My equipment'!$W$4:$W$503,(_calc!$E$174-500))))=0,"","Claim ref: "&amp;IF(LEN(INDEX('My equipment'!$W$4:$W$503,(_calc!$E$174-500)))=0,"",INDEX('My equipment'!$W$4:$W$503,(_calc!$E$174-500)))&amp;". ")&amp;IF(LEN(IF(LEN(INDEX('My equipment'!$Y$4:$Y$503,(_calc!$E$174-500)))=0,"",INDEX('My equipment'!$Y$4:$Y$503,(_calc!$E$174-500))))=0,"",IF(LEN(INDEX('My equipment'!$Y$4:$Y$503,(_calc!$E$174-500)))=0,"",INDEX('My equipment'!$Y$4:$Y$503,(_calc!$E$174-500)))))))</f>
        <v/>
      </c>
      <c r="G172" s="54">
        <f>IF(_calc!$E$174="","",IF(_calc!$E$174&lt;=500,"",IF(LEN(INDEX('My equipment'!$X$4:$X$503,(_calc!$E$174-500)))=0,"",INDEX('My equipment'!$X$4:$X$503,(_calc!$E$174-500)))))</f>
        <v/>
      </c>
      <c r="K172" s="54">
        <f>IF(_calc!$E$174="","",IF(_calc!$E$174&lt;=500,"",IF(LEN(INDEX('My equipment'!$T$4:$T$503,(_calc!$E$174-500)))=0,"",INDEX('My equipment'!$T$4:$T$503,(_calc!$E$174-500)))))</f>
        <v/>
      </c>
    </row>
    <row r="173">
      <c r="A173" s="54">
        <f>IF(_calc!$E$175="","",IF(_calc!$E$175&lt;=500,"Warranty – "&amp;IF(LEN(INDEX('Dealer pipeline'!$C$4:$C$503,_calc!$E$175))=0,"",INDEX('Dealer pipeline'!$C$4:$C$503,_calc!$E$175))&amp;" – "&amp;IF(LEN(INDEX('Dealer pipeline'!$D$4:$D$503,_calc!$E$175))=0,"",INDEX('Dealer pipeline'!$D$4:$D$503,_calc!$E$175))&amp;" – "&amp;IF(LEN(INDEX('Dealer pipeline'!$A$4:$A$503,_calc!$E$175))=0,"",INDEX('Dealer pipeline'!$A$4:$A$503,_calc!$E$175)),"Warranty – "&amp;IF(LEN(INDEX('My equipment'!$A$4:$A$503,(_calc!$E$175-500)))=0,"",INDEX('My equipment'!$A$4:$A$503,(_calc!$E$175-500)))&amp;" – "&amp;IF(LEN(INDEX('My equipment'!$D$4:$D$503,(_calc!$E$175-500)))=0,"",INDEX('My equipment'!$D$4:$D$503,(_calc!$E$175-500)))))</f>
        <v/>
      </c>
      <c r="B173" s="54">
        <f>IF(_calc!$E$175="","",IF(_calc!$E$175&lt;=500,IF(ISNUMBER(INDEX('Dealer pipeline'!$M$4:$M$503,_calc!$E$175)),TEXT(INDEX('Dealer pipeline'!$M$4:$M$503,_calc!$E$175),"yyyy-mm-dd"),""),IF(ISNUMBER(INDEX('My equipment'!$M$4:$M$503,(_calc!$E$175-500))),TEXT(INDEX('My equipment'!$M$4:$M$503,(_calc!$E$175-500)),"yyyy-mm-dd"),"")))</f>
        <v/>
      </c>
      <c r="C173" s="54">
        <f>IF(_calc!$E$175="","",IF(_calc!$E$175&lt;=500,"Warranty","Warranty"))</f>
        <v/>
      </c>
      <c r="D173" s="54">
        <f>IF(_calc!$E$175="","",IF(_calc!$E$175&lt;=500,IF(ISNUMBER(INDEX('Dealer pipeline'!$H$4:$H$503,_calc!$E$175)),TEXT(INDEX('Dealer pipeline'!$H$4:$H$503,_calc!$E$175),"yyyy-mm-dd"),""),IF(ISNUMBER(INDEX('My equipment'!$H$4:$H$503,(_calc!$E$175-500))),TEXT(INDEX('My equipment'!$H$4:$H$503,(_calc!$E$175-500)),"yyyy-mm-dd"),"")))</f>
        <v/>
      </c>
      <c r="F173" s="54">
        <f>IF(_calc!$E$175="","",IF(_calc!$E$175&lt;=500,TRIM(IF(LEN(IF(LEN(INDEX('Dealer pipeline'!$A$4:$A$503,_calc!$E$175))=0,"",INDEX('Dealer pipeline'!$A$4:$A$503,_calc!$E$175)))=0,"","Customer: "&amp;IF(LEN(INDEX('Dealer pipeline'!$A$4:$A$503,_calc!$E$175))=0,"",INDEX('Dealer pipeline'!$A$4:$A$503,_calc!$E$175))&amp;". ")&amp;IF(LEN(IF(LEN(INDEX('Dealer pipeline'!$B$4:$B$503,_calc!$E$175))=0,"",INDEX('Dealer pipeline'!$B$4:$B$503,_calc!$E$175)))=0,"","Contact: "&amp;IF(LEN(INDEX('Dealer pipeline'!$B$4:$B$503,_calc!$E$175))=0,"",INDEX('Dealer pipeline'!$B$4:$B$503,_calc!$E$175))&amp;". ")&amp;IF(LEN(IF(LEN(INDEX('Dealer pipeline'!$D$4:$D$503,_calc!$E$175))=0,"",INDEX('Dealer pipeline'!$D$4:$D$503,_calc!$E$175)))=0,"","Serial: "&amp;IF(LEN(INDEX('Dealer pipeline'!$D$4:$D$503,_calc!$E$175))=0,"",INDEX('Dealer pipeline'!$D$4:$D$503,_calc!$E$175))&amp;". ")&amp;IF(LEN(IF(ISNUMBER(INDEX('Dealer pipeline'!$J$4:$J$503,_calc!$E$175)),TEXT(INDEX('Dealer pipeline'!$J$4:$J$503,_calc!$E$175),"yyyy-mm-dd"),""))=0,"","Parts end: "&amp;IF(ISNUMBER(INDEX('Dealer pipeline'!$J$4:$J$503,_calc!$E$175)),TEXT(INDEX('Dealer pipeline'!$J$4:$J$503,_calc!$E$175),"yyyy-mm-dd"),"")&amp;". ")&amp;IF(LEN(IF(ISNUMBER(INDEX('Dealer pipeline'!$L$4:$L$503,_calc!$E$175)),TEXT(INDEX('Dealer pipeline'!$L$4:$L$503,_calc!$E$175),"yyyy-mm-dd"),""))=0,"","Labor end: "&amp;IF(ISNUMBER(INDEX('Dealer pipeline'!$L$4:$L$503,_calc!$E$175)),TEXT(INDEX('Dealer pipeline'!$L$4:$L$503,_calc!$E$175),"yyyy-mm-dd"),"")&amp;". ")&amp;IF(LEN(IF(LEN(INDEX('Dealer pipeline'!$Q$4:$Q$503,_calc!$E$175))=0,"",INDEX('Dealer pipeline'!$Q$4:$Q$503,_calc!$E$175)))=0,"","Status: "&amp;IF(LEN(INDEX('Dealer pipeline'!$Q$4:$Q$503,_calc!$E$175))=0,"",INDEX('Dealer pipeline'!$Q$4:$Q$503,_calc!$E$175))&amp;". ")&amp;IF(LEN(IF(LEN(INDEX('Dealer pipeline'!$P$4:$P$503,_calc!$E$175))=0,"",INDEX('Dealer pipeline'!$P$4:$P$503,_calc!$E$175)))=0,"","Last touch: "&amp;IF(LEN(INDEX('Dealer pipeline'!$P$4:$P$503,_calc!$E$175))=0,"",INDEX('Dealer pipeline'!$P$4:$P$503,_calc!$E$175))&amp;". ")&amp;IF(LEN(IF(LEN(INDEX('Dealer pipeline'!$R$4:$R$503,_calc!$E$175))=0,"",INDEX('Dealer pipeline'!$R$4:$R$503,_calc!$E$175)))=0,"","Owner: "&amp;IF(LEN(INDEX('Dealer pipeline'!$R$4:$R$503,_calc!$E$175))=0,"",INDEX('Dealer pipeline'!$R$4:$R$503,_calc!$E$175))&amp;". ")&amp;IF(LEN(IF(LEN(INDEX('Dealer pipeline'!$S$4:$S$503,_calc!$E$175))=0,"",INDEX('Dealer pipeline'!$S$4:$S$503,_calc!$E$175)))=0,"","Backup: "&amp;IF(LEN(INDEX('Dealer pipeline'!$S$4:$S$503,_calc!$E$175))=0,"",INDEX('Dealer pipeline'!$S$4:$S$503,_calc!$E$175))&amp;". ")&amp;IF(LEN(IF(LEN(INDEX('Dealer pipeline'!$T$4:$T$503,_calc!$E$175))=0,"",INDEX('Dealer pipeline'!$T$4:$T$503,_calc!$E$175)))=0,"",IF(LEN(INDEX('Dealer pipeline'!$T$4:$T$503,_calc!$E$175))=0,"",INDEX('Dealer pipeline'!$T$4:$T$503,_calc!$E$175)))),TRIM(IF(LEN(IF(LEN(INDEX('My equipment'!$C$4:$C$503,(_calc!$E$175-500)))=0,"",INDEX('My equipment'!$C$4:$C$503,(_calc!$E$175-500))))=0,"","Model: "&amp;IF(LEN(INDEX('My equipment'!$C$4:$C$503,(_calc!$E$175-500)))=0,"",INDEX('My equipment'!$C$4:$C$503,(_calc!$E$175-500)))&amp;". ")&amp;IF(LEN(IF(LEN(INDEX('My equipment'!$D$4:$D$503,(_calc!$E$175-500)))=0,"",INDEX('My equipment'!$D$4:$D$503,(_calc!$E$175-500))))=0,"","Serial: "&amp;IF(LEN(INDEX('My equipment'!$D$4:$D$503,(_calc!$E$175-500)))=0,"",INDEX('My equipment'!$D$4:$D$503,(_calc!$E$175-500)))&amp;". ")&amp;IF(LEN(IF(ISNUMBER(INDEX('My equipment'!$J$4:$J$503,(_calc!$E$175-500))),TEXT(INDEX('My equipment'!$J$4:$J$503,(_calc!$E$175-500)),"yyyy-mm-dd"),""))=0,"","Parts end: "&amp;IF(ISNUMBER(INDEX('My equipment'!$J$4:$J$503,(_calc!$E$175-500))),TEXT(INDEX('My equipment'!$J$4:$J$503,(_calc!$E$175-500)),"yyyy-mm-dd"),"")&amp;". ")&amp;IF(LEN(IF(ISNUMBER(INDEX('My equipment'!$L$4:$L$503,(_calc!$E$175-500))),TEXT(INDEX('My equipment'!$L$4:$L$503,(_calc!$E$175-500)),"yyyy-mm-dd"),""))=0,"","Labor end: "&amp;IF(ISNUMBER(INDEX('My equipment'!$L$4:$L$503,(_calc!$E$175-500))),TEXT(INDEX('My equipment'!$L$4:$L$503,(_calc!$E$175-500)),"yyyy-mm-dd"),"")&amp;". ")&amp;IF(LEN(IF(ISNUMBER(INDEX('My equipment'!$P$4:$P$503,(_calc!$E$175-500))),TEXT(INDEX('My equipment'!$P$4:$P$503,(_calc!$E$175-500)),"yyyy-mm-dd"),""))=0,"","Check by: "&amp;IF(ISNUMBER(INDEX('My equipment'!$P$4:$P$503,(_calc!$E$175-500))),TEXT(INDEX('My equipment'!$P$4:$P$503,(_calc!$E$175-500)),"yyyy-mm-dd"),"")&amp;". ")&amp;IF(LEN(IF(LEN(INDEX('My equipment'!$Q$4:$Q$503,(_calc!$E$175-500)))=0,"",INDEX('My equipment'!$Q$4:$Q$503,(_calc!$E$175-500))))=0,"","Claim status: "&amp;IF(LEN(INDEX('My equipment'!$Q$4:$Q$503,(_calc!$E$175-500)))=0,"",INDEX('My equipment'!$Q$4:$Q$503,(_calc!$E$175-500)))&amp;". ")&amp;IF(LEN(IF(LEN(INDEX('My equipment'!$R$4:$R$503,(_calc!$E$175-500)))=0,"",INDEX('My equipment'!$R$4:$R$503,(_calc!$E$175-500))))=0,"","Claims contact: "&amp;IF(LEN(INDEX('My equipment'!$R$4:$R$503,(_calc!$E$175-500)))=0,"",INDEX('My equipment'!$R$4:$R$503,(_calc!$E$175-500)))&amp;". ")&amp;IF(LEN(IF(LEN(INDEX('My equipment'!$S$4:$S$503,(_calc!$E$175-500)))=0,"",INDEX('My equipment'!$S$4:$S$503,(_calc!$E$175-500))))=0,"","Claims email: "&amp;IF(LEN(INDEX('My equipment'!$S$4:$S$503,(_calc!$E$175-500)))=0,"",INDEX('My equipment'!$S$4:$S$503,(_calc!$E$175-500)))&amp;". ")&amp;IF(LEN(IF(LEN(INDEX('My equipment'!$U$4:$U$503,(_calc!$E$175-500)))=0,"",INDEX('My equipment'!$U$4:$U$503,(_calc!$E$175-500))))=0,"","Registered: "&amp;IF(LEN(INDEX('My equipment'!$U$4:$U$503,(_calc!$E$175-500)))=0,"",INDEX('My equipment'!$U$4:$U$503,(_calc!$E$175-500)))&amp;". ")&amp;IF(LEN(IF(LEN(INDEX('My equipment'!$V$4:$V$503,(_calc!$E$175-500)))=0,"",INDEX('My equipment'!$V$4:$V$503,(_calc!$E$175-500))))=0,"","Proof on file: "&amp;IF(LEN(INDEX('My equipment'!$V$4:$V$503,(_calc!$E$175-500)))=0,"",INDEX('My equipment'!$V$4:$V$503,(_calc!$E$175-500)))&amp;". ")&amp;IF(LEN(IF(LEN(INDEX('My equipment'!$W$4:$W$503,(_calc!$E$175-500)))=0,"",INDEX('My equipment'!$W$4:$W$503,(_calc!$E$175-500))))=0,"","Claim ref: "&amp;IF(LEN(INDEX('My equipment'!$W$4:$W$503,(_calc!$E$175-500)))=0,"",INDEX('My equipment'!$W$4:$W$503,(_calc!$E$175-500)))&amp;". ")&amp;IF(LEN(IF(LEN(INDEX('My equipment'!$Y$4:$Y$503,(_calc!$E$175-500)))=0,"",INDEX('My equipment'!$Y$4:$Y$503,(_calc!$E$175-500))))=0,"",IF(LEN(INDEX('My equipment'!$Y$4:$Y$503,(_calc!$E$175-500)))=0,"",INDEX('My equipment'!$Y$4:$Y$503,(_calc!$E$175-500)))))))</f>
        <v/>
      </c>
      <c r="G173" s="54">
        <f>IF(_calc!$E$175="","",IF(_calc!$E$175&lt;=500,"",IF(LEN(INDEX('My equipment'!$X$4:$X$503,(_calc!$E$175-500)))=0,"",INDEX('My equipment'!$X$4:$X$503,(_calc!$E$175-500)))))</f>
        <v/>
      </c>
      <c r="K173" s="54">
        <f>IF(_calc!$E$175="","",IF(_calc!$E$175&lt;=500,"",IF(LEN(INDEX('My equipment'!$T$4:$T$503,(_calc!$E$175-500)))=0,"",INDEX('My equipment'!$T$4:$T$503,(_calc!$E$175-500)))))</f>
        <v/>
      </c>
    </row>
    <row r="174">
      <c r="A174" s="54">
        <f>IF(_calc!$E$176="","",IF(_calc!$E$176&lt;=500,"Warranty – "&amp;IF(LEN(INDEX('Dealer pipeline'!$C$4:$C$503,_calc!$E$176))=0,"",INDEX('Dealer pipeline'!$C$4:$C$503,_calc!$E$176))&amp;" – "&amp;IF(LEN(INDEX('Dealer pipeline'!$D$4:$D$503,_calc!$E$176))=0,"",INDEX('Dealer pipeline'!$D$4:$D$503,_calc!$E$176))&amp;" – "&amp;IF(LEN(INDEX('Dealer pipeline'!$A$4:$A$503,_calc!$E$176))=0,"",INDEX('Dealer pipeline'!$A$4:$A$503,_calc!$E$176)),"Warranty – "&amp;IF(LEN(INDEX('My equipment'!$A$4:$A$503,(_calc!$E$176-500)))=0,"",INDEX('My equipment'!$A$4:$A$503,(_calc!$E$176-500)))&amp;" – "&amp;IF(LEN(INDEX('My equipment'!$D$4:$D$503,(_calc!$E$176-500)))=0,"",INDEX('My equipment'!$D$4:$D$503,(_calc!$E$176-500)))))</f>
        <v/>
      </c>
      <c r="B174" s="54">
        <f>IF(_calc!$E$176="","",IF(_calc!$E$176&lt;=500,IF(ISNUMBER(INDEX('Dealer pipeline'!$M$4:$M$503,_calc!$E$176)),TEXT(INDEX('Dealer pipeline'!$M$4:$M$503,_calc!$E$176),"yyyy-mm-dd"),""),IF(ISNUMBER(INDEX('My equipment'!$M$4:$M$503,(_calc!$E$176-500))),TEXT(INDEX('My equipment'!$M$4:$M$503,(_calc!$E$176-500)),"yyyy-mm-dd"),"")))</f>
        <v/>
      </c>
      <c r="C174" s="54">
        <f>IF(_calc!$E$176="","",IF(_calc!$E$176&lt;=500,"Warranty","Warranty"))</f>
        <v/>
      </c>
      <c r="D174" s="54">
        <f>IF(_calc!$E$176="","",IF(_calc!$E$176&lt;=500,IF(ISNUMBER(INDEX('Dealer pipeline'!$H$4:$H$503,_calc!$E$176)),TEXT(INDEX('Dealer pipeline'!$H$4:$H$503,_calc!$E$176),"yyyy-mm-dd"),""),IF(ISNUMBER(INDEX('My equipment'!$H$4:$H$503,(_calc!$E$176-500))),TEXT(INDEX('My equipment'!$H$4:$H$503,(_calc!$E$176-500)),"yyyy-mm-dd"),"")))</f>
        <v/>
      </c>
      <c r="F174" s="54">
        <f>IF(_calc!$E$176="","",IF(_calc!$E$176&lt;=500,TRIM(IF(LEN(IF(LEN(INDEX('Dealer pipeline'!$A$4:$A$503,_calc!$E$176))=0,"",INDEX('Dealer pipeline'!$A$4:$A$503,_calc!$E$176)))=0,"","Customer: "&amp;IF(LEN(INDEX('Dealer pipeline'!$A$4:$A$503,_calc!$E$176))=0,"",INDEX('Dealer pipeline'!$A$4:$A$503,_calc!$E$176))&amp;". ")&amp;IF(LEN(IF(LEN(INDEX('Dealer pipeline'!$B$4:$B$503,_calc!$E$176))=0,"",INDEX('Dealer pipeline'!$B$4:$B$503,_calc!$E$176)))=0,"","Contact: "&amp;IF(LEN(INDEX('Dealer pipeline'!$B$4:$B$503,_calc!$E$176))=0,"",INDEX('Dealer pipeline'!$B$4:$B$503,_calc!$E$176))&amp;". ")&amp;IF(LEN(IF(LEN(INDEX('Dealer pipeline'!$D$4:$D$503,_calc!$E$176))=0,"",INDEX('Dealer pipeline'!$D$4:$D$503,_calc!$E$176)))=0,"","Serial: "&amp;IF(LEN(INDEX('Dealer pipeline'!$D$4:$D$503,_calc!$E$176))=0,"",INDEX('Dealer pipeline'!$D$4:$D$503,_calc!$E$176))&amp;". ")&amp;IF(LEN(IF(ISNUMBER(INDEX('Dealer pipeline'!$J$4:$J$503,_calc!$E$176)),TEXT(INDEX('Dealer pipeline'!$J$4:$J$503,_calc!$E$176),"yyyy-mm-dd"),""))=0,"","Parts end: "&amp;IF(ISNUMBER(INDEX('Dealer pipeline'!$J$4:$J$503,_calc!$E$176)),TEXT(INDEX('Dealer pipeline'!$J$4:$J$503,_calc!$E$176),"yyyy-mm-dd"),"")&amp;". ")&amp;IF(LEN(IF(ISNUMBER(INDEX('Dealer pipeline'!$L$4:$L$503,_calc!$E$176)),TEXT(INDEX('Dealer pipeline'!$L$4:$L$503,_calc!$E$176),"yyyy-mm-dd"),""))=0,"","Labor end: "&amp;IF(ISNUMBER(INDEX('Dealer pipeline'!$L$4:$L$503,_calc!$E$176)),TEXT(INDEX('Dealer pipeline'!$L$4:$L$503,_calc!$E$176),"yyyy-mm-dd"),"")&amp;". ")&amp;IF(LEN(IF(LEN(INDEX('Dealer pipeline'!$Q$4:$Q$503,_calc!$E$176))=0,"",INDEX('Dealer pipeline'!$Q$4:$Q$503,_calc!$E$176)))=0,"","Status: "&amp;IF(LEN(INDEX('Dealer pipeline'!$Q$4:$Q$503,_calc!$E$176))=0,"",INDEX('Dealer pipeline'!$Q$4:$Q$503,_calc!$E$176))&amp;". ")&amp;IF(LEN(IF(LEN(INDEX('Dealer pipeline'!$P$4:$P$503,_calc!$E$176))=0,"",INDEX('Dealer pipeline'!$P$4:$P$503,_calc!$E$176)))=0,"","Last touch: "&amp;IF(LEN(INDEX('Dealer pipeline'!$P$4:$P$503,_calc!$E$176))=0,"",INDEX('Dealer pipeline'!$P$4:$P$503,_calc!$E$176))&amp;". ")&amp;IF(LEN(IF(LEN(INDEX('Dealer pipeline'!$R$4:$R$503,_calc!$E$176))=0,"",INDEX('Dealer pipeline'!$R$4:$R$503,_calc!$E$176)))=0,"","Owner: "&amp;IF(LEN(INDEX('Dealer pipeline'!$R$4:$R$503,_calc!$E$176))=0,"",INDEX('Dealer pipeline'!$R$4:$R$503,_calc!$E$176))&amp;". ")&amp;IF(LEN(IF(LEN(INDEX('Dealer pipeline'!$S$4:$S$503,_calc!$E$176))=0,"",INDEX('Dealer pipeline'!$S$4:$S$503,_calc!$E$176)))=0,"","Backup: "&amp;IF(LEN(INDEX('Dealer pipeline'!$S$4:$S$503,_calc!$E$176))=0,"",INDEX('Dealer pipeline'!$S$4:$S$503,_calc!$E$176))&amp;". ")&amp;IF(LEN(IF(LEN(INDEX('Dealer pipeline'!$T$4:$T$503,_calc!$E$176))=0,"",INDEX('Dealer pipeline'!$T$4:$T$503,_calc!$E$176)))=0,"",IF(LEN(INDEX('Dealer pipeline'!$T$4:$T$503,_calc!$E$176))=0,"",INDEX('Dealer pipeline'!$T$4:$T$503,_calc!$E$176)))),TRIM(IF(LEN(IF(LEN(INDEX('My equipment'!$C$4:$C$503,(_calc!$E$176-500)))=0,"",INDEX('My equipment'!$C$4:$C$503,(_calc!$E$176-500))))=0,"","Model: "&amp;IF(LEN(INDEX('My equipment'!$C$4:$C$503,(_calc!$E$176-500)))=0,"",INDEX('My equipment'!$C$4:$C$503,(_calc!$E$176-500)))&amp;". ")&amp;IF(LEN(IF(LEN(INDEX('My equipment'!$D$4:$D$503,(_calc!$E$176-500)))=0,"",INDEX('My equipment'!$D$4:$D$503,(_calc!$E$176-500))))=0,"","Serial: "&amp;IF(LEN(INDEX('My equipment'!$D$4:$D$503,(_calc!$E$176-500)))=0,"",INDEX('My equipment'!$D$4:$D$503,(_calc!$E$176-500)))&amp;". ")&amp;IF(LEN(IF(ISNUMBER(INDEX('My equipment'!$J$4:$J$503,(_calc!$E$176-500))),TEXT(INDEX('My equipment'!$J$4:$J$503,(_calc!$E$176-500)),"yyyy-mm-dd"),""))=0,"","Parts end: "&amp;IF(ISNUMBER(INDEX('My equipment'!$J$4:$J$503,(_calc!$E$176-500))),TEXT(INDEX('My equipment'!$J$4:$J$503,(_calc!$E$176-500)),"yyyy-mm-dd"),"")&amp;". ")&amp;IF(LEN(IF(ISNUMBER(INDEX('My equipment'!$L$4:$L$503,(_calc!$E$176-500))),TEXT(INDEX('My equipment'!$L$4:$L$503,(_calc!$E$176-500)),"yyyy-mm-dd"),""))=0,"","Labor end: "&amp;IF(ISNUMBER(INDEX('My equipment'!$L$4:$L$503,(_calc!$E$176-500))),TEXT(INDEX('My equipment'!$L$4:$L$503,(_calc!$E$176-500)),"yyyy-mm-dd"),"")&amp;". ")&amp;IF(LEN(IF(ISNUMBER(INDEX('My equipment'!$P$4:$P$503,(_calc!$E$176-500))),TEXT(INDEX('My equipment'!$P$4:$P$503,(_calc!$E$176-500)),"yyyy-mm-dd"),""))=0,"","Check by: "&amp;IF(ISNUMBER(INDEX('My equipment'!$P$4:$P$503,(_calc!$E$176-500))),TEXT(INDEX('My equipment'!$P$4:$P$503,(_calc!$E$176-500)),"yyyy-mm-dd"),"")&amp;". ")&amp;IF(LEN(IF(LEN(INDEX('My equipment'!$Q$4:$Q$503,(_calc!$E$176-500)))=0,"",INDEX('My equipment'!$Q$4:$Q$503,(_calc!$E$176-500))))=0,"","Claim status: "&amp;IF(LEN(INDEX('My equipment'!$Q$4:$Q$503,(_calc!$E$176-500)))=0,"",INDEX('My equipment'!$Q$4:$Q$503,(_calc!$E$176-500)))&amp;". ")&amp;IF(LEN(IF(LEN(INDEX('My equipment'!$R$4:$R$503,(_calc!$E$176-500)))=0,"",INDEX('My equipment'!$R$4:$R$503,(_calc!$E$176-500))))=0,"","Claims contact: "&amp;IF(LEN(INDEX('My equipment'!$R$4:$R$503,(_calc!$E$176-500)))=0,"",INDEX('My equipment'!$R$4:$R$503,(_calc!$E$176-500)))&amp;". ")&amp;IF(LEN(IF(LEN(INDEX('My equipment'!$S$4:$S$503,(_calc!$E$176-500)))=0,"",INDEX('My equipment'!$S$4:$S$503,(_calc!$E$176-500))))=0,"","Claims email: "&amp;IF(LEN(INDEX('My equipment'!$S$4:$S$503,(_calc!$E$176-500)))=0,"",INDEX('My equipment'!$S$4:$S$503,(_calc!$E$176-500)))&amp;". ")&amp;IF(LEN(IF(LEN(INDEX('My equipment'!$U$4:$U$503,(_calc!$E$176-500)))=0,"",INDEX('My equipment'!$U$4:$U$503,(_calc!$E$176-500))))=0,"","Registered: "&amp;IF(LEN(INDEX('My equipment'!$U$4:$U$503,(_calc!$E$176-500)))=0,"",INDEX('My equipment'!$U$4:$U$503,(_calc!$E$176-500)))&amp;". ")&amp;IF(LEN(IF(LEN(INDEX('My equipment'!$V$4:$V$503,(_calc!$E$176-500)))=0,"",INDEX('My equipment'!$V$4:$V$503,(_calc!$E$176-500))))=0,"","Proof on file: "&amp;IF(LEN(INDEX('My equipment'!$V$4:$V$503,(_calc!$E$176-500)))=0,"",INDEX('My equipment'!$V$4:$V$503,(_calc!$E$176-500)))&amp;". ")&amp;IF(LEN(IF(LEN(INDEX('My equipment'!$W$4:$W$503,(_calc!$E$176-500)))=0,"",INDEX('My equipment'!$W$4:$W$503,(_calc!$E$176-500))))=0,"","Claim ref: "&amp;IF(LEN(INDEX('My equipment'!$W$4:$W$503,(_calc!$E$176-500)))=0,"",INDEX('My equipment'!$W$4:$W$503,(_calc!$E$176-500)))&amp;". ")&amp;IF(LEN(IF(LEN(INDEX('My equipment'!$Y$4:$Y$503,(_calc!$E$176-500)))=0,"",INDEX('My equipment'!$Y$4:$Y$503,(_calc!$E$176-500))))=0,"",IF(LEN(INDEX('My equipment'!$Y$4:$Y$503,(_calc!$E$176-500)))=0,"",INDEX('My equipment'!$Y$4:$Y$503,(_calc!$E$176-500)))))))</f>
        <v/>
      </c>
      <c r="G174" s="54">
        <f>IF(_calc!$E$176="","",IF(_calc!$E$176&lt;=500,"",IF(LEN(INDEX('My equipment'!$X$4:$X$503,(_calc!$E$176-500)))=0,"",INDEX('My equipment'!$X$4:$X$503,(_calc!$E$176-500)))))</f>
        <v/>
      </c>
      <c r="K174" s="54">
        <f>IF(_calc!$E$176="","",IF(_calc!$E$176&lt;=500,"",IF(LEN(INDEX('My equipment'!$T$4:$T$503,(_calc!$E$176-500)))=0,"",INDEX('My equipment'!$T$4:$T$503,(_calc!$E$176-500)))))</f>
        <v/>
      </c>
    </row>
    <row r="175">
      <c r="A175" s="54">
        <f>IF(_calc!$E$177="","",IF(_calc!$E$177&lt;=500,"Warranty – "&amp;IF(LEN(INDEX('Dealer pipeline'!$C$4:$C$503,_calc!$E$177))=0,"",INDEX('Dealer pipeline'!$C$4:$C$503,_calc!$E$177))&amp;" – "&amp;IF(LEN(INDEX('Dealer pipeline'!$D$4:$D$503,_calc!$E$177))=0,"",INDEX('Dealer pipeline'!$D$4:$D$503,_calc!$E$177))&amp;" – "&amp;IF(LEN(INDEX('Dealer pipeline'!$A$4:$A$503,_calc!$E$177))=0,"",INDEX('Dealer pipeline'!$A$4:$A$503,_calc!$E$177)),"Warranty – "&amp;IF(LEN(INDEX('My equipment'!$A$4:$A$503,(_calc!$E$177-500)))=0,"",INDEX('My equipment'!$A$4:$A$503,(_calc!$E$177-500)))&amp;" – "&amp;IF(LEN(INDEX('My equipment'!$D$4:$D$503,(_calc!$E$177-500)))=0,"",INDEX('My equipment'!$D$4:$D$503,(_calc!$E$177-500)))))</f>
        <v/>
      </c>
      <c r="B175" s="54">
        <f>IF(_calc!$E$177="","",IF(_calc!$E$177&lt;=500,IF(ISNUMBER(INDEX('Dealer pipeline'!$M$4:$M$503,_calc!$E$177)),TEXT(INDEX('Dealer pipeline'!$M$4:$M$503,_calc!$E$177),"yyyy-mm-dd"),""),IF(ISNUMBER(INDEX('My equipment'!$M$4:$M$503,(_calc!$E$177-500))),TEXT(INDEX('My equipment'!$M$4:$M$503,(_calc!$E$177-500)),"yyyy-mm-dd"),"")))</f>
        <v/>
      </c>
      <c r="C175" s="54">
        <f>IF(_calc!$E$177="","",IF(_calc!$E$177&lt;=500,"Warranty","Warranty"))</f>
        <v/>
      </c>
      <c r="D175" s="54">
        <f>IF(_calc!$E$177="","",IF(_calc!$E$177&lt;=500,IF(ISNUMBER(INDEX('Dealer pipeline'!$H$4:$H$503,_calc!$E$177)),TEXT(INDEX('Dealer pipeline'!$H$4:$H$503,_calc!$E$177),"yyyy-mm-dd"),""),IF(ISNUMBER(INDEX('My equipment'!$H$4:$H$503,(_calc!$E$177-500))),TEXT(INDEX('My equipment'!$H$4:$H$503,(_calc!$E$177-500)),"yyyy-mm-dd"),"")))</f>
        <v/>
      </c>
      <c r="F175" s="54">
        <f>IF(_calc!$E$177="","",IF(_calc!$E$177&lt;=500,TRIM(IF(LEN(IF(LEN(INDEX('Dealer pipeline'!$A$4:$A$503,_calc!$E$177))=0,"",INDEX('Dealer pipeline'!$A$4:$A$503,_calc!$E$177)))=0,"","Customer: "&amp;IF(LEN(INDEX('Dealer pipeline'!$A$4:$A$503,_calc!$E$177))=0,"",INDEX('Dealer pipeline'!$A$4:$A$503,_calc!$E$177))&amp;". ")&amp;IF(LEN(IF(LEN(INDEX('Dealer pipeline'!$B$4:$B$503,_calc!$E$177))=0,"",INDEX('Dealer pipeline'!$B$4:$B$503,_calc!$E$177)))=0,"","Contact: "&amp;IF(LEN(INDEX('Dealer pipeline'!$B$4:$B$503,_calc!$E$177))=0,"",INDEX('Dealer pipeline'!$B$4:$B$503,_calc!$E$177))&amp;". ")&amp;IF(LEN(IF(LEN(INDEX('Dealer pipeline'!$D$4:$D$503,_calc!$E$177))=0,"",INDEX('Dealer pipeline'!$D$4:$D$503,_calc!$E$177)))=0,"","Serial: "&amp;IF(LEN(INDEX('Dealer pipeline'!$D$4:$D$503,_calc!$E$177))=0,"",INDEX('Dealer pipeline'!$D$4:$D$503,_calc!$E$177))&amp;". ")&amp;IF(LEN(IF(ISNUMBER(INDEX('Dealer pipeline'!$J$4:$J$503,_calc!$E$177)),TEXT(INDEX('Dealer pipeline'!$J$4:$J$503,_calc!$E$177),"yyyy-mm-dd"),""))=0,"","Parts end: "&amp;IF(ISNUMBER(INDEX('Dealer pipeline'!$J$4:$J$503,_calc!$E$177)),TEXT(INDEX('Dealer pipeline'!$J$4:$J$503,_calc!$E$177),"yyyy-mm-dd"),"")&amp;". ")&amp;IF(LEN(IF(ISNUMBER(INDEX('Dealer pipeline'!$L$4:$L$503,_calc!$E$177)),TEXT(INDEX('Dealer pipeline'!$L$4:$L$503,_calc!$E$177),"yyyy-mm-dd"),""))=0,"","Labor end: "&amp;IF(ISNUMBER(INDEX('Dealer pipeline'!$L$4:$L$503,_calc!$E$177)),TEXT(INDEX('Dealer pipeline'!$L$4:$L$503,_calc!$E$177),"yyyy-mm-dd"),"")&amp;". ")&amp;IF(LEN(IF(LEN(INDEX('Dealer pipeline'!$Q$4:$Q$503,_calc!$E$177))=0,"",INDEX('Dealer pipeline'!$Q$4:$Q$503,_calc!$E$177)))=0,"","Status: "&amp;IF(LEN(INDEX('Dealer pipeline'!$Q$4:$Q$503,_calc!$E$177))=0,"",INDEX('Dealer pipeline'!$Q$4:$Q$503,_calc!$E$177))&amp;". ")&amp;IF(LEN(IF(LEN(INDEX('Dealer pipeline'!$P$4:$P$503,_calc!$E$177))=0,"",INDEX('Dealer pipeline'!$P$4:$P$503,_calc!$E$177)))=0,"","Last touch: "&amp;IF(LEN(INDEX('Dealer pipeline'!$P$4:$P$503,_calc!$E$177))=0,"",INDEX('Dealer pipeline'!$P$4:$P$503,_calc!$E$177))&amp;". ")&amp;IF(LEN(IF(LEN(INDEX('Dealer pipeline'!$R$4:$R$503,_calc!$E$177))=0,"",INDEX('Dealer pipeline'!$R$4:$R$503,_calc!$E$177)))=0,"","Owner: "&amp;IF(LEN(INDEX('Dealer pipeline'!$R$4:$R$503,_calc!$E$177))=0,"",INDEX('Dealer pipeline'!$R$4:$R$503,_calc!$E$177))&amp;". ")&amp;IF(LEN(IF(LEN(INDEX('Dealer pipeline'!$S$4:$S$503,_calc!$E$177))=0,"",INDEX('Dealer pipeline'!$S$4:$S$503,_calc!$E$177)))=0,"","Backup: "&amp;IF(LEN(INDEX('Dealer pipeline'!$S$4:$S$503,_calc!$E$177))=0,"",INDEX('Dealer pipeline'!$S$4:$S$503,_calc!$E$177))&amp;". ")&amp;IF(LEN(IF(LEN(INDEX('Dealer pipeline'!$T$4:$T$503,_calc!$E$177))=0,"",INDEX('Dealer pipeline'!$T$4:$T$503,_calc!$E$177)))=0,"",IF(LEN(INDEX('Dealer pipeline'!$T$4:$T$503,_calc!$E$177))=0,"",INDEX('Dealer pipeline'!$T$4:$T$503,_calc!$E$177)))),TRIM(IF(LEN(IF(LEN(INDEX('My equipment'!$C$4:$C$503,(_calc!$E$177-500)))=0,"",INDEX('My equipment'!$C$4:$C$503,(_calc!$E$177-500))))=0,"","Model: "&amp;IF(LEN(INDEX('My equipment'!$C$4:$C$503,(_calc!$E$177-500)))=0,"",INDEX('My equipment'!$C$4:$C$503,(_calc!$E$177-500)))&amp;". ")&amp;IF(LEN(IF(LEN(INDEX('My equipment'!$D$4:$D$503,(_calc!$E$177-500)))=0,"",INDEX('My equipment'!$D$4:$D$503,(_calc!$E$177-500))))=0,"","Serial: "&amp;IF(LEN(INDEX('My equipment'!$D$4:$D$503,(_calc!$E$177-500)))=0,"",INDEX('My equipment'!$D$4:$D$503,(_calc!$E$177-500)))&amp;". ")&amp;IF(LEN(IF(ISNUMBER(INDEX('My equipment'!$J$4:$J$503,(_calc!$E$177-500))),TEXT(INDEX('My equipment'!$J$4:$J$503,(_calc!$E$177-500)),"yyyy-mm-dd"),""))=0,"","Parts end: "&amp;IF(ISNUMBER(INDEX('My equipment'!$J$4:$J$503,(_calc!$E$177-500))),TEXT(INDEX('My equipment'!$J$4:$J$503,(_calc!$E$177-500)),"yyyy-mm-dd"),"")&amp;". ")&amp;IF(LEN(IF(ISNUMBER(INDEX('My equipment'!$L$4:$L$503,(_calc!$E$177-500))),TEXT(INDEX('My equipment'!$L$4:$L$503,(_calc!$E$177-500)),"yyyy-mm-dd"),""))=0,"","Labor end: "&amp;IF(ISNUMBER(INDEX('My equipment'!$L$4:$L$503,(_calc!$E$177-500))),TEXT(INDEX('My equipment'!$L$4:$L$503,(_calc!$E$177-500)),"yyyy-mm-dd"),"")&amp;". ")&amp;IF(LEN(IF(ISNUMBER(INDEX('My equipment'!$P$4:$P$503,(_calc!$E$177-500))),TEXT(INDEX('My equipment'!$P$4:$P$503,(_calc!$E$177-500)),"yyyy-mm-dd"),""))=0,"","Check by: "&amp;IF(ISNUMBER(INDEX('My equipment'!$P$4:$P$503,(_calc!$E$177-500))),TEXT(INDEX('My equipment'!$P$4:$P$503,(_calc!$E$177-500)),"yyyy-mm-dd"),"")&amp;". ")&amp;IF(LEN(IF(LEN(INDEX('My equipment'!$Q$4:$Q$503,(_calc!$E$177-500)))=0,"",INDEX('My equipment'!$Q$4:$Q$503,(_calc!$E$177-500))))=0,"","Claim status: "&amp;IF(LEN(INDEX('My equipment'!$Q$4:$Q$503,(_calc!$E$177-500)))=0,"",INDEX('My equipment'!$Q$4:$Q$503,(_calc!$E$177-500)))&amp;". ")&amp;IF(LEN(IF(LEN(INDEX('My equipment'!$R$4:$R$503,(_calc!$E$177-500)))=0,"",INDEX('My equipment'!$R$4:$R$503,(_calc!$E$177-500))))=0,"","Claims contact: "&amp;IF(LEN(INDEX('My equipment'!$R$4:$R$503,(_calc!$E$177-500)))=0,"",INDEX('My equipment'!$R$4:$R$503,(_calc!$E$177-500)))&amp;". ")&amp;IF(LEN(IF(LEN(INDEX('My equipment'!$S$4:$S$503,(_calc!$E$177-500)))=0,"",INDEX('My equipment'!$S$4:$S$503,(_calc!$E$177-500))))=0,"","Claims email: "&amp;IF(LEN(INDEX('My equipment'!$S$4:$S$503,(_calc!$E$177-500)))=0,"",INDEX('My equipment'!$S$4:$S$503,(_calc!$E$177-500)))&amp;". ")&amp;IF(LEN(IF(LEN(INDEX('My equipment'!$U$4:$U$503,(_calc!$E$177-500)))=0,"",INDEX('My equipment'!$U$4:$U$503,(_calc!$E$177-500))))=0,"","Registered: "&amp;IF(LEN(INDEX('My equipment'!$U$4:$U$503,(_calc!$E$177-500)))=0,"",INDEX('My equipment'!$U$4:$U$503,(_calc!$E$177-500)))&amp;". ")&amp;IF(LEN(IF(LEN(INDEX('My equipment'!$V$4:$V$503,(_calc!$E$177-500)))=0,"",INDEX('My equipment'!$V$4:$V$503,(_calc!$E$177-500))))=0,"","Proof on file: "&amp;IF(LEN(INDEX('My equipment'!$V$4:$V$503,(_calc!$E$177-500)))=0,"",INDEX('My equipment'!$V$4:$V$503,(_calc!$E$177-500)))&amp;". ")&amp;IF(LEN(IF(LEN(INDEX('My equipment'!$W$4:$W$503,(_calc!$E$177-500)))=0,"",INDEX('My equipment'!$W$4:$W$503,(_calc!$E$177-500))))=0,"","Claim ref: "&amp;IF(LEN(INDEX('My equipment'!$W$4:$W$503,(_calc!$E$177-500)))=0,"",INDEX('My equipment'!$W$4:$W$503,(_calc!$E$177-500)))&amp;". ")&amp;IF(LEN(IF(LEN(INDEX('My equipment'!$Y$4:$Y$503,(_calc!$E$177-500)))=0,"",INDEX('My equipment'!$Y$4:$Y$503,(_calc!$E$177-500))))=0,"",IF(LEN(INDEX('My equipment'!$Y$4:$Y$503,(_calc!$E$177-500)))=0,"",INDEX('My equipment'!$Y$4:$Y$503,(_calc!$E$177-500)))))))</f>
        <v/>
      </c>
      <c r="G175" s="54">
        <f>IF(_calc!$E$177="","",IF(_calc!$E$177&lt;=500,"",IF(LEN(INDEX('My equipment'!$X$4:$X$503,(_calc!$E$177-500)))=0,"",INDEX('My equipment'!$X$4:$X$503,(_calc!$E$177-500)))))</f>
        <v/>
      </c>
      <c r="K175" s="54">
        <f>IF(_calc!$E$177="","",IF(_calc!$E$177&lt;=500,"",IF(LEN(INDEX('My equipment'!$T$4:$T$503,(_calc!$E$177-500)))=0,"",INDEX('My equipment'!$T$4:$T$503,(_calc!$E$177-500)))))</f>
        <v/>
      </c>
    </row>
    <row r="176">
      <c r="A176" s="54">
        <f>IF(_calc!$E$178="","",IF(_calc!$E$178&lt;=500,"Warranty – "&amp;IF(LEN(INDEX('Dealer pipeline'!$C$4:$C$503,_calc!$E$178))=0,"",INDEX('Dealer pipeline'!$C$4:$C$503,_calc!$E$178))&amp;" – "&amp;IF(LEN(INDEX('Dealer pipeline'!$D$4:$D$503,_calc!$E$178))=0,"",INDEX('Dealer pipeline'!$D$4:$D$503,_calc!$E$178))&amp;" – "&amp;IF(LEN(INDEX('Dealer pipeline'!$A$4:$A$503,_calc!$E$178))=0,"",INDEX('Dealer pipeline'!$A$4:$A$503,_calc!$E$178)),"Warranty – "&amp;IF(LEN(INDEX('My equipment'!$A$4:$A$503,(_calc!$E$178-500)))=0,"",INDEX('My equipment'!$A$4:$A$503,(_calc!$E$178-500)))&amp;" – "&amp;IF(LEN(INDEX('My equipment'!$D$4:$D$503,(_calc!$E$178-500)))=0,"",INDEX('My equipment'!$D$4:$D$503,(_calc!$E$178-500)))))</f>
        <v/>
      </c>
      <c r="B176" s="54">
        <f>IF(_calc!$E$178="","",IF(_calc!$E$178&lt;=500,IF(ISNUMBER(INDEX('Dealer pipeline'!$M$4:$M$503,_calc!$E$178)),TEXT(INDEX('Dealer pipeline'!$M$4:$M$503,_calc!$E$178),"yyyy-mm-dd"),""),IF(ISNUMBER(INDEX('My equipment'!$M$4:$M$503,(_calc!$E$178-500))),TEXT(INDEX('My equipment'!$M$4:$M$503,(_calc!$E$178-500)),"yyyy-mm-dd"),"")))</f>
        <v/>
      </c>
      <c r="C176" s="54">
        <f>IF(_calc!$E$178="","",IF(_calc!$E$178&lt;=500,"Warranty","Warranty"))</f>
        <v/>
      </c>
      <c r="D176" s="54">
        <f>IF(_calc!$E$178="","",IF(_calc!$E$178&lt;=500,IF(ISNUMBER(INDEX('Dealer pipeline'!$H$4:$H$503,_calc!$E$178)),TEXT(INDEX('Dealer pipeline'!$H$4:$H$503,_calc!$E$178),"yyyy-mm-dd"),""),IF(ISNUMBER(INDEX('My equipment'!$H$4:$H$503,(_calc!$E$178-500))),TEXT(INDEX('My equipment'!$H$4:$H$503,(_calc!$E$178-500)),"yyyy-mm-dd"),"")))</f>
        <v/>
      </c>
      <c r="F176" s="54">
        <f>IF(_calc!$E$178="","",IF(_calc!$E$178&lt;=500,TRIM(IF(LEN(IF(LEN(INDEX('Dealer pipeline'!$A$4:$A$503,_calc!$E$178))=0,"",INDEX('Dealer pipeline'!$A$4:$A$503,_calc!$E$178)))=0,"","Customer: "&amp;IF(LEN(INDEX('Dealer pipeline'!$A$4:$A$503,_calc!$E$178))=0,"",INDEX('Dealer pipeline'!$A$4:$A$503,_calc!$E$178))&amp;". ")&amp;IF(LEN(IF(LEN(INDEX('Dealer pipeline'!$B$4:$B$503,_calc!$E$178))=0,"",INDEX('Dealer pipeline'!$B$4:$B$503,_calc!$E$178)))=0,"","Contact: "&amp;IF(LEN(INDEX('Dealer pipeline'!$B$4:$B$503,_calc!$E$178))=0,"",INDEX('Dealer pipeline'!$B$4:$B$503,_calc!$E$178))&amp;". ")&amp;IF(LEN(IF(LEN(INDEX('Dealer pipeline'!$D$4:$D$503,_calc!$E$178))=0,"",INDEX('Dealer pipeline'!$D$4:$D$503,_calc!$E$178)))=0,"","Serial: "&amp;IF(LEN(INDEX('Dealer pipeline'!$D$4:$D$503,_calc!$E$178))=0,"",INDEX('Dealer pipeline'!$D$4:$D$503,_calc!$E$178))&amp;". ")&amp;IF(LEN(IF(ISNUMBER(INDEX('Dealer pipeline'!$J$4:$J$503,_calc!$E$178)),TEXT(INDEX('Dealer pipeline'!$J$4:$J$503,_calc!$E$178),"yyyy-mm-dd"),""))=0,"","Parts end: "&amp;IF(ISNUMBER(INDEX('Dealer pipeline'!$J$4:$J$503,_calc!$E$178)),TEXT(INDEX('Dealer pipeline'!$J$4:$J$503,_calc!$E$178),"yyyy-mm-dd"),"")&amp;". ")&amp;IF(LEN(IF(ISNUMBER(INDEX('Dealer pipeline'!$L$4:$L$503,_calc!$E$178)),TEXT(INDEX('Dealer pipeline'!$L$4:$L$503,_calc!$E$178),"yyyy-mm-dd"),""))=0,"","Labor end: "&amp;IF(ISNUMBER(INDEX('Dealer pipeline'!$L$4:$L$503,_calc!$E$178)),TEXT(INDEX('Dealer pipeline'!$L$4:$L$503,_calc!$E$178),"yyyy-mm-dd"),"")&amp;". ")&amp;IF(LEN(IF(LEN(INDEX('Dealer pipeline'!$Q$4:$Q$503,_calc!$E$178))=0,"",INDEX('Dealer pipeline'!$Q$4:$Q$503,_calc!$E$178)))=0,"","Status: "&amp;IF(LEN(INDEX('Dealer pipeline'!$Q$4:$Q$503,_calc!$E$178))=0,"",INDEX('Dealer pipeline'!$Q$4:$Q$503,_calc!$E$178))&amp;". ")&amp;IF(LEN(IF(LEN(INDEX('Dealer pipeline'!$P$4:$P$503,_calc!$E$178))=0,"",INDEX('Dealer pipeline'!$P$4:$P$503,_calc!$E$178)))=0,"","Last touch: "&amp;IF(LEN(INDEX('Dealer pipeline'!$P$4:$P$503,_calc!$E$178))=0,"",INDEX('Dealer pipeline'!$P$4:$P$503,_calc!$E$178))&amp;". ")&amp;IF(LEN(IF(LEN(INDEX('Dealer pipeline'!$R$4:$R$503,_calc!$E$178))=0,"",INDEX('Dealer pipeline'!$R$4:$R$503,_calc!$E$178)))=0,"","Owner: "&amp;IF(LEN(INDEX('Dealer pipeline'!$R$4:$R$503,_calc!$E$178))=0,"",INDEX('Dealer pipeline'!$R$4:$R$503,_calc!$E$178))&amp;". ")&amp;IF(LEN(IF(LEN(INDEX('Dealer pipeline'!$S$4:$S$503,_calc!$E$178))=0,"",INDEX('Dealer pipeline'!$S$4:$S$503,_calc!$E$178)))=0,"","Backup: "&amp;IF(LEN(INDEX('Dealer pipeline'!$S$4:$S$503,_calc!$E$178))=0,"",INDEX('Dealer pipeline'!$S$4:$S$503,_calc!$E$178))&amp;". ")&amp;IF(LEN(IF(LEN(INDEX('Dealer pipeline'!$T$4:$T$503,_calc!$E$178))=0,"",INDEX('Dealer pipeline'!$T$4:$T$503,_calc!$E$178)))=0,"",IF(LEN(INDEX('Dealer pipeline'!$T$4:$T$503,_calc!$E$178))=0,"",INDEX('Dealer pipeline'!$T$4:$T$503,_calc!$E$178)))),TRIM(IF(LEN(IF(LEN(INDEX('My equipment'!$C$4:$C$503,(_calc!$E$178-500)))=0,"",INDEX('My equipment'!$C$4:$C$503,(_calc!$E$178-500))))=0,"","Model: "&amp;IF(LEN(INDEX('My equipment'!$C$4:$C$503,(_calc!$E$178-500)))=0,"",INDEX('My equipment'!$C$4:$C$503,(_calc!$E$178-500)))&amp;". ")&amp;IF(LEN(IF(LEN(INDEX('My equipment'!$D$4:$D$503,(_calc!$E$178-500)))=0,"",INDEX('My equipment'!$D$4:$D$503,(_calc!$E$178-500))))=0,"","Serial: "&amp;IF(LEN(INDEX('My equipment'!$D$4:$D$503,(_calc!$E$178-500)))=0,"",INDEX('My equipment'!$D$4:$D$503,(_calc!$E$178-500)))&amp;". ")&amp;IF(LEN(IF(ISNUMBER(INDEX('My equipment'!$J$4:$J$503,(_calc!$E$178-500))),TEXT(INDEX('My equipment'!$J$4:$J$503,(_calc!$E$178-500)),"yyyy-mm-dd"),""))=0,"","Parts end: "&amp;IF(ISNUMBER(INDEX('My equipment'!$J$4:$J$503,(_calc!$E$178-500))),TEXT(INDEX('My equipment'!$J$4:$J$503,(_calc!$E$178-500)),"yyyy-mm-dd"),"")&amp;". ")&amp;IF(LEN(IF(ISNUMBER(INDEX('My equipment'!$L$4:$L$503,(_calc!$E$178-500))),TEXT(INDEX('My equipment'!$L$4:$L$503,(_calc!$E$178-500)),"yyyy-mm-dd"),""))=0,"","Labor end: "&amp;IF(ISNUMBER(INDEX('My equipment'!$L$4:$L$503,(_calc!$E$178-500))),TEXT(INDEX('My equipment'!$L$4:$L$503,(_calc!$E$178-500)),"yyyy-mm-dd"),"")&amp;". ")&amp;IF(LEN(IF(ISNUMBER(INDEX('My equipment'!$P$4:$P$503,(_calc!$E$178-500))),TEXT(INDEX('My equipment'!$P$4:$P$503,(_calc!$E$178-500)),"yyyy-mm-dd"),""))=0,"","Check by: "&amp;IF(ISNUMBER(INDEX('My equipment'!$P$4:$P$503,(_calc!$E$178-500))),TEXT(INDEX('My equipment'!$P$4:$P$503,(_calc!$E$178-500)),"yyyy-mm-dd"),"")&amp;". ")&amp;IF(LEN(IF(LEN(INDEX('My equipment'!$Q$4:$Q$503,(_calc!$E$178-500)))=0,"",INDEX('My equipment'!$Q$4:$Q$503,(_calc!$E$178-500))))=0,"","Claim status: "&amp;IF(LEN(INDEX('My equipment'!$Q$4:$Q$503,(_calc!$E$178-500)))=0,"",INDEX('My equipment'!$Q$4:$Q$503,(_calc!$E$178-500)))&amp;". ")&amp;IF(LEN(IF(LEN(INDEX('My equipment'!$R$4:$R$503,(_calc!$E$178-500)))=0,"",INDEX('My equipment'!$R$4:$R$503,(_calc!$E$178-500))))=0,"","Claims contact: "&amp;IF(LEN(INDEX('My equipment'!$R$4:$R$503,(_calc!$E$178-500)))=0,"",INDEX('My equipment'!$R$4:$R$503,(_calc!$E$178-500)))&amp;". ")&amp;IF(LEN(IF(LEN(INDEX('My equipment'!$S$4:$S$503,(_calc!$E$178-500)))=0,"",INDEX('My equipment'!$S$4:$S$503,(_calc!$E$178-500))))=0,"","Claims email: "&amp;IF(LEN(INDEX('My equipment'!$S$4:$S$503,(_calc!$E$178-500)))=0,"",INDEX('My equipment'!$S$4:$S$503,(_calc!$E$178-500)))&amp;". ")&amp;IF(LEN(IF(LEN(INDEX('My equipment'!$U$4:$U$503,(_calc!$E$178-500)))=0,"",INDEX('My equipment'!$U$4:$U$503,(_calc!$E$178-500))))=0,"","Registered: "&amp;IF(LEN(INDEX('My equipment'!$U$4:$U$503,(_calc!$E$178-500)))=0,"",INDEX('My equipment'!$U$4:$U$503,(_calc!$E$178-500)))&amp;". ")&amp;IF(LEN(IF(LEN(INDEX('My equipment'!$V$4:$V$503,(_calc!$E$178-500)))=0,"",INDEX('My equipment'!$V$4:$V$503,(_calc!$E$178-500))))=0,"","Proof on file: "&amp;IF(LEN(INDEX('My equipment'!$V$4:$V$503,(_calc!$E$178-500)))=0,"",INDEX('My equipment'!$V$4:$V$503,(_calc!$E$178-500)))&amp;". ")&amp;IF(LEN(IF(LEN(INDEX('My equipment'!$W$4:$W$503,(_calc!$E$178-500)))=0,"",INDEX('My equipment'!$W$4:$W$503,(_calc!$E$178-500))))=0,"","Claim ref: "&amp;IF(LEN(INDEX('My equipment'!$W$4:$W$503,(_calc!$E$178-500)))=0,"",INDEX('My equipment'!$W$4:$W$503,(_calc!$E$178-500)))&amp;". ")&amp;IF(LEN(IF(LEN(INDEX('My equipment'!$Y$4:$Y$503,(_calc!$E$178-500)))=0,"",INDEX('My equipment'!$Y$4:$Y$503,(_calc!$E$178-500))))=0,"",IF(LEN(INDEX('My equipment'!$Y$4:$Y$503,(_calc!$E$178-500)))=0,"",INDEX('My equipment'!$Y$4:$Y$503,(_calc!$E$178-500)))))))</f>
        <v/>
      </c>
      <c r="G176" s="54">
        <f>IF(_calc!$E$178="","",IF(_calc!$E$178&lt;=500,"",IF(LEN(INDEX('My equipment'!$X$4:$X$503,(_calc!$E$178-500)))=0,"",INDEX('My equipment'!$X$4:$X$503,(_calc!$E$178-500)))))</f>
        <v/>
      </c>
      <c r="K176" s="54">
        <f>IF(_calc!$E$178="","",IF(_calc!$E$178&lt;=500,"",IF(LEN(INDEX('My equipment'!$T$4:$T$503,(_calc!$E$178-500)))=0,"",INDEX('My equipment'!$T$4:$T$503,(_calc!$E$178-500)))))</f>
        <v/>
      </c>
    </row>
    <row r="177">
      <c r="A177" s="54">
        <f>IF(_calc!$E$179="","",IF(_calc!$E$179&lt;=500,"Warranty – "&amp;IF(LEN(INDEX('Dealer pipeline'!$C$4:$C$503,_calc!$E$179))=0,"",INDEX('Dealer pipeline'!$C$4:$C$503,_calc!$E$179))&amp;" – "&amp;IF(LEN(INDEX('Dealer pipeline'!$D$4:$D$503,_calc!$E$179))=0,"",INDEX('Dealer pipeline'!$D$4:$D$503,_calc!$E$179))&amp;" – "&amp;IF(LEN(INDEX('Dealer pipeline'!$A$4:$A$503,_calc!$E$179))=0,"",INDEX('Dealer pipeline'!$A$4:$A$503,_calc!$E$179)),"Warranty – "&amp;IF(LEN(INDEX('My equipment'!$A$4:$A$503,(_calc!$E$179-500)))=0,"",INDEX('My equipment'!$A$4:$A$503,(_calc!$E$179-500)))&amp;" – "&amp;IF(LEN(INDEX('My equipment'!$D$4:$D$503,(_calc!$E$179-500)))=0,"",INDEX('My equipment'!$D$4:$D$503,(_calc!$E$179-500)))))</f>
        <v/>
      </c>
      <c r="B177" s="54">
        <f>IF(_calc!$E$179="","",IF(_calc!$E$179&lt;=500,IF(ISNUMBER(INDEX('Dealer pipeline'!$M$4:$M$503,_calc!$E$179)),TEXT(INDEX('Dealer pipeline'!$M$4:$M$503,_calc!$E$179),"yyyy-mm-dd"),""),IF(ISNUMBER(INDEX('My equipment'!$M$4:$M$503,(_calc!$E$179-500))),TEXT(INDEX('My equipment'!$M$4:$M$503,(_calc!$E$179-500)),"yyyy-mm-dd"),"")))</f>
        <v/>
      </c>
      <c r="C177" s="54">
        <f>IF(_calc!$E$179="","",IF(_calc!$E$179&lt;=500,"Warranty","Warranty"))</f>
        <v/>
      </c>
      <c r="D177" s="54">
        <f>IF(_calc!$E$179="","",IF(_calc!$E$179&lt;=500,IF(ISNUMBER(INDEX('Dealer pipeline'!$H$4:$H$503,_calc!$E$179)),TEXT(INDEX('Dealer pipeline'!$H$4:$H$503,_calc!$E$179),"yyyy-mm-dd"),""),IF(ISNUMBER(INDEX('My equipment'!$H$4:$H$503,(_calc!$E$179-500))),TEXT(INDEX('My equipment'!$H$4:$H$503,(_calc!$E$179-500)),"yyyy-mm-dd"),"")))</f>
        <v/>
      </c>
      <c r="F177" s="54">
        <f>IF(_calc!$E$179="","",IF(_calc!$E$179&lt;=500,TRIM(IF(LEN(IF(LEN(INDEX('Dealer pipeline'!$A$4:$A$503,_calc!$E$179))=0,"",INDEX('Dealer pipeline'!$A$4:$A$503,_calc!$E$179)))=0,"","Customer: "&amp;IF(LEN(INDEX('Dealer pipeline'!$A$4:$A$503,_calc!$E$179))=0,"",INDEX('Dealer pipeline'!$A$4:$A$503,_calc!$E$179))&amp;". ")&amp;IF(LEN(IF(LEN(INDEX('Dealer pipeline'!$B$4:$B$503,_calc!$E$179))=0,"",INDEX('Dealer pipeline'!$B$4:$B$503,_calc!$E$179)))=0,"","Contact: "&amp;IF(LEN(INDEX('Dealer pipeline'!$B$4:$B$503,_calc!$E$179))=0,"",INDEX('Dealer pipeline'!$B$4:$B$503,_calc!$E$179))&amp;". ")&amp;IF(LEN(IF(LEN(INDEX('Dealer pipeline'!$D$4:$D$503,_calc!$E$179))=0,"",INDEX('Dealer pipeline'!$D$4:$D$503,_calc!$E$179)))=0,"","Serial: "&amp;IF(LEN(INDEX('Dealer pipeline'!$D$4:$D$503,_calc!$E$179))=0,"",INDEX('Dealer pipeline'!$D$4:$D$503,_calc!$E$179))&amp;". ")&amp;IF(LEN(IF(ISNUMBER(INDEX('Dealer pipeline'!$J$4:$J$503,_calc!$E$179)),TEXT(INDEX('Dealer pipeline'!$J$4:$J$503,_calc!$E$179),"yyyy-mm-dd"),""))=0,"","Parts end: "&amp;IF(ISNUMBER(INDEX('Dealer pipeline'!$J$4:$J$503,_calc!$E$179)),TEXT(INDEX('Dealer pipeline'!$J$4:$J$503,_calc!$E$179),"yyyy-mm-dd"),"")&amp;". ")&amp;IF(LEN(IF(ISNUMBER(INDEX('Dealer pipeline'!$L$4:$L$503,_calc!$E$179)),TEXT(INDEX('Dealer pipeline'!$L$4:$L$503,_calc!$E$179),"yyyy-mm-dd"),""))=0,"","Labor end: "&amp;IF(ISNUMBER(INDEX('Dealer pipeline'!$L$4:$L$503,_calc!$E$179)),TEXT(INDEX('Dealer pipeline'!$L$4:$L$503,_calc!$E$179),"yyyy-mm-dd"),"")&amp;". ")&amp;IF(LEN(IF(LEN(INDEX('Dealer pipeline'!$Q$4:$Q$503,_calc!$E$179))=0,"",INDEX('Dealer pipeline'!$Q$4:$Q$503,_calc!$E$179)))=0,"","Status: "&amp;IF(LEN(INDEX('Dealer pipeline'!$Q$4:$Q$503,_calc!$E$179))=0,"",INDEX('Dealer pipeline'!$Q$4:$Q$503,_calc!$E$179))&amp;". ")&amp;IF(LEN(IF(LEN(INDEX('Dealer pipeline'!$P$4:$P$503,_calc!$E$179))=0,"",INDEX('Dealer pipeline'!$P$4:$P$503,_calc!$E$179)))=0,"","Last touch: "&amp;IF(LEN(INDEX('Dealer pipeline'!$P$4:$P$503,_calc!$E$179))=0,"",INDEX('Dealer pipeline'!$P$4:$P$503,_calc!$E$179))&amp;". ")&amp;IF(LEN(IF(LEN(INDEX('Dealer pipeline'!$R$4:$R$503,_calc!$E$179))=0,"",INDEX('Dealer pipeline'!$R$4:$R$503,_calc!$E$179)))=0,"","Owner: "&amp;IF(LEN(INDEX('Dealer pipeline'!$R$4:$R$503,_calc!$E$179))=0,"",INDEX('Dealer pipeline'!$R$4:$R$503,_calc!$E$179))&amp;". ")&amp;IF(LEN(IF(LEN(INDEX('Dealer pipeline'!$S$4:$S$503,_calc!$E$179))=0,"",INDEX('Dealer pipeline'!$S$4:$S$503,_calc!$E$179)))=0,"","Backup: "&amp;IF(LEN(INDEX('Dealer pipeline'!$S$4:$S$503,_calc!$E$179))=0,"",INDEX('Dealer pipeline'!$S$4:$S$503,_calc!$E$179))&amp;". ")&amp;IF(LEN(IF(LEN(INDEX('Dealer pipeline'!$T$4:$T$503,_calc!$E$179))=0,"",INDEX('Dealer pipeline'!$T$4:$T$503,_calc!$E$179)))=0,"",IF(LEN(INDEX('Dealer pipeline'!$T$4:$T$503,_calc!$E$179))=0,"",INDEX('Dealer pipeline'!$T$4:$T$503,_calc!$E$179)))),TRIM(IF(LEN(IF(LEN(INDEX('My equipment'!$C$4:$C$503,(_calc!$E$179-500)))=0,"",INDEX('My equipment'!$C$4:$C$503,(_calc!$E$179-500))))=0,"","Model: "&amp;IF(LEN(INDEX('My equipment'!$C$4:$C$503,(_calc!$E$179-500)))=0,"",INDEX('My equipment'!$C$4:$C$503,(_calc!$E$179-500)))&amp;". ")&amp;IF(LEN(IF(LEN(INDEX('My equipment'!$D$4:$D$503,(_calc!$E$179-500)))=0,"",INDEX('My equipment'!$D$4:$D$503,(_calc!$E$179-500))))=0,"","Serial: "&amp;IF(LEN(INDEX('My equipment'!$D$4:$D$503,(_calc!$E$179-500)))=0,"",INDEX('My equipment'!$D$4:$D$503,(_calc!$E$179-500)))&amp;". ")&amp;IF(LEN(IF(ISNUMBER(INDEX('My equipment'!$J$4:$J$503,(_calc!$E$179-500))),TEXT(INDEX('My equipment'!$J$4:$J$503,(_calc!$E$179-500)),"yyyy-mm-dd"),""))=0,"","Parts end: "&amp;IF(ISNUMBER(INDEX('My equipment'!$J$4:$J$503,(_calc!$E$179-500))),TEXT(INDEX('My equipment'!$J$4:$J$503,(_calc!$E$179-500)),"yyyy-mm-dd"),"")&amp;". ")&amp;IF(LEN(IF(ISNUMBER(INDEX('My equipment'!$L$4:$L$503,(_calc!$E$179-500))),TEXT(INDEX('My equipment'!$L$4:$L$503,(_calc!$E$179-500)),"yyyy-mm-dd"),""))=0,"","Labor end: "&amp;IF(ISNUMBER(INDEX('My equipment'!$L$4:$L$503,(_calc!$E$179-500))),TEXT(INDEX('My equipment'!$L$4:$L$503,(_calc!$E$179-500)),"yyyy-mm-dd"),"")&amp;". ")&amp;IF(LEN(IF(ISNUMBER(INDEX('My equipment'!$P$4:$P$503,(_calc!$E$179-500))),TEXT(INDEX('My equipment'!$P$4:$P$503,(_calc!$E$179-500)),"yyyy-mm-dd"),""))=0,"","Check by: "&amp;IF(ISNUMBER(INDEX('My equipment'!$P$4:$P$503,(_calc!$E$179-500))),TEXT(INDEX('My equipment'!$P$4:$P$503,(_calc!$E$179-500)),"yyyy-mm-dd"),"")&amp;". ")&amp;IF(LEN(IF(LEN(INDEX('My equipment'!$Q$4:$Q$503,(_calc!$E$179-500)))=0,"",INDEX('My equipment'!$Q$4:$Q$503,(_calc!$E$179-500))))=0,"","Claim status: "&amp;IF(LEN(INDEX('My equipment'!$Q$4:$Q$503,(_calc!$E$179-500)))=0,"",INDEX('My equipment'!$Q$4:$Q$503,(_calc!$E$179-500)))&amp;". ")&amp;IF(LEN(IF(LEN(INDEX('My equipment'!$R$4:$R$503,(_calc!$E$179-500)))=0,"",INDEX('My equipment'!$R$4:$R$503,(_calc!$E$179-500))))=0,"","Claims contact: "&amp;IF(LEN(INDEX('My equipment'!$R$4:$R$503,(_calc!$E$179-500)))=0,"",INDEX('My equipment'!$R$4:$R$503,(_calc!$E$179-500)))&amp;". ")&amp;IF(LEN(IF(LEN(INDEX('My equipment'!$S$4:$S$503,(_calc!$E$179-500)))=0,"",INDEX('My equipment'!$S$4:$S$503,(_calc!$E$179-500))))=0,"","Claims email: "&amp;IF(LEN(INDEX('My equipment'!$S$4:$S$503,(_calc!$E$179-500)))=0,"",INDEX('My equipment'!$S$4:$S$503,(_calc!$E$179-500)))&amp;". ")&amp;IF(LEN(IF(LEN(INDEX('My equipment'!$U$4:$U$503,(_calc!$E$179-500)))=0,"",INDEX('My equipment'!$U$4:$U$503,(_calc!$E$179-500))))=0,"","Registered: "&amp;IF(LEN(INDEX('My equipment'!$U$4:$U$503,(_calc!$E$179-500)))=0,"",INDEX('My equipment'!$U$4:$U$503,(_calc!$E$179-500)))&amp;". ")&amp;IF(LEN(IF(LEN(INDEX('My equipment'!$V$4:$V$503,(_calc!$E$179-500)))=0,"",INDEX('My equipment'!$V$4:$V$503,(_calc!$E$179-500))))=0,"","Proof on file: "&amp;IF(LEN(INDEX('My equipment'!$V$4:$V$503,(_calc!$E$179-500)))=0,"",INDEX('My equipment'!$V$4:$V$503,(_calc!$E$179-500)))&amp;". ")&amp;IF(LEN(IF(LEN(INDEX('My equipment'!$W$4:$W$503,(_calc!$E$179-500)))=0,"",INDEX('My equipment'!$W$4:$W$503,(_calc!$E$179-500))))=0,"","Claim ref: "&amp;IF(LEN(INDEX('My equipment'!$W$4:$W$503,(_calc!$E$179-500)))=0,"",INDEX('My equipment'!$W$4:$W$503,(_calc!$E$179-500)))&amp;". ")&amp;IF(LEN(IF(LEN(INDEX('My equipment'!$Y$4:$Y$503,(_calc!$E$179-500)))=0,"",INDEX('My equipment'!$Y$4:$Y$503,(_calc!$E$179-500))))=0,"",IF(LEN(INDEX('My equipment'!$Y$4:$Y$503,(_calc!$E$179-500)))=0,"",INDEX('My equipment'!$Y$4:$Y$503,(_calc!$E$179-500)))))))</f>
        <v/>
      </c>
      <c r="G177" s="54">
        <f>IF(_calc!$E$179="","",IF(_calc!$E$179&lt;=500,"",IF(LEN(INDEX('My equipment'!$X$4:$X$503,(_calc!$E$179-500)))=0,"",INDEX('My equipment'!$X$4:$X$503,(_calc!$E$179-500)))))</f>
        <v/>
      </c>
      <c r="K177" s="54">
        <f>IF(_calc!$E$179="","",IF(_calc!$E$179&lt;=500,"",IF(LEN(INDEX('My equipment'!$T$4:$T$503,(_calc!$E$179-500)))=0,"",INDEX('My equipment'!$T$4:$T$503,(_calc!$E$179-500)))))</f>
        <v/>
      </c>
    </row>
    <row r="178">
      <c r="A178" s="54">
        <f>IF(_calc!$E$180="","",IF(_calc!$E$180&lt;=500,"Warranty – "&amp;IF(LEN(INDEX('Dealer pipeline'!$C$4:$C$503,_calc!$E$180))=0,"",INDEX('Dealer pipeline'!$C$4:$C$503,_calc!$E$180))&amp;" – "&amp;IF(LEN(INDEX('Dealer pipeline'!$D$4:$D$503,_calc!$E$180))=0,"",INDEX('Dealer pipeline'!$D$4:$D$503,_calc!$E$180))&amp;" – "&amp;IF(LEN(INDEX('Dealer pipeline'!$A$4:$A$503,_calc!$E$180))=0,"",INDEX('Dealer pipeline'!$A$4:$A$503,_calc!$E$180)),"Warranty – "&amp;IF(LEN(INDEX('My equipment'!$A$4:$A$503,(_calc!$E$180-500)))=0,"",INDEX('My equipment'!$A$4:$A$503,(_calc!$E$180-500)))&amp;" – "&amp;IF(LEN(INDEX('My equipment'!$D$4:$D$503,(_calc!$E$180-500)))=0,"",INDEX('My equipment'!$D$4:$D$503,(_calc!$E$180-500)))))</f>
        <v/>
      </c>
      <c r="B178" s="54">
        <f>IF(_calc!$E$180="","",IF(_calc!$E$180&lt;=500,IF(ISNUMBER(INDEX('Dealer pipeline'!$M$4:$M$503,_calc!$E$180)),TEXT(INDEX('Dealer pipeline'!$M$4:$M$503,_calc!$E$180),"yyyy-mm-dd"),""),IF(ISNUMBER(INDEX('My equipment'!$M$4:$M$503,(_calc!$E$180-500))),TEXT(INDEX('My equipment'!$M$4:$M$503,(_calc!$E$180-500)),"yyyy-mm-dd"),"")))</f>
        <v/>
      </c>
      <c r="C178" s="54">
        <f>IF(_calc!$E$180="","",IF(_calc!$E$180&lt;=500,"Warranty","Warranty"))</f>
        <v/>
      </c>
      <c r="D178" s="54">
        <f>IF(_calc!$E$180="","",IF(_calc!$E$180&lt;=500,IF(ISNUMBER(INDEX('Dealer pipeline'!$H$4:$H$503,_calc!$E$180)),TEXT(INDEX('Dealer pipeline'!$H$4:$H$503,_calc!$E$180),"yyyy-mm-dd"),""),IF(ISNUMBER(INDEX('My equipment'!$H$4:$H$503,(_calc!$E$180-500))),TEXT(INDEX('My equipment'!$H$4:$H$503,(_calc!$E$180-500)),"yyyy-mm-dd"),"")))</f>
        <v/>
      </c>
      <c r="F178" s="54">
        <f>IF(_calc!$E$180="","",IF(_calc!$E$180&lt;=500,TRIM(IF(LEN(IF(LEN(INDEX('Dealer pipeline'!$A$4:$A$503,_calc!$E$180))=0,"",INDEX('Dealer pipeline'!$A$4:$A$503,_calc!$E$180)))=0,"","Customer: "&amp;IF(LEN(INDEX('Dealer pipeline'!$A$4:$A$503,_calc!$E$180))=0,"",INDEX('Dealer pipeline'!$A$4:$A$503,_calc!$E$180))&amp;". ")&amp;IF(LEN(IF(LEN(INDEX('Dealer pipeline'!$B$4:$B$503,_calc!$E$180))=0,"",INDEX('Dealer pipeline'!$B$4:$B$503,_calc!$E$180)))=0,"","Contact: "&amp;IF(LEN(INDEX('Dealer pipeline'!$B$4:$B$503,_calc!$E$180))=0,"",INDEX('Dealer pipeline'!$B$4:$B$503,_calc!$E$180))&amp;". ")&amp;IF(LEN(IF(LEN(INDEX('Dealer pipeline'!$D$4:$D$503,_calc!$E$180))=0,"",INDEX('Dealer pipeline'!$D$4:$D$503,_calc!$E$180)))=0,"","Serial: "&amp;IF(LEN(INDEX('Dealer pipeline'!$D$4:$D$503,_calc!$E$180))=0,"",INDEX('Dealer pipeline'!$D$4:$D$503,_calc!$E$180))&amp;". ")&amp;IF(LEN(IF(ISNUMBER(INDEX('Dealer pipeline'!$J$4:$J$503,_calc!$E$180)),TEXT(INDEX('Dealer pipeline'!$J$4:$J$503,_calc!$E$180),"yyyy-mm-dd"),""))=0,"","Parts end: "&amp;IF(ISNUMBER(INDEX('Dealer pipeline'!$J$4:$J$503,_calc!$E$180)),TEXT(INDEX('Dealer pipeline'!$J$4:$J$503,_calc!$E$180),"yyyy-mm-dd"),"")&amp;". ")&amp;IF(LEN(IF(ISNUMBER(INDEX('Dealer pipeline'!$L$4:$L$503,_calc!$E$180)),TEXT(INDEX('Dealer pipeline'!$L$4:$L$503,_calc!$E$180),"yyyy-mm-dd"),""))=0,"","Labor end: "&amp;IF(ISNUMBER(INDEX('Dealer pipeline'!$L$4:$L$503,_calc!$E$180)),TEXT(INDEX('Dealer pipeline'!$L$4:$L$503,_calc!$E$180),"yyyy-mm-dd"),"")&amp;". ")&amp;IF(LEN(IF(LEN(INDEX('Dealer pipeline'!$Q$4:$Q$503,_calc!$E$180))=0,"",INDEX('Dealer pipeline'!$Q$4:$Q$503,_calc!$E$180)))=0,"","Status: "&amp;IF(LEN(INDEX('Dealer pipeline'!$Q$4:$Q$503,_calc!$E$180))=0,"",INDEX('Dealer pipeline'!$Q$4:$Q$503,_calc!$E$180))&amp;". ")&amp;IF(LEN(IF(LEN(INDEX('Dealer pipeline'!$P$4:$P$503,_calc!$E$180))=0,"",INDEX('Dealer pipeline'!$P$4:$P$503,_calc!$E$180)))=0,"","Last touch: "&amp;IF(LEN(INDEX('Dealer pipeline'!$P$4:$P$503,_calc!$E$180))=0,"",INDEX('Dealer pipeline'!$P$4:$P$503,_calc!$E$180))&amp;". ")&amp;IF(LEN(IF(LEN(INDEX('Dealer pipeline'!$R$4:$R$503,_calc!$E$180))=0,"",INDEX('Dealer pipeline'!$R$4:$R$503,_calc!$E$180)))=0,"","Owner: "&amp;IF(LEN(INDEX('Dealer pipeline'!$R$4:$R$503,_calc!$E$180))=0,"",INDEX('Dealer pipeline'!$R$4:$R$503,_calc!$E$180))&amp;". ")&amp;IF(LEN(IF(LEN(INDEX('Dealer pipeline'!$S$4:$S$503,_calc!$E$180))=0,"",INDEX('Dealer pipeline'!$S$4:$S$503,_calc!$E$180)))=0,"","Backup: "&amp;IF(LEN(INDEX('Dealer pipeline'!$S$4:$S$503,_calc!$E$180))=0,"",INDEX('Dealer pipeline'!$S$4:$S$503,_calc!$E$180))&amp;". ")&amp;IF(LEN(IF(LEN(INDEX('Dealer pipeline'!$T$4:$T$503,_calc!$E$180))=0,"",INDEX('Dealer pipeline'!$T$4:$T$503,_calc!$E$180)))=0,"",IF(LEN(INDEX('Dealer pipeline'!$T$4:$T$503,_calc!$E$180))=0,"",INDEX('Dealer pipeline'!$T$4:$T$503,_calc!$E$180)))),TRIM(IF(LEN(IF(LEN(INDEX('My equipment'!$C$4:$C$503,(_calc!$E$180-500)))=0,"",INDEX('My equipment'!$C$4:$C$503,(_calc!$E$180-500))))=0,"","Model: "&amp;IF(LEN(INDEX('My equipment'!$C$4:$C$503,(_calc!$E$180-500)))=0,"",INDEX('My equipment'!$C$4:$C$503,(_calc!$E$180-500)))&amp;". ")&amp;IF(LEN(IF(LEN(INDEX('My equipment'!$D$4:$D$503,(_calc!$E$180-500)))=0,"",INDEX('My equipment'!$D$4:$D$503,(_calc!$E$180-500))))=0,"","Serial: "&amp;IF(LEN(INDEX('My equipment'!$D$4:$D$503,(_calc!$E$180-500)))=0,"",INDEX('My equipment'!$D$4:$D$503,(_calc!$E$180-500)))&amp;". ")&amp;IF(LEN(IF(ISNUMBER(INDEX('My equipment'!$J$4:$J$503,(_calc!$E$180-500))),TEXT(INDEX('My equipment'!$J$4:$J$503,(_calc!$E$180-500)),"yyyy-mm-dd"),""))=0,"","Parts end: "&amp;IF(ISNUMBER(INDEX('My equipment'!$J$4:$J$503,(_calc!$E$180-500))),TEXT(INDEX('My equipment'!$J$4:$J$503,(_calc!$E$180-500)),"yyyy-mm-dd"),"")&amp;". ")&amp;IF(LEN(IF(ISNUMBER(INDEX('My equipment'!$L$4:$L$503,(_calc!$E$180-500))),TEXT(INDEX('My equipment'!$L$4:$L$503,(_calc!$E$180-500)),"yyyy-mm-dd"),""))=0,"","Labor end: "&amp;IF(ISNUMBER(INDEX('My equipment'!$L$4:$L$503,(_calc!$E$180-500))),TEXT(INDEX('My equipment'!$L$4:$L$503,(_calc!$E$180-500)),"yyyy-mm-dd"),"")&amp;". ")&amp;IF(LEN(IF(ISNUMBER(INDEX('My equipment'!$P$4:$P$503,(_calc!$E$180-500))),TEXT(INDEX('My equipment'!$P$4:$P$503,(_calc!$E$180-500)),"yyyy-mm-dd"),""))=0,"","Check by: "&amp;IF(ISNUMBER(INDEX('My equipment'!$P$4:$P$503,(_calc!$E$180-500))),TEXT(INDEX('My equipment'!$P$4:$P$503,(_calc!$E$180-500)),"yyyy-mm-dd"),"")&amp;". ")&amp;IF(LEN(IF(LEN(INDEX('My equipment'!$Q$4:$Q$503,(_calc!$E$180-500)))=0,"",INDEX('My equipment'!$Q$4:$Q$503,(_calc!$E$180-500))))=0,"","Claim status: "&amp;IF(LEN(INDEX('My equipment'!$Q$4:$Q$503,(_calc!$E$180-500)))=0,"",INDEX('My equipment'!$Q$4:$Q$503,(_calc!$E$180-500)))&amp;". ")&amp;IF(LEN(IF(LEN(INDEX('My equipment'!$R$4:$R$503,(_calc!$E$180-500)))=0,"",INDEX('My equipment'!$R$4:$R$503,(_calc!$E$180-500))))=0,"","Claims contact: "&amp;IF(LEN(INDEX('My equipment'!$R$4:$R$503,(_calc!$E$180-500)))=0,"",INDEX('My equipment'!$R$4:$R$503,(_calc!$E$180-500)))&amp;". ")&amp;IF(LEN(IF(LEN(INDEX('My equipment'!$S$4:$S$503,(_calc!$E$180-500)))=0,"",INDEX('My equipment'!$S$4:$S$503,(_calc!$E$180-500))))=0,"","Claims email: "&amp;IF(LEN(INDEX('My equipment'!$S$4:$S$503,(_calc!$E$180-500)))=0,"",INDEX('My equipment'!$S$4:$S$503,(_calc!$E$180-500)))&amp;". ")&amp;IF(LEN(IF(LEN(INDEX('My equipment'!$U$4:$U$503,(_calc!$E$180-500)))=0,"",INDEX('My equipment'!$U$4:$U$503,(_calc!$E$180-500))))=0,"","Registered: "&amp;IF(LEN(INDEX('My equipment'!$U$4:$U$503,(_calc!$E$180-500)))=0,"",INDEX('My equipment'!$U$4:$U$503,(_calc!$E$180-500)))&amp;". ")&amp;IF(LEN(IF(LEN(INDEX('My equipment'!$V$4:$V$503,(_calc!$E$180-500)))=0,"",INDEX('My equipment'!$V$4:$V$503,(_calc!$E$180-500))))=0,"","Proof on file: "&amp;IF(LEN(INDEX('My equipment'!$V$4:$V$503,(_calc!$E$180-500)))=0,"",INDEX('My equipment'!$V$4:$V$503,(_calc!$E$180-500)))&amp;". ")&amp;IF(LEN(IF(LEN(INDEX('My equipment'!$W$4:$W$503,(_calc!$E$180-500)))=0,"",INDEX('My equipment'!$W$4:$W$503,(_calc!$E$180-500))))=0,"","Claim ref: "&amp;IF(LEN(INDEX('My equipment'!$W$4:$W$503,(_calc!$E$180-500)))=0,"",INDEX('My equipment'!$W$4:$W$503,(_calc!$E$180-500)))&amp;". ")&amp;IF(LEN(IF(LEN(INDEX('My equipment'!$Y$4:$Y$503,(_calc!$E$180-500)))=0,"",INDEX('My equipment'!$Y$4:$Y$503,(_calc!$E$180-500))))=0,"",IF(LEN(INDEX('My equipment'!$Y$4:$Y$503,(_calc!$E$180-500)))=0,"",INDEX('My equipment'!$Y$4:$Y$503,(_calc!$E$180-500)))))))</f>
        <v/>
      </c>
      <c r="G178" s="54">
        <f>IF(_calc!$E$180="","",IF(_calc!$E$180&lt;=500,"",IF(LEN(INDEX('My equipment'!$X$4:$X$503,(_calc!$E$180-500)))=0,"",INDEX('My equipment'!$X$4:$X$503,(_calc!$E$180-500)))))</f>
        <v/>
      </c>
      <c r="K178" s="54">
        <f>IF(_calc!$E$180="","",IF(_calc!$E$180&lt;=500,"",IF(LEN(INDEX('My equipment'!$T$4:$T$503,(_calc!$E$180-500)))=0,"",INDEX('My equipment'!$T$4:$T$503,(_calc!$E$180-500)))))</f>
        <v/>
      </c>
    </row>
    <row r="179">
      <c r="A179" s="54">
        <f>IF(_calc!$E$181="","",IF(_calc!$E$181&lt;=500,"Warranty – "&amp;IF(LEN(INDEX('Dealer pipeline'!$C$4:$C$503,_calc!$E$181))=0,"",INDEX('Dealer pipeline'!$C$4:$C$503,_calc!$E$181))&amp;" – "&amp;IF(LEN(INDEX('Dealer pipeline'!$D$4:$D$503,_calc!$E$181))=0,"",INDEX('Dealer pipeline'!$D$4:$D$503,_calc!$E$181))&amp;" – "&amp;IF(LEN(INDEX('Dealer pipeline'!$A$4:$A$503,_calc!$E$181))=0,"",INDEX('Dealer pipeline'!$A$4:$A$503,_calc!$E$181)),"Warranty – "&amp;IF(LEN(INDEX('My equipment'!$A$4:$A$503,(_calc!$E$181-500)))=0,"",INDEX('My equipment'!$A$4:$A$503,(_calc!$E$181-500)))&amp;" – "&amp;IF(LEN(INDEX('My equipment'!$D$4:$D$503,(_calc!$E$181-500)))=0,"",INDEX('My equipment'!$D$4:$D$503,(_calc!$E$181-500)))))</f>
        <v/>
      </c>
      <c r="B179" s="54">
        <f>IF(_calc!$E$181="","",IF(_calc!$E$181&lt;=500,IF(ISNUMBER(INDEX('Dealer pipeline'!$M$4:$M$503,_calc!$E$181)),TEXT(INDEX('Dealer pipeline'!$M$4:$M$503,_calc!$E$181),"yyyy-mm-dd"),""),IF(ISNUMBER(INDEX('My equipment'!$M$4:$M$503,(_calc!$E$181-500))),TEXT(INDEX('My equipment'!$M$4:$M$503,(_calc!$E$181-500)),"yyyy-mm-dd"),"")))</f>
        <v/>
      </c>
      <c r="C179" s="54">
        <f>IF(_calc!$E$181="","",IF(_calc!$E$181&lt;=500,"Warranty","Warranty"))</f>
        <v/>
      </c>
      <c r="D179" s="54">
        <f>IF(_calc!$E$181="","",IF(_calc!$E$181&lt;=500,IF(ISNUMBER(INDEX('Dealer pipeline'!$H$4:$H$503,_calc!$E$181)),TEXT(INDEX('Dealer pipeline'!$H$4:$H$503,_calc!$E$181),"yyyy-mm-dd"),""),IF(ISNUMBER(INDEX('My equipment'!$H$4:$H$503,(_calc!$E$181-500))),TEXT(INDEX('My equipment'!$H$4:$H$503,(_calc!$E$181-500)),"yyyy-mm-dd"),"")))</f>
        <v/>
      </c>
      <c r="F179" s="54">
        <f>IF(_calc!$E$181="","",IF(_calc!$E$181&lt;=500,TRIM(IF(LEN(IF(LEN(INDEX('Dealer pipeline'!$A$4:$A$503,_calc!$E$181))=0,"",INDEX('Dealer pipeline'!$A$4:$A$503,_calc!$E$181)))=0,"","Customer: "&amp;IF(LEN(INDEX('Dealer pipeline'!$A$4:$A$503,_calc!$E$181))=0,"",INDEX('Dealer pipeline'!$A$4:$A$503,_calc!$E$181))&amp;". ")&amp;IF(LEN(IF(LEN(INDEX('Dealer pipeline'!$B$4:$B$503,_calc!$E$181))=0,"",INDEX('Dealer pipeline'!$B$4:$B$503,_calc!$E$181)))=0,"","Contact: "&amp;IF(LEN(INDEX('Dealer pipeline'!$B$4:$B$503,_calc!$E$181))=0,"",INDEX('Dealer pipeline'!$B$4:$B$503,_calc!$E$181))&amp;". ")&amp;IF(LEN(IF(LEN(INDEX('Dealer pipeline'!$D$4:$D$503,_calc!$E$181))=0,"",INDEX('Dealer pipeline'!$D$4:$D$503,_calc!$E$181)))=0,"","Serial: "&amp;IF(LEN(INDEX('Dealer pipeline'!$D$4:$D$503,_calc!$E$181))=0,"",INDEX('Dealer pipeline'!$D$4:$D$503,_calc!$E$181))&amp;". ")&amp;IF(LEN(IF(ISNUMBER(INDEX('Dealer pipeline'!$J$4:$J$503,_calc!$E$181)),TEXT(INDEX('Dealer pipeline'!$J$4:$J$503,_calc!$E$181),"yyyy-mm-dd"),""))=0,"","Parts end: "&amp;IF(ISNUMBER(INDEX('Dealer pipeline'!$J$4:$J$503,_calc!$E$181)),TEXT(INDEX('Dealer pipeline'!$J$4:$J$503,_calc!$E$181),"yyyy-mm-dd"),"")&amp;". ")&amp;IF(LEN(IF(ISNUMBER(INDEX('Dealer pipeline'!$L$4:$L$503,_calc!$E$181)),TEXT(INDEX('Dealer pipeline'!$L$4:$L$503,_calc!$E$181),"yyyy-mm-dd"),""))=0,"","Labor end: "&amp;IF(ISNUMBER(INDEX('Dealer pipeline'!$L$4:$L$503,_calc!$E$181)),TEXT(INDEX('Dealer pipeline'!$L$4:$L$503,_calc!$E$181),"yyyy-mm-dd"),"")&amp;". ")&amp;IF(LEN(IF(LEN(INDEX('Dealer pipeline'!$Q$4:$Q$503,_calc!$E$181))=0,"",INDEX('Dealer pipeline'!$Q$4:$Q$503,_calc!$E$181)))=0,"","Status: "&amp;IF(LEN(INDEX('Dealer pipeline'!$Q$4:$Q$503,_calc!$E$181))=0,"",INDEX('Dealer pipeline'!$Q$4:$Q$503,_calc!$E$181))&amp;". ")&amp;IF(LEN(IF(LEN(INDEX('Dealer pipeline'!$P$4:$P$503,_calc!$E$181))=0,"",INDEX('Dealer pipeline'!$P$4:$P$503,_calc!$E$181)))=0,"","Last touch: "&amp;IF(LEN(INDEX('Dealer pipeline'!$P$4:$P$503,_calc!$E$181))=0,"",INDEX('Dealer pipeline'!$P$4:$P$503,_calc!$E$181))&amp;". ")&amp;IF(LEN(IF(LEN(INDEX('Dealer pipeline'!$R$4:$R$503,_calc!$E$181))=0,"",INDEX('Dealer pipeline'!$R$4:$R$503,_calc!$E$181)))=0,"","Owner: "&amp;IF(LEN(INDEX('Dealer pipeline'!$R$4:$R$503,_calc!$E$181))=0,"",INDEX('Dealer pipeline'!$R$4:$R$503,_calc!$E$181))&amp;". ")&amp;IF(LEN(IF(LEN(INDEX('Dealer pipeline'!$S$4:$S$503,_calc!$E$181))=0,"",INDEX('Dealer pipeline'!$S$4:$S$503,_calc!$E$181)))=0,"","Backup: "&amp;IF(LEN(INDEX('Dealer pipeline'!$S$4:$S$503,_calc!$E$181))=0,"",INDEX('Dealer pipeline'!$S$4:$S$503,_calc!$E$181))&amp;". ")&amp;IF(LEN(IF(LEN(INDEX('Dealer pipeline'!$T$4:$T$503,_calc!$E$181))=0,"",INDEX('Dealer pipeline'!$T$4:$T$503,_calc!$E$181)))=0,"",IF(LEN(INDEX('Dealer pipeline'!$T$4:$T$503,_calc!$E$181))=0,"",INDEX('Dealer pipeline'!$T$4:$T$503,_calc!$E$181)))),TRIM(IF(LEN(IF(LEN(INDEX('My equipment'!$C$4:$C$503,(_calc!$E$181-500)))=0,"",INDEX('My equipment'!$C$4:$C$503,(_calc!$E$181-500))))=0,"","Model: "&amp;IF(LEN(INDEX('My equipment'!$C$4:$C$503,(_calc!$E$181-500)))=0,"",INDEX('My equipment'!$C$4:$C$503,(_calc!$E$181-500)))&amp;". ")&amp;IF(LEN(IF(LEN(INDEX('My equipment'!$D$4:$D$503,(_calc!$E$181-500)))=0,"",INDEX('My equipment'!$D$4:$D$503,(_calc!$E$181-500))))=0,"","Serial: "&amp;IF(LEN(INDEX('My equipment'!$D$4:$D$503,(_calc!$E$181-500)))=0,"",INDEX('My equipment'!$D$4:$D$503,(_calc!$E$181-500)))&amp;". ")&amp;IF(LEN(IF(ISNUMBER(INDEX('My equipment'!$J$4:$J$503,(_calc!$E$181-500))),TEXT(INDEX('My equipment'!$J$4:$J$503,(_calc!$E$181-500)),"yyyy-mm-dd"),""))=0,"","Parts end: "&amp;IF(ISNUMBER(INDEX('My equipment'!$J$4:$J$503,(_calc!$E$181-500))),TEXT(INDEX('My equipment'!$J$4:$J$503,(_calc!$E$181-500)),"yyyy-mm-dd"),"")&amp;". ")&amp;IF(LEN(IF(ISNUMBER(INDEX('My equipment'!$L$4:$L$503,(_calc!$E$181-500))),TEXT(INDEX('My equipment'!$L$4:$L$503,(_calc!$E$181-500)),"yyyy-mm-dd"),""))=0,"","Labor end: "&amp;IF(ISNUMBER(INDEX('My equipment'!$L$4:$L$503,(_calc!$E$181-500))),TEXT(INDEX('My equipment'!$L$4:$L$503,(_calc!$E$181-500)),"yyyy-mm-dd"),"")&amp;". ")&amp;IF(LEN(IF(ISNUMBER(INDEX('My equipment'!$P$4:$P$503,(_calc!$E$181-500))),TEXT(INDEX('My equipment'!$P$4:$P$503,(_calc!$E$181-500)),"yyyy-mm-dd"),""))=0,"","Check by: "&amp;IF(ISNUMBER(INDEX('My equipment'!$P$4:$P$503,(_calc!$E$181-500))),TEXT(INDEX('My equipment'!$P$4:$P$503,(_calc!$E$181-500)),"yyyy-mm-dd"),"")&amp;". ")&amp;IF(LEN(IF(LEN(INDEX('My equipment'!$Q$4:$Q$503,(_calc!$E$181-500)))=0,"",INDEX('My equipment'!$Q$4:$Q$503,(_calc!$E$181-500))))=0,"","Claim status: "&amp;IF(LEN(INDEX('My equipment'!$Q$4:$Q$503,(_calc!$E$181-500)))=0,"",INDEX('My equipment'!$Q$4:$Q$503,(_calc!$E$181-500)))&amp;". ")&amp;IF(LEN(IF(LEN(INDEX('My equipment'!$R$4:$R$503,(_calc!$E$181-500)))=0,"",INDEX('My equipment'!$R$4:$R$503,(_calc!$E$181-500))))=0,"","Claims contact: "&amp;IF(LEN(INDEX('My equipment'!$R$4:$R$503,(_calc!$E$181-500)))=0,"",INDEX('My equipment'!$R$4:$R$503,(_calc!$E$181-500)))&amp;". ")&amp;IF(LEN(IF(LEN(INDEX('My equipment'!$S$4:$S$503,(_calc!$E$181-500)))=0,"",INDEX('My equipment'!$S$4:$S$503,(_calc!$E$181-500))))=0,"","Claims email: "&amp;IF(LEN(INDEX('My equipment'!$S$4:$S$503,(_calc!$E$181-500)))=0,"",INDEX('My equipment'!$S$4:$S$503,(_calc!$E$181-500)))&amp;". ")&amp;IF(LEN(IF(LEN(INDEX('My equipment'!$U$4:$U$503,(_calc!$E$181-500)))=0,"",INDEX('My equipment'!$U$4:$U$503,(_calc!$E$181-500))))=0,"","Registered: "&amp;IF(LEN(INDEX('My equipment'!$U$4:$U$503,(_calc!$E$181-500)))=0,"",INDEX('My equipment'!$U$4:$U$503,(_calc!$E$181-500)))&amp;". ")&amp;IF(LEN(IF(LEN(INDEX('My equipment'!$V$4:$V$503,(_calc!$E$181-500)))=0,"",INDEX('My equipment'!$V$4:$V$503,(_calc!$E$181-500))))=0,"","Proof on file: "&amp;IF(LEN(INDEX('My equipment'!$V$4:$V$503,(_calc!$E$181-500)))=0,"",INDEX('My equipment'!$V$4:$V$503,(_calc!$E$181-500)))&amp;". ")&amp;IF(LEN(IF(LEN(INDEX('My equipment'!$W$4:$W$503,(_calc!$E$181-500)))=0,"",INDEX('My equipment'!$W$4:$W$503,(_calc!$E$181-500))))=0,"","Claim ref: "&amp;IF(LEN(INDEX('My equipment'!$W$4:$W$503,(_calc!$E$181-500)))=0,"",INDEX('My equipment'!$W$4:$W$503,(_calc!$E$181-500)))&amp;". ")&amp;IF(LEN(IF(LEN(INDEX('My equipment'!$Y$4:$Y$503,(_calc!$E$181-500)))=0,"",INDEX('My equipment'!$Y$4:$Y$503,(_calc!$E$181-500))))=0,"",IF(LEN(INDEX('My equipment'!$Y$4:$Y$503,(_calc!$E$181-500)))=0,"",INDEX('My equipment'!$Y$4:$Y$503,(_calc!$E$181-500)))))))</f>
        <v/>
      </c>
      <c r="G179" s="54">
        <f>IF(_calc!$E$181="","",IF(_calc!$E$181&lt;=500,"",IF(LEN(INDEX('My equipment'!$X$4:$X$503,(_calc!$E$181-500)))=0,"",INDEX('My equipment'!$X$4:$X$503,(_calc!$E$181-500)))))</f>
        <v/>
      </c>
      <c r="K179" s="54">
        <f>IF(_calc!$E$181="","",IF(_calc!$E$181&lt;=500,"",IF(LEN(INDEX('My equipment'!$T$4:$T$503,(_calc!$E$181-500)))=0,"",INDEX('My equipment'!$T$4:$T$503,(_calc!$E$181-500)))))</f>
        <v/>
      </c>
    </row>
    <row r="180">
      <c r="A180" s="54">
        <f>IF(_calc!$E$182="","",IF(_calc!$E$182&lt;=500,"Warranty – "&amp;IF(LEN(INDEX('Dealer pipeline'!$C$4:$C$503,_calc!$E$182))=0,"",INDEX('Dealer pipeline'!$C$4:$C$503,_calc!$E$182))&amp;" – "&amp;IF(LEN(INDEX('Dealer pipeline'!$D$4:$D$503,_calc!$E$182))=0,"",INDEX('Dealer pipeline'!$D$4:$D$503,_calc!$E$182))&amp;" – "&amp;IF(LEN(INDEX('Dealer pipeline'!$A$4:$A$503,_calc!$E$182))=0,"",INDEX('Dealer pipeline'!$A$4:$A$503,_calc!$E$182)),"Warranty – "&amp;IF(LEN(INDEX('My equipment'!$A$4:$A$503,(_calc!$E$182-500)))=0,"",INDEX('My equipment'!$A$4:$A$503,(_calc!$E$182-500)))&amp;" – "&amp;IF(LEN(INDEX('My equipment'!$D$4:$D$503,(_calc!$E$182-500)))=0,"",INDEX('My equipment'!$D$4:$D$503,(_calc!$E$182-500)))))</f>
        <v/>
      </c>
      <c r="B180" s="54">
        <f>IF(_calc!$E$182="","",IF(_calc!$E$182&lt;=500,IF(ISNUMBER(INDEX('Dealer pipeline'!$M$4:$M$503,_calc!$E$182)),TEXT(INDEX('Dealer pipeline'!$M$4:$M$503,_calc!$E$182),"yyyy-mm-dd"),""),IF(ISNUMBER(INDEX('My equipment'!$M$4:$M$503,(_calc!$E$182-500))),TEXT(INDEX('My equipment'!$M$4:$M$503,(_calc!$E$182-500)),"yyyy-mm-dd"),"")))</f>
        <v/>
      </c>
      <c r="C180" s="54">
        <f>IF(_calc!$E$182="","",IF(_calc!$E$182&lt;=500,"Warranty","Warranty"))</f>
        <v/>
      </c>
      <c r="D180" s="54">
        <f>IF(_calc!$E$182="","",IF(_calc!$E$182&lt;=500,IF(ISNUMBER(INDEX('Dealer pipeline'!$H$4:$H$503,_calc!$E$182)),TEXT(INDEX('Dealer pipeline'!$H$4:$H$503,_calc!$E$182),"yyyy-mm-dd"),""),IF(ISNUMBER(INDEX('My equipment'!$H$4:$H$503,(_calc!$E$182-500))),TEXT(INDEX('My equipment'!$H$4:$H$503,(_calc!$E$182-500)),"yyyy-mm-dd"),"")))</f>
        <v/>
      </c>
      <c r="F180" s="54">
        <f>IF(_calc!$E$182="","",IF(_calc!$E$182&lt;=500,TRIM(IF(LEN(IF(LEN(INDEX('Dealer pipeline'!$A$4:$A$503,_calc!$E$182))=0,"",INDEX('Dealer pipeline'!$A$4:$A$503,_calc!$E$182)))=0,"","Customer: "&amp;IF(LEN(INDEX('Dealer pipeline'!$A$4:$A$503,_calc!$E$182))=0,"",INDEX('Dealer pipeline'!$A$4:$A$503,_calc!$E$182))&amp;". ")&amp;IF(LEN(IF(LEN(INDEX('Dealer pipeline'!$B$4:$B$503,_calc!$E$182))=0,"",INDEX('Dealer pipeline'!$B$4:$B$503,_calc!$E$182)))=0,"","Contact: "&amp;IF(LEN(INDEX('Dealer pipeline'!$B$4:$B$503,_calc!$E$182))=0,"",INDEX('Dealer pipeline'!$B$4:$B$503,_calc!$E$182))&amp;". ")&amp;IF(LEN(IF(LEN(INDEX('Dealer pipeline'!$D$4:$D$503,_calc!$E$182))=0,"",INDEX('Dealer pipeline'!$D$4:$D$503,_calc!$E$182)))=0,"","Serial: "&amp;IF(LEN(INDEX('Dealer pipeline'!$D$4:$D$503,_calc!$E$182))=0,"",INDEX('Dealer pipeline'!$D$4:$D$503,_calc!$E$182))&amp;". ")&amp;IF(LEN(IF(ISNUMBER(INDEX('Dealer pipeline'!$J$4:$J$503,_calc!$E$182)),TEXT(INDEX('Dealer pipeline'!$J$4:$J$503,_calc!$E$182),"yyyy-mm-dd"),""))=0,"","Parts end: "&amp;IF(ISNUMBER(INDEX('Dealer pipeline'!$J$4:$J$503,_calc!$E$182)),TEXT(INDEX('Dealer pipeline'!$J$4:$J$503,_calc!$E$182),"yyyy-mm-dd"),"")&amp;". ")&amp;IF(LEN(IF(ISNUMBER(INDEX('Dealer pipeline'!$L$4:$L$503,_calc!$E$182)),TEXT(INDEX('Dealer pipeline'!$L$4:$L$503,_calc!$E$182),"yyyy-mm-dd"),""))=0,"","Labor end: "&amp;IF(ISNUMBER(INDEX('Dealer pipeline'!$L$4:$L$503,_calc!$E$182)),TEXT(INDEX('Dealer pipeline'!$L$4:$L$503,_calc!$E$182),"yyyy-mm-dd"),"")&amp;". ")&amp;IF(LEN(IF(LEN(INDEX('Dealer pipeline'!$Q$4:$Q$503,_calc!$E$182))=0,"",INDEX('Dealer pipeline'!$Q$4:$Q$503,_calc!$E$182)))=0,"","Status: "&amp;IF(LEN(INDEX('Dealer pipeline'!$Q$4:$Q$503,_calc!$E$182))=0,"",INDEX('Dealer pipeline'!$Q$4:$Q$503,_calc!$E$182))&amp;". ")&amp;IF(LEN(IF(LEN(INDEX('Dealer pipeline'!$P$4:$P$503,_calc!$E$182))=0,"",INDEX('Dealer pipeline'!$P$4:$P$503,_calc!$E$182)))=0,"","Last touch: "&amp;IF(LEN(INDEX('Dealer pipeline'!$P$4:$P$503,_calc!$E$182))=0,"",INDEX('Dealer pipeline'!$P$4:$P$503,_calc!$E$182))&amp;". ")&amp;IF(LEN(IF(LEN(INDEX('Dealer pipeline'!$R$4:$R$503,_calc!$E$182))=0,"",INDEX('Dealer pipeline'!$R$4:$R$503,_calc!$E$182)))=0,"","Owner: "&amp;IF(LEN(INDEX('Dealer pipeline'!$R$4:$R$503,_calc!$E$182))=0,"",INDEX('Dealer pipeline'!$R$4:$R$503,_calc!$E$182))&amp;". ")&amp;IF(LEN(IF(LEN(INDEX('Dealer pipeline'!$S$4:$S$503,_calc!$E$182))=0,"",INDEX('Dealer pipeline'!$S$4:$S$503,_calc!$E$182)))=0,"","Backup: "&amp;IF(LEN(INDEX('Dealer pipeline'!$S$4:$S$503,_calc!$E$182))=0,"",INDEX('Dealer pipeline'!$S$4:$S$503,_calc!$E$182))&amp;". ")&amp;IF(LEN(IF(LEN(INDEX('Dealer pipeline'!$T$4:$T$503,_calc!$E$182))=0,"",INDEX('Dealer pipeline'!$T$4:$T$503,_calc!$E$182)))=0,"",IF(LEN(INDEX('Dealer pipeline'!$T$4:$T$503,_calc!$E$182))=0,"",INDEX('Dealer pipeline'!$T$4:$T$503,_calc!$E$182)))),TRIM(IF(LEN(IF(LEN(INDEX('My equipment'!$C$4:$C$503,(_calc!$E$182-500)))=0,"",INDEX('My equipment'!$C$4:$C$503,(_calc!$E$182-500))))=0,"","Model: "&amp;IF(LEN(INDEX('My equipment'!$C$4:$C$503,(_calc!$E$182-500)))=0,"",INDEX('My equipment'!$C$4:$C$503,(_calc!$E$182-500)))&amp;". ")&amp;IF(LEN(IF(LEN(INDEX('My equipment'!$D$4:$D$503,(_calc!$E$182-500)))=0,"",INDEX('My equipment'!$D$4:$D$503,(_calc!$E$182-500))))=0,"","Serial: "&amp;IF(LEN(INDEX('My equipment'!$D$4:$D$503,(_calc!$E$182-500)))=0,"",INDEX('My equipment'!$D$4:$D$503,(_calc!$E$182-500)))&amp;". ")&amp;IF(LEN(IF(ISNUMBER(INDEX('My equipment'!$J$4:$J$503,(_calc!$E$182-500))),TEXT(INDEX('My equipment'!$J$4:$J$503,(_calc!$E$182-500)),"yyyy-mm-dd"),""))=0,"","Parts end: "&amp;IF(ISNUMBER(INDEX('My equipment'!$J$4:$J$503,(_calc!$E$182-500))),TEXT(INDEX('My equipment'!$J$4:$J$503,(_calc!$E$182-500)),"yyyy-mm-dd"),"")&amp;". ")&amp;IF(LEN(IF(ISNUMBER(INDEX('My equipment'!$L$4:$L$503,(_calc!$E$182-500))),TEXT(INDEX('My equipment'!$L$4:$L$503,(_calc!$E$182-500)),"yyyy-mm-dd"),""))=0,"","Labor end: "&amp;IF(ISNUMBER(INDEX('My equipment'!$L$4:$L$503,(_calc!$E$182-500))),TEXT(INDEX('My equipment'!$L$4:$L$503,(_calc!$E$182-500)),"yyyy-mm-dd"),"")&amp;". ")&amp;IF(LEN(IF(ISNUMBER(INDEX('My equipment'!$P$4:$P$503,(_calc!$E$182-500))),TEXT(INDEX('My equipment'!$P$4:$P$503,(_calc!$E$182-500)),"yyyy-mm-dd"),""))=0,"","Check by: "&amp;IF(ISNUMBER(INDEX('My equipment'!$P$4:$P$503,(_calc!$E$182-500))),TEXT(INDEX('My equipment'!$P$4:$P$503,(_calc!$E$182-500)),"yyyy-mm-dd"),"")&amp;". ")&amp;IF(LEN(IF(LEN(INDEX('My equipment'!$Q$4:$Q$503,(_calc!$E$182-500)))=0,"",INDEX('My equipment'!$Q$4:$Q$503,(_calc!$E$182-500))))=0,"","Claim status: "&amp;IF(LEN(INDEX('My equipment'!$Q$4:$Q$503,(_calc!$E$182-500)))=0,"",INDEX('My equipment'!$Q$4:$Q$503,(_calc!$E$182-500)))&amp;". ")&amp;IF(LEN(IF(LEN(INDEX('My equipment'!$R$4:$R$503,(_calc!$E$182-500)))=0,"",INDEX('My equipment'!$R$4:$R$503,(_calc!$E$182-500))))=0,"","Claims contact: "&amp;IF(LEN(INDEX('My equipment'!$R$4:$R$503,(_calc!$E$182-500)))=0,"",INDEX('My equipment'!$R$4:$R$503,(_calc!$E$182-500)))&amp;". ")&amp;IF(LEN(IF(LEN(INDEX('My equipment'!$S$4:$S$503,(_calc!$E$182-500)))=0,"",INDEX('My equipment'!$S$4:$S$503,(_calc!$E$182-500))))=0,"","Claims email: "&amp;IF(LEN(INDEX('My equipment'!$S$4:$S$503,(_calc!$E$182-500)))=0,"",INDEX('My equipment'!$S$4:$S$503,(_calc!$E$182-500)))&amp;". ")&amp;IF(LEN(IF(LEN(INDEX('My equipment'!$U$4:$U$503,(_calc!$E$182-500)))=0,"",INDEX('My equipment'!$U$4:$U$503,(_calc!$E$182-500))))=0,"","Registered: "&amp;IF(LEN(INDEX('My equipment'!$U$4:$U$503,(_calc!$E$182-500)))=0,"",INDEX('My equipment'!$U$4:$U$503,(_calc!$E$182-500)))&amp;". ")&amp;IF(LEN(IF(LEN(INDEX('My equipment'!$V$4:$V$503,(_calc!$E$182-500)))=0,"",INDEX('My equipment'!$V$4:$V$503,(_calc!$E$182-500))))=0,"","Proof on file: "&amp;IF(LEN(INDEX('My equipment'!$V$4:$V$503,(_calc!$E$182-500)))=0,"",INDEX('My equipment'!$V$4:$V$503,(_calc!$E$182-500)))&amp;". ")&amp;IF(LEN(IF(LEN(INDEX('My equipment'!$W$4:$W$503,(_calc!$E$182-500)))=0,"",INDEX('My equipment'!$W$4:$W$503,(_calc!$E$182-500))))=0,"","Claim ref: "&amp;IF(LEN(INDEX('My equipment'!$W$4:$W$503,(_calc!$E$182-500)))=0,"",INDEX('My equipment'!$W$4:$W$503,(_calc!$E$182-500)))&amp;". ")&amp;IF(LEN(IF(LEN(INDEX('My equipment'!$Y$4:$Y$503,(_calc!$E$182-500)))=0,"",INDEX('My equipment'!$Y$4:$Y$503,(_calc!$E$182-500))))=0,"",IF(LEN(INDEX('My equipment'!$Y$4:$Y$503,(_calc!$E$182-500)))=0,"",INDEX('My equipment'!$Y$4:$Y$503,(_calc!$E$182-500)))))))</f>
        <v/>
      </c>
      <c r="G180" s="54">
        <f>IF(_calc!$E$182="","",IF(_calc!$E$182&lt;=500,"",IF(LEN(INDEX('My equipment'!$X$4:$X$503,(_calc!$E$182-500)))=0,"",INDEX('My equipment'!$X$4:$X$503,(_calc!$E$182-500)))))</f>
        <v/>
      </c>
      <c r="K180" s="54">
        <f>IF(_calc!$E$182="","",IF(_calc!$E$182&lt;=500,"",IF(LEN(INDEX('My equipment'!$T$4:$T$503,(_calc!$E$182-500)))=0,"",INDEX('My equipment'!$T$4:$T$503,(_calc!$E$182-500)))))</f>
        <v/>
      </c>
    </row>
    <row r="181">
      <c r="A181" s="54">
        <f>IF(_calc!$E$183="","",IF(_calc!$E$183&lt;=500,"Warranty – "&amp;IF(LEN(INDEX('Dealer pipeline'!$C$4:$C$503,_calc!$E$183))=0,"",INDEX('Dealer pipeline'!$C$4:$C$503,_calc!$E$183))&amp;" – "&amp;IF(LEN(INDEX('Dealer pipeline'!$D$4:$D$503,_calc!$E$183))=0,"",INDEX('Dealer pipeline'!$D$4:$D$503,_calc!$E$183))&amp;" – "&amp;IF(LEN(INDEX('Dealer pipeline'!$A$4:$A$503,_calc!$E$183))=0,"",INDEX('Dealer pipeline'!$A$4:$A$503,_calc!$E$183)),"Warranty – "&amp;IF(LEN(INDEX('My equipment'!$A$4:$A$503,(_calc!$E$183-500)))=0,"",INDEX('My equipment'!$A$4:$A$503,(_calc!$E$183-500)))&amp;" – "&amp;IF(LEN(INDEX('My equipment'!$D$4:$D$503,(_calc!$E$183-500)))=0,"",INDEX('My equipment'!$D$4:$D$503,(_calc!$E$183-500)))))</f>
        <v/>
      </c>
      <c r="B181" s="54">
        <f>IF(_calc!$E$183="","",IF(_calc!$E$183&lt;=500,IF(ISNUMBER(INDEX('Dealer pipeline'!$M$4:$M$503,_calc!$E$183)),TEXT(INDEX('Dealer pipeline'!$M$4:$M$503,_calc!$E$183),"yyyy-mm-dd"),""),IF(ISNUMBER(INDEX('My equipment'!$M$4:$M$503,(_calc!$E$183-500))),TEXT(INDEX('My equipment'!$M$4:$M$503,(_calc!$E$183-500)),"yyyy-mm-dd"),"")))</f>
        <v/>
      </c>
      <c r="C181" s="54">
        <f>IF(_calc!$E$183="","",IF(_calc!$E$183&lt;=500,"Warranty","Warranty"))</f>
        <v/>
      </c>
      <c r="D181" s="54">
        <f>IF(_calc!$E$183="","",IF(_calc!$E$183&lt;=500,IF(ISNUMBER(INDEX('Dealer pipeline'!$H$4:$H$503,_calc!$E$183)),TEXT(INDEX('Dealer pipeline'!$H$4:$H$503,_calc!$E$183),"yyyy-mm-dd"),""),IF(ISNUMBER(INDEX('My equipment'!$H$4:$H$503,(_calc!$E$183-500))),TEXT(INDEX('My equipment'!$H$4:$H$503,(_calc!$E$183-500)),"yyyy-mm-dd"),"")))</f>
        <v/>
      </c>
      <c r="F181" s="54">
        <f>IF(_calc!$E$183="","",IF(_calc!$E$183&lt;=500,TRIM(IF(LEN(IF(LEN(INDEX('Dealer pipeline'!$A$4:$A$503,_calc!$E$183))=0,"",INDEX('Dealer pipeline'!$A$4:$A$503,_calc!$E$183)))=0,"","Customer: "&amp;IF(LEN(INDEX('Dealer pipeline'!$A$4:$A$503,_calc!$E$183))=0,"",INDEX('Dealer pipeline'!$A$4:$A$503,_calc!$E$183))&amp;". ")&amp;IF(LEN(IF(LEN(INDEX('Dealer pipeline'!$B$4:$B$503,_calc!$E$183))=0,"",INDEX('Dealer pipeline'!$B$4:$B$503,_calc!$E$183)))=0,"","Contact: "&amp;IF(LEN(INDEX('Dealer pipeline'!$B$4:$B$503,_calc!$E$183))=0,"",INDEX('Dealer pipeline'!$B$4:$B$503,_calc!$E$183))&amp;". ")&amp;IF(LEN(IF(LEN(INDEX('Dealer pipeline'!$D$4:$D$503,_calc!$E$183))=0,"",INDEX('Dealer pipeline'!$D$4:$D$503,_calc!$E$183)))=0,"","Serial: "&amp;IF(LEN(INDEX('Dealer pipeline'!$D$4:$D$503,_calc!$E$183))=0,"",INDEX('Dealer pipeline'!$D$4:$D$503,_calc!$E$183))&amp;". ")&amp;IF(LEN(IF(ISNUMBER(INDEX('Dealer pipeline'!$J$4:$J$503,_calc!$E$183)),TEXT(INDEX('Dealer pipeline'!$J$4:$J$503,_calc!$E$183),"yyyy-mm-dd"),""))=0,"","Parts end: "&amp;IF(ISNUMBER(INDEX('Dealer pipeline'!$J$4:$J$503,_calc!$E$183)),TEXT(INDEX('Dealer pipeline'!$J$4:$J$503,_calc!$E$183),"yyyy-mm-dd"),"")&amp;". ")&amp;IF(LEN(IF(ISNUMBER(INDEX('Dealer pipeline'!$L$4:$L$503,_calc!$E$183)),TEXT(INDEX('Dealer pipeline'!$L$4:$L$503,_calc!$E$183),"yyyy-mm-dd"),""))=0,"","Labor end: "&amp;IF(ISNUMBER(INDEX('Dealer pipeline'!$L$4:$L$503,_calc!$E$183)),TEXT(INDEX('Dealer pipeline'!$L$4:$L$503,_calc!$E$183),"yyyy-mm-dd"),"")&amp;". ")&amp;IF(LEN(IF(LEN(INDEX('Dealer pipeline'!$Q$4:$Q$503,_calc!$E$183))=0,"",INDEX('Dealer pipeline'!$Q$4:$Q$503,_calc!$E$183)))=0,"","Status: "&amp;IF(LEN(INDEX('Dealer pipeline'!$Q$4:$Q$503,_calc!$E$183))=0,"",INDEX('Dealer pipeline'!$Q$4:$Q$503,_calc!$E$183))&amp;". ")&amp;IF(LEN(IF(LEN(INDEX('Dealer pipeline'!$P$4:$P$503,_calc!$E$183))=0,"",INDEX('Dealer pipeline'!$P$4:$P$503,_calc!$E$183)))=0,"","Last touch: "&amp;IF(LEN(INDEX('Dealer pipeline'!$P$4:$P$503,_calc!$E$183))=0,"",INDEX('Dealer pipeline'!$P$4:$P$503,_calc!$E$183))&amp;". ")&amp;IF(LEN(IF(LEN(INDEX('Dealer pipeline'!$R$4:$R$503,_calc!$E$183))=0,"",INDEX('Dealer pipeline'!$R$4:$R$503,_calc!$E$183)))=0,"","Owner: "&amp;IF(LEN(INDEX('Dealer pipeline'!$R$4:$R$503,_calc!$E$183))=0,"",INDEX('Dealer pipeline'!$R$4:$R$503,_calc!$E$183))&amp;". ")&amp;IF(LEN(IF(LEN(INDEX('Dealer pipeline'!$S$4:$S$503,_calc!$E$183))=0,"",INDEX('Dealer pipeline'!$S$4:$S$503,_calc!$E$183)))=0,"","Backup: "&amp;IF(LEN(INDEX('Dealer pipeline'!$S$4:$S$503,_calc!$E$183))=0,"",INDEX('Dealer pipeline'!$S$4:$S$503,_calc!$E$183))&amp;". ")&amp;IF(LEN(IF(LEN(INDEX('Dealer pipeline'!$T$4:$T$503,_calc!$E$183))=0,"",INDEX('Dealer pipeline'!$T$4:$T$503,_calc!$E$183)))=0,"",IF(LEN(INDEX('Dealer pipeline'!$T$4:$T$503,_calc!$E$183))=0,"",INDEX('Dealer pipeline'!$T$4:$T$503,_calc!$E$183)))),TRIM(IF(LEN(IF(LEN(INDEX('My equipment'!$C$4:$C$503,(_calc!$E$183-500)))=0,"",INDEX('My equipment'!$C$4:$C$503,(_calc!$E$183-500))))=0,"","Model: "&amp;IF(LEN(INDEX('My equipment'!$C$4:$C$503,(_calc!$E$183-500)))=0,"",INDEX('My equipment'!$C$4:$C$503,(_calc!$E$183-500)))&amp;". ")&amp;IF(LEN(IF(LEN(INDEX('My equipment'!$D$4:$D$503,(_calc!$E$183-500)))=0,"",INDEX('My equipment'!$D$4:$D$503,(_calc!$E$183-500))))=0,"","Serial: "&amp;IF(LEN(INDEX('My equipment'!$D$4:$D$503,(_calc!$E$183-500)))=0,"",INDEX('My equipment'!$D$4:$D$503,(_calc!$E$183-500)))&amp;". ")&amp;IF(LEN(IF(ISNUMBER(INDEX('My equipment'!$J$4:$J$503,(_calc!$E$183-500))),TEXT(INDEX('My equipment'!$J$4:$J$503,(_calc!$E$183-500)),"yyyy-mm-dd"),""))=0,"","Parts end: "&amp;IF(ISNUMBER(INDEX('My equipment'!$J$4:$J$503,(_calc!$E$183-500))),TEXT(INDEX('My equipment'!$J$4:$J$503,(_calc!$E$183-500)),"yyyy-mm-dd"),"")&amp;". ")&amp;IF(LEN(IF(ISNUMBER(INDEX('My equipment'!$L$4:$L$503,(_calc!$E$183-500))),TEXT(INDEX('My equipment'!$L$4:$L$503,(_calc!$E$183-500)),"yyyy-mm-dd"),""))=0,"","Labor end: "&amp;IF(ISNUMBER(INDEX('My equipment'!$L$4:$L$503,(_calc!$E$183-500))),TEXT(INDEX('My equipment'!$L$4:$L$503,(_calc!$E$183-500)),"yyyy-mm-dd"),"")&amp;". ")&amp;IF(LEN(IF(ISNUMBER(INDEX('My equipment'!$P$4:$P$503,(_calc!$E$183-500))),TEXT(INDEX('My equipment'!$P$4:$P$503,(_calc!$E$183-500)),"yyyy-mm-dd"),""))=0,"","Check by: "&amp;IF(ISNUMBER(INDEX('My equipment'!$P$4:$P$503,(_calc!$E$183-500))),TEXT(INDEX('My equipment'!$P$4:$P$503,(_calc!$E$183-500)),"yyyy-mm-dd"),"")&amp;". ")&amp;IF(LEN(IF(LEN(INDEX('My equipment'!$Q$4:$Q$503,(_calc!$E$183-500)))=0,"",INDEX('My equipment'!$Q$4:$Q$503,(_calc!$E$183-500))))=0,"","Claim status: "&amp;IF(LEN(INDEX('My equipment'!$Q$4:$Q$503,(_calc!$E$183-500)))=0,"",INDEX('My equipment'!$Q$4:$Q$503,(_calc!$E$183-500)))&amp;". ")&amp;IF(LEN(IF(LEN(INDEX('My equipment'!$R$4:$R$503,(_calc!$E$183-500)))=0,"",INDEX('My equipment'!$R$4:$R$503,(_calc!$E$183-500))))=0,"","Claims contact: "&amp;IF(LEN(INDEX('My equipment'!$R$4:$R$503,(_calc!$E$183-500)))=0,"",INDEX('My equipment'!$R$4:$R$503,(_calc!$E$183-500)))&amp;". ")&amp;IF(LEN(IF(LEN(INDEX('My equipment'!$S$4:$S$503,(_calc!$E$183-500)))=0,"",INDEX('My equipment'!$S$4:$S$503,(_calc!$E$183-500))))=0,"","Claims email: "&amp;IF(LEN(INDEX('My equipment'!$S$4:$S$503,(_calc!$E$183-500)))=0,"",INDEX('My equipment'!$S$4:$S$503,(_calc!$E$183-500)))&amp;". ")&amp;IF(LEN(IF(LEN(INDEX('My equipment'!$U$4:$U$503,(_calc!$E$183-500)))=0,"",INDEX('My equipment'!$U$4:$U$503,(_calc!$E$183-500))))=0,"","Registered: "&amp;IF(LEN(INDEX('My equipment'!$U$4:$U$503,(_calc!$E$183-500)))=0,"",INDEX('My equipment'!$U$4:$U$503,(_calc!$E$183-500)))&amp;". ")&amp;IF(LEN(IF(LEN(INDEX('My equipment'!$V$4:$V$503,(_calc!$E$183-500)))=0,"",INDEX('My equipment'!$V$4:$V$503,(_calc!$E$183-500))))=0,"","Proof on file: "&amp;IF(LEN(INDEX('My equipment'!$V$4:$V$503,(_calc!$E$183-500)))=0,"",INDEX('My equipment'!$V$4:$V$503,(_calc!$E$183-500)))&amp;". ")&amp;IF(LEN(IF(LEN(INDEX('My equipment'!$W$4:$W$503,(_calc!$E$183-500)))=0,"",INDEX('My equipment'!$W$4:$W$503,(_calc!$E$183-500))))=0,"","Claim ref: "&amp;IF(LEN(INDEX('My equipment'!$W$4:$W$503,(_calc!$E$183-500)))=0,"",INDEX('My equipment'!$W$4:$W$503,(_calc!$E$183-500)))&amp;". ")&amp;IF(LEN(IF(LEN(INDEX('My equipment'!$Y$4:$Y$503,(_calc!$E$183-500)))=0,"",INDEX('My equipment'!$Y$4:$Y$503,(_calc!$E$183-500))))=0,"",IF(LEN(INDEX('My equipment'!$Y$4:$Y$503,(_calc!$E$183-500)))=0,"",INDEX('My equipment'!$Y$4:$Y$503,(_calc!$E$183-500)))))))</f>
        <v/>
      </c>
      <c r="G181" s="54">
        <f>IF(_calc!$E$183="","",IF(_calc!$E$183&lt;=500,"",IF(LEN(INDEX('My equipment'!$X$4:$X$503,(_calc!$E$183-500)))=0,"",INDEX('My equipment'!$X$4:$X$503,(_calc!$E$183-500)))))</f>
        <v/>
      </c>
      <c r="K181" s="54">
        <f>IF(_calc!$E$183="","",IF(_calc!$E$183&lt;=500,"",IF(LEN(INDEX('My equipment'!$T$4:$T$503,(_calc!$E$183-500)))=0,"",INDEX('My equipment'!$T$4:$T$503,(_calc!$E$183-500)))))</f>
        <v/>
      </c>
    </row>
    <row r="182">
      <c r="A182" s="54">
        <f>IF(_calc!$E$184="","",IF(_calc!$E$184&lt;=500,"Warranty – "&amp;IF(LEN(INDEX('Dealer pipeline'!$C$4:$C$503,_calc!$E$184))=0,"",INDEX('Dealer pipeline'!$C$4:$C$503,_calc!$E$184))&amp;" – "&amp;IF(LEN(INDEX('Dealer pipeline'!$D$4:$D$503,_calc!$E$184))=0,"",INDEX('Dealer pipeline'!$D$4:$D$503,_calc!$E$184))&amp;" – "&amp;IF(LEN(INDEX('Dealer pipeline'!$A$4:$A$503,_calc!$E$184))=0,"",INDEX('Dealer pipeline'!$A$4:$A$503,_calc!$E$184)),"Warranty – "&amp;IF(LEN(INDEX('My equipment'!$A$4:$A$503,(_calc!$E$184-500)))=0,"",INDEX('My equipment'!$A$4:$A$503,(_calc!$E$184-500)))&amp;" – "&amp;IF(LEN(INDEX('My equipment'!$D$4:$D$503,(_calc!$E$184-500)))=0,"",INDEX('My equipment'!$D$4:$D$503,(_calc!$E$184-500)))))</f>
        <v/>
      </c>
      <c r="B182" s="54">
        <f>IF(_calc!$E$184="","",IF(_calc!$E$184&lt;=500,IF(ISNUMBER(INDEX('Dealer pipeline'!$M$4:$M$503,_calc!$E$184)),TEXT(INDEX('Dealer pipeline'!$M$4:$M$503,_calc!$E$184),"yyyy-mm-dd"),""),IF(ISNUMBER(INDEX('My equipment'!$M$4:$M$503,(_calc!$E$184-500))),TEXT(INDEX('My equipment'!$M$4:$M$503,(_calc!$E$184-500)),"yyyy-mm-dd"),"")))</f>
        <v/>
      </c>
      <c r="C182" s="54">
        <f>IF(_calc!$E$184="","",IF(_calc!$E$184&lt;=500,"Warranty","Warranty"))</f>
        <v/>
      </c>
      <c r="D182" s="54">
        <f>IF(_calc!$E$184="","",IF(_calc!$E$184&lt;=500,IF(ISNUMBER(INDEX('Dealer pipeline'!$H$4:$H$503,_calc!$E$184)),TEXT(INDEX('Dealer pipeline'!$H$4:$H$503,_calc!$E$184),"yyyy-mm-dd"),""),IF(ISNUMBER(INDEX('My equipment'!$H$4:$H$503,(_calc!$E$184-500))),TEXT(INDEX('My equipment'!$H$4:$H$503,(_calc!$E$184-500)),"yyyy-mm-dd"),"")))</f>
        <v/>
      </c>
      <c r="F182" s="54">
        <f>IF(_calc!$E$184="","",IF(_calc!$E$184&lt;=500,TRIM(IF(LEN(IF(LEN(INDEX('Dealer pipeline'!$A$4:$A$503,_calc!$E$184))=0,"",INDEX('Dealer pipeline'!$A$4:$A$503,_calc!$E$184)))=0,"","Customer: "&amp;IF(LEN(INDEX('Dealer pipeline'!$A$4:$A$503,_calc!$E$184))=0,"",INDEX('Dealer pipeline'!$A$4:$A$503,_calc!$E$184))&amp;". ")&amp;IF(LEN(IF(LEN(INDEX('Dealer pipeline'!$B$4:$B$503,_calc!$E$184))=0,"",INDEX('Dealer pipeline'!$B$4:$B$503,_calc!$E$184)))=0,"","Contact: "&amp;IF(LEN(INDEX('Dealer pipeline'!$B$4:$B$503,_calc!$E$184))=0,"",INDEX('Dealer pipeline'!$B$4:$B$503,_calc!$E$184))&amp;". ")&amp;IF(LEN(IF(LEN(INDEX('Dealer pipeline'!$D$4:$D$503,_calc!$E$184))=0,"",INDEX('Dealer pipeline'!$D$4:$D$503,_calc!$E$184)))=0,"","Serial: "&amp;IF(LEN(INDEX('Dealer pipeline'!$D$4:$D$503,_calc!$E$184))=0,"",INDEX('Dealer pipeline'!$D$4:$D$503,_calc!$E$184))&amp;". ")&amp;IF(LEN(IF(ISNUMBER(INDEX('Dealer pipeline'!$J$4:$J$503,_calc!$E$184)),TEXT(INDEX('Dealer pipeline'!$J$4:$J$503,_calc!$E$184),"yyyy-mm-dd"),""))=0,"","Parts end: "&amp;IF(ISNUMBER(INDEX('Dealer pipeline'!$J$4:$J$503,_calc!$E$184)),TEXT(INDEX('Dealer pipeline'!$J$4:$J$503,_calc!$E$184),"yyyy-mm-dd"),"")&amp;". ")&amp;IF(LEN(IF(ISNUMBER(INDEX('Dealer pipeline'!$L$4:$L$503,_calc!$E$184)),TEXT(INDEX('Dealer pipeline'!$L$4:$L$503,_calc!$E$184),"yyyy-mm-dd"),""))=0,"","Labor end: "&amp;IF(ISNUMBER(INDEX('Dealer pipeline'!$L$4:$L$503,_calc!$E$184)),TEXT(INDEX('Dealer pipeline'!$L$4:$L$503,_calc!$E$184),"yyyy-mm-dd"),"")&amp;". ")&amp;IF(LEN(IF(LEN(INDEX('Dealer pipeline'!$Q$4:$Q$503,_calc!$E$184))=0,"",INDEX('Dealer pipeline'!$Q$4:$Q$503,_calc!$E$184)))=0,"","Status: "&amp;IF(LEN(INDEX('Dealer pipeline'!$Q$4:$Q$503,_calc!$E$184))=0,"",INDEX('Dealer pipeline'!$Q$4:$Q$503,_calc!$E$184))&amp;". ")&amp;IF(LEN(IF(LEN(INDEX('Dealer pipeline'!$P$4:$P$503,_calc!$E$184))=0,"",INDEX('Dealer pipeline'!$P$4:$P$503,_calc!$E$184)))=0,"","Last touch: "&amp;IF(LEN(INDEX('Dealer pipeline'!$P$4:$P$503,_calc!$E$184))=0,"",INDEX('Dealer pipeline'!$P$4:$P$503,_calc!$E$184))&amp;". ")&amp;IF(LEN(IF(LEN(INDEX('Dealer pipeline'!$R$4:$R$503,_calc!$E$184))=0,"",INDEX('Dealer pipeline'!$R$4:$R$503,_calc!$E$184)))=0,"","Owner: "&amp;IF(LEN(INDEX('Dealer pipeline'!$R$4:$R$503,_calc!$E$184))=0,"",INDEX('Dealer pipeline'!$R$4:$R$503,_calc!$E$184))&amp;". ")&amp;IF(LEN(IF(LEN(INDEX('Dealer pipeline'!$S$4:$S$503,_calc!$E$184))=0,"",INDEX('Dealer pipeline'!$S$4:$S$503,_calc!$E$184)))=0,"","Backup: "&amp;IF(LEN(INDEX('Dealer pipeline'!$S$4:$S$503,_calc!$E$184))=0,"",INDEX('Dealer pipeline'!$S$4:$S$503,_calc!$E$184))&amp;". ")&amp;IF(LEN(IF(LEN(INDEX('Dealer pipeline'!$T$4:$T$503,_calc!$E$184))=0,"",INDEX('Dealer pipeline'!$T$4:$T$503,_calc!$E$184)))=0,"",IF(LEN(INDEX('Dealer pipeline'!$T$4:$T$503,_calc!$E$184))=0,"",INDEX('Dealer pipeline'!$T$4:$T$503,_calc!$E$184)))),TRIM(IF(LEN(IF(LEN(INDEX('My equipment'!$C$4:$C$503,(_calc!$E$184-500)))=0,"",INDEX('My equipment'!$C$4:$C$503,(_calc!$E$184-500))))=0,"","Model: "&amp;IF(LEN(INDEX('My equipment'!$C$4:$C$503,(_calc!$E$184-500)))=0,"",INDEX('My equipment'!$C$4:$C$503,(_calc!$E$184-500)))&amp;". ")&amp;IF(LEN(IF(LEN(INDEX('My equipment'!$D$4:$D$503,(_calc!$E$184-500)))=0,"",INDEX('My equipment'!$D$4:$D$503,(_calc!$E$184-500))))=0,"","Serial: "&amp;IF(LEN(INDEX('My equipment'!$D$4:$D$503,(_calc!$E$184-500)))=0,"",INDEX('My equipment'!$D$4:$D$503,(_calc!$E$184-500)))&amp;". ")&amp;IF(LEN(IF(ISNUMBER(INDEX('My equipment'!$J$4:$J$503,(_calc!$E$184-500))),TEXT(INDEX('My equipment'!$J$4:$J$503,(_calc!$E$184-500)),"yyyy-mm-dd"),""))=0,"","Parts end: "&amp;IF(ISNUMBER(INDEX('My equipment'!$J$4:$J$503,(_calc!$E$184-500))),TEXT(INDEX('My equipment'!$J$4:$J$503,(_calc!$E$184-500)),"yyyy-mm-dd"),"")&amp;". ")&amp;IF(LEN(IF(ISNUMBER(INDEX('My equipment'!$L$4:$L$503,(_calc!$E$184-500))),TEXT(INDEX('My equipment'!$L$4:$L$503,(_calc!$E$184-500)),"yyyy-mm-dd"),""))=0,"","Labor end: "&amp;IF(ISNUMBER(INDEX('My equipment'!$L$4:$L$503,(_calc!$E$184-500))),TEXT(INDEX('My equipment'!$L$4:$L$503,(_calc!$E$184-500)),"yyyy-mm-dd"),"")&amp;". ")&amp;IF(LEN(IF(ISNUMBER(INDEX('My equipment'!$P$4:$P$503,(_calc!$E$184-500))),TEXT(INDEX('My equipment'!$P$4:$P$503,(_calc!$E$184-500)),"yyyy-mm-dd"),""))=0,"","Check by: "&amp;IF(ISNUMBER(INDEX('My equipment'!$P$4:$P$503,(_calc!$E$184-500))),TEXT(INDEX('My equipment'!$P$4:$P$503,(_calc!$E$184-500)),"yyyy-mm-dd"),"")&amp;". ")&amp;IF(LEN(IF(LEN(INDEX('My equipment'!$Q$4:$Q$503,(_calc!$E$184-500)))=0,"",INDEX('My equipment'!$Q$4:$Q$503,(_calc!$E$184-500))))=0,"","Claim status: "&amp;IF(LEN(INDEX('My equipment'!$Q$4:$Q$503,(_calc!$E$184-500)))=0,"",INDEX('My equipment'!$Q$4:$Q$503,(_calc!$E$184-500)))&amp;". ")&amp;IF(LEN(IF(LEN(INDEX('My equipment'!$R$4:$R$503,(_calc!$E$184-500)))=0,"",INDEX('My equipment'!$R$4:$R$503,(_calc!$E$184-500))))=0,"","Claims contact: "&amp;IF(LEN(INDEX('My equipment'!$R$4:$R$503,(_calc!$E$184-500)))=0,"",INDEX('My equipment'!$R$4:$R$503,(_calc!$E$184-500)))&amp;". ")&amp;IF(LEN(IF(LEN(INDEX('My equipment'!$S$4:$S$503,(_calc!$E$184-500)))=0,"",INDEX('My equipment'!$S$4:$S$503,(_calc!$E$184-500))))=0,"","Claims email: "&amp;IF(LEN(INDEX('My equipment'!$S$4:$S$503,(_calc!$E$184-500)))=0,"",INDEX('My equipment'!$S$4:$S$503,(_calc!$E$184-500)))&amp;". ")&amp;IF(LEN(IF(LEN(INDEX('My equipment'!$U$4:$U$503,(_calc!$E$184-500)))=0,"",INDEX('My equipment'!$U$4:$U$503,(_calc!$E$184-500))))=0,"","Registered: "&amp;IF(LEN(INDEX('My equipment'!$U$4:$U$503,(_calc!$E$184-500)))=0,"",INDEX('My equipment'!$U$4:$U$503,(_calc!$E$184-500)))&amp;". ")&amp;IF(LEN(IF(LEN(INDEX('My equipment'!$V$4:$V$503,(_calc!$E$184-500)))=0,"",INDEX('My equipment'!$V$4:$V$503,(_calc!$E$184-500))))=0,"","Proof on file: "&amp;IF(LEN(INDEX('My equipment'!$V$4:$V$503,(_calc!$E$184-500)))=0,"",INDEX('My equipment'!$V$4:$V$503,(_calc!$E$184-500)))&amp;". ")&amp;IF(LEN(IF(LEN(INDEX('My equipment'!$W$4:$W$503,(_calc!$E$184-500)))=0,"",INDEX('My equipment'!$W$4:$W$503,(_calc!$E$184-500))))=0,"","Claim ref: "&amp;IF(LEN(INDEX('My equipment'!$W$4:$W$503,(_calc!$E$184-500)))=0,"",INDEX('My equipment'!$W$4:$W$503,(_calc!$E$184-500)))&amp;". ")&amp;IF(LEN(IF(LEN(INDEX('My equipment'!$Y$4:$Y$503,(_calc!$E$184-500)))=0,"",INDEX('My equipment'!$Y$4:$Y$503,(_calc!$E$184-500))))=0,"",IF(LEN(INDEX('My equipment'!$Y$4:$Y$503,(_calc!$E$184-500)))=0,"",INDEX('My equipment'!$Y$4:$Y$503,(_calc!$E$184-500)))))))</f>
        <v/>
      </c>
      <c r="G182" s="54">
        <f>IF(_calc!$E$184="","",IF(_calc!$E$184&lt;=500,"",IF(LEN(INDEX('My equipment'!$X$4:$X$503,(_calc!$E$184-500)))=0,"",INDEX('My equipment'!$X$4:$X$503,(_calc!$E$184-500)))))</f>
        <v/>
      </c>
      <c r="K182" s="54">
        <f>IF(_calc!$E$184="","",IF(_calc!$E$184&lt;=500,"",IF(LEN(INDEX('My equipment'!$T$4:$T$503,(_calc!$E$184-500)))=0,"",INDEX('My equipment'!$T$4:$T$503,(_calc!$E$184-500)))))</f>
        <v/>
      </c>
    </row>
    <row r="183">
      <c r="A183" s="54">
        <f>IF(_calc!$E$185="","",IF(_calc!$E$185&lt;=500,"Warranty – "&amp;IF(LEN(INDEX('Dealer pipeline'!$C$4:$C$503,_calc!$E$185))=0,"",INDEX('Dealer pipeline'!$C$4:$C$503,_calc!$E$185))&amp;" – "&amp;IF(LEN(INDEX('Dealer pipeline'!$D$4:$D$503,_calc!$E$185))=0,"",INDEX('Dealer pipeline'!$D$4:$D$503,_calc!$E$185))&amp;" – "&amp;IF(LEN(INDEX('Dealer pipeline'!$A$4:$A$503,_calc!$E$185))=0,"",INDEX('Dealer pipeline'!$A$4:$A$503,_calc!$E$185)),"Warranty – "&amp;IF(LEN(INDEX('My equipment'!$A$4:$A$503,(_calc!$E$185-500)))=0,"",INDEX('My equipment'!$A$4:$A$503,(_calc!$E$185-500)))&amp;" – "&amp;IF(LEN(INDEX('My equipment'!$D$4:$D$503,(_calc!$E$185-500)))=0,"",INDEX('My equipment'!$D$4:$D$503,(_calc!$E$185-500)))))</f>
        <v/>
      </c>
      <c r="B183" s="54">
        <f>IF(_calc!$E$185="","",IF(_calc!$E$185&lt;=500,IF(ISNUMBER(INDEX('Dealer pipeline'!$M$4:$M$503,_calc!$E$185)),TEXT(INDEX('Dealer pipeline'!$M$4:$M$503,_calc!$E$185),"yyyy-mm-dd"),""),IF(ISNUMBER(INDEX('My equipment'!$M$4:$M$503,(_calc!$E$185-500))),TEXT(INDEX('My equipment'!$M$4:$M$503,(_calc!$E$185-500)),"yyyy-mm-dd"),"")))</f>
        <v/>
      </c>
      <c r="C183" s="54">
        <f>IF(_calc!$E$185="","",IF(_calc!$E$185&lt;=500,"Warranty","Warranty"))</f>
        <v/>
      </c>
      <c r="D183" s="54">
        <f>IF(_calc!$E$185="","",IF(_calc!$E$185&lt;=500,IF(ISNUMBER(INDEX('Dealer pipeline'!$H$4:$H$503,_calc!$E$185)),TEXT(INDEX('Dealer pipeline'!$H$4:$H$503,_calc!$E$185),"yyyy-mm-dd"),""),IF(ISNUMBER(INDEX('My equipment'!$H$4:$H$503,(_calc!$E$185-500))),TEXT(INDEX('My equipment'!$H$4:$H$503,(_calc!$E$185-500)),"yyyy-mm-dd"),"")))</f>
        <v/>
      </c>
      <c r="F183" s="54">
        <f>IF(_calc!$E$185="","",IF(_calc!$E$185&lt;=500,TRIM(IF(LEN(IF(LEN(INDEX('Dealer pipeline'!$A$4:$A$503,_calc!$E$185))=0,"",INDEX('Dealer pipeline'!$A$4:$A$503,_calc!$E$185)))=0,"","Customer: "&amp;IF(LEN(INDEX('Dealer pipeline'!$A$4:$A$503,_calc!$E$185))=0,"",INDEX('Dealer pipeline'!$A$4:$A$503,_calc!$E$185))&amp;". ")&amp;IF(LEN(IF(LEN(INDEX('Dealer pipeline'!$B$4:$B$503,_calc!$E$185))=0,"",INDEX('Dealer pipeline'!$B$4:$B$503,_calc!$E$185)))=0,"","Contact: "&amp;IF(LEN(INDEX('Dealer pipeline'!$B$4:$B$503,_calc!$E$185))=0,"",INDEX('Dealer pipeline'!$B$4:$B$503,_calc!$E$185))&amp;". ")&amp;IF(LEN(IF(LEN(INDEX('Dealer pipeline'!$D$4:$D$503,_calc!$E$185))=0,"",INDEX('Dealer pipeline'!$D$4:$D$503,_calc!$E$185)))=0,"","Serial: "&amp;IF(LEN(INDEX('Dealer pipeline'!$D$4:$D$503,_calc!$E$185))=0,"",INDEX('Dealer pipeline'!$D$4:$D$503,_calc!$E$185))&amp;". ")&amp;IF(LEN(IF(ISNUMBER(INDEX('Dealer pipeline'!$J$4:$J$503,_calc!$E$185)),TEXT(INDEX('Dealer pipeline'!$J$4:$J$503,_calc!$E$185),"yyyy-mm-dd"),""))=0,"","Parts end: "&amp;IF(ISNUMBER(INDEX('Dealer pipeline'!$J$4:$J$503,_calc!$E$185)),TEXT(INDEX('Dealer pipeline'!$J$4:$J$503,_calc!$E$185),"yyyy-mm-dd"),"")&amp;". ")&amp;IF(LEN(IF(ISNUMBER(INDEX('Dealer pipeline'!$L$4:$L$503,_calc!$E$185)),TEXT(INDEX('Dealer pipeline'!$L$4:$L$503,_calc!$E$185),"yyyy-mm-dd"),""))=0,"","Labor end: "&amp;IF(ISNUMBER(INDEX('Dealer pipeline'!$L$4:$L$503,_calc!$E$185)),TEXT(INDEX('Dealer pipeline'!$L$4:$L$503,_calc!$E$185),"yyyy-mm-dd"),"")&amp;". ")&amp;IF(LEN(IF(LEN(INDEX('Dealer pipeline'!$Q$4:$Q$503,_calc!$E$185))=0,"",INDEX('Dealer pipeline'!$Q$4:$Q$503,_calc!$E$185)))=0,"","Status: "&amp;IF(LEN(INDEX('Dealer pipeline'!$Q$4:$Q$503,_calc!$E$185))=0,"",INDEX('Dealer pipeline'!$Q$4:$Q$503,_calc!$E$185))&amp;". ")&amp;IF(LEN(IF(LEN(INDEX('Dealer pipeline'!$P$4:$P$503,_calc!$E$185))=0,"",INDEX('Dealer pipeline'!$P$4:$P$503,_calc!$E$185)))=0,"","Last touch: "&amp;IF(LEN(INDEX('Dealer pipeline'!$P$4:$P$503,_calc!$E$185))=0,"",INDEX('Dealer pipeline'!$P$4:$P$503,_calc!$E$185))&amp;". ")&amp;IF(LEN(IF(LEN(INDEX('Dealer pipeline'!$R$4:$R$503,_calc!$E$185))=0,"",INDEX('Dealer pipeline'!$R$4:$R$503,_calc!$E$185)))=0,"","Owner: "&amp;IF(LEN(INDEX('Dealer pipeline'!$R$4:$R$503,_calc!$E$185))=0,"",INDEX('Dealer pipeline'!$R$4:$R$503,_calc!$E$185))&amp;". ")&amp;IF(LEN(IF(LEN(INDEX('Dealer pipeline'!$S$4:$S$503,_calc!$E$185))=0,"",INDEX('Dealer pipeline'!$S$4:$S$503,_calc!$E$185)))=0,"","Backup: "&amp;IF(LEN(INDEX('Dealer pipeline'!$S$4:$S$503,_calc!$E$185))=0,"",INDEX('Dealer pipeline'!$S$4:$S$503,_calc!$E$185))&amp;". ")&amp;IF(LEN(IF(LEN(INDEX('Dealer pipeline'!$T$4:$T$503,_calc!$E$185))=0,"",INDEX('Dealer pipeline'!$T$4:$T$503,_calc!$E$185)))=0,"",IF(LEN(INDEX('Dealer pipeline'!$T$4:$T$503,_calc!$E$185))=0,"",INDEX('Dealer pipeline'!$T$4:$T$503,_calc!$E$185)))),TRIM(IF(LEN(IF(LEN(INDEX('My equipment'!$C$4:$C$503,(_calc!$E$185-500)))=0,"",INDEX('My equipment'!$C$4:$C$503,(_calc!$E$185-500))))=0,"","Model: "&amp;IF(LEN(INDEX('My equipment'!$C$4:$C$503,(_calc!$E$185-500)))=0,"",INDEX('My equipment'!$C$4:$C$503,(_calc!$E$185-500)))&amp;". ")&amp;IF(LEN(IF(LEN(INDEX('My equipment'!$D$4:$D$503,(_calc!$E$185-500)))=0,"",INDEX('My equipment'!$D$4:$D$503,(_calc!$E$185-500))))=0,"","Serial: "&amp;IF(LEN(INDEX('My equipment'!$D$4:$D$503,(_calc!$E$185-500)))=0,"",INDEX('My equipment'!$D$4:$D$503,(_calc!$E$185-500)))&amp;". ")&amp;IF(LEN(IF(ISNUMBER(INDEX('My equipment'!$J$4:$J$503,(_calc!$E$185-500))),TEXT(INDEX('My equipment'!$J$4:$J$503,(_calc!$E$185-500)),"yyyy-mm-dd"),""))=0,"","Parts end: "&amp;IF(ISNUMBER(INDEX('My equipment'!$J$4:$J$503,(_calc!$E$185-500))),TEXT(INDEX('My equipment'!$J$4:$J$503,(_calc!$E$185-500)),"yyyy-mm-dd"),"")&amp;". ")&amp;IF(LEN(IF(ISNUMBER(INDEX('My equipment'!$L$4:$L$503,(_calc!$E$185-500))),TEXT(INDEX('My equipment'!$L$4:$L$503,(_calc!$E$185-500)),"yyyy-mm-dd"),""))=0,"","Labor end: "&amp;IF(ISNUMBER(INDEX('My equipment'!$L$4:$L$503,(_calc!$E$185-500))),TEXT(INDEX('My equipment'!$L$4:$L$503,(_calc!$E$185-500)),"yyyy-mm-dd"),"")&amp;". ")&amp;IF(LEN(IF(ISNUMBER(INDEX('My equipment'!$P$4:$P$503,(_calc!$E$185-500))),TEXT(INDEX('My equipment'!$P$4:$P$503,(_calc!$E$185-500)),"yyyy-mm-dd"),""))=0,"","Check by: "&amp;IF(ISNUMBER(INDEX('My equipment'!$P$4:$P$503,(_calc!$E$185-500))),TEXT(INDEX('My equipment'!$P$4:$P$503,(_calc!$E$185-500)),"yyyy-mm-dd"),"")&amp;". ")&amp;IF(LEN(IF(LEN(INDEX('My equipment'!$Q$4:$Q$503,(_calc!$E$185-500)))=0,"",INDEX('My equipment'!$Q$4:$Q$503,(_calc!$E$185-500))))=0,"","Claim status: "&amp;IF(LEN(INDEX('My equipment'!$Q$4:$Q$503,(_calc!$E$185-500)))=0,"",INDEX('My equipment'!$Q$4:$Q$503,(_calc!$E$185-500)))&amp;". ")&amp;IF(LEN(IF(LEN(INDEX('My equipment'!$R$4:$R$503,(_calc!$E$185-500)))=0,"",INDEX('My equipment'!$R$4:$R$503,(_calc!$E$185-500))))=0,"","Claims contact: "&amp;IF(LEN(INDEX('My equipment'!$R$4:$R$503,(_calc!$E$185-500)))=0,"",INDEX('My equipment'!$R$4:$R$503,(_calc!$E$185-500)))&amp;". ")&amp;IF(LEN(IF(LEN(INDEX('My equipment'!$S$4:$S$503,(_calc!$E$185-500)))=0,"",INDEX('My equipment'!$S$4:$S$503,(_calc!$E$185-500))))=0,"","Claims email: "&amp;IF(LEN(INDEX('My equipment'!$S$4:$S$503,(_calc!$E$185-500)))=0,"",INDEX('My equipment'!$S$4:$S$503,(_calc!$E$185-500)))&amp;". ")&amp;IF(LEN(IF(LEN(INDEX('My equipment'!$U$4:$U$503,(_calc!$E$185-500)))=0,"",INDEX('My equipment'!$U$4:$U$503,(_calc!$E$185-500))))=0,"","Registered: "&amp;IF(LEN(INDEX('My equipment'!$U$4:$U$503,(_calc!$E$185-500)))=0,"",INDEX('My equipment'!$U$4:$U$503,(_calc!$E$185-500)))&amp;". ")&amp;IF(LEN(IF(LEN(INDEX('My equipment'!$V$4:$V$503,(_calc!$E$185-500)))=0,"",INDEX('My equipment'!$V$4:$V$503,(_calc!$E$185-500))))=0,"","Proof on file: "&amp;IF(LEN(INDEX('My equipment'!$V$4:$V$503,(_calc!$E$185-500)))=0,"",INDEX('My equipment'!$V$4:$V$503,(_calc!$E$185-500)))&amp;". ")&amp;IF(LEN(IF(LEN(INDEX('My equipment'!$W$4:$W$503,(_calc!$E$185-500)))=0,"",INDEX('My equipment'!$W$4:$W$503,(_calc!$E$185-500))))=0,"","Claim ref: "&amp;IF(LEN(INDEX('My equipment'!$W$4:$W$503,(_calc!$E$185-500)))=0,"",INDEX('My equipment'!$W$4:$W$503,(_calc!$E$185-500)))&amp;". ")&amp;IF(LEN(IF(LEN(INDEX('My equipment'!$Y$4:$Y$503,(_calc!$E$185-500)))=0,"",INDEX('My equipment'!$Y$4:$Y$503,(_calc!$E$185-500))))=0,"",IF(LEN(INDEX('My equipment'!$Y$4:$Y$503,(_calc!$E$185-500)))=0,"",INDEX('My equipment'!$Y$4:$Y$503,(_calc!$E$185-500)))))))</f>
        <v/>
      </c>
      <c r="G183" s="54">
        <f>IF(_calc!$E$185="","",IF(_calc!$E$185&lt;=500,"",IF(LEN(INDEX('My equipment'!$X$4:$X$503,(_calc!$E$185-500)))=0,"",INDEX('My equipment'!$X$4:$X$503,(_calc!$E$185-500)))))</f>
        <v/>
      </c>
      <c r="K183" s="54">
        <f>IF(_calc!$E$185="","",IF(_calc!$E$185&lt;=500,"",IF(LEN(INDEX('My equipment'!$T$4:$T$503,(_calc!$E$185-500)))=0,"",INDEX('My equipment'!$T$4:$T$503,(_calc!$E$185-500)))))</f>
        <v/>
      </c>
    </row>
    <row r="184">
      <c r="A184" s="54">
        <f>IF(_calc!$E$186="","",IF(_calc!$E$186&lt;=500,"Warranty – "&amp;IF(LEN(INDEX('Dealer pipeline'!$C$4:$C$503,_calc!$E$186))=0,"",INDEX('Dealer pipeline'!$C$4:$C$503,_calc!$E$186))&amp;" – "&amp;IF(LEN(INDEX('Dealer pipeline'!$D$4:$D$503,_calc!$E$186))=0,"",INDEX('Dealer pipeline'!$D$4:$D$503,_calc!$E$186))&amp;" – "&amp;IF(LEN(INDEX('Dealer pipeline'!$A$4:$A$503,_calc!$E$186))=0,"",INDEX('Dealer pipeline'!$A$4:$A$503,_calc!$E$186)),"Warranty – "&amp;IF(LEN(INDEX('My equipment'!$A$4:$A$503,(_calc!$E$186-500)))=0,"",INDEX('My equipment'!$A$4:$A$503,(_calc!$E$186-500)))&amp;" – "&amp;IF(LEN(INDEX('My equipment'!$D$4:$D$503,(_calc!$E$186-500)))=0,"",INDEX('My equipment'!$D$4:$D$503,(_calc!$E$186-500)))))</f>
        <v/>
      </c>
      <c r="B184" s="54">
        <f>IF(_calc!$E$186="","",IF(_calc!$E$186&lt;=500,IF(ISNUMBER(INDEX('Dealer pipeline'!$M$4:$M$503,_calc!$E$186)),TEXT(INDEX('Dealer pipeline'!$M$4:$M$503,_calc!$E$186),"yyyy-mm-dd"),""),IF(ISNUMBER(INDEX('My equipment'!$M$4:$M$503,(_calc!$E$186-500))),TEXT(INDEX('My equipment'!$M$4:$M$503,(_calc!$E$186-500)),"yyyy-mm-dd"),"")))</f>
        <v/>
      </c>
      <c r="C184" s="54">
        <f>IF(_calc!$E$186="","",IF(_calc!$E$186&lt;=500,"Warranty","Warranty"))</f>
        <v/>
      </c>
      <c r="D184" s="54">
        <f>IF(_calc!$E$186="","",IF(_calc!$E$186&lt;=500,IF(ISNUMBER(INDEX('Dealer pipeline'!$H$4:$H$503,_calc!$E$186)),TEXT(INDEX('Dealer pipeline'!$H$4:$H$503,_calc!$E$186),"yyyy-mm-dd"),""),IF(ISNUMBER(INDEX('My equipment'!$H$4:$H$503,(_calc!$E$186-500))),TEXT(INDEX('My equipment'!$H$4:$H$503,(_calc!$E$186-500)),"yyyy-mm-dd"),"")))</f>
        <v/>
      </c>
      <c r="F184" s="54">
        <f>IF(_calc!$E$186="","",IF(_calc!$E$186&lt;=500,TRIM(IF(LEN(IF(LEN(INDEX('Dealer pipeline'!$A$4:$A$503,_calc!$E$186))=0,"",INDEX('Dealer pipeline'!$A$4:$A$503,_calc!$E$186)))=0,"","Customer: "&amp;IF(LEN(INDEX('Dealer pipeline'!$A$4:$A$503,_calc!$E$186))=0,"",INDEX('Dealer pipeline'!$A$4:$A$503,_calc!$E$186))&amp;". ")&amp;IF(LEN(IF(LEN(INDEX('Dealer pipeline'!$B$4:$B$503,_calc!$E$186))=0,"",INDEX('Dealer pipeline'!$B$4:$B$503,_calc!$E$186)))=0,"","Contact: "&amp;IF(LEN(INDEX('Dealer pipeline'!$B$4:$B$503,_calc!$E$186))=0,"",INDEX('Dealer pipeline'!$B$4:$B$503,_calc!$E$186))&amp;". ")&amp;IF(LEN(IF(LEN(INDEX('Dealer pipeline'!$D$4:$D$503,_calc!$E$186))=0,"",INDEX('Dealer pipeline'!$D$4:$D$503,_calc!$E$186)))=0,"","Serial: "&amp;IF(LEN(INDEX('Dealer pipeline'!$D$4:$D$503,_calc!$E$186))=0,"",INDEX('Dealer pipeline'!$D$4:$D$503,_calc!$E$186))&amp;". ")&amp;IF(LEN(IF(ISNUMBER(INDEX('Dealer pipeline'!$J$4:$J$503,_calc!$E$186)),TEXT(INDEX('Dealer pipeline'!$J$4:$J$503,_calc!$E$186),"yyyy-mm-dd"),""))=0,"","Parts end: "&amp;IF(ISNUMBER(INDEX('Dealer pipeline'!$J$4:$J$503,_calc!$E$186)),TEXT(INDEX('Dealer pipeline'!$J$4:$J$503,_calc!$E$186),"yyyy-mm-dd"),"")&amp;". ")&amp;IF(LEN(IF(ISNUMBER(INDEX('Dealer pipeline'!$L$4:$L$503,_calc!$E$186)),TEXT(INDEX('Dealer pipeline'!$L$4:$L$503,_calc!$E$186),"yyyy-mm-dd"),""))=0,"","Labor end: "&amp;IF(ISNUMBER(INDEX('Dealer pipeline'!$L$4:$L$503,_calc!$E$186)),TEXT(INDEX('Dealer pipeline'!$L$4:$L$503,_calc!$E$186),"yyyy-mm-dd"),"")&amp;". ")&amp;IF(LEN(IF(LEN(INDEX('Dealer pipeline'!$Q$4:$Q$503,_calc!$E$186))=0,"",INDEX('Dealer pipeline'!$Q$4:$Q$503,_calc!$E$186)))=0,"","Status: "&amp;IF(LEN(INDEX('Dealer pipeline'!$Q$4:$Q$503,_calc!$E$186))=0,"",INDEX('Dealer pipeline'!$Q$4:$Q$503,_calc!$E$186))&amp;". ")&amp;IF(LEN(IF(LEN(INDEX('Dealer pipeline'!$P$4:$P$503,_calc!$E$186))=0,"",INDEX('Dealer pipeline'!$P$4:$P$503,_calc!$E$186)))=0,"","Last touch: "&amp;IF(LEN(INDEX('Dealer pipeline'!$P$4:$P$503,_calc!$E$186))=0,"",INDEX('Dealer pipeline'!$P$4:$P$503,_calc!$E$186))&amp;". ")&amp;IF(LEN(IF(LEN(INDEX('Dealer pipeline'!$R$4:$R$503,_calc!$E$186))=0,"",INDEX('Dealer pipeline'!$R$4:$R$503,_calc!$E$186)))=0,"","Owner: "&amp;IF(LEN(INDEX('Dealer pipeline'!$R$4:$R$503,_calc!$E$186))=0,"",INDEX('Dealer pipeline'!$R$4:$R$503,_calc!$E$186))&amp;". ")&amp;IF(LEN(IF(LEN(INDEX('Dealer pipeline'!$S$4:$S$503,_calc!$E$186))=0,"",INDEX('Dealer pipeline'!$S$4:$S$503,_calc!$E$186)))=0,"","Backup: "&amp;IF(LEN(INDEX('Dealer pipeline'!$S$4:$S$503,_calc!$E$186))=0,"",INDEX('Dealer pipeline'!$S$4:$S$503,_calc!$E$186))&amp;". ")&amp;IF(LEN(IF(LEN(INDEX('Dealer pipeline'!$T$4:$T$503,_calc!$E$186))=0,"",INDEX('Dealer pipeline'!$T$4:$T$503,_calc!$E$186)))=0,"",IF(LEN(INDEX('Dealer pipeline'!$T$4:$T$503,_calc!$E$186))=0,"",INDEX('Dealer pipeline'!$T$4:$T$503,_calc!$E$186)))),TRIM(IF(LEN(IF(LEN(INDEX('My equipment'!$C$4:$C$503,(_calc!$E$186-500)))=0,"",INDEX('My equipment'!$C$4:$C$503,(_calc!$E$186-500))))=0,"","Model: "&amp;IF(LEN(INDEX('My equipment'!$C$4:$C$503,(_calc!$E$186-500)))=0,"",INDEX('My equipment'!$C$4:$C$503,(_calc!$E$186-500)))&amp;". ")&amp;IF(LEN(IF(LEN(INDEX('My equipment'!$D$4:$D$503,(_calc!$E$186-500)))=0,"",INDEX('My equipment'!$D$4:$D$503,(_calc!$E$186-500))))=0,"","Serial: "&amp;IF(LEN(INDEX('My equipment'!$D$4:$D$503,(_calc!$E$186-500)))=0,"",INDEX('My equipment'!$D$4:$D$503,(_calc!$E$186-500)))&amp;". ")&amp;IF(LEN(IF(ISNUMBER(INDEX('My equipment'!$J$4:$J$503,(_calc!$E$186-500))),TEXT(INDEX('My equipment'!$J$4:$J$503,(_calc!$E$186-500)),"yyyy-mm-dd"),""))=0,"","Parts end: "&amp;IF(ISNUMBER(INDEX('My equipment'!$J$4:$J$503,(_calc!$E$186-500))),TEXT(INDEX('My equipment'!$J$4:$J$503,(_calc!$E$186-500)),"yyyy-mm-dd"),"")&amp;". ")&amp;IF(LEN(IF(ISNUMBER(INDEX('My equipment'!$L$4:$L$503,(_calc!$E$186-500))),TEXT(INDEX('My equipment'!$L$4:$L$503,(_calc!$E$186-500)),"yyyy-mm-dd"),""))=0,"","Labor end: "&amp;IF(ISNUMBER(INDEX('My equipment'!$L$4:$L$503,(_calc!$E$186-500))),TEXT(INDEX('My equipment'!$L$4:$L$503,(_calc!$E$186-500)),"yyyy-mm-dd"),"")&amp;". ")&amp;IF(LEN(IF(ISNUMBER(INDEX('My equipment'!$P$4:$P$503,(_calc!$E$186-500))),TEXT(INDEX('My equipment'!$P$4:$P$503,(_calc!$E$186-500)),"yyyy-mm-dd"),""))=0,"","Check by: "&amp;IF(ISNUMBER(INDEX('My equipment'!$P$4:$P$503,(_calc!$E$186-500))),TEXT(INDEX('My equipment'!$P$4:$P$503,(_calc!$E$186-500)),"yyyy-mm-dd"),"")&amp;". ")&amp;IF(LEN(IF(LEN(INDEX('My equipment'!$Q$4:$Q$503,(_calc!$E$186-500)))=0,"",INDEX('My equipment'!$Q$4:$Q$503,(_calc!$E$186-500))))=0,"","Claim status: "&amp;IF(LEN(INDEX('My equipment'!$Q$4:$Q$503,(_calc!$E$186-500)))=0,"",INDEX('My equipment'!$Q$4:$Q$503,(_calc!$E$186-500)))&amp;". ")&amp;IF(LEN(IF(LEN(INDEX('My equipment'!$R$4:$R$503,(_calc!$E$186-500)))=0,"",INDEX('My equipment'!$R$4:$R$503,(_calc!$E$186-500))))=0,"","Claims contact: "&amp;IF(LEN(INDEX('My equipment'!$R$4:$R$503,(_calc!$E$186-500)))=0,"",INDEX('My equipment'!$R$4:$R$503,(_calc!$E$186-500)))&amp;". ")&amp;IF(LEN(IF(LEN(INDEX('My equipment'!$S$4:$S$503,(_calc!$E$186-500)))=0,"",INDEX('My equipment'!$S$4:$S$503,(_calc!$E$186-500))))=0,"","Claims email: "&amp;IF(LEN(INDEX('My equipment'!$S$4:$S$503,(_calc!$E$186-500)))=0,"",INDEX('My equipment'!$S$4:$S$503,(_calc!$E$186-500)))&amp;". ")&amp;IF(LEN(IF(LEN(INDEX('My equipment'!$U$4:$U$503,(_calc!$E$186-500)))=0,"",INDEX('My equipment'!$U$4:$U$503,(_calc!$E$186-500))))=0,"","Registered: "&amp;IF(LEN(INDEX('My equipment'!$U$4:$U$503,(_calc!$E$186-500)))=0,"",INDEX('My equipment'!$U$4:$U$503,(_calc!$E$186-500)))&amp;". ")&amp;IF(LEN(IF(LEN(INDEX('My equipment'!$V$4:$V$503,(_calc!$E$186-500)))=0,"",INDEX('My equipment'!$V$4:$V$503,(_calc!$E$186-500))))=0,"","Proof on file: "&amp;IF(LEN(INDEX('My equipment'!$V$4:$V$503,(_calc!$E$186-500)))=0,"",INDEX('My equipment'!$V$4:$V$503,(_calc!$E$186-500)))&amp;". ")&amp;IF(LEN(IF(LEN(INDEX('My equipment'!$W$4:$W$503,(_calc!$E$186-500)))=0,"",INDEX('My equipment'!$W$4:$W$503,(_calc!$E$186-500))))=0,"","Claim ref: "&amp;IF(LEN(INDEX('My equipment'!$W$4:$W$503,(_calc!$E$186-500)))=0,"",INDEX('My equipment'!$W$4:$W$503,(_calc!$E$186-500)))&amp;". ")&amp;IF(LEN(IF(LEN(INDEX('My equipment'!$Y$4:$Y$503,(_calc!$E$186-500)))=0,"",INDEX('My equipment'!$Y$4:$Y$503,(_calc!$E$186-500))))=0,"",IF(LEN(INDEX('My equipment'!$Y$4:$Y$503,(_calc!$E$186-500)))=0,"",INDEX('My equipment'!$Y$4:$Y$503,(_calc!$E$186-500)))))))</f>
        <v/>
      </c>
      <c r="G184" s="54">
        <f>IF(_calc!$E$186="","",IF(_calc!$E$186&lt;=500,"",IF(LEN(INDEX('My equipment'!$X$4:$X$503,(_calc!$E$186-500)))=0,"",INDEX('My equipment'!$X$4:$X$503,(_calc!$E$186-500)))))</f>
        <v/>
      </c>
      <c r="K184" s="54">
        <f>IF(_calc!$E$186="","",IF(_calc!$E$186&lt;=500,"",IF(LEN(INDEX('My equipment'!$T$4:$T$503,(_calc!$E$186-500)))=0,"",INDEX('My equipment'!$T$4:$T$503,(_calc!$E$186-500)))))</f>
        <v/>
      </c>
    </row>
    <row r="185">
      <c r="A185" s="54">
        <f>IF(_calc!$E$187="","",IF(_calc!$E$187&lt;=500,"Warranty – "&amp;IF(LEN(INDEX('Dealer pipeline'!$C$4:$C$503,_calc!$E$187))=0,"",INDEX('Dealer pipeline'!$C$4:$C$503,_calc!$E$187))&amp;" – "&amp;IF(LEN(INDEX('Dealer pipeline'!$D$4:$D$503,_calc!$E$187))=0,"",INDEX('Dealer pipeline'!$D$4:$D$503,_calc!$E$187))&amp;" – "&amp;IF(LEN(INDEX('Dealer pipeline'!$A$4:$A$503,_calc!$E$187))=0,"",INDEX('Dealer pipeline'!$A$4:$A$503,_calc!$E$187)),"Warranty – "&amp;IF(LEN(INDEX('My equipment'!$A$4:$A$503,(_calc!$E$187-500)))=0,"",INDEX('My equipment'!$A$4:$A$503,(_calc!$E$187-500)))&amp;" – "&amp;IF(LEN(INDEX('My equipment'!$D$4:$D$503,(_calc!$E$187-500)))=0,"",INDEX('My equipment'!$D$4:$D$503,(_calc!$E$187-500)))))</f>
        <v/>
      </c>
      <c r="B185" s="54">
        <f>IF(_calc!$E$187="","",IF(_calc!$E$187&lt;=500,IF(ISNUMBER(INDEX('Dealer pipeline'!$M$4:$M$503,_calc!$E$187)),TEXT(INDEX('Dealer pipeline'!$M$4:$M$503,_calc!$E$187),"yyyy-mm-dd"),""),IF(ISNUMBER(INDEX('My equipment'!$M$4:$M$503,(_calc!$E$187-500))),TEXT(INDEX('My equipment'!$M$4:$M$503,(_calc!$E$187-500)),"yyyy-mm-dd"),"")))</f>
        <v/>
      </c>
      <c r="C185" s="54">
        <f>IF(_calc!$E$187="","",IF(_calc!$E$187&lt;=500,"Warranty","Warranty"))</f>
        <v/>
      </c>
      <c r="D185" s="54">
        <f>IF(_calc!$E$187="","",IF(_calc!$E$187&lt;=500,IF(ISNUMBER(INDEX('Dealer pipeline'!$H$4:$H$503,_calc!$E$187)),TEXT(INDEX('Dealer pipeline'!$H$4:$H$503,_calc!$E$187),"yyyy-mm-dd"),""),IF(ISNUMBER(INDEX('My equipment'!$H$4:$H$503,(_calc!$E$187-500))),TEXT(INDEX('My equipment'!$H$4:$H$503,(_calc!$E$187-500)),"yyyy-mm-dd"),"")))</f>
        <v/>
      </c>
      <c r="F185" s="54">
        <f>IF(_calc!$E$187="","",IF(_calc!$E$187&lt;=500,TRIM(IF(LEN(IF(LEN(INDEX('Dealer pipeline'!$A$4:$A$503,_calc!$E$187))=0,"",INDEX('Dealer pipeline'!$A$4:$A$503,_calc!$E$187)))=0,"","Customer: "&amp;IF(LEN(INDEX('Dealer pipeline'!$A$4:$A$503,_calc!$E$187))=0,"",INDEX('Dealer pipeline'!$A$4:$A$503,_calc!$E$187))&amp;". ")&amp;IF(LEN(IF(LEN(INDEX('Dealer pipeline'!$B$4:$B$503,_calc!$E$187))=0,"",INDEX('Dealer pipeline'!$B$4:$B$503,_calc!$E$187)))=0,"","Contact: "&amp;IF(LEN(INDEX('Dealer pipeline'!$B$4:$B$503,_calc!$E$187))=0,"",INDEX('Dealer pipeline'!$B$4:$B$503,_calc!$E$187))&amp;". ")&amp;IF(LEN(IF(LEN(INDEX('Dealer pipeline'!$D$4:$D$503,_calc!$E$187))=0,"",INDEX('Dealer pipeline'!$D$4:$D$503,_calc!$E$187)))=0,"","Serial: "&amp;IF(LEN(INDEX('Dealer pipeline'!$D$4:$D$503,_calc!$E$187))=0,"",INDEX('Dealer pipeline'!$D$4:$D$503,_calc!$E$187))&amp;". ")&amp;IF(LEN(IF(ISNUMBER(INDEX('Dealer pipeline'!$J$4:$J$503,_calc!$E$187)),TEXT(INDEX('Dealer pipeline'!$J$4:$J$503,_calc!$E$187),"yyyy-mm-dd"),""))=0,"","Parts end: "&amp;IF(ISNUMBER(INDEX('Dealer pipeline'!$J$4:$J$503,_calc!$E$187)),TEXT(INDEX('Dealer pipeline'!$J$4:$J$503,_calc!$E$187),"yyyy-mm-dd"),"")&amp;". ")&amp;IF(LEN(IF(ISNUMBER(INDEX('Dealer pipeline'!$L$4:$L$503,_calc!$E$187)),TEXT(INDEX('Dealer pipeline'!$L$4:$L$503,_calc!$E$187),"yyyy-mm-dd"),""))=0,"","Labor end: "&amp;IF(ISNUMBER(INDEX('Dealer pipeline'!$L$4:$L$503,_calc!$E$187)),TEXT(INDEX('Dealer pipeline'!$L$4:$L$503,_calc!$E$187),"yyyy-mm-dd"),"")&amp;". ")&amp;IF(LEN(IF(LEN(INDEX('Dealer pipeline'!$Q$4:$Q$503,_calc!$E$187))=0,"",INDEX('Dealer pipeline'!$Q$4:$Q$503,_calc!$E$187)))=0,"","Status: "&amp;IF(LEN(INDEX('Dealer pipeline'!$Q$4:$Q$503,_calc!$E$187))=0,"",INDEX('Dealer pipeline'!$Q$4:$Q$503,_calc!$E$187))&amp;". ")&amp;IF(LEN(IF(LEN(INDEX('Dealer pipeline'!$P$4:$P$503,_calc!$E$187))=0,"",INDEX('Dealer pipeline'!$P$4:$P$503,_calc!$E$187)))=0,"","Last touch: "&amp;IF(LEN(INDEX('Dealer pipeline'!$P$4:$P$503,_calc!$E$187))=0,"",INDEX('Dealer pipeline'!$P$4:$P$503,_calc!$E$187))&amp;". ")&amp;IF(LEN(IF(LEN(INDEX('Dealer pipeline'!$R$4:$R$503,_calc!$E$187))=0,"",INDEX('Dealer pipeline'!$R$4:$R$503,_calc!$E$187)))=0,"","Owner: "&amp;IF(LEN(INDEX('Dealer pipeline'!$R$4:$R$503,_calc!$E$187))=0,"",INDEX('Dealer pipeline'!$R$4:$R$503,_calc!$E$187))&amp;". ")&amp;IF(LEN(IF(LEN(INDEX('Dealer pipeline'!$S$4:$S$503,_calc!$E$187))=0,"",INDEX('Dealer pipeline'!$S$4:$S$503,_calc!$E$187)))=0,"","Backup: "&amp;IF(LEN(INDEX('Dealer pipeline'!$S$4:$S$503,_calc!$E$187))=0,"",INDEX('Dealer pipeline'!$S$4:$S$503,_calc!$E$187))&amp;". ")&amp;IF(LEN(IF(LEN(INDEX('Dealer pipeline'!$T$4:$T$503,_calc!$E$187))=0,"",INDEX('Dealer pipeline'!$T$4:$T$503,_calc!$E$187)))=0,"",IF(LEN(INDEX('Dealer pipeline'!$T$4:$T$503,_calc!$E$187))=0,"",INDEX('Dealer pipeline'!$T$4:$T$503,_calc!$E$187)))),TRIM(IF(LEN(IF(LEN(INDEX('My equipment'!$C$4:$C$503,(_calc!$E$187-500)))=0,"",INDEX('My equipment'!$C$4:$C$503,(_calc!$E$187-500))))=0,"","Model: "&amp;IF(LEN(INDEX('My equipment'!$C$4:$C$503,(_calc!$E$187-500)))=0,"",INDEX('My equipment'!$C$4:$C$503,(_calc!$E$187-500)))&amp;". ")&amp;IF(LEN(IF(LEN(INDEX('My equipment'!$D$4:$D$503,(_calc!$E$187-500)))=0,"",INDEX('My equipment'!$D$4:$D$503,(_calc!$E$187-500))))=0,"","Serial: "&amp;IF(LEN(INDEX('My equipment'!$D$4:$D$503,(_calc!$E$187-500)))=0,"",INDEX('My equipment'!$D$4:$D$503,(_calc!$E$187-500)))&amp;". ")&amp;IF(LEN(IF(ISNUMBER(INDEX('My equipment'!$J$4:$J$503,(_calc!$E$187-500))),TEXT(INDEX('My equipment'!$J$4:$J$503,(_calc!$E$187-500)),"yyyy-mm-dd"),""))=0,"","Parts end: "&amp;IF(ISNUMBER(INDEX('My equipment'!$J$4:$J$503,(_calc!$E$187-500))),TEXT(INDEX('My equipment'!$J$4:$J$503,(_calc!$E$187-500)),"yyyy-mm-dd"),"")&amp;". ")&amp;IF(LEN(IF(ISNUMBER(INDEX('My equipment'!$L$4:$L$503,(_calc!$E$187-500))),TEXT(INDEX('My equipment'!$L$4:$L$503,(_calc!$E$187-500)),"yyyy-mm-dd"),""))=0,"","Labor end: "&amp;IF(ISNUMBER(INDEX('My equipment'!$L$4:$L$503,(_calc!$E$187-500))),TEXT(INDEX('My equipment'!$L$4:$L$503,(_calc!$E$187-500)),"yyyy-mm-dd"),"")&amp;". ")&amp;IF(LEN(IF(ISNUMBER(INDEX('My equipment'!$P$4:$P$503,(_calc!$E$187-500))),TEXT(INDEX('My equipment'!$P$4:$P$503,(_calc!$E$187-500)),"yyyy-mm-dd"),""))=0,"","Check by: "&amp;IF(ISNUMBER(INDEX('My equipment'!$P$4:$P$503,(_calc!$E$187-500))),TEXT(INDEX('My equipment'!$P$4:$P$503,(_calc!$E$187-500)),"yyyy-mm-dd"),"")&amp;". ")&amp;IF(LEN(IF(LEN(INDEX('My equipment'!$Q$4:$Q$503,(_calc!$E$187-500)))=0,"",INDEX('My equipment'!$Q$4:$Q$503,(_calc!$E$187-500))))=0,"","Claim status: "&amp;IF(LEN(INDEX('My equipment'!$Q$4:$Q$503,(_calc!$E$187-500)))=0,"",INDEX('My equipment'!$Q$4:$Q$503,(_calc!$E$187-500)))&amp;". ")&amp;IF(LEN(IF(LEN(INDEX('My equipment'!$R$4:$R$503,(_calc!$E$187-500)))=0,"",INDEX('My equipment'!$R$4:$R$503,(_calc!$E$187-500))))=0,"","Claims contact: "&amp;IF(LEN(INDEX('My equipment'!$R$4:$R$503,(_calc!$E$187-500)))=0,"",INDEX('My equipment'!$R$4:$R$503,(_calc!$E$187-500)))&amp;". ")&amp;IF(LEN(IF(LEN(INDEX('My equipment'!$S$4:$S$503,(_calc!$E$187-500)))=0,"",INDEX('My equipment'!$S$4:$S$503,(_calc!$E$187-500))))=0,"","Claims email: "&amp;IF(LEN(INDEX('My equipment'!$S$4:$S$503,(_calc!$E$187-500)))=0,"",INDEX('My equipment'!$S$4:$S$503,(_calc!$E$187-500)))&amp;". ")&amp;IF(LEN(IF(LEN(INDEX('My equipment'!$U$4:$U$503,(_calc!$E$187-500)))=0,"",INDEX('My equipment'!$U$4:$U$503,(_calc!$E$187-500))))=0,"","Registered: "&amp;IF(LEN(INDEX('My equipment'!$U$4:$U$503,(_calc!$E$187-500)))=0,"",INDEX('My equipment'!$U$4:$U$503,(_calc!$E$187-500)))&amp;". ")&amp;IF(LEN(IF(LEN(INDEX('My equipment'!$V$4:$V$503,(_calc!$E$187-500)))=0,"",INDEX('My equipment'!$V$4:$V$503,(_calc!$E$187-500))))=0,"","Proof on file: "&amp;IF(LEN(INDEX('My equipment'!$V$4:$V$503,(_calc!$E$187-500)))=0,"",INDEX('My equipment'!$V$4:$V$503,(_calc!$E$187-500)))&amp;". ")&amp;IF(LEN(IF(LEN(INDEX('My equipment'!$W$4:$W$503,(_calc!$E$187-500)))=0,"",INDEX('My equipment'!$W$4:$W$503,(_calc!$E$187-500))))=0,"","Claim ref: "&amp;IF(LEN(INDEX('My equipment'!$W$4:$W$503,(_calc!$E$187-500)))=0,"",INDEX('My equipment'!$W$4:$W$503,(_calc!$E$187-500)))&amp;". ")&amp;IF(LEN(IF(LEN(INDEX('My equipment'!$Y$4:$Y$503,(_calc!$E$187-500)))=0,"",INDEX('My equipment'!$Y$4:$Y$503,(_calc!$E$187-500))))=0,"",IF(LEN(INDEX('My equipment'!$Y$4:$Y$503,(_calc!$E$187-500)))=0,"",INDEX('My equipment'!$Y$4:$Y$503,(_calc!$E$187-500)))))))</f>
        <v/>
      </c>
      <c r="G185" s="54">
        <f>IF(_calc!$E$187="","",IF(_calc!$E$187&lt;=500,"",IF(LEN(INDEX('My equipment'!$X$4:$X$503,(_calc!$E$187-500)))=0,"",INDEX('My equipment'!$X$4:$X$503,(_calc!$E$187-500)))))</f>
        <v/>
      </c>
      <c r="K185" s="54">
        <f>IF(_calc!$E$187="","",IF(_calc!$E$187&lt;=500,"",IF(LEN(INDEX('My equipment'!$T$4:$T$503,(_calc!$E$187-500)))=0,"",INDEX('My equipment'!$T$4:$T$503,(_calc!$E$187-500)))))</f>
        <v/>
      </c>
    </row>
    <row r="186">
      <c r="A186" s="54">
        <f>IF(_calc!$E$188="","",IF(_calc!$E$188&lt;=500,"Warranty – "&amp;IF(LEN(INDEX('Dealer pipeline'!$C$4:$C$503,_calc!$E$188))=0,"",INDEX('Dealer pipeline'!$C$4:$C$503,_calc!$E$188))&amp;" – "&amp;IF(LEN(INDEX('Dealer pipeline'!$D$4:$D$503,_calc!$E$188))=0,"",INDEX('Dealer pipeline'!$D$4:$D$503,_calc!$E$188))&amp;" – "&amp;IF(LEN(INDEX('Dealer pipeline'!$A$4:$A$503,_calc!$E$188))=0,"",INDEX('Dealer pipeline'!$A$4:$A$503,_calc!$E$188)),"Warranty – "&amp;IF(LEN(INDEX('My equipment'!$A$4:$A$503,(_calc!$E$188-500)))=0,"",INDEX('My equipment'!$A$4:$A$503,(_calc!$E$188-500)))&amp;" – "&amp;IF(LEN(INDEX('My equipment'!$D$4:$D$503,(_calc!$E$188-500)))=0,"",INDEX('My equipment'!$D$4:$D$503,(_calc!$E$188-500)))))</f>
        <v/>
      </c>
      <c r="B186" s="54">
        <f>IF(_calc!$E$188="","",IF(_calc!$E$188&lt;=500,IF(ISNUMBER(INDEX('Dealer pipeline'!$M$4:$M$503,_calc!$E$188)),TEXT(INDEX('Dealer pipeline'!$M$4:$M$503,_calc!$E$188),"yyyy-mm-dd"),""),IF(ISNUMBER(INDEX('My equipment'!$M$4:$M$503,(_calc!$E$188-500))),TEXT(INDEX('My equipment'!$M$4:$M$503,(_calc!$E$188-500)),"yyyy-mm-dd"),"")))</f>
        <v/>
      </c>
      <c r="C186" s="54">
        <f>IF(_calc!$E$188="","",IF(_calc!$E$188&lt;=500,"Warranty","Warranty"))</f>
        <v/>
      </c>
      <c r="D186" s="54">
        <f>IF(_calc!$E$188="","",IF(_calc!$E$188&lt;=500,IF(ISNUMBER(INDEX('Dealer pipeline'!$H$4:$H$503,_calc!$E$188)),TEXT(INDEX('Dealer pipeline'!$H$4:$H$503,_calc!$E$188),"yyyy-mm-dd"),""),IF(ISNUMBER(INDEX('My equipment'!$H$4:$H$503,(_calc!$E$188-500))),TEXT(INDEX('My equipment'!$H$4:$H$503,(_calc!$E$188-500)),"yyyy-mm-dd"),"")))</f>
        <v/>
      </c>
      <c r="F186" s="54">
        <f>IF(_calc!$E$188="","",IF(_calc!$E$188&lt;=500,TRIM(IF(LEN(IF(LEN(INDEX('Dealer pipeline'!$A$4:$A$503,_calc!$E$188))=0,"",INDEX('Dealer pipeline'!$A$4:$A$503,_calc!$E$188)))=0,"","Customer: "&amp;IF(LEN(INDEX('Dealer pipeline'!$A$4:$A$503,_calc!$E$188))=0,"",INDEX('Dealer pipeline'!$A$4:$A$503,_calc!$E$188))&amp;". ")&amp;IF(LEN(IF(LEN(INDEX('Dealer pipeline'!$B$4:$B$503,_calc!$E$188))=0,"",INDEX('Dealer pipeline'!$B$4:$B$503,_calc!$E$188)))=0,"","Contact: "&amp;IF(LEN(INDEX('Dealer pipeline'!$B$4:$B$503,_calc!$E$188))=0,"",INDEX('Dealer pipeline'!$B$4:$B$503,_calc!$E$188))&amp;". ")&amp;IF(LEN(IF(LEN(INDEX('Dealer pipeline'!$D$4:$D$503,_calc!$E$188))=0,"",INDEX('Dealer pipeline'!$D$4:$D$503,_calc!$E$188)))=0,"","Serial: "&amp;IF(LEN(INDEX('Dealer pipeline'!$D$4:$D$503,_calc!$E$188))=0,"",INDEX('Dealer pipeline'!$D$4:$D$503,_calc!$E$188))&amp;". ")&amp;IF(LEN(IF(ISNUMBER(INDEX('Dealer pipeline'!$J$4:$J$503,_calc!$E$188)),TEXT(INDEX('Dealer pipeline'!$J$4:$J$503,_calc!$E$188),"yyyy-mm-dd"),""))=0,"","Parts end: "&amp;IF(ISNUMBER(INDEX('Dealer pipeline'!$J$4:$J$503,_calc!$E$188)),TEXT(INDEX('Dealer pipeline'!$J$4:$J$503,_calc!$E$188),"yyyy-mm-dd"),"")&amp;". ")&amp;IF(LEN(IF(ISNUMBER(INDEX('Dealer pipeline'!$L$4:$L$503,_calc!$E$188)),TEXT(INDEX('Dealer pipeline'!$L$4:$L$503,_calc!$E$188),"yyyy-mm-dd"),""))=0,"","Labor end: "&amp;IF(ISNUMBER(INDEX('Dealer pipeline'!$L$4:$L$503,_calc!$E$188)),TEXT(INDEX('Dealer pipeline'!$L$4:$L$503,_calc!$E$188),"yyyy-mm-dd"),"")&amp;". ")&amp;IF(LEN(IF(LEN(INDEX('Dealer pipeline'!$Q$4:$Q$503,_calc!$E$188))=0,"",INDEX('Dealer pipeline'!$Q$4:$Q$503,_calc!$E$188)))=0,"","Status: "&amp;IF(LEN(INDEX('Dealer pipeline'!$Q$4:$Q$503,_calc!$E$188))=0,"",INDEX('Dealer pipeline'!$Q$4:$Q$503,_calc!$E$188))&amp;". ")&amp;IF(LEN(IF(LEN(INDEX('Dealer pipeline'!$P$4:$P$503,_calc!$E$188))=0,"",INDEX('Dealer pipeline'!$P$4:$P$503,_calc!$E$188)))=0,"","Last touch: "&amp;IF(LEN(INDEX('Dealer pipeline'!$P$4:$P$503,_calc!$E$188))=0,"",INDEX('Dealer pipeline'!$P$4:$P$503,_calc!$E$188))&amp;". ")&amp;IF(LEN(IF(LEN(INDEX('Dealer pipeline'!$R$4:$R$503,_calc!$E$188))=0,"",INDEX('Dealer pipeline'!$R$4:$R$503,_calc!$E$188)))=0,"","Owner: "&amp;IF(LEN(INDEX('Dealer pipeline'!$R$4:$R$503,_calc!$E$188))=0,"",INDEX('Dealer pipeline'!$R$4:$R$503,_calc!$E$188))&amp;". ")&amp;IF(LEN(IF(LEN(INDEX('Dealer pipeline'!$S$4:$S$503,_calc!$E$188))=0,"",INDEX('Dealer pipeline'!$S$4:$S$503,_calc!$E$188)))=0,"","Backup: "&amp;IF(LEN(INDEX('Dealer pipeline'!$S$4:$S$503,_calc!$E$188))=0,"",INDEX('Dealer pipeline'!$S$4:$S$503,_calc!$E$188))&amp;". ")&amp;IF(LEN(IF(LEN(INDEX('Dealer pipeline'!$T$4:$T$503,_calc!$E$188))=0,"",INDEX('Dealer pipeline'!$T$4:$T$503,_calc!$E$188)))=0,"",IF(LEN(INDEX('Dealer pipeline'!$T$4:$T$503,_calc!$E$188))=0,"",INDEX('Dealer pipeline'!$T$4:$T$503,_calc!$E$188)))),TRIM(IF(LEN(IF(LEN(INDEX('My equipment'!$C$4:$C$503,(_calc!$E$188-500)))=0,"",INDEX('My equipment'!$C$4:$C$503,(_calc!$E$188-500))))=0,"","Model: "&amp;IF(LEN(INDEX('My equipment'!$C$4:$C$503,(_calc!$E$188-500)))=0,"",INDEX('My equipment'!$C$4:$C$503,(_calc!$E$188-500)))&amp;". ")&amp;IF(LEN(IF(LEN(INDEX('My equipment'!$D$4:$D$503,(_calc!$E$188-500)))=0,"",INDEX('My equipment'!$D$4:$D$503,(_calc!$E$188-500))))=0,"","Serial: "&amp;IF(LEN(INDEX('My equipment'!$D$4:$D$503,(_calc!$E$188-500)))=0,"",INDEX('My equipment'!$D$4:$D$503,(_calc!$E$188-500)))&amp;". ")&amp;IF(LEN(IF(ISNUMBER(INDEX('My equipment'!$J$4:$J$503,(_calc!$E$188-500))),TEXT(INDEX('My equipment'!$J$4:$J$503,(_calc!$E$188-500)),"yyyy-mm-dd"),""))=0,"","Parts end: "&amp;IF(ISNUMBER(INDEX('My equipment'!$J$4:$J$503,(_calc!$E$188-500))),TEXT(INDEX('My equipment'!$J$4:$J$503,(_calc!$E$188-500)),"yyyy-mm-dd"),"")&amp;". ")&amp;IF(LEN(IF(ISNUMBER(INDEX('My equipment'!$L$4:$L$503,(_calc!$E$188-500))),TEXT(INDEX('My equipment'!$L$4:$L$503,(_calc!$E$188-500)),"yyyy-mm-dd"),""))=0,"","Labor end: "&amp;IF(ISNUMBER(INDEX('My equipment'!$L$4:$L$503,(_calc!$E$188-500))),TEXT(INDEX('My equipment'!$L$4:$L$503,(_calc!$E$188-500)),"yyyy-mm-dd"),"")&amp;". ")&amp;IF(LEN(IF(ISNUMBER(INDEX('My equipment'!$P$4:$P$503,(_calc!$E$188-500))),TEXT(INDEX('My equipment'!$P$4:$P$503,(_calc!$E$188-500)),"yyyy-mm-dd"),""))=0,"","Check by: "&amp;IF(ISNUMBER(INDEX('My equipment'!$P$4:$P$503,(_calc!$E$188-500))),TEXT(INDEX('My equipment'!$P$4:$P$503,(_calc!$E$188-500)),"yyyy-mm-dd"),"")&amp;". ")&amp;IF(LEN(IF(LEN(INDEX('My equipment'!$Q$4:$Q$503,(_calc!$E$188-500)))=0,"",INDEX('My equipment'!$Q$4:$Q$503,(_calc!$E$188-500))))=0,"","Claim status: "&amp;IF(LEN(INDEX('My equipment'!$Q$4:$Q$503,(_calc!$E$188-500)))=0,"",INDEX('My equipment'!$Q$4:$Q$503,(_calc!$E$188-500)))&amp;". ")&amp;IF(LEN(IF(LEN(INDEX('My equipment'!$R$4:$R$503,(_calc!$E$188-500)))=0,"",INDEX('My equipment'!$R$4:$R$503,(_calc!$E$188-500))))=0,"","Claims contact: "&amp;IF(LEN(INDEX('My equipment'!$R$4:$R$503,(_calc!$E$188-500)))=0,"",INDEX('My equipment'!$R$4:$R$503,(_calc!$E$188-500)))&amp;". ")&amp;IF(LEN(IF(LEN(INDEX('My equipment'!$S$4:$S$503,(_calc!$E$188-500)))=0,"",INDEX('My equipment'!$S$4:$S$503,(_calc!$E$188-500))))=0,"","Claims email: "&amp;IF(LEN(INDEX('My equipment'!$S$4:$S$503,(_calc!$E$188-500)))=0,"",INDEX('My equipment'!$S$4:$S$503,(_calc!$E$188-500)))&amp;". ")&amp;IF(LEN(IF(LEN(INDEX('My equipment'!$U$4:$U$503,(_calc!$E$188-500)))=0,"",INDEX('My equipment'!$U$4:$U$503,(_calc!$E$188-500))))=0,"","Registered: "&amp;IF(LEN(INDEX('My equipment'!$U$4:$U$503,(_calc!$E$188-500)))=0,"",INDEX('My equipment'!$U$4:$U$503,(_calc!$E$188-500)))&amp;". ")&amp;IF(LEN(IF(LEN(INDEX('My equipment'!$V$4:$V$503,(_calc!$E$188-500)))=0,"",INDEX('My equipment'!$V$4:$V$503,(_calc!$E$188-500))))=0,"","Proof on file: "&amp;IF(LEN(INDEX('My equipment'!$V$4:$V$503,(_calc!$E$188-500)))=0,"",INDEX('My equipment'!$V$4:$V$503,(_calc!$E$188-500)))&amp;". ")&amp;IF(LEN(IF(LEN(INDEX('My equipment'!$W$4:$W$503,(_calc!$E$188-500)))=0,"",INDEX('My equipment'!$W$4:$W$503,(_calc!$E$188-500))))=0,"","Claim ref: "&amp;IF(LEN(INDEX('My equipment'!$W$4:$W$503,(_calc!$E$188-500)))=0,"",INDEX('My equipment'!$W$4:$W$503,(_calc!$E$188-500)))&amp;". ")&amp;IF(LEN(IF(LEN(INDEX('My equipment'!$Y$4:$Y$503,(_calc!$E$188-500)))=0,"",INDEX('My equipment'!$Y$4:$Y$503,(_calc!$E$188-500))))=0,"",IF(LEN(INDEX('My equipment'!$Y$4:$Y$503,(_calc!$E$188-500)))=0,"",INDEX('My equipment'!$Y$4:$Y$503,(_calc!$E$188-500)))))))</f>
        <v/>
      </c>
      <c r="G186" s="54">
        <f>IF(_calc!$E$188="","",IF(_calc!$E$188&lt;=500,"",IF(LEN(INDEX('My equipment'!$X$4:$X$503,(_calc!$E$188-500)))=0,"",INDEX('My equipment'!$X$4:$X$503,(_calc!$E$188-500)))))</f>
        <v/>
      </c>
      <c r="K186" s="54">
        <f>IF(_calc!$E$188="","",IF(_calc!$E$188&lt;=500,"",IF(LEN(INDEX('My equipment'!$T$4:$T$503,(_calc!$E$188-500)))=0,"",INDEX('My equipment'!$T$4:$T$503,(_calc!$E$188-500)))))</f>
        <v/>
      </c>
    </row>
    <row r="187">
      <c r="A187" s="54">
        <f>IF(_calc!$E$189="","",IF(_calc!$E$189&lt;=500,"Warranty – "&amp;IF(LEN(INDEX('Dealer pipeline'!$C$4:$C$503,_calc!$E$189))=0,"",INDEX('Dealer pipeline'!$C$4:$C$503,_calc!$E$189))&amp;" – "&amp;IF(LEN(INDEX('Dealer pipeline'!$D$4:$D$503,_calc!$E$189))=0,"",INDEX('Dealer pipeline'!$D$4:$D$503,_calc!$E$189))&amp;" – "&amp;IF(LEN(INDEX('Dealer pipeline'!$A$4:$A$503,_calc!$E$189))=0,"",INDEX('Dealer pipeline'!$A$4:$A$503,_calc!$E$189)),"Warranty – "&amp;IF(LEN(INDEX('My equipment'!$A$4:$A$503,(_calc!$E$189-500)))=0,"",INDEX('My equipment'!$A$4:$A$503,(_calc!$E$189-500)))&amp;" – "&amp;IF(LEN(INDEX('My equipment'!$D$4:$D$503,(_calc!$E$189-500)))=0,"",INDEX('My equipment'!$D$4:$D$503,(_calc!$E$189-500)))))</f>
        <v/>
      </c>
      <c r="B187" s="54">
        <f>IF(_calc!$E$189="","",IF(_calc!$E$189&lt;=500,IF(ISNUMBER(INDEX('Dealer pipeline'!$M$4:$M$503,_calc!$E$189)),TEXT(INDEX('Dealer pipeline'!$M$4:$M$503,_calc!$E$189),"yyyy-mm-dd"),""),IF(ISNUMBER(INDEX('My equipment'!$M$4:$M$503,(_calc!$E$189-500))),TEXT(INDEX('My equipment'!$M$4:$M$503,(_calc!$E$189-500)),"yyyy-mm-dd"),"")))</f>
        <v/>
      </c>
      <c r="C187" s="54">
        <f>IF(_calc!$E$189="","",IF(_calc!$E$189&lt;=500,"Warranty","Warranty"))</f>
        <v/>
      </c>
      <c r="D187" s="54">
        <f>IF(_calc!$E$189="","",IF(_calc!$E$189&lt;=500,IF(ISNUMBER(INDEX('Dealer pipeline'!$H$4:$H$503,_calc!$E$189)),TEXT(INDEX('Dealer pipeline'!$H$4:$H$503,_calc!$E$189),"yyyy-mm-dd"),""),IF(ISNUMBER(INDEX('My equipment'!$H$4:$H$503,(_calc!$E$189-500))),TEXT(INDEX('My equipment'!$H$4:$H$503,(_calc!$E$189-500)),"yyyy-mm-dd"),"")))</f>
        <v/>
      </c>
      <c r="F187" s="54">
        <f>IF(_calc!$E$189="","",IF(_calc!$E$189&lt;=500,TRIM(IF(LEN(IF(LEN(INDEX('Dealer pipeline'!$A$4:$A$503,_calc!$E$189))=0,"",INDEX('Dealer pipeline'!$A$4:$A$503,_calc!$E$189)))=0,"","Customer: "&amp;IF(LEN(INDEX('Dealer pipeline'!$A$4:$A$503,_calc!$E$189))=0,"",INDEX('Dealer pipeline'!$A$4:$A$503,_calc!$E$189))&amp;". ")&amp;IF(LEN(IF(LEN(INDEX('Dealer pipeline'!$B$4:$B$503,_calc!$E$189))=0,"",INDEX('Dealer pipeline'!$B$4:$B$503,_calc!$E$189)))=0,"","Contact: "&amp;IF(LEN(INDEX('Dealer pipeline'!$B$4:$B$503,_calc!$E$189))=0,"",INDEX('Dealer pipeline'!$B$4:$B$503,_calc!$E$189))&amp;". ")&amp;IF(LEN(IF(LEN(INDEX('Dealer pipeline'!$D$4:$D$503,_calc!$E$189))=0,"",INDEX('Dealer pipeline'!$D$4:$D$503,_calc!$E$189)))=0,"","Serial: "&amp;IF(LEN(INDEX('Dealer pipeline'!$D$4:$D$503,_calc!$E$189))=0,"",INDEX('Dealer pipeline'!$D$4:$D$503,_calc!$E$189))&amp;". ")&amp;IF(LEN(IF(ISNUMBER(INDEX('Dealer pipeline'!$J$4:$J$503,_calc!$E$189)),TEXT(INDEX('Dealer pipeline'!$J$4:$J$503,_calc!$E$189),"yyyy-mm-dd"),""))=0,"","Parts end: "&amp;IF(ISNUMBER(INDEX('Dealer pipeline'!$J$4:$J$503,_calc!$E$189)),TEXT(INDEX('Dealer pipeline'!$J$4:$J$503,_calc!$E$189),"yyyy-mm-dd"),"")&amp;". ")&amp;IF(LEN(IF(ISNUMBER(INDEX('Dealer pipeline'!$L$4:$L$503,_calc!$E$189)),TEXT(INDEX('Dealer pipeline'!$L$4:$L$503,_calc!$E$189),"yyyy-mm-dd"),""))=0,"","Labor end: "&amp;IF(ISNUMBER(INDEX('Dealer pipeline'!$L$4:$L$503,_calc!$E$189)),TEXT(INDEX('Dealer pipeline'!$L$4:$L$503,_calc!$E$189),"yyyy-mm-dd"),"")&amp;". ")&amp;IF(LEN(IF(LEN(INDEX('Dealer pipeline'!$Q$4:$Q$503,_calc!$E$189))=0,"",INDEX('Dealer pipeline'!$Q$4:$Q$503,_calc!$E$189)))=0,"","Status: "&amp;IF(LEN(INDEX('Dealer pipeline'!$Q$4:$Q$503,_calc!$E$189))=0,"",INDEX('Dealer pipeline'!$Q$4:$Q$503,_calc!$E$189))&amp;". ")&amp;IF(LEN(IF(LEN(INDEX('Dealer pipeline'!$P$4:$P$503,_calc!$E$189))=0,"",INDEX('Dealer pipeline'!$P$4:$P$503,_calc!$E$189)))=0,"","Last touch: "&amp;IF(LEN(INDEX('Dealer pipeline'!$P$4:$P$503,_calc!$E$189))=0,"",INDEX('Dealer pipeline'!$P$4:$P$503,_calc!$E$189))&amp;". ")&amp;IF(LEN(IF(LEN(INDEX('Dealer pipeline'!$R$4:$R$503,_calc!$E$189))=0,"",INDEX('Dealer pipeline'!$R$4:$R$503,_calc!$E$189)))=0,"","Owner: "&amp;IF(LEN(INDEX('Dealer pipeline'!$R$4:$R$503,_calc!$E$189))=0,"",INDEX('Dealer pipeline'!$R$4:$R$503,_calc!$E$189))&amp;". ")&amp;IF(LEN(IF(LEN(INDEX('Dealer pipeline'!$S$4:$S$503,_calc!$E$189))=0,"",INDEX('Dealer pipeline'!$S$4:$S$503,_calc!$E$189)))=0,"","Backup: "&amp;IF(LEN(INDEX('Dealer pipeline'!$S$4:$S$503,_calc!$E$189))=0,"",INDEX('Dealer pipeline'!$S$4:$S$503,_calc!$E$189))&amp;". ")&amp;IF(LEN(IF(LEN(INDEX('Dealer pipeline'!$T$4:$T$503,_calc!$E$189))=0,"",INDEX('Dealer pipeline'!$T$4:$T$503,_calc!$E$189)))=0,"",IF(LEN(INDEX('Dealer pipeline'!$T$4:$T$503,_calc!$E$189))=0,"",INDEX('Dealer pipeline'!$T$4:$T$503,_calc!$E$189)))),TRIM(IF(LEN(IF(LEN(INDEX('My equipment'!$C$4:$C$503,(_calc!$E$189-500)))=0,"",INDEX('My equipment'!$C$4:$C$503,(_calc!$E$189-500))))=0,"","Model: "&amp;IF(LEN(INDEX('My equipment'!$C$4:$C$503,(_calc!$E$189-500)))=0,"",INDEX('My equipment'!$C$4:$C$503,(_calc!$E$189-500)))&amp;". ")&amp;IF(LEN(IF(LEN(INDEX('My equipment'!$D$4:$D$503,(_calc!$E$189-500)))=0,"",INDEX('My equipment'!$D$4:$D$503,(_calc!$E$189-500))))=0,"","Serial: "&amp;IF(LEN(INDEX('My equipment'!$D$4:$D$503,(_calc!$E$189-500)))=0,"",INDEX('My equipment'!$D$4:$D$503,(_calc!$E$189-500)))&amp;". ")&amp;IF(LEN(IF(ISNUMBER(INDEX('My equipment'!$J$4:$J$503,(_calc!$E$189-500))),TEXT(INDEX('My equipment'!$J$4:$J$503,(_calc!$E$189-500)),"yyyy-mm-dd"),""))=0,"","Parts end: "&amp;IF(ISNUMBER(INDEX('My equipment'!$J$4:$J$503,(_calc!$E$189-500))),TEXT(INDEX('My equipment'!$J$4:$J$503,(_calc!$E$189-500)),"yyyy-mm-dd"),"")&amp;". ")&amp;IF(LEN(IF(ISNUMBER(INDEX('My equipment'!$L$4:$L$503,(_calc!$E$189-500))),TEXT(INDEX('My equipment'!$L$4:$L$503,(_calc!$E$189-500)),"yyyy-mm-dd"),""))=0,"","Labor end: "&amp;IF(ISNUMBER(INDEX('My equipment'!$L$4:$L$503,(_calc!$E$189-500))),TEXT(INDEX('My equipment'!$L$4:$L$503,(_calc!$E$189-500)),"yyyy-mm-dd"),"")&amp;". ")&amp;IF(LEN(IF(ISNUMBER(INDEX('My equipment'!$P$4:$P$503,(_calc!$E$189-500))),TEXT(INDEX('My equipment'!$P$4:$P$503,(_calc!$E$189-500)),"yyyy-mm-dd"),""))=0,"","Check by: "&amp;IF(ISNUMBER(INDEX('My equipment'!$P$4:$P$503,(_calc!$E$189-500))),TEXT(INDEX('My equipment'!$P$4:$P$503,(_calc!$E$189-500)),"yyyy-mm-dd"),"")&amp;". ")&amp;IF(LEN(IF(LEN(INDEX('My equipment'!$Q$4:$Q$503,(_calc!$E$189-500)))=0,"",INDEX('My equipment'!$Q$4:$Q$503,(_calc!$E$189-500))))=0,"","Claim status: "&amp;IF(LEN(INDEX('My equipment'!$Q$4:$Q$503,(_calc!$E$189-500)))=0,"",INDEX('My equipment'!$Q$4:$Q$503,(_calc!$E$189-500)))&amp;". ")&amp;IF(LEN(IF(LEN(INDEX('My equipment'!$R$4:$R$503,(_calc!$E$189-500)))=0,"",INDEX('My equipment'!$R$4:$R$503,(_calc!$E$189-500))))=0,"","Claims contact: "&amp;IF(LEN(INDEX('My equipment'!$R$4:$R$503,(_calc!$E$189-500)))=0,"",INDEX('My equipment'!$R$4:$R$503,(_calc!$E$189-500)))&amp;". ")&amp;IF(LEN(IF(LEN(INDEX('My equipment'!$S$4:$S$503,(_calc!$E$189-500)))=0,"",INDEX('My equipment'!$S$4:$S$503,(_calc!$E$189-500))))=0,"","Claims email: "&amp;IF(LEN(INDEX('My equipment'!$S$4:$S$503,(_calc!$E$189-500)))=0,"",INDEX('My equipment'!$S$4:$S$503,(_calc!$E$189-500)))&amp;". ")&amp;IF(LEN(IF(LEN(INDEX('My equipment'!$U$4:$U$503,(_calc!$E$189-500)))=0,"",INDEX('My equipment'!$U$4:$U$503,(_calc!$E$189-500))))=0,"","Registered: "&amp;IF(LEN(INDEX('My equipment'!$U$4:$U$503,(_calc!$E$189-500)))=0,"",INDEX('My equipment'!$U$4:$U$503,(_calc!$E$189-500)))&amp;". ")&amp;IF(LEN(IF(LEN(INDEX('My equipment'!$V$4:$V$503,(_calc!$E$189-500)))=0,"",INDEX('My equipment'!$V$4:$V$503,(_calc!$E$189-500))))=0,"","Proof on file: "&amp;IF(LEN(INDEX('My equipment'!$V$4:$V$503,(_calc!$E$189-500)))=0,"",INDEX('My equipment'!$V$4:$V$503,(_calc!$E$189-500)))&amp;". ")&amp;IF(LEN(IF(LEN(INDEX('My equipment'!$W$4:$W$503,(_calc!$E$189-500)))=0,"",INDEX('My equipment'!$W$4:$W$503,(_calc!$E$189-500))))=0,"","Claim ref: "&amp;IF(LEN(INDEX('My equipment'!$W$4:$W$503,(_calc!$E$189-500)))=0,"",INDEX('My equipment'!$W$4:$W$503,(_calc!$E$189-500)))&amp;". ")&amp;IF(LEN(IF(LEN(INDEX('My equipment'!$Y$4:$Y$503,(_calc!$E$189-500)))=0,"",INDEX('My equipment'!$Y$4:$Y$503,(_calc!$E$189-500))))=0,"",IF(LEN(INDEX('My equipment'!$Y$4:$Y$503,(_calc!$E$189-500)))=0,"",INDEX('My equipment'!$Y$4:$Y$503,(_calc!$E$189-500)))))))</f>
        <v/>
      </c>
      <c r="G187" s="54">
        <f>IF(_calc!$E$189="","",IF(_calc!$E$189&lt;=500,"",IF(LEN(INDEX('My equipment'!$X$4:$X$503,(_calc!$E$189-500)))=0,"",INDEX('My equipment'!$X$4:$X$503,(_calc!$E$189-500)))))</f>
        <v/>
      </c>
      <c r="K187" s="54">
        <f>IF(_calc!$E$189="","",IF(_calc!$E$189&lt;=500,"",IF(LEN(INDEX('My equipment'!$T$4:$T$503,(_calc!$E$189-500)))=0,"",INDEX('My equipment'!$T$4:$T$503,(_calc!$E$189-500)))))</f>
        <v/>
      </c>
    </row>
    <row r="188">
      <c r="A188" s="54">
        <f>IF(_calc!$E$190="","",IF(_calc!$E$190&lt;=500,"Warranty – "&amp;IF(LEN(INDEX('Dealer pipeline'!$C$4:$C$503,_calc!$E$190))=0,"",INDEX('Dealer pipeline'!$C$4:$C$503,_calc!$E$190))&amp;" – "&amp;IF(LEN(INDEX('Dealer pipeline'!$D$4:$D$503,_calc!$E$190))=0,"",INDEX('Dealer pipeline'!$D$4:$D$503,_calc!$E$190))&amp;" – "&amp;IF(LEN(INDEX('Dealer pipeline'!$A$4:$A$503,_calc!$E$190))=0,"",INDEX('Dealer pipeline'!$A$4:$A$503,_calc!$E$190)),"Warranty – "&amp;IF(LEN(INDEX('My equipment'!$A$4:$A$503,(_calc!$E$190-500)))=0,"",INDEX('My equipment'!$A$4:$A$503,(_calc!$E$190-500)))&amp;" – "&amp;IF(LEN(INDEX('My equipment'!$D$4:$D$503,(_calc!$E$190-500)))=0,"",INDEX('My equipment'!$D$4:$D$503,(_calc!$E$190-500)))))</f>
        <v/>
      </c>
      <c r="B188" s="54">
        <f>IF(_calc!$E$190="","",IF(_calc!$E$190&lt;=500,IF(ISNUMBER(INDEX('Dealer pipeline'!$M$4:$M$503,_calc!$E$190)),TEXT(INDEX('Dealer pipeline'!$M$4:$M$503,_calc!$E$190),"yyyy-mm-dd"),""),IF(ISNUMBER(INDEX('My equipment'!$M$4:$M$503,(_calc!$E$190-500))),TEXT(INDEX('My equipment'!$M$4:$M$503,(_calc!$E$190-500)),"yyyy-mm-dd"),"")))</f>
        <v/>
      </c>
      <c r="C188" s="54">
        <f>IF(_calc!$E$190="","",IF(_calc!$E$190&lt;=500,"Warranty","Warranty"))</f>
        <v/>
      </c>
      <c r="D188" s="54">
        <f>IF(_calc!$E$190="","",IF(_calc!$E$190&lt;=500,IF(ISNUMBER(INDEX('Dealer pipeline'!$H$4:$H$503,_calc!$E$190)),TEXT(INDEX('Dealer pipeline'!$H$4:$H$503,_calc!$E$190),"yyyy-mm-dd"),""),IF(ISNUMBER(INDEX('My equipment'!$H$4:$H$503,(_calc!$E$190-500))),TEXT(INDEX('My equipment'!$H$4:$H$503,(_calc!$E$190-500)),"yyyy-mm-dd"),"")))</f>
        <v/>
      </c>
      <c r="F188" s="54">
        <f>IF(_calc!$E$190="","",IF(_calc!$E$190&lt;=500,TRIM(IF(LEN(IF(LEN(INDEX('Dealer pipeline'!$A$4:$A$503,_calc!$E$190))=0,"",INDEX('Dealer pipeline'!$A$4:$A$503,_calc!$E$190)))=0,"","Customer: "&amp;IF(LEN(INDEX('Dealer pipeline'!$A$4:$A$503,_calc!$E$190))=0,"",INDEX('Dealer pipeline'!$A$4:$A$503,_calc!$E$190))&amp;". ")&amp;IF(LEN(IF(LEN(INDEX('Dealer pipeline'!$B$4:$B$503,_calc!$E$190))=0,"",INDEX('Dealer pipeline'!$B$4:$B$503,_calc!$E$190)))=0,"","Contact: "&amp;IF(LEN(INDEX('Dealer pipeline'!$B$4:$B$503,_calc!$E$190))=0,"",INDEX('Dealer pipeline'!$B$4:$B$503,_calc!$E$190))&amp;". ")&amp;IF(LEN(IF(LEN(INDEX('Dealer pipeline'!$D$4:$D$503,_calc!$E$190))=0,"",INDEX('Dealer pipeline'!$D$4:$D$503,_calc!$E$190)))=0,"","Serial: "&amp;IF(LEN(INDEX('Dealer pipeline'!$D$4:$D$503,_calc!$E$190))=0,"",INDEX('Dealer pipeline'!$D$4:$D$503,_calc!$E$190))&amp;". ")&amp;IF(LEN(IF(ISNUMBER(INDEX('Dealer pipeline'!$J$4:$J$503,_calc!$E$190)),TEXT(INDEX('Dealer pipeline'!$J$4:$J$503,_calc!$E$190),"yyyy-mm-dd"),""))=0,"","Parts end: "&amp;IF(ISNUMBER(INDEX('Dealer pipeline'!$J$4:$J$503,_calc!$E$190)),TEXT(INDEX('Dealer pipeline'!$J$4:$J$503,_calc!$E$190),"yyyy-mm-dd"),"")&amp;". ")&amp;IF(LEN(IF(ISNUMBER(INDEX('Dealer pipeline'!$L$4:$L$503,_calc!$E$190)),TEXT(INDEX('Dealer pipeline'!$L$4:$L$503,_calc!$E$190),"yyyy-mm-dd"),""))=0,"","Labor end: "&amp;IF(ISNUMBER(INDEX('Dealer pipeline'!$L$4:$L$503,_calc!$E$190)),TEXT(INDEX('Dealer pipeline'!$L$4:$L$503,_calc!$E$190),"yyyy-mm-dd"),"")&amp;". ")&amp;IF(LEN(IF(LEN(INDEX('Dealer pipeline'!$Q$4:$Q$503,_calc!$E$190))=0,"",INDEX('Dealer pipeline'!$Q$4:$Q$503,_calc!$E$190)))=0,"","Status: "&amp;IF(LEN(INDEX('Dealer pipeline'!$Q$4:$Q$503,_calc!$E$190))=0,"",INDEX('Dealer pipeline'!$Q$4:$Q$503,_calc!$E$190))&amp;". ")&amp;IF(LEN(IF(LEN(INDEX('Dealer pipeline'!$P$4:$P$503,_calc!$E$190))=0,"",INDEX('Dealer pipeline'!$P$4:$P$503,_calc!$E$190)))=0,"","Last touch: "&amp;IF(LEN(INDEX('Dealer pipeline'!$P$4:$P$503,_calc!$E$190))=0,"",INDEX('Dealer pipeline'!$P$4:$P$503,_calc!$E$190))&amp;". ")&amp;IF(LEN(IF(LEN(INDEX('Dealer pipeline'!$R$4:$R$503,_calc!$E$190))=0,"",INDEX('Dealer pipeline'!$R$4:$R$503,_calc!$E$190)))=0,"","Owner: "&amp;IF(LEN(INDEX('Dealer pipeline'!$R$4:$R$503,_calc!$E$190))=0,"",INDEX('Dealer pipeline'!$R$4:$R$503,_calc!$E$190))&amp;". ")&amp;IF(LEN(IF(LEN(INDEX('Dealer pipeline'!$S$4:$S$503,_calc!$E$190))=0,"",INDEX('Dealer pipeline'!$S$4:$S$503,_calc!$E$190)))=0,"","Backup: "&amp;IF(LEN(INDEX('Dealer pipeline'!$S$4:$S$503,_calc!$E$190))=0,"",INDEX('Dealer pipeline'!$S$4:$S$503,_calc!$E$190))&amp;". ")&amp;IF(LEN(IF(LEN(INDEX('Dealer pipeline'!$T$4:$T$503,_calc!$E$190))=0,"",INDEX('Dealer pipeline'!$T$4:$T$503,_calc!$E$190)))=0,"",IF(LEN(INDEX('Dealer pipeline'!$T$4:$T$503,_calc!$E$190))=0,"",INDEX('Dealer pipeline'!$T$4:$T$503,_calc!$E$190)))),TRIM(IF(LEN(IF(LEN(INDEX('My equipment'!$C$4:$C$503,(_calc!$E$190-500)))=0,"",INDEX('My equipment'!$C$4:$C$503,(_calc!$E$190-500))))=0,"","Model: "&amp;IF(LEN(INDEX('My equipment'!$C$4:$C$503,(_calc!$E$190-500)))=0,"",INDEX('My equipment'!$C$4:$C$503,(_calc!$E$190-500)))&amp;". ")&amp;IF(LEN(IF(LEN(INDEX('My equipment'!$D$4:$D$503,(_calc!$E$190-500)))=0,"",INDEX('My equipment'!$D$4:$D$503,(_calc!$E$190-500))))=0,"","Serial: "&amp;IF(LEN(INDEX('My equipment'!$D$4:$D$503,(_calc!$E$190-500)))=0,"",INDEX('My equipment'!$D$4:$D$503,(_calc!$E$190-500)))&amp;". ")&amp;IF(LEN(IF(ISNUMBER(INDEX('My equipment'!$J$4:$J$503,(_calc!$E$190-500))),TEXT(INDEX('My equipment'!$J$4:$J$503,(_calc!$E$190-500)),"yyyy-mm-dd"),""))=0,"","Parts end: "&amp;IF(ISNUMBER(INDEX('My equipment'!$J$4:$J$503,(_calc!$E$190-500))),TEXT(INDEX('My equipment'!$J$4:$J$503,(_calc!$E$190-500)),"yyyy-mm-dd"),"")&amp;". ")&amp;IF(LEN(IF(ISNUMBER(INDEX('My equipment'!$L$4:$L$503,(_calc!$E$190-500))),TEXT(INDEX('My equipment'!$L$4:$L$503,(_calc!$E$190-500)),"yyyy-mm-dd"),""))=0,"","Labor end: "&amp;IF(ISNUMBER(INDEX('My equipment'!$L$4:$L$503,(_calc!$E$190-500))),TEXT(INDEX('My equipment'!$L$4:$L$503,(_calc!$E$190-500)),"yyyy-mm-dd"),"")&amp;". ")&amp;IF(LEN(IF(ISNUMBER(INDEX('My equipment'!$P$4:$P$503,(_calc!$E$190-500))),TEXT(INDEX('My equipment'!$P$4:$P$503,(_calc!$E$190-500)),"yyyy-mm-dd"),""))=0,"","Check by: "&amp;IF(ISNUMBER(INDEX('My equipment'!$P$4:$P$503,(_calc!$E$190-500))),TEXT(INDEX('My equipment'!$P$4:$P$503,(_calc!$E$190-500)),"yyyy-mm-dd"),"")&amp;". ")&amp;IF(LEN(IF(LEN(INDEX('My equipment'!$Q$4:$Q$503,(_calc!$E$190-500)))=0,"",INDEX('My equipment'!$Q$4:$Q$503,(_calc!$E$190-500))))=0,"","Claim status: "&amp;IF(LEN(INDEX('My equipment'!$Q$4:$Q$503,(_calc!$E$190-500)))=0,"",INDEX('My equipment'!$Q$4:$Q$503,(_calc!$E$190-500)))&amp;". ")&amp;IF(LEN(IF(LEN(INDEX('My equipment'!$R$4:$R$503,(_calc!$E$190-500)))=0,"",INDEX('My equipment'!$R$4:$R$503,(_calc!$E$190-500))))=0,"","Claims contact: "&amp;IF(LEN(INDEX('My equipment'!$R$4:$R$503,(_calc!$E$190-500)))=0,"",INDEX('My equipment'!$R$4:$R$503,(_calc!$E$190-500)))&amp;". ")&amp;IF(LEN(IF(LEN(INDEX('My equipment'!$S$4:$S$503,(_calc!$E$190-500)))=0,"",INDEX('My equipment'!$S$4:$S$503,(_calc!$E$190-500))))=0,"","Claims email: "&amp;IF(LEN(INDEX('My equipment'!$S$4:$S$503,(_calc!$E$190-500)))=0,"",INDEX('My equipment'!$S$4:$S$503,(_calc!$E$190-500)))&amp;". ")&amp;IF(LEN(IF(LEN(INDEX('My equipment'!$U$4:$U$503,(_calc!$E$190-500)))=0,"",INDEX('My equipment'!$U$4:$U$503,(_calc!$E$190-500))))=0,"","Registered: "&amp;IF(LEN(INDEX('My equipment'!$U$4:$U$503,(_calc!$E$190-500)))=0,"",INDEX('My equipment'!$U$4:$U$503,(_calc!$E$190-500)))&amp;". ")&amp;IF(LEN(IF(LEN(INDEX('My equipment'!$V$4:$V$503,(_calc!$E$190-500)))=0,"",INDEX('My equipment'!$V$4:$V$503,(_calc!$E$190-500))))=0,"","Proof on file: "&amp;IF(LEN(INDEX('My equipment'!$V$4:$V$503,(_calc!$E$190-500)))=0,"",INDEX('My equipment'!$V$4:$V$503,(_calc!$E$190-500)))&amp;". ")&amp;IF(LEN(IF(LEN(INDEX('My equipment'!$W$4:$W$503,(_calc!$E$190-500)))=0,"",INDEX('My equipment'!$W$4:$W$503,(_calc!$E$190-500))))=0,"","Claim ref: "&amp;IF(LEN(INDEX('My equipment'!$W$4:$W$503,(_calc!$E$190-500)))=0,"",INDEX('My equipment'!$W$4:$W$503,(_calc!$E$190-500)))&amp;". ")&amp;IF(LEN(IF(LEN(INDEX('My equipment'!$Y$4:$Y$503,(_calc!$E$190-500)))=0,"",INDEX('My equipment'!$Y$4:$Y$503,(_calc!$E$190-500))))=0,"",IF(LEN(INDEX('My equipment'!$Y$4:$Y$503,(_calc!$E$190-500)))=0,"",INDEX('My equipment'!$Y$4:$Y$503,(_calc!$E$190-500)))))))</f>
        <v/>
      </c>
      <c r="G188" s="54">
        <f>IF(_calc!$E$190="","",IF(_calc!$E$190&lt;=500,"",IF(LEN(INDEX('My equipment'!$X$4:$X$503,(_calc!$E$190-500)))=0,"",INDEX('My equipment'!$X$4:$X$503,(_calc!$E$190-500)))))</f>
        <v/>
      </c>
      <c r="K188" s="54">
        <f>IF(_calc!$E$190="","",IF(_calc!$E$190&lt;=500,"",IF(LEN(INDEX('My equipment'!$T$4:$T$503,(_calc!$E$190-500)))=0,"",INDEX('My equipment'!$T$4:$T$503,(_calc!$E$190-500)))))</f>
        <v/>
      </c>
    </row>
    <row r="189">
      <c r="A189" s="54">
        <f>IF(_calc!$E$191="","",IF(_calc!$E$191&lt;=500,"Warranty – "&amp;IF(LEN(INDEX('Dealer pipeline'!$C$4:$C$503,_calc!$E$191))=0,"",INDEX('Dealer pipeline'!$C$4:$C$503,_calc!$E$191))&amp;" – "&amp;IF(LEN(INDEX('Dealer pipeline'!$D$4:$D$503,_calc!$E$191))=0,"",INDEX('Dealer pipeline'!$D$4:$D$503,_calc!$E$191))&amp;" – "&amp;IF(LEN(INDEX('Dealer pipeline'!$A$4:$A$503,_calc!$E$191))=0,"",INDEX('Dealer pipeline'!$A$4:$A$503,_calc!$E$191)),"Warranty – "&amp;IF(LEN(INDEX('My equipment'!$A$4:$A$503,(_calc!$E$191-500)))=0,"",INDEX('My equipment'!$A$4:$A$503,(_calc!$E$191-500)))&amp;" – "&amp;IF(LEN(INDEX('My equipment'!$D$4:$D$503,(_calc!$E$191-500)))=0,"",INDEX('My equipment'!$D$4:$D$503,(_calc!$E$191-500)))))</f>
        <v/>
      </c>
      <c r="B189" s="54">
        <f>IF(_calc!$E$191="","",IF(_calc!$E$191&lt;=500,IF(ISNUMBER(INDEX('Dealer pipeline'!$M$4:$M$503,_calc!$E$191)),TEXT(INDEX('Dealer pipeline'!$M$4:$M$503,_calc!$E$191),"yyyy-mm-dd"),""),IF(ISNUMBER(INDEX('My equipment'!$M$4:$M$503,(_calc!$E$191-500))),TEXT(INDEX('My equipment'!$M$4:$M$503,(_calc!$E$191-500)),"yyyy-mm-dd"),"")))</f>
        <v/>
      </c>
      <c r="C189" s="54">
        <f>IF(_calc!$E$191="","",IF(_calc!$E$191&lt;=500,"Warranty","Warranty"))</f>
        <v/>
      </c>
      <c r="D189" s="54">
        <f>IF(_calc!$E$191="","",IF(_calc!$E$191&lt;=500,IF(ISNUMBER(INDEX('Dealer pipeline'!$H$4:$H$503,_calc!$E$191)),TEXT(INDEX('Dealer pipeline'!$H$4:$H$503,_calc!$E$191),"yyyy-mm-dd"),""),IF(ISNUMBER(INDEX('My equipment'!$H$4:$H$503,(_calc!$E$191-500))),TEXT(INDEX('My equipment'!$H$4:$H$503,(_calc!$E$191-500)),"yyyy-mm-dd"),"")))</f>
        <v/>
      </c>
      <c r="F189" s="54">
        <f>IF(_calc!$E$191="","",IF(_calc!$E$191&lt;=500,TRIM(IF(LEN(IF(LEN(INDEX('Dealer pipeline'!$A$4:$A$503,_calc!$E$191))=0,"",INDEX('Dealer pipeline'!$A$4:$A$503,_calc!$E$191)))=0,"","Customer: "&amp;IF(LEN(INDEX('Dealer pipeline'!$A$4:$A$503,_calc!$E$191))=0,"",INDEX('Dealer pipeline'!$A$4:$A$503,_calc!$E$191))&amp;". ")&amp;IF(LEN(IF(LEN(INDEX('Dealer pipeline'!$B$4:$B$503,_calc!$E$191))=0,"",INDEX('Dealer pipeline'!$B$4:$B$503,_calc!$E$191)))=0,"","Contact: "&amp;IF(LEN(INDEX('Dealer pipeline'!$B$4:$B$503,_calc!$E$191))=0,"",INDEX('Dealer pipeline'!$B$4:$B$503,_calc!$E$191))&amp;". ")&amp;IF(LEN(IF(LEN(INDEX('Dealer pipeline'!$D$4:$D$503,_calc!$E$191))=0,"",INDEX('Dealer pipeline'!$D$4:$D$503,_calc!$E$191)))=0,"","Serial: "&amp;IF(LEN(INDEX('Dealer pipeline'!$D$4:$D$503,_calc!$E$191))=0,"",INDEX('Dealer pipeline'!$D$4:$D$503,_calc!$E$191))&amp;". ")&amp;IF(LEN(IF(ISNUMBER(INDEX('Dealer pipeline'!$J$4:$J$503,_calc!$E$191)),TEXT(INDEX('Dealer pipeline'!$J$4:$J$503,_calc!$E$191),"yyyy-mm-dd"),""))=0,"","Parts end: "&amp;IF(ISNUMBER(INDEX('Dealer pipeline'!$J$4:$J$503,_calc!$E$191)),TEXT(INDEX('Dealer pipeline'!$J$4:$J$503,_calc!$E$191),"yyyy-mm-dd"),"")&amp;". ")&amp;IF(LEN(IF(ISNUMBER(INDEX('Dealer pipeline'!$L$4:$L$503,_calc!$E$191)),TEXT(INDEX('Dealer pipeline'!$L$4:$L$503,_calc!$E$191),"yyyy-mm-dd"),""))=0,"","Labor end: "&amp;IF(ISNUMBER(INDEX('Dealer pipeline'!$L$4:$L$503,_calc!$E$191)),TEXT(INDEX('Dealer pipeline'!$L$4:$L$503,_calc!$E$191),"yyyy-mm-dd"),"")&amp;". ")&amp;IF(LEN(IF(LEN(INDEX('Dealer pipeline'!$Q$4:$Q$503,_calc!$E$191))=0,"",INDEX('Dealer pipeline'!$Q$4:$Q$503,_calc!$E$191)))=0,"","Status: "&amp;IF(LEN(INDEX('Dealer pipeline'!$Q$4:$Q$503,_calc!$E$191))=0,"",INDEX('Dealer pipeline'!$Q$4:$Q$503,_calc!$E$191))&amp;". ")&amp;IF(LEN(IF(LEN(INDEX('Dealer pipeline'!$P$4:$P$503,_calc!$E$191))=0,"",INDEX('Dealer pipeline'!$P$4:$P$503,_calc!$E$191)))=0,"","Last touch: "&amp;IF(LEN(INDEX('Dealer pipeline'!$P$4:$P$503,_calc!$E$191))=0,"",INDEX('Dealer pipeline'!$P$4:$P$503,_calc!$E$191))&amp;". ")&amp;IF(LEN(IF(LEN(INDEX('Dealer pipeline'!$R$4:$R$503,_calc!$E$191))=0,"",INDEX('Dealer pipeline'!$R$4:$R$503,_calc!$E$191)))=0,"","Owner: "&amp;IF(LEN(INDEX('Dealer pipeline'!$R$4:$R$503,_calc!$E$191))=0,"",INDEX('Dealer pipeline'!$R$4:$R$503,_calc!$E$191))&amp;". ")&amp;IF(LEN(IF(LEN(INDEX('Dealer pipeline'!$S$4:$S$503,_calc!$E$191))=0,"",INDEX('Dealer pipeline'!$S$4:$S$503,_calc!$E$191)))=0,"","Backup: "&amp;IF(LEN(INDEX('Dealer pipeline'!$S$4:$S$503,_calc!$E$191))=0,"",INDEX('Dealer pipeline'!$S$4:$S$503,_calc!$E$191))&amp;". ")&amp;IF(LEN(IF(LEN(INDEX('Dealer pipeline'!$T$4:$T$503,_calc!$E$191))=0,"",INDEX('Dealer pipeline'!$T$4:$T$503,_calc!$E$191)))=0,"",IF(LEN(INDEX('Dealer pipeline'!$T$4:$T$503,_calc!$E$191))=0,"",INDEX('Dealer pipeline'!$T$4:$T$503,_calc!$E$191)))),TRIM(IF(LEN(IF(LEN(INDEX('My equipment'!$C$4:$C$503,(_calc!$E$191-500)))=0,"",INDEX('My equipment'!$C$4:$C$503,(_calc!$E$191-500))))=0,"","Model: "&amp;IF(LEN(INDEX('My equipment'!$C$4:$C$503,(_calc!$E$191-500)))=0,"",INDEX('My equipment'!$C$4:$C$503,(_calc!$E$191-500)))&amp;". ")&amp;IF(LEN(IF(LEN(INDEX('My equipment'!$D$4:$D$503,(_calc!$E$191-500)))=0,"",INDEX('My equipment'!$D$4:$D$503,(_calc!$E$191-500))))=0,"","Serial: "&amp;IF(LEN(INDEX('My equipment'!$D$4:$D$503,(_calc!$E$191-500)))=0,"",INDEX('My equipment'!$D$4:$D$503,(_calc!$E$191-500)))&amp;". ")&amp;IF(LEN(IF(ISNUMBER(INDEX('My equipment'!$J$4:$J$503,(_calc!$E$191-500))),TEXT(INDEX('My equipment'!$J$4:$J$503,(_calc!$E$191-500)),"yyyy-mm-dd"),""))=0,"","Parts end: "&amp;IF(ISNUMBER(INDEX('My equipment'!$J$4:$J$503,(_calc!$E$191-500))),TEXT(INDEX('My equipment'!$J$4:$J$503,(_calc!$E$191-500)),"yyyy-mm-dd"),"")&amp;". ")&amp;IF(LEN(IF(ISNUMBER(INDEX('My equipment'!$L$4:$L$503,(_calc!$E$191-500))),TEXT(INDEX('My equipment'!$L$4:$L$503,(_calc!$E$191-500)),"yyyy-mm-dd"),""))=0,"","Labor end: "&amp;IF(ISNUMBER(INDEX('My equipment'!$L$4:$L$503,(_calc!$E$191-500))),TEXT(INDEX('My equipment'!$L$4:$L$503,(_calc!$E$191-500)),"yyyy-mm-dd"),"")&amp;". ")&amp;IF(LEN(IF(ISNUMBER(INDEX('My equipment'!$P$4:$P$503,(_calc!$E$191-500))),TEXT(INDEX('My equipment'!$P$4:$P$503,(_calc!$E$191-500)),"yyyy-mm-dd"),""))=0,"","Check by: "&amp;IF(ISNUMBER(INDEX('My equipment'!$P$4:$P$503,(_calc!$E$191-500))),TEXT(INDEX('My equipment'!$P$4:$P$503,(_calc!$E$191-500)),"yyyy-mm-dd"),"")&amp;". ")&amp;IF(LEN(IF(LEN(INDEX('My equipment'!$Q$4:$Q$503,(_calc!$E$191-500)))=0,"",INDEX('My equipment'!$Q$4:$Q$503,(_calc!$E$191-500))))=0,"","Claim status: "&amp;IF(LEN(INDEX('My equipment'!$Q$4:$Q$503,(_calc!$E$191-500)))=0,"",INDEX('My equipment'!$Q$4:$Q$503,(_calc!$E$191-500)))&amp;". ")&amp;IF(LEN(IF(LEN(INDEX('My equipment'!$R$4:$R$503,(_calc!$E$191-500)))=0,"",INDEX('My equipment'!$R$4:$R$503,(_calc!$E$191-500))))=0,"","Claims contact: "&amp;IF(LEN(INDEX('My equipment'!$R$4:$R$503,(_calc!$E$191-500)))=0,"",INDEX('My equipment'!$R$4:$R$503,(_calc!$E$191-500)))&amp;". ")&amp;IF(LEN(IF(LEN(INDEX('My equipment'!$S$4:$S$503,(_calc!$E$191-500)))=0,"",INDEX('My equipment'!$S$4:$S$503,(_calc!$E$191-500))))=0,"","Claims email: "&amp;IF(LEN(INDEX('My equipment'!$S$4:$S$503,(_calc!$E$191-500)))=0,"",INDEX('My equipment'!$S$4:$S$503,(_calc!$E$191-500)))&amp;". ")&amp;IF(LEN(IF(LEN(INDEX('My equipment'!$U$4:$U$503,(_calc!$E$191-500)))=0,"",INDEX('My equipment'!$U$4:$U$503,(_calc!$E$191-500))))=0,"","Registered: "&amp;IF(LEN(INDEX('My equipment'!$U$4:$U$503,(_calc!$E$191-500)))=0,"",INDEX('My equipment'!$U$4:$U$503,(_calc!$E$191-500)))&amp;". ")&amp;IF(LEN(IF(LEN(INDEX('My equipment'!$V$4:$V$503,(_calc!$E$191-500)))=0,"",INDEX('My equipment'!$V$4:$V$503,(_calc!$E$191-500))))=0,"","Proof on file: "&amp;IF(LEN(INDEX('My equipment'!$V$4:$V$503,(_calc!$E$191-500)))=0,"",INDEX('My equipment'!$V$4:$V$503,(_calc!$E$191-500)))&amp;". ")&amp;IF(LEN(IF(LEN(INDEX('My equipment'!$W$4:$W$503,(_calc!$E$191-500)))=0,"",INDEX('My equipment'!$W$4:$W$503,(_calc!$E$191-500))))=0,"","Claim ref: "&amp;IF(LEN(INDEX('My equipment'!$W$4:$W$503,(_calc!$E$191-500)))=0,"",INDEX('My equipment'!$W$4:$W$503,(_calc!$E$191-500)))&amp;". ")&amp;IF(LEN(IF(LEN(INDEX('My equipment'!$Y$4:$Y$503,(_calc!$E$191-500)))=0,"",INDEX('My equipment'!$Y$4:$Y$503,(_calc!$E$191-500))))=0,"",IF(LEN(INDEX('My equipment'!$Y$4:$Y$503,(_calc!$E$191-500)))=0,"",INDEX('My equipment'!$Y$4:$Y$503,(_calc!$E$191-500)))))))</f>
        <v/>
      </c>
      <c r="G189" s="54">
        <f>IF(_calc!$E$191="","",IF(_calc!$E$191&lt;=500,"",IF(LEN(INDEX('My equipment'!$X$4:$X$503,(_calc!$E$191-500)))=0,"",INDEX('My equipment'!$X$4:$X$503,(_calc!$E$191-500)))))</f>
        <v/>
      </c>
      <c r="K189" s="54">
        <f>IF(_calc!$E$191="","",IF(_calc!$E$191&lt;=500,"",IF(LEN(INDEX('My equipment'!$T$4:$T$503,(_calc!$E$191-500)))=0,"",INDEX('My equipment'!$T$4:$T$503,(_calc!$E$191-500)))))</f>
        <v/>
      </c>
    </row>
    <row r="190">
      <c r="A190" s="54">
        <f>IF(_calc!$E$192="","",IF(_calc!$E$192&lt;=500,"Warranty – "&amp;IF(LEN(INDEX('Dealer pipeline'!$C$4:$C$503,_calc!$E$192))=0,"",INDEX('Dealer pipeline'!$C$4:$C$503,_calc!$E$192))&amp;" – "&amp;IF(LEN(INDEX('Dealer pipeline'!$D$4:$D$503,_calc!$E$192))=0,"",INDEX('Dealer pipeline'!$D$4:$D$503,_calc!$E$192))&amp;" – "&amp;IF(LEN(INDEX('Dealer pipeline'!$A$4:$A$503,_calc!$E$192))=0,"",INDEX('Dealer pipeline'!$A$4:$A$503,_calc!$E$192)),"Warranty – "&amp;IF(LEN(INDEX('My equipment'!$A$4:$A$503,(_calc!$E$192-500)))=0,"",INDEX('My equipment'!$A$4:$A$503,(_calc!$E$192-500)))&amp;" – "&amp;IF(LEN(INDEX('My equipment'!$D$4:$D$503,(_calc!$E$192-500)))=0,"",INDEX('My equipment'!$D$4:$D$503,(_calc!$E$192-500)))))</f>
        <v/>
      </c>
      <c r="B190" s="54">
        <f>IF(_calc!$E$192="","",IF(_calc!$E$192&lt;=500,IF(ISNUMBER(INDEX('Dealer pipeline'!$M$4:$M$503,_calc!$E$192)),TEXT(INDEX('Dealer pipeline'!$M$4:$M$503,_calc!$E$192),"yyyy-mm-dd"),""),IF(ISNUMBER(INDEX('My equipment'!$M$4:$M$503,(_calc!$E$192-500))),TEXT(INDEX('My equipment'!$M$4:$M$503,(_calc!$E$192-500)),"yyyy-mm-dd"),"")))</f>
        <v/>
      </c>
      <c r="C190" s="54">
        <f>IF(_calc!$E$192="","",IF(_calc!$E$192&lt;=500,"Warranty","Warranty"))</f>
        <v/>
      </c>
      <c r="D190" s="54">
        <f>IF(_calc!$E$192="","",IF(_calc!$E$192&lt;=500,IF(ISNUMBER(INDEX('Dealer pipeline'!$H$4:$H$503,_calc!$E$192)),TEXT(INDEX('Dealer pipeline'!$H$4:$H$503,_calc!$E$192),"yyyy-mm-dd"),""),IF(ISNUMBER(INDEX('My equipment'!$H$4:$H$503,(_calc!$E$192-500))),TEXT(INDEX('My equipment'!$H$4:$H$503,(_calc!$E$192-500)),"yyyy-mm-dd"),"")))</f>
        <v/>
      </c>
      <c r="F190" s="54">
        <f>IF(_calc!$E$192="","",IF(_calc!$E$192&lt;=500,TRIM(IF(LEN(IF(LEN(INDEX('Dealer pipeline'!$A$4:$A$503,_calc!$E$192))=0,"",INDEX('Dealer pipeline'!$A$4:$A$503,_calc!$E$192)))=0,"","Customer: "&amp;IF(LEN(INDEX('Dealer pipeline'!$A$4:$A$503,_calc!$E$192))=0,"",INDEX('Dealer pipeline'!$A$4:$A$503,_calc!$E$192))&amp;". ")&amp;IF(LEN(IF(LEN(INDEX('Dealer pipeline'!$B$4:$B$503,_calc!$E$192))=0,"",INDEX('Dealer pipeline'!$B$4:$B$503,_calc!$E$192)))=0,"","Contact: "&amp;IF(LEN(INDEX('Dealer pipeline'!$B$4:$B$503,_calc!$E$192))=0,"",INDEX('Dealer pipeline'!$B$4:$B$503,_calc!$E$192))&amp;". ")&amp;IF(LEN(IF(LEN(INDEX('Dealer pipeline'!$D$4:$D$503,_calc!$E$192))=0,"",INDEX('Dealer pipeline'!$D$4:$D$503,_calc!$E$192)))=0,"","Serial: "&amp;IF(LEN(INDEX('Dealer pipeline'!$D$4:$D$503,_calc!$E$192))=0,"",INDEX('Dealer pipeline'!$D$4:$D$503,_calc!$E$192))&amp;". ")&amp;IF(LEN(IF(ISNUMBER(INDEX('Dealer pipeline'!$J$4:$J$503,_calc!$E$192)),TEXT(INDEX('Dealer pipeline'!$J$4:$J$503,_calc!$E$192),"yyyy-mm-dd"),""))=0,"","Parts end: "&amp;IF(ISNUMBER(INDEX('Dealer pipeline'!$J$4:$J$503,_calc!$E$192)),TEXT(INDEX('Dealer pipeline'!$J$4:$J$503,_calc!$E$192),"yyyy-mm-dd"),"")&amp;". ")&amp;IF(LEN(IF(ISNUMBER(INDEX('Dealer pipeline'!$L$4:$L$503,_calc!$E$192)),TEXT(INDEX('Dealer pipeline'!$L$4:$L$503,_calc!$E$192),"yyyy-mm-dd"),""))=0,"","Labor end: "&amp;IF(ISNUMBER(INDEX('Dealer pipeline'!$L$4:$L$503,_calc!$E$192)),TEXT(INDEX('Dealer pipeline'!$L$4:$L$503,_calc!$E$192),"yyyy-mm-dd"),"")&amp;". ")&amp;IF(LEN(IF(LEN(INDEX('Dealer pipeline'!$Q$4:$Q$503,_calc!$E$192))=0,"",INDEX('Dealer pipeline'!$Q$4:$Q$503,_calc!$E$192)))=0,"","Status: "&amp;IF(LEN(INDEX('Dealer pipeline'!$Q$4:$Q$503,_calc!$E$192))=0,"",INDEX('Dealer pipeline'!$Q$4:$Q$503,_calc!$E$192))&amp;". ")&amp;IF(LEN(IF(LEN(INDEX('Dealer pipeline'!$P$4:$P$503,_calc!$E$192))=0,"",INDEX('Dealer pipeline'!$P$4:$P$503,_calc!$E$192)))=0,"","Last touch: "&amp;IF(LEN(INDEX('Dealer pipeline'!$P$4:$P$503,_calc!$E$192))=0,"",INDEX('Dealer pipeline'!$P$4:$P$503,_calc!$E$192))&amp;". ")&amp;IF(LEN(IF(LEN(INDEX('Dealer pipeline'!$R$4:$R$503,_calc!$E$192))=0,"",INDEX('Dealer pipeline'!$R$4:$R$503,_calc!$E$192)))=0,"","Owner: "&amp;IF(LEN(INDEX('Dealer pipeline'!$R$4:$R$503,_calc!$E$192))=0,"",INDEX('Dealer pipeline'!$R$4:$R$503,_calc!$E$192))&amp;". ")&amp;IF(LEN(IF(LEN(INDEX('Dealer pipeline'!$S$4:$S$503,_calc!$E$192))=0,"",INDEX('Dealer pipeline'!$S$4:$S$503,_calc!$E$192)))=0,"","Backup: "&amp;IF(LEN(INDEX('Dealer pipeline'!$S$4:$S$503,_calc!$E$192))=0,"",INDEX('Dealer pipeline'!$S$4:$S$503,_calc!$E$192))&amp;". ")&amp;IF(LEN(IF(LEN(INDEX('Dealer pipeline'!$T$4:$T$503,_calc!$E$192))=0,"",INDEX('Dealer pipeline'!$T$4:$T$503,_calc!$E$192)))=0,"",IF(LEN(INDEX('Dealer pipeline'!$T$4:$T$503,_calc!$E$192))=0,"",INDEX('Dealer pipeline'!$T$4:$T$503,_calc!$E$192)))),TRIM(IF(LEN(IF(LEN(INDEX('My equipment'!$C$4:$C$503,(_calc!$E$192-500)))=0,"",INDEX('My equipment'!$C$4:$C$503,(_calc!$E$192-500))))=0,"","Model: "&amp;IF(LEN(INDEX('My equipment'!$C$4:$C$503,(_calc!$E$192-500)))=0,"",INDEX('My equipment'!$C$4:$C$503,(_calc!$E$192-500)))&amp;". ")&amp;IF(LEN(IF(LEN(INDEX('My equipment'!$D$4:$D$503,(_calc!$E$192-500)))=0,"",INDEX('My equipment'!$D$4:$D$503,(_calc!$E$192-500))))=0,"","Serial: "&amp;IF(LEN(INDEX('My equipment'!$D$4:$D$503,(_calc!$E$192-500)))=0,"",INDEX('My equipment'!$D$4:$D$503,(_calc!$E$192-500)))&amp;". ")&amp;IF(LEN(IF(ISNUMBER(INDEX('My equipment'!$J$4:$J$503,(_calc!$E$192-500))),TEXT(INDEX('My equipment'!$J$4:$J$503,(_calc!$E$192-500)),"yyyy-mm-dd"),""))=0,"","Parts end: "&amp;IF(ISNUMBER(INDEX('My equipment'!$J$4:$J$503,(_calc!$E$192-500))),TEXT(INDEX('My equipment'!$J$4:$J$503,(_calc!$E$192-500)),"yyyy-mm-dd"),"")&amp;". ")&amp;IF(LEN(IF(ISNUMBER(INDEX('My equipment'!$L$4:$L$503,(_calc!$E$192-500))),TEXT(INDEX('My equipment'!$L$4:$L$503,(_calc!$E$192-500)),"yyyy-mm-dd"),""))=0,"","Labor end: "&amp;IF(ISNUMBER(INDEX('My equipment'!$L$4:$L$503,(_calc!$E$192-500))),TEXT(INDEX('My equipment'!$L$4:$L$503,(_calc!$E$192-500)),"yyyy-mm-dd"),"")&amp;". ")&amp;IF(LEN(IF(ISNUMBER(INDEX('My equipment'!$P$4:$P$503,(_calc!$E$192-500))),TEXT(INDEX('My equipment'!$P$4:$P$503,(_calc!$E$192-500)),"yyyy-mm-dd"),""))=0,"","Check by: "&amp;IF(ISNUMBER(INDEX('My equipment'!$P$4:$P$503,(_calc!$E$192-500))),TEXT(INDEX('My equipment'!$P$4:$P$503,(_calc!$E$192-500)),"yyyy-mm-dd"),"")&amp;". ")&amp;IF(LEN(IF(LEN(INDEX('My equipment'!$Q$4:$Q$503,(_calc!$E$192-500)))=0,"",INDEX('My equipment'!$Q$4:$Q$503,(_calc!$E$192-500))))=0,"","Claim status: "&amp;IF(LEN(INDEX('My equipment'!$Q$4:$Q$503,(_calc!$E$192-500)))=0,"",INDEX('My equipment'!$Q$4:$Q$503,(_calc!$E$192-500)))&amp;". ")&amp;IF(LEN(IF(LEN(INDEX('My equipment'!$R$4:$R$503,(_calc!$E$192-500)))=0,"",INDEX('My equipment'!$R$4:$R$503,(_calc!$E$192-500))))=0,"","Claims contact: "&amp;IF(LEN(INDEX('My equipment'!$R$4:$R$503,(_calc!$E$192-500)))=0,"",INDEX('My equipment'!$R$4:$R$503,(_calc!$E$192-500)))&amp;". ")&amp;IF(LEN(IF(LEN(INDEX('My equipment'!$S$4:$S$503,(_calc!$E$192-500)))=0,"",INDEX('My equipment'!$S$4:$S$503,(_calc!$E$192-500))))=0,"","Claims email: "&amp;IF(LEN(INDEX('My equipment'!$S$4:$S$503,(_calc!$E$192-500)))=0,"",INDEX('My equipment'!$S$4:$S$503,(_calc!$E$192-500)))&amp;". ")&amp;IF(LEN(IF(LEN(INDEX('My equipment'!$U$4:$U$503,(_calc!$E$192-500)))=0,"",INDEX('My equipment'!$U$4:$U$503,(_calc!$E$192-500))))=0,"","Registered: "&amp;IF(LEN(INDEX('My equipment'!$U$4:$U$503,(_calc!$E$192-500)))=0,"",INDEX('My equipment'!$U$4:$U$503,(_calc!$E$192-500)))&amp;". ")&amp;IF(LEN(IF(LEN(INDEX('My equipment'!$V$4:$V$503,(_calc!$E$192-500)))=0,"",INDEX('My equipment'!$V$4:$V$503,(_calc!$E$192-500))))=0,"","Proof on file: "&amp;IF(LEN(INDEX('My equipment'!$V$4:$V$503,(_calc!$E$192-500)))=0,"",INDEX('My equipment'!$V$4:$V$503,(_calc!$E$192-500)))&amp;". ")&amp;IF(LEN(IF(LEN(INDEX('My equipment'!$W$4:$W$503,(_calc!$E$192-500)))=0,"",INDEX('My equipment'!$W$4:$W$503,(_calc!$E$192-500))))=0,"","Claim ref: "&amp;IF(LEN(INDEX('My equipment'!$W$4:$W$503,(_calc!$E$192-500)))=0,"",INDEX('My equipment'!$W$4:$W$503,(_calc!$E$192-500)))&amp;". ")&amp;IF(LEN(IF(LEN(INDEX('My equipment'!$Y$4:$Y$503,(_calc!$E$192-500)))=0,"",INDEX('My equipment'!$Y$4:$Y$503,(_calc!$E$192-500))))=0,"",IF(LEN(INDEX('My equipment'!$Y$4:$Y$503,(_calc!$E$192-500)))=0,"",INDEX('My equipment'!$Y$4:$Y$503,(_calc!$E$192-500)))))))</f>
        <v/>
      </c>
      <c r="G190" s="54">
        <f>IF(_calc!$E$192="","",IF(_calc!$E$192&lt;=500,"",IF(LEN(INDEX('My equipment'!$X$4:$X$503,(_calc!$E$192-500)))=0,"",INDEX('My equipment'!$X$4:$X$503,(_calc!$E$192-500)))))</f>
        <v/>
      </c>
      <c r="K190" s="54">
        <f>IF(_calc!$E$192="","",IF(_calc!$E$192&lt;=500,"",IF(LEN(INDEX('My equipment'!$T$4:$T$503,(_calc!$E$192-500)))=0,"",INDEX('My equipment'!$T$4:$T$503,(_calc!$E$192-500)))))</f>
        <v/>
      </c>
    </row>
    <row r="191">
      <c r="A191" s="54">
        <f>IF(_calc!$E$193="","",IF(_calc!$E$193&lt;=500,"Warranty – "&amp;IF(LEN(INDEX('Dealer pipeline'!$C$4:$C$503,_calc!$E$193))=0,"",INDEX('Dealer pipeline'!$C$4:$C$503,_calc!$E$193))&amp;" – "&amp;IF(LEN(INDEX('Dealer pipeline'!$D$4:$D$503,_calc!$E$193))=0,"",INDEX('Dealer pipeline'!$D$4:$D$503,_calc!$E$193))&amp;" – "&amp;IF(LEN(INDEX('Dealer pipeline'!$A$4:$A$503,_calc!$E$193))=0,"",INDEX('Dealer pipeline'!$A$4:$A$503,_calc!$E$193)),"Warranty – "&amp;IF(LEN(INDEX('My equipment'!$A$4:$A$503,(_calc!$E$193-500)))=0,"",INDEX('My equipment'!$A$4:$A$503,(_calc!$E$193-500)))&amp;" – "&amp;IF(LEN(INDEX('My equipment'!$D$4:$D$503,(_calc!$E$193-500)))=0,"",INDEX('My equipment'!$D$4:$D$503,(_calc!$E$193-500)))))</f>
        <v/>
      </c>
      <c r="B191" s="54">
        <f>IF(_calc!$E$193="","",IF(_calc!$E$193&lt;=500,IF(ISNUMBER(INDEX('Dealer pipeline'!$M$4:$M$503,_calc!$E$193)),TEXT(INDEX('Dealer pipeline'!$M$4:$M$503,_calc!$E$193),"yyyy-mm-dd"),""),IF(ISNUMBER(INDEX('My equipment'!$M$4:$M$503,(_calc!$E$193-500))),TEXT(INDEX('My equipment'!$M$4:$M$503,(_calc!$E$193-500)),"yyyy-mm-dd"),"")))</f>
        <v/>
      </c>
      <c r="C191" s="54">
        <f>IF(_calc!$E$193="","",IF(_calc!$E$193&lt;=500,"Warranty","Warranty"))</f>
        <v/>
      </c>
      <c r="D191" s="54">
        <f>IF(_calc!$E$193="","",IF(_calc!$E$193&lt;=500,IF(ISNUMBER(INDEX('Dealer pipeline'!$H$4:$H$503,_calc!$E$193)),TEXT(INDEX('Dealer pipeline'!$H$4:$H$503,_calc!$E$193),"yyyy-mm-dd"),""),IF(ISNUMBER(INDEX('My equipment'!$H$4:$H$503,(_calc!$E$193-500))),TEXT(INDEX('My equipment'!$H$4:$H$503,(_calc!$E$193-500)),"yyyy-mm-dd"),"")))</f>
        <v/>
      </c>
      <c r="F191" s="54">
        <f>IF(_calc!$E$193="","",IF(_calc!$E$193&lt;=500,TRIM(IF(LEN(IF(LEN(INDEX('Dealer pipeline'!$A$4:$A$503,_calc!$E$193))=0,"",INDEX('Dealer pipeline'!$A$4:$A$503,_calc!$E$193)))=0,"","Customer: "&amp;IF(LEN(INDEX('Dealer pipeline'!$A$4:$A$503,_calc!$E$193))=0,"",INDEX('Dealer pipeline'!$A$4:$A$503,_calc!$E$193))&amp;". ")&amp;IF(LEN(IF(LEN(INDEX('Dealer pipeline'!$B$4:$B$503,_calc!$E$193))=0,"",INDEX('Dealer pipeline'!$B$4:$B$503,_calc!$E$193)))=0,"","Contact: "&amp;IF(LEN(INDEX('Dealer pipeline'!$B$4:$B$503,_calc!$E$193))=0,"",INDEX('Dealer pipeline'!$B$4:$B$503,_calc!$E$193))&amp;". ")&amp;IF(LEN(IF(LEN(INDEX('Dealer pipeline'!$D$4:$D$503,_calc!$E$193))=0,"",INDEX('Dealer pipeline'!$D$4:$D$503,_calc!$E$193)))=0,"","Serial: "&amp;IF(LEN(INDEX('Dealer pipeline'!$D$4:$D$503,_calc!$E$193))=0,"",INDEX('Dealer pipeline'!$D$4:$D$503,_calc!$E$193))&amp;". ")&amp;IF(LEN(IF(ISNUMBER(INDEX('Dealer pipeline'!$J$4:$J$503,_calc!$E$193)),TEXT(INDEX('Dealer pipeline'!$J$4:$J$503,_calc!$E$193),"yyyy-mm-dd"),""))=0,"","Parts end: "&amp;IF(ISNUMBER(INDEX('Dealer pipeline'!$J$4:$J$503,_calc!$E$193)),TEXT(INDEX('Dealer pipeline'!$J$4:$J$503,_calc!$E$193),"yyyy-mm-dd"),"")&amp;". ")&amp;IF(LEN(IF(ISNUMBER(INDEX('Dealer pipeline'!$L$4:$L$503,_calc!$E$193)),TEXT(INDEX('Dealer pipeline'!$L$4:$L$503,_calc!$E$193),"yyyy-mm-dd"),""))=0,"","Labor end: "&amp;IF(ISNUMBER(INDEX('Dealer pipeline'!$L$4:$L$503,_calc!$E$193)),TEXT(INDEX('Dealer pipeline'!$L$4:$L$503,_calc!$E$193),"yyyy-mm-dd"),"")&amp;". ")&amp;IF(LEN(IF(LEN(INDEX('Dealer pipeline'!$Q$4:$Q$503,_calc!$E$193))=0,"",INDEX('Dealer pipeline'!$Q$4:$Q$503,_calc!$E$193)))=0,"","Status: "&amp;IF(LEN(INDEX('Dealer pipeline'!$Q$4:$Q$503,_calc!$E$193))=0,"",INDEX('Dealer pipeline'!$Q$4:$Q$503,_calc!$E$193))&amp;". ")&amp;IF(LEN(IF(LEN(INDEX('Dealer pipeline'!$P$4:$P$503,_calc!$E$193))=0,"",INDEX('Dealer pipeline'!$P$4:$P$503,_calc!$E$193)))=0,"","Last touch: "&amp;IF(LEN(INDEX('Dealer pipeline'!$P$4:$P$503,_calc!$E$193))=0,"",INDEX('Dealer pipeline'!$P$4:$P$503,_calc!$E$193))&amp;". ")&amp;IF(LEN(IF(LEN(INDEX('Dealer pipeline'!$R$4:$R$503,_calc!$E$193))=0,"",INDEX('Dealer pipeline'!$R$4:$R$503,_calc!$E$193)))=0,"","Owner: "&amp;IF(LEN(INDEX('Dealer pipeline'!$R$4:$R$503,_calc!$E$193))=0,"",INDEX('Dealer pipeline'!$R$4:$R$503,_calc!$E$193))&amp;". ")&amp;IF(LEN(IF(LEN(INDEX('Dealer pipeline'!$S$4:$S$503,_calc!$E$193))=0,"",INDEX('Dealer pipeline'!$S$4:$S$503,_calc!$E$193)))=0,"","Backup: "&amp;IF(LEN(INDEX('Dealer pipeline'!$S$4:$S$503,_calc!$E$193))=0,"",INDEX('Dealer pipeline'!$S$4:$S$503,_calc!$E$193))&amp;". ")&amp;IF(LEN(IF(LEN(INDEX('Dealer pipeline'!$T$4:$T$503,_calc!$E$193))=0,"",INDEX('Dealer pipeline'!$T$4:$T$503,_calc!$E$193)))=0,"",IF(LEN(INDEX('Dealer pipeline'!$T$4:$T$503,_calc!$E$193))=0,"",INDEX('Dealer pipeline'!$T$4:$T$503,_calc!$E$193)))),TRIM(IF(LEN(IF(LEN(INDEX('My equipment'!$C$4:$C$503,(_calc!$E$193-500)))=0,"",INDEX('My equipment'!$C$4:$C$503,(_calc!$E$193-500))))=0,"","Model: "&amp;IF(LEN(INDEX('My equipment'!$C$4:$C$503,(_calc!$E$193-500)))=0,"",INDEX('My equipment'!$C$4:$C$503,(_calc!$E$193-500)))&amp;". ")&amp;IF(LEN(IF(LEN(INDEX('My equipment'!$D$4:$D$503,(_calc!$E$193-500)))=0,"",INDEX('My equipment'!$D$4:$D$503,(_calc!$E$193-500))))=0,"","Serial: "&amp;IF(LEN(INDEX('My equipment'!$D$4:$D$503,(_calc!$E$193-500)))=0,"",INDEX('My equipment'!$D$4:$D$503,(_calc!$E$193-500)))&amp;". ")&amp;IF(LEN(IF(ISNUMBER(INDEX('My equipment'!$J$4:$J$503,(_calc!$E$193-500))),TEXT(INDEX('My equipment'!$J$4:$J$503,(_calc!$E$193-500)),"yyyy-mm-dd"),""))=0,"","Parts end: "&amp;IF(ISNUMBER(INDEX('My equipment'!$J$4:$J$503,(_calc!$E$193-500))),TEXT(INDEX('My equipment'!$J$4:$J$503,(_calc!$E$193-500)),"yyyy-mm-dd"),"")&amp;". ")&amp;IF(LEN(IF(ISNUMBER(INDEX('My equipment'!$L$4:$L$503,(_calc!$E$193-500))),TEXT(INDEX('My equipment'!$L$4:$L$503,(_calc!$E$193-500)),"yyyy-mm-dd"),""))=0,"","Labor end: "&amp;IF(ISNUMBER(INDEX('My equipment'!$L$4:$L$503,(_calc!$E$193-500))),TEXT(INDEX('My equipment'!$L$4:$L$503,(_calc!$E$193-500)),"yyyy-mm-dd"),"")&amp;". ")&amp;IF(LEN(IF(ISNUMBER(INDEX('My equipment'!$P$4:$P$503,(_calc!$E$193-500))),TEXT(INDEX('My equipment'!$P$4:$P$503,(_calc!$E$193-500)),"yyyy-mm-dd"),""))=0,"","Check by: "&amp;IF(ISNUMBER(INDEX('My equipment'!$P$4:$P$503,(_calc!$E$193-500))),TEXT(INDEX('My equipment'!$P$4:$P$503,(_calc!$E$193-500)),"yyyy-mm-dd"),"")&amp;". ")&amp;IF(LEN(IF(LEN(INDEX('My equipment'!$Q$4:$Q$503,(_calc!$E$193-500)))=0,"",INDEX('My equipment'!$Q$4:$Q$503,(_calc!$E$193-500))))=0,"","Claim status: "&amp;IF(LEN(INDEX('My equipment'!$Q$4:$Q$503,(_calc!$E$193-500)))=0,"",INDEX('My equipment'!$Q$4:$Q$503,(_calc!$E$193-500)))&amp;". ")&amp;IF(LEN(IF(LEN(INDEX('My equipment'!$R$4:$R$503,(_calc!$E$193-500)))=0,"",INDEX('My equipment'!$R$4:$R$503,(_calc!$E$193-500))))=0,"","Claims contact: "&amp;IF(LEN(INDEX('My equipment'!$R$4:$R$503,(_calc!$E$193-500)))=0,"",INDEX('My equipment'!$R$4:$R$503,(_calc!$E$193-500)))&amp;". ")&amp;IF(LEN(IF(LEN(INDEX('My equipment'!$S$4:$S$503,(_calc!$E$193-500)))=0,"",INDEX('My equipment'!$S$4:$S$503,(_calc!$E$193-500))))=0,"","Claims email: "&amp;IF(LEN(INDEX('My equipment'!$S$4:$S$503,(_calc!$E$193-500)))=0,"",INDEX('My equipment'!$S$4:$S$503,(_calc!$E$193-500)))&amp;". ")&amp;IF(LEN(IF(LEN(INDEX('My equipment'!$U$4:$U$503,(_calc!$E$193-500)))=0,"",INDEX('My equipment'!$U$4:$U$503,(_calc!$E$193-500))))=0,"","Registered: "&amp;IF(LEN(INDEX('My equipment'!$U$4:$U$503,(_calc!$E$193-500)))=0,"",INDEX('My equipment'!$U$4:$U$503,(_calc!$E$193-500)))&amp;". ")&amp;IF(LEN(IF(LEN(INDEX('My equipment'!$V$4:$V$503,(_calc!$E$193-500)))=0,"",INDEX('My equipment'!$V$4:$V$503,(_calc!$E$193-500))))=0,"","Proof on file: "&amp;IF(LEN(INDEX('My equipment'!$V$4:$V$503,(_calc!$E$193-500)))=0,"",INDEX('My equipment'!$V$4:$V$503,(_calc!$E$193-500)))&amp;". ")&amp;IF(LEN(IF(LEN(INDEX('My equipment'!$W$4:$W$503,(_calc!$E$193-500)))=0,"",INDEX('My equipment'!$W$4:$W$503,(_calc!$E$193-500))))=0,"","Claim ref: "&amp;IF(LEN(INDEX('My equipment'!$W$4:$W$503,(_calc!$E$193-500)))=0,"",INDEX('My equipment'!$W$4:$W$503,(_calc!$E$193-500)))&amp;". ")&amp;IF(LEN(IF(LEN(INDEX('My equipment'!$Y$4:$Y$503,(_calc!$E$193-500)))=0,"",INDEX('My equipment'!$Y$4:$Y$503,(_calc!$E$193-500))))=0,"",IF(LEN(INDEX('My equipment'!$Y$4:$Y$503,(_calc!$E$193-500)))=0,"",INDEX('My equipment'!$Y$4:$Y$503,(_calc!$E$193-500)))))))</f>
        <v/>
      </c>
      <c r="G191" s="54">
        <f>IF(_calc!$E$193="","",IF(_calc!$E$193&lt;=500,"",IF(LEN(INDEX('My equipment'!$X$4:$X$503,(_calc!$E$193-500)))=0,"",INDEX('My equipment'!$X$4:$X$503,(_calc!$E$193-500)))))</f>
        <v/>
      </c>
      <c r="K191" s="54">
        <f>IF(_calc!$E$193="","",IF(_calc!$E$193&lt;=500,"",IF(LEN(INDEX('My equipment'!$T$4:$T$503,(_calc!$E$193-500)))=0,"",INDEX('My equipment'!$T$4:$T$503,(_calc!$E$193-500)))))</f>
        <v/>
      </c>
    </row>
    <row r="192">
      <c r="A192" s="54">
        <f>IF(_calc!$E$194="","",IF(_calc!$E$194&lt;=500,"Warranty – "&amp;IF(LEN(INDEX('Dealer pipeline'!$C$4:$C$503,_calc!$E$194))=0,"",INDEX('Dealer pipeline'!$C$4:$C$503,_calc!$E$194))&amp;" – "&amp;IF(LEN(INDEX('Dealer pipeline'!$D$4:$D$503,_calc!$E$194))=0,"",INDEX('Dealer pipeline'!$D$4:$D$503,_calc!$E$194))&amp;" – "&amp;IF(LEN(INDEX('Dealer pipeline'!$A$4:$A$503,_calc!$E$194))=0,"",INDEX('Dealer pipeline'!$A$4:$A$503,_calc!$E$194)),"Warranty – "&amp;IF(LEN(INDEX('My equipment'!$A$4:$A$503,(_calc!$E$194-500)))=0,"",INDEX('My equipment'!$A$4:$A$503,(_calc!$E$194-500)))&amp;" – "&amp;IF(LEN(INDEX('My equipment'!$D$4:$D$503,(_calc!$E$194-500)))=0,"",INDEX('My equipment'!$D$4:$D$503,(_calc!$E$194-500)))))</f>
        <v/>
      </c>
      <c r="B192" s="54">
        <f>IF(_calc!$E$194="","",IF(_calc!$E$194&lt;=500,IF(ISNUMBER(INDEX('Dealer pipeline'!$M$4:$M$503,_calc!$E$194)),TEXT(INDEX('Dealer pipeline'!$M$4:$M$503,_calc!$E$194),"yyyy-mm-dd"),""),IF(ISNUMBER(INDEX('My equipment'!$M$4:$M$503,(_calc!$E$194-500))),TEXT(INDEX('My equipment'!$M$4:$M$503,(_calc!$E$194-500)),"yyyy-mm-dd"),"")))</f>
        <v/>
      </c>
      <c r="C192" s="54">
        <f>IF(_calc!$E$194="","",IF(_calc!$E$194&lt;=500,"Warranty","Warranty"))</f>
        <v/>
      </c>
      <c r="D192" s="54">
        <f>IF(_calc!$E$194="","",IF(_calc!$E$194&lt;=500,IF(ISNUMBER(INDEX('Dealer pipeline'!$H$4:$H$503,_calc!$E$194)),TEXT(INDEX('Dealer pipeline'!$H$4:$H$503,_calc!$E$194),"yyyy-mm-dd"),""),IF(ISNUMBER(INDEX('My equipment'!$H$4:$H$503,(_calc!$E$194-500))),TEXT(INDEX('My equipment'!$H$4:$H$503,(_calc!$E$194-500)),"yyyy-mm-dd"),"")))</f>
        <v/>
      </c>
      <c r="F192" s="54">
        <f>IF(_calc!$E$194="","",IF(_calc!$E$194&lt;=500,TRIM(IF(LEN(IF(LEN(INDEX('Dealer pipeline'!$A$4:$A$503,_calc!$E$194))=0,"",INDEX('Dealer pipeline'!$A$4:$A$503,_calc!$E$194)))=0,"","Customer: "&amp;IF(LEN(INDEX('Dealer pipeline'!$A$4:$A$503,_calc!$E$194))=0,"",INDEX('Dealer pipeline'!$A$4:$A$503,_calc!$E$194))&amp;". ")&amp;IF(LEN(IF(LEN(INDEX('Dealer pipeline'!$B$4:$B$503,_calc!$E$194))=0,"",INDEX('Dealer pipeline'!$B$4:$B$503,_calc!$E$194)))=0,"","Contact: "&amp;IF(LEN(INDEX('Dealer pipeline'!$B$4:$B$503,_calc!$E$194))=0,"",INDEX('Dealer pipeline'!$B$4:$B$503,_calc!$E$194))&amp;". ")&amp;IF(LEN(IF(LEN(INDEX('Dealer pipeline'!$D$4:$D$503,_calc!$E$194))=0,"",INDEX('Dealer pipeline'!$D$4:$D$503,_calc!$E$194)))=0,"","Serial: "&amp;IF(LEN(INDEX('Dealer pipeline'!$D$4:$D$503,_calc!$E$194))=0,"",INDEX('Dealer pipeline'!$D$4:$D$503,_calc!$E$194))&amp;". ")&amp;IF(LEN(IF(ISNUMBER(INDEX('Dealer pipeline'!$J$4:$J$503,_calc!$E$194)),TEXT(INDEX('Dealer pipeline'!$J$4:$J$503,_calc!$E$194),"yyyy-mm-dd"),""))=0,"","Parts end: "&amp;IF(ISNUMBER(INDEX('Dealer pipeline'!$J$4:$J$503,_calc!$E$194)),TEXT(INDEX('Dealer pipeline'!$J$4:$J$503,_calc!$E$194),"yyyy-mm-dd"),"")&amp;". ")&amp;IF(LEN(IF(ISNUMBER(INDEX('Dealer pipeline'!$L$4:$L$503,_calc!$E$194)),TEXT(INDEX('Dealer pipeline'!$L$4:$L$503,_calc!$E$194),"yyyy-mm-dd"),""))=0,"","Labor end: "&amp;IF(ISNUMBER(INDEX('Dealer pipeline'!$L$4:$L$503,_calc!$E$194)),TEXT(INDEX('Dealer pipeline'!$L$4:$L$503,_calc!$E$194),"yyyy-mm-dd"),"")&amp;". ")&amp;IF(LEN(IF(LEN(INDEX('Dealer pipeline'!$Q$4:$Q$503,_calc!$E$194))=0,"",INDEX('Dealer pipeline'!$Q$4:$Q$503,_calc!$E$194)))=0,"","Status: "&amp;IF(LEN(INDEX('Dealer pipeline'!$Q$4:$Q$503,_calc!$E$194))=0,"",INDEX('Dealer pipeline'!$Q$4:$Q$503,_calc!$E$194))&amp;". ")&amp;IF(LEN(IF(LEN(INDEX('Dealer pipeline'!$P$4:$P$503,_calc!$E$194))=0,"",INDEX('Dealer pipeline'!$P$4:$P$503,_calc!$E$194)))=0,"","Last touch: "&amp;IF(LEN(INDEX('Dealer pipeline'!$P$4:$P$503,_calc!$E$194))=0,"",INDEX('Dealer pipeline'!$P$4:$P$503,_calc!$E$194))&amp;". ")&amp;IF(LEN(IF(LEN(INDEX('Dealer pipeline'!$R$4:$R$503,_calc!$E$194))=0,"",INDEX('Dealer pipeline'!$R$4:$R$503,_calc!$E$194)))=0,"","Owner: "&amp;IF(LEN(INDEX('Dealer pipeline'!$R$4:$R$503,_calc!$E$194))=0,"",INDEX('Dealer pipeline'!$R$4:$R$503,_calc!$E$194))&amp;". ")&amp;IF(LEN(IF(LEN(INDEX('Dealer pipeline'!$S$4:$S$503,_calc!$E$194))=0,"",INDEX('Dealer pipeline'!$S$4:$S$503,_calc!$E$194)))=0,"","Backup: "&amp;IF(LEN(INDEX('Dealer pipeline'!$S$4:$S$503,_calc!$E$194))=0,"",INDEX('Dealer pipeline'!$S$4:$S$503,_calc!$E$194))&amp;". ")&amp;IF(LEN(IF(LEN(INDEX('Dealer pipeline'!$T$4:$T$503,_calc!$E$194))=0,"",INDEX('Dealer pipeline'!$T$4:$T$503,_calc!$E$194)))=0,"",IF(LEN(INDEX('Dealer pipeline'!$T$4:$T$503,_calc!$E$194))=0,"",INDEX('Dealer pipeline'!$T$4:$T$503,_calc!$E$194)))),TRIM(IF(LEN(IF(LEN(INDEX('My equipment'!$C$4:$C$503,(_calc!$E$194-500)))=0,"",INDEX('My equipment'!$C$4:$C$503,(_calc!$E$194-500))))=0,"","Model: "&amp;IF(LEN(INDEX('My equipment'!$C$4:$C$503,(_calc!$E$194-500)))=0,"",INDEX('My equipment'!$C$4:$C$503,(_calc!$E$194-500)))&amp;". ")&amp;IF(LEN(IF(LEN(INDEX('My equipment'!$D$4:$D$503,(_calc!$E$194-500)))=0,"",INDEX('My equipment'!$D$4:$D$503,(_calc!$E$194-500))))=0,"","Serial: "&amp;IF(LEN(INDEX('My equipment'!$D$4:$D$503,(_calc!$E$194-500)))=0,"",INDEX('My equipment'!$D$4:$D$503,(_calc!$E$194-500)))&amp;". ")&amp;IF(LEN(IF(ISNUMBER(INDEX('My equipment'!$J$4:$J$503,(_calc!$E$194-500))),TEXT(INDEX('My equipment'!$J$4:$J$503,(_calc!$E$194-500)),"yyyy-mm-dd"),""))=0,"","Parts end: "&amp;IF(ISNUMBER(INDEX('My equipment'!$J$4:$J$503,(_calc!$E$194-500))),TEXT(INDEX('My equipment'!$J$4:$J$503,(_calc!$E$194-500)),"yyyy-mm-dd"),"")&amp;". ")&amp;IF(LEN(IF(ISNUMBER(INDEX('My equipment'!$L$4:$L$503,(_calc!$E$194-500))),TEXT(INDEX('My equipment'!$L$4:$L$503,(_calc!$E$194-500)),"yyyy-mm-dd"),""))=0,"","Labor end: "&amp;IF(ISNUMBER(INDEX('My equipment'!$L$4:$L$503,(_calc!$E$194-500))),TEXT(INDEX('My equipment'!$L$4:$L$503,(_calc!$E$194-500)),"yyyy-mm-dd"),"")&amp;". ")&amp;IF(LEN(IF(ISNUMBER(INDEX('My equipment'!$P$4:$P$503,(_calc!$E$194-500))),TEXT(INDEX('My equipment'!$P$4:$P$503,(_calc!$E$194-500)),"yyyy-mm-dd"),""))=0,"","Check by: "&amp;IF(ISNUMBER(INDEX('My equipment'!$P$4:$P$503,(_calc!$E$194-500))),TEXT(INDEX('My equipment'!$P$4:$P$503,(_calc!$E$194-500)),"yyyy-mm-dd"),"")&amp;". ")&amp;IF(LEN(IF(LEN(INDEX('My equipment'!$Q$4:$Q$503,(_calc!$E$194-500)))=0,"",INDEX('My equipment'!$Q$4:$Q$503,(_calc!$E$194-500))))=0,"","Claim status: "&amp;IF(LEN(INDEX('My equipment'!$Q$4:$Q$503,(_calc!$E$194-500)))=0,"",INDEX('My equipment'!$Q$4:$Q$503,(_calc!$E$194-500)))&amp;". ")&amp;IF(LEN(IF(LEN(INDEX('My equipment'!$R$4:$R$503,(_calc!$E$194-500)))=0,"",INDEX('My equipment'!$R$4:$R$503,(_calc!$E$194-500))))=0,"","Claims contact: "&amp;IF(LEN(INDEX('My equipment'!$R$4:$R$503,(_calc!$E$194-500)))=0,"",INDEX('My equipment'!$R$4:$R$503,(_calc!$E$194-500)))&amp;". ")&amp;IF(LEN(IF(LEN(INDEX('My equipment'!$S$4:$S$503,(_calc!$E$194-500)))=0,"",INDEX('My equipment'!$S$4:$S$503,(_calc!$E$194-500))))=0,"","Claims email: "&amp;IF(LEN(INDEX('My equipment'!$S$4:$S$503,(_calc!$E$194-500)))=0,"",INDEX('My equipment'!$S$4:$S$503,(_calc!$E$194-500)))&amp;". ")&amp;IF(LEN(IF(LEN(INDEX('My equipment'!$U$4:$U$503,(_calc!$E$194-500)))=0,"",INDEX('My equipment'!$U$4:$U$503,(_calc!$E$194-500))))=0,"","Registered: "&amp;IF(LEN(INDEX('My equipment'!$U$4:$U$503,(_calc!$E$194-500)))=0,"",INDEX('My equipment'!$U$4:$U$503,(_calc!$E$194-500)))&amp;". ")&amp;IF(LEN(IF(LEN(INDEX('My equipment'!$V$4:$V$503,(_calc!$E$194-500)))=0,"",INDEX('My equipment'!$V$4:$V$503,(_calc!$E$194-500))))=0,"","Proof on file: "&amp;IF(LEN(INDEX('My equipment'!$V$4:$V$503,(_calc!$E$194-500)))=0,"",INDEX('My equipment'!$V$4:$V$503,(_calc!$E$194-500)))&amp;". ")&amp;IF(LEN(IF(LEN(INDEX('My equipment'!$W$4:$W$503,(_calc!$E$194-500)))=0,"",INDEX('My equipment'!$W$4:$W$503,(_calc!$E$194-500))))=0,"","Claim ref: "&amp;IF(LEN(INDEX('My equipment'!$W$4:$W$503,(_calc!$E$194-500)))=0,"",INDEX('My equipment'!$W$4:$W$503,(_calc!$E$194-500)))&amp;". ")&amp;IF(LEN(IF(LEN(INDEX('My equipment'!$Y$4:$Y$503,(_calc!$E$194-500)))=0,"",INDEX('My equipment'!$Y$4:$Y$503,(_calc!$E$194-500))))=0,"",IF(LEN(INDEX('My equipment'!$Y$4:$Y$503,(_calc!$E$194-500)))=0,"",INDEX('My equipment'!$Y$4:$Y$503,(_calc!$E$194-500)))))))</f>
        <v/>
      </c>
      <c r="G192" s="54">
        <f>IF(_calc!$E$194="","",IF(_calc!$E$194&lt;=500,"",IF(LEN(INDEX('My equipment'!$X$4:$X$503,(_calc!$E$194-500)))=0,"",INDEX('My equipment'!$X$4:$X$503,(_calc!$E$194-500)))))</f>
        <v/>
      </c>
      <c r="K192" s="54">
        <f>IF(_calc!$E$194="","",IF(_calc!$E$194&lt;=500,"",IF(LEN(INDEX('My equipment'!$T$4:$T$503,(_calc!$E$194-500)))=0,"",INDEX('My equipment'!$T$4:$T$503,(_calc!$E$194-500)))))</f>
        <v/>
      </c>
    </row>
    <row r="193">
      <c r="A193" s="54">
        <f>IF(_calc!$E$195="","",IF(_calc!$E$195&lt;=500,"Warranty – "&amp;IF(LEN(INDEX('Dealer pipeline'!$C$4:$C$503,_calc!$E$195))=0,"",INDEX('Dealer pipeline'!$C$4:$C$503,_calc!$E$195))&amp;" – "&amp;IF(LEN(INDEX('Dealer pipeline'!$D$4:$D$503,_calc!$E$195))=0,"",INDEX('Dealer pipeline'!$D$4:$D$503,_calc!$E$195))&amp;" – "&amp;IF(LEN(INDEX('Dealer pipeline'!$A$4:$A$503,_calc!$E$195))=0,"",INDEX('Dealer pipeline'!$A$4:$A$503,_calc!$E$195)),"Warranty – "&amp;IF(LEN(INDEX('My equipment'!$A$4:$A$503,(_calc!$E$195-500)))=0,"",INDEX('My equipment'!$A$4:$A$503,(_calc!$E$195-500)))&amp;" – "&amp;IF(LEN(INDEX('My equipment'!$D$4:$D$503,(_calc!$E$195-500)))=0,"",INDEX('My equipment'!$D$4:$D$503,(_calc!$E$195-500)))))</f>
        <v/>
      </c>
      <c r="B193" s="54">
        <f>IF(_calc!$E$195="","",IF(_calc!$E$195&lt;=500,IF(ISNUMBER(INDEX('Dealer pipeline'!$M$4:$M$503,_calc!$E$195)),TEXT(INDEX('Dealer pipeline'!$M$4:$M$503,_calc!$E$195),"yyyy-mm-dd"),""),IF(ISNUMBER(INDEX('My equipment'!$M$4:$M$503,(_calc!$E$195-500))),TEXT(INDEX('My equipment'!$M$4:$M$503,(_calc!$E$195-500)),"yyyy-mm-dd"),"")))</f>
        <v/>
      </c>
      <c r="C193" s="54">
        <f>IF(_calc!$E$195="","",IF(_calc!$E$195&lt;=500,"Warranty","Warranty"))</f>
        <v/>
      </c>
      <c r="D193" s="54">
        <f>IF(_calc!$E$195="","",IF(_calc!$E$195&lt;=500,IF(ISNUMBER(INDEX('Dealer pipeline'!$H$4:$H$503,_calc!$E$195)),TEXT(INDEX('Dealer pipeline'!$H$4:$H$503,_calc!$E$195),"yyyy-mm-dd"),""),IF(ISNUMBER(INDEX('My equipment'!$H$4:$H$503,(_calc!$E$195-500))),TEXT(INDEX('My equipment'!$H$4:$H$503,(_calc!$E$195-500)),"yyyy-mm-dd"),"")))</f>
        <v/>
      </c>
      <c r="F193" s="54">
        <f>IF(_calc!$E$195="","",IF(_calc!$E$195&lt;=500,TRIM(IF(LEN(IF(LEN(INDEX('Dealer pipeline'!$A$4:$A$503,_calc!$E$195))=0,"",INDEX('Dealer pipeline'!$A$4:$A$503,_calc!$E$195)))=0,"","Customer: "&amp;IF(LEN(INDEX('Dealer pipeline'!$A$4:$A$503,_calc!$E$195))=0,"",INDEX('Dealer pipeline'!$A$4:$A$503,_calc!$E$195))&amp;". ")&amp;IF(LEN(IF(LEN(INDEX('Dealer pipeline'!$B$4:$B$503,_calc!$E$195))=0,"",INDEX('Dealer pipeline'!$B$4:$B$503,_calc!$E$195)))=0,"","Contact: "&amp;IF(LEN(INDEX('Dealer pipeline'!$B$4:$B$503,_calc!$E$195))=0,"",INDEX('Dealer pipeline'!$B$4:$B$503,_calc!$E$195))&amp;". ")&amp;IF(LEN(IF(LEN(INDEX('Dealer pipeline'!$D$4:$D$503,_calc!$E$195))=0,"",INDEX('Dealer pipeline'!$D$4:$D$503,_calc!$E$195)))=0,"","Serial: "&amp;IF(LEN(INDEX('Dealer pipeline'!$D$4:$D$503,_calc!$E$195))=0,"",INDEX('Dealer pipeline'!$D$4:$D$503,_calc!$E$195))&amp;". ")&amp;IF(LEN(IF(ISNUMBER(INDEX('Dealer pipeline'!$J$4:$J$503,_calc!$E$195)),TEXT(INDEX('Dealer pipeline'!$J$4:$J$503,_calc!$E$195),"yyyy-mm-dd"),""))=0,"","Parts end: "&amp;IF(ISNUMBER(INDEX('Dealer pipeline'!$J$4:$J$503,_calc!$E$195)),TEXT(INDEX('Dealer pipeline'!$J$4:$J$503,_calc!$E$195),"yyyy-mm-dd"),"")&amp;". ")&amp;IF(LEN(IF(ISNUMBER(INDEX('Dealer pipeline'!$L$4:$L$503,_calc!$E$195)),TEXT(INDEX('Dealer pipeline'!$L$4:$L$503,_calc!$E$195),"yyyy-mm-dd"),""))=0,"","Labor end: "&amp;IF(ISNUMBER(INDEX('Dealer pipeline'!$L$4:$L$503,_calc!$E$195)),TEXT(INDEX('Dealer pipeline'!$L$4:$L$503,_calc!$E$195),"yyyy-mm-dd"),"")&amp;". ")&amp;IF(LEN(IF(LEN(INDEX('Dealer pipeline'!$Q$4:$Q$503,_calc!$E$195))=0,"",INDEX('Dealer pipeline'!$Q$4:$Q$503,_calc!$E$195)))=0,"","Status: "&amp;IF(LEN(INDEX('Dealer pipeline'!$Q$4:$Q$503,_calc!$E$195))=0,"",INDEX('Dealer pipeline'!$Q$4:$Q$503,_calc!$E$195))&amp;". ")&amp;IF(LEN(IF(LEN(INDEX('Dealer pipeline'!$P$4:$P$503,_calc!$E$195))=0,"",INDEX('Dealer pipeline'!$P$4:$P$503,_calc!$E$195)))=0,"","Last touch: "&amp;IF(LEN(INDEX('Dealer pipeline'!$P$4:$P$503,_calc!$E$195))=0,"",INDEX('Dealer pipeline'!$P$4:$P$503,_calc!$E$195))&amp;". ")&amp;IF(LEN(IF(LEN(INDEX('Dealer pipeline'!$R$4:$R$503,_calc!$E$195))=0,"",INDEX('Dealer pipeline'!$R$4:$R$503,_calc!$E$195)))=0,"","Owner: "&amp;IF(LEN(INDEX('Dealer pipeline'!$R$4:$R$503,_calc!$E$195))=0,"",INDEX('Dealer pipeline'!$R$4:$R$503,_calc!$E$195))&amp;". ")&amp;IF(LEN(IF(LEN(INDEX('Dealer pipeline'!$S$4:$S$503,_calc!$E$195))=0,"",INDEX('Dealer pipeline'!$S$4:$S$503,_calc!$E$195)))=0,"","Backup: "&amp;IF(LEN(INDEX('Dealer pipeline'!$S$4:$S$503,_calc!$E$195))=0,"",INDEX('Dealer pipeline'!$S$4:$S$503,_calc!$E$195))&amp;". ")&amp;IF(LEN(IF(LEN(INDEX('Dealer pipeline'!$T$4:$T$503,_calc!$E$195))=0,"",INDEX('Dealer pipeline'!$T$4:$T$503,_calc!$E$195)))=0,"",IF(LEN(INDEX('Dealer pipeline'!$T$4:$T$503,_calc!$E$195))=0,"",INDEX('Dealer pipeline'!$T$4:$T$503,_calc!$E$195)))),TRIM(IF(LEN(IF(LEN(INDEX('My equipment'!$C$4:$C$503,(_calc!$E$195-500)))=0,"",INDEX('My equipment'!$C$4:$C$503,(_calc!$E$195-500))))=0,"","Model: "&amp;IF(LEN(INDEX('My equipment'!$C$4:$C$503,(_calc!$E$195-500)))=0,"",INDEX('My equipment'!$C$4:$C$503,(_calc!$E$195-500)))&amp;". ")&amp;IF(LEN(IF(LEN(INDEX('My equipment'!$D$4:$D$503,(_calc!$E$195-500)))=0,"",INDEX('My equipment'!$D$4:$D$503,(_calc!$E$195-500))))=0,"","Serial: "&amp;IF(LEN(INDEX('My equipment'!$D$4:$D$503,(_calc!$E$195-500)))=0,"",INDEX('My equipment'!$D$4:$D$503,(_calc!$E$195-500)))&amp;". ")&amp;IF(LEN(IF(ISNUMBER(INDEX('My equipment'!$J$4:$J$503,(_calc!$E$195-500))),TEXT(INDEX('My equipment'!$J$4:$J$503,(_calc!$E$195-500)),"yyyy-mm-dd"),""))=0,"","Parts end: "&amp;IF(ISNUMBER(INDEX('My equipment'!$J$4:$J$503,(_calc!$E$195-500))),TEXT(INDEX('My equipment'!$J$4:$J$503,(_calc!$E$195-500)),"yyyy-mm-dd"),"")&amp;". ")&amp;IF(LEN(IF(ISNUMBER(INDEX('My equipment'!$L$4:$L$503,(_calc!$E$195-500))),TEXT(INDEX('My equipment'!$L$4:$L$503,(_calc!$E$195-500)),"yyyy-mm-dd"),""))=0,"","Labor end: "&amp;IF(ISNUMBER(INDEX('My equipment'!$L$4:$L$503,(_calc!$E$195-500))),TEXT(INDEX('My equipment'!$L$4:$L$503,(_calc!$E$195-500)),"yyyy-mm-dd"),"")&amp;". ")&amp;IF(LEN(IF(ISNUMBER(INDEX('My equipment'!$P$4:$P$503,(_calc!$E$195-500))),TEXT(INDEX('My equipment'!$P$4:$P$503,(_calc!$E$195-500)),"yyyy-mm-dd"),""))=0,"","Check by: "&amp;IF(ISNUMBER(INDEX('My equipment'!$P$4:$P$503,(_calc!$E$195-500))),TEXT(INDEX('My equipment'!$P$4:$P$503,(_calc!$E$195-500)),"yyyy-mm-dd"),"")&amp;". ")&amp;IF(LEN(IF(LEN(INDEX('My equipment'!$Q$4:$Q$503,(_calc!$E$195-500)))=0,"",INDEX('My equipment'!$Q$4:$Q$503,(_calc!$E$195-500))))=0,"","Claim status: "&amp;IF(LEN(INDEX('My equipment'!$Q$4:$Q$503,(_calc!$E$195-500)))=0,"",INDEX('My equipment'!$Q$4:$Q$503,(_calc!$E$195-500)))&amp;". ")&amp;IF(LEN(IF(LEN(INDEX('My equipment'!$R$4:$R$503,(_calc!$E$195-500)))=0,"",INDEX('My equipment'!$R$4:$R$503,(_calc!$E$195-500))))=0,"","Claims contact: "&amp;IF(LEN(INDEX('My equipment'!$R$4:$R$503,(_calc!$E$195-500)))=0,"",INDEX('My equipment'!$R$4:$R$503,(_calc!$E$195-500)))&amp;". ")&amp;IF(LEN(IF(LEN(INDEX('My equipment'!$S$4:$S$503,(_calc!$E$195-500)))=0,"",INDEX('My equipment'!$S$4:$S$503,(_calc!$E$195-500))))=0,"","Claims email: "&amp;IF(LEN(INDEX('My equipment'!$S$4:$S$503,(_calc!$E$195-500)))=0,"",INDEX('My equipment'!$S$4:$S$503,(_calc!$E$195-500)))&amp;". ")&amp;IF(LEN(IF(LEN(INDEX('My equipment'!$U$4:$U$503,(_calc!$E$195-500)))=0,"",INDEX('My equipment'!$U$4:$U$503,(_calc!$E$195-500))))=0,"","Registered: "&amp;IF(LEN(INDEX('My equipment'!$U$4:$U$503,(_calc!$E$195-500)))=0,"",INDEX('My equipment'!$U$4:$U$503,(_calc!$E$195-500)))&amp;". ")&amp;IF(LEN(IF(LEN(INDEX('My equipment'!$V$4:$V$503,(_calc!$E$195-500)))=0,"",INDEX('My equipment'!$V$4:$V$503,(_calc!$E$195-500))))=0,"","Proof on file: "&amp;IF(LEN(INDEX('My equipment'!$V$4:$V$503,(_calc!$E$195-500)))=0,"",INDEX('My equipment'!$V$4:$V$503,(_calc!$E$195-500)))&amp;". ")&amp;IF(LEN(IF(LEN(INDEX('My equipment'!$W$4:$W$503,(_calc!$E$195-500)))=0,"",INDEX('My equipment'!$W$4:$W$503,(_calc!$E$195-500))))=0,"","Claim ref: "&amp;IF(LEN(INDEX('My equipment'!$W$4:$W$503,(_calc!$E$195-500)))=0,"",INDEX('My equipment'!$W$4:$W$503,(_calc!$E$195-500)))&amp;". ")&amp;IF(LEN(IF(LEN(INDEX('My equipment'!$Y$4:$Y$503,(_calc!$E$195-500)))=0,"",INDEX('My equipment'!$Y$4:$Y$503,(_calc!$E$195-500))))=0,"",IF(LEN(INDEX('My equipment'!$Y$4:$Y$503,(_calc!$E$195-500)))=0,"",INDEX('My equipment'!$Y$4:$Y$503,(_calc!$E$195-500)))))))</f>
        <v/>
      </c>
      <c r="G193" s="54">
        <f>IF(_calc!$E$195="","",IF(_calc!$E$195&lt;=500,"",IF(LEN(INDEX('My equipment'!$X$4:$X$503,(_calc!$E$195-500)))=0,"",INDEX('My equipment'!$X$4:$X$503,(_calc!$E$195-500)))))</f>
        <v/>
      </c>
      <c r="K193" s="54">
        <f>IF(_calc!$E$195="","",IF(_calc!$E$195&lt;=500,"",IF(LEN(INDEX('My equipment'!$T$4:$T$503,(_calc!$E$195-500)))=0,"",INDEX('My equipment'!$T$4:$T$503,(_calc!$E$195-500)))))</f>
        <v/>
      </c>
    </row>
    <row r="194">
      <c r="A194" s="54">
        <f>IF(_calc!$E$196="","",IF(_calc!$E$196&lt;=500,"Warranty – "&amp;IF(LEN(INDEX('Dealer pipeline'!$C$4:$C$503,_calc!$E$196))=0,"",INDEX('Dealer pipeline'!$C$4:$C$503,_calc!$E$196))&amp;" – "&amp;IF(LEN(INDEX('Dealer pipeline'!$D$4:$D$503,_calc!$E$196))=0,"",INDEX('Dealer pipeline'!$D$4:$D$503,_calc!$E$196))&amp;" – "&amp;IF(LEN(INDEX('Dealer pipeline'!$A$4:$A$503,_calc!$E$196))=0,"",INDEX('Dealer pipeline'!$A$4:$A$503,_calc!$E$196)),"Warranty – "&amp;IF(LEN(INDEX('My equipment'!$A$4:$A$503,(_calc!$E$196-500)))=0,"",INDEX('My equipment'!$A$4:$A$503,(_calc!$E$196-500)))&amp;" – "&amp;IF(LEN(INDEX('My equipment'!$D$4:$D$503,(_calc!$E$196-500)))=0,"",INDEX('My equipment'!$D$4:$D$503,(_calc!$E$196-500)))))</f>
        <v/>
      </c>
      <c r="B194" s="54">
        <f>IF(_calc!$E$196="","",IF(_calc!$E$196&lt;=500,IF(ISNUMBER(INDEX('Dealer pipeline'!$M$4:$M$503,_calc!$E$196)),TEXT(INDEX('Dealer pipeline'!$M$4:$M$503,_calc!$E$196),"yyyy-mm-dd"),""),IF(ISNUMBER(INDEX('My equipment'!$M$4:$M$503,(_calc!$E$196-500))),TEXT(INDEX('My equipment'!$M$4:$M$503,(_calc!$E$196-500)),"yyyy-mm-dd"),"")))</f>
        <v/>
      </c>
      <c r="C194" s="54">
        <f>IF(_calc!$E$196="","",IF(_calc!$E$196&lt;=500,"Warranty","Warranty"))</f>
        <v/>
      </c>
      <c r="D194" s="54">
        <f>IF(_calc!$E$196="","",IF(_calc!$E$196&lt;=500,IF(ISNUMBER(INDEX('Dealer pipeline'!$H$4:$H$503,_calc!$E$196)),TEXT(INDEX('Dealer pipeline'!$H$4:$H$503,_calc!$E$196),"yyyy-mm-dd"),""),IF(ISNUMBER(INDEX('My equipment'!$H$4:$H$503,(_calc!$E$196-500))),TEXT(INDEX('My equipment'!$H$4:$H$503,(_calc!$E$196-500)),"yyyy-mm-dd"),"")))</f>
        <v/>
      </c>
      <c r="F194" s="54">
        <f>IF(_calc!$E$196="","",IF(_calc!$E$196&lt;=500,TRIM(IF(LEN(IF(LEN(INDEX('Dealer pipeline'!$A$4:$A$503,_calc!$E$196))=0,"",INDEX('Dealer pipeline'!$A$4:$A$503,_calc!$E$196)))=0,"","Customer: "&amp;IF(LEN(INDEX('Dealer pipeline'!$A$4:$A$503,_calc!$E$196))=0,"",INDEX('Dealer pipeline'!$A$4:$A$503,_calc!$E$196))&amp;". ")&amp;IF(LEN(IF(LEN(INDEX('Dealer pipeline'!$B$4:$B$503,_calc!$E$196))=0,"",INDEX('Dealer pipeline'!$B$4:$B$503,_calc!$E$196)))=0,"","Contact: "&amp;IF(LEN(INDEX('Dealer pipeline'!$B$4:$B$503,_calc!$E$196))=0,"",INDEX('Dealer pipeline'!$B$4:$B$503,_calc!$E$196))&amp;". ")&amp;IF(LEN(IF(LEN(INDEX('Dealer pipeline'!$D$4:$D$503,_calc!$E$196))=0,"",INDEX('Dealer pipeline'!$D$4:$D$503,_calc!$E$196)))=0,"","Serial: "&amp;IF(LEN(INDEX('Dealer pipeline'!$D$4:$D$503,_calc!$E$196))=0,"",INDEX('Dealer pipeline'!$D$4:$D$503,_calc!$E$196))&amp;". ")&amp;IF(LEN(IF(ISNUMBER(INDEX('Dealer pipeline'!$J$4:$J$503,_calc!$E$196)),TEXT(INDEX('Dealer pipeline'!$J$4:$J$503,_calc!$E$196),"yyyy-mm-dd"),""))=0,"","Parts end: "&amp;IF(ISNUMBER(INDEX('Dealer pipeline'!$J$4:$J$503,_calc!$E$196)),TEXT(INDEX('Dealer pipeline'!$J$4:$J$503,_calc!$E$196),"yyyy-mm-dd"),"")&amp;". ")&amp;IF(LEN(IF(ISNUMBER(INDEX('Dealer pipeline'!$L$4:$L$503,_calc!$E$196)),TEXT(INDEX('Dealer pipeline'!$L$4:$L$503,_calc!$E$196),"yyyy-mm-dd"),""))=0,"","Labor end: "&amp;IF(ISNUMBER(INDEX('Dealer pipeline'!$L$4:$L$503,_calc!$E$196)),TEXT(INDEX('Dealer pipeline'!$L$4:$L$503,_calc!$E$196),"yyyy-mm-dd"),"")&amp;". ")&amp;IF(LEN(IF(LEN(INDEX('Dealer pipeline'!$Q$4:$Q$503,_calc!$E$196))=0,"",INDEX('Dealer pipeline'!$Q$4:$Q$503,_calc!$E$196)))=0,"","Status: "&amp;IF(LEN(INDEX('Dealer pipeline'!$Q$4:$Q$503,_calc!$E$196))=0,"",INDEX('Dealer pipeline'!$Q$4:$Q$503,_calc!$E$196))&amp;". ")&amp;IF(LEN(IF(LEN(INDEX('Dealer pipeline'!$P$4:$P$503,_calc!$E$196))=0,"",INDEX('Dealer pipeline'!$P$4:$P$503,_calc!$E$196)))=0,"","Last touch: "&amp;IF(LEN(INDEX('Dealer pipeline'!$P$4:$P$503,_calc!$E$196))=0,"",INDEX('Dealer pipeline'!$P$4:$P$503,_calc!$E$196))&amp;". ")&amp;IF(LEN(IF(LEN(INDEX('Dealer pipeline'!$R$4:$R$503,_calc!$E$196))=0,"",INDEX('Dealer pipeline'!$R$4:$R$503,_calc!$E$196)))=0,"","Owner: "&amp;IF(LEN(INDEX('Dealer pipeline'!$R$4:$R$503,_calc!$E$196))=0,"",INDEX('Dealer pipeline'!$R$4:$R$503,_calc!$E$196))&amp;". ")&amp;IF(LEN(IF(LEN(INDEX('Dealer pipeline'!$S$4:$S$503,_calc!$E$196))=0,"",INDEX('Dealer pipeline'!$S$4:$S$503,_calc!$E$196)))=0,"","Backup: "&amp;IF(LEN(INDEX('Dealer pipeline'!$S$4:$S$503,_calc!$E$196))=0,"",INDEX('Dealer pipeline'!$S$4:$S$503,_calc!$E$196))&amp;". ")&amp;IF(LEN(IF(LEN(INDEX('Dealer pipeline'!$T$4:$T$503,_calc!$E$196))=0,"",INDEX('Dealer pipeline'!$T$4:$T$503,_calc!$E$196)))=0,"",IF(LEN(INDEX('Dealer pipeline'!$T$4:$T$503,_calc!$E$196))=0,"",INDEX('Dealer pipeline'!$T$4:$T$503,_calc!$E$196)))),TRIM(IF(LEN(IF(LEN(INDEX('My equipment'!$C$4:$C$503,(_calc!$E$196-500)))=0,"",INDEX('My equipment'!$C$4:$C$503,(_calc!$E$196-500))))=0,"","Model: "&amp;IF(LEN(INDEX('My equipment'!$C$4:$C$503,(_calc!$E$196-500)))=0,"",INDEX('My equipment'!$C$4:$C$503,(_calc!$E$196-500)))&amp;". ")&amp;IF(LEN(IF(LEN(INDEX('My equipment'!$D$4:$D$503,(_calc!$E$196-500)))=0,"",INDEX('My equipment'!$D$4:$D$503,(_calc!$E$196-500))))=0,"","Serial: "&amp;IF(LEN(INDEX('My equipment'!$D$4:$D$503,(_calc!$E$196-500)))=0,"",INDEX('My equipment'!$D$4:$D$503,(_calc!$E$196-500)))&amp;". ")&amp;IF(LEN(IF(ISNUMBER(INDEX('My equipment'!$J$4:$J$503,(_calc!$E$196-500))),TEXT(INDEX('My equipment'!$J$4:$J$503,(_calc!$E$196-500)),"yyyy-mm-dd"),""))=0,"","Parts end: "&amp;IF(ISNUMBER(INDEX('My equipment'!$J$4:$J$503,(_calc!$E$196-500))),TEXT(INDEX('My equipment'!$J$4:$J$503,(_calc!$E$196-500)),"yyyy-mm-dd"),"")&amp;". ")&amp;IF(LEN(IF(ISNUMBER(INDEX('My equipment'!$L$4:$L$503,(_calc!$E$196-500))),TEXT(INDEX('My equipment'!$L$4:$L$503,(_calc!$E$196-500)),"yyyy-mm-dd"),""))=0,"","Labor end: "&amp;IF(ISNUMBER(INDEX('My equipment'!$L$4:$L$503,(_calc!$E$196-500))),TEXT(INDEX('My equipment'!$L$4:$L$503,(_calc!$E$196-500)),"yyyy-mm-dd"),"")&amp;". ")&amp;IF(LEN(IF(ISNUMBER(INDEX('My equipment'!$P$4:$P$503,(_calc!$E$196-500))),TEXT(INDEX('My equipment'!$P$4:$P$503,(_calc!$E$196-500)),"yyyy-mm-dd"),""))=0,"","Check by: "&amp;IF(ISNUMBER(INDEX('My equipment'!$P$4:$P$503,(_calc!$E$196-500))),TEXT(INDEX('My equipment'!$P$4:$P$503,(_calc!$E$196-500)),"yyyy-mm-dd"),"")&amp;". ")&amp;IF(LEN(IF(LEN(INDEX('My equipment'!$Q$4:$Q$503,(_calc!$E$196-500)))=0,"",INDEX('My equipment'!$Q$4:$Q$503,(_calc!$E$196-500))))=0,"","Claim status: "&amp;IF(LEN(INDEX('My equipment'!$Q$4:$Q$503,(_calc!$E$196-500)))=0,"",INDEX('My equipment'!$Q$4:$Q$503,(_calc!$E$196-500)))&amp;". ")&amp;IF(LEN(IF(LEN(INDEX('My equipment'!$R$4:$R$503,(_calc!$E$196-500)))=0,"",INDEX('My equipment'!$R$4:$R$503,(_calc!$E$196-500))))=0,"","Claims contact: "&amp;IF(LEN(INDEX('My equipment'!$R$4:$R$503,(_calc!$E$196-500)))=0,"",INDEX('My equipment'!$R$4:$R$503,(_calc!$E$196-500)))&amp;". ")&amp;IF(LEN(IF(LEN(INDEX('My equipment'!$S$4:$S$503,(_calc!$E$196-500)))=0,"",INDEX('My equipment'!$S$4:$S$503,(_calc!$E$196-500))))=0,"","Claims email: "&amp;IF(LEN(INDEX('My equipment'!$S$4:$S$503,(_calc!$E$196-500)))=0,"",INDEX('My equipment'!$S$4:$S$503,(_calc!$E$196-500)))&amp;". ")&amp;IF(LEN(IF(LEN(INDEX('My equipment'!$U$4:$U$503,(_calc!$E$196-500)))=0,"",INDEX('My equipment'!$U$4:$U$503,(_calc!$E$196-500))))=0,"","Registered: "&amp;IF(LEN(INDEX('My equipment'!$U$4:$U$503,(_calc!$E$196-500)))=0,"",INDEX('My equipment'!$U$4:$U$503,(_calc!$E$196-500)))&amp;". ")&amp;IF(LEN(IF(LEN(INDEX('My equipment'!$V$4:$V$503,(_calc!$E$196-500)))=0,"",INDEX('My equipment'!$V$4:$V$503,(_calc!$E$196-500))))=0,"","Proof on file: "&amp;IF(LEN(INDEX('My equipment'!$V$4:$V$503,(_calc!$E$196-500)))=0,"",INDEX('My equipment'!$V$4:$V$503,(_calc!$E$196-500)))&amp;". ")&amp;IF(LEN(IF(LEN(INDEX('My equipment'!$W$4:$W$503,(_calc!$E$196-500)))=0,"",INDEX('My equipment'!$W$4:$W$503,(_calc!$E$196-500))))=0,"","Claim ref: "&amp;IF(LEN(INDEX('My equipment'!$W$4:$W$503,(_calc!$E$196-500)))=0,"",INDEX('My equipment'!$W$4:$W$503,(_calc!$E$196-500)))&amp;". ")&amp;IF(LEN(IF(LEN(INDEX('My equipment'!$Y$4:$Y$503,(_calc!$E$196-500)))=0,"",INDEX('My equipment'!$Y$4:$Y$503,(_calc!$E$196-500))))=0,"",IF(LEN(INDEX('My equipment'!$Y$4:$Y$503,(_calc!$E$196-500)))=0,"",INDEX('My equipment'!$Y$4:$Y$503,(_calc!$E$196-500)))))))</f>
        <v/>
      </c>
      <c r="G194" s="54">
        <f>IF(_calc!$E$196="","",IF(_calc!$E$196&lt;=500,"",IF(LEN(INDEX('My equipment'!$X$4:$X$503,(_calc!$E$196-500)))=0,"",INDEX('My equipment'!$X$4:$X$503,(_calc!$E$196-500)))))</f>
        <v/>
      </c>
      <c r="K194" s="54">
        <f>IF(_calc!$E$196="","",IF(_calc!$E$196&lt;=500,"",IF(LEN(INDEX('My equipment'!$T$4:$T$503,(_calc!$E$196-500)))=0,"",INDEX('My equipment'!$T$4:$T$503,(_calc!$E$196-500)))))</f>
        <v/>
      </c>
    </row>
    <row r="195">
      <c r="A195" s="54">
        <f>IF(_calc!$E$197="","",IF(_calc!$E$197&lt;=500,"Warranty – "&amp;IF(LEN(INDEX('Dealer pipeline'!$C$4:$C$503,_calc!$E$197))=0,"",INDEX('Dealer pipeline'!$C$4:$C$503,_calc!$E$197))&amp;" – "&amp;IF(LEN(INDEX('Dealer pipeline'!$D$4:$D$503,_calc!$E$197))=0,"",INDEX('Dealer pipeline'!$D$4:$D$503,_calc!$E$197))&amp;" – "&amp;IF(LEN(INDEX('Dealer pipeline'!$A$4:$A$503,_calc!$E$197))=0,"",INDEX('Dealer pipeline'!$A$4:$A$503,_calc!$E$197)),"Warranty – "&amp;IF(LEN(INDEX('My equipment'!$A$4:$A$503,(_calc!$E$197-500)))=0,"",INDEX('My equipment'!$A$4:$A$503,(_calc!$E$197-500)))&amp;" – "&amp;IF(LEN(INDEX('My equipment'!$D$4:$D$503,(_calc!$E$197-500)))=0,"",INDEX('My equipment'!$D$4:$D$503,(_calc!$E$197-500)))))</f>
        <v/>
      </c>
      <c r="B195" s="54">
        <f>IF(_calc!$E$197="","",IF(_calc!$E$197&lt;=500,IF(ISNUMBER(INDEX('Dealer pipeline'!$M$4:$M$503,_calc!$E$197)),TEXT(INDEX('Dealer pipeline'!$M$4:$M$503,_calc!$E$197),"yyyy-mm-dd"),""),IF(ISNUMBER(INDEX('My equipment'!$M$4:$M$503,(_calc!$E$197-500))),TEXT(INDEX('My equipment'!$M$4:$M$503,(_calc!$E$197-500)),"yyyy-mm-dd"),"")))</f>
        <v/>
      </c>
      <c r="C195" s="54">
        <f>IF(_calc!$E$197="","",IF(_calc!$E$197&lt;=500,"Warranty","Warranty"))</f>
        <v/>
      </c>
      <c r="D195" s="54">
        <f>IF(_calc!$E$197="","",IF(_calc!$E$197&lt;=500,IF(ISNUMBER(INDEX('Dealer pipeline'!$H$4:$H$503,_calc!$E$197)),TEXT(INDEX('Dealer pipeline'!$H$4:$H$503,_calc!$E$197),"yyyy-mm-dd"),""),IF(ISNUMBER(INDEX('My equipment'!$H$4:$H$503,(_calc!$E$197-500))),TEXT(INDEX('My equipment'!$H$4:$H$503,(_calc!$E$197-500)),"yyyy-mm-dd"),"")))</f>
        <v/>
      </c>
      <c r="F195" s="54">
        <f>IF(_calc!$E$197="","",IF(_calc!$E$197&lt;=500,TRIM(IF(LEN(IF(LEN(INDEX('Dealer pipeline'!$A$4:$A$503,_calc!$E$197))=0,"",INDEX('Dealer pipeline'!$A$4:$A$503,_calc!$E$197)))=0,"","Customer: "&amp;IF(LEN(INDEX('Dealer pipeline'!$A$4:$A$503,_calc!$E$197))=0,"",INDEX('Dealer pipeline'!$A$4:$A$503,_calc!$E$197))&amp;". ")&amp;IF(LEN(IF(LEN(INDEX('Dealer pipeline'!$B$4:$B$503,_calc!$E$197))=0,"",INDEX('Dealer pipeline'!$B$4:$B$503,_calc!$E$197)))=0,"","Contact: "&amp;IF(LEN(INDEX('Dealer pipeline'!$B$4:$B$503,_calc!$E$197))=0,"",INDEX('Dealer pipeline'!$B$4:$B$503,_calc!$E$197))&amp;". ")&amp;IF(LEN(IF(LEN(INDEX('Dealer pipeline'!$D$4:$D$503,_calc!$E$197))=0,"",INDEX('Dealer pipeline'!$D$4:$D$503,_calc!$E$197)))=0,"","Serial: "&amp;IF(LEN(INDEX('Dealer pipeline'!$D$4:$D$503,_calc!$E$197))=0,"",INDEX('Dealer pipeline'!$D$4:$D$503,_calc!$E$197))&amp;". ")&amp;IF(LEN(IF(ISNUMBER(INDEX('Dealer pipeline'!$J$4:$J$503,_calc!$E$197)),TEXT(INDEX('Dealer pipeline'!$J$4:$J$503,_calc!$E$197),"yyyy-mm-dd"),""))=0,"","Parts end: "&amp;IF(ISNUMBER(INDEX('Dealer pipeline'!$J$4:$J$503,_calc!$E$197)),TEXT(INDEX('Dealer pipeline'!$J$4:$J$503,_calc!$E$197),"yyyy-mm-dd"),"")&amp;". ")&amp;IF(LEN(IF(ISNUMBER(INDEX('Dealer pipeline'!$L$4:$L$503,_calc!$E$197)),TEXT(INDEX('Dealer pipeline'!$L$4:$L$503,_calc!$E$197),"yyyy-mm-dd"),""))=0,"","Labor end: "&amp;IF(ISNUMBER(INDEX('Dealer pipeline'!$L$4:$L$503,_calc!$E$197)),TEXT(INDEX('Dealer pipeline'!$L$4:$L$503,_calc!$E$197),"yyyy-mm-dd"),"")&amp;". ")&amp;IF(LEN(IF(LEN(INDEX('Dealer pipeline'!$Q$4:$Q$503,_calc!$E$197))=0,"",INDEX('Dealer pipeline'!$Q$4:$Q$503,_calc!$E$197)))=0,"","Status: "&amp;IF(LEN(INDEX('Dealer pipeline'!$Q$4:$Q$503,_calc!$E$197))=0,"",INDEX('Dealer pipeline'!$Q$4:$Q$503,_calc!$E$197))&amp;". ")&amp;IF(LEN(IF(LEN(INDEX('Dealer pipeline'!$P$4:$P$503,_calc!$E$197))=0,"",INDEX('Dealer pipeline'!$P$4:$P$503,_calc!$E$197)))=0,"","Last touch: "&amp;IF(LEN(INDEX('Dealer pipeline'!$P$4:$P$503,_calc!$E$197))=0,"",INDEX('Dealer pipeline'!$P$4:$P$503,_calc!$E$197))&amp;". ")&amp;IF(LEN(IF(LEN(INDEX('Dealer pipeline'!$R$4:$R$503,_calc!$E$197))=0,"",INDEX('Dealer pipeline'!$R$4:$R$503,_calc!$E$197)))=0,"","Owner: "&amp;IF(LEN(INDEX('Dealer pipeline'!$R$4:$R$503,_calc!$E$197))=0,"",INDEX('Dealer pipeline'!$R$4:$R$503,_calc!$E$197))&amp;". ")&amp;IF(LEN(IF(LEN(INDEX('Dealer pipeline'!$S$4:$S$503,_calc!$E$197))=0,"",INDEX('Dealer pipeline'!$S$4:$S$503,_calc!$E$197)))=0,"","Backup: "&amp;IF(LEN(INDEX('Dealer pipeline'!$S$4:$S$503,_calc!$E$197))=0,"",INDEX('Dealer pipeline'!$S$4:$S$503,_calc!$E$197))&amp;". ")&amp;IF(LEN(IF(LEN(INDEX('Dealer pipeline'!$T$4:$T$503,_calc!$E$197))=0,"",INDEX('Dealer pipeline'!$T$4:$T$503,_calc!$E$197)))=0,"",IF(LEN(INDEX('Dealer pipeline'!$T$4:$T$503,_calc!$E$197))=0,"",INDEX('Dealer pipeline'!$T$4:$T$503,_calc!$E$197)))),TRIM(IF(LEN(IF(LEN(INDEX('My equipment'!$C$4:$C$503,(_calc!$E$197-500)))=0,"",INDEX('My equipment'!$C$4:$C$503,(_calc!$E$197-500))))=0,"","Model: "&amp;IF(LEN(INDEX('My equipment'!$C$4:$C$503,(_calc!$E$197-500)))=0,"",INDEX('My equipment'!$C$4:$C$503,(_calc!$E$197-500)))&amp;". ")&amp;IF(LEN(IF(LEN(INDEX('My equipment'!$D$4:$D$503,(_calc!$E$197-500)))=0,"",INDEX('My equipment'!$D$4:$D$503,(_calc!$E$197-500))))=0,"","Serial: "&amp;IF(LEN(INDEX('My equipment'!$D$4:$D$503,(_calc!$E$197-500)))=0,"",INDEX('My equipment'!$D$4:$D$503,(_calc!$E$197-500)))&amp;". ")&amp;IF(LEN(IF(ISNUMBER(INDEX('My equipment'!$J$4:$J$503,(_calc!$E$197-500))),TEXT(INDEX('My equipment'!$J$4:$J$503,(_calc!$E$197-500)),"yyyy-mm-dd"),""))=0,"","Parts end: "&amp;IF(ISNUMBER(INDEX('My equipment'!$J$4:$J$503,(_calc!$E$197-500))),TEXT(INDEX('My equipment'!$J$4:$J$503,(_calc!$E$197-500)),"yyyy-mm-dd"),"")&amp;". ")&amp;IF(LEN(IF(ISNUMBER(INDEX('My equipment'!$L$4:$L$503,(_calc!$E$197-500))),TEXT(INDEX('My equipment'!$L$4:$L$503,(_calc!$E$197-500)),"yyyy-mm-dd"),""))=0,"","Labor end: "&amp;IF(ISNUMBER(INDEX('My equipment'!$L$4:$L$503,(_calc!$E$197-500))),TEXT(INDEX('My equipment'!$L$4:$L$503,(_calc!$E$197-500)),"yyyy-mm-dd"),"")&amp;". ")&amp;IF(LEN(IF(ISNUMBER(INDEX('My equipment'!$P$4:$P$503,(_calc!$E$197-500))),TEXT(INDEX('My equipment'!$P$4:$P$503,(_calc!$E$197-500)),"yyyy-mm-dd"),""))=0,"","Check by: "&amp;IF(ISNUMBER(INDEX('My equipment'!$P$4:$P$503,(_calc!$E$197-500))),TEXT(INDEX('My equipment'!$P$4:$P$503,(_calc!$E$197-500)),"yyyy-mm-dd"),"")&amp;". ")&amp;IF(LEN(IF(LEN(INDEX('My equipment'!$Q$4:$Q$503,(_calc!$E$197-500)))=0,"",INDEX('My equipment'!$Q$4:$Q$503,(_calc!$E$197-500))))=0,"","Claim status: "&amp;IF(LEN(INDEX('My equipment'!$Q$4:$Q$503,(_calc!$E$197-500)))=0,"",INDEX('My equipment'!$Q$4:$Q$503,(_calc!$E$197-500)))&amp;". ")&amp;IF(LEN(IF(LEN(INDEX('My equipment'!$R$4:$R$503,(_calc!$E$197-500)))=0,"",INDEX('My equipment'!$R$4:$R$503,(_calc!$E$197-500))))=0,"","Claims contact: "&amp;IF(LEN(INDEX('My equipment'!$R$4:$R$503,(_calc!$E$197-500)))=0,"",INDEX('My equipment'!$R$4:$R$503,(_calc!$E$197-500)))&amp;". ")&amp;IF(LEN(IF(LEN(INDEX('My equipment'!$S$4:$S$503,(_calc!$E$197-500)))=0,"",INDEX('My equipment'!$S$4:$S$503,(_calc!$E$197-500))))=0,"","Claims email: "&amp;IF(LEN(INDEX('My equipment'!$S$4:$S$503,(_calc!$E$197-500)))=0,"",INDEX('My equipment'!$S$4:$S$503,(_calc!$E$197-500)))&amp;". ")&amp;IF(LEN(IF(LEN(INDEX('My equipment'!$U$4:$U$503,(_calc!$E$197-500)))=0,"",INDEX('My equipment'!$U$4:$U$503,(_calc!$E$197-500))))=0,"","Registered: "&amp;IF(LEN(INDEX('My equipment'!$U$4:$U$503,(_calc!$E$197-500)))=0,"",INDEX('My equipment'!$U$4:$U$503,(_calc!$E$197-500)))&amp;". ")&amp;IF(LEN(IF(LEN(INDEX('My equipment'!$V$4:$V$503,(_calc!$E$197-500)))=0,"",INDEX('My equipment'!$V$4:$V$503,(_calc!$E$197-500))))=0,"","Proof on file: "&amp;IF(LEN(INDEX('My equipment'!$V$4:$V$503,(_calc!$E$197-500)))=0,"",INDEX('My equipment'!$V$4:$V$503,(_calc!$E$197-500)))&amp;". ")&amp;IF(LEN(IF(LEN(INDEX('My equipment'!$W$4:$W$503,(_calc!$E$197-500)))=0,"",INDEX('My equipment'!$W$4:$W$503,(_calc!$E$197-500))))=0,"","Claim ref: "&amp;IF(LEN(INDEX('My equipment'!$W$4:$W$503,(_calc!$E$197-500)))=0,"",INDEX('My equipment'!$W$4:$W$503,(_calc!$E$197-500)))&amp;". ")&amp;IF(LEN(IF(LEN(INDEX('My equipment'!$Y$4:$Y$503,(_calc!$E$197-500)))=0,"",INDEX('My equipment'!$Y$4:$Y$503,(_calc!$E$197-500))))=0,"",IF(LEN(INDEX('My equipment'!$Y$4:$Y$503,(_calc!$E$197-500)))=0,"",INDEX('My equipment'!$Y$4:$Y$503,(_calc!$E$197-500)))))))</f>
        <v/>
      </c>
      <c r="G195" s="54">
        <f>IF(_calc!$E$197="","",IF(_calc!$E$197&lt;=500,"",IF(LEN(INDEX('My equipment'!$X$4:$X$503,(_calc!$E$197-500)))=0,"",INDEX('My equipment'!$X$4:$X$503,(_calc!$E$197-500)))))</f>
        <v/>
      </c>
      <c r="K195" s="54">
        <f>IF(_calc!$E$197="","",IF(_calc!$E$197&lt;=500,"",IF(LEN(INDEX('My equipment'!$T$4:$T$503,(_calc!$E$197-500)))=0,"",INDEX('My equipment'!$T$4:$T$503,(_calc!$E$197-500)))))</f>
        <v/>
      </c>
    </row>
    <row r="196">
      <c r="A196" s="54">
        <f>IF(_calc!$E$198="","",IF(_calc!$E$198&lt;=500,"Warranty – "&amp;IF(LEN(INDEX('Dealer pipeline'!$C$4:$C$503,_calc!$E$198))=0,"",INDEX('Dealer pipeline'!$C$4:$C$503,_calc!$E$198))&amp;" – "&amp;IF(LEN(INDEX('Dealer pipeline'!$D$4:$D$503,_calc!$E$198))=0,"",INDEX('Dealer pipeline'!$D$4:$D$503,_calc!$E$198))&amp;" – "&amp;IF(LEN(INDEX('Dealer pipeline'!$A$4:$A$503,_calc!$E$198))=0,"",INDEX('Dealer pipeline'!$A$4:$A$503,_calc!$E$198)),"Warranty – "&amp;IF(LEN(INDEX('My equipment'!$A$4:$A$503,(_calc!$E$198-500)))=0,"",INDEX('My equipment'!$A$4:$A$503,(_calc!$E$198-500)))&amp;" – "&amp;IF(LEN(INDEX('My equipment'!$D$4:$D$503,(_calc!$E$198-500)))=0,"",INDEX('My equipment'!$D$4:$D$503,(_calc!$E$198-500)))))</f>
        <v/>
      </c>
      <c r="B196" s="54">
        <f>IF(_calc!$E$198="","",IF(_calc!$E$198&lt;=500,IF(ISNUMBER(INDEX('Dealer pipeline'!$M$4:$M$503,_calc!$E$198)),TEXT(INDEX('Dealer pipeline'!$M$4:$M$503,_calc!$E$198),"yyyy-mm-dd"),""),IF(ISNUMBER(INDEX('My equipment'!$M$4:$M$503,(_calc!$E$198-500))),TEXT(INDEX('My equipment'!$M$4:$M$503,(_calc!$E$198-500)),"yyyy-mm-dd"),"")))</f>
        <v/>
      </c>
      <c r="C196" s="54">
        <f>IF(_calc!$E$198="","",IF(_calc!$E$198&lt;=500,"Warranty","Warranty"))</f>
        <v/>
      </c>
      <c r="D196" s="54">
        <f>IF(_calc!$E$198="","",IF(_calc!$E$198&lt;=500,IF(ISNUMBER(INDEX('Dealer pipeline'!$H$4:$H$503,_calc!$E$198)),TEXT(INDEX('Dealer pipeline'!$H$4:$H$503,_calc!$E$198),"yyyy-mm-dd"),""),IF(ISNUMBER(INDEX('My equipment'!$H$4:$H$503,(_calc!$E$198-500))),TEXT(INDEX('My equipment'!$H$4:$H$503,(_calc!$E$198-500)),"yyyy-mm-dd"),"")))</f>
        <v/>
      </c>
      <c r="F196" s="54">
        <f>IF(_calc!$E$198="","",IF(_calc!$E$198&lt;=500,TRIM(IF(LEN(IF(LEN(INDEX('Dealer pipeline'!$A$4:$A$503,_calc!$E$198))=0,"",INDEX('Dealer pipeline'!$A$4:$A$503,_calc!$E$198)))=0,"","Customer: "&amp;IF(LEN(INDEX('Dealer pipeline'!$A$4:$A$503,_calc!$E$198))=0,"",INDEX('Dealer pipeline'!$A$4:$A$503,_calc!$E$198))&amp;". ")&amp;IF(LEN(IF(LEN(INDEX('Dealer pipeline'!$B$4:$B$503,_calc!$E$198))=0,"",INDEX('Dealer pipeline'!$B$4:$B$503,_calc!$E$198)))=0,"","Contact: "&amp;IF(LEN(INDEX('Dealer pipeline'!$B$4:$B$503,_calc!$E$198))=0,"",INDEX('Dealer pipeline'!$B$4:$B$503,_calc!$E$198))&amp;". ")&amp;IF(LEN(IF(LEN(INDEX('Dealer pipeline'!$D$4:$D$503,_calc!$E$198))=0,"",INDEX('Dealer pipeline'!$D$4:$D$503,_calc!$E$198)))=0,"","Serial: "&amp;IF(LEN(INDEX('Dealer pipeline'!$D$4:$D$503,_calc!$E$198))=0,"",INDEX('Dealer pipeline'!$D$4:$D$503,_calc!$E$198))&amp;". ")&amp;IF(LEN(IF(ISNUMBER(INDEX('Dealer pipeline'!$J$4:$J$503,_calc!$E$198)),TEXT(INDEX('Dealer pipeline'!$J$4:$J$503,_calc!$E$198),"yyyy-mm-dd"),""))=0,"","Parts end: "&amp;IF(ISNUMBER(INDEX('Dealer pipeline'!$J$4:$J$503,_calc!$E$198)),TEXT(INDEX('Dealer pipeline'!$J$4:$J$503,_calc!$E$198),"yyyy-mm-dd"),"")&amp;". ")&amp;IF(LEN(IF(ISNUMBER(INDEX('Dealer pipeline'!$L$4:$L$503,_calc!$E$198)),TEXT(INDEX('Dealer pipeline'!$L$4:$L$503,_calc!$E$198),"yyyy-mm-dd"),""))=0,"","Labor end: "&amp;IF(ISNUMBER(INDEX('Dealer pipeline'!$L$4:$L$503,_calc!$E$198)),TEXT(INDEX('Dealer pipeline'!$L$4:$L$503,_calc!$E$198),"yyyy-mm-dd"),"")&amp;". ")&amp;IF(LEN(IF(LEN(INDEX('Dealer pipeline'!$Q$4:$Q$503,_calc!$E$198))=0,"",INDEX('Dealer pipeline'!$Q$4:$Q$503,_calc!$E$198)))=0,"","Status: "&amp;IF(LEN(INDEX('Dealer pipeline'!$Q$4:$Q$503,_calc!$E$198))=0,"",INDEX('Dealer pipeline'!$Q$4:$Q$503,_calc!$E$198))&amp;". ")&amp;IF(LEN(IF(LEN(INDEX('Dealer pipeline'!$P$4:$P$503,_calc!$E$198))=0,"",INDEX('Dealer pipeline'!$P$4:$P$503,_calc!$E$198)))=0,"","Last touch: "&amp;IF(LEN(INDEX('Dealer pipeline'!$P$4:$P$503,_calc!$E$198))=0,"",INDEX('Dealer pipeline'!$P$4:$P$503,_calc!$E$198))&amp;". ")&amp;IF(LEN(IF(LEN(INDEX('Dealer pipeline'!$R$4:$R$503,_calc!$E$198))=0,"",INDEX('Dealer pipeline'!$R$4:$R$503,_calc!$E$198)))=0,"","Owner: "&amp;IF(LEN(INDEX('Dealer pipeline'!$R$4:$R$503,_calc!$E$198))=0,"",INDEX('Dealer pipeline'!$R$4:$R$503,_calc!$E$198))&amp;". ")&amp;IF(LEN(IF(LEN(INDEX('Dealer pipeline'!$S$4:$S$503,_calc!$E$198))=0,"",INDEX('Dealer pipeline'!$S$4:$S$503,_calc!$E$198)))=0,"","Backup: "&amp;IF(LEN(INDEX('Dealer pipeline'!$S$4:$S$503,_calc!$E$198))=0,"",INDEX('Dealer pipeline'!$S$4:$S$503,_calc!$E$198))&amp;". ")&amp;IF(LEN(IF(LEN(INDEX('Dealer pipeline'!$T$4:$T$503,_calc!$E$198))=0,"",INDEX('Dealer pipeline'!$T$4:$T$503,_calc!$E$198)))=0,"",IF(LEN(INDEX('Dealer pipeline'!$T$4:$T$503,_calc!$E$198))=0,"",INDEX('Dealer pipeline'!$T$4:$T$503,_calc!$E$198)))),TRIM(IF(LEN(IF(LEN(INDEX('My equipment'!$C$4:$C$503,(_calc!$E$198-500)))=0,"",INDEX('My equipment'!$C$4:$C$503,(_calc!$E$198-500))))=0,"","Model: "&amp;IF(LEN(INDEX('My equipment'!$C$4:$C$503,(_calc!$E$198-500)))=0,"",INDEX('My equipment'!$C$4:$C$503,(_calc!$E$198-500)))&amp;". ")&amp;IF(LEN(IF(LEN(INDEX('My equipment'!$D$4:$D$503,(_calc!$E$198-500)))=0,"",INDEX('My equipment'!$D$4:$D$503,(_calc!$E$198-500))))=0,"","Serial: "&amp;IF(LEN(INDEX('My equipment'!$D$4:$D$503,(_calc!$E$198-500)))=0,"",INDEX('My equipment'!$D$4:$D$503,(_calc!$E$198-500)))&amp;". ")&amp;IF(LEN(IF(ISNUMBER(INDEX('My equipment'!$J$4:$J$503,(_calc!$E$198-500))),TEXT(INDEX('My equipment'!$J$4:$J$503,(_calc!$E$198-500)),"yyyy-mm-dd"),""))=0,"","Parts end: "&amp;IF(ISNUMBER(INDEX('My equipment'!$J$4:$J$503,(_calc!$E$198-500))),TEXT(INDEX('My equipment'!$J$4:$J$503,(_calc!$E$198-500)),"yyyy-mm-dd"),"")&amp;". ")&amp;IF(LEN(IF(ISNUMBER(INDEX('My equipment'!$L$4:$L$503,(_calc!$E$198-500))),TEXT(INDEX('My equipment'!$L$4:$L$503,(_calc!$E$198-500)),"yyyy-mm-dd"),""))=0,"","Labor end: "&amp;IF(ISNUMBER(INDEX('My equipment'!$L$4:$L$503,(_calc!$E$198-500))),TEXT(INDEX('My equipment'!$L$4:$L$503,(_calc!$E$198-500)),"yyyy-mm-dd"),"")&amp;". ")&amp;IF(LEN(IF(ISNUMBER(INDEX('My equipment'!$P$4:$P$503,(_calc!$E$198-500))),TEXT(INDEX('My equipment'!$P$4:$P$503,(_calc!$E$198-500)),"yyyy-mm-dd"),""))=0,"","Check by: "&amp;IF(ISNUMBER(INDEX('My equipment'!$P$4:$P$503,(_calc!$E$198-500))),TEXT(INDEX('My equipment'!$P$4:$P$503,(_calc!$E$198-500)),"yyyy-mm-dd"),"")&amp;". ")&amp;IF(LEN(IF(LEN(INDEX('My equipment'!$Q$4:$Q$503,(_calc!$E$198-500)))=0,"",INDEX('My equipment'!$Q$4:$Q$503,(_calc!$E$198-500))))=0,"","Claim status: "&amp;IF(LEN(INDEX('My equipment'!$Q$4:$Q$503,(_calc!$E$198-500)))=0,"",INDEX('My equipment'!$Q$4:$Q$503,(_calc!$E$198-500)))&amp;". ")&amp;IF(LEN(IF(LEN(INDEX('My equipment'!$R$4:$R$503,(_calc!$E$198-500)))=0,"",INDEX('My equipment'!$R$4:$R$503,(_calc!$E$198-500))))=0,"","Claims contact: "&amp;IF(LEN(INDEX('My equipment'!$R$4:$R$503,(_calc!$E$198-500)))=0,"",INDEX('My equipment'!$R$4:$R$503,(_calc!$E$198-500)))&amp;". ")&amp;IF(LEN(IF(LEN(INDEX('My equipment'!$S$4:$S$503,(_calc!$E$198-500)))=0,"",INDEX('My equipment'!$S$4:$S$503,(_calc!$E$198-500))))=0,"","Claims email: "&amp;IF(LEN(INDEX('My equipment'!$S$4:$S$503,(_calc!$E$198-500)))=0,"",INDEX('My equipment'!$S$4:$S$503,(_calc!$E$198-500)))&amp;". ")&amp;IF(LEN(IF(LEN(INDEX('My equipment'!$U$4:$U$503,(_calc!$E$198-500)))=0,"",INDEX('My equipment'!$U$4:$U$503,(_calc!$E$198-500))))=0,"","Registered: "&amp;IF(LEN(INDEX('My equipment'!$U$4:$U$503,(_calc!$E$198-500)))=0,"",INDEX('My equipment'!$U$4:$U$503,(_calc!$E$198-500)))&amp;". ")&amp;IF(LEN(IF(LEN(INDEX('My equipment'!$V$4:$V$503,(_calc!$E$198-500)))=0,"",INDEX('My equipment'!$V$4:$V$503,(_calc!$E$198-500))))=0,"","Proof on file: "&amp;IF(LEN(INDEX('My equipment'!$V$4:$V$503,(_calc!$E$198-500)))=0,"",INDEX('My equipment'!$V$4:$V$503,(_calc!$E$198-500)))&amp;". ")&amp;IF(LEN(IF(LEN(INDEX('My equipment'!$W$4:$W$503,(_calc!$E$198-500)))=0,"",INDEX('My equipment'!$W$4:$W$503,(_calc!$E$198-500))))=0,"","Claim ref: "&amp;IF(LEN(INDEX('My equipment'!$W$4:$W$503,(_calc!$E$198-500)))=0,"",INDEX('My equipment'!$W$4:$W$503,(_calc!$E$198-500)))&amp;". ")&amp;IF(LEN(IF(LEN(INDEX('My equipment'!$Y$4:$Y$503,(_calc!$E$198-500)))=0,"",INDEX('My equipment'!$Y$4:$Y$503,(_calc!$E$198-500))))=0,"",IF(LEN(INDEX('My equipment'!$Y$4:$Y$503,(_calc!$E$198-500)))=0,"",INDEX('My equipment'!$Y$4:$Y$503,(_calc!$E$198-500)))))))</f>
        <v/>
      </c>
      <c r="G196" s="54">
        <f>IF(_calc!$E$198="","",IF(_calc!$E$198&lt;=500,"",IF(LEN(INDEX('My equipment'!$X$4:$X$503,(_calc!$E$198-500)))=0,"",INDEX('My equipment'!$X$4:$X$503,(_calc!$E$198-500)))))</f>
        <v/>
      </c>
      <c r="K196" s="54">
        <f>IF(_calc!$E$198="","",IF(_calc!$E$198&lt;=500,"",IF(LEN(INDEX('My equipment'!$T$4:$T$503,(_calc!$E$198-500)))=0,"",INDEX('My equipment'!$T$4:$T$503,(_calc!$E$198-500)))))</f>
        <v/>
      </c>
    </row>
    <row r="197">
      <c r="A197" s="54">
        <f>IF(_calc!$E$199="","",IF(_calc!$E$199&lt;=500,"Warranty – "&amp;IF(LEN(INDEX('Dealer pipeline'!$C$4:$C$503,_calc!$E$199))=0,"",INDEX('Dealer pipeline'!$C$4:$C$503,_calc!$E$199))&amp;" – "&amp;IF(LEN(INDEX('Dealer pipeline'!$D$4:$D$503,_calc!$E$199))=0,"",INDEX('Dealer pipeline'!$D$4:$D$503,_calc!$E$199))&amp;" – "&amp;IF(LEN(INDEX('Dealer pipeline'!$A$4:$A$503,_calc!$E$199))=0,"",INDEX('Dealer pipeline'!$A$4:$A$503,_calc!$E$199)),"Warranty – "&amp;IF(LEN(INDEX('My equipment'!$A$4:$A$503,(_calc!$E$199-500)))=0,"",INDEX('My equipment'!$A$4:$A$503,(_calc!$E$199-500)))&amp;" – "&amp;IF(LEN(INDEX('My equipment'!$D$4:$D$503,(_calc!$E$199-500)))=0,"",INDEX('My equipment'!$D$4:$D$503,(_calc!$E$199-500)))))</f>
        <v/>
      </c>
      <c r="B197" s="54">
        <f>IF(_calc!$E$199="","",IF(_calc!$E$199&lt;=500,IF(ISNUMBER(INDEX('Dealer pipeline'!$M$4:$M$503,_calc!$E$199)),TEXT(INDEX('Dealer pipeline'!$M$4:$M$503,_calc!$E$199),"yyyy-mm-dd"),""),IF(ISNUMBER(INDEX('My equipment'!$M$4:$M$503,(_calc!$E$199-500))),TEXT(INDEX('My equipment'!$M$4:$M$503,(_calc!$E$199-500)),"yyyy-mm-dd"),"")))</f>
        <v/>
      </c>
      <c r="C197" s="54">
        <f>IF(_calc!$E$199="","",IF(_calc!$E$199&lt;=500,"Warranty","Warranty"))</f>
        <v/>
      </c>
      <c r="D197" s="54">
        <f>IF(_calc!$E$199="","",IF(_calc!$E$199&lt;=500,IF(ISNUMBER(INDEX('Dealer pipeline'!$H$4:$H$503,_calc!$E$199)),TEXT(INDEX('Dealer pipeline'!$H$4:$H$503,_calc!$E$199),"yyyy-mm-dd"),""),IF(ISNUMBER(INDEX('My equipment'!$H$4:$H$503,(_calc!$E$199-500))),TEXT(INDEX('My equipment'!$H$4:$H$503,(_calc!$E$199-500)),"yyyy-mm-dd"),"")))</f>
        <v/>
      </c>
      <c r="F197" s="54">
        <f>IF(_calc!$E$199="","",IF(_calc!$E$199&lt;=500,TRIM(IF(LEN(IF(LEN(INDEX('Dealer pipeline'!$A$4:$A$503,_calc!$E$199))=0,"",INDEX('Dealer pipeline'!$A$4:$A$503,_calc!$E$199)))=0,"","Customer: "&amp;IF(LEN(INDEX('Dealer pipeline'!$A$4:$A$503,_calc!$E$199))=0,"",INDEX('Dealer pipeline'!$A$4:$A$503,_calc!$E$199))&amp;". ")&amp;IF(LEN(IF(LEN(INDEX('Dealer pipeline'!$B$4:$B$503,_calc!$E$199))=0,"",INDEX('Dealer pipeline'!$B$4:$B$503,_calc!$E$199)))=0,"","Contact: "&amp;IF(LEN(INDEX('Dealer pipeline'!$B$4:$B$503,_calc!$E$199))=0,"",INDEX('Dealer pipeline'!$B$4:$B$503,_calc!$E$199))&amp;". ")&amp;IF(LEN(IF(LEN(INDEX('Dealer pipeline'!$D$4:$D$503,_calc!$E$199))=0,"",INDEX('Dealer pipeline'!$D$4:$D$503,_calc!$E$199)))=0,"","Serial: "&amp;IF(LEN(INDEX('Dealer pipeline'!$D$4:$D$503,_calc!$E$199))=0,"",INDEX('Dealer pipeline'!$D$4:$D$503,_calc!$E$199))&amp;". ")&amp;IF(LEN(IF(ISNUMBER(INDEX('Dealer pipeline'!$J$4:$J$503,_calc!$E$199)),TEXT(INDEX('Dealer pipeline'!$J$4:$J$503,_calc!$E$199),"yyyy-mm-dd"),""))=0,"","Parts end: "&amp;IF(ISNUMBER(INDEX('Dealer pipeline'!$J$4:$J$503,_calc!$E$199)),TEXT(INDEX('Dealer pipeline'!$J$4:$J$503,_calc!$E$199),"yyyy-mm-dd"),"")&amp;". ")&amp;IF(LEN(IF(ISNUMBER(INDEX('Dealer pipeline'!$L$4:$L$503,_calc!$E$199)),TEXT(INDEX('Dealer pipeline'!$L$4:$L$503,_calc!$E$199),"yyyy-mm-dd"),""))=0,"","Labor end: "&amp;IF(ISNUMBER(INDEX('Dealer pipeline'!$L$4:$L$503,_calc!$E$199)),TEXT(INDEX('Dealer pipeline'!$L$4:$L$503,_calc!$E$199),"yyyy-mm-dd"),"")&amp;". ")&amp;IF(LEN(IF(LEN(INDEX('Dealer pipeline'!$Q$4:$Q$503,_calc!$E$199))=0,"",INDEX('Dealer pipeline'!$Q$4:$Q$503,_calc!$E$199)))=0,"","Status: "&amp;IF(LEN(INDEX('Dealer pipeline'!$Q$4:$Q$503,_calc!$E$199))=0,"",INDEX('Dealer pipeline'!$Q$4:$Q$503,_calc!$E$199))&amp;". ")&amp;IF(LEN(IF(LEN(INDEX('Dealer pipeline'!$P$4:$P$503,_calc!$E$199))=0,"",INDEX('Dealer pipeline'!$P$4:$P$503,_calc!$E$199)))=0,"","Last touch: "&amp;IF(LEN(INDEX('Dealer pipeline'!$P$4:$P$503,_calc!$E$199))=0,"",INDEX('Dealer pipeline'!$P$4:$P$503,_calc!$E$199))&amp;". ")&amp;IF(LEN(IF(LEN(INDEX('Dealer pipeline'!$R$4:$R$503,_calc!$E$199))=0,"",INDEX('Dealer pipeline'!$R$4:$R$503,_calc!$E$199)))=0,"","Owner: "&amp;IF(LEN(INDEX('Dealer pipeline'!$R$4:$R$503,_calc!$E$199))=0,"",INDEX('Dealer pipeline'!$R$4:$R$503,_calc!$E$199))&amp;". ")&amp;IF(LEN(IF(LEN(INDEX('Dealer pipeline'!$S$4:$S$503,_calc!$E$199))=0,"",INDEX('Dealer pipeline'!$S$4:$S$503,_calc!$E$199)))=0,"","Backup: "&amp;IF(LEN(INDEX('Dealer pipeline'!$S$4:$S$503,_calc!$E$199))=0,"",INDEX('Dealer pipeline'!$S$4:$S$503,_calc!$E$199))&amp;". ")&amp;IF(LEN(IF(LEN(INDEX('Dealer pipeline'!$T$4:$T$503,_calc!$E$199))=0,"",INDEX('Dealer pipeline'!$T$4:$T$503,_calc!$E$199)))=0,"",IF(LEN(INDEX('Dealer pipeline'!$T$4:$T$503,_calc!$E$199))=0,"",INDEX('Dealer pipeline'!$T$4:$T$503,_calc!$E$199)))),TRIM(IF(LEN(IF(LEN(INDEX('My equipment'!$C$4:$C$503,(_calc!$E$199-500)))=0,"",INDEX('My equipment'!$C$4:$C$503,(_calc!$E$199-500))))=0,"","Model: "&amp;IF(LEN(INDEX('My equipment'!$C$4:$C$503,(_calc!$E$199-500)))=0,"",INDEX('My equipment'!$C$4:$C$503,(_calc!$E$199-500)))&amp;". ")&amp;IF(LEN(IF(LEN(INDEX('My equipment'!$D$4:$D$503,(_calc!$E$199-500)))=0,"",INDEX('My equipment'!$D$4:$D$503,(_calc!$E$199-500))))=0,"","Serial: "&amp;IF(LEN(INDEX('My equipment'!$D$4:$D$503,(_calc!$E$199-500)))=0,"",INDEX('My equipment'!$D$4:$D$503,(_calc!$E$199-500)))&amp;". ")&amp;IF(LEN(IF(ISNUMBER(INDEX('My equipment'!$J$4:$J$503,(_calc!$E$199-500))),TEXT(INDEX('My equipment'!$J$4:$J$503,(_calc!$E$199-500)),"yyyy-mm-dd"),""))=0,"","Parts end: "&amp;IF(ISNUMBER(INDEX('My equipment'!$J$4:$J$503,(_calc!$E$199-500))),TEXT(INDEX('My equipment'!$J$4:$J$503,(_calc!$E$199-500)),"yyyy-mm-dd"),"")&amp;". ")&amp;IF(LEN(IF(ISNUMBER(INDEX('My equipment'!$L$4:$L$503,(_calc!$E$199-500))),TEXT(INDEX('My equipment'!$L$4:$L$503,(_calc!$E$199-500)),"yyyy-mm-dd"),""))=0,"","Labor end: "&amp;IF(ISNUMBER(INDEX('My equipment'!$L$4:$L$503,(_calc!$E$199-500))),TEXT(INDEX('My equipment'!$L$4:$L$503,(_calc!$E$199-500)),"yyyy-mm-dd"),"")&amp;". ")&amp;IF(LEN(IF(ISNUMBER(INDEX('My equipment'!$P$4:$P$503,(_calc!$E$199-500))),TEXT(INDEX('My equipment'!$P$4:$P$503,(_calc!$E$199-500)),"yyyy-mm-dd"),""))=0,"","Check by: "&amp;IF(ISNUMBER(INDEX('My equipment'!$P$4:$P$503,(_calc!$E$199-500))),TEXT(INDEX('My equipment'!$P$4:$P$503,(_calc!$E$199-500)),"yyyy-mm-dd"),"")&amp;". ")&amp;IF(LEN(IF(LEN(INDEX('My equipment'!$Q$4:$Q$503,(_calc!$E$199-500)))=0,"",INDEX('My equipment'!$Q$4:$Q$503,(_calc!$E$199-500))))=0,"","Claim status: "&amp;IF(LEN(INDEX('My equipment'!$Q$4:$Q$503,(_calc!$E$199-500)))=0,"",INDEX('My equipment'!$Q$4:$Q$503,(_calc!$E$199-500)))&amp;". ")&amp;IF(LEN(IF(LEN(INDEX('My equipment'!$R$4:$R$503,(_calc!$E$199-500)))=0,"",INDEX('My equipment'!$R$4:$R$503,(_calc!$E$199-500))))=0,"","Claims contact: "&amp;IF(LEN(INDEX('My equipment'!$R$4:$R$503,(_calc!$E$199-500)))=0,"",INDEX('My equipment'!$R$4:$R$503,(_calc!$E$199-500)))&amp;". ")&amp;IF(LEN(IF(LEN(INDEX('My equipment'!$S$4:$S$503,(_calc!$E$199-500)))=0,"",INDEX('My equipment'!$S$4:$S$503,(_calc!$E$199-500))))=0,"","Claims email: "&amp;IF(LEN(INDEX('My equipment'!$S$4:$S$503,(_calc!$E$199-500)))=0,"",INDEX('My equipment'!$S$4:$S$503,(_calc!$E$199-500)))&amp;". ")&amp;IF(LEN(IF(LEN(INDEX('My equipment'!$U$4:$U$503,(_calc!$E$199-500)))=0,"",INDEX('My equipment'!$U$4:$U$503,(_calc!$E$199-500))))=0,"","Registered: "&amp;IF(LEN(INDEX('My equipment'!$U$4:$U$503,(_calc!$E$199-500)))=0,"",INDEX('My equipment'!$U$4:$U$503,(_calc!$E$199-500)))&amp;". ")&amp;IF(LEN(IF(LEN(INDEX('My equipment'!$V$4:$V$503,(_calc!$E$199-500)))=0,"",INDEX('My equipment'!$V$4:$V$503,(_calc!$E$199-500))))=0,"","Proof on file: "&amp;IF(LEN(INDEX('My equipment'!$V$4:$V$503,(_calc!$E$199-500)))=0,"",INDEX('My equipment'!$V$4:$V$503,(_calc!$E$199-500)))&amp;". ")&amp;IF(LEN(IF(LEN(INDEX('My equipment'!$W$4:$W$503,(_calc!$E$199-500)))=0,"",INDEX('My equipment'!$W$4:$W$503,(_calc!$E$199-500))))=0,"","Claim ref: "&amp;IF(LEN(INDEX('My equipment'!$W$4:$W$503,(_calc!$E$199-500)))=0,"",INDEX('My equipment'!$W$4:$W$503,(_calc!$E$199-500)))&amp;". ")&amp;IF(LEN(IF(LEN(INDEX('My equipment'!$Y$4:$Y$503,(_calc!$E$199-500)))=0,"",INDEX('My equipment'!$Y$4:$Y$503,(_calc!$E$199-500))))=0,"",IF(LEN(INDEX('My equipment'!$Y$4:$Y$503,(_calc!$E$199-500)))=0,"",INDEX('My equipment'!$Y$4:$Y$503,(_calc!$E$199-500)))))))</f>
        <v/>
      </c>
      <c r="G197" s="54">
        <f>IF(_calc!$E$199="","",IF(_calc!$E$199&lt;=500,"",IF(LEN(INDEX('My equipment'!$X$4:$X$503,(_calc!$E$199-500)))=0,"",INDEX('My equipment'!$X$4:$X$503,(_calc!$E$199-500)))))</f>
        <v/>
      </c>
      <c r="K197" s="54">
        <f>IF(_calc!$E$199="","",IF(_calc!$E$199&lt;=500,"",IF(LEN(INDEX('My equipment'!$T$4:$T$503,(_calc!$E$199-500)))=0,"",INDEX('My equipment'!$T$4:$T$503,(_calc!$E$199-500)))))</f>
        <v/>
      </c>
    </row>
    <row r="198">
      <c r="A198" s="54">
        <f>IF(_calc!$E$200="","",IF(_calc!$E$200&lt;=500,"Warranty – "&amp;IF(LEN(INDEX('Dealer pipeline'!$C$4:$C$503,_calc!$E$200))=0,"",INDEX('Dealer pipeline'!$C$4:$C$503,_calc!$E$200))&amp;" – "&amp;IF(LEN(INDEX('Dealer pipeline'!$D$4:$D$503,_calc!$E$200))=0,"",INDEX('Dealer pipeline'!$D$4:$D$503,_calc!$E$200))&amp;" – "&amp;IF(LEN(INDEX('Dealer pipeline'!$A$4:$A$503,_calc!$E$200))=0,"",INDEX('Dealer pipeline'!$A$4:$A$503,_calc!$E$200)),"Warranty – "&amp;IF(LEN(INDEX('My equipment'!$A$4:$A$503,(_calc!$E$200-500)))=0,"",INDEX('My equipment'!$A$4:$A$503,(_calc!$E$200-500)))&amp;" – "&amp;IF(LEN(INDEX('My equipment'!$D$4:$D$503,(_calc!$E$200-500)))=0,"",INDEX('My equipment'!$D$4:$D$503,(_calc!$E$200-500)))))</f>
        <v/>
      </c>
      <c r="B198" s="54">
        <f>IF(_calc!$E$200="","",IF(_calc!$E$200&lt;=500,IF(ISNUMBER(INDEX('Dealer pipeline'!$M$4:$M$503,_calc!$E$200)),TEXT(INDEX('Dealer pipeline'!$M$4:$M$503,_calc!$E$200),"yyyy-mm-dd"),""),IF(ISNUMBER(INDEX('My equipment'!$M$4:$M$503,(_calc!$E$200-500))),TEXT(INDEX('My equipment'!$M$4:$M$503,(_calc!$E$200-500)),"yyyy-mm-dd"),"")))</f>
        <v/>
      </c>
      <c r="C198" s="54">
        <f>IF(_calc!$E$200="","",IF(_calc!$E$200&lt;=500,"Warranty","Warranty"))</f>
        <v/>
      </c>
      <c r="D198" s="54">
        <f>IF(_calc!$E$200="","",IF(_calc!$E$200&lt;=500,IF(ISNUMBER(INDEX('Dealer pipeline'!$H$4:$H$503,_calc!$E$200)),TEXT(INDEX('Dealer pipeline'!$H$4:$H$503,_calc!$E$200),"yyyy-mm-dd"),""),IF(ISNUMBER(INDEX('My equipment'!$H$4:$H$503,(_calc!$E$200-500))),TEXT(INDEX('My equipment'!$H$4:$H$503,(_calc!$E$200-500)),"yyyy-mm-dd"),"")))</f>
        <v/>
      </c>
      <c r="F198" s="54">
        <f>IF(_calc!$E$200="","",IF(_calc!$E$200&lt;=500,TRIM(IF(LEN(IF(LEN(INDEX('Dealer pipeline'!$A$4:$A$503,_calc!$E$200))=0,"",INDEX('Dealer pipeline'!$A$4:$A$503,_calc!$E$200)))=0,"","Customer: "&amp;IF(LEN(INDEX('Dealer pipeline'!$A$4:$A$503,_calc!$E$200))=0,"",INDEX('Dealer pipeline'!$A$4:$A$503,_calc!$E$200))&amp;". ")&amp;IF(LEN(IF(LEN(INDEX('Dealer pipeline'!$B$4:$B$503,_calc!$E$200))=0,"",INDEX('Dealer pipeline'!$B$4:$B$503,_calc!$E$200)))=0,"","Contact: "&amp;IF(LEN(INDEX('Dealer pipeline'!$B$4:$B$503,_calc!$E$200))=0,"",INDEX('Dealer pipeline'!$B$4:$B$503,_calc!$E$200))&amp;". ")&amp;IF(LEN(IF(LEN(INDEX('Dealer pipeline'!$D$4:$D$503,_calc!$E$200))=0,"",INDEX('Dealer pipeline'!$D$4:$D$503,_calc!$E$200)))=0,"","Serial: "&amp;IF(LEN(INDEX('Dealer pipeline'!$D$4:$D$503,_calc!$E$200))=0,"",INDEX('Dealer pipeline'!$D$4:$D$503,_calc!$E$200))&amp;". ")&amp;IF(LEN(IF(ISNUMBER(INDEX('Dealer pipeline'!$J$4:$J$503,_calc!$E$200)),TEXT(INDEX('Dealer pipeline'!$J$4:$J$503,_calc!$E$200),"yyyy-mm-dd"),""))=0,"","Parts end: "&amp;IF(ISNUMBER(INDEX('Dealer pipeline'!$J$4:$J$503,_calc!$E$200)),TEXT(INDEX('Dealer pipeline'!$J$4:$J$503,_calc!$E$200),"yyyy-mm-dd"),"")&amp;". ")&amp;IF(LEN(IF(ISNUMBER(INDEX('Dealer pipeline'!$L$4:$L$503,_calc!$E$200)),TEXT(INDEX('Dealer pipeline'!$L$4:$L$503,_calc!$E$200),"yyyy-mm-dd"),""))=0,"","Labor end: "&amp;IF(ISNUMBER(INDEX('Dealer pipeline'!$L$4:$L$503,_calc!$E$200)),TEXT(INDEX('Dealer pipeline'!$L$4:$L$503,_calc!$E$200),"yyyy-mm-dd"),"")&amp;". ")&amp;IF(LEN(IF(LEN(INDEX('Dealer pipeline'!$Q$4:$Q$503,_calc!$E$200))=0,"",INDEX('Dealer pipeline'!$Q$4:$Q$503,_calc!$E$200)))=0,"","Status: "&amp;IF(LEN(INDEX('Dealer pipeline'!$Q$4:$Q$503,_calc!$E$200))=0,"",INDEX('Dealer pipeline'!$Q$4:$Q$503,_calc!$E$200))&amp;". ")&amp;IF(LEN(IF(LEN(INDEX('Dealer pipeline'!$P$4:$P$503,_calc!$E$200))=0,"",INDEX('Dealer pipeline'!$P$4:$P$503,_calc!$E$200)))=0,"","Last touch: "&amp;IF(LEN(INDEX('Dealer pipeline'!$P$4:$P$503,_calc!$E$200))=0,"",INDEX('Dealer pipeline'!$P$4:$P$503,_calc!$E$200))&amp;". ")&amp;IF(LEN(IF(LEN(INDEX('Dealer pipeline'!$R$4:$R$503,_calc!$E$200))=0,"",INDEX('Dealer pipeline'!$R$4:$R$503,_calc!$E$200)))=0,"","Owner: "&amp;IF(LEN(INDEX('Dealer pipeline'!$R$4:$R$503,_calc!$E$200))=0,"",INDEX('Dealer pipeline'!$R$4:$R$503,_calc!$E$200))&amp;". ")&amp;IF(LEN(IF(LEN(INDEX('Dealer pipeline'!$S$4:$S$503,_calc!$E$200))=0,"",INDEX('Dealer pipeline'!$S$4:$S$503,_calc!$E$200)))=0,"","Backup: "&amp;IF(LEN(INDEX('Dealer pipeline'!$S$4:$S$503,_calc!$E$200))=0,"",INDEX('Dealer pipeline'!$S$4:$S$503,_calc!$E$200))&amp;". ")&amp;IF(LEN(IF(LEN(INDEX('Dealer pipeline'!$T$4:$T$503,_calc!$E$200))=0,"",INDEX('Dealer pipeline'!$T$4:$T$503,_calc!$E$200)))=0,"",IF(LEN(INDEX('Dealer pipeline'!$T$4:$T$503,_calc!$E$200))=0,"",INDEX('Dealer pipeline'!$T$4:$T$503,_calc!$E$200)))),TRIM(IF(LEN(IF(LEN(INDEX('My equipment'!$C$4:$C$503,(_calc!$E$200-500)))=0,"",INDEX('My equipment'!$C$4:$C$503,(_calc!$E$200-500))))=0,"","Model: "&amp;IF(LEN(INDEX('My equipment'!$C$4:$C$503,(_calc!$E$200-500)))=0,"",INDEX('My equipment'!$C$4:$C$503,(_calc!$E$200-500)))&amp;". ")&amp;IF(LEN(IF(LEN(INDEX('My equipment'!$D$4:$D$503,(_calc!$E$200-500)))=0,"",INDEX('My equipment'!$D$4:$D$503,(_calc!$E$200-500))))=0,"","Serial: "&amp;IF(LEN(INDEX('My equipment'!$D$4:$D$503,(_calc!$E$200-500)))=0,"",INDEX('My equipment'!$D$4:$D$503,(_calc!$E$200-500)))&amp;". ")&amp;IF(LEN(IF(ISNUMBER(INDEX('My equipment'!$J$4:$J$503,(_calc!$E$200-500))),TEXT(INDEX('My equipment'!$J$4:$J$503,(_calc!$E$200-500)),"yyyy-mm-dd"),""))=0,"","Parts end: "&amp;IF(ISNUMBER(INDEX('My equipment'!$J$4:$J$503,(_calc!$E$200-500))),TEXT(INDEX('My equipment'!$J$4:$J$503,(_calc!$E$200-500)),"yyyy-mm-dd"),"")&amp;". ")&amp;IF(LEN(IF(ISNUMBER(INDEX('My equipment'!$L$4:$L$503,(_calc!$E$200-500))),TEXT(INDEX('My equipment'!$L$4:$L$503,(_calc!$E$200-500)),"yyyy-mm-dd"),""))=0,"","Labor end: "&amp;IF(ISNUMBER(INDEX('My equipment'!$L$4:$L$503,(_calc!$E$200-500))),TEXT(INDEX('My equipment'!$L$4:$L$503,(_calc!$E$200-500)),"yyyy-mm-dd"),"")&amp;". ")&amp;IF(LEN(IF(ISNUMBER(INDEX('My equipment'!$P$4:$P$503,(_calc!$E$200-500))),TEXT(INDEX('My equipment'!$P$4:$P$503,(_calc!$E$200-500)),"yyyy-mm-dd"),""))=0,"","Check by: "&amp;IF(ISNUMBER(INDEX('My equipment'!$P$4:$P$503,(_calc!$E$200-500))),TEXT(INDEX('My equipment'!$P$4:$P$503,(_calc!$E$200-500)),"yyyy-mm-dd"),"")&amp;". ")&amp;IF(LEN(IF(LEN(INDEX('My equipment'!$Q$4:$Q$503,(_calc!$E$200-500)))=0,"",INDEX('My equipment'!$Q$4:$Q$503,(_calc!$E$200-500))))=0,"","Claim status: "&amp;IF(LEN(INDEX('My equipment'!$Q$4:$Q$503,(_calc!$E$200-500)))=0,"",INDEX('My equipment'!$Q$4:$Q$503,(_calc!$E$200-500)))&amp;". ")&amp;IF(LEN(IF(LEN(INDEX('My equipment'!$R$4:$R$503,(_calc!$E$200-500)))=0,"",INDEX('My equipment'!$R$4:$R$503,(_calc!$E$200-500))))=0,"","Claims contact: "&amp;IF(LEN(INDEX('My equipment'!$R$4:$R$503,(_calc!$E$200-500)))=0,"",INDEX('My equipment'!$R$4:$R$503,(_calc!$E$200-500)))&amp;". ")&amp;IF(LEN(IF(LEN(INDEX('My equipment'!$S$4:$S$503,(_calc!$E$200-500)))=0,"",INDEX('My equipment'!$S$4:$S$503,(_calc!$E$200-500))))=0,"","Claims email: "&amp;IF(LEN(INDEX('My equipment'!$S$4:$S$503,(_calc!$E$200-500)))=0,"",INDEX('My equipment'!$S$4:$S$503,(_calc!$E$200-500)))&amp;". ")&amp;IF(LEN(IF(LEN(INDEX('My equipment'!$U$4:$U$503,(_calc!$E$200-500)))=0,"",INDEX('My equipment'!$U$4:$U$503,(_calc!$E$200-500))))=0,"","Registered: "&amp;IF(LEN(INDEX('My equipment'!$U$4:$U$503,(_calc!$E$200-500)))=0,"",INDEX('My equipment'!$U$4:$U$503,(_calc!$E$200-500)))&amp;". ")&amp;IF(LEN(IF(LEN(INDEX('My equipment'!$V$4:$V$503,(_calc!$E$200-500)))=0,"",INDEX('My equipment'!$V$4:$V$503,(_calc!$E$200-500))))=0,"","Proof on file: "&amp;IF(LEN(INDEX('My equipment'!$V$4:$V$503,(_calc!$E$200-500)))=0,"",INDEX('My equipment'!$V$4:$V$503,(_calc!$E$200-500)))&amp;". ")&amp;IF(LEN(IF(LEN(INDEX('My equipment'!$W$4:$W$503,(_calc!$E$200-500)))=0,"",INDEX('My equipment'!$W$4:$W$503,(_calc!$E$200-500))))=0,"","Claim ref: "&amp;IF(LEN(INDEX('My equipment'!$W$4:$W$503,(_calc!$E$200-500)))=0,"",INDEX('My equipment'!$W$4:$W$503,(_calc!$E$200-500)))&amp;". ")&amp;IF(LEN(IF(LEN(INDEX('My equipment'!$Y$4:$Y$503,(_calc!$E$200-500)))=0,"",INDEX('My equipment'!$Y$4:$Y$503,(_calc!$E$200-500))))=0,"",IF(LEN(INDEX('My equipment'!$Y$4:$Y$503,(_calc!$E$200-500)))=0,"",INDEX('My equipment'!$Y$4:$Y$503,(_calc!$E$200-500)))))))</f>
        <v/>
      </c>
      <c r="G198" s="54">
        <f>IF(_calc!$E$200="","",IF(_calc!$E$200&lt;=500,"",IF(LEN(INDEX('My equipment'!$X$4:$X$503,(_calc!$E$200-500)))=0,"",INDEX('My equipment'!$X$4:$X$503,(_calc!$E$200-500)))))</f>
        <v/>
      </c>
      <c r="K198" s="54">
        <f>IF(_calc!$E$200="","",IF(_calc!$E$200&lt;=500,"",IF(LEN(INDEX('My equipment'!$T$4:$T$503,(_calc!$E$200-500)))=0,"",INDEX('My equipment'!$T$4:$T$503,(_calc!$E$200-500)))))</f>
        <v/>
      </c>
    </row>
    <row r="199">
      <c r="A199" s="54">
        <f>IF(_calc!$E$201="","",IF(_calc!$E$201&lt;=500,"Warranty – "&amp;IF(LEN(INDEX('Dealer pipeline'!$C$4:$C$503,_calc!$E$201))=0,"",INDEX('Dealer pipeline'!$C$4:$C$503,_calc!$E$201))&amp;" – "&amp;IF(LEN(INDEX('Dealer pipeline'!$D$4:$D$503,_calc!$E$201))=0,"",INDEX('Dealer pipeline'!$D$4:$D$503,_calc!$E$201))&amp;" – "&amp;IF(LEN(INDEX('Dealer pipeline'!$A$4:$A$503,_calc!$E$201))=0,"",INDEX('Dealer pipeline'!$A$4:$A$503,_calc!$E$201)),"Warranty – "&amp;IF(LEN(INDEX('My equipment'!$A$4:$A$503,(_calc!$E$201-500)))=0,"",INDEX('My equipment'!$A$4:$A$503,(_calc!$E$201-500)))&amp;" – "&amp;IF(LEN(INDEX('My equipment'!$D$4:$D$503,(_calc!$E$201-500)))=0,"",INDEX('My equipment'!$D$4:$D$503,(_calc!$E$201-500)))))</f>
        <v/>
      </c>
      <c r="B199" s="54">
        <f>IF(_calc!$E$201="","",IF(_calc!$E$201&lt;=500,IF(ISNUMBER(INDEX('Dealer pipeline'!$M$4:$M$503,_calc!$E$201)),TEXT(INDEX('Dealer pipeline'!$M$4:$M$503,_calc!$E$201),"yyyy-mm-dd"),""),IF(ISNUMBER(INDEX('My equipment'!$M$4:$M$503,(_calc!$E$201-500))),TEXT(INDEX('My equipment'!$M$4:$M$503,(_calc!$E$201-500)),"yyyy-mm-dd"),"")))</f>
        <v/>
      </c>
      <c r="C199" s="54">
        <f>IF(_calc!$E$201="","",IF(_calc!$E$201&lt;=500,"Warranty","Warranty"))</f>
        <v/>
      </c>
      <c r="D199" s="54">
        <f>IF(_calc!$E$201="","",IF(_calc!$E$201&lt;=500,IF(ISNUMBER(INDEX('Dealer pipeline'!$H$4:$H$503,_calc!$E$201)),TEXT(INDEX('Dealer pipeline'!$H$4:$H$503,_calc!$E$201),"yyyy-mm-dd"),""),IF(ISNUMBER(INDEX('My equipment'!$H$4:$H$503,(_calc!$E$201-500))),TEXT(INDEX('My equipment'!$H$4:$H$503,(_calc!$E$201-500)),"yyyy-mm-dd"),"")))</f>
        <v/>
      </c>
      <c r="F199" s="54">
        <f>IF(_calc!$E$201="","",IF(_calc!$E$201&lt;=500,TRIM(IF(LEN(IF(LEN(INDEX('Dealer pipeline'!$A$4:$A$503,_calc!$E$201))=0,"",INDEX('Dealer pipeline'!$A$4:$A$503,_calc!$E$201)))=0,"","Customer: "&amp;IF(LEN(INDEX('Dealer pipeline'!$A$4:$A$503,_calc!$E$201))=0,"",INDEX('Dealer pipeline'!$A$4:$A$503,_calc!$E$201))&amp;". ")&amp;IF(LEN(IF(LEN(INDEX('Dealer pipeline'!$B$4:$B$503,_calc!$E$201))=0,"",INDEX('Dealer pipeline'!$B$4:$B$503,_calc!$E$201)))=0,"","Contact: "&amp;IF(LEN(INDEX('Dealer pipeline'!$B$4:$B$503,_calc!$E$201))=0,"",INDEX('Dealer pipeline'!$B$4:$B$503,_calc!$E$201))&amp;". ")&amp;IF(LEN(IF(LEN(INDEX('Dealer pipeline'!$D$4:$D$503,_calc!$E$201))=0,"",INDEX('Dealer pipeline'!$D$4:$D$503,_calc!$E$201)))=0,"","Serial: "&amp;IF(LEN(INDEX('Dealer pipeline'!$D$4:$D$503,_calc!$E$201))=0,"",INDEX('Dealer pipeline'!$D$4:$D$503,_calc!$E$201))&amp;". ")&amp;IF(LEN(IF(ISNUMBER(INDEX('Dealer pipeline'!$J$4:$J$503,_calc!$E$201)),TEXT(INDEX('Dealer pipeline'!$J$4:$J$503,_calc!$E$201),"yyyy-mm-dd"),""))=0,"","Parts end: "&amp;IF(ISNUMBER(INDEX('Dealer pipeline'!$J$4:$J$503,_calc!$E$201)),TEXT(INDEX('Dealer pipeline'!$J$4:$J$503,_calc!$E$201),"yyyy-mm-dd"),"")&amp;". ")&amp;IF(LEN(IF(ISNUMBER(INDEX('Dealer pipeline'!$L$4:$L$503,_calc!$E$201)),TEXT(INDEX('Dealer pipeline'!$L$4:$L$503,_calc!$E$201),"yyyy-mm-dd"),""))=0,"","Labor end: "&amp;IF(ISNUMBER(INDEX('Dealer pipeline'!$L$4:$L$503,_calc!$E$201)),TEXT(INDEX('Dealer pipeline'!$L$4:$L$503,_calc!$E$201),"yyyy-mm-dd"),"")&amp;". ")&amp;IF(LEN(IF(LEN(INDEX('Dealer pipeline'!$Q$4:$Q$503,_calc!$E$201))=0,"",INDEX('Dealer pipeline'!$Q$4:$Q$503,_calc!$E$201)))=0,"","Status: "&amp;IF(LEN(INDEX('Dealer pipeline'!$Q$4:$Q$503,_calc!$E$201))=0,"",INDEX('Dealer pipeline'!$Q$4:$Q$503,_calc!$E$201))&amp;". ")&amp;IF(LEN(IF(LEN(INDEX('Dealer pipeline'!$P$4:$P$503,_calc!$E$201))=0,"",INDEX('Dealer pipeline'!$P$4:$P$503,_calc!$E$201)))=0,"","Last touch: "&amp;IF(LEN(INDEX('Dealer pipeline'!$P$4:$P$503,_calc!$E$201))=0,"",INDEX('Dealer pipeline'!$P$4:$P$503,_calc!$E$201))&amp;". ")&amp;IF(LEN(IF(LEN(INDEX('Dealer pipeline'!$R$4:$R$503,_calc!$E$201))=0,"",INDEX('Dealer pipeline'!$R$4:$R$503,_calc!$E$201)))=0,"","Owner: "&amp;IF(LEN(INDEX('Dealer pipeline'!$R$4:$R$503,_calc!$E$201))=0,"",INDEX('Dealer pipeline'!$R$4:$R$503,_calc!$E$201))&amp;". ")&amp;IF(LEN(IF(LEN(INDEX('Dealer pipeline'!$S$4:$S$503,_calc!$E$201))=0,"",INDEX('Dealer pipeline'!$S$4:$S$503,_calc!$E$201)))=0,"","Backup: "&amp;IF(LEN(INDEX('Dealer pipeline'!$S$4:$S$503,_calc!$E$201))=0,"",INDEX('Dealer pipeline'!$S$4:$S$503,_calc!$E$201))&amp;". ")&amp;IF(LEN(IF(LEN(INDEX('Dealer pipeline'!$T$4:$T$503,_calc!$E$201))=0,"",INDEX('Dealer pipeline'!$T$4:$T$503,_calc!$E$201)))=0,"",IF(LEN(INDEX('Dealer pipeline'!$T$4:$T$503,_calc!$E$201))=0,"",INDEX('Dealer pipeline'!$T$4:$T$503,_calc!$E$201)))),TRIM(IF(LEN(IF(LEN(INDEX('My equipment'!$C$4:$C$503,(_calc!$E$201-500)))=0,"",INDEX('My equipment'!$C$4:$C$503,(_calc!$E$201-500))))=0,"","Model: "&amp;IF(LEN(INDEX('My equipment'!$C$4:$C$503,(_calc!$E$201-500)))=0,"",INDEX('My equipment'!$C$4:$C$503,(_calc!$E$201-500)))&amp;". ")&amp;IF(LEN(IF(LEN(INDEX('My equipment'!$D$4:$D$503,(_calc!$E$201-500)))=0,"",INDEX('My equipment'!$D$4:$D$503,(_calc!$E$201-500))))=0,"","Serial: "&amp;IF(LEN(INDEX('My equipment'!$D$4:$D$503,(_calc!$E$201-500)))=0,"",INDEX('My equipment'!$D$4:$D$503,(_calc!$E$201-500)))&amp;". ")&amp;IF(LEN(IF(ISNUMBER(INDEX('My equipment'!$J$4:$J$503,(_calc!$E$201-500))),TEXT(INDEX('My equipment'!$J$4:$J$503,(_calc!$E$201-500)),"yyyy-mm-dd"),""))=0,"","Parts end: "&amp;IF(ISNUMBER(INDEX('My equipment'!$J$4:$J$503,(_calc!$E$201-500))),TEXT(INDEX('My equipment'!$J$4:$J$503,(_calc!$E$201-500)),"yyyy-mm-dd"),"")&amp;". ")&amp;IF(LEN(IF(ISNUMBER(INDEX('My equipment'!$L$4:$L$503,(_calc!$E$201-500))),TEXT(INDEX('My equipment'!$L$4:$L$503,(_calc!$E$201-500)),"yyyy-mm-dd"),""))=0,"","Labor end: "&amp;IF(ISNUMBER(INDEX('My equipment'!$L$4:$L$503,(_calc!$E$201-500))),TEXT(INDEX('My equipment'!$L$4:$L$503,(_calc!$E$201-500)),"yyyy-mm-dd"),"")&amp;". ")&amp;IF(LEN(IF(ISNUMBER(INDEX('My equipment'!$P$4:$P$503,(_calc!$E$201-500))),TEXT(INDEX('My equipment'!$P$4:$P$503,(_calc!$E$201-500)),"yyyy-mm-dd"),""))=0,"","Check by: "&amp;IF(ISNUMBER(INDEX('My equipment'!$P$4:$P$503,(_calc!$E$201-500))),TEXT(INDEX('My equipment'!$P$4:$P$503,(_calc!$E$201-500)),"yyyy-mm-dd"),"")&amp;". ")&amp;IF(LEN(IF(LEN(INDEX('My equipment'!$Q$4:$Q$503,(_calc!$E$201-500)))=0,"",INDEX('My equipment'!$Q$4:$Q$503,(_calc!$E$201-500))))=0,"","Claim status: "&amp;IF(LEN(INDEX('My equipment'!$Q$4:$Q$503,(_calc!$E$201-500)))=0,"",INDEX('My equipment'!$Q$4:$Q$503,(_calc!$E$201-500)))&amp;". ")&amp;IF(LEN(IF(LEN(INDEX('My equipment'!$R$4:$R$503,(_calc!$E$201-500)))=0,"",INDEX('My equipment'!$R$4:$R$503,(_calc!$E$201-500))))=0,"","Claims contact: "&amp;IF(LEN(INDEX('My equipment'!$R$4:$R$503,(_calc!$E$201-500)))=0,"",INDEX('My equipment'!$R$4:$R$503,(_calc!$E$201-500)))&amp;". ")&amp;IF(LEN(IF(LEN(INDEX('My equipment'!$S$4:$S$503,(_calc!$E$201-500)))=0,"",INDEX('My equipment'!$S$4:$S$503,(_calc!$E$201-500))))=0,"","Claims email: "&amp;IF(LEN(INDEX('My equipment'!$S$4:$S$503,(_calc!$E$201-500)))=0,"",INDEX('My equipment'!$S$4:$S$503,(_calc!$E$201-500)))&amp;". ")&amp;IF(LEN(IF(LEN(INDEX('My equipment'!$U$4:$U$503,(_calc!$E$201-500)))=0,"",INDEX('My equipment'!$U$4:$U$503,(_calc!$E$201-500))))=0,"","Registered: "&amp;IF(LEN(INDEX('My equipment'!$U$4:$U$503,(_calc!$E$201-500)))=0,"",INDEX('My equipment'!$U$4:$U$503,(_calc!$E$201-500)))&amp;". ")&amp;IF(LEN(IF(LEN(INDEX('My equipment'!$V$4:$V$503,(_calc!$E$201-500)))=0,"",INDEX('My equipment'!$V$4:$V$503,(_calc!$E$201-500))))=0,"","Proof on file: "&amp;IF(LEN(INDEX('My equipment'!$V$4:$V$503,(_calc!$E$201-500)))=0,"",INDEX('My equipment'!$V$4:$V$503,(_calc!$E$201-500)))&amp;". ")&amp;IF(LEN(IF(LEN(INDEX('My equipment'!$W$4:$W$503,(_calc!$E$201-500)))=0,"",INDEX('My equipment'!$W$4:$W$503,(_calc!$E$201-500))))=0,"","Claim ref: "&amp;IF(LEN(INDEX('My equipment'!$W$4:$W$503,(_calc!$E$201-500)))=0,"",INDEX('My equipment'!$W$4:$W$503,(_calc!$E$201-500)))&amp;". ")&amp;IF(LEN(IF(LEN(INDEX('My equipment'!$Y$4:$Y$503,(_calc!$E$201-500)))=0,"",INDEX('My equipment'!$Y$4:$Y$503,(_calc!$E$201-500))))=0,"",IF(LEN(INDEX('My equipment'!$Y$4:$Y$503,(_calc!$E$201-500)))=0,"",INDEX('My equipment'!$Y$4:$Y$503,(_calc!$E$201-500)))))))</f>
        <v/>
      </c>
      <c r="G199" s="54">
        <f>IF(_calc!$E$201="","",IF(_calc!$E$201&lt;=500,"",IF(LEN(INDEX('My equipment'!$X$4:$X$503,(_calc!$E$201-500)))=0,"",INDEX('My equipment'!$X$4:$X$503,(_calc!$E$201-500)))))</f>
        <v/>
      </c>
      <c r="K199" s="54">
        <f>IF(_calc!$E$201="","",IF(_calc!$E$201&lt;=500,"",IF(LEN(INDEX('My equipment'!$T$4:$T$503,(_calc!$E$201-500)))=0,"",INDEX('My equipment'!$T$4:$T$503,(_calc!$E$201-500)))))</f>
        <v/>
      </c>
    </row>
    <row r="200">
      <c r="A200" s="54">
        <f>IF(_calc!$E$202="","",IF(_calc!$E$202&lt;=500,"Warranty – "&amp;IF(LEN(INDEX('Dealer pipeline'!$C$4:$C$503,_calc!$E$202))=0,"",INDEX('Dealer pipeline'!$C$4:$C$503,_calc!$E$202))&amp;" – "&amp;IF(LEN(INDEX('Dealer pipeline'!$D$4:$D$503,_calc!$E$202))=0,"",INDEX('Dealer pipeline'!$D$4:$D$503,_calc!$E$202))&amp;" – "&amp;IF(LEN(INDEX('Dealer pipeline'!$A$4:$A$503,_calc!$E$202))=0,"",INDEX('Dealer pipeline'!$A$4:$A$503,_calc!$E$202)),"Warranty – "&amp;IF(LEN(INDEX('My equipment'!$A$4:$A$503,(_calc!$E$202-500)))=0,"",INDEX('My equipment'!$A$4:$A$503,(_calc!$E$202-500)))&amp;" – "&amp;IF(LEN(INDEX('My equipment'!$D$4:$D$503,(_calc!$E$202-500)))=0,"",INDEX('My equipment'!$D$4:$D$503,(_calc!$E$202-500)))))</f>
        <v/>
      </c>
      <c r="B200" s="54">
        <f>IF(_calc!$E$202="","",IF(_calc!$E$202&lt;=500,IF(ISNUMBER(INDEX('Dealer pipeline'!$M$4:$M$503,_calc!$E$202)),TEXT(INDEX('Dealer pipeline'!$M$4:$M$503,_calc!$E$202),"yyyy-mm-dd"),""),IF(ISNUMBER(INDEX('My equipment'!$M$4:$M$503,(_calc!$E$202-500))),TEXT(INDEX('My equipment'!$M$4:$M$503,(_calc!$E$202-500)),"yyyy-mm-dd"),"")))</f>
        <v/>
      </c>
      <c r="C200" s="54">
        <f>IF(_calc!$E$202="","",IF(_calc!$E$202&lt;=500,"Warranty","Warranty"))</f>
        <v/>
      </c>
      <c r="D200" s="54">
        <f>IF(_calc!$E$202="","",IF(_calc!$E$202&lt;=500,IF(ISNUMBER(INDEX('Dealer pipeline'!$H$4:$H$503,_calc!$E$202)),TEXT(INDEX('Dealer pipeline'!$H$4:$H$503,_calc!$E$202),"yyyy-mm-dd"),""),IF(ISNUMBER(INDEX('My equipment'!$H$4:$H$503,(_calc!$E$202-500))),TEXT(INDEX('My equipment'!$H$4:$H$503,(_calc!$E$202-500)),"yyyy-mm-dd"),"")))</f>
        <v/>
      </c>
      <c r="F200" s="54">
        <f>IF(_calc!$E$202="","",IF(_calc!$E$202&lt;=500,TRIM(IF(LEN(IF(LEN(INDEX('Dealer pipeline'!$A$4:$A$503,_calc!$E$202))=0,"",INDEX('Dealer pipeline'!$A$4:$A$503,_calc!$E$202)))=0,"","Customer: "&amp;IF(LEN(INDEX('Dealer pipeline'!$A$4:$A$503,_calc!$E$202))=0,"",INDEX('Dealer pipeline'!$A$4:$A$503,_calc!$E$202))&amp;". ")&amp;IF(LEN(IF(LEN(INDEX('Dealer pipeline'!$B$4:$B$503,_calc!$E$202))=0,"",INDEX('Dealer pipeline'!$B$4:$B$503,_calc!$E$202)))=0,"","Contact: "&amp;IF(LEN(INDEX('Dealer pipeline'!$B$4:$B$503,_calc!$E$202))=0,"",INDEX('Dealer pipeline'!$B$4:$B$503,_calc!$E$202))&amp;". ")&amp;IF(LEN(IF(LEN(INDEX('Dealer pipeline'!$D$4:$D$503,_calc!$E$202))=0,"",INDEX('Dealer pipeline'!$D$4:$D$503,_calc!$E$202)))=0,"","Serial: "&amp;IF(LEN(INDEX('Dealer pipeline'!$D$4:$D$503,_calc!$E$202))=0,"",INDEX('Dealer pipeline'!$D$4:$D$503,_calc!$E$202))&amp;". ")&amp;IF(LEN(IF(ISNUMBER(INDEX('Dealer pipeline'!$J$4:$J$503,_calc!$E$202)),TEXT(INDEX('Dealer pipeline'!$J$4:$J$503,_calc!$E$202),"yyyy-mm-dd"),""))=0,"","Parts end: "&amp;IF(ISNUMBER(INDEX('Dealer pipeline'!$J$4:$J$503,_calc!$E$202)),TEXT(INDEX('Dealer pipeline'!$J$4:$J$503,_calc!$E$202),"yyyy-mm-dd"),"")&amp;". ")&amp;IF(LEN(IF(ISNUMBER(INDEX('Dealer pipeline'!$L$4:$L$503,_calc!$E$202)),TEXT(INDEX('Dealer pipeline'!$L$4:$L$503,_calc!$E$202),"yyyy-mm-dd"),""))=0,"","Labor end: "&amp;IF(ISNUMBER(INDEX('Dealer pipeline'!$L$4:$L$503,_calc!$E$202)),TEXT(INDEX('Dealer pipeline'!$L$4:$L$503,_calc!$E$202),"yyyy-mm-dd"),"")&amp;". ")&amp;IF(LEN(IF(LEN(INDEX('Dealer pipeline'!$Q$4:$Q$503,_calc!$E$202))=0,"",INDEX('Dealer pipeline'!$Q$4:$Q$503,_calc!$E$202)))=0,"","Status: "&amp;IF(LEN(INDEX('Dealer pipeline'!$Q$4:$Q$503,_calc!$E$202))=0,"",INDEX('Dealer pipeline'!$Q$4:$Q$503,_calc!$E$202))&amp;". ")&amp;IF(LEN(IF(LEN(INDEX('Dealer pipeline'!$P$4:$P$503,_calc!$E$202))=0,"",INDEX('Dealer pipeline'!$P$4:$P$503,_calc!$E$202)))=0,"","Last touch: "&amp;IF(LEN(INDEX('Dealer pipeline'!$P$4:$P$503,_calc!$E$202))=0,"",INDEX('Dealer pipeline'!$P$4:$P$503,_calc!$E$202))&amp;". ")&amp;IF(LEN(IF(LEN(INDEX('Dealer pipeline'!$R$4:$R$503,_calc!$E$202))=0,"",INDEX('Dealer pipeline'!$R$4:$R$503,_calc!$E$202)))=0,"","Owner: "&amp;IF(LEN(INDEX('Dealer pipeline'!$R$4:$R$503,_calc!$E$202))=0,"",INDEX('Dealer pipeline'!$R$4:$R$503,_calc!$E$202))&amp;". ")&amp;IF(LEN(IF(LEN(INDEX('Dealer pipeline'!$S$4:$S$503,_calc!$E$202))=0,"",INDEX('Dealer pipeline'!$S$4:$S$503,_calc!$E$202)))=0,"","Backup: "&amp;IF(LEN(INDEX('Dealer pipeline'!$S$4:$S$503,_calc!$E$202))=0,"",INDEX('Dealer pipeline'!$S$4:$S$503,_calc!$E$202))&amp;". ")&amp;IF(LEN(IF(LEN(INDEX('Dealer pipeline'!$T$4:$T$503,_calc!$E$202))=0,"",INDEX('Dealer pipeline'!$T$4:$T$503,_calc!$E$202)))=0,"",IF(LEN(INDEX('Dealer pipeline'!$T$4:$T$503,_calc!$E$202))=0,"",INDEX('Dealer pipeline'!$T$4:$T$503,_calc!$E$202)))),TRIM(IF(LEN(IF(LEN(INDEX('My equipment'!$C$4:$C$503,(_calc!$E$202-500)))=0,"",INDEX('My equipment'!$C$4:$C$503,(_calc!$E$202-500))))=0,"","Model: "&amp;IF(LEN(INDEX('My equipment'!$C$4:$C$503,(_calc!$E$202-500)))=0,"",INDEX('My equipment'!$C$4:$C$503,(_calc!$E$202-500)))&amp;". ")&amp;IF(LEN(IF(LEN(INDEX('My equipment'!$D$4:$D$503,(_calc!$E$202-500)))=0,"",INDEX('My equipment'!$D$4:$D$503,(_calc!$E$202-500))))=0,"","Serial: "&amp;IF(LEN(INDEX('My equipment'!$D$4:$D$503,(_calc!$E$202-500)))=0,"",INDEX('My equipment'!$D$4:$D$503,(_calc!$E$202-500)))&amp;". ")&amp;IF(LEN(IF(ISNUMBER(INDEX('My equipment'!$J$4:$J$503,(_calc!$E$202-500))),TEXT(INDEX('My equipment'!$J$4:$J$503,(_calc!$E$202-500)),"yyyy-mm-dd"),""))=0,"","Parts end: "&amp;IF(ISNUMBER(INDEX('My equipment'!$J$4:$J$503,(_calc!$E$202-500))),TEXT(INDEX('My equipment'!$J$4:$J$503,(_calc!$E$202-500)),"yyyy-mm-dd"),"")&amp;". ")&amp;IF(LEN(IF(ISNUMBER(INDEX('My equipment'!$L$4:$L$503,(_calc!$E$202-500))),TEXT(INDEX('My equipment'!$L$4:$L$503,(_calc!$E$202-500)),"yyyy-mm-dd"),""))=0,"","Labor end: "&amp;IF(ISNUMBER(INDEX('My equipment'!$L$4:$L$503,(_calc!$E$202-500))),TEXT(INDEX('My equipment'!$L$4:$L$503,(_calc!$E$202-500)),"yyyy-mm-dd"),"")&amp;". ")&amp;IF(LEN(IF(ISNUMBER(INDEX('My equipment'!$P$4:$P$503,(_calc!$E$202-500))),TEXT(INDEX('My equipment'!$P$4:$P$503,(_calc!$E$202-500)),"yyyy-mm-dd"),""))=0,"","Check by: "&amp;IF(ISNUMBER(INDEX('My equipment'!$P$4:$P$503,(_calc!$E$202-500))),TEXT(INDEX('My equipment'!$P$4:$P$503,(_calc!$E$202-500)),"yyyy-mm-dd"),"")&amp;". ")&amp;IF(LEN(IF(LEN(INDEX('My equipment'!$Q$4:$Q$503,(_calc!$E$202-500)))=0,"",INDEX('My equipment'!$Q$4:$Q$503,(_calc!$E$202-500))))=0,"","Claim status: "&amp;IF(LEN(INDEX('My equipment'!$Q$4:$Q$503,(_calc!$E$202-500)))=0,"",INDEX('My equipment'!$Q$4:$Q$503,(_calc!$E$202-500)))&amp;". ")&amp;IF(LEN(IF(LEN(INDEX('My equipment'!$R$4:$R$503,(_calc!$E$202-500)))=0,"",INDEX('My equipment'!$R$4:$R$503,(_calc!$E$202-500))))=0,"","Claims contact: "&amp;IF(LEN(INDEX('My equipment'!$R$4:$R$503,(_calc!$E$202-500)))=0,"",INDEX('My equipment'!$R$4:$R$503,(_calc!$E$202-500)))&amp;". ")&amp;IF(LEN(IF(LEN(INDEX('My equipment'!$S$4:$S$503,(_calc!$E$202-500)))=0,"",INDEX('My equipment'!$S$4:$S$503,(_calc!$E$202-500))))=0,"","Claims email: "&amp;IF(LEN(INDEX('My equipment'!$S$4:$S$503,(_calc!$E$202-500)))=0,"",INDEX('My equipment'!$S$4:$S$503,(_calc!$E$202-500)))&amp;". ")&amp;IF(LEN(IF(LEN(INDEX('My equipment'!$U$4:$U$503,(_calc!$E$202-500)))=0,"",INDEX('My equipment'!$U$4:$U$503,(_calc!$E$202-500))))=0,"","Registered: "&amp;IF(LEN(INDEX('My equipment'!$U$4:$U$503,(_calc!$E$202-500)))=0,"",INDEX('My equipment'!$U$4:$U$503,(_calc!$E$202-500)))&amp;". ")&amp;IF(LEN(IF(LEN(INDEX('My equipment'!$V$4:$V$503,(_calc!$E$202-500)))=0,"",INDEX('My equipment'!$V$4:$V$503,(_calc!$E$202-500))))=0,"","Proof on file: "&amp;IF(LEN(INDEX('My equipment'!$V$4:$V$503,(_calc!$E$202-500)))=0,"",INDEX('My equipment'!$V$4:$V$503,(_calc!$E$202-500)))&amp;". ")&amp;IF(LEN(IF(LEN(INDEX('My equipment'!$W$4:$W$503,(_calc!$E$202-500)))=0,"",INDEX('My equipment'!$W$4:$W$503,(_calc!$E$202-500))))=0,"","Claim ref: "&amp;IF(LEN(INDEX('My equipment'!$W$4:$W$503,(_calc!$E$202-500)))=0,"",INDEX('My equipment'!$W$4:$W$503,(_calc!$E$202-500)))&amp;". ")&amp;IF(LEN(IF(LEN(INDEX('My equipment'!$Y$4:$Y$503,(_calc!$E$202-500)))=0,"",INDEX('My equipment'!$Y$4:$Y$503,(_calc!$E$202-500))))=0,"",IF(LEN(INDEX('My equipment'!$Y$4:$Y$503,(_calc!$E$202-500)))=0,"",INDEX('My equipment'!$Y$4:$Y$503,(_calc!$E$202-500)))))))</f>
        <v/>
      </c>
      <c r="G200" s="54">
        <f>IF(_calc!$E$202="","",IF(_calc!$E$202&lt;=500,"",IF(LEN(INDEX('My equipment'!$X$4:$X$503,(_calc!$E$202-500)))=0,"",INDEX('My equipment'!$X$4:$X$503,(_calc!$E$202-500)))))</f>
        <v/>
      </c>
      <c r="K200" s="54">
        <f>IF(_calc!$E$202="","",IF(_calc!$E$202&lt;=500,"",IF(LEN(INDEX('My equipment'!$T$4:$T$503,(_calc!$E$202-500)))=0,"",INDEX('My equipment'!$T$4:$T$503,(_calc!$E$202-500)))))</f>
        <v/>
      </c>
    </row>
    <row r="201">
      <c r="A201" s="54">
        <f>IF(_calc!$E$203="","",IF(_calc!$E$203&lt;=500,"Warranty – "&amp;IF(LEN(INDEX('Dealer pipeline'!$C$4:$C$503,_calc!$E$203))=0,"",INDEX('Dealer pipeline'!$C$4:$C$503,_calc!$E$203))&amp;" – "&amp;IF(LEN(INDEX('Dealer pipeline'!$D$4:$D$503,_calc!$E$203))=0,"",INDEX('Dealer pipeline'!$D$4:$D$503,_calc!$E$203))&amp;" – "&amp;IF(LEN(INDEX('Dealer pipeline'!$A$4:$A$503,_calc!$E$203))=0,"",INDEX('Dealer pipeline'!$A$4:$A$503,_calc!$E$203)),"Warranty – "&amp;IF(LEN(INDEX('My equipment'!$A$4:$A$503,(_calc!$E$203-500)))=0,"",INDEX('My equipment'!$A$4:$A$503,(_calc!$E$203-500)))&amp;" – "&amp;IF(LEN(INDEX('My equipment'!$D$4:$D$503,(_calc!$E$203-500)))=0,"",INDEX('My equipment'!$D$4:$D$503,(_calc!$E$203-500)))))</f>
        <v/>
      </c>
      <c r="B201" s="54">
        <f>IF(_calc!$E$203="","",IF(_calc!$E$203&lt;=500,IF(ISNUMBER(INDEX('Dealer pipeline'!$M$4:$M$503,_calc!$E$203)),TEXT(INDEX('Dealer pipeline'!$M$4:$M$503,_calc!$E$203),"yyyy-mm-dd"),""),IF(ISNUMBER(INDEX('My equipment'!$M$4:$M$503,(_calc!$E$203-500))),TEXT(INDEX('My equipment'!$M$4:$M$503,(_calc!$E$203-500)),"yyyy-mm-dd"),"")))</f>
        <v/>
      </c>
      <c r="C201" s="54">
        <f>IF(_calc!$E$203="","",IF(_calc!$E$203&lt;=500,"Warranty","Warranty"))</f>
        <v/>
      </c>
      <c r="D201" s="54">
        <f>IF(_calc!$E$203="","",IF(_calc!$E$203&lt;=500,IF(ISNUMBER(INDEX('Dealer pipeline'!$H$4:$H$503,_calc!$E$203)),TEXT(INDEX('Dealer pipeline'!$H$4:$H$503,_calc!$E$203),"yyyy-mm-dd"),""),IF(ISNUMBER(INDEX('My equipment'!$H$4:$H$503,(_calc!$E$203-500))),TEXT(INDEX('My equipment'!$H$4:$H$503,(_calc!$E$203-500)),"yyyy-mm-dd"),"")))</f>
        <v/>
      </c>
      <c r="F201" s="54">
        <f>IF(_calc!$E$203="","",IF(_calc!$E$203&lt;=500,TRIM(IF(LEN(IF(LEN(INDEX('Dealer pipeline'!$A$4:$A$503,_calc!$E$203))=0,"",INDEX('Dealer pipeline'!$A$4:$A$503,_calc!$E$203)))=0,"","Customer: "&amp;IF(LEN(INDEX('Dealer pipeline'!$A$4:$A$503,_calc!$E$203))=0,"",INDEX('Dealer pipeline'!$A$4:$A$503,_calc!$E$203))&amp;". ")&amp;IF(LEN(IF(LEN(INDEX('Dealer pipeline'!$B$4:$B$503,_calc!$E$203))=0,"",INDEX('Dealer pipeline'!$B$4:$B$503,_calc!$E$203)))=0,"","Contact: "&amp;IF(LEN(INDEX('Dealer pipeline'!$B$4:$B$503,_calc!$E$203))=0,"",INDEX('Dealer pipeline'!$B$4:$B$503,_calc!$E$203))&amp;". ")&amp;IF(LEN(IF(LEN(INDEX('Dealer pipeline'!$D$4:$D$503,_calc!$E$203))=0,"",INDEX('Dealer pipeline'!$D$4:$D$503,_calc!$E$203)))=0,"","Serial: "&amp;IF(LEN(INDEX('Dealer pipeline'!$D$4:$D$503,_calc!$E$203))=0,"",INDEX('Dealer pipeline'!$D$4:$D$503,_calc!$E$203))&amp;". ")&amp;IF(LEN(IF(ISNUMBER(INDEX('Dealer pipeline'!$J$4:$J$503,_calc!$E$203)),TEXT(INDEX('Dealer pipeline'!$J$4:$J$503,_calc!$E$203),"yyyy-mm-dd"),""))=0,"","Parts end: "&amp;IF(ISNUMBER(INDEX('Dealer pipeline'!$J$4:$J$503,_calc!$E$203)),TEXT(INDEX('Dealer pipeline'!$J$4:$J$503,_calc!$E$203),"yyyy-mm-dd"),"")&amp;". ")&amp;IF(LEN(IF(ISNUMBER(INDEX('Dealer pipeline'!$L$4:$L$503,_calc!$E$203)),TEXT(INDEX('Dealer pipeline'!$L$4:$L$503,_calc!$E$203),"yyyy-mm-dd"),""))=0,"","Labor end: "&amp;IF(ISNUMBER(INDEX('Dealer pipeline'!$L$4:$L$503,_calc!$E$203)),TEXT(INDEX('Dealer pipeline'!$L$4:$L$503,_calc!$E$203),"yyyy-mm-dd"),"")&amp;". ")&amp;IF(LEN(IF(LEN(INDEX('Dealer pipeline'!$Q$4:$Q$503,_calc!$E$203))=0,"",INDEX('Dealer pipeline'!$Q$4:$Q$503,_calc!$E$203)))=0,"","Status: "&amp;IF(LEN(INDEX('Dealer pipeline'!$Q$4:$Q$503,_calc!$E$203))=0,"",INDEX('Dealer pipeline'!$Q$4:$Q$503,_calc!$E$203))&amp;". ")&amp;IF(LEN(IF(LEN(INDEX('Dealer pipeline'!$P$4:$P$503,_calc!$E$203))=0,"",INDEX('Dealer pipeline'!$P$4:$P$503,_calc!$E$203)))=0,"","Last touch: "&amp;IF(LEN(INDEX('Dealer pipeline'!$P$4:$P$503,_calc!$E$203))=0,"",INDEX('Dealer pipeline'!$P$4:$P$503,_calc!$E$203))&amp;". ")&amp;IF(LEN(IF(LEN(INDEX('Dealer pipeline'!$R$4:$R$503,_calc!$E$203))=0,"",INDEX('Dealer pipeline'!$R$4:$R$503,_calc!$E$203)))=0,"","Owner: "&amp;IF(LEN(INDEX('Dealer pipeline'!$R$4:$R$503,_calc!$E$203))=0,"",INDEX('Dealer pipeline'!$R$4:$R$503,_calc!$E$203))&amp;". ")&amp;IF(LEN(IF(LEN(INDEX('Dealer pipeline'!$S$4:$S$503,_calc!$E$203))=0,"",INDEX('Dealer pipeline'!$S$4:$S$503,_calc!$E$203)))=0,"","Backup: "&amp;IF(LEN(INDEX('Dealer pipeline'!$S$4:$S$503,_calc!$E$203))=0,"",INDEX('Dealer pipeline'!$S$4:$S$503,_calc!$E$203))&amp;". ")&amp;IF(LEN(IF(LEN(INDEX('Dealer pipeline'!$T$4:$T$503,_calc!$E$203))=0,"",INDEX('Dealer pipeline'!$T$4:$T$503,_calc!$E$203)))=0,"",IF(LEN(INDEX('Dealer pipeline'!$T$4:$T$503,_calc!$E$203))=0,"",INDEX('Dealer pipeline'!$T$4:$T$503,_calc!$E$203)))),TRIM(IF(LEN(IF(LEN(INDEX('My equipment'!$C$4:$C$503,(_calc!$E$203-500)))=0,"",INDEX('My equipment'!$C$4:$C$503,(_calc!$E$203-500))))=0,"","Model: "&amp;IF(LEN(INDEX('My equipment'!$C$4:$C$503,(_calc!$E$203-500)))=0,"",INDEX('My equipment'!$C$4:$C$503,(_calc!$E$203-500)))&amp;". ")&amp;IF(LEN(IF(LEN(INDEX('My equipment'!$D$4:$D$503,(_calc!$E$203-500)))=0,"",INDEX('My equipment'!$D$4:$D$503,(_calc!$E$203-500))))=0,"","Serial: "&amp;IF(LEN(INDEX('My equipment'!$D$4:$D$503,(_calc!$E$203-500)))=0,"",INDEX('My equipment'!$D$4:$D$503,(_calc!$E$203-500)))&amp;". ")&amp;IF(LEN(IF(ISNUMBER(INDEX('My equipment'!$J$4:$J$503,(_calc!$E$203-500))),TEXT(INDEX('My equipment'!$J$4:$J$503,(_calc!$E$203-500)),"yyyy-mm-dd"),""))=0,"","Parts end: "&amp;IF(ISNUMBER(INDEX('My equipment'!$J$4:$J$503,(_calc!$E$203-500))),TEXT(INDEX('My equipment'!$J$4:$J$503,(_calc!$E$203-500)),"yyyy-mm-dd"),"")&amp;". ")&amp;IF(LEN(IF(ISNUMBER(INDEX('My equipment'!$L$4:$L$503,(_calc!$E$203-500))),TEXT(INDEX('My equipment'!$L$4:$L$503,(_calc!$E$203-500)),"yyyy-mm-dd"),""))=0,"","Labor end: "&amp;IF(ISNUMBER(INDEX('My equipment'!$L$4:$L$503,(_calc!$E$203-500))),TEXT(INDEX('My equipment'!$L$4:$L$503,(_calc!$E$203-500)),"yyyy-mm-dd"),"")&amp;". ")&amp;IF(LEN(IF(ISNUMBER(INDEX('My equipment'!$P$4:$P$503,(_calc!$E$203-500))),TEXT(INDEX('My equipment'!$P$4:$P$503,(_calc!$E$203-500)),"yyyy-mm-dd"),""))=0,"","Check by: "&amp;IF(ISNUMBER(INDEX('My equipment'!$P$4:$P$503,(_calc!$E$203-500))),TEXT(INDEX('My equipment'!$P$4:$P$503,(_calc!$E$203-500)),"yyyy-mm-dd"),"")&amp;". ")&amp;IF(LEN(IF(LEN(INDEX('My equipment'!$Q$4:$Q$503,(_calc!$E$203-500)))=0,"",INDEX('My equipment'!$Q$4:$Q$503,(_calc!$E$203-500))))=0,"","Claim status: "&amp;IF(LEN(INDEX('My equipment'!$Q$4:$Q$503,(_calc!$E$203-500)))=0,"",INDEX('My equipment'!$Q$4:$Q$503,(_calc!$E$203-500)))&amp;". ")&amp;IF(LEN(IF(LEN(INDEX('My equipment'!$R$4:$R$503,(_calc!$E$203-500)))=0,"",INDEX('My equipment'!$R$4:$R$503,(_calc!$E$203-500))))=0,"","Claims contact: "&amp;IF(LEN(INDEX('My equipment'!$R$4:$R$503,(_calc!$E$203-500)))=0,"",INDEX('My equipment'!$R$4:$R$503,(_calc!$E$203-500)))&amp;". ")&amp;IF(LEN(IF(LEN(INDEX('My equipment'!$S$4:$S$503,(_calc!$E$203-500)))=0,"",INDEX('My equipment'!$S$4:$S$503,(_calc!$E$203-500))))=0,"","Claims email: "&amp;IF(LEN(INDEX('My equipment'!$S$4:$S$503,(_calc!$E$203-500)))=0,"",INDEX('My equipment'!$S$4:$S$503,(_calc!$E$203-500)))&amp;". ")&amp;IF(LEN(IF(LEN(INDEX('My equipment'!$U$4:$U$503,(_calc!$E$203-500)))=0,"",INDEX('My equipment'!$U$4:$U$503,(_calc!$E$203-500))))=0,"","Registered: "&amp;IF(LEN(INDEX('My equipment'!$U$4:$U$503,(_calc!$E$203-500)))=0,"",INDEX('My equipment'!$U$4:$U$503,(_calc!$E$203-500)))&amp;". ")&amp;IF(LEN(IF(LEN(INDEX('My equipment'!$V$4:$V$503,(_calc!$E$203-500)))=0,"",INDEX('My equipment'!$V$4:$V$503,(_calc!$E$203-500))))=0,"","Proof on file: "&amp;IF(LEN(INDEX('My equipment'!$V$4:$V$503,(_calc!$E$203-500)))=0,"",INDEX('My equipment'!$V$4:$V$503,(_calc!$E$203-500)))&amp;". ")&amp;IF(LEN(IF(LEN(INDEX('My equipment'!$W$4:$W$503,(_calc!$E$203-500)))=0,"",INDEX('My equipment'!$W$4:$W$503,(_calc!$E$203-500))))=0,"","Claim ref: "&amp;IF(LEN(INDEX('My equipment'!$W$4:$W$503,(_calc!$E$203-500)))=0,"",INDEX('My equipment'!$W$4:$W$503,(_calc!$E$203-500)))&amp;". ")&amp;IF(LEN(IF(LEN(INDEX('My equipment'!$Y$4:$Y$503,(_calc!$E$203-500)))=0,"",INDEX('My equipment'!$Y$4:$Y$503,(_calc!$E$203-500))))=0,"",IF(LEN(INDEX('My equipment'!$Y$4:$Y$503,(_calc!$E$203-500)))=0,"",INDEX('My equipment'!$Y$4:$Y$503,(_calc!$E$203-500)))))))</f>
        <v/>
      </c>
      <c r="G201" s="54">
        <f>IF(_calc!$E$203="","",IF(_calc!$E$203&lt;=500,"",IF(LEN(INDEX('My equipment'!$X$4:$X$503,(_calc!$E$203-500)))=0,"",INDEX('My equipment'!$X$4:$X$503,(_calc!$E$203-500)))))</f>
        <v/>
      </c>
      <c r="K201" s="54">
        <f>IF(_calc!$E$203="","",IF(_calc!$E$203&lt;=500,"",IF(LEN(INDEX('My equipment'!$T$4:$T$503,(_calc!$E$203-500)))=0,"",INDEX('My equipment'!$T$4:$T$503,(_calc!$E$203-500)))))</f>
        <v/>
      </c>
    </row>
    <row r="202">
      <c r="A202" s="54">
        <f>IF(_calc!$E$204="","",IF(_calc!$E$204&lt;=500,"Warranty – "&amp;IF(LEN(INDEX('Dealer pipeline'!$C$4:$C$503,_calc!$E$204))=0,"",INDEX('Dealer pipeline'!$C$4:$C$503,_calc!$E$204))&amp;" – "&amp;IF(LEN(INDEX('Dealer pipeline'!$D$4:$D$503,_calc!$E$204))=0,"",INDEX('Dealer pipeline'!$D$4:$D$503,_calc!$E$204))&amp;" – "&amp;IF(LEN(INDEX('Dealer pipeline'!$A$4:$A$503,_calc!$E$204))=0,"",INDEX('Dealer pipeline'!$A$4:$A$503,_calc!$E$204)),"Warranty – "&amp;IF(LEN(INDEX('My equipment'!$A$4:$A$503,(_calc!$E$204-500)))=0,"",INDEX('My equipment'!$A$4:$A$503,(_calc!$E$204-500)))&amp;" – "&amp;IF(LEN(INDEX('My equipment'!$D$4:$D$503,(_calc!$E$204-500)))=0,"",INDEX('My equipment'!$D$4:$D$503,(_calc!$E$204-500)))))</f>
        <v/>
      </c>
      <c r="B202" s="54">
        <f>IF(_calc!$E$204="","",IF(_calc!$E$204&lt;=500,IF(ISNUMBER(INDEX('Dealer pipeline'!$M$4:$M$503,_calc!$E$204)),TEXT(INDEX('Dealer pipeline'!$M$4:$M$503,_calc!$E$204),"yyyy-mm-dd"),""),IF(ISNUMBER(INDEX('My equipment'!$M$4:$M$503,(_calc!$E$204-500))),TEXT(INDEX('My equipment'!$M$4:$M$503,(_calc!$E$204-500)),"yyyy-mm-dd"),"")))</f>
        <v/>
      </c>
      <c r="C202" s="54">
        <f>IF(_calc!$E$204="","",IF(_calc!$E$204&lt;=500,"Warranty","Warranty"))</f>
        <v/>
      </c>
      <c r="D202" s="54">
        <f>IF(_calc!$E$204="","",IF(_calc!$E$204&lt;=500,IF(ISNUMBER(INDEX('Dealer pipeline'!$H$4:$H$503,_calc!$E$204)),TEXT(INDEX('Dealer pipeline'!$H$4:$H$503,_calc!$E$204),"yyyy-mm-dd"),""),IF(ISNUMBER(INDEX('My equipment'!$H$4:$H$503,(_calc!$E$204-500))),TEXT(INDEX('My equipment'!$H$4:$H$503,(_calc!$E$204-500)),"yyyy-mm-dd"),"")))</f>
        <v/>
      </c>
      <c r="F202" s="54">
        <f>IF(_calc!$E$204="","",IF(_calc!$E$204&lt;=500,TRIM(IF(LEN(IF(LEN(INDEX('Dealer pipeline'!$A$4:$A$503,_calc!$E$204))=0,"",INDEX('Dealer pipeline'!$A$4:$A$503,_calc!$E$204)))=0,"","Customer: "&amp;IF(LEN(INDEX('Dealer pipeline'!$A$4:$A$503,_calc!$E$204))=0,"",INDEX('Dealer pipeline'!$A$4:$A$503,_calc!$E$204))&amp;". ")&amp;IF(LEN(IF(LEN(INDEX('Dealer pipeline'!$B$4:$B$503,_calc!$E$204))=0,"",INDEX('Dealer pipeline'!$B$4:$B$503,_calc!$E$204)))=0,"","Contact: "&amp;IF(LEN(INDEX('Dealer pipeline'!$B$4:$B$503,_calc!$E$204))=0,"",INDEX('Dealer pipeline'!$B$4:$B$503,_calc!$E$204))&amp;". ")&amp;IF(LEN(IF(LEN(INDEX('Dealer pipeline'!$D$4:$D$503,_calc!$E$204))=0,"",INDEX('Dealer pipeline'!$D$4:$D$503,_calc!$E$204)))=0,"","Serial: "&amp;IF(LEN(INDEX('Dealer pipeline'!$D$4:$D$503,_calc!$E$204))=0,"",INDEX('Dealer pipeline'!$D$4:$D$503,_calc!$E$204))&amp;". ")&amp;IF(LEN(IF(ISNUMBER(INDEX('Dealer pipeline'!$J$4:$J$503,_calc!$E$204)),TEXT(INDEX('Dealer pipeline'!$J$4:$J$503,_calc!$E$204),"yyyy-mm-dd"),""))=0,"","Parts end: "&amp;IF(ISNUMBER(INDEX('Dealer pipeline'!$J$4:$J$503,_calc!$E$204)),TEXT(INDEX('Dealer pipeline'!$J$4:$J$503,_calc!$E$204),"yyyy-mm-dd"),"")&amp;". ")&amp;IF(LEN(IF(ISNUMBER(INDEX('Dealer pipeline'!$L$4:$L$503,_calc!$E$204)),TEXT(INDEX('Dealer pipeline'!$L$4:$L$503,_calc!$E$204),"yyyy-mm-dd"),""))=0,"","Labor end: "&amp;IF(ISNUMBER(INDEX('Dealer pipeline'!$L$4:$L$503,_calc!$E$204)),TEXT(INDEX('Dealer pipeline'!$L$4:$L$503,_calc!$E$204),"yyyy-mm-dd"),"")&amp;". ")&amp;IF(LEN(IF(LEN(INDEX('Dealer pipeline'!$Q$4:$Q$503,_calc!$E$204))=0,"",INDEX('Dealer pipeline'!$Q$4:$Q$503,_calc!$E$204)))=0,"","Status: "&amp;IF(LEN(INDEX('Dealer pipeline'!$Q$4:$Q$503,_calc!$E$204))=0,"",INDEX('Dealer pipeline'!$Q$4:$Q$503,_calc!$E$204))&amp;". ")&amp;IF(LEN(IF(LEN(INDEX('Dealer pipeline'!$P$4:$P$503,_calc!$E$204))=0,"",INDEX('Dealer pipeline'!$P$4:$P$503,_calc!$E$204)))=0,"","Last touch: "&amp;IF(LEN(INDEX('Dealer pipeline'!$P$4:$P$503,_calc!$E$204))=0,"",INDEX('Dealer pipeline'!$P$4:$P$503,_calc!$E$204))&amp;". ")&amp;IF(LEN(IF(LEN(INDEX('Dealer pipeline'!$R$4:$R$503,_calc!$E$204))=0,"",INDEX('Dealer pipeline'!$R$4:$R$503,_calc!$E$204)))=0,"","Owner: "&amp;IF(LEN(INDEX('Dealer pipeline'!$R$4:$R$503,_calc!$E$204))=0,"",INDEX('Dealer pipeline'!$R$4:$R$503,_calc!$E$204))&amp;". ")&amp;IF(LEN(IF(LEN(INDEX('Dealer pipeline'!$S$4:$S$503,_calc!$E$204))=0,"",INDEX('Dealer pipeline'!$S$4:$S$503,_calc!$E$204)))=0,"","Backup: "&amp;IF(LEN(INDEX('Dealer pipeline'!$S$4:$S$503,_calc!$E$204))=0,"",INDEX('Dealer pipeline'!$S$4:$S$503,_calc!$E$204))&amp;". ")&amp;IF(LEN(IF(LEN(INDEX('Dealer pipeline'!$T$4:$T$503,_calc!$E$204))=0,"",INDEX('Dealer pipeline'!$T$4:$T$503,_calc!$E$204)))=0,"",IF(LEN(INDEX('Dealer pipeline'!$T$4:$T$503,_calc!$E$204))=0,"",INDEX('Dealer pipeline'!$T$4:$T$503,_calc!$E$204)))),TRIM(IF(LEN(IF(LEN(INDEX('My equipment'!$C$4:$C$503,(_calc!$E$204-500)))=0,"",INDEX('My equipment'!$C$4:$C$503,(_calc!$E$204-500))))=0,"","Model: "&amp;IF(LEN(INDEX('My equipment'!$C$4:$C$503,(_calc!$E$204-500)))=0,"",INDEX('My equipment'!$C$4:$C$503,(_calc!$E$204-500)))&amp;". ")&amp;IF(LEN(IF(LEN(INDEX('My equipment'!$D$4:$D$503,(_calc!$E$204-500)))=0,"",INDEX('My equipment'!$D$4:$D$503,(_calc!$E$204-500))))=0,"","Serial: "&amp;IF(LEN(INDEX('My equipment'!$D$4:$D$503,(_calc!$E$204-500)))=0,"",INDEX('My equipment'!$D$4:$D$503,(_calc!$E$204-500)))&amp;". ")&amp;IF(LEN(IF(ISNUMBER(INDEX('My equipment'!$J$4:$J$503,(_calc!$E$204-500))),TEXT(INDEX('My equipment'!$J$4:$J$503,(_calc!$E$204-500)),"yyyy-mm-dd"),""))=0,"","Parts end: "&amp;IF(ISNUMBER(INDEX('My equipment'!$J$4:$J$503,(_calc!$E$204-500))),TEXT(INDEX('My equipment'!$J$4:$J$503,(_calc!$E$204-500)),"yyyy-mm-dd"),"")&amp;". ")&amp;IF(LEN(IF(ISNUMBER(INDEX('My equipment'!$L$4:$L$503,(_calc!$E$204-500))),TEXT(INDEX('My equipment'!$L$4:$L$503,(_calc!$E$204-500)),"yyyy-mm-dd"),""))=0,"","Labor end: "&amp;IF(ISNUMBER(INDEX('My equipment'!$L$4:$L$503,(_calc!$E$204-500))),TEXT(INDEX('My equipment'!$L$4:$L$503,(_calc!$E$204-500)),"yyyy-mm-dd"),"")&amp;". ")&amp;IF(LEN(IF(ISNUMBER(INDEX('My equipment'!$P$4:$P$503,(_calc!$E$204-500))),TEXT(INDEX('My equipment'!$P$4:$P$503,(_calc!$E$204-500)),"yyyy-mm-dd"),""))=0,"","Check by: "&amp;IF(ISNUMBER(INDEX('My equipment'!$P$4:$P$503,(_calc!$E$204-500))),TEXT(INDEX('My equipment'!$P$4:$P$503,(_calc!$E$204-500)),"yyyy-mm-dd"),"")&amp;". ")&amp;IF(LEN(IF(LEN(INDEX('My equipment'!$Q$4:$Q$503,(_calc!$E$204-500)))=0,"",INDEX('My equipment'!$Q$4:$Q$503,(_calc!$E$204-500))))=0,"","Claim status: "&amp;IF(LEN(INDEX('My equipment'!$Q$4:$Q$503,(_calc!$E$204-500)))=0,"",INDEX('My equipment'!$Q$4:$Q$503,(_calc!$E$204-500)))&amp;". ")&amp;IF(LEN(IF(LEN(INDEX('My equipment'!$R$4:$R$503,(_calc!$E$204-500)))=0,"",INDEX('My equipment'!$R$4:$R$503,(_calc!$E$204-500))))=0,"","Claims contact: "&amp;IF(LEN(INDEX('My equipment'!$R$4:$R$503,(_calc!$E$204-500)))=0,"",INDEX('My equipment'!$R$4:$R$503,(_calc!$E$204-500)))&amp;". ")&amp;IF(LEN(IF(LEN(INDEX('My equipment'!$S$4:$S$503,(_calc!$E$204-500)))=0,"",INDEX('My equipment'!$S$4:$S$503,(_calc!$E$204-500))))=0,"","Claims email: "&amp;IF(LEN(INDEX('My equipment'!$S$4:$S$503,(_calc!$E$204-500)))=0,"",INDEX('My equipment'!$S$4:$S$503,(_calc!$E$204-500)))&amp;". ")&amp;IF(LEN(IF(LEN(INDEX('My equipment'!$U$4:$U$503,(_calc!$E$204-500)))=0,"",INDEX('My equipment'!$U$4:$U$503,(_calc!$E$204-500))))=0,"","Registered: "&amp;IF(LEN(INDEX('My equipment'!$U$4:$U$503,(_calc!$E$204-500)))=0,"",INDEX('My equipment'!$U$4:$U$503,(_calc!$E$204-500)))&amp;". ")&amp;IF(LEN(IF(LEN(INDEX('My equipment'!$V$4:$V$503,(_calc!$E$204-500)))=0,"",INDEX('My equipment'!$V$4:$V$503,(_calc!$E$204-500))))=0,"","Proof on file: "&amp;IF(LEN(INDEX('My equipment'!$V$4:$V$503,(_calc!$E$204-500)))=0,"",INDEX('My equipment'!$V$4:$V$503,(_calc!$E$204-500)))&amp;". ")&amp;IF(LEN(IF(LEN(INDEX('My equipment'!$W$4:$W$503,(_calc!$E$204-500)))=0,"",INDEX('My equipment'!$W$4:$W$503,(_calc!$E$204-500))))=0,"","Claim ref: "&amp;IF(LEN(INDEX('My equipment'!$W$4:$W$503,(_calc!$E$204-500)))=0,"",INDEX('My equipment'!$W$4:$W$503,(_calc!$E$204-500)))&amp;". ")&amp;IF(LEN(IF(LEN(INDEX('My equipment'!$Y$4:$Y$503,(_calc!$E$204-500)))=0,"",INDEX('My equipment'!$Y$4:$Y$503,(_calc!$E$204-500))))=0,"",IF(LEN(INDEX('My equipment'!$Y$4:$Y$503,(_calc!$E$204-500)))=0,"",INDEX('My equipment'!$Y$4:$Y$503,(_calc!$E$204-500)))))))</f>
        <v/>
      </c>
      <c r="G202" s="54">
        <f>IF(_calc!$E$204="","",IF(_calc!$E$204&lt;=500,"",IF(LEN(INDEX('My equipment'!$X$4:$X$503,(_calc!$E$204-500)))=0,"",INDEX('My equipment'!$X$4:$X$503,(_calc!$E$204-500)))))</f>
        <v/>
      </c>
      <c r="K202" s="54">
        <f>IF(_calc!$E$204="","",IF(_calc!$E$204&lt;=500,"",IF(LEN(INDEX('My equipment'!$T$4:$T$503,(_calc!$E$204-500)))=0,"",INDEX('My equipment'!$T$4:$T$503,(_calc!$E$204-500)))))</f>
        <v/>
      </c>
    </row>
    <row r="203">
      <c r="A203" s="54">
        <f>IF(_calc!$E$205="","",IF(_calc!$E$205&lt;=500,"Warranty – "&amp;IF(LEN(INDEX('Dealer pipeline'!$C$4:$C$503,_calc!$E$205))=0,"",INDEX('Dealer pipeline'!$C$4:$C$503,_calc!$E$205))&amp;" – "&amp;IF(LEN(INDEX('Dealer pipeline'!$D$4:$D$503,_calc!$E$205))=0,"",INDEX('Dealer pipeline'!$D$4:$D$503,_calc!$E$205))&amp;" – "&amp;IF(LEN(INDEX('Dealer pipeline'!$A$4:$A$503,_calc!$E$205))=0,"",INDEX('Dealer pipeline'!$A$4:$A$503,_calc!$E$205)),"Warranty – "&amp;IF(LEN(INDEX('My equipment'!$A$4:$A$503,(_calc!$E$205-500)))=0,"",INDEX('My equipment'!$A$4:$A$503,(_calc!$E$205-500)))&amp;" – "&amp;IF(LEN(INDEX('My equipment'!$D$4:$D$503,(_calc!$E$205-500)))=0,"",INDEX('My equipment'!$D$4:$D$503,(_calc!$E$205-500)))))</f>
        <v/>
      </c>
      <c r="B203" s="54">
        <f>IF(_calc!$E$205="","",IF(_calc!$E$205&lt;=500,IF(ISNUMBER(INDEX('Dealer pipeline'!$M$4:$M$503,_calc!$E$205)),TEXT(INDEX('Dealer pipeline'!$M$4:$M$503,_calc!$E$205),"yyyy-mm-dd"),""),IF(ISNUMBER(INDEX('My equipment'!$M$4:$M$503,(_calc!$E$205-500))),TEXT(INDEX('My equipment'!$M$4:$M$503,(_calc!$E$205-500)),"yyyy-mm-dd"),"")))</f>
        <v/>
      </c>
      <c r="C203" s="54">
        <f>IF(_calc!$E$205="","",IF(_calc!$E$205&lt;=500,"Warranty","Warranty"))</f>
        <v/>
      </c>
      <c r="D203" s="54">
        <f>IF(_calc!$E$205="","",IF(_calc!$E$205&lt;=500,IF(ISNUMBER(INDEX('Dealer pipeline'!$H$4:$H$503,_calc!$E$205)),TEXT(INDEX('Dealer pipeline'!$H$4:$H$503,_calc!$E$205),"yyyy-mm-dd"),""),IF(ISNUMBER(INDEX('My equipment'!$H$4:$H$503,(_calc!$E$205-500))),TEXT(INDEX('My equipment'!$H$4:$H$503,(_calc!$E$205-500)),"yyyy-mm-dd"),"")))</f>
        <v/>
      </c>
      <c r="F203" s="54">
        <f>IF(_calc!$E$205="","",IF(_calc!$E$205&lt;=500,TRIM(IF(LEN(IF(LEN(INDEX('Dealer pipeline'!$A$4:$A$503,_calc!$E$205))=0,"",INDEX('Dealer pipeline'!$A$4:$A$503,_calc!$E$205)))=0,"","Customer: "&amp;IF(LEN(INDEX('Dealer pipeline'!$A$4:$A$503,_calc!$E$205))=0,"",INDEX('Dealer pipeline'!$A$4:$A$503,_calc!$E$205))&amp;". ")&amp;IF(LEN(IF(LEN(INDEX('Dealer pipeline'!$B$4:$B$503,_calc!$E$205))=0,"",INDEX('Dealer pipeline'!$B$4:$B$503,_calc!$E$205)))=0,"","Contact: "&amp;IF(LEN(INDEX('Dealer pipeline'!$B$4:$B$503,_calc!$E$205))=0,"",INDEX('Dealer pipeline'!$B$4:$B$503,_calc!$E$205))&amp;". ")&amp;IF(LEN(IF(LEN(INDEX('Dealer pipeline'!$D$4:$D$503,_calc!$E$205))=0,"",INDEX('Dealer pipeline'!$D$4:$D$503,_calc!$E$205)))=0,"","Serial: "&amp;IF(LEN(INDEX('Dealer pipeline'!$D$4:$D$503,_calc!$E$205))=0,"",INDEX('Dealer pipeline'!$D$4:$D$503,_calc!$E$205))&amp;". ")&amp;IF(LEN(IF(ISNUMBER(INDEX('Dealer pipeline'!$J$4:$J$503,_calc!$E$205)),TEXT(INDEX('Dealer pipeline'!$J$4:$J$503,_calc!$E$205),"yyyy-mm-dd"),""))=0,"","Parts end: "&amp;IF(ISNUMBER(INDEX('Dealer pipeline'!$J$4:$J$503,_calc!$E$205)),TEXT(INDEX('Dealer pipeline'!$J$4:$J$503,_calc!$E$205),"yyyy-mm-dd"),"")&amp;". ")&amp;IF(LEN(IF(ISNUMBER(INDEX('Dealer pipeline'!$L$4:$L$503,_calc!$E$205)),TEXT(INDEX('Dealer pipeline'!$L$4:$L$503,_calc!$E$205),"yyyy-mm-dd"),""))=0,"","Labor end: "&amp;IF(ISNUMBER(INDEX('Dealer pipeline'!$L$4:$L$503,_calc!$E$205)),TEXT(INDEX('Dealer pipeline'!$L$4:$L$503,_calc!$E$205),"yyyy-mm-dd"),"")&amp;". ")&amp;IF(LEN(IF(LEN(INDEX('Dealer pipeline'!$Q$4:$Q$503,_calc!$E$205))=0,"",INDEX('Dealer pipeline'!$Q$4:$Q$503,_calc!$E$205)))=0,"","Status: "&amp;IF(LEN(INDEX('Dealer pipeline'!$Q$4:$Q$503,_calc!$E$205))=0,"",INDEX('Dealer pipeline'!$Q$4:$Q$503,_calc!$E$205))&amp;". ")&amp;IF(LEN(IF(LEN(INDEX('Dealer pipeline'!$P$4:$P$503,_calc!$E$205))=0,"",INDEX('Dealer pipeline'!$P$4:$P$503,_calc!$E$205)))=0,"","Last touch: "&amp;IF(LEN(INDEX('Dealer pipeline'!$P$4:$P$503,_calc!$E$205))=0,"",INDEX('Dealer pipeline'!$P$4:$P$503,_calc!$E$205))&amp;". ")&amp;IF(LEN(IF(LEN(INDEX('Dealer pipeline'!$R$4:$R$503,_calc!$E$205))=0,"",INDEX('Dealer pipeline'!$R$4:$R$503,_calc!$E$205)))=0,"","Owner: "&amp;IF(LEN(INDEX('Dealer pipeline'!$R$4:$R$503,_calc!$E$205))=0,"",INDEX('Dealer pipeline'!$R$4:$R$503,_calc!$E$205))&amp;". ")&amp;IF(LEN(IF(LEN(INDEX('Dealer pipeline'!$S$4:$S$503,_calc!$E$205))=0,"",INDEX('Dealer pipeline'!$S$4:$S$503,_calc!$E$205)))=0,"","Backup: "&amp;IF(LEN(INDEX('Dealer pipeline'!$S$4:$S$503,_calc!$E$205))=0,"",INDEX('Dealer pipeline'!$S$4:$S$503,_calc!$E$205))&amp;". ")&amp;IF(LEN(IF(LEN(INDEX('Dealer pipeline'!$T$4:$T$503,_calc!$E$205))=0,"",INDEX('Dealer pipeline'!$T$4:$T$503,_calc!$E$205)))=0,"",IF(LEN(INDEX('Dealer pipeline'!$T$4:$T$503,_calc!$E$205))=0,"",INDEX('Dealer pipeline'!$T$4:$T$503,_calc!$E$205)))),TRIM(IF(LEN(IF(LEN(INDEX('My equipment'!$C$4:$C$503,(_calc!$E$205-500)))=0,"",INDEX('My equipment'!$C$4:$C$503,(_calc!$E$205-500))))=0,"","Model: "&amp;IF(LEN(INDEX('My equipment'!$C$4:$C$503,(_calc!$E$205-500)))=0,"",INDEX('My equipment'!$C$4:$C$503,(_calc!$E$205-500)))&amp;". ")&amp;IF(LEN(IF(LEN(INDEX('My equipment'!$D$4:$D$503,(_calc!$E$205-500)))=0,"",INDEX('My equipment'!$D$4:$D$503,(_calc!$E$205-500))))=0,"","Serial: "&amp;IF(LEN(INDEX('My equipment'!$D$4:$D$503,(_calc!$E$205-500)))=0,"",INDEX('My equipment'!$D$4:$D$503,(_calc!$E$205-500)))&amp;". ")&amp;IF(LEN(IF(ISNUMBER(INDEX('My equipment'!$J$4:$J$503,(_calc!$E$205-500))),TEXT(INDEX('My equipment'!$J$4:$J$503,(_calc!$E$205-500)),"yyyy-mm-dd"),""))=0,"","Parts end: "&amp;IF(ISNUMBER(INDEX('My equipment'!$J$4:$J$503,(_calc!$E$205-500))),TEXT(INDEX('My equipment'!$J$4:$J$503,(_calc!$E$205-500)),"yyyy-mm-dd"),"")&amp;". ")&amp;IF(LEN(IF(ISNUMBER(INDEX('My equipment'!$L$4:$L$503,(_calc!$E$205-500))),TEXT(INDEX('My equipment'!$L$4:$L$503,(_calc!$E$205-500)),"yyyy-mm-dd"),""))=0,"","Labor end: "&amp;IF(ISNUMBER(INDEX('My equipment'!$L$4:$L$503,(_calc!$E$205-500))),TEXT(INDEX('My equipment'!$L$4:$L$503,(_calc!$E$205-500)),"yyyy-mm-dd"),"")&amp;". ")&amp;IF(LEN(IF(ISNUMBER(INDEX('My equipment'!$P$4:$P$503,(_calc!$E$205-500))),TEXT(INDEX('My equipment'!$P$4:$P$503,(_calc!$E$205-500)),"yyyy-mm-dd"),""))=0,"","Check by: "&amp;IF(ISNUMBER(INDEX('My equipment'!$P$4:$P$503,(_calc!$E$205-500))),TEXT(INDEX('My equipment'!$P$4:$P$503,(_calc!$E$205-500)),"yyyy-mm-dd"),"")&amp;". ")&amp;IF(LEN(IF(LEN(INDEX('My equipment'!$Q$4:$Q$503,(_calc!$E$205-500)))=0,"",INDEX('My equipment'!$Q$4:$Q$503,(_calc!$E$205-500))))=0,"","Claim status: "&amp;IF(LEN(INDEX('My equipment'!$Q$4:$Q$503,(_calc!$E$205-500)))=0,"",INDEX('My equipment'!$Q$4:$Q$503,(_calc!$E$205-500)))&amp;". ")&amp;IF(LEN(IF(LEN(INDEX('My equipment'!$R$4:$R$503,(_calc!$E$205-500)))=0,"",INDEX('My equipment'!$R$4:$R$503,(_calc!$E$205-500))))=0,"","Claims contact: "&amp;IF(LEN(INDEX('My equipment'!$R$4:$R$503,(_calc!$E$205-500)))=0,"",INDEX('My equipment'!$R$4:$R$503,(_calc!$E$205-500)))&amp;". ")&amp;IF(LEN(IF(LEN(INDEX('My equipment'!$S$4:$S$503,(_calc!$E$205-500)))=0,"",INDEX('My equipment'!$S$4:$S$503,(_calc!$E$205-500))))=0,"","Claims email: "&amp;IF(LEN(INDEX('My equipment'!$S$4:$S$503,(_calc!$E$205-500)))=0,"",INDEX('My equipment'!$S$4:$S$503,(_calc!$E$205-500)))&amp;". ")&amp;IF(LEN(IF(LEN(INDEX('My equipment'!$U$4:$U$503,(_calc!$E$205-500)))=0,"",INDEX('My equipment'!$U$4:$U$503,(_calc!$E$205-500))))=0,"","Registered: "&amp;IF(LEN(INDEX('My equipment'!$U$4:$U$503,(_calc!$E$205-500)))=0,"",INDEX('My equipment'!$U$4:$U$503,(_calc!$E$205-500)))&amp;". ")&amp;IF(LEN(IF(LEN(INDEX('My equipment'!$V$4:$V$503,(_calc!$E$205-500)))=0,"",INDEX('My equipment'!$V$4:$V$503,(_calc!$E$205-500))))=0,"","Proof on file: "&amp;IF(LEN(INDEX('My equipment'!$V$4:$V$503,(_calc!$E$205-500)))=0,"",INDEX('My equipment'!$V$4:$V$503,(_calc!$E$205-500)))&amp;". ")&amp;IF(LEN(IF(LEN(INDEX('My equipment'!$W$4:$W$503,(_calc!$E$205-500)))=0,"",INDEX('My equipment'!$W$4:$W$503,(_calc!$E$205-500))))=0,"","Claim ref: "&amp;IF(LEN(INDEX('My equipment'!$W$4:$W$503,(_calc!$E$205-500)))=0,"",INDEX('My equipment'!$W$4:$W$503,(_calc!$E$205-500)))&amp;". ")&amp;IF(LEN(IF(LEN(INDEX('My equipment'!$Y$4:$Y$503,(_calc!$E$205-500)))=0,"",INDEX('My equipment'!$Y$4:$Y$503,(_calc!$E$205-500))))=0,"",IF(LEN(INDEX('My equipment'!$Y$4:$Y$503,(_calc!$E$205-500)))=0,"",INDEX('My equipment'!$Y$4:$Y$503,(_calc!$E$205-500)))))))</f>
        <v/>
      </c>
      <c r="G203" s="54">
        <f>IF(_calc!$E$205="","",IF(_calc!$E$205&lt;=500,"",IF(LEN(INDEX('My equipment'!$X$4:$X$503,(_calc!$E$205-500)))=0,"",INDEX('My equipment'!$X$4:$X$503,(_calc!$E$205-500)))))</f>
        <v/>
      </c>
      <c r="K203" s="54">
        <f>IF(_calc!$E$205="","",IF(_calc!$E$205&lt;=500,"",IF(LEN(INDEX('My equipment'!$T$4:$T$503,(_calc!$E$205-500)))=0,"",INDEX('My equipment'!$T$4:$T$503,(_calc!$E$205-500)))))</f>
        <v/>
      </c>
    </row>
    <row r="204">
      <c r="A204" s="54">
        <f>IF(_calc!$E$206="","",IF(_calc!$E$206&lt;=500,"Warranty – "&amp;IF(LEN(INDEX('Dealer pipeline'!$C$4:$C$503,_calc!$E$206))=0,"",INDEX('Dealer pipeline'!$C$4:$C$503,_calc!$E$206))&amp;" – "&amp;IF(LEN(INDEX('Dealer pipeline'!$D$4:$D$503,_calc!$E$206))=0,"",INDEX('Dealer pipeline'!$D$4:$D$503,_calc!$E$206))&amp;" – "&amp;IF(LEN(INDEX('Dealer pipeline'!$A$4:$A$503,_calc!$E$206))=0,"",INDEX('Dealer pipeline'!$A$4:$A$503,_calc!$E$206)),"Warranty – "&amp;IF(LEN(INDEX('My equipment'!$A$4:$A$503,(_calc!$E$206-500)))=0,"",INDEX('My equipment'!$A$4:$A$503,(_calc!$E$206-500)))&amp;" – "&amp;IF(LEN(INDEX('My equipment'!$D$4:$D$503,(_calc!$E$206-500)))=0,"",INDEX('My equipment'!$D$4:$D$503,(_calc!$E$206-500)))))</f>
        <v/>
      </c>
      <c r="B204" s="54">
        <f>IF(_calc!$E$206="","",IF(_calc!$E$206&lt;=500,IF(ISNUMBER(INDEX('Dealer pipeline'!$M$4:$M$503,_calc!$E$206)),TEXT(INDEX('Dealer pipeline'!$M$4:$M$503,_calc!$E$206),"yyyy-mm-dd"),""),IF(ISNUMBER(INDEX('My equipment'!$M$4:$M$503,(_calc!$E$206-500))),TEXT(INDEX('My equipment'!$M$4:$M$503,(_calc!$E$206-500)),"yyyy-mm-dd"),"")))</f>
        <v/>
      </c>
      <c r="C204" s="54">
        <f>IF(_calc!$E$206="","",IF(_calc!$E$206&lt;=500,"Warranty","Warranty"))</f>
        <v/>
      </c>
      <c r="D204" s="54">
        <f>IF(_calc!$E$206="","",IF(_calc!$E$206&lt;=500,IF(ISNUMBER(INDEX('Dealer pipeline'!$H$4:$H$503,_calc!$E$206)),TEXT(INDEX('Dealer pipeline'!$H$4:$H$503,_calc!$E$206),"yyyy-mm-dd"),""),IF(ISNUMBER(INDEX('My equipment'!$H$4:$H$503,(_calc!$E$206-500))),TEXT(INDEX('My equipment'!$H$4:$H$503,(_calc!$E$206-500)),"yyyy-mm-dd"),"")))</f>
        <v/>
      </c>
      <c r="F204" s="54">
        <f>IF(_calc!$E$206="","",IF(_calc!$E$206&lt;=500,TRIM(IF(LEN(IF(LEN(INDEX('Dealer pipeline'!$A$4:$A$503,_calc!$E$206))=0,"",INDEX('Dealer pipeline'!$A$4:$A$503,_calc!$E$206)))=0,"","Customer: "&amp;IF(LEN(INDEX('Dealer pipeline'!$A$4:$A$503,_calc!$E$206))=0,"",INDEX('Dealer pipeline'!$A$4:$A$503,_calc!$E$206))&amp;". ")&amp;IF(LEN(IF(LEN(INDEX('Dealer pipeline'!$B$4:$B$503,_calc!$E$206))=0,"",INDEX('Dealer pipeline'!$B$4:$B$503,_calc!$E$206)))=0,"","Contact: "&amp;IF(LEN(INDEX('Dealer pipeline'!$B$4:$B$503,_calc!$E$206))=0,"",INDEX('Dealer pipeline'!$B$4:$B$503,_calc!$E$206))&amp;". ")&amp;IF(LEN(IF(LEN(INDEX('Dealer pipeline'!$D$4:$D$503,_calc!$E$206))=0,"",INDEX('Dealer pipeline'!$D$4:$D$503,_calc!$E$206)))=0,"","Serial: "&amp;IF(LEN(INDEX('Dealer pipeline'!$D$4:$D$503,_calc!$E$206))=0,"",INDEX('Dealer pipeline'!$D$4:$D$503,_calc!$E$206))&amp;". ")&amp;IF(LEN(IF(ISNUMBER(INDEX('Dealer pipeline'!$J$4:$J$503,_calc!$E$206)),TEXT(INDEX('Dealer pipeline'!$J$4:$J$503,_calc!$E$206),"yyyy-mm-dd"),""))=0,"","Parts end: "&amp;IF(ISNUMBER(INDEX('Dealer pipeline'!$J$4:$J$503,_calc!$E$206)),TEXT(INDEX('Dealer pipeline'!$J$4:$J$503,_calc!$E$206),"yyyy-mm-dd"),"")&amp;". ")&amp;IF(LEN(IF(ISNUMBER(INDEX('Dealer pipeline'!$L$4:$L$503,_calc!$E$206)),TEXT(INDEX('Dealer pipeline'!$L$4:$L$503,_calc!$E$206),"yyyy-mm-dd"),""))=0,"","Labor end: "&amp;IF(ISNUMBER(INDEX('Dealer pipeline'!$L$4:$L$503,_calc!$E$206)),TEXT(INDEX('Dealer pipeline'!$L$4:$L$503,_calc!$E$206),"yyyy-mm-dd"),"")&amp;". ")&amp;IF(LEN(IF(LEN(INDEX('Dealer pipeline'!$Q$4:$Q$503,_calc!$E$206))=0,"",INDEX('Dealer pipeline'!$Q$4:$Q$503,_calc!$E$206)))=0,"","Status: "&amp;IF(LEN(INDEX('Dealer pipeline'!$Q$4:$Q$503,_calc!$E$206))=0,"",INDEX('Dealer pipeline'!$Q$4:$Q$503,_calc!$E$206))&amp;". ")&amp;IF(LEN(IF(LEN(INDEX('Dealer pipeline'!$P$4:$P$503,_calc!$E$206))=0,"",INDEX('Dealer pipeline'!$P$4:$P$503,_calc!$E$206)))=0,"","Last touch: "&amp;IF(LEN(INDEX('Dealer pipeline'!$P$4:$P$503,_calc!$E$206))=0,"",INDEX('Dealer pipeline'!$P$4:$P$503,_calc!$E$206))&amp;". ")&amp;IF(LEN(IF(LEN(INDEX('Dealer pipeline'!$R$4:$R$503,_calc!$E$206))=0,"",INDEX('Dealer pipeline'!$R$4:$R$503,_calc!$E$206)))=0,"","Owner: "&amp;IF(LEN(INDEX('Dealer pipeline'!$R$4:$R$503,_calc!$E$206))=0,"",INDEX('Dealer pipeline'!$R$4:$R$503,_calc!$E$206))&amp;". ")&amp;IF(LEN(IF(LEN(INDEX('Dealer pipeline'!$S$4:$S$503,_calc!$E$206))=0,"",INDEX('Dealer pipeline'!$S$4:$S$503,_calc!$E$206)))=0,"","Backup: "&amp;IF(LEN(INDEX('Dealer pipeline'!$S$4:$S$503,_calc!$E$206))=0,"",INDEX('Dealer pipeline'!$S$4:$S$503,_calc!$E$206))&amp;". ")&amp;IF(LEN(IF(LEN(INDEX('Dealer pipeline'!$T$4:$T$503,_calc!$E$206))=0,"",INDEX('Dealer pipeline'!$T$4:$T$503,_calc!$E$206)))=0,"",IF(LEN(INDEX('Dealer pipeline'!$T$4:$T$503,_calc!$E$206))=0,"",INDEX('Dealer pipeline'!$T$4:$T$503,_calc!$E$206)))),TRIM(IF(LEN(IF(LEN(INDEX('My equipment'!$C$4:$C$503,(_calc!$E$206-500)))=0,"",INDEX('My equipment'!$C$4:$C$503,(_calc!$E$206-500))))=0,"","Model: "&amp;IF(LEN(INDEX('My equipment'!$C$4:$C$503,(_calc!$E$206-500)))=0,"",INDEX('My equipment'!$C$4:$C$503,(_calc!$E$206-500)))&amp;". ")&amp;IF(LEN(IF(LEN(INDEX('My equipment'!$D$4:$D$503,(_calc!$E$206-500)))=0,"",INDEX('My equipment'!$D$4:$D$503,(_calc!$E$206-500))))=0,"","Serial: "&amp;IF(LEN(INDEX('My equipment'!$D$4:$D$503,(_calc!$E$206-500)))=0,"",INDEX('My equipment'!$D$4:$D$503,(_calc!$E$206-500)))&amp;". ")&amp;IF(LEN(IF(ISNUMBER(INDEX('My equipment'!$J$4:$J$503,(_calc!$E$206-500))),TEXT(INDEX('My equipment'!$J$4:$J$503,(_calc!$E$206-500)),"yyyy-mm-dd"),""))=0,"","Parts end: "&amp;IF(ISNUMBER(INDEX('My equipment'!$J$4:$J$503,(_calc!$E$206-500))),TEXT(INDEX('My equipment'!$J$4:$J$503,(_calc!$E$206-500)),"yyyy-mm-dd"),"")&amp;". ")&amp;IF(LEN(IF(ISNUMBER(INDEX('My equipment'!$L$4:$L$503,(_calc!$E$206-500))),TEXT(INDEX('My equipment'!$L$4:$L$503,(_calc!$E$206-500)),"yyyy-mm-dd"),""))=0,"","Labor end: "&amp;IF(ISNUMBER(INDEX('My equipment'!$L$4:$L$503,(_calc!$E$206-500))),TEXT(INDEX('My equipment'!$L$4:$L$503,(_calc!$E$206-500)),"yyyy-mm-dd"),"")&amp;". ")&amp;IF(LEN(IF(ISNUMBER(INDEX('My equipment'!$P$4:$P$503,(_calc!$E$206-500))),TEXT(INDEX('My equipment'!$P$4:$P$503,(_calc!$E$206-500)),"yyyy-mm-dd"),""))=0,"","Check by: "&amp;IF(ISNUMBER(INDEX('My equipment'!$P$4:$P$503,(_calc!$E$206-500))),TEXT(INDEX('My equipment'!$P$4:$P$503,(_calc!$E$206-500)),"yyyy-mm-dd"),"")&amp;". ")&amp;IF(LEN(IF(LEN(INDEX('My equipment'!$Q$4:$Q$503,(_calc!$E$206-500)))=0,"",INDEX('My equipment'!$Q$4:$Q$503,(_calc!$E$206-500))))=0,"","Claim status: "&amp;IF(LEN(INDEX('My equipment'!$Q$4:$Q$503,(_calc!$E$206-500)))=0,"",INDEX('My equipment'!$Q$4:$Q$503,(_calc!$E$206-500)))&amp;". ")&amp;IF(LEN(IF(LEN(INDEX('My equipment'!$R$4:$R$503,(_calc!$E$206-500)))=0,"",INDEX('My equipment'!$R$4:$R$503,(_calc!$E$206-500))))=0,"","Claims contact: "&amp;IF(LEN(INDEX('My equipment'!$R$4:$R$503,(_calc!$E$206-500)))=0,"",INDEX('My equipment'!$R$4:$R$503,(_calc!$E$206-500)))&amp;". ")&amp;IF(LEN(IF(LEN(INDEX('My equipment'!$S$4:$S$503,(_calc!$E$206-500)))=0,"",INDEX('My equipment'!$S$4:$S$503,(_calc!$E$206-500))))=0,"","Claims email: "&amp;IF(LEN(INDEX('My equipment'!$S$4:$S$503,(_calc!$E$206-500)))=0,"",INDEX('My equipment'!$S$4:$S$503,(_calc!$E$206-500)))&amp;". ")&amp;IF(LEN(IF(LEN(INDEX('My equipment'!$U$4:$U$503,(_calc!$E$206-500)))=0,"",INDEX('My equipment'!$U$4:$U$503,(_calc!$E$206-500))))=0,"","Registered: "&amp;IF(LEN(INDEX('My equipment'!$U$4:$U$503,(_calc!$E$206-500)))=0,"",INDEX('My equipment'!$U$4:$U$503,(_calc!$E$206-500)))&amp;". ")&amp;IF(LEN(IF(LEN(INDEX('My equipment'!$V$4:$V$503,(_calc!$E$206-500)))=0,"",INDEX('My equipment'!$V$4:$V$503,(_calc!$E$206-500))))=0,"","Proof on file: "&amp;IF(LEN(INDEX('My equipment'!$V$4:$V$503,(_calc!$E$206-500)))=0,"",INDEX('My equipment'!$V$4:$V$503,(_calc!$E$206-500)))&amp;". ")&amp;IF(LEN(IF(LEN(INDEX('My equipment'!$W$4:$W$503,(_calc!$E$206-500)))=0,"",INDEX('My equipment'!$W$4:$W$503,(_calc!$E$206-500))))=0,"","Claim ref: "&amp;IF(LEN(INDEX('My equipment'!$W$4:$W$503,(_calc!$E$206-500)))=0,"",INDEX('My equipment'!$W$4:$W$503,(_calc!$E$206-500)))&amp;". ")&amp;IF(LEN(IF(LEN(INDEX('My equipment'!$Y$4:$Y$503,(_calc!$E$206-500)))=0,"",INDEX('My equipment'!$Y$4:$Y$503,(_calc!$E$206-500))))=0,"",IF(LEN(INDEX('My equipment'!$Y$4:$Y$503,(_calc!$E$206-500)))=0,"",INDEX('My equipment'!$Y$4:$Y$503,(_calc!$E$206-500)))))))</f>
        <v/>
      </c>
      <c r="G204" s="54">
        <f>IF(_calc!$E$206="","",IF(_calc!$E$206&lt;=500,"",IF(LEN(INDEX('My equipment'!$X$4:$X$503,(_calc!$E$206-500)))=0,"",INDEX('My equipment'!$X$4:$X$503,(_calc!$E$206-500)))))</f>
        <v/>
      </c>
      <c r="K204" s="54">
        <f>IF(_calc!$E$206="","",IF(_calc!$E$206&lt;=500,"",IF(LEN(INDEX('My equipment'!$T$4:$T$503,(_calc!$E$206-500)))=0,"",INDEX('My equipment'!$T$4:$T$503,(_calc!$E$206-500)))))</f>
        <v/>
      </c>
    </row>
    <row r="205">
      <c r="A205" s="54">
        <f>IF(_calc!$E$207="","",IF(_calc!$E$207&lt;=500,"Warranty – "&amp;IF(LEN(INDEX('Dealer pipeline'!$C$4:$C$503,_calc!$E$207))=0,"",INDEX('Dealer pipeline'!$C$4:$C$503,_calc!$E$207))&amp;" – "&amp;IF(LEN(INDEX('Dealer pipeline'!$D$4:$D$503,_calc!$E$207))=0,"",INDEX('Dealer pipeline'!$D$4:$D$503,_calc!$E$207))&amp;" – "&amp;IF(LEN(INDEX('Dealer pipeline'!$A$4:$A$503,_calc!$E$207))=0,"",INDEX('Dealer pipeline'!$A$4:$A$503,_calc!$E$207)),"Warranty – "&amp;IF(LEN(INDEX('My equipment'!$A$4:$A$503,(_calc!$E$207-500)))=0,"",INDEX('My equipment'!$A$4:$A$503,(_calc!$E$207-500)))&amp;" – "&amp;IF(LEN(INDEX('My equipment'!$D$4:$D$503,(_calc!$E$207-500)))=0,"",INDEX('My equipment'!$D$4:$D$503,(_calc!$E$207-500)))))</f>
        <v/>
      </c>
      <c r="B205" s="54">
        <f>IF(_calc!$E$207="","",IF(_calc!$E$207&lt;=500,IF(ISNUMBER(INDEX('Dealer pipeline'!$M$4:$M$503,_calc!$E$207)),TEXT(INDEX('Dealer pipeline'!$M$4:$M$503,_calc!$E$207),"yyyy-mm-dd"),""),IF(ISNUMBER(INDEX('My equipment'!$M$4:$M$503,(_calc!$E$207-500))),TEXT(INDEX('My equipment'!$M$4:$M$503,(_calc!$E$207-500)),"yyyy-mm-dd"),"")))</f>
        <v/>
      </c>
      <c r="C205" s="54">
        <f>IF(_calc!$E$207="","",IF(_calc!$E$207&lt;=500,"Warranty","Warranty"))</f>
        <v/>
      </c>
      <c r="D205" s="54">
        <f>IF(_calc!$E$207="","",IF(_calc!$E$207&lt;=500,IF(ISNUMBER(INDEX('Dealer pipeline'!$H$4:$H$503,_calc!$E$207)),TEXT(INDEX('Dealer pipeline'!$H$4:$H$503,_calc!$E$207),"yyyy-mm-dd"),""),IF(ISNUMBER(INDEX('My equipment'!$H$4:$H$503,(_calc!$E$207-500))),TEXT(INDEX('My equipment'!$H$4:$H$503,(_calc!$E$207-500)),"yyyy-mm-dd"),"")))</f>
        <v/>
      </c>
      <c r="F205" s="54">
        <f>IF(_calc!$E$207="","",IF(_calc!$E$207&lt;=500,TRIM(IF(LEN(IF(LEN(INDEX('Dealer pipeline'!$A$4:$A$503,_calc!$E$207))=0,"",INDEX('Dealer pipeline'!$A$4:$A$503,_calc!$E$207)))=0,"","Customer: "&amp;IF(LEN(INDEX('Dealer pipeline'!$A$4:$A$503,_calc!$E$207))=0,"",INDEX('Dealer pipeline'!$A$4:$A$503,_calc!$E$207))&amp;". ")&amp;IF(LEN(IF(LEN(INDEX('Dealer pipeline'!$B$4:$B$503,_calc!$E$207))=0,"",INDEX('Dealer pipeline'!$B$4:$B$503,_calc!$E$207)))=0,"","Contact: "&amp;IF(LEN(INDEX('Dealer pipeline'!$B$4:$B$503,_calc!$E$207))=0,"",INDEX('Dealer pipeline'!$B$4:$B$503,_calc!$E$207))&amp;". ")&amp;IF(LEN(IF(LEN(INDEX('Dealer pipeline'!$D$4:$D$503,_calc!$E$207))=0,"",INDEX('Dealer pipeline'!$D$4:$D$503,_calc!$E$207)))=0,"","Serial: "&amp;IF(LEN(INDEX('Dealer pipeline'!$D$4:$D$503,_calc!$E$207))=0,"",INDEX('Dealer pipeline'!$D$4:$D$503,_calc!$E$207))&amp;". ")&amp;IF(LEN(IF(ISNUMBER(INDEX('Dealer pipeline'!$J$4:$J$503,_calc!$E$207)),TEXT(INDEX('Dealer pipeline'!$J$4:$J$503,_calc!$E$207),"yyyy-mm-dd"),""))=0,"","Parts end: "&amp;IF(ISNUMBER(INDEX('Dealer pipeline'!$J$4:$J$503,_calc!$E$207)),TEXT(INDEX('Dealer pipeline'!$J$4:$J$503,_calc!$E$207),"yyyy-mm-dd"),"")&amp;". ")&amp;IF(LEN(IF(ISNUMBER(INDEX('Dealer pipeline'!$L$4:$L$503,_calc!$E$207)),TEXT(INDEX('Dealer pipeline'!$L$4:$L$503,_calc!$E$207),"yyyy-mm-dd"),""))=0,"","Labor end: "&amp;IF(ISNUMBER(INDEX('Dealer pipeline'!$L$4:$L$503,_calc!$E$207)),TEXT(INDEX('Dealer pipeline'!$L$4:$L$503,_calc!$E$207),"yyyy-mm-dd"),"")&amp;". ")&amp;IF(LEN(IF(LEN(INDEX('Dealer pipeline'!$Q$4:$Q$503,_calc!$E$207))=0,"",INDEX('Dealer pipeline'!$Q$4:$Q$503,_calc!$E$207)))=0,"","Status: "&amp;IF(LEN(INDEX('Dealer pipeline'!$Q$4:$Q$503,_calc!$E$207))=0,"",INDEX('Dealer pipeline'!$Q$4:$Q$503,_calc!$E$207))&amp;". ")&amp;IF(LEN(IF(LEN(INDEX('Dealer pipeline'!$P$4:$P$503,_calc!$E$207))=0,"",INDEX('Dealer pipeline'!$P$4:$P$503,_calc!$E$207)))=0,"","Last touch: "&amp;IF(LEN(INDEX('Dealer pipeline'!$P$4:$P$503,_calc!$E$207))=0,"",INDEX('Dealer pipeline'!$P$4:$P$503,_calc!$E$207))&amp;". ")&amp;IF(LEN(IF(LEN(INDEX('Dealer pipeline'!$R$4:$R$503,_calc!$E$207))=0,"",INDEX('Dealer pipeline'!$R$4:$R$503,_calc!$E$207)))=0,"","Owner: "&amp;IF(LEN(INDEX('Dealer pipeline'!$R$4:$R$503,_calc!$E$207))=0,"",INDEX('Dealer pipeline'!$R$4:$R$503,_calc!$E$207))&amp;". ")&amp;IF(LEN(IF(LEN(INDEX('Dealer pipeline'!$S$4:$S$503,_calc!$E$207))=0,"",INDEX('Dealer pipeline'!$S$4:$S$503,_calc!$E$207)))=0,"","Backup: "&amp;IF(LEN(INDEX('Dealer pipeline'!$S$4:$S$503,_calc!$E$207))=0,"",INDEX('Dealer pipeline'!$S$4:$S$503,_calc!$E$207))&amp;". ")&amp;IF(LEN(IF(LEN(INDEX('Dealer pipeline'!$T$4:$T$503,_calc!$E$207))=0,"",INDEX('Dealer pipeline'!$T$4:$T$503,_calc!$E$207)))=0,"",IF(LEN(INDEX('Dealer pipeline'!$T$4:$T$503,_calc!$E$207))=0,"",INDEX('Dealer pipeline'!$T$4:$T$503,_calc!$E$207)))),TRIM(IF(LEN(IF(LEN(INDEX('My equipment'!$C$4:$C$503,(_calc!$E$207-500)))=0,"",INDEX('My equipment'!$C$4:$C$503,(_calc!$E$207-500))))=0,"","Model: "&amp;IF(LEN(INDEX('My equipment'!$C$4:$C$503,(_calc!$E$207-500)))=0,"",INDEX('My equipment'!$C$4:$C$503,(_calc!$E$207-500)))&amp;". ")&amp;IF(LEN(IF(LEN(INDEX('My equipment'!$D$4:$D$503,(_calc!$E$207-500)))=0,"",INDEX('My equipment'!$D$4:$D$503,(_calc!$E$207-500))))=0,"","Serial: "&amp;IF(LEN(INDEX('My equipment'!$D$4:$D$503,(_calc!$E$207-500)))=0,"",INDEX('My equipment'!$D$4:$D$503,(_calc!$E$207-500)))&amp;". ")&amp;IF(LEN(IF(ISNUMBER(INDEX('My equipment'!$J$4:$J$503,(_calc!$E$207-500))),TEXT(INDEX('My equipment'!$J$4:$J$503,(_calc!$E$207-500)),"yyyy-mm-dd"),""))=0,"","Parts end: "&amp;IF(ISNUMBER(INDEX('My equipment'!$J$4:$J$503,(_calc!$E$207-500))),TEXT(INDEX('My equipment'!$J$4:$J$503,(_calc!$E$207-500)),"yyyy-mm-dd"),"")&amp;". ")&amp;IF(LEN(IF(ISNUMBER(INDEX('My equipment'!$L$4:$L$503,(_calc!$E$207-500))),TEXT(INDEX('My equipment'!$L$4:$L$503,(_calc!$E$207-500)),"yyyy-mm-dd"),""))=0,"","Labor end: "&amp;IF(ISNUMBER(INDEX('My equipment'!$L$4:$L$503,(_calc!$E$207-500))),TEXT(INDEX('My equipment'!$L$4:$L$503,(_calc!$E$207-500)),"yyyy-mm-dd"),"")&amp;". ")&amp;IF(LEN(IF(ISNUMBER(INDEX('My equipment'!$P$4:$P$503,(_calc!$E$207-500))),TEXT(INDEX('My equipment'!$P$4:$P$503,(_calc!$E$207-500)),"yyyy-mm-dd"),""))=0,"","Check by: "&amp;IF(ISNUMBER(INDEX('My equipment'!$P$4:$P$503,(_calc!$E$207-500))),TEXT(INDEX('My equipment'!$P$4:$P$503,(_calc!$E$207-500)),"yyyy-mm-dd"),"")&amp;". ")&amp;IF(LEN(IF(LEN(INDEX('My equipment'!$Q$4:$Q$503,(_calc!$E$207-500)))=0,"",INDEX('My equipment'!$Q$4:$Q$503,(_calc!$E$207-500))))=0,"","Claim status: "&amp;IF(LEN(INDEX('My equipment'!$Q$4:$Q$503,(_calc!$E$207-500)))=0,"",INDEX('My equipment'!$Q$4:$Q$503,(_calc!$E$207-500)))&amp;". ")&amp;IF(LEN(IF(LEN(INDEX('My equipment'!$R$4:$R$503,(_calc!$E$207-500)))=0,"",INDEX('My equipment'!$R$4:$R$503,(_calc!$E$207-500))))=0,"","Claims contact: "&amp;IF(LEN(INDEX('My equipment'!$R$4:$R$503,(_calc!$E$207-500)))=0,"",INDEX('My equipment'!$R$4:$R$503,(_calc!$E$207-500)))&amp;". ")&amp;IF(LEN(IF(LEN(INDEX('My equipment'!$S$4:$S$503,(_calc!$E$207-500)))=0,"",INDEX('My equipment'!$S$4:$S$503,(_calc!$E$207-500))))=0,"","Claims email: "&amp;IF(LEN(INDEX('My equipment'!$S$4:$S$503,(_calc!$E$207-500)))=0,"",INDEX('My equipment'!$S$4:$S$503,(_calc!$E$207-500)))&amp;". ")&amp;IF(LEN(IF(LEN(INDEX('My equipment'!$U$4:$U$503,(_calc!$E$207-500)))=0,"",INDEX('My equipment'!$U$4:$U$503,(_calc!$E$207-500))))=0,"","Registered: "&amp;IF(LEN(INDEX('My equipment'!$U$4:$U$503,(_calc!$E$207-500)))=0,"",INDEX('My equipment'!$U$4:$U$503,(_calc!$E$207-500)))&amp;". ")&amp;IF(LEN(IF(LEN(INDEX('My equipment'!$V$4:$V$503,(_calc!$E$207-500)))=0,"",INDEX('My equipment'!$V$4:$V$503,(_calc!$E$207-500))))=0,"","Proof on file: "&amp;IF(LEN(INDEX('My equipment'!$V$4:$V$503,(_calc!$E$207-500)))=0,"",INDEX('My equipment'!$V$4:$V$503,(_calc!$E$207-500)))&amp;". ")&amp;IF(LEN(IF(LEN(INDEX('My equipment'!$W$4:$W$503,(_calc!$E$207-500)))=0,"",INDEX('My equipment'!$W$4:$W$503,(_calc!$E$207-500))))=0,"","Claim ref: "&amp;IF(LEN(INDEX('My equipment'!$W$4:$W$503,(_calc!$E$207-500)))=0,"",INDEX('My equipment'!$W$4:$W$503,(_calc!$E$207-500)))&amp;". ")&amp;IF(LEN(IF(LEN(INDEX('My equipment'!$Y$4:$Y$503,(_calc!$E$207-500)))=0,"",INDEX('My equipment'!$Y$4:$Y$503,(_calc!$E$207-500))))=0,"",IF(LEN(INDEX('My equipment'!$Y$4:$Y$503,(_calc!$E$207-500)))=0,"",INDEX('My equipment'!$Y$4:$Y$503,(_calc!$E$207-500)))))))</f>
        <v/>
      </c>
      <c r="G205" s="54">
        <f>IF(_calc!$E$207="","",IF(_calc!$E$207&lt;=500,"",IF(LEN(INDEX('My equipment'!$X$4:$X$503,(_calc!$E$207-500)))=0,"",INDEX('My equipment'!$X$4:$X$503,(_calc!$E$207-500)))))</f>
        <v/>
      </c>
      <c r="K205" s="54">
        <f>IF(_calc!$E$207="","",IF(_calc!$E$207&lt;=500,"",IF(LEN(INDEX('My equipment'!$T$4:$T$503,(_calc!$E$207-500)))=0,"",INDEX('My equipment'!$T$4:$T$503,(_calc!$E$207-500)))))</f>
        <v/>
      </c>
    </row>
    <row r="206">
      <c r="A206" s="54">
        <f>IF(_calc!$E$208="","",IF(_calc!$E$208&lt;=500,"Warranty – "&amp;IF(LEN(INDEX('Dealer pipeline'!$C$4:$C$503,_calc!$E$208))=0,"",INDEX('Dealer pipeline'!$C$4:$C$503,_calc!$E$208))&amp;" – "&amp;IF(LEN(INDEX('Dealer pipeline'!$D$4:$D$503,_calc!$E$208))=0,"",INDEX('Dealer pipeline'!$D$4:$D$503,_calc!$E$208))&amp;" – "&amp;IF(LEN(INDEX('Dealer pipeline'!$A$4:$A$503,_calc!$E$208))=0,"",INDEX('Dealer pipeline'!$A$4:$A$503,_calc!$E$208)),"Warranty – "&amp;IF(LEN(INDEX('My equipment'!$A$4:$A$503,(_calc!$E$208-500)))=0,"",INDEX('My equipment'!$A$4:$A$503,(_calc!$E$208-500)))&amp;" – "&amp;IF(LEN(INDEX('My equipment'!$D$4:$D$503,(_calc!$E$208-500)))=0,"",INDEX('My equipment'!$D$4:$D$503,(_calc!$E$208-500)))))</f>
        <v/>
      </c>
      <c r="B206" s="54">
        <f>IF(_calc!$E$208="","",IF(_calc!$E$208&lt;=500,IF(ISNUMBER(INDEX('Dealer pipeline'!$M$4:$M$503,_calc!$E$208)),TEXT(INDEX('Dealer pipeline'!$M$4:$M$503,_calc!$E$208),"yyyy-mm-dd"),""),IF(ISNUMBER(INDEX('My equipment'!$M$4:$M$503,(_calc!$E$208-500))),TEXT(INDEX('My equipment'!$M$4:$M$503,(_calc!$E$208-500)),"yyyy-mm-dd"),"")))</f>
        <v/>
      </c>
      <c r="C206" s="54">
        <f>IF(_calc!$E$208="","",IF(_calc!$E$208&lt;=500,"Warranty","Warranty"))</f>
        <v/>
      </c>
      <c r="D206" s="54">
        <f>IF(_calc!$E$208="","",IF(_calc!$E$208&lt;=500,IF(ISNUMBER(INDEX('Dealer pipeline'!$H$4:$H$503,_calc!$E$208)),TEXT(INDEX('Dealer pipeline'!$H$4:$H$503,_calc!$E$208),"yyyy-mm-dd"),""),IF(ISNUMBER(INDEX('My equipment'!$H$4:$H$503,(_calc!$E$208-500))),TEXT(INDEX('My equipment'!$H$4:$H$503,(_calc!$E$208-500)),"yyyy-mm-dd"),"")))</f>
        <v/>
      </c>
      <c r="F206" s="54">
        <f>IF(_calc!$E$208="","",IF(_calc!$E$208&lt;=500,TRIM(IF(LEN(IF(LEN(INDEX('Dealer pipeline'!$A$4:$A$503,_calc!$E$208))=0,"",INDEX('Dealer pipeline'!$A$4:$A$503,_calc!$E$208)))=0,"","Customer: "&amp;IF(LEN(INDEX('Dealer pipeline'!$A$4:$A$503,_calc!$E$208))=0,"",INDEX('Dealer pipeline'!$A$4:$A$503,_calc!$E$208))&amp;". ")&amp;IF(LEN(IF(LEN(INDEX('Dealer pipeline'!$B$4:$B$503,_calc!$E$208))=0,"",INDEX('Dealer pipeline'!$B$4:$B$503,_calc!$E$208)))=0,"","Contact: "&amp;IF(LEN(INDEX('Dealer pipeline'!$B$4:$B$503,_calc!$E$208))=0,"",INDEX('Dealer pipeline'!$B$4:$B$503,_calc!$E$208))&amp;". ")&amp;IF(LEN(IF(LEN(INDEX('Dealer pipeline'!$D$4:$D$503,_calc!$E$208))=0,"",INDEX('Dealer pipeline'!$D$4:$D$503,_calc!$E$208)))=0,"","Serial: "&amp;IF(LEN(INDEX('Dealer pipeline'!$D$4:$D$503,_calc!$E$208))=0,"",INDEX('Dealer pipeline'!$D$4:$D$503,_calc!$E$208))&amp;". ")&amp;IF(LEN(IF(ISNUMBER(INDEX('Dealer pipeline'!$J$4:$J$503,_calc!$E$208)),TEXT(INDEX('Dealer pipeline'!$J$4:$J$503,_calc!$E$208),"yyyy-mm-dd"),""))=0,"","Parts end: "&amp;IF(ISNUMBER(INDEX('Dealer pipeline'!$J$4:$J$503,_calc!$E$208)),TEXT(INDEX('Dealer pipeline'!$J$4:$J$503,_calc!$E$208),"yyyy-mm-dd"),"")&amp;". ")&amp;IF(LEN(IF(ISNUMBER(INDEX('Dealer pipeline'!$L$4:$L$503,_calc!$E$208)),TEXT(INDEX('Dealer pipeline'!$L$4:$L$503,_calc!$E$208),"yyyy-mm-dd"),""))=0,"","Labor end: "&amp;IF(ISNUMBER(INDEX('Dealer pipeline'!$L$4:$L$503,_calc!$E$208)),TEXT(INDEX('Dealer pipeline'!$L$4:$L$503,_calc!$E$208),"yyyy-mm-dd"),"")&amp;". ")&amp;IF(LEN(IF(LEN(INDEX('Dealer pipeline'!$Q$4:$Q$503,_calc!$E$208))=0,"",INDEX('Dealer pipeline'!$Q$4:$Q$503,_calc!$E$208)))=0,"","Status: "&amp;IF(LEN(INDEX('Dealer pipeline'!$Q$4:$Q$503,_calc!$E$208))=0,"",INDEX('Dealer pipeline'!$Q$4:$Q$503,_calc!$E$208))&amp;". ")&amp;IF(LEN(IF(LEN(INDEX('Dealer pipeline'!$P$4:$P$503,_calc!$E$208))=0,"",INDEX('Dealer pipeline'!$P$4:$P$503,_calc!$E$208)))=0,"","Last touch: "&amp;IF(LEN(INDEX('Dealer pipeline'!$P$4:$P$503,_calc!$E$208))=0,"",INDEX('Dealer pipeline'!$P$4:$P$503,_calc!$E$208))&amp;". ")&amp;IF(LEN(IF(LEN(INDEX('Dealer pipeline'!$R$4:$R$503,_calc!$E$208))=0,"",INDEX('Dealer pipeline'!$R$4:$R$503,_calc!$E$208)))=0,"","Owner: "&amp;IF(LEN(INDEX('Dealer pipeline'!$R$4:$R$503,_calc!$E$208))=0,"",INDEX('Dealer pipeline'!$R$4:$R$503,_calc!$E$208))&amp;". ")&amp;IF(LEN(IF(LEN(INDEX('Dealer pipeline'!$S$4:$S$503,_calc!$E$208))=0,"",INDEX('Dealer pipeline'!$S$4:$S$503,_calc!$E$208)))=0,"","Backup: "&amp;IF(LEN(INDEX('Dealer pipeline'!$S$4:$S$503,_calc!$E$208))=0,"",INDEX('Dealer pipeline'!$S$4:$S$503,_calc!$E$208))&amp;". ")&amp;IF(LEN(IF(LEN(INDEX('Dealer pipeline'!$T$4:$T$503,_calc!$E$208))=0,"",INDEX('Dealer pipeline'!$T$4:$T$503,_calc!$E$208)))=0,"",IF(LEN(INDEX('Dealer pipeline'!$T$4:$T$503,_calc!$E$208))=0,"",INDEX('Dealer pipeline'!$T$4:$T$503,_calc!$E$208)))),TRIM(IF(LEN(IF(LEN(INDEX('My equipment'!$C$4:$C$503,(_calc!$E$208-500)))=0,"",INDEX('My equipment'!$C$4:$C$503,(_calc!$E$208-500))))=0,"","Model: "&amp;IF(LEN(INDEX('My equipment'!$C$4:$C$503,(_calc!$E$208-500)))=0,"",INDEX('My equipment'!$C$4:$C$503,(_calc!$E$208-500)))&amp;". ")&amp;IF(LEN(IF(LEN(INDEX('My equipment'!$D$4:$D$503,(_calc!$E$208-500)))=0,"",INDEX('My equipment'!$D$4:$D$503,(_calc!$E$208-500))))=0,"","Serial: "&amp;IF(LEN(INDEX('My equipment'!$D$4:$D$503,(_calc!$E$208-500)))=0,"",INDEX('My equipment'!$D$4:$D$503,(_calc!$E$208-500)))&amp;". ")&amp;IF(LEN(IF(ISNUMBER(INDEX('My equipment'!$J$4:$J$503,(_calc!$E$208-500))),TEXT(INDEX('My equipment'!$J$4:$J$503,(_calc!$E$208-500)),"yyyy-mm-dd"),""))=0,"","Parts end: "&amp;IF(ISNUMBER(INDEX('My equipment'!$J$4:$J$503,(_calc!$E$208-500))),TEXT(INDEX('My equipment'!$J$4:$J$503,(_calc!$E$208-500)),"yyyy-mm-dd"),"")&amp;". ")&amp;IF(LEN(IF(ISNUMBER(INDEX('My equipment'!$L$4:$L$503,(_calc!$E$208-500))),TEXT(INDEX('My equipment'!$L$4:$L$503,(_calc!$E$208-500)),"yyyy-mm-dd"),""))=0,"","Labor end: "&amp;IF(ISNUMBER(INDEX('My equipment'!$L$4:$L$503,(_calc!$E$208-500))),TEXT(INDEX('My equipment'!$L$4:$L$503,(_calc!$E$208-500)),"yyyy-mm-dd"),"")&amp;". ")&amp;IF(LEN(IF(ISNUMBER(INDEX('My equipment'!$P$4:$P$503,(_calc!$E$208-500))),TEXT(INDEX('My equipment'!$P$4:$P$503,(_calc!$E$208-500)),"yyyy-mm-dd"),""))=0,"","Check by: "&amp;IF(ISNUMBER(INDEX('My equipment'!$P$4:$P$503,(_calc!$E$208-500))),TEXT(INDEX('My equipment'!$P$4:$P$503,(_calc!$E$208-500)),"yyyy-mm-dd"),"")&amp;". ")&amp;IF(LEN(IF(LEN(INDEX('My equipment'!$Q$4:$Q$503,(_calc!$E$208-500)))=0,"",INDEX('My equipment'!$Q$4:$Q$503,(_calc!$E$208-500))))=0,"","Claim status: "&amp;IF(LEN(INDEX('My equipment'!$Q$4:$Q$503,(_calc!$E$208-500)))=0,"",INDEX('My equipment'!$Q$4:$Q$503,(_calc!$E$208-500)))&amp;". ")&amp;IF(LEN(IF(LEN(INDEX('My equipment'!$R$4:$R$503,(_calc!$E$208-500)))=0,"",INDEX('My equipment'!$R$4:$R$503,(_calc!$E$208-500))))=0,"","Claims contact: "&amp;IF(LEN(INDEX('My equipment'!$R$4:$R$503,(_calc!$E$208-500)))=0,"",INDEX('My equipment'!$R$4:$R$503,(_calc!$E$208-500)))&amp;". ")&amp;IF(LEN(IF(LEN(INDEX('My equipment'!$S$4:$S$503,(_calc!$E$208-500)))=0,"",INDEX('My equipment'!$S$4:$S$503,(_calc!$E$208-500))))=0,"","Claims email: "&amp;IF(LEN(INDEX('My equipment'!$S$4:$S$503,(_calc!$E$208-500)))=0,"",INDEX('My equipment'!$S$4:$S$503,(_calc!$E$208-500)))&amp;". ")&amp;IF(LEN(IF(LEN(INDEX('My equipment'!$U$4:$U$503,(_calc!$E$208-500)))=0,"",INDEX('My equipment'!$U$4:$U$503,(_calc!$E$208-500))))=0,"","Registered: "&amp;IF(LEN(INDEX('My equipment'!$U$4:$U$503,(_calc!$E$208-500)))=0,"",INDEX('My equipment'!$U$4:$U$503,(_calc!$E$208-500)))&amp;". ")&amp;IF(LEN(IF(LEN(INDEX('My equipment'!$V$4:$V$503,(_calc!$E$208-500)))=0,"",INDEX('My equipment'!$V$4:$V$503,(_calc!$E$208-500))))=0,"","Proof on file: "&amp;IF(LEN(INDEX('My equipment'!$V$4:$V$503,(_calc!$E$208-500)))=0,"",INDEX('My equipment'!$V$4:$V$503,(_calc!$E$208-500)))&amp;". ")&amp;IF(LEN(IF(LEN(INDEX('My equipment'!$W$4:$W$503,(_calc!$E$208-500)))=0,"",INDEX('My equipment'!$W$4:$W$503,(_calc!$E$208-500))))=0,"","Claim ref: "&amp;IF(LEN(INDEX('My equipment'!$W$4:$W$503,(_calc!$E$208-500)))=0,"",INDEX('My equipment'!$W$4:$W$503,(_calc!$E$208-500)))&amp;". ")&amp;IF(LEN(IF(LEN(INDEX('My equipment'!$Y$4:$Y$503,(_calc!$E$208-500)))=0,"",INDEX('My equipment'!$Y$4:$Y$503,(_calc!$E$208-500))))=0,"",IF(LEN(INDEX('My equipment'!$Y$4:$Y$503,(_calc!$E$208-500)))=0,"",INDEX('My equipment'!$Y$4:$Y$503,(_calc!$E$208-500)))))))</f>
        <v/>
      </c>
      <c r="G206" s="54">
        <f>IF(_calc!$E$208="","",IF(_calc!$E$208&lt;=500,"",IF(LEN(INDEX('My equipment'!$X$4:$X$503,(_calc!$E$208-500)))=0,"",INDEX('My equipment'!$X$4:$X$503,(_calc!$E$208-500)))))</f>
        <v/>
      </c>
      <c r="K206" s="54">
        <f>IF(_calc!$E$208="","",IF(_calc!$E$208&lt;=500,"",IF(LEN(INDEX('My equipment'!$T$4:$T$503,(_calc!$E$208-500)))=0,"",INDEX('My equipment'!$T$4:$T$503,(_calc!$E$208-500)))))</f>
        <v/>
      </c>
    </row>
    <row r="207">
      <c r="A207" s="54">
        <f>IF(_calc!$E$209="","",IF(_calc!$E$209&lt;=500,"Warranty – "&amp;IF(LEN(INDEX('Dealer pipeline'!$C$4:$C$503,_calc!$E$209))=0,"",INDEX('Dealer pipeline'!$C$4:$C$503,_calc!$E$209))&amp;" – "&amp;IF(LEN(INDEX('Dealer pipeline'!$D$4:$D$503,_calc!$E$209))=0,"",INDEX('Dealer pipeline'!$D$4:$D$503,_calc!$E$209))&amp;" – "&amp;IF(LEN(INDEX('Dealer pipeline'!$A$4:$A$503,_calc!$E$209))=0,"",INDEX('Dealer pipeline'!$A$4:$A$503,_calc!$E$209)),"Warranty – "&amp;IF(LEN(INDEX('My equipment'!$A$4:$A$503,(_calc!$E$209-500)))=0,"",INDEX('My equipment'!$A$4:$A$503,(_calc!$E$209-500)))&amp;" – "&amp;IF(LEN(INDEX('My equipment'!$D$4:$D$503,(_calc!$E$209-500)))=0,"",INDEX('My equipment'!$D$4:$D$503,(_calc!$E$209-500)))))</f>
        <v/>
      </c>
      <c r="B207" s="54">
        <f>IF(_calc!$E$209="","",IF(_calc!$E$209&lt;=500,IF(ISNUMBER(INDEX('Dealer pipeline'!$M$4:$M$503,_calc!$E$209)),TEXT(INDEX('Dealer pipeline'!$M$4:$M$503,_calc!$E$209),"yyyy-mm-dd"),""),IF(ISNUMBER(INDEX('My equipment'!$M$4:$M$503,(_calc!$E$209-500))),TEXT(INDEX('My equipment'!$M$4:$M$503,(_calc!$E$209-500)),"yyyy-mm-dd"),"")))</f>
        <v/>
      </c>
      <c r="C207" s="54">
        <f>IF(_calc!$E$209="","",IF(_calc!$E$209&lt;=500,"Warranty","Warranty"))</f>
        <v/>
      </c>
      <c r="D207" s="54">
        <f>IF(_calc!$E$209="","",IF(_calc!$E$209&lt;=500,IF(ISNUMBER(INDEX('Dealer pipeline'!$H$4:$H$503,_calc!$E$209)),TEXT(INDEX('Dealer pipeline'!$H$4:$H$503,_calc!$E$209),"yyyy-mm-dd"),""),IF(ISNUMBER(INDEX('My equipment'!$H$4:$H$503,(_calc!$E$209-500))),TEXT(INDEX('My equipment'!$H$4:$H$503,(_calc!$E$209-500)),"yyyy-mm-dd"),"")))</f>
        <v/>
      </c>
      <c r="F207" s="54">
        <f>IF(_calc!$E$209="","",IF(_calc!$E$209&lt;=500,TRIM(IF(LEN(IF(LEN(INDEX('Dealer pipeline'!$A$4:$A$503,_calc!$E$209))=0,"",INDEX('Dealer pipeline'!$A$4:$A$503,_calc!$E$209)))=0,"","Customer: "&amp;IF(LEN(INDEX('Dealer pipeline'!$A$4:$A$503,_calc!$E$209))=0,"",INDEX('Dealer pipeline'!$A$4:$A$503,_calc!$E$209))&amp;". ")&amp;IF(LEN(IF(LEN(INDEX('Dealer pipeline'!$B$4:$B$503,_calc!$E$209))=0,"",INDEX('Dealer pipeline'!$B$4:$B$503,_calc!$E$209)))=0,"","Contact: "&amp;IF(LEN(INDEX('Dealer pipeline'!$B$4:$B$503,_calc!$E$209))=0,"",INDEX('Dealer pipeline'!$B$4:$B$503,_calc!$E$209))&amp;". ")&amp;IF(LEN(IF(LEN(INDEX('Dealer pipeline'!$D$4:$D$503,_calc!$E$209))=0,"",INDEX('Dealer pipeline'!$D$4:$D$503,_calc!$E$209)))=0,"","Serial: "&amp;IF(LEN(INDEX('Dealer pipeline'!$D$4:$D$503,_calc!$E$209))=0,"",INDEX('Dealer pipeline'!$D$4:$D$503,_calc!$E$209))&amp;". ")&amp;IF(LEN(IF(ISNUMBER(INDEX('Dealer pipeline'!$J$4:$J$503,_calc!$E$209)),TEXT(INDEX('Dealer pipeline'!$J$4:$J$503,_calc!$E$209),"yyyy-mm-dd"),""))=0,"","Parts end: "&amp;IF(ISNUMBER(INDEX('Dealer pipeline'!$J$4:$J$503,_calc!$E$209)),TEXT(INDEX('Dealer pipeline'!$J$4:$J$503,_calc!$E$209),"yyyy-mm-dd"),"")&amp;". ")&amp;IF(LEN(IF(ISNUMBER(INDEX('Dealer pipeline'!$L$4:$L$503,_calc!$E$209)),TEXT(INDEX('Dealer pipeline'!$L$4:$L$503,_calc!$E$209),"yyyy-mm-dd"),""))=0,"","Labor end: "&amp;IF(ISNUMBER(INDEX('Dealer pipeline'!$L$4:$L$503,_calc!$E$209)),TEXT(INDEX('Dealer pipeline'!$L$4:$L$503,_calc!$E$209),"yyyy-mm-dd"),"")&amp;". ")&amp;IF(LEN(IF(LEN(INDEX('Dealer pipeline'!$Q$4:$Q$503,_calc!$E$209))=0,"",INDEX('Dealer pipeline'!$Q$4:$Q$503,_calc!$E$209)))=0,"","Status: "&amp;IF(LEN(INDEX('Dealer pipeline'!$Q$4:$Q$503,_calc!$E$209))=0,"",INDEX('Dealer pipeline'!$Q$4:$Q$503,_calc!$E$209))&amp;". ")&amp;IF(LEN(IF(LEN(INDEX('Dealer pipeline'!$P$4:$P$503,_calc!$E$209))=0,"",INDEX('Dealer pipeline'!$P$4:$P$503,_calc!$E$209)))=0,"","Last touch: "&amp;IF(LEN(INDEX('Dealer pipeline'!$P$4:$P$503,_calc!$E$209))=0,"",INDEX('Dealer pipeline'!$P$4:$P$503,_calc!$E$209))&amp;". ")&amp;IF(LEN(IF(LEN(INDEX('Dealer pipeline'!$R$4:$R$503,_calc!$E$209))=0,"",INDEX('Dealer pipeline'!$R$4:$R$503,_calc!$E$209)))=0,"","Owner: "&amp;IF(LEN(INDEX('Dealer pipeline'!$R$4:$R$503,_calc!$E$209))=0,"",INDEX('Dealer pipeline'!$R$4:$R$503,_calc!$E$209))&amp;". ")&amp;IF(LEN(IF(LEN(INDEX('Dealer pipeline'!$S$4:$S$503,_calc!$E$209))=0,"",INDEX('Dealer pipeline'!$S$4:$S$503,_calc!$E$209)))=0,"","Backup: "&amp;IF(LEN(INDEX('Dealer pipeline'!$S$4:$S$503,_calc!$E$209))=0,"",INDEX('Dealer pipeline'!$S$4:$S$503,_calc!$E$209))&amp;". ")&amp;IF(LEN(IF(LEN(INDEX('Dealer pipeline'!$T$4:$T$503,_calc!$E$209))=0,"",INDEX('Dealer pipeline'!$T$4:$T$503,_calc!$E$209)))=0,"",IF(LEN(INDEX('Dealer pipeline'!$T$4:$T$503,_calc!$E$209))=0,"",INDEX('Dealer pipeline'!$T$4:$T$503,_calc!$E$209)))),TRIM(IF(LEN(IF(LEN(INDEX('My equipment'!$C$4:$C$503,(_calc!$E$209-500)))=0,"",INDEX('My equipment'!$C$4:$C$503,(_calc!$E$209-500))))=0,"","Model: "&amp;IF(LEN(INDEX('My equipment'!$C$4:$C$503,(_calc!$E$209-500)))=0,"",INDEX('My equipment'!$C$4:$C$503,(_calc!$E$209-500)))&amp;". ")&amp;IF(LEN(IF(LEN(INDEX('My equipment'!$D$4:$D$503,(_calc!$E$209-500)))=0,"",INDEX('My equipment'!$D$4:$D$503,(_calc!$E$209-500))))=0,"","Serial: "&amp;IF(LEN(INDEX('My equipment'!$D$4:$D$503,(_calc!$E$209-500)))=0,"",INDEX('My equipment'!$D$4:$D$503,(_calc!$E$209-500)))&amp;". ")&amp;IF(LEN(IF(ISNUMBER(INDEX('My equipment'!$J$4:$J$503,(_calc!$E$209-500))),TEXT(INDEX('My equipment'!$J$4:$J$503,(_calc!$E$209-500)),"yyyy-mm-dd"),""))=0,"","Parts end: "&amp;IF(ISNUMBER(INDEX('My equipment'!$J$4:$J$503,(_calc!$E$209-500))),TEXT(INDEX('My equipment'!$J$4:$J$503,(_calc!$E$209-500)),"yyyy-mm-dd"),"")&amp;". ")&amp;IF(LEN(IF(ISNUMBER(INDEX('My equipment'!$L$4:$L$503,(_calc!$E$209-500))),TEXT(INDEX('My equipment'!$L$4:$L$503,(_calc!$E$209-500)),"yyyy-mm-dd"),""))=0,"","Labor end: "&amp;IF(ISNUMBER(INDEX('My equipment'!$L$4:$L$503,(_calc!$E$209-500))),TEXT(INDEX('My equipment'!$L$4:$L$503,(_calc!$E$209-500)),"yyyy-mm-dd"),"")&amp;". ")&amp;IF(LEN(IF(ISNUMBER(INDEX('My equipment'!$P$4:$P$503,(_calc!$E$209-500))),TEXT(INDEX('My equipment'!$P$4:$P$503,(_calc!$E$209-500)),"yyyy-mm-dd"),""))=0,"","Check by: "&amp;IF(ISNUMBER(INDEX('My equipment'!$P$4:$P$503,(_calc!$E$209-500))),TEXT(INDEX('My equipment'!$P$4:$P$503,(_calc!$E$209-500)),"yyyy-mm-dd"),"")&amp;". ")&amp;IF(LEN(IF(LEN(INDEX('My equipment'!$Q$4:$Q$503,(_calc!$E$209-500)))=0,"",INDEX('My equipment'!$Q$4:$Q$503,(_calc!$E$209-500))))=0,"","Claim status: "&amp;IF(LEN(INDEX('My equipment'!$Q$4:$Q$503,(_calc!$E$209-500)))=0,"",INDEX('My equipment'!$Q$4:$Q$503,(_calc!$E$209-500)))&amp;". ")&amp;IF(LEN(IF(LEN(INDEX('My equipment'!$R$4:$R$503,(_calc!$E$209-500)))=0,"",INDEX('My equipment'!$R$4:$R$503,(_calc!$E$209-500))))=0,"","Claims contact: "&amp;IF(LEN(INDEX('My equipment'!$R$4:$R$503,(_calc!$E$209-500)))=0,"",INDEX('My equipment'!$R$4:$R$503,(_calc!$E$209-500)))&amp;". ")&amp;IF(LEN(IF(LEN(INDEX('My equipment'!$S$4:$S$503,(_calc!$E$209-500)))=0,"",INDEX('My equipment'!$S$4:$S$503,(_calc!$E$209-500))))=0,"","Claims email: "&amp;IF(LEN(INDEX('My equipment'!$S$4:$S$503,(_calc!$E$209-500)))=0,"",INDEX('My equipment'!$S$4:$S$503,(_calc!$E$209-500)))&amp;". ")&amp;IF(LEN(IF(LEN(INDEX('My equipment'!$U$4:$U$503,(_calc!$E$209-500)))=0,"",INDEX('My equipment'!$U$4:$U$503,(_calc!$E$209-500))))=0,"","Registered: "&amp;IF(LEN(INDEX('My equipment'!$U$4:$U$503,(_calc!$E$209-500)))=0,"",INDEX('My equipment'!$U$4:$U$503,(_calc!$E$209-500)))&amp;". ")&amp;IF(LEN(IF(LEN(INDEX('My equipment'!$V$4:$V$503,(_calc!$E$209-500)))=0,"",INDEX('My equipment'!$V$4:$V$503,(_calc!$E$209-500))))=0,"","Proof on file: "&amp;IF(LEN(INDEX('My equipment'!$V$4:$V$503,(_calc!$E$209-500)))=0,"",INDEX('My equipment'!$V$4:$V$503,(_calc!$E$209-500)))&amp;". ")&amp;IF(LEN(IF(LEN(INDEX('My equipment'!$W$4:$W$503,(_calc!$E$209-500)))=0,"",INDEX('My equipment'!$W$4:$W$503,(_calc!$E$209-500))))=0,"","Claim ref: "&amp;IF(LEN(INDEX('My equipment'!$W$4:$W$503,(_calc!$E$209-500)))=0,"",INDEX('My equipment'!$W$4:$W$503,(_calc!$E$209-500)))&amp;". ")&amp;IF(LEN(IF(LEN(INDEX('My equipment'!$Y$4:$Y$503,(_calc!$E$209-500)))=0,"",INDEX('My equipment'!$Y$4:$Y$503,(_calc!$E$209-500))))=0,"",IF(LEN(INDEX('My equipment'!$Y$4:$Y$503,(_calc!$E$209-500)))=0,"",INDEX('My equipment'!$Y$4:$Y$503,(_calc!$E$209-500)))))))</f>
        <v/>
      </c>
      <c r="G207" s="54">
        <f>IF(_calc!$E$209="","",IF(_calc!$E$209&lt;=500,"",IF(LEN(INDEX('My equipment'!$X$4:$X$503,(_calc!$E$209-500)))=0,"",INDEX('My equipment'!$X$4:$X$503,(_calc!$E$209-500)))))</f>
        <v/>
      </c>
      <c r="K207" s="54">
        <f>IF(_calc!$E$209="","",IF(_calc!$E$209&lt;=500,"",IF(LEN(INDEX('My equipment'!$T$4:$T$503,(_calc!$E$209-500)))=0,"",INDEX('My equipment'!$T$4:$T$503,(_calc!$E$209-500)))))</f>
        <v/>
      </c>
    </row>
    <row r="208">
      <c r="A208" s="54">
        <f>IF(_calc!$E$210="","",IF(_calc!$E$210&lt;=500,"Warranty – "&amp;IF(LEN(INDEX('Dealer pipeline'!$C$4:$C$503,_calc!$E$210))=0,"",INDEX('Dealer pipeline'!$C$4:$C$503,_calc!$E$210))&amp;" – "&amp;IF(LEN(INDEX('Dealer pipeline'!$D$4:$D$503,_calc!$E$210))=0,"",INDEX('Dealer pipeline'!$D$4:$D$503,_calc!$E$210))&amp;" – "&amp;IF(LEN(INDEX('Dealer pipeline'!$A$4:$A$503,_calc!$E$210))=0,"",INDEX('Dealer pipeline'!$A$4:$A$503,_calc!$E$210)),"Warranty – "&amp;IF(LEN(INDEX('My equipment'!$A$4:$A$503,(_calc!$E$210-500)))=0,"",INDEX('My equipment'!$A$4:$A$503,(_calc!$E$210-500)))&amp;" – "&amp;IF(LEN(INDEX('My equipment'!$D$4:$D$503,(_calc!$E$210-500)))=0,"",INDEX('My equipment'!$D$4:$D$503,(_calc!$E$210-500)))))</f>
        <v/>
      </c>
      <c r="B208" s="54">
        <f>IF(_calc!$E$210="","",IF(_calc!$E$210&lt;=500,IF(ISNUMBER(INDEX('Dealer pipeline'!$M$4:$M$503,_calc!$E$210)),TEXT(INDEX('Dealer pipeline'!$M$4:$M$503,_calc!$E$210),"yyyy-mm-dd"),""),IF(ISNUMBER(INDEX('My equipment'!$M$4:$M$503,(_calc!$E$210-500))),TEXT(INDEX('My equipment'!$M$4:$M$503,(_calc!$E$210-500)),"yyyy-mm-dd"),"")))</f>
        <v/>
      </c>
      <c r="C208" s="54">
        <f>IF(_calc!$E$210="","",IF(_calc!$E$210&lt;=500,"Warranty","Warranty"))</f>
        <v/>
      </c>
      <c r="D208" s="54">
        <f>IF(_calc!$E$210="","",IF(_calc!$E$210&lt;=500,IF(ISNUMBER(INDEX('Dealer pipeline'!$H$4:$H$503,_calc!$E$210)),TEXT(INDEX('Dealer pipeline'!$H$4:$H$503,_calc!$E$210),"yyyy-mm-dd"),""),IF(ISNUMBER(INDEX('My equipment'!$H$4:$H$503,(_calc!$E$210-500))),TEXT(INDEX('My equipment'!$H$4:$H$503,(_calc!$E$210-500)),"yyyy-mm-dd"),"")))</f>
        <v/>
      </c>
      <c r="F208" s="54">
        <f>IF(_calc!$E$210="","",IF(_calc!$E$210&lt;=500,TRIM(IF(LEN(IF(LEN(INDEX('Dealer pipeline'!$A$4:$A$503,_calc!$E$210))=0,"",INDEX('Dealer pipeline'!$A$4:$A$503,_calc!$E$210)))=0,"","Customer: "&amp;IF(LEN(INDEX('Dealer pipeline'!$A$4:$A$503,_calc!$E$210))=0,"",INDEX('Dealer pipeline'!$A$4:$A$503,_calc!$E$210))&amp;". ")&amp;IF(LEN(IF(LEN(INDEX('Dealer pipeline'!$B$4:$B$503,_calc!$E$210))=0,"",INDEX('Dealer pipeline'!$B$4:$B$503,_calc!$E$210)))=0,"","Contact: "&amp;IF(LEN(INDEX('Dealer pipeline'!$B$4:$B$503,_calc!$E$210))=0,"",INDEX('Dealer pipeline'!$B$4:$B$503,_calc!$E$210))&amp;". ")&amp;IF(LEN(IF(LEN(INDEX('Dealer pipeline'!$D$4:$D$503,_calc!$E$210))=0,"",INDEX('Dealer pipeline'!$D$4:$D$503,_calc!$E$210)))=0,"","Serial: "&amp;IF(LEN(INDEX('Dealer pipeline'!$D$4:$D$503,_calc!$E$210))=0,"",INDEX('Dealer pipeline'!$D$4:$D$503,_calc!$E$210))&amp;". ")&amp;IF(LEN(IF(ISNUMBER(INDEX('Dealer pipeline'!$J$4:$J$503,_calc!$E$210)),TEXT(INDEX('Dealer pipeline'!$J$4:$J$503,_calc!$E$210),"yyyy-mm-dd"),""))=0,"","Parts end: "&amp;IF(ISNUMBER(INDEX('Dealer pipeline'!$J$4:$J$503,_calc!$E$210)),TEXT(INDEX('Dealer pipeline'!$J$4:$J$503,_calc!$E$210),"yyyy-mm-dd"),"")&amp;". ")&amp;IF(LEN(IF(ISNUMBER(INDEX('Dealer pipeline'!$L$4:$L$503,_calc!$E$210)),TEXT(INDEX('Dealer pipeline'!$L$4:$L$503,_calc!$E$210),"yyyy-mm-dd"),""))=0,"","Labor end: "&amp;IF(ISNUMBER(INDEX('Dealer pipeline'!$L$4:$L$503,_calc!$E$210)),TEXT(INDEX('Dealer pipeline'!$L$4:$L$503,_calc!$E$210),"yyyy-mm-dd"),"")&amp;". ")&amp;IF(LEN(IF(LEN(INDEX('Dealer pipeline'!$Q$4:$Q$503,_calc!$E$210))=0,"",INDEX('Dealer pipeline'!$Q$4:$Q$503,_calc!$E$210)))=0,"","Status: "&amp;IF(LEN(INDEX('Dealer pipeline'!$Q$4:$Q$503,_calc!$E$210))=0,"",INDEX('Dealer pipeline'!$Q$4:$Q$503,_calc!$E$210))&amp;". ")&amp;IF(LEN(IF(LEN(INDEX('Dealer pipeline'!$P$4:$P$503,_calc!$E$210))=0,"",INDEX('Dealer pipeline'!$P$4:$P$503,_calc!$E$210)))=0,"","Last touch: "&amp;IF(LEN(INDEX('Dealer pipeline'!$P$4:$P$503,_calc!$E$210))=0,"",INDEX('Dealer pipeline'!$P$4:$P$503,_calc!$E$210))&amp;". ")&amp;IF(LEN(IF(LEN(INDEX('Dealer pipeline'!$R$4:$R$503,_calc!$E$210))=0,"",INDEX('Dealer pipeline'!$R$4:$R$503,_calc!$E$210)))=0,"","Owner: "&amp;IF(LEN(INDEX('Dealer pipeline'!$R$4:$R$503,_calc!$E$210))=0,"",INDEX('Dealer pipeline'!$R$4:$R$503,_calc!$E$210))&amp;". ")&amp;IF(LEN(IF(LEN(INDEX('Dealer pipeline'!$S$4:$S$503,_calc!$E$210))=0,"",INDEX('Dealer pipeline'!$S$4:$S$503,_calc!$E$210)))=0,"","Backup: "&amp;IF(LEN(INDEX('Dealer pipeline'!$S$4:$S$503,_calc!$E$210))=0,"",INDEX('Dealer pipeline'!$S$4:$S$503,_calc!$E$210))&amp;". ")&amp;IF(LEN(IF(LEN(INDEX('Dealer pipeline'!$T$4:$T$503,_calc!$E$210))=0,"",INDEX('Dealer pipeline'!$T$4:$T$503,_calc!$E$210)))=0,"",IF(LEN(INDEX('Dealer pipeline'!$T$4:$T$503,_calc!$E$210))=0,"",INDEX('Dealer pipeline'!$T$4:$T$503,_calc!$E$210)))),TRIM(IF(LEN(IF(LEN(INDEX('My equipment'!$C$4:$C$503,(_calc!$E$210-500)))=0,"",INDEX('My equipment'!$C$4:$C$503,(_calc!$E$210-500))))=0,"","Model: "&amp;IF(LEN(INDEX('My equipment'!$C$4:$C$503,(_calc!$E$210-500)))=0,"",INDEX('My equipment'!$C$4:$C$503,(_calc!$E$210-500)))&amp;". ")&amp;IF(LEN(IF(LEN(INDEX('My equipment'!$D$4:$D$503,(_calc!$E$210-500)))=0,"",INDEX('My equipment'!$D$4:$D$503,(_calc!$E$210-500))))=0,"","Serial: "&amp;IF(LEN(INDEX('My equipment'!$D$4:$D$503,(_calc!$E$210-500)))=0,"",INDEX('My equipment'!$D$4:$D$503,(_calc!$E$210-500)))&amp;". ")&amp;IF(LEN(IF(ISNUMBER(INDEX('My equipment'!$J$4:$J$503,(_calc!$E$210-500))),TEXT(INDEX('My equipment'!$J$4:$J$503,(_calc!$E$210-500)),"yyyy-mm-dd"),""))=0,"","Parts end: "&amp;IF(ISNUMBER(INDEX('My equipment'!$J$4:$J$503,(_calc!$E$210-500))),TEXT(INDEX('My equipment'!$J$4:$J$503,(_calc!$E$210-500)),"yyyy-mm-dd"),"")&amp;". ")&amp;IF(LEN(IF(ISNUMBER(INDEX('My equipment'!$L$4:$L$503,(_calc!$E$210-500))),TEXT(INDEX('My equipment'!$L$4:$L$503,(_calc!$E$210-500)),"yyyy-mm-dd"),""))=0,"","Labor end: "&amp;IF(ISNUMBER(INDEX('My equipment'!$L$4:$L$503,(_calc!$E$210-500))),TEXT(INDEX('My equipment'!$L$4:$L$503,(_calc!$E$210-500)),"yyyy-mm-dd"),"")&amp;". ")&amp;IF(LEN(IF(ISNUMBER(INDEX('My equipment'!$P$4:$P$503,(_calc!$E$210-500))),TEXT(INDEX('My equipment'!$P$4:$P$503,(_calc!$E$210-500)),"yyyy-mm-dd"),""))=0,"","Check by: "&amp;IF(ISNUMBER(INDEX('My equipment'!$P$4:$P$503,(_calc!$E$210-500))),TEXT(INDEX('My equipment'!$P$4:$P$503,(_calc!$E$210-500)),"yyyy-mm-dd"),"")&amp;". ")&amp;IF(LEN(IF(LEN(INDEX('My equipment'!$Q$4:$Q$503,(_calc!$E$210-500)))=0,"",INDEX('My equipment'!$Q$4:$Q$503,(_calc!$E$210-500))))=0,"","Claim status: "&amp;IF(LEN(INDEX('My equipment'!$Q$4:$Q$503,(_calc!$E$210-500)))=0,"",INDEX('My equipment'!$Q$4:$Q$503,(_calc!$E$210-500)))&amp;". ")&amp;IF(LEN(IF(LEN(INDEX('My equipment'!$R$4:$R$503,(_calc!$E$210-500)))=0,"",INDEX('My equipment'!$R$4:$R$503,(_calc!$E$210-500))))=0,"","Claims contact: "&amp;IF(LEN(INDEX('My equipment'!$R$4:$R$503,(_calc!$E$210-500)))=0,"",INDEX('My equipment'!$R$4:$R$503,(_calc!$E$210-500)))&amp;". ")&amp;IF(LEN(IF(LEN(INDEX('My equipment'!$S$4:$S$503,(_calc!$E$210-500)))=0,"",INDEX('My equipment'!$S$4:$S$503,(_calc!$E$210-500))))=0,"","Claims email: "&amp;IF(LEN(INDEX('My equipment'!$S$4:$S$503,(_calc!$E$210-500)))=0,"",INDEX('My equipment'!$S$4:$S$503,(_calc!$E$210-500)))&amp;". ")&amp;IF(LEN(IF(LEN(INDEX('My equipment'!$U$4:$U$503,(_calc!$E$210-500)))=0,"",INDEX('My equipment'!$U$4:$U$503,(_calc!$E$210-500))))=0,"","Registered: "&amp;IF(LEN(INDEX('My equipment'!$U$4:$U$503,(_calc!$E$210-500)))=0,"",INDEX('My equipment'!$U$4:$U$503,(_calc!$E$210-500)))&amp;". ")&amp;IF(LEN(IF(LEN(INDEX('My equipment'!$V$4:$V$503,(_calc!$E$210-500)))=0,"",INDEX('My equipment'!$V$4:$V$503,(_calc!$E$210-500))))=0,"","Proof on file: "&amp;IF(LEN(INDEX('My equipment'!$V$4:$V$503,(_calc!$E$210-500)))=0,"",INDEX('My equipment'!$V$4:$V$503,(_calc!$E$210-500)))&amp;". ")&amp;IF(LEN(IF(LEN(INDEX('My equipment'!$W$4:$W$503,(_calc!$E$210-500)))=0,"",INDEX('My equipment'!$W$4:$W$503,(_calc!$E$210-500))))=0,"","Claim ref: "&amp;IF(LEN(INDEX('My equipment'!$W$4:$W$503,(_calc!$E$210-500)))=0,"",INDEX('My equipment'!$W$4:$W$503,(_calc!$E$210-500)))&amp;". ")&amp;IF(LEN(IF(LEN(INDEX('My equipment'!$Y$4:$Y$503,(_calc!$E$210-500)))=0,"",INDEX('My equipment'!$Y$4:$Y$503,(_calc!$E$210-500))))=0,"",IF(LEN(INDEX('My equipment'!$Y$4:$Y$503,(_calc!$E$210-500)))=0,"",INDEX('My equipment'!$Y$4:$Y$503,(_calc!$E$210-500)))))))</f>
        <v/>
      </c>
      <c r="G208" s="54">
        <f>IF(_calc!$E$210="","",IF(_calc!$E$210&lt;=500,"",IF(LEN(INDEX('My equipment'!$X$4:$X$503,(_calc!$E$210-500)))=0,"",INDEX('My equipment'!$X$4:$X$503,(_calc!$E$210-500)))))</f>
        <v/>
      </c>
      <c r="K208" s="54">
        <f>IF(_calc!$E$210="","",IF(_calc!$E$210&lt;=500,"",IF(LEN(INDEX('My equipment'!$T$4:$T$503,(_calc!$E$210-500)))=0,"",INDEX('My equipment'!$T$4:$T$503,(_calc!$E$210-500)))))</f>
        <v/>
      </c>
    </row>
    <row r="209">
      <c r="A209" s="54">
        <f>IF(_calc!$E$211="","",IF(_calc!$E$211&lt;=500,"Warranty – "&amp;IF(LEN(INDEX('Dealer pipeline'!$C$4:$C$503,_calc!$E$211))=0,"",INDEX('Dealer pipeline'!$C$4:$C$503,_calc!$E$211))&amp;" – "&amp;IF(LEN(INDEX('Dealer pipeline'!$D$4:$D$503,_calc!$E$211))=0,"",INDEX('Dealer pipeline'!$D$4:$D$503,_calc!$E$211))&amp;" – "&amp;IF(LEN(INDEX('Dealer pipeline'!$A$4:$A$503,_calc!$E$211))=0,"",INDEX('Dealer pipeline'!$A$4:$A$503,_calc!$E$211)),"Warranty – "&amp;IF(LEN(INDEX('My equipment'!$A$4:$A$503,(_calc!$E$211-500)))=0,"",INDEX('My equipment'!$A$4:$A$503,(_calc!$E$211-500)))&amp;" – "&amp;IF(LEN(INDEX('My equipment'!$D$4:$D$503,(_calc!$E$211-500)))=0,"",INDEX('My equipment'!$D$4:$D$503,(_calc!$E$211-500)))))</f>
        <v/>
      </c>
      <c r="B209" s="54">
        <f>IF(_calc!$E$211="","",IF(_calc!$E$211&lt;=500,IF(ISNUMBER(INDEX('Dealer pipeline'!$M$4:$M$503,_calc!$E$211)),TEXT(INDEX('Dealer pipeline'!$M$4:$M$503,_calc!$E$211),"yyyy-mm-dd"),""),IF(ISNUMBER(INDEX('My equipment'!$M$4:$M$503,(_calc!$E$211-500))),TEXT(INDEX('My equipment'!$M$4:$M$503,(_calc!$E$211-500)),"yyyy-mm-dd"),"")))</f>
        <v/>
      </c>
      <c r="C209" s="54">
        <f>IF(_calc!$E$211="","",IF(_calc!$E$211&lt;=500,"Warranty","Warranty"))</f>
        <v/>
      </c>
      <c r="D209" s="54">
        <f>IF(_calc!$E$211="","",IF(_calc!$E$211&lt;=500,IF(ISNUMBER(INDEX('Dealer pipeline'!$H$4:$H$503,_calc!$E$211)),TEXT(INDEX('Dealer pipeline'!$H$4:$H$503,_calc!$E$211),"yyyy-mm-dd"),""),IF(ISNUMBER(INDEX('My equipment'!$H$4:$H$503,(_calc!$E$211-500))),TEXT(INDEX('My equipment'!$H$4:$H$503,(_calc!$E$211-500)),"yyyy-mm-dd"),"")))</f>
        <v/>
      </c>
      <c r="F209" s="54">
        <f>IF(_calc!$E$211="","",IF(_calc!$E$211&lt;=500,TRIM(IF(LEN(IF(LEN(INDEX('Dealer pipeline'!$A$4:$A$503,_calc!$E$211))=0,"",INDEX('Dealer pipeline'!$A$4:$A$503,_calc!$E$211)))=0,"","Customer: "&amp;IF(LEN(INDEX('Dealer pipeline'!$A$4:$A$503,_calc!$E$211))=0,"",INDEX('Dealer pipeline'!$A$4:$A$503,_calc!$E$211))&amp;". ")&amp;IF(LEN(IF(LEN(INDEX('Dealer pipeline'!$B$4:$B$503,_calc!$E$211))=0,"",INDEX('Dealer pipeline'!$B$4:$B$503,_calc!$E$211)))=0,"","Contact: "&amp;IF(LEN(INDEX('Dealer pipeline'!$B$4:$B$503,_calc!$E$211))=0,"",INDEX('Dealer pipeline'!$B$4:$B$503,_calc!$E$211))&amp;". ")&amp;IF(LEN(IF(LEN(INDEX('Dealer pipeline'!$D$4:$D$503,_calc!$E$211))=0,"",INDEX('Dealer pipeline'!$D$4:$D$503,_calc!$E$211)))=0,"","Serial: "&amp;IF(LEN(INDEX('Dealer pipeline'!$D$4:$D$503,_calc!$E$211))=0,"",INDEX('Dealer pipeline'!$D$4:$D$503,_calc!$E$211))&amp;". ")&amp;IF(LEN(IF(ISNUMBER(INDEX('Dealer pipeline'!$J$4:$J$503,_calc!$E$211)),TEXT(INDEX('Dealer pipeline'!$J$4:$J$503,_calc!$E$211),"yyyy-mm-dd"),""))=0,"","Parts end: "&amp;IF(ISNUMBER(INDEX('Dealer pipeline'!$J$4:$J$503,_calc!$E$211)),TEXT(INDEX('Dealer pipeline'!$J$4:$J$503,_calc!$E$211),"yyyy-mm-dd"),"")&amp;". ")&amp;IF(LEN(IF(ISNUMBER(INDEX('Dealer pipeline'!$L$4:$L$503,_calc!$E$211)),TEXT(INDEX('Dealer pipeline'!$L$4:$L$503,_calc!$E$211),"yyyy-mm-dd"),""))=0,"","Labor end: "&amp;IF(ISNUMBER(INDEX('Dealer pipeline'!$L$4:$L$503,_calc!$E$211)),TEXT(INDEX('Dealer pipeline'!$L$4:$L$503,_calc!$E$211),"yyyy-mm-dd"),"")&amp;". ")&amp;IF(LEN(IF(LEN(INDEX('Dealer pipeline'!$Q$4:$Q$503,_calc!$E$211))=0,"",INDEX('Dealer pipeline'!$Q$4:$Q$503,_calc!$E$211)))=0,"","Status: "&amp;IF(LEN(INDEX('Dealer pipeline'!$Q$4:$Q$503,_calc!$E$211))=0,"",INDEX('Dealer pipeline'!$Q$4:$Q$503,_calc!$E$211))&amp;". ")&amp;IF(LEN(IF(LEN(INDEX('Dealer pipeline'!$P$4:$P$503,_calc!$E$211))=0,"",INDEX('Dealer pipeline'!$P$4:$P$503,_calc!$E$211)))=0,"","Last touch: "&amp;IF(LEN(INDEX('Dealer pipeline'!$P$4:$P$503,_calc!$E$211))=0,"",INDEX('Dealer pipeline'!$P$4:$P$503,_calc!$E$211))&amp;". ")&amp;IF(LEN(IF(LEN(INDEX('Dealer pipeline'!$R$4:$R$503,_calc!$E$211))=0,"",INDEX('Dealer pipeline'!$R$4:$R$503,_calc!$E$211)))=0,"","Owner: "&amp;IF(LEN(INDEX('Dealer pipeline'!$R$4:$R$503,_calc!$E$211))=0,"",INDEX('Dealer pipeline'!$R$4:$R$503,_calc!$E$211))&amp;". ")&amp;IF(LEN(IF(LEN(INDEX('Dealer pipeline'!$S$4:$S$503,_calc!$E$211))=0,"",INDEX('Dealer pipeline'!$S$4:$S$503,_calc!$E$211)))=0,"","Backup: "&amp;IF(LEN(INDEX('Dealer pipeline'!$S$4:$S$503,_calc!$E$211))=0,"",INDEX('Dealer pipeline'!$S$4:$S$503,_calc!$E$211))&amp;". ")&amp;IF(LEN(IF(LEN(INDEX('Dealer pipeline'!$T$4:$T$503,_calc!$E$211))=0,"",INDEX('Dealer pipeline'!$T$4:$T$503,_calc!$E$211)))=0,"",IF(LEN(INDEX('Dealer pipeline'!$T$4:$T$503,_calc!$E$211))=0,"",INDEX('Dealer pipeline'!$T$4:$T$503,_calc!$E$211)))),TRIM(IF(LEN(IF(LEN(INDEX('My equipment'!$C$4:$C$503,(_calc!$E$211-500)))=0,"",INDEX('My equipment'!$C$4:$C$503,(_calc!$E$211-500))))=0,"","Model: "&amp;IF(LEN(INDEX('My equipment'!$C$4:$C$503,(_calc!$E$211-500)))=0,"",INDEX('My equipment'!$C$4:$C$503,(_calc!$E$211-500)))&amp;". ")&amp;IF(LEN(IF(LEN(INDEX('My equipment'!$D$4:$D$503,(_calc!$E$211-500)))=0,"",INDEX('My equipment'!$D$4:$D$503,(_calc!$E$211-500))))=0,"","Serial: "&amp;IF(LEN(INDEX('My equipment'!$D$4:$D$503,(_calc!$E$211-500)))=0,"",INDEX('My equipment'!$D$4:$D$503,(_calc!$E$211-500)))&amp;". ")&amp;IF(LEN(IF(ISNUMBER(INDEX('My equipment'!$J$4:$J$503,(_calc!$E$211-500))),TEXT(INDEX('My equipment'!$J$4:$J$503,(_calc!$E$211-500)),"yyyy-mm-dd"),""))=0,"","Parts end: "&amp;IF(ISNUMBER(INDEX('My equipment'!$J$4:$J$503,(_calc!$E$211-500))),TEXT(INDEX('My equipment'!$J$4:$J$503,(_calc!$E$211-500)),"yyyy-mm-dd"),"")&amp;". ")&amp;IF(LEN(IF(ISNUMBER(INDEX('My equipment'!$L$4:$L$503,(_calc!$E$211-500))),TEXT(INDEX('My equipment'!$L$4:$L$503,(_calc!$E$211-500)),"yyyy-mm-dd"),""))=0,"","Labor end: "&amp;IF(ISNUMBER(INDEX('My equipment'!$L$4:$L$503,(_calc!$E$211-500))),TEXT(INDEX('My equipment'!$L$4:$L$503,(_calc!$E$211-500)),"yyyy-mm-dd"),"")&amp;". ")&amp;IF(LEN(IF(ISNUMBER(INDEX('My equipment'!$P$4:$P$503,(_calc!$E$211-500))),TEXT(INDEX('My equipment'!$P$4:$P$503,(_calc!$E$211-500)),"yyyy-mm-dd"),""))=0,"","Check by: "&amp;IF(ISNUMBER(INDEX('My equipment'!$P$4:$P$503,(_calc!$E$211-500))),TEXT(INDEX('My equipment'!$P$4:$P$503,(_calc!$E$211-500)),"yyyy-mm-dd"),"")&amp;". ")&amp;IF(LEN(IF(LEN(INDEX('My equipment'!$Q$4:$Q$503,(_calc!$E$211-500)))=0,"",INDEX('My equipment'!$Q$4:$Q$503,(_calc!$E$211-500))))=0,"","Claim status: "&amp;IF(LEN(INDEX('My equipment'!$Q$4:$Q$503,(_calc!$E$211-500)))=0,"",INDEX('My equipment'!$Q$4:$Q$503,(_calc!$E$211-500)))&amp;". ")&amp;IF(LEN(IF(LEN(INDEX('My equipment'!$R$4:$R$503,(_calc!$E$211-500)))=0,"",INDEX('My equipment'!$R$4:$R$503,(_calc!$E$211-500))))=0,"","Claims contact: "&amp;IF(LEN(INDEX('My equipment'!$R$4:$R$503,(_calc!$E$211-500)))=0,"",INDEX('My equipment'!$R$4:$R$503,(_calc!$E$211-500)))&amp;". ")&amp;IF(LEN(IF(LEN(INDEX('My equipment'!$S$4:$S$503,(_calc!$E$211-500)))=0,"",INDEX('My equipment'!$S$4:$S$503,(_calc!$E$211-500))))=0,"","Claims email: "&amp;IF(LEN(INDEX('My equipment'!$S$4:$S$503,(_calc!$E$211-500)))=0,"",INDEX('My equipment'!$S$4:$S$503,(_calc!$E$211-500)))&amp;". ")&amp;IF(LEN(IF(LEN(INDEX('My equipment'!$U$4:$U$503,(_calc!$E$211-500)))=0,"",INDEX('My equipment'!$U$4:$U$503,(_calc!$E$211-500))))=0,"","Registered: "&amp;IF(LEN(INDEX('My equipment'!$U$4:$U$503,(_calc!$E$211-500)))=0,"",INDEX('My equipment'!$U$4:$U$503,(_calc!$E$211-500)))&amp;". ")&amp;IF(LEN(IF(LEN(INDEX('My equipment'!$V$4:$V$503,(_calc!$E$211-500)))=0,"",INDEX('My equipment'!$V$4:$V$503,(_calc!$E$211-500))))=0,"","Proof on file: "&amp;IF(LEN(INDEX('My equipment'!$V$4:$V$503,(_calc!$E$211-500)))=0,"",INDEX('My equipment'!$V$4:$V$503,(_calc!$E$211-500)))&amp;". ")&amp;IF(LEN(IF(LEN(INDEX('My equipment'!$W$4:$W$503,(_calc!$E$211-500)))=0,"",INDEX('My equipment'!$W$4:$W$503,(_calc!$E$211-500))))=0,"","Claim ref: "&amp;IF(LEN(INDEX('My equipment'!$W$4:$W$503,(_calc!$E$211-500)))=0,"",INDEX('My equipment'!$W$4:$W$503,(_calc!$E$211-500)))&amp;". ")&amp;IF(LEN(IF(LEN(INDEX('My equipment'!$Y$4:$Y$503,(_calc!$E$211-500)))=0,"",INDEX('My equipment'!$Y$4:$Y$503,(_calc!$E$211-500))))=0,"",IF(LEN(INDEX('My equipment'!$Y$4:$Y$503,(_calc!$E$211-500)))=0,"",INDEX('My equipment'!$Y$4:$Y$503,(_calc!$E$211-500)))))))</f>
        <v/>
      </c>
      <c r="G209" s="54">
        <f>IF(_calc!$E$211="","",IF(_calc!$E$211&lt;=500,"",IF(LEN(INDEX('My equipment'!$X$4:$X$503,(_calc!$E$211-500)))=0,"",INDEX('My equipment'!$X$4:$X$503,(_calc!$E$211-500)))))</f>
        <v/>
      </c>
      <c r="K209" s="54">
        <f>IF(_calc!$E$211="","",IF(_calc!$E$211&lt;=500,"",IF(LEN(INDEX('My equipment'!$T$4:$T$503,(_calc!$E$211-500)))=0,"",INDEX('My equipment'!$T$4:$T$503,(_calc!$E$211-500)))))</f>
        <v/>
      </c>
    </row>
    <row r="210">
      <c r="A210" s="54">
        <f>IF(_calc!$E$212="","",IF(_calc!$E$212&lt;=500,"Warranty – "&amp;IF(LEN(INDEX('Dealer pipeline'!$C$4:$C$503,_calc!$E$212))=0,"",INDEX('Dealer pipeline'!$C$4:$C$503,_calc!$E$212))&amp;" – "&amp;IF(LEN(INDEX('Dealer pipeline'!$D$4:$D$503,_calc!$E$212))=0,"",INDEX('Dealer pipeline'!$D$4:$D$503,_calc!$E$212))&amp;" – "&amp;IF(LEN(INDEX('Dealer pipeline'!$A$4:$A$503,_calc!$E$212))=0,"",INDEX('Dealer pipeline'!$A$4:$A$503,_calc!$E$212)),"Warranty – "&amp;IF(LEN(INDEX('My equipment'!$A$4:$A$503,(_calc!$E$212-500)))=0,"",INDEX('My equipment'!$A$4:$A$503,(_calc!$E$212-500)))&amp;" – "&amp;IF(LEN(INDEX('My equipment'!$D$4:$D$503,(_calc!$E$212-500)))=0,"",INDEX('My equipment'!$D$4:$D$503,(_calc!$E$212-500)))))</f>
        <v/>
      </c>
      <c r="B210" s="54">
        <f>IF(_calc!$E$212="","",IF(_calc!$E$212&lt;=500,IF(ISNUMBER(INDEX('Dealer pipeline'!$M$4:$M$503,_calc!$E$212)),TEXT(INDEX('Dealer pipeline'!$M$4:$M$503,_calc!$E$212),"yyyy-mm-dd"),""),IF(ISNUMBER(INDEX('My equipment'!$M$4:$M$503,(_calc!$E$212-500))),TEXT(INDEX('My equipment'!$M$4:$M$503,(_calc!$E$212-500)),"yyyy-mm-dd"),"")))</f>
        <v/>
      </c>
      <c r="C210" s="54">
        <f>IF(_calc!$E$212="","",IF(_calc!$E$212&lt;=500,"Warranty","Warranty"))</f>
        <v/>
      </c>
      <c r="D210" s="54">
        <f>IF(_calc!$E$212="","",IF(_calc!$E$212&lt;=500,IF(ISNUMBER(INDEX('Dealer pipeline'!$H$4:$H$503,_calc!$E$212)),TEXT(INDEX('Dealer pipeline'!$H$4:$H$503,_calc!$E$212),"yyyy-mm-dd"),""),IF(ISNUMBER(INDEX('My equipment'!$H$4:$H$503,(_calc!$E$212-500))),TEXT(INDEX('My equipment'!$H$4:$H$503,(_calc!$E$212-500)),"yyyy-mm-dd"),"")))</f>
        <v/>
      </c>
      <c r="F210" s="54">
        <f>IF(_calc!$E$212="","",IF(_calc!$E$212&lt;=500,TRIM(IF(LEN(IF(LEN(INDEX('Dealer pipeline'!$A$4:$A$503,_calc!$E$212))=0,"",INDEX('Dealer pipeline'!$A$4:$A$503,_calc!$E$212)))=0,"","Customer: "&amp;IF(LEN(INDEX('Dealer pipeline'!$A$4:$A$503,_calc!$E$212))=0,"",INDEX('Dealer pipeline'!$A$4:$A$503,_calc!$E$212))&amp;". ")&amp;IF(LEN(IF(LEN(INDEX('Dealer pipeline'!$B$4:$B$503,_calc!$E$212))=0,"",INDEX('Dealer pipeline'!$B$4:$B$503,_calc!$E$212)))=0,"","Contact: "&amp;IF(LEN(INDEX('Dealer pipeline'!$B$4:$B$503,_calc!$E$212))=0,"",INDEX('Dealer pipeline'!$B$4:$B$503,_calc!$E$212))&amp;". ")&amp;IF(LEN(IF(LEN(INDEX('Dealer pipeline'!$D$4:$D$503,_calc!$E$212))=0,"",INDEX('Dealer pipeline'!$D$4:$D$503,_calc!$E$212)))=0,"","Serial: "&amp;IF(LEN(INDEX('Dealer pipeline'!$D$4:$D$503,_calc!$E$212))=0,"",INDEX('Dealer pipeline'!$D$4:$D$503,_calc!$E$212))&amp;". ")&amp;IF(LEN(IF(ISNUMBER(INDEX('Dealer pipeline'!$J$4:$J$503,_calc!$E$212)),TEXT(INDEX('Dealer pipeline'!$J$4:$J$503,_calc!$E$212),"yyyy-mm-dd"),""))=0,"","Parts end: "&amp;IF(ISNUMBER(INDEX('Dealer pipeline'!$J$4:$J$503,_calc!$E$212)),TEXT(INDEX('Dealer pipeline'!$J$4:$J$503,_calc!$E$212),"yyyy-mm-dd"),"")&amp;". ")&amp;IF(LEN(IF(ISNUMBER(INDEX('Dealer pipeline'!$L$4:$L$503,_calc!$E$212)),TEXT(INDEX('Dealer pipeline'!$L$4:$L$503,_calc!$E$212),"yyyy-mm-dd"),""))=0,"","Labor end: "&amp;IF(ISNUMBER(INDEX('Dealer pipeline'!$L$4:$L$503,_calc!$E$212)),TEXT(INDEX('Dealer pipeline'!$L$4:$L$503,_calc!$E$212),"yyyy-mm-dd"),"")&amp;". ")&amp;IF(LEN(IF(LEN(INDEX('Dealer pipeline'!$Q$4:$Q$503,_calc!$E$212))=0,"",INDEX('Dealer pipeline'!$Q$4:$Q$503,_calc!$E$212)))=0,"","Status: "&amp;IF(LEN(INDEX('Dealer pipeline'!$Q$4:$Q$503,_calc!$E$212))=0,"",INDEX('Dealer pipeline'!$Q$4:$Q$503,_calc!$E$212))&amp;". ")&amp;IF(LEN(IF(LEN(INDEX('Dealer pipeline'!$P$4:$P$503,_calc!$E$212))=0,"",INDEX('Dealer pipeline'!$P$4:$P$503,_calc!$E$212)))=0,"","Last touch: "&amp;IF(LEN(INDEX('Dealer pipeline'!$P$4:$P$503,_calc!$E$212))=0,"",INDEX('Dealer pipeline'!$P$4:$P$503,_calc!$E$212))&amp;". ")&amp;IF(LEN(IF(LEN(INDEX('Dealer pipeline'!$R$4:$R$503,_calc!$E$212))=0,"",INDEX('Dealer pipeline'!$R$4:$R$503,_calc!$E$212)))=0,"","Owner: "&amp;IF(LEN(INDEX('Dealer pipeline'!$R$4:$R$503,_calc!$E$212))=0,"",INDEX('Dealer pipeline'!$R$4:$R$503,_calc!$E$212))&amp;". ")&amp;IF(LEN(IF(LEN(INDEX('Dealer pipeline'!$S$4:$S$503,_calc!$E$212))=0,"",INDEX('Dealer pipeline'!$S$4:$S$503,_calc!$E$212)))=0,"","Backup: "&amp;IF(LEN(INDEX('Dealer pipeline'!$S$4:$S$503,_calc!$E$212))=0,"",INDEX('Dealer pipeline'!$S$4:$S$503,_calc!$E$212))&amp;". ")&amp;IF(LEN(IF(LEN(INDEX('Dealer pipeline'!$T$4:$T$503,_calc!$E$212))=0,"",INDEX('Dealer pipeline'!$T$4:$T$503,_calc!$E$212)))=0,"",IF(LEN(INDEX('Dealer pipeline'!$T$4:$T$503,_calc!$E$212))=0,"",INDEX('Dealer pipeline'!$T$4:$T$503,_calc!$E$212)))),TRIM(IF(LEN(IF(LEN(INDEX('My equipment'!$C$4:$C$503,(_calc!$E$212-500)))=0,"",INDEX('My equipment'!$C$4:$C$503,(_calc!$E$212-500))))=0,"","Model: "&amp;IF(LEN(INDEX('My equipment'!$C$4:$C$503,(_calc!$E$212-500)))=0,"",INDEX('My equipment'!$C$4:$C$503,(_calc!$E$212-500)))&amp;". ")&amp;IF(LEN(IF(LEN(INDEX('My equipment'!$D$4:$D$503,(_calc!$E$212-500)))=0,"",INDEX('My equipment'!$D$4:$D$503,(_calc!$E$212-500))))=0,"","Serial: "&amp;IF(LEN(INDEX('My equipment'!$D$4:$D$503,(_calc!$E$212-500)))=0,"",INDEX('My equipment'!$D$4:$D$503,(_calc!$E$212-500)))&amp;". ")&amp;IF(LEN(IF(ISNUMBER(INDEX('My equipment'!$J$4:$J$503,(_calc!$E$212-500))),TEXT(INDEX('My equipment'!$J$4:$J$503,(_calc!$E$212-500)),"yyyy-mm-dd"),""))=0,"","Parts end: "&amp;IF(ISNUMBER(INDEX('My equipment'!$J$4:$J$503,(_calc!$E$212-500))),TEXT(INDEX('My equipment'!$J$4:$J$503,(_calc!$E$212-500)),"yyyy-mm-dd"),"")&amp;". ")&amp;IF(LEN(IF(ISNUMBER(INDEX('My equipment'!$L$4:$L$503,(_calc!$E$212-500))),TEXT(INDEX('My equipment'!$L$4:$L$503,(_calc!$E$212-500)),"yyyy-mm-dd"),""))=0,"","Labor end: "&amp;IF(ISNUMBER(INDEX('My equipment'!$L$4:$L$503,(_calc!$E$212-500))),TEXT(INDEX('My equipment'!$L$4:$L$503,(_calc!$E$212-500)),"yyyy-mm-dd"),"")&amp;". ")&amp;IF(LEN(IF(ISNUMBER(INDEX('My equipment'!$P$4:$P$503,(_calc!$E$212-500))),TEXT(INDEX('My equipment'!$P$4:$P$503,(_calc!$E$212-500)),"yyyy-mm-dd"),""))=0,"","Check by: "&amp;IF(ISNUMBER(INDEX('My equipment'!$P$4:$P$503,(_calc!$E$212-500))),TEXT(INDEX('My equipment'!$P$4:$P$503,(_calc!$E$212-500)),"yyyy-mm-dd"),"")&amp;". ")&amp;IF(LEN(IF(LEN(INDEX('My equipment'!$Q$4:$Q$503,(_calc!$E$212-500)))=0,"",INDEX('My equipment'!$Q$4:$Q$503,(_calc!$E$212-500))))=0,"","Claim status: "&amp;IF(LEN(INDEX('My equipment'!$Q$4:$Q$503,(_calc!$E$212-500)))=0,"",INDEX('My equipment'!$Q$4:$Q$503,(_calc!$E$212-500)))&amp;". ")&amp;IF(LEN(IF(LEN(INDEX('My equipment'!$R$4:$R$503,(_calc!$E$212-500)))=0,"",INDEX('My equipment'!$R$4:$R$503,(_calc!$E$212-500))))=0,"","Claims contact: "&amp;IF(LEN(INDEX('My equipment'!$R$4:$R$503,(_calc!$E$212-500)))=0,"",INDEX('My equipment'!$R$4:$R$503,(_calc!$E$212-500)))&amp;". ")&amp;IF(LEN(IF(LEN(INDEX('My equipment'!$S$4:$S$503,(_calc!$E$212-500)))=0,"",INDEX('My equipment'!$S$4:$S$503,(_calc!$E$212-500))))=0,"","Claims email: "&amp;IF(LEN(INDEX('My equipment'!$S$4:$S$503,(_calc!$E$212-500)))=0,"",INDEX('My equipment'!$S$4:$S$503,(_calc!$E$212-500)))&amp;". ")&amp;IF(LEN(IF(LEN(INDEX('My equipment'!$U$4:$U$503,(_calc!$E$212-500)))=0,"",INDEX('My equipment'!$U$4:$U$503,(_calc!$E$212-500))))=0,"","Registered: "&amp;IF(LEN(INDEX('My equipment'!$U$4:$U$503,(_calc!$E$212-500)))=0,"",INDEX('My equipment'!$U$4:$U$503,(_calc!$E$212-500)))&amp;". ")&amp;IF(LEN(IF(LEN(INDEX('My equipment'!$V$4:$V$503,(_calc!$E$212-500)))=0,"",INDEX('My equipment'!$V$4:$V$503,(_calc!$E$212-500))))=0,"","Proof on file: "&amp;IF(LEN(INDEX('My equipment'!$V$4:$V$503,(_calc!$E$212-500)))=0,"",INDEX('My equipment'!$V$4:$V$503,(_calc!$E$212-500)))&amp;". ")&amp;IF(LEN(IF(LEN(INDEX('My equipment'!$W$4:$W$503,(_calc!$E$212-500)))=0,"",INDEX('My equipment'!$W$4:$W$503,(_calc!$E$212-500))))=0,"","Claim ref: "&amp;IF(LEN(INDEX('My equipment'!$W$4:$W$503,(_calc!$E$212-500)))=0,"",INDEX('My equipment'!$W$4:$W$503,(_calc!$E$212-500)))&amp;". ")&amp;IF(LEN(IF(LEN(INDEX('My equipment'!$Y$4:$Y$503,(_calc!$E$212-500)))=0,"",INDEX('My equipment'!$Y$4:$Y$503,(_calc!$E$212-500))))=0,"",IF(LEN(INDEX('My equipment'!$Y$4:$Y$503,(_calc!$E$212-500)))=0,"",INDEX('My equipment'!$Y$4:$Y$503,(_calc!$E$212-500)))))))</f>
        <v/>
      </c>
      <c r="G210" s="54">
        <f>IF(_calc!$E$212="","",IF(_calc!$E$212&lt;=500,"",IF(LEN(INDEX('My equipment'!$X$4:$X$503,(_calc!$E$212-500)))=0,"",INDEX('My equipment'!$X$4:$X$503,(_calc!$E$212-500)))))</f>
        <v/>
      </c>
      <c r="K210" s="54">
        <f>IF(_calc!$E$212="","",IF(_calc!$E$212&lt;=500,"",IF(LEN(INDEX('My equipment'!$T$4:$T$503,(_calc!$E$212-500)))=0,"",INDEX('My equipment'!$T$4:$T$503,(_calc!$E$212-500)))))</f>
        <v/>
      </c>
    </row>
    <row r="211">
      <c r="A211" s="54">
        <f>IF(_calc!$E$213="","",IF(_calc!$E$213&lt;=500,"Warranty – "&amp;IF(LEN(INDEX('Dealer pipeline'!$C$4:$C$503,_calc!$E$213))=0,"",INDEX('Dealer pipeline'!$C$4:$C$503,_calc!$E$213))&amp;" – "&amp;IF(LEN(INDEX('Dealer pipeline'!$D$4:$D$503,_calc!$E$213))=0,"",INDEX('Dealer pipeline'!$D$4:$D$503,_calc!$E$213))&amp;" – "&amp;IF(LEN(INDEX('Dealer pipeline'!$A$4:$A$503,_calc!$E$213))=0,"",INDEX('Dealer pipeline'!$A$4:$A$503,_calc!$E$213)),"Warranty – "&amp;IF(LEN(INDEX('My equipment'!$A$4:$A$503,(_calc!$E$213-500)))=0,"",INDEX('My equipment'!$A$4:$A$503,(_calc!$E$213-500)))&amp;" – "&amp;IF(LEN(INDEX('My equipment'!$D$4:$D$503,(_calc!$E$213-500)))=0,"",INDEX('My equipment'!$D$4:$D$503,(_calc!$E$213-500)))))</f>
        <v/>
      </c>
      <c r="B211" s="54">
        <f>IF(_calc!$E$213="","",IF(_calc!$E$213&lt;=500,IF(ISNUMBER(INDEX('Dealer pipeline'!$M$4:$M$503,_calc!$E$213)),TEXT(INDEX('Dealer pipeline'!$M$4:$M$503,_calc!$E$213),"yyyy-mm-dd"),""),IF(ISNUMBER(INDEX('My equipment'!$M$4:$M$503,(_calc!$E$213-500))),TEXT(INDEX('My equipment'!$M$4:$M$503,(_calc!$E$213-500)),"yyyy-mm-dd"),"")))</f>
        <v/>
      </c>
      <c r="C211" s="54">
        <f>IF(_calc!$E$213="","",IF(_calc!$E$213&lt;=500,"Warranty","Warranty"))</f>
        <v/>
      </c>
      <c r="D211" s="54">
        <f>IF(_calc!$E$213="","",IF(_calc!$E$213&lt;=500,IF(ISNUMBER(INDEX('Dealer pipeline'!$H$4:$H$503,_calc!$E$213)),TEXT(INDEX('Dealer pipeline'!$H$4:$H$503,_calc!$E$213),"yyyy-mm-dd"),""),IF(ISNUMBER(INDEX('My equipment'!$H$4:$H$503,(_calc!$E$213-500))),TEXT(INDEX('My equipment'!$H$4:$H$503,(_calc!$E$213-500)),"yyyy-mm-dd"),"")))</f>
        <v/>
      </c>
      <c r="F211" s="54">
        <f>IF(_calc!$E$213="","",IF(_calc!$E$213&lt;=500,TRIM(IF(LEN(IF(LEN(INDEX('Dealer pipeline'!$A$4:$A$503,_calc!$E$213))=0,"",INDEX('Dealer pipeline'!$A$4:$A$503,_calc!$E$213)))=0,"","Customer: "&amp;IF(LEN(INDEX('Dealer pipeline'!$A$4:$A$503,_calc!$E$213))=0,"",INDEX('Dealer pipeline'!$A$4:$A$503,_calc!$E$213))&amp;". ")&amp;IF(LEN(IF(LEN(INDEX('Dealer pipeline'!$B$4:$B$503,_calc!$E$213))=0,"",INDEX('Dealer pipeline'!$B$4:$B$503,_calc!$E$213)))=0,"","Contact: "&amp;IF(LEN(INDEX('Dealer pipeline'!$B$4:$B$503,_calc!$E$213))=0,"",INDEX('Dealer pipeline'!$B$4:$B$503,_calc!$E$213))&amp;". ")&amp;IF(LEN(IF(LEN(INDEX('Dealer pipeline'!$D$4:$D$503,_calc!$E$213))=0,"",INDEX('Dealer pipeline'!$D$4:$D$503,_calc!$E$213)))=0,"","Serial: "&amp;IF(LEN(INDEX('Dealer pipeline'!$D$4:$D$503,_calc!$E$213))=0,"",INDEX('Dealer pipeline'!$D$4:$D$503,_calc!$E$213))&amp;". ")&amp;IF(LEN(IF(ISNUMBER(INDEX('Dealer pipeline'!$J$4:$J$503,_calc!$E$213)),TEXT(INDEX('Dealer pipeline'!$J$4:$J$503,_calc!$E$213),"yyyy-mm-dd"),""))=0,"","Parts end: "&amp;IF(ISNUMBER(INDEX('Dealer pipeline'!$J$4:$J$503,_calc!$E$213)),TEXT(INDEX('Dealer pipeline'!$J$4:$J$503,_calc!$E$213),"yyyy-mm-dd"),"")&amp;". ")&amp;IF(LEN(IF(ISNUMBER(INDEX('Dealer pipeline'!$L$4:$L$503,_calc!$E$213)),TEXT(INDEX('Dealer pipeline'!$L$4:$L$503,_calc!$E$213),"yyyy-mm-dd"),""))=0,"","Labor end: "&amp;IF(ISNUMBER(INDEX('Dealer pipeline'!$L$4:$L$503,_calc!$E$213)),TEXT(INDEX('Dealer pipeline'!$L$4:$L$503,_calc!$E$213),"yyyy-mm-dd"),"")&amp;". ")&amp;IF(LEN(IF(LEN(INDEX('Dealer pipeline'!$Q$4:$Q$503,_calc!$E$213))=0,"",INDEX('Dealer pipeline'!$Q$4:$Q$503,_calc!$E$213)))=0,"","Status: "&amp;IF(LEN(INDEX('Dealer pipeline'!$Q$4:$Q$503,_calc!$E$213))=0,"",INDEX('Dealer pipeline'!$Q$4:$Q$503,_calc!$E$213))&amp;". ")&amp;IF(LEN(IF(LEN(INDEX('Dealer pipeline'!$P$4:$P$503,_calc!$E$213))=0,"",INDEX('Dealer pipeline'!$P$4:$P$503,_calc!$E$213)))=0,"","Last touch: "&amp;IF(LEN(INDEX('Dealer pipeline'!$P$4:$P$503,_calc!$E$213))=0,"",INDEX('Dealer pipeline'!$P$4:$P$503,_calc!$E$213))&amp;". ")&amp;IF(LEN(IF(LEN(INDEX('Dealer pipeline'!$R$4:$R$503,_calc!$E$213))=0,"",INDEX('Dealer pipeline'!$R$4:$R$503,_calc!$E$213)))=0,"","Owner: "&amp;IF(LEN(INDEX('Dealer pipeline'!$R$4:$R$503,_calc!$E$213))=0,"",INDEX('Dealer pipeline'!$R$4:$R$503,_calc!$E$213))&amp;". ")&amp;IF(LEN(IF(LEN(INDEX('Dealer pipeline'!$S$4:$S$503,_calc!$E$213))=0,"",INDEX('Dealer pipeline'!$S$4:$S$503,_calc!$E$213)))=0,"","Backup: "&amp;IF(LEN(INDEX('Dealer pipeline'!$S$4:$S$503,_calc!$E$213))=0,"",INDEX('Dealer pipeline'!$S$4:$S$503,_calc!$E$213))&amp;". ")&amp;IF(LEN(IF(LEN(INDEX('Dealer pipeline'!$T$4:$T$503,_calc!$E$213))=0,"",INDEX('Dealer pipeline'!$T$4:$T$503,_calc!$E$213)))=0,"",IF(LEN(INDEX('Dealer pipeline'!$T$4:$T$503,_calc!$E$213))=0,"",INDEX('Dealer pipeline'!$T$4:$T$503,_calc!$E$213)))),TRIM(IF(LEN(IF(LEN(INDEX('My equipment'!$C$4:$C$503,(_calc!$E$213-500)))=0,"",INDEX('My equipment'!$C$4:$C$503,(_calc!$E$213-500))))=0,"","Model: "&amp;IF(LEN(INDEX('My equipment'!$C$4:$C$503,(_calc!$E$213-500)))=0,"",INDEX('My equipment'!$C$4:$C$503,(_calc!$E$213-500)))&amp;". ")&amp;IF(LEN(IF(LEN(INDEX('My equipment'!$D$4:$D$503,(_calc!$E$213-500)))=0,"",INDEX('My equipment'!$D$4:$D$503,(_calc!$E$213-500))))=0,"","Serial: "&amp;IF(LEN(INDEX('My equipment'!$D$4:$D$503,(_calc!$E$213-500)))=0,"",INDEX('My equipment'!$D$4:$D$503,(_calc!$E$213-500)))&amp;". ")&amp;IF(LEN(IF(ISNUMBER(INDEX('My equipment'!$J$4:$J$503,(_calc!$E$213-500))),TEXT(INDEX('My equipment'!$J$4:$J$503,(_calc!$E$213-500)),"yyyy-mm-dd"),""))=0,"","Parts end: "&amp;IF(ISNUMBER(INDEX('My equipment'!$J$4:$J$503,(_calc!$E$213-500))),TEXT(INDEX('My equipment'!$J$4:$J$503,(_calc!$E$213-500)),"yyyy-mm-dd"),"")&amp;". ")&amp;IF(LEN(IF(ISNUMBER(INDEX('My equipment'!$L$4:$L$503,(_calc!$E$213-500))),TEXT(INDEX('My equipment'!$L$4:$L$503,(_calc!$E$213-500)),"yyyy-mm-dd"),""))=0,"","Labor end: "&amp;IF(ISNUMBER(INDEX('My equipment'!$L$4:$L$503,(_calc!$E$213-500))),TEXT(INDEX('My equipment'!$L$4:$L$503,(_calc!$E$213-500)),"yyyy-mm-dd"),"")&amp;". ")&amp;IF(LEN(IF(ISNUMBER(INDEX('My equipment'!$P$4:$P$503,(_calc!$E$213-500))),TEXT(INDEX('My equipment'!$P$4:$P$503,(_calc!$E$213-500)),"yyyy-mm-dd"),""))=0,"","Check by: "&amp;IF(ISNUMBER(INDEX('My equipment'!$P$4:$P$503,(_calc!$E$213-500))),TEXT(INDEX('My equipment'!$P$4:$P$503,(_calc!$E$213-500)),"yyyy-mm-dd"),"")&amp;". ")&amp;IF(LEN(IF(LEN(INDEX('My equipment'!$Q$4:$Q$503,(_calc!$E$213-500)))=0,"",INDEX('My equipment'!$Q$4:$Q$503,(_calc!$E$213-500))))=0,"","Claim status: "&amp;IF(LEN(INDEX('My equipment'!$Q$4:$Q$503,(_calc!$E$213-500)))=0,"",INDEX('My equipment'!$Q$4:$Q$503,(_calc!$E$213-500)))&amp;". ")&amp;IF(LEN(IF(LEN(INDEX('My equipment'!$R$4:$R$503,(_calc!$E$213-500)))=0,"",INDEX('My equipment'!$R$4:$R$503,(_calc!$E$213-500))))=0,"","Claims contact: "&amp;IF(LEN(INDEX('My equipment'!$R$4:$R$503,(_calc!$E$213-500)))=0,"",INDEX('My equipment'!$R$4:$R$503,(_calc!$E$213-500)))&amp;". ")&amp;IF(LEN(IF(LEN(INDEX('My equipment'!$S$4:$S$503,(_calc!$E$213-500)))=0,"",INDEX('My equipment'!$S$4:$S$503,(_calc!$E$213-500))))=0,"","Claims email: "&amp;IF(LEN(INDEX('My equipment'!$S$4:$S$503,(_calc!$E$213-500)))=0,"",INDEX('My equipment'!$S$4:$S$503,(_calc!$E$213-500)))&amp;". ")&amp;IF(LEN(IF(LEN(INDEX('My equipment'!$U$4:$U$503,(_calc!$E$213-500)))=0,"",INDEX('My equipment'!$U$4:$U$503,(_calc!$E$213-500))))=0,"","Registered: "&amp;IF(LEN(INDEX('My equipment'!$U$4:$U$503,(_calc!$E$213-500)))=0,"",INDEX('My equipment'!$U$4:$U$503,(_calc!$E$213-500)))&amp;". ")&amp;IF(LEN(IF(LEN(INDEX('My equipment'!$V$4:$V$503,(_calc!$E$213-500)))=0,"",INDEX('My equipment'!$V$4:$V$503,(_calc!$E$213-500))))=0,"","Proof on file: "&amp;IF(LEN(INDEX('My equipment'!$V$4:$V$503,(_calc!$E$213-500)))=0,"",INDEX('My equipment'!$V$4:$V$503,(_calc!$E$213-500)))&amp;". ")&amp;IF(LEN(IF(LEN(INDEX('My equipment'!$W$4:$W$503,(_calc!$E$213-500)))=0,"",INDEX('My equipment'!$W$4:$W$503,(_calc!$E$213-500))))=0,"","Claim ref: "&amp;IF(LEN(INDEX('My equipment'!$W$4:$W$503,(_calc!$E$213-500)))=0,"",INDEX('My equipment'!$W$4:$W$503,(_calc!$E$213-500)))&amp;". ")&amp;IF(LEN(IF(LEN(INDEX('My equipment'!$Y$4:$Y$503,(_calc!$E$213-500)))=0,"",INDEX('My equipment'!$Y$4:$Y$503,(_calc!$E$213-500))))=0,"",IF(LEN(INDEX('My equipment'!$Y$4:$Y$503,(_calc!$E$213-500)))=0,"",INDEX('My equipment'!$Y$4:$Y$503,(_calc!$E$213-500)))))))</f>
        <v/>
      </c>
      <c r="G211" s="54">
        <f>IF(_calc!$E$213="","",IF(_calc!$E$213&lt;=500,"",IF(LEN(INDEX('My equipment'!$X$4:$X$503,(_calc!$E$213-500)))=0,"",INDEX('My equipment'!$X$4:$X$503,(_calc!$E$213-500)))))</f>
        <v/>
      </c>
      <c r="K211" s="54">
        <f>IF(_calc!$E$213="","",IF(_calc!$E$213&lt;=500,"",IF(LEN(INDEX('My equipment'!$T$4:$T$503,(_calc!$E$213-500)))=0,"",INDEX('My equipment'!$T$4:$T$503,(_calc!$E$213-500)))))</f>
        <v/>
      </c>
    </row>
    <row r="212">
      <c r="A212" s="54">
        <f>IF(_calc!$E$214="","",IF(_calc!$E$214&lt;=500,"Warranty – "&amp;IF(LEN(INDEX('Dealer pipeline'!$C$4:$C$503,_calc!$E$214))=0,"",INDEX('Dealer pipeline'!$C$4:$C$503,_calc!$E$214))&amp;" – "&amp;IF(LEN(INDEX('Dealer pipeline'!$D$4:$D$503,_calc!$E$214))=0,"",INDEX('Dealer pipeline'!$D$4:$D$503,_calc!$E$214))&amp;" – "&amp;IF(LEN(INDEX('Dealer pipeline'!$A$4:$A$503,_calc!$E$214))=0,"",INDEX('Dealer pipeline'!$A$4:$A$503,_calc!$E$214)),"Warranty – "&amp;IF(LEN(INDEX('My equipment'!$A$4:$A$503,(_calc!$E$214-500)))=0,"",INDEX('My equipment'!$A$4:$A$503,(_calc!$E$214-500)))&amp;" – "&amp;IF(LEN(INDEX('My equipment'!$D$4:$D$503,(_calc!$E$214-500)))=0,"",INDEX('My equipment'!$D$4:$D$503,(_calc!$E$214-500)))))</f>
        <v/>
      </c>
      <c r="B212" s="54">
        <f>IF(_calc!$E$214="","",IF(_calc!$E$214&lt;=500,IF(ISNUMBER(INDEX('Dealer pipeline'!$M$4:$M$503,_calc!$E$214)),TEXT(INDEX('Dealer pipeline'!$M$4:$M$503,_calc!$E$214),"yyyy-mm-dd"),""),IF(ISNUMBER(INDEX('My equipment'!$M$4:$M$503,(_calc!$E$214-500))),TEXT(INDEX('My equipment'!$M$4:$M$503,(_calc!$E$214-500)),"yyyy-mm-dd"),"")))</f>
        <v/>
      </c>
      <c r="C212" s="54">
        <f>IF(_calc!$E$214="","",IF(_calc!$E$214&lt;=500,"Warranty","Warranty"))</f>
        <v/>
      </c>
      <c r="D212" s="54">
        <f>IF(_calc!$E$214="","",IF(_calc!$E$214&lt;=500,IF(ISNUMBER(INDEX('Dealer pipeline'!$H$4:$H$503,_calc!$E$214)),TEXT(INDEX('Dealer pipeline'!$H$4:$H$503,_calc!$E$214),"yyyy-mm-dd"),""),IF(ISNUMBER(INDEX('My equipment'!$H$4:$H$503,(_calc!$E$214-500))),TEXT(INDEX('My equipment'!$H$4:$H$503,(_calc!$E$214-500)),"yyyy-mm-dd"),"")))</f>
        <v/>
      </c>
      <c r="F212" s="54">
        <f>IF(_calc!$E$214="","",IF(_calc!$E$214&lt;=500,TRIM(IF(LEN(IF(LEN(INDEX('Dealer pipeline'!$A$4:$A$503,_calc!$E$214))=0,"",INDEX('Dealer pipeline'!$A$4:$A$503,_calc!$E$214)))=0,"","Customer: "&amp;IF(LEN(INDEX('Dealer pipeline'!$A$4:$A$503,_calc!$E$214))=0,"",INDEX('Dealer pipeline'!$A$4:$A$503,_calc!$E$214))&amp;". ")&amp;IF(LEN(IF(LEN(INDEX('Dealer pipeline'!$B$4:$B$503,_calc!$E$214))=0,"",INDEX('Dealer pipeline'!$B$4:$B$503,_calc!$E$214)))=0,"","Contact: "&amp;IF(LEN(INDEX('Dealer pipeline'!$B$4:$B$503,_calc!$E$214))=0,"",INDEX('Dealer pipeline'!$B$4:$B$503,_calc!$E$214))&amp;". ")&amp;IF(LEN(IF(LEN(INDEX('Dealer pipeline'!$D$4:$D$503,_calc!$E$214))=0,"",INDEX('Dealer pipeline'!$D$4:$D$503,_calc!$E$214)))=0,"","Serial: "&amp;IF(LEN(INDEX('Dealer pipeline'!$D$4:$D$503,_calc!$E$214))=0,"",INDEX('Dealer pipeline'!$D$4:$D$503,_calc!$E$214))&amp;". ")&amp;IF(LEN(IF(ISNUMBER(INDEX('Dealer pipeline'!$J$4:$J$503,_calc!$E$214)),TEXT(INDEX('Dealer pipeline'!$J$4:$J$503,_calc!$E$214),"yyyy-mm-dd"),""))=0,"","Parts end: "&amp;IF(ISNUMBER(INDEX('Dealer pipeline'!$J$4:$J$503,_calc!$E$214)),TEXT(INDEX('Dealer pipeline'!$J$4:$J$503,_calc!$E$214),"yyyy-mm-dd"),"")&amp;". ")&amp;IF(LEN(IF(ISNUMBER(INDEX('Dealer pipeline'!$L$4:$L$503,_calc!$E$214)),TEXT(INDEX('Dealer pipeline'!$L$4:$L$503,_calc!$E$214),"yyyy-mm-dd"),""))=0,"","Labor end: "&amp;IF(ISNUMBER(INDEX('Dealer pipeline'!$L$4:$L$503,_calc!$E$214)),TEXT(INDEX('Dealer pipeline'!$L$4:$L$503,_calc!$E$214),"yyyy-mm-dd"),"")&amp;". ")&amp;IF(LEN(IF(LEN(INDEX('Dealer pipeline'!$Q$4:$Q$503,_calc!$E$214))=0,"",INDEX('Dealer pipeline'!$Q$4:$Q$503,_calc!$E$214)))=0,"","Status: "&amp;IF(LEN(INDEX('Dealer pipeline'!$Q$4:$Q$503,_calc!$E$214))=0,"",INDEX('Dealer pipeline'!$Q$4:$Q$503,_calc!$E$214))&amp;". ")&amp;IF(LEN(IF(LEN(INDEX('Dealer pipeline'!$P$4:$P$503,_calc!$E$214))=0,"",INDEX('Dealer pipeline'!$P$4:$P$503,_calc!$E$214)))=0,"","Last touch: "&amp;IF(LEN(INDEX('Dealer pipeline'!$P$4:$P$503,_calc!$E$214))=0,"",INDEX('Dealer pipeline'!$P$4:$P$503,_calc!$E$214))&amp;". ")&amp;IF(LEN(IF(LEN(INDEX('Dealer pipeline'!$R$4:$R$503,_calc!$E$214))=0,"",INDEX('Dealer pipeline'!$R$4:$R$503,_calc!$E$214)))=0,"","Owner: "&amp;IF(LEN(INDEX('Dealer pipeline'!$R$4:$R$503,_calc!$E$214))=0,"",INDEX('Dealer pipeline'!$R$4:$R$503,_calc!$E$214))&amp;". ")&amp;IF(LEN(IF(LEN(INDEX('Dealer pipeline'!$S$4:$S$503,_calc!$E$214))=0,"",INDEX('Dealer pipeline'!$S$4:$S$503,_calc!$E$214)))=0,"","Backup: "&amp;IF(LEN(INDEX('Dealer pipeline'!$S$4:$S$503,_calc!$E$214))=0,"",INDEX('Dealer pipeline'!$S$4:$S$503,_calc!$E$214))&amp;". ")&amp;IF(LEN(IF(LEN(INDEX('Dealer pipeline'!$T$4:$T$503,_calc!$E$214))=0,"",INDEX('Dealer pipeline'!$T$4:$T$503,_calc!$E$214)))=0,"",IF(LEN(INDEX('Dealer pipeline'!$T$4:$T$503,_calc!$E$214))=0,"",INDEX('Dealer pipeline'!$T$4:$T$503,_calc!$E$214)))),TRIM(IF(LEN(IF(LEN(INDEX('My equipment'!$C$4:$C$503,(_calc!$E$214-500)))=0,"",INDEX('My equipment'!$C$4:$C$503,(_calc!$E$214-500))))=0,"","Model: "&amp;IF(LEN(INDEX('My equipment'!$C$4:$C$503,(_calc!$E$214-500)))=0,"",INDEX('My equipment'!$C$4:$C$503,(_calc!$E$214-500)))&amp;". ")&amp;IF(LEN(IF(LEN(INDEX('My equipment'!$D$4:$D$503,(_calc!$E$214-500)))=0,"",INDEX('My equipment'!$D$4:$D$503,(_calc!$E$214-500))))=0,"","Serial: "&amp;IF(LEN(INDEX('My equipment'!$D$4:$D$503,(_calc!$E$214-500)))=0,"",INDEX('My equipment'!$D$4:$D$503,(_calc!$E$214-500)))&amp;". ")&amp;IF(LEN(IF(ISNUMBER(INDEX('My equipment'!$J$4:$J$503,(_calc!$E$214-500))),TEXT(INDEX('My equipment'!$J$4:$J$503,(_calc!$E$214-500)),"yyyy-mm-dd"),""))=0,"","Parts end: "&amp;IF(ISNUMBER(INDEX('My equipment'!$J$4:$J$503,(_calc!$E$214-500))),TEXT(INDEX('My equipment'!$J$4:$J$503,(_calc!$E$214-500)),"yyyy-mm-dd"),"")&amp;". ")&amp;IF(LEN(IF(ISNUMBER(INDEX('My equipment'!$L$4:$L$503,(_calc!$E$214-500))),TEXT(INDEX('My equipment'!$L$4:$L$503,(_calc!$E$214-500)),"yyyy-mm-dd"),""))=0,"","Labor end: "&amp;IF(ISNUMBER(INDEX('My equipment'!$L$4:$L$503,(_calc!$E$214-500))),TEXT(INDEX('My equipment'!$L$4:$L$503,(_calc!$E$214-500)),"yyyy-mm-dd"),"")&amp;". ")&amp;IF(LEN(IF(ISNUMBER(INDEX('My equipment'!$P$4:$P$503,(_calc!$E$214-500))),TEXT(INDEX('My equipment'!$P$4:$P$503,(_calc!$E$214-500)),"yyyy-mm-dd"),""))=0,"","Check by: "&amp;IF(ISNUMBER(INDEX('My equipment'!$P$4:$P$503,(_calc!$E$214-500))),TEXT(INDEX('My equipment'!$P$4:$P$503,(_calc!$E$214-500)),"yyyy-mm-dd"),"")&amp;". ")&amp;IF(LEN(IF(LEN(INDEX('My equipment'!$Q$4:$Q$503,(_calc!$E$214-500)))=0,"",INDEX('My equipment'!$Q$4:$Q$503,(_calc!$E$214-500))))=0,"","Claim status: "&amp;IF(LEN(INDEX('My equipment'!$Q$4:$Q$503,(_calc!$E$214-500)))=0,"",INDEX('My equipment'!$Q$4:$Q$503,(_calc!$E$214-500)))&amp;". ")&amp;IF(LEN(IF(LEN(INDEX('My equipment'!$R$4:$R$503,(_calc!$E$214-500)))=0,"",INDEX('My equipment'!$R$4:$R$503,(_calc!$E$214-500))))=0,"","Claims contact: "&amp;IF(LEN(INDEX('My equipment'!$R$4:$R$503,(_calc!$E$214-500)))=0,"",INDEX('My equipment'!$R$4:$R$503,(_calc!$E$214-500)))&amp;". ")&amp;IF(LEN(IF(LEN(INDEX('My equipment'!$S$4:$S$503,(_calc!$E$214-500)))=0,"",INDEX('My equipment'!$S$4:$S$503,(_calc!$E$214-500))))=0,"","Claims email: "&amp;IF(LEN(INDEX('My equipment'!$S$4:$S$503,(_calc!$E$214-500)))=0,"",INDEX('My equipment'!$S$4:$S$503,(_calc!$E$214-500)))&amp;". ")&amp;IF(LEN(IF(LEN(INDEX('My equipment'!$U$4:$U$503,(_calc!$E$214-500)))=0,"",INDEX('My equipment'!$U$4:$U$503,(_calc!$E$214-500))))=0,"","Registered: "&amp;IF(LEN(INDEX('My equipment'!$U$4:$U$503,(_calc!$E$214-500)))=0,"",INDEX('My equipment'!$U$4:$U$503,(_calc!$E$214-500)))&amp;". ")&amp;IF(LEN(IF(LEN(INDEX('My equipment'!$V$4:$V$503,(_calc!$E$214-500)))=0,"",INDEX('My equipment'!$V$4:$V$503,(_calc!$E$214-500))))=0,"","Proof on file: "&amp;IF(LEN(INDEX('My equipment'!$V$4:$V$503,(_calc!$E$214-500)))=0,"",INDEX('My equipment'!$V$4:$V$503,(_calc!$E$214-500)))&amp;". ")&amp;IF(LEN(IF(LEN(INDEX('My equipment'!$W$4:$W$503,(_calc!$E$214-500)))=0,"",INDEX('My equipment'!$W$4:$W$503,(_calc!$E$214-500))))=0,"","Claim ref: "&amp;IF(LEN(INDEX('My equipment'!$W$4:$W$503,(_calc!$E$214-500)))=0,"",INDEX('My equipment'!$W$4:$W$503,(_calc!$E$214-500)))&amp;". ")&amp;IF(LEN(IF(LEN(INDEX('My equipment'!$Y$4:$Y$503,(_calc!$E$214-500)))=0,"",INDEX('My equipment'!$Y$4:$Y$503,(_calc!$E$214-500))))=0,"",IF(LEN(INDEX('My equipment'!$Y$4:$Y$503,(_calc!$E$214-500)))=0,"",INDEX('My equipment'!$Y$4:$Y$503,(_calc!$E$214-500)))))))</f>
        <v/>
      </c>
      <c r="G212" s="54">
        <f>IF(_calc!$E$214="","",IF(_calc!$E$214&lt;=500,"",IF(LEN(INDEX('My equipment'!$X$4:$X$503,(_calc!$E$214-500)))=0,"",INDEX('My equipment'!$X$4:$X$503,(_calc!$E$214-500)))))</f>
        <v/>
      </c>
      <c r="K212" s="54">
        <f>IF(_calc!$E$214="","",IF(_calc!$E$214&lt;=500,"",IF(LEN(INDEX('My equipment'!$T$4:$T$503,(_calc!$E$214-500)))=0,"",INDEX('My equipment'!$T$4:$T$503,(_calc!$E$214-500)))))</f>
        <v/>
      </c>
    </row>
    <row r="213">
      <c r="A213" s="54">
        <f>IF(_calc!$E$215="","",IF(_calc!$E$215&lt;=500,"Warranty – "&amp;IF(LEN(INDEX('Dealer pipeline'!$C$4:$C$503,_calc!$E$215))=0,"",INDEX('Dealer pipeline'!$C$4:$C$503,_calc!$E$215))&amp;" – "&amp;IF(LEN(INDEX('Dealer pipeline'!$D$4:$D$503,_calc!$E$215))=0,"",INDEX('Dealer pipeline'!$D$4:$D$503,_calc!$E$215))&amp;" – "&amp;IF(LEN(INDEX('Dealer pipeline'!$A$4:$A$503,_calc!$E$215))=0,"",INDEX('Dealer pipeline'!$A$4:$A$503,_calc!$E$215)),"Warranty – "&amp;IF(LEN(INDEX('My equipment'!$A$4:$A$503,(_calc!$E$215-500)))=0,"",INDEX('My equipment'!$A$4:$A$503,(_calc!$E$215-500)))&amp;" – "&amp;IF(LEN(INDEX('My equipment'!$D$4:$D$503,(_calc!$E$215-500)))=0,"",INDEX('My equipment'!$D$4:$D$503,(_calc!$E$215-500)))))</f>
        <v/>
      </c>
      <c r="B213" s="54">
        <f>IF(_calc!$E$215="","",IF(_calc!$E$215&lt;=500,IF(ISNUMBER(INDEX('Dealer pipeline'!$M$4:$M$503,_calc!$E$215)),TEXT(INDEX('Dealer pipeline'!$M$4:$M$503,_calc!$E$215),"yyyy-mm-dd"),""),IF(ISNUMBER(INDEX('My equipment'!$M$4:$M$503,(_calc!$E$215-500))),TEXT(INDEX('My equipment'!$M$4:$M$503,(_calc!$E$215-500)),"yyyy-mm-dd"),"")))</f>
        <v/>
      </c>
      <c r="C213" s="54">
        <f>IF(_calc!$E$215="","",IF(_calc!$E$215&lt;=500,"Warranty","Warranty"))</f>
        <v/>
      </c>
      <c r="D213" s="54">
        <f>IF(_calc!$E$215="","",IF(_calc!$E$215&lt;=500,IF(ISNUMBER(INDEX('Dealer pipeline'!$H$4:$H$503,_calc!$E$215)),TEXT(INDEX('Dealer pipeline'!$H$4:$H$503,_calc!$E$215),"yyyy-mm-dd"),""),IF(ISNUMBER(INDEX('My equipment'!$H$4:$H$503,(_calc!$E$215-500))),TEXT(INDEX('My equipment'!$H$4:$H$503,(_calc!$E$215-500)),"yyyy-mm-dd"),"")))</f>
        <v/>
      </c>
      <c r="F213" s="54">
        <f>IF(_calc!$E$215="","",IF(_calc!$E$215&lt;=500,TRIM(IF(LEN(IF(LEN(INDEX('Dealer pipeline'!$A$4:$A$503,_calc!$E$215))=0,"",INDEX('Dealer pipeline'!$A$4:$A$503,_calc!$E$215)))=0,"","Customer: "&amp;IF(LEN(INDEX('Dealer pipeline'!$A$4:$A$503,_calc!$E$215))=0,"",INDEX('Dealer pipeline'!$A$4:$A$503,_calc!$E$215))&amp;". ")&amp;IF(LEN(IF(LEN(INDEX('Dealer pipeline'!$B$4:$B$503,_calc!$E$215))=0,"",INDEX('Dealer pipeline'!$B$4:$B$503,_calc!$E$215)))=0,"","Contact: "&amp;IF(LEN(INDEX('Dealer pipeline'!$B$4:$B$503,_calc!$E$215))=0,"",INDEX('Dealer pipeline'!$B$4:$B$503,_calc!$E$215))&amp;". ")&amp;IF(LEN(IF(LEN(INDEX('Dealer pipeline'!$D$4:$D$503,_calc!$E$215))=0,"",INDEX('Dealer pipeline'!$D$4:$D$503,_calc!$E$215)))=0,"","Serial: "&amp;IF(LEN(INDEX('Dealer pipeline'!$D$4:$D$503,_calc!$E$215))=0,"",INDEX('Dealer pipeline'!$D$4:$D$503,_calc!$E$215))&amp;". ")&amp;IF(LEN(IF(ISNUMBER(INDEX('Dealer pipeline'!$J$4:$J$503,_calc!$E$215)),TEXT(INDEX('Dealer pipeline'!$J$4:$J$503,_calc!$E$215),"yyyy-mm-dd"),""))=0,"","Parts end: "&amp;IF(ISNUMBER(INDEX('Dealer pipeline'!$J$4:$J$503,_calc!$E$215)),TEXT(INDEX('Dealer pipeline'!$J$4:$J$503,_calc!$E$215),"yyyy-mm-dd"),"")&amp;". ")&amp;IF(LEN(IF(ISNUMBER(INDEX('Dealer pipeline'!$L$4:$L$503,_calc!$E$215)),TEXT(INDEX('Dealer pipeline'!$L$4:$L$503,_calc!$E$215),"yyyy-mm-dd"),""))=0,"","Labor end: "&amp;IF(ISNUMBER(INDEX('Dealer pipeline'!$L$4:$L$503,_calc!$E$215)),TEXT(INDEX('Dealer pipeline'!$L$4:$L$503,_calc!$E$215),"yyyy-mm-dd"),"")&amp;". ")&amp;IF(LEN(IF(LEN(INDEX('Dealer pipeline'!$Q$4:$Q$503,_calc!$E$215))=0,"",INDEX('Dealer pipeline'!$Q$4:$Q$503,_calc!$E$215)))=0,"","Status: "&amp;IF(LEN(INDEX('Dealer pipeline'!$Q$4:$Q$503,_calc!$E$215))=0,"",INDEX('Dealer pipeline'!$Q$4:$Q$503,_calc!$E$215))&amp;". ")&amp;IF(LEN(IF(LEN(INDEX('Dealer pipeline'!$P$4:$P$503,_calc!$E$215))=0,"",INDEX('Dealer pipeline'!$P$4:$P$503,_calc!$E$215)))=0,"","Last touch: "&amp;IF(LEN(INDEX('Dealer pipeline'!$P$4:$P$503,_calc!$E$215))=0,"",INDEX('Dealer pipeline'!$P$4:$P$503,_calc!$E$215))&amp;". ")&amp;IF(LEN(IF(LEN(INDEX('Dealer pipeline'!$R$4:$R$503,_calc!$E$215))=0,"",INDEX('Dealer pipeline'!$R$4:$R$503,_calc!$E$215)))=0,"","Owner: "&amp;IF(LEN(INDEX('Dealer pipeline'!$R$4:$R$503,_calc!$E$215))=0,"",INDEX('Dealer pipeline'!$R$4:$R$503,_calc!$E$215))&amp;". ")&amp;IF(LEN(IF(LEN(INDEX('Dealer pipeline'!$S$4:$S$503,_calc!$E$215))=0,"",INDEX('Dealer pipeline'!$S$4:$S$503,_calc!$E$215)))=0,"","Backup: "&amp;IF(LEN(INDEX('Dealer pipeline'!$S$4:$S$503,_calc!$E$215))=0,"",INDEX('Dealer pipeline'!$S$4:$S$503,_calc!$E$215))&amp;". ")&amp;IF(LEN(IF(LEN(INDEX('Dealer pipeline'!$T$4:$T$503,_calc!$E$215))=0,"",INDEX('Dealer pipeline'!$T$4:$T$503,_calc!$E$215)))=0,"",IF(LEN(INDEX('Dealer pipeline'!$T$4:$T$503,_calc!$E$215))=0,"",INDEX('Dealer pipeline'!$T$4:$T$503,_calc!$E$215)))),TRIM(IF(LEN(IF(LEN(INDEX('My equipment'!$C$4:$C$503,(_calc!$E$215-500)))=0,"",INDEX('My equipment'!$C$4:$C$503,(_calc!$E$215-500))))=0,"","Model: "&amp;IF(LEN(INDEX('My equipment'!$C$4:$C$503,(_calc!$E$215-500)))=0,"",INDEX('My equipment'!$C$4:$C$503,(_calc!$E$215-500)))&amp;". ")&amp;IF(LEN(IF(LEN(INDEX('My equipment'!$D$4:$D$503,(_calc!$E$215-500)))=0,"",INDEX('My equipment'!$D$4:$D$503,(_calc!$E$215-500))))=0,"","Serial: "&amp;IF(LEN(INDEX('My equipment'!$D$4:$D$503,(_calc!$E$215-500)))=0,"",INDEX('My equipment'!$D$4:$D$503,(_calc!$E$215-500)))&amp;". ")&amp;IF(LEN(IF(ISNUMBER(INDEX('My equipment'!$J$4:$J$503,(_calc!$E$215-500))),TEXT(INDEX('My equipment'!$J$4:$J$503,(_calc!$E$215-500)),"yyyy-mm-dd"),""))=0,"","Parts end: "&amp;IF(ISNUMBER(INDEX('My equipment'!$J$4:$J$503,(_calc!$E$215-500))),TEXT(INDEX('My equipment'!$J$4:$J$503,(_calc!$E$215-500)),"yyyy-mm-dd"),"")&amp;". ")&amp;IF(LEN(IF(ISNUMBER(INDEX('My equipment'!$L$4:$L$503,(_calc!$E$215-500))),TEXT(INDEX('My equipment'!$L$4:$L$503,(_calc!$E$215-500)),"yyyy-mm-dd"),""))=0,"","Labor end: "&amp;IF(ISNUMBER(INDEX('My equipment'!$L$4:$L$503,(_calc!$E$215-500))),TEXT(INDEX('My equipment'!$L$4:$L$503,(_calc!$E$215-500)),"yyyy-mm-dd"),"")&amp;". ")&amp;IF(LEN(IF(ISNUMBER(INDEX('My equipment'!$P$4:$P$503,(_calc!$E$215-500))),TEXT(INDEX('My equipment'!$P$4:$P$503,(_calc!$E$215-500)),"yyyy-mm-dd"),""))=0,"","Check by: "&amp;IF(ISNUMBER(INDEX('My equipment'!$P$4:$P$503,(_calc!$E$215-500))),TEXT(INDEX('My equipment'!$P$4:$P$503,(_calc!$E$215-500)),"yyyy-mm-dd"),"")&amp;". ")&amp;IF(LEN(IF(LEN(INDEX('My equipment'!$Q$4:$Q$503,(_calc!$E$215-500)))=0,"",INDEX('My equipment'!$Q$4:$Q$503,(_calc!$E$215-500))))=0,"","Claim status: "&amp;IF(LEN(INDEX('My equipment'!$Q$4:$Q$503,(_calc!$E$215-500)))=0,"",INDEX('My equipment'!$Q$4:$Q$503,(_calc!$E$215-500)))&amp;". ")&amp;IF(LEN(IF(LEN(INDEX('My equipment'!$R$4:$R$503,(_calc!$E$215-500)))=0,"",INDEX('My equipment'!$R$4:$R$503,(_calc!$E$215-500))))=0,"","Claims contact: "&amp;IF(LEN(INDEX('My equipment'!$R$4:$R$503,(_calc!$E$215-500)))=0,"",INDEX('My equipment'!$R$4:$R$503,(_calc!$E$215-500)))&amp;". ")&amp;IF(LEN(IF(LEN(INDEX('My equipment'!$S$4:$S$503,(_calc!$E$215-500)))=0,"",INDEX('My equipment'!$S$4:$S$503,(_calc!$E$215-500))))=0,"","Claims email: "&amp;IF(LEN(INDEX('My equipment'!$S$4:$S$503,(_calc!$E$215-500)))=0,"",INDEX('My equipment'!$S$4:$S$503,(_calc!$E$215-500)))&amp;". ")&amp;IF(LEN(IF(LEN(INDEX('My equipment'!$U$4:$U$503,(_calc!$E$215-500)))=0,"",INDEX('My equipment'!$U$4:$U$503,(_calc!$E$215-500))))=0,"","Registered: "&amp;IF(LEN(INDEX('My equipment'!$U$4:$U$503,(_calc!$E$215-500)))=0,"",INDEX('My equipment'!$U$4:$U$503,(_calc!$E$215-500)))&amp;". ")&amp;IF(LEN(IF(LEN(INDEX('My equipment'!$V$4:$V$503,(_calc!$E$215-500)))=0,"",INDEX('My equipment'!$V$4:$V$503,(_calc!$E$215-500))))=0,"","Proof on file: "&amp;IF(LEN(INDEX('My equipment'!$V$4:$V$503,(_calc!$E$215-500)))=0,"",INDEX('My equipment'!$V$4:$V$503,(_calc!$E$215-500)))&amp;". ")&amp;IF(LEN(IF(LEN(INDEX('My equipment'!$W$4:$W$503,(_calc!$E$215-500)))=0,"",INDEX('My equipment'!$W$4:$W$503,(_calc!$E$215-500))))=0,"","Claim ref: "&amp;IF(LEN(INDEX('My equipment'!$W$4:$W$503,(_calc!$E$215-500)))=0,"",INDEX('My equipment'!$W$4:$W$503,(_calc!$E$215-500)))&amp;". ")&amp;IF(LEN(IF(LEN(INDEX('My equipment'!$Y$4:$Y$503,(_calc!$E$215-500)))=0,"",INDEX('My equipment'!$Y$4:$Y$503,(_calc!$E$215-500))))=0,"",IF(LEN(INDEX('My equipment'!$Y$4:$Y$503,(_calc!$E$215-500)))=0,"",INDEX('My equipment'!$Y$4:$Y$503,(_calc!$E$215-500)))))))</f>
        <v/>
      </c>
      <c r="G213" s="54">
        <f>IF(_calc!$E$215="","",IF(_calc!$E$215&lt;=500,"",IF(LEN(INDEX('My equipment'!$X$4:$X$503,(_calc!$E$215-500)))=0,"",INDEX('My equipment'!$X$4:$X$503,(_calc!$E$215-500)))))</f>
        <v/>
      </c>
      <c r="K213" s="54">
        <f>IF(_calc!$E$215="","",IF(_calc!$E$215&lt;=500,"",IF(LEN(INDEX('My equipment'!$T$4:$T$503,(_calc!$E$215-500)))=0,"",INDEX('My equipment'!$T$4:$T$503,(_calc!$E$215-500)))))</f>
        <v/>
      </c>
    </row>
    <row r="214">
      <c r="A214" s="54">
        <f>IF(_calc!$E$216="","",IF(_calc!$E$216&lt;=500,"Warranty – "&amp;IF(LEN(INDEX('Dealer pipeline'!$C$4:$C$503,_calc!$E$216))=0,"",INDEX('Dealer pipeline'!$C$4:$C$503,_calc!$E$216))&amp;" – "&amp;IF(LEN(INDEX('Dealer pipeline'!$D$4:$D$503,_calc!$E$216))=0,"",INDEX('Dealer pipeline'!$D$4:$D$503,_calc!$E$216))&amp;" – "&amp;IF(LEN(INDEX('Dealer pipeline'!$A$4:$A$503,_calc!$E$216))=0,"",INDEX('Dealer pipeline'!$A$4:$A$503,_calc!$E$216)),"Warranty – "&amp;IF(LEN(INDEX('My equipment'!$A$4:$A$503,(_calc!$E$216-500)))=0,"",INDEX('My equipment'!$A$4:$A$503,(_calc!$E$216-500)))&amp;" – "&amp;IF(LEN(INDEX('My equipment'!$D$4:$D$503,(_calc!$E$216-500)))=0,"",INDEX('My equipment'!$D$4:$D$503,(_calc!$E$216-500)))))</f>
        <v/>
      </c>
      <c r="B214" s="54">
        <f>IF(_calc!$E$216="","",IF(_calc!$E$216&lt;=500,IF(ISNUMBER(INDEX('Dealer pipeline'!$M$4:$M$503,_calc!$E$216)),TEXT(INDEX('Dealer pipeline'!$M$4:$M$503,_calc!$E$216),"yyyy-mm-dd"),""),IF(ISNUMBER(INDEX('My equipment'!$M$4:$M$503,(_calc!$E$216-500))),TEXT(INDEX('My equipment'!$M$4:$M$503,(_calc!$E$216-500)),"yyyy-mm-dd"),"")))</f>
        <v/>
      </c>
      <c r="C214" s="54">
        <f>IF(_calc!$E$216="","",IF(_calc!$E$216&lt;=500,"Warranty","Warranty"))</f>
        <v/>
      </c>
      <c r="D214" s="54">
        <f>IF(_calc!$E$216="","",IF(_calc!$E$216&lt;=500,IF(ISNUMBER(INDEX('Dealer pipeline'!$H$4:$H$503,_calc!$E$216)),TEXT(INDEX('Dealer pipeline'!$H$4:$H$503,_calc!$E$216),"yyyy-mm-dd"),""),IF(ISNUMBER(INDEX('My equipment'!$H$4:$H$503,(_calc!$E$216-500))),TEXT(INDEX('My equipment'!$H$4:$H$503,(_calc!$E$216-500)),"yyyy-mm-dd"),"")))</f>
        <v/>
      </c>
      <c r="F214" s="54">
        <f>IF(_calc!$E$216="","",IF(_calc!$E$216&lt;=500,TRIM(IF(LEN(IF(LEN(INDEX('Dealer pipeline'!$A$4:$A$503,_calc!$E$216))=0,"",INDEX('Dealer pipeline'!$A$4:$A$503,_calc!$E$216)))=0,"","Customer: "&amp;IF(LEN(INDEX('Dealer pipeline'!$A$4:$A$503,_calc!$E$216))=0,"",INDEX('Dealer pipeline'!$A$4:$A$503,_calc!$E$216))&amp;". ")&amp;IF(LEN(IF(LEN(INDEX('Dealer pipeline'!$B$4:$B$503,_calc!$E$216))=0,"",INDEX('Dealer pipeline'!$B$4:$B$503,_calc!$E$216)))=0,"","Contact: "&amp;IF(LEN(INDEX('Dealer pipeline'!$B$4:$B$503,_calc!$E$216))=0,"",INDEX('Dealer pipeline'!$B$4:$B$503,_calc!$E$216))&amp;". ")&amp;IF(LEN(IF(LEN(INDEX('Dealer pipeline'!$D$4:$D$503,_calc!$E$216))=0,"",INDEX('Dealer pipeline'!$D$4:$D$503,_calc!$E$216)))=0,"","Serial: "&amp;IF(LEN(INDEX('Dealer pipeline'!$D$4:$D$503,_calc!$E$216))=0,"",INDEX('Dealer pipeline'!$D$4:$D$503,_calc!$E$216))&amp;". ")&amp;IF(LEN(IF(ISNUMBER(INDEX('Dealer pipeline'!$J$4:$J$503,_calc!$E$216)),TEXT(INDEX('Dealer pipeline'!$J$4:$J$503,_calc!$E$216),"yyyy-mm-dd"),""))=0,"","Parts end: "&amp;IF(ISNUMBER(INDEX('Dealer pipeline'!$J$4:$J$503,_calc!$E$216)),TEXT(INDEX('Dealer pipeline'!$J$4:$J$503,_calc!$E$216),"yyyy-mm-dd"),"")&amp;". ")&amp;IF(LEN(IF(ISNUMBER(INDEX('Dealer pipeline'!$L$4:$L$503,_calc!$E$216)),TEXT(INDEX('Dealer pipeline'!$L$4:$L$503,_calc!$E$216),"yyyy-mm-dd"),""))=0,"","Labor end: "&amp;IF(ISNUMBER(INDEX('Dealer pipeline'!$L$4:$L$503,_calc!$E$216)),TEXT(INDEX('Dealer pipeline'!$L$4:$L$503,_calc!$E$216),"yyyy-mm-dd"),"")&amp;". ")&amp;IF(LEN(IF(LEN(INDEX('Dealer pipeline'!$Q$4:$Q$503,_calc!$E$216))=0,"",INDEX('Dealer pipeline'!$Q$4:$Q$503,_calc!$E$216)))=0,"","Status: "&amp;IF(LEN(INDEX('Dealer pipeline'!$Q$4:$Q$503,_calc!$E$216))=0,"",INDEX('Dealer pipeline'!$Q$4:$Q$503,_calc!$E$216))&amp;". ")&amp;IF(LEN(IF(LEN(INDEX('Dealer pipeline'!$P$4:$P$503,_calc!$E$216))=0,"",INDEX('Dealer pipeline'!$P$4:$P$503,_calc!$E$216)))=0,"","Last touch: "&amp;IF(LEN(INDEX('Dealer pipeline'!$P$4:$P$503,_calc!$E$216))=0,"",INDEX('Dealer pipeline'!$P$4:$P$503,_calc!$E$216))&amp;". ")&amp;IF(LEN(IF(LEN(INDEX('Dealer pipeline'!$R$4:$R$503,_calc!$E$216))=0,"",INDEX('Dealer pipeline'!$R$4:$R$503,_calc!$E$216)))=0,"","Owner: "&amp;IF(LEN(INDEX('Dealer pipeline'!$R$4:$R$503,_calc!$E$216))=0,"",INDEX('Dealer pipeline'!$R$4:$R$503,_calc!$E$216))&amp;". ")&amp;IF(LEN(IF(LEN(INDEX('Dealer pipeline'!$S$4:$S$503,_calc!$E$216))=0,"",INDEX('Dealer pipeline'!$S$4:$S$503,_calc!$E$216)))=0,"","Backup: "&amp;IF(LEN(INDEX('Dealer pipeline'!$S$4:$S$503,_calc!$E$216))=0,"",INDEX('Dealer pipeline'!$S$4:$S$503,_calc!$E$216))&amp;". ")&amp;IF(LEN(IF(LEN(INDEX('Dealer pipeline'!$T$4:$T$503,_calc!$E$216))=0,"",INDEX('Dealer pipeline'!$T$4:$T$503,_calc!$E$216)))=0,"",IF(LEN(INDEX('Dealer pipeline'!$T$4:$T$503,_calc!$E$216))=0,"",INDEX('Dealer pipeline'!$T$4:$T$503,_calc!$E$216)))),TRIM(IF(LEN(IF(LEN(INDEX('My equipment'!$C$4:$C$503,(_calc!$E$216-500)))=0,"",INDEX('My equipment'!$C$4:$C$503,(_calc!$E$216-500))))=0,"","Model: "&amp;IF(LEN(INDEX('My equipment'!$C$4:$C$503,(_calc!$E$216-500)))=0,"",INDEX('My equipment'!$C$4:$C$503,(_calc!$E$216-500)))&amp;". ")&amp;IF(LEN(IF(LEN(INDEX('My equipment'!$D$4:$D$503,(_calc!$E$216-500)))=0,"",INDEX('My equipment'!$D$4:$D$503,(_calc!$E$216-500))))=0,"","Serial: "&amp;IF(LEN(INDEX('My equipment'!$D$4:$D$503,(_calc!$E$216-500)))=0,"",INDEX('My equipment'!$D$4:$D$503,(_calc!$E$216-500)))&amp;". ")&amp;IF(LEN(IF(ISNUMBER(INDEX('My equipment'!$J$4:$J$503,(_calc!$E$216-500))),TEXT(INDEX('My equipment'!$J$4:$J$503,(_calc!$E$216-500)),"yyyy-mm-dd"),""))=0,"","Parts end: "&amp;IF(ISNUMBER(INDEX('My equipment'!$J$4:$J$503,(_calc!$E$216-500))),TEXT(INDEX('My equipment'!$J$4:$J$503,(_calc!$E$216-500)),"yyyy-mm-dd"),"")&amp;". ")&amp;IF(LEN(IF(ISNUMBER(INDEX('My equipment'!$L$4:$L$503,(_calc!$E$216-500))),TEXT(INDEX('My equipment'!$L$4:$L$503,(_calc!$E$216-500)),"yyyy-mm-dd"),""))=0,"","Labor end: "&amp;IF(ISNUMBER(INDEX('My equipment'!$L$4:$L$503,(_calc!$E$216-500))),TEXT(INDEX('My equipment'!$L$4:$L$503,(_calc!$E$216-500)),"yyyy-mm-dd"),"")&amp;". ")&amp;IF(LEN(IF(ISNUMBER(INDEX('My equipment'!$P$4:$P$503,(_calc!$E$216-500))),TEXT(INDEX('My equipment'!$P$4:$P$503,(_calc!$E$216-500)),"yyyy-mm-dd"),""))=0,"","Check by: "&amp;IF(ISNUMBER(INDEX('My equipment'!$P$4:$P$503,(_calc!$E$216-500))),TEXT(INDEX('My equipment'!$P$4:$P$503,(_calc!$E$216-500)),"yyyy-mm-dd"),"")&amp;". ")&amp;IF(LEN(IF(LEN(INDEX('My equipment'!$Q$4:$Q$503,(_calc!$E$216-500)))=0,"",INDEX('My equipment'!$Q$4:$Q$503,(_calc!$E$216-500))))=0,"","Claim status: "&amp;IF(LEN(INDEX('My equipment'!$Q$4:$Q$503,(_calc!$E$216-500)))=0,"",INDEX('My equipment'!$Q$4:$Q$503,(_calc!$E$216-500)))&amp;". ")&amp;IF(LEN(IF(LEN(INDEX('My equipment'!$R$4:$R$503,(_calc!$E$216-500)))=0,"",INDEX('My equipment'!$R$4:$R$503,(_calc!$E$216-500))))=0,"","Claims contact: "&amp;IF(LEN(INDEX('My equipment'!$R$4:$R$503,(_calc!$E$216-500)))=0,"",INDEX('My equipment'!$R$4:$R$503,(_calc!$E$216-500)))&amp;". ")&amp;IF(LEN(IF(LEN(INDEX('My equipment'!$S$4:$S$503,(_calc!$E$216-500)))=0,"",INDEX('My equipment'!$S$4:$S$503,(_calc!$E$216-500))))=0,"","Claims email: "&amp;IF(LEN(INDEX('My equipment'!$S$4:$S$503,(_calc!$E$216-500)))=0,"",INDEX('My equipment'!$S$4:$S$503,(_calc!$E$216-500)))&amp;". ")&amp;IF(LEN(IF(LEN(INDEX('My equipment'!$U$4:$U$503,(_calc!$E$216-500)))=0,"",INDEX('My equipment'!$U$4:$U$503,(_calc!$E$216-500))))=0,"","Registered: "&amp;IF(LEN(INDEX('My equipment'!$U$4:$U$503,(_calc!$E$216-500)))=0,"",INDEX('My equipment'!$U$4:$U$503,(_calc!$E$216-500)))&amp;". ")&amp;IF(LEN(IF(LEN(INDEX('My equipment'!$V$4:$V$503,(_calc!$E$216-500)))=0,"",INDEX('My equipment'!$V$4:$V$503,(_calc!$E$216-500))))=0,"","Proof on file: "&amp;IF(LEN(INDEX('My equipment'!$V$4:$V$503,(_calc!$E$216-500)))=0,"",INDEX('My equipment'!$V$4:$V$503,(_calc!$E$216-500)))&amp;". ")&amp;IF(LEN(IF(LEN(INDEX('My equipment'!$W$4:$W$503,(_calc!$E$216-500)))=0,"",INDEX('My equipment'!$W$4:$W$503,(_calc!$E$216-500))))=0,"","Claim ref: "&amp;IF(LEN(INDEX('My equipment'!$W$4:$W$503,(_calc!$E$216-500)))=0,"",INDEX('My equipment'!$W$4:$W$503,(_calc!$E$216-500)))&amp;". ")&amp;IF(LEN(IF(LEN(INDEX('My equipment'!$Y$4:$Y$503,(_calc!$E$216-500)))=0,"",INDEX('My equipment'!$Y$4:$Y$503,(_calc!$E$216-500))))=0,"",IF(LEN(INDEX('My equipment'!$Y$4:$Y$503,(_calc!$E$216-500)))=0,"",INDEX('My equipment'!$Y$4:$Y$503,(_calc!$E$216-500)))))))</f>
        <v/>
      </c>
      <c r="G214" s="54">
        <f>IF(_calc!$E$216="","",IF(_calc!$E$216&lt;=500,"",IF(LEN(INDEX('My equipment'!$X$4:$X$503,(_calc!$E$216-500)))=0,"",INDEX('My equipment'!$X$4:$X$503,(_calc!$E$216-500)))))</f>
        <v/>
      </c>
      <c r="K214" s="54">
        <f>IF(_calc!$E$216="","",IF(_calc!$E$216&lt;=500,"",IF(LEN(INDEX('My equipment'!$T$4:$T$503,(_calc!$E$216-500)))=0,"",INDEX('My equipment'!$T$4:$T$503,(_calc!$E$216-500)))))</f>
        <v/>
      </c>
    </row>
    <row r="215">
      <c r="A215" s="54">
        <f>IF(_calc!$E$217="","",IF(_calc!$E$217&lt;=500,"Warranty – "&amp;IF(LEN(INDEX('Dealer pipeline'!$C$4:$C$503,_calc!$E$217))=0,"",INDEX('Dealer pipeline'!$C$4:$C$503,_calc!$E$217))&amp;" – "&amp;IF(LEN(INDEX('Dealer pipeline'!$D$4:$D$503,_calc!$E$217))=0,"",INDEX('Dealer pipeline'!$D$4:$D$503,_calc!$E$217))&amp;" – "&amp;IF(LEN(INDEX('Dealer pipeline'!$A$4:$A$503,_calc!$E$217))=0,"",INDEX('Dealer pipeline'!$A$4:$A$503,_calc!$E$217)),"Warranty – "&amp;IF(LEN(INDEX('My equipment'!$A$4:$A$503,(_calc!$E$217-500)))=0,"",INDEX('My equipment'!$A$4:$A$503,(_calc!$E$217-500)))&amp;" – "&amp;IF(LEN(INDEX('My equipment'!$D$4:$D$503,(_calc!$E$217-500)))=0,"",INDEX('My equipment'!$D$4:$D$503,(_calc!$E$217-500)))))</f>
        <v/>
      </c>
      <c r="B215" s="54">
        <f>IF(_calc!$E$217="","",IF(_calc!$E$217&lt;=500,IF(ISNUMBER(INDEX('Dealer pipeline'!$M$4:$M$503,_calc!$E$217)),TEXT(INDEX('Dealer pipeline'!$M$4:$M$503,_calc!$E$217),"yyyy-mm-dd"),""),IF(ISNUMBER(INDEX('My equipment'!$M$4:$M$503,(_calc!$E$217-500))),TEXT(INDEX('My equipment'!$M$4:$M$503,(_calc!$E$217-500)),"yyyy-mm-dd"),"")))</f>
        <v/>
      </c>
      <c r="C215" s="54">
        <f>IF(_calc!$E$217="","",IF(_calc!$E$217&lt;=500,"Warranty","Warranty"))</f>
        <v/>
      </c>
      <c r="D215" s="54">
        <f>IF(_calc!$E$217="","",IF(_calc!$E$217&lt;=500,IF(ISNUMBER(INDEX('Dealer pipeline'!$H$4:$H$503,_calc!$E$217)),TEXT(INDEX('Dealer pipeline'!$H$4:$H$503,_calc!$E$217),"yyyy-mm-dd"),""),IF(ISNUMBER(INDEX('My equipment'!$H$4:$H$503,(_calc!$E$217-500))),TEXT(INDEX('My equipment'!$H$4:$H$503,(_calc!$E$217-500)),"yyyy-mm-dd"),"")))</f>
        <v/>
      </c>
      <c r="F215" s="54">
        <f>IF(_calc!$E$217="","",IF(_calc!$E$217&lt;=500,TRIM(IF(LEN(IF(LEN(INDEX('Dealer pipeline'!$A$4:$A$503,_calc!$E$217))=0,"",INDEX('Dealer pipeline'!$A$4:$A$503,_calc!$E$217)))=0,"","Customer: "&amp;IF(LEN(INDEX('Dealer pipeline'!$A$4:$A$503,_calc!$E$217))=0,"",INDEX('Dealer pipeline'!$A$4:$A$503,_calc!$E$217))&amp;". ")&amp;IF(LEN(IF(LEN(INDEX('Dealer pipeline'!$B$4:$B$503,_calc!$E$217))=0,"",INDEX('Dealer pipeline'!$B$4:$B$503,_calc!$E$217)))=0,"","Contact: "&amp;IF(LEN(INDEX('Dealer pipeline'!$B$4:$B$503,_calc!$E$217))=0,"",INDEX('Dealer pipeline'!$B$4:$B$503,_calc!$E$217))&amp;". ")&amp;IF(LEN(IF(LEN(INDEX('Dealer pipeline'!$D$4:$D$503,_calc!$E$217))=0,"",INDEX('Dealer pipeline'!$D$4:$D$503,_calc!$E$217)))=0,"","Serial: "&amp;IF(LEN(INDEX('Dealer pipeline'!$D$4:$D$503,_calc!$E$217))=0,"",INDEX('Dealer pipeline'!$D$4:$D$503,_calc!$E$217))&amp;". ")&amp;IF(LEN(IF(ISNUMBER(INDEX('Dealer pipeline'!$J$4:$J$503,_calc!$E$217)),TEXT(INDEX('Dealer pipeline'!$J$4:$J$503,_calc!$E$217),"yyyy-mm-dd"),""))=0,"","Parts end: "&amp;IF(ISNUMBER(INDEX('Dealer pipeline'!$J$4:$J$503,_calc!$E$217)),TEXT(INDEX('Dealer pipeline'!$J$4:$J$503,_calc!$E$217),"yyyy-mm-dd"),"")&amp;". ")&amp;IF(LEN(IF(ISNUMBER(INDEX('Dealer pipeline'!$L$4:$L$503,_calc!$E$217)),TEXT(INDEX('Dealer pipeline'!$L$4:$L$503,_calc!$E$217),"yyyy-mm-dd"),""))=0,"","Labor end: "&amp;IF(ISNUMBER(INDEX('Dealer pipeline'!$L$4:$L$503,_calc!$E$217)),TEXT(INDEX('Dealer pipeline'!$L$4:$L$503,_calc!$E$217),"yyyy-mm-dd"),"")&amp;". ")&amp;IF(LEN(IF(LEN(INDEX('Dealer pipeline'!$Q$4:$Q$503,_calc!$E$217))=0,"",INDEX('Dealer pipeline'!$Q$4:$Q$503,_calc!$E$217)))=0,"","Status: "&amp;IF(LEN(INDEX('Dealer pipeline'!$Q$4:$Q$503,_calc!$E$217))=0,"",INDEX('Dealer pipeline'!$Q$4:$Q$503,_calc!$E$217))&amp;". ")&amp;IF(LEN(IF(LEN(INDEX('Dealer pipeline'!$P$4:$P$503,_calc!$E$217))=0,"",INDEX('Dealer pipeline'!$P$4:$P$503,_calc!$E$217)))=0,"","Last touch: "&amp;IF(LEN(INDEX('Dealer pipeline'!$P$4:$P$503,_calc!$E$217))=0,"",INDEX('Dealer pipeline'!$P$4:$P$503,_calc!$E$217))&amp;". ")&amp;IF(LEN(IF(LEN(INDEX('Dealer pipeline'!$R$4:$R$503,_calc!$E$217))=0,"",INDEX('Dealer pipeline'!$R$4:$R$503,_calc!$E$217)))=0,"","Owner: "&amp;IF(LEN(INDEX('Dealer pipeline'!$R$4:$R$503,_calc!$E$217))=0,"",INDEX('Dealer pipeline'!$R$4:$R$503,_calc!$E$217))&amp;". ")&amp;IF(LEN(IF(LEN(INDEX('Dealer pipeline'!$S$4:$S$503,_calc!$E$217))=0,"",INDEX('Dealer pipeline'!$S$4:$S$503,_calc!$E$217)))=0,"","Backup: "&amp;IF(LEN(INDEX('Dealer pipeline'!$S$4:$S$503,_calc!$E$217))=0,"",INDEX('Dealer pipeline'!$S$4:$S$503,_calc!$E$217))&amp;". ")&amp;IF(LEN(IF(LEN(INDEX('Dealer pipeline'!$T$4:$T$503,_calc!$E$217))=0,"",INDEX('Dealer pipeline'!$T$4:$T$503,_calc!$E$217)))=0,"",IF(LEN(INDEX('Dealer pipeline'!$T$4:$T$503,_calc!$E$217))=0,"",INDEX('Dealer pipeline'!$T$4:$T$503,_calc!$E$217)))),TRIM(IF(LEN(IF(LEN(INDEX('My equipment'!$C$4:$C$503,(_calc!$E$217-500)))=0,"",INDEX('My equipment'!$C$4:$C$503,(_calc!$E$217-500))))=0,"","Model: "&amp;IF(LEN(INDEX('My equipment'!$C$4:$C$503,(_calc!$E$217-500)))=0,"",INDEX('My equipment'!$C$4:$C$503,(_calc!$E$217-500)))&amp;". ")&amp;IF(LEN(IF(LEN(INDEX('My equipment'!$D$4:$D$503,(_calc!$E$217-500)))=0,"",INDEX('My equipment'!$D$4:$D$503,(_calc!$E$217-500))))=0,"","Serial: "&amp;IF(LEN(INDEX('My equipment'!$D$4:$D$503,(_calc!$E$217-500)))=0,"",INDEX('My equipment'!$D$4:$D$503,(_calc!$E$217-500)))&amp;". ")&amp;IF(LEN(IF(ISNUMBER(INDEX('My equipment'!$J$4:$J$503,(_calc!$E$217-500))),TEXT(INDEX('My equipment'!$J$4:$J$503,(_calc!$E$217-500)),"yyyy-mm-dd"),""))=0,"","Parts end: "&amp;IF(ISNUMBER(INDEX('My equipment'!$J$4:$J$503,(_calc!$E$217-500))),TEXT(INDEX('My equipment'!$J$4:$J$503,(_calc!$E$217-500)),"yyyy-mm-dd"),"")&amp;". ")&amp;IF(LEN(IF(ISNUMBER(INDEX('My equipment'!$L$4:$L$503,(_calc!$E$217-500))),TEXT(INDEX('My equipment'!$L$4:$L$503,(_calc!$E$217-500)),"yyyy-mm-dd"),""))=0,"","Labor end: "&amp;IF(ISNUMBER(INDEX('My equipment'!$L$4:$L$503,(_calc!$E$217-500))),TEXT(INDEX('My equipment'!$L$4:$L$503,(_calc!$E$217-500)),"yyyy-mm-dd"),"")&amp;". ")&amp;IF(LEN(IF(ISNUMBER(INDEX('My equipment'!$P$4:$P$503,(_calc!$E$217-500))),TEXT(INDEX('My equipment'!$P$4:$P$503,(_calc!$E$217-500)),"yyyy-mm-dd"),""))=0,"","Check by: "&amp;IF(ISNUMBER(INDEX('My equipment'!$P$4:$P$503,(_calc!$E$217-500))),TEXT(INDEX('My equipment'!$P$4:$P$503,(_calc!$E$217-500)),"yyyy-mm-dd"),"")&amp;". ")&amp;IF(LEN(IF(LEN(INDEX('My equipment'!$Q$4:$Q$503,(_calc!$E$217-500)))=0,"",INDEX('My equipment'!$Q$4:$Q$503,(_calc!$E$217-500))))=0,"","Claim status: "&amp;IF(LEN(INDEX('My equipment'!$Q$4:$Q$503,(_calc!$E$217-500)))=0,"",INDEX('My equipment'!$Q$4:$Q$503,(_calc!$E$217-500)))&amp;". ")&amp;IF(LEN(IF(LEN(INDEX('My equipment'!$R$4:$R$503,(_calc!$E$217-500)))=0,"",INDEX('My equipment'!$R$4:$R$503,(_calc!$E$217-500))))=0,"","Claims contact: "&amp;IF(LEN(INDEX('My equipment'!$R$4:$R$503,(_calc!$E$217-500)))=0,"",INDEX('My equipment'!$R$4:$R$503,(_calc!$E$217-500)))&amp;". ")&amp;IF(LEN(IF(LEN(INDEX('My equipment'!$S$4:$S$503,(_calc!$E$217-500)))=0,"",INDEX('My equipment'!$S$4:$S$503,(_calc!$E$217-500))))=0,"","Claims email: "&amp;IF(LEN(INDEX('My equipment'!$S$4:$S$503,(_calc!$E$217-500)))=0,"",INDEX('My equipment'!$S$4:$S$503,(_calc!$E$217-500)))&amp;". ")&amp;IF(LEN(IF(LEN(INDEX('My equipment'!$U$4:$U$503,(_calc!$E$217-500)))=0,"",INDEX('My equipment'!$U$4:$U$503,(_calc!$E$217-500))))=0,"","Registered: "&amp;IF(LEN(INDEX('My equipment'!$U$4:$U$503,(_calc!$E$217-500)))=0,"",INDEX('My equipment'!$U$4:$U$503,(_calc!$E$217-500)))&amp;". ")&amp;IF(LEN(IF(LEN(INDEX('My equipment'!$V$4:$V$503,(_calc!$E$217-500)))=0,"",INDEX('My equipment'!$V$4:$V$503,(_calc!$E$217-500))))=0,"","Proof on file: "&amp;IF(LEN(INDEX('My equipment'!$V$4:$V$503,(_calc!$E$217-500)))=0,"",INDEX('My equipment'!$V$4:$V$503,(_calc!$E$217-500)))&amp;". ")&amp;IF(LEN(IF(LEN(INDEX('My equipment'!$W$4:$W$503,(_calc!$E$217-500)))=0,"",INDEX('My equipment'!$W$4:$W$503,(_calc!$E$217-500))))=0,"","Claim ref: "&amp;IF(LEN(INDEX('My equipment'!$W$4:$W$503,(_calc!$E$217-500)))=0,"",INDEX('My equipment'!$W$4:$W$503,(_calc!$E$217-500)))&amp;". ")&amp;IF(LEN(IF(LEN(INDEX('My equipment'!$Y$4:$Y$503,(_calc!$E$217-500)))=0,"",INDEX('My equipment'!$Y$4:$Y$503,(_calc!$E$217-500))))=0,"",IF(LEN(INDEX('My equipment'!$Y$4:$Y$503,(_calc!$E$217-500)))=0,"",INDEX('My equipment'!$Y$4:$Y$503,(_calc!$E$217-500)))))))</f>
        <v/>
      </c>
      <c r="G215" s="54">
        <f>IF(_calc!$E$217="","",IF(_calc!$E$217&lt;=500,"",IF(LEN(INDEX('My equipment'!$X$4:$X$503,(_calc!$E$217-500)))=0,"",INDEX('My equipment'!$X$4:$X$503,(_calc!$E$217-500)))))</f>
        <v/>
      </c>
      <c r="K215" s="54">
        <f>IF(_calc!$E$217="","",IF(_calc!$E$217&lt;=500,"",IF(LEN(INDEX('My equipment'!$T$4:$T$503,(_calc!$E$217-500)))=0,"",INDEX('My equipment'!$T$4:$T$503,(_calc!$E$217-500)))))</f>
        <v/>
      </c>
    </row>
    <row r="216">
      <c r="A216" s="54">
        <f>IF(_calc!$E$218="","",IF(_calc!$E$218&lt;=500,"Warranty – "&amp;IF(LEN(INDEX('Dealer pipeline'!$C$4:$C$503,_calc!$E$218))=0,"",INDEX('Dealer pipeline'!$C$4:$C$503,_calc!$E$218))&amp;" – "&amp;IF(LEN(INDEX('Dealer pipeline'!$D$4:$D$503,_calc!$E$218))=0,"",INDEX('Dealer pipeline'!$D$4:$D$503,_calc!$E$218))&amp;" – "&amp;IF(LEN(INDEX('Dealer pipeline'!$A$4:$A$503,_calc!$E$218))=0,"",INDEX('Dealer pipeline'!$A$4:$A$503,_calc!$E$218)),"Warranty – "&amp;IF(LEN(INDEX('My equipment'!$A$4:$A$503,(_calc!$E$218-500)))=0,"",INDEX('My equipment'!$A$4:$A$503,(_calc!$E$218-500)))&amp;" – "&amp;IF(LEN(INDEX('My equipment'!$D$4:$D$503,(_calc!$E$218-500)))=0,"",INDEX('My equipment'!$D$4:$D$503,(_calc!$E$218-500)))))</f>
        <v/>
      </c>
      <c r="B216" s="54">
        <f>IF(_calc!$E$218="","",IF(_calc!$E$218&lt;=500,IF(ISNUMBER(INDEX('Dealer pipeline'!$M$4:$M$503,_calc!$E$218)),TEXT(INDEX('Dealer pipeline'!$M$4:$M$503,_calc!$E$218),"yyyy-mm-dd"),""),IF(ISNUMBER(INDEX('My equipment'!$M$4:$M$503,(_calc!$E$218-500))),TEXT(INDEX('My equipment'!$M$4:$M$503,(_calc!$E$218-500)),"yyyy-mm-dd"),"")))</f>
        <v/>
      </c>
      <c r="C216" s="54">
        <f>IF(_calc!$E$218="","",IF(_calc!$E$218&lt;=500,"Warranty","Warranty"))</f>
        <v/>
      </c>
      <c r="D216" s="54">
        <f>IF(_calc!$E$218="","",IF(_calc!$E$218&lt;=500,IF(ISNUMBER(INDEX('Dealer pipeline'!$H$4:$H$503,_calc!$E$218)),TEXT(INDEX('Dealer pipeline'!$H$4:$H$503,_calc!$E$218),"yyyy-mm-dd"),""),IF(ISNUMBER(INDEX('My equipment'!$H$4:$H$503,(_calc!$E$218-500))),TEXT(INDEX('My equipment'!$H$4:$H$503,(_calc!$E$218-500)),"yyyy-mm-dd"),"")))</f>
        <v/>
      </c>
      <c r="F216" s="54">
        <f>IF(_calc!$E$218="","",IF(_calc!$E$218&lt;=500,TRIM(IF(LEN(IF(LEN(INDEX('Dealer pipeline'!$A$4:$A$503,_calc!$E$218))=0,"",INDEX('Dealer pipeline'!$A$4:$A$503,_calc!$E$218)))=0,"","Customer: "&amp;IF(LEN(INDEX('Dealer pipeline'!$A$4:$A$503,_calc!$E$218))=0,"",INDEX('Dealer pipeline'!$A$4:$A$503,_calc!$E$218))&amp;". ")&amp;IF(LEN(IF(LEN(INDEX('Dealer pipeline'!$B$4:$B$503,_calc!$E$218))=0,"",INDEX('Dealer pipeline'!$B$4:$B$503,_calc!$E$218)))=0,"","Contact: "&amp;IF(LEN(INDEX('Dealer pipeline'!$B$4:$B$503,_calc!$E$218))=0,"",INDEX('Dealer pipeline'!$B$4:$B$503,_calc!$E$218))&amp;". ")&amp;IF(LEN(IF(LEN(INDEX('Dealer pipeline'!$D$4:$D$503,_calc!$E$218))=0,"",INDEX('Dealer pipeline'!$D$4:$D$503,_calc!$E$218)))=0,"","Serial: "&amp;IF(LEN(INDEX('Dealer pipeline'!$D$4:$D$503,_calc!$E$218))=0,"",INDEX('Dealer pipeline'!$D$4:$D$503,_calc!$E$218))&amp;". ")&amp;IF(LEN(IF(ISNUMBER(INDEX('Dealer pipeline'!$J$4:$J$503,_calc!$E$218)),TEXT(INDEX('Dealer pipeline'!$J$4:$J$503,_calc!$E$218),"yyyy-mm-dd"),""))=0,"","Parts end: "&amp;IF(ISNUMBER(INDEX('Dealer pipeline'!$J$4:$J$503,_calc!$E$218)),TEXT(INDEX('Dealer pipeline'!$J$4:$J$503,_calc!$E$218),"yyyy-mm-dd"),"")&amp;". ")&amp;IF(LEN(IF(ISNUMBER(INDEX('Dealer pipeline'!$L$4:$L$503,_calc!$E$218)),TEXT(INDEX('Dealer pipeline'!$L$4:$L$503,_calc!$E$218),"yyyy-mm-dd"),""))=0,"","Labor end: "&amp;IF(ISNUMBER(INDEX('Dealer pipeline'!$L$4:$L$503,_calc!$E$218)),TEXT(INDEX('Dealer pipeline'!$L$4:$L$503,_calc!$E$218),"yyyy-mm-dd"),"")&amp;". ")&amp;IF(LEN(IF(LEN(INDEX('Dealer pipeline'!$Q$4:$Q$503,_calc!$E$218))=0,"",INDEX('Dealer pipeline'!$Q$4:$Q$503,_calc!$E$218)))=0,"","Status: "&amp;IF(LEN(INDEX('Dealer pipeline'!$Q$4:$Q$503,_calc!$E$218))=0,"",INDEX('Dealer pipeline'!$Q$4:$Q$503,_calc!$E$218))&amp;". ")&amp;IF(LEN(IF(LEN(INDEX('Dealer pipeline'!$P$4:$P$503,_calc!$E$218))=0,"",INDEX('Dealer pipeline'!$P$4:$P$503,_calc!$E$218)))=0,"","Last touch: "&amp;IF(LEN(INDEX('Dealer pipeline'!$P$4:$P$503,_calc!$E$218))=0,"",INDEX('Dealer pipeline'!$P$4:$P$503,_calc!$E$218))&amp;". ")&amp;IF(LEN(IF(LEN(INDEX('Dealer pipeline'!$R$4:$R$503,_calc!$E$218))=0,"",INDEX('Dealer pipeline'!$R$4:$R$503,_calc!$E$218)))=0,"","Owner: "&amp;IF(LEN(INDEX('Dealer pipeline'!$R$4:$R$503,_calc!$E$218))=0,"",INDEX('Dealer pipeline'!$R$4:$R$503,_calc!$E$218))&amp;". ")&amp;IF(LEN(IF(LEN(INDEX('Dealer pipeline'!$S$4:$S$503,_calc!$E$218))=0,"",INDEX('Dealer pipeline'!$S$4:$S$503,_calc!$E$218)))=0,"","Backup: "&amp;IF(LEN(INDEX('Dealer pipeline'!$S$4:$S$503,_calc!$E$218))=0,"",INDEX('Dealer pipeline'!$S$4:$S$503,_calc!$E$218))&amp;". ")&amp;IF(LEN(IF(LEN(INDEX('Dealer pipeline'!$T$4:$T$503,_calc!$E$218))=0,"",INDEX('Dealer pipeline'!$T$4:$T$503,_calc!$E$218)))=0,"",IF(LEN(INDEX('Dealer pipeline'!$T$4:$T$503,_calc!$E$218))=0,"",INDEX('Dealer pipeline'!$T$4:$T$503,_calc!$E$218)))),TRIM(IF(LEN(IF(LEN(INDEX('My equipment'!$C$4:$C$503,(_calc!$E$218-500)))=0,"",INDEX('My equipment'!$C$4:$C$503,(_calc!$E$218-500))))=0,"","Model: "&amp;IF(LEN(INDEX('My equipment'!$C$4:$C$503,(_calc!$E$218-500)))=0,"",INDEX('My equipment'!$C$4:$C$503,(_calc!$E$218-500)))&amp;". ")&amp;IF(LEN(IF(LEN(INDEX('My equipment'!$D$4:$D$503,(_calc!$E$218-500)))=0,"",INDEX('My equipment'!$D$4:$D$503,(_calc!$E$218-500))))=0,"","Serial: "&amp;IF(LEN(INDEX('My equipment'!$D$4:$D$503,(_calc!$E$218-500)))=0,"",INDEX('My equipment'!$D$4:$D$503,(_calc!$E$218-500)))&amp;". ")&amp;IF(LEN(IF(ISNUMBER(INDEX('My equipment'!$J$4:$J$503,(_calc!$E$218-500))),TEXT(INDEX('My equipment'!$J$4:$J$503,(_calc!$E$218-500)),"yyyy-mm-dd"),""))=0,"","Parts end: "&amp;IF(ISNUMBER(INDEX('My equipment'!$J$4:$J$503,(_calc!$E$218-500))),TEXT(INDEX('My equipment'!$J$4:$J$503,(_calc!$E$218-500)),"yyyy-mm-dd"),"")&amp;". ")&amp;IF(LEN(IF(ISNUMBER(INDEX('My equipment'!$L$4:$L$503,(_calc!$E$218-500))),TEXT(INDEX('My equipment'!$L$4:$L$503,(_calc!$E$218-500)),"yyyy-mm-dd"),""))=0,"","Labor end: "&amp;IF(ISNUMBER(INDEX('My equipment'!$L$4:$L$503,(_calc!$E$218-500))),TEXT(INDEX('My equipment'!$L$4:$L$503,(_calc!$E$218-500)),"yyyy-mm-dd"),"")&amp;". ")&amp;IF(LEN(IF(ISNUMBER(INDEX('My equipment'!$P$4:$P$503,(_calc!$E$218-500))),TEXT(INDEX('My equipment'!$P$4:$P$503,(_calc!$E$218-500)),"yyyy-mm-dd"),""))=0,"","Check by: "&amp;IF(ISNUMBER(INDEX('My equipment'!$P$4:$P$503,(_calc!$E$218-500))),TEXT(INDEX('My equipment'!$P$4:$P$503,(_calc!$E$218-500)),"yyyy-mm-dd"),"")&amp;". ")&amp;IF(LEN(IF(LEN(INDEX('My equipment'!$Q$4:$Q$503,(_calc!$E$218-500)))=0,"",INDEX('My equipment'!$Q$4:$Q$503,(_calc!$E$218-500))))=0,"","Claim status: "&amp;IF(LEN(INDEX('My equipment'!$Q$4:$Q$503,(_calc!$E$218-500)))=0,"",INDEX('My equipment'!$Q$4:$Q$503,(_calc!$E$218-500)))&amp;". ")&amp;IF(LEN(IF(LEN(INDEX('My equipment'!$R$4:$R$503,(_calc!$E$218-500)))=0,"",INDEX('My equipment'!$R$4:$R$503,(_calc!$E$218-500))))=0,"","Claims contact: "&amp;IF(LEN(INDEX('My equipment'!$R$4:$R$503,(_calc!$E$218-500)))=0,"",INDEX('My equipment'!$R$4:$R$503,(_calc!$E$218-500)))&amp;". ")&amp;IF(LEN(IF(LEN(INDEX('My equipment'!$S$4:$S$503,(_calc!$E$218-500)))=0,"",INDEX('My equipment'!$S$4:$S$503,(_calc!$E$218-500))))=0,"","Claims email: "&amp;IF(LEN(INDEX('My equipment'!$S$4:$S$503,(_calc!$E$218-500)))=0,"",INDEX('My equipment'!$S$4:$S$503,(_calc!$E$218-500)))&amp;". ")&amp;IF(LEN(IF(LEN(INDEX('My equipment'!$U$4:$U$503,(_calc!$E$218-500)))=0,"",INDEX('My equipment'!$U$4:$U$503,(_calc!$E$218-500))))=0,"","Registered: "&amp;IF(LEN(INDEX('My equipment'!$U$4:$U$503,(_calc!$E$218-500)))=0,"",INDEX('My equipment'!$U$4:$U$503,(_calc!$E$218-500)))&amp;". ")&amp;IF(LEN(IF(LEN(INDEX('My equipment'!$V$4:$V$503,(_calc!$E$218-500)))=0,"",INDEX('My equipment'!$V$4:$V$503,(_calc!$E$218-500))))=0,"","Proof on file: "&amp;IF(LEN(INDEX('My equipment'!$V$4:$V$503,(_calc!$E$218-500)))=0,"",INDEX('My equipment'!$V$4:$V$503,(_calc!$E$218-500)))&amp;". ")&amp;IF(LEN(IF(LEN(INDEX('My equipment'!$W$4:$W$503,(_calc!$E$218-500)))=0,"",INDEX('My equipment'!$W$4:$W$503,(_calc!$E$218-500))))=0,"","Claim ref: "&amp;IF(LEN(INDEX('My equipment'!$W$4:$W$503,(_calc!$E$218-500)))=0,"",INDEX('My equipment'!$W$4:$W$503,(_calc!$E$218-500)))&amp;". ")&amp;IF(LEN(IF(LEN(INDEX('My equipment'!$Y$4:$Y$503,(_calc!$E$218-500)))=0,"",INDEX('My equipment'!$Y$4:$Y$503,(_calc!$E$218-500))))=0,"",IF(LEN(INDEX('My equipment'!$Y$4:$Y$503,(_calc!$E$218-500)))=0,"",INDEX('My equipment'!$Y$4:$Y$503,(_calc!$E$218-500)))))))</f>
        <v/>
      </c>
      <c r="G216" s="54">
        <f>IF(_calc!$E$218="","",IF(_calc!$E$218&lt;=500,"",IF(LEN(INDEX('My equipment'!$X$4:$X$503,(_calc!$E$218-500)))=0,"",INDEX('My equipment'!$X$4:$X$503,(_calc!$E$218-500)))))</f>
        <v/>
      </c>
      <c r="K216" s="54">
        <f>IF(_calc!$E$218="","",IF(_calc!$E$218&lt;=500,"",IF(LEN(INDEX('My equipment'!$T$4:$T$503,(_calc!$E$218-500)))=0,"",INDEX('My equipment'!$T$4:$T$503,(_calc!$E$218-500)))))</f>
        <v/>
      </c>
    </row>
    <row r="217">
      <c r="A217" s="54">
        <f>IF(_calc!$E$219="","",IF(_calc!$E$219&lt;=500,"Warranty – "&amp;IF(LEN(INDEX('Dealer pipeline'!$C$4:$C$503,_calc!$E$219))=0,"",INDEX('Dealer pipeline'!$C$4:$C$503,_calc!$E$219))&amp;" – "&amp;IF(LEN(INDEX('Dealer pipeline'!$D$4:$D$503,_calc!$E$219))=0,"",INDEX('Dealer pipeline'!$D$4:$D$503,_calc!$E$219))&amp;" – "&amp;IF(LEN(INDEX('Dealer pipeline'!$A$4:$A$503,_calc!$E$219))=0,"",INDEX('Dealer pipeline'!$A$4:$A$503,_calc!$E$219)),"Warranty – "&amp;IF(LEN(INDEX('My equipment'!$A$4:$A$503,(_calc!$E$219-500)))=0,"",INDEX('My equipment'!$A$4:$A$503,(_calc!$E$219-500)))&amp;" – "&amp;IF(LEN(INDEX('My equipment'!$D$4:$D$503,(_calc!$E$219-500)))=0,"",INDEX('My equipment'!$D$4:$D$503,(_calc!$E$219-500)))))</f>
        <v/>
      </c>
      <c r="B217" s="54">
        <f>IF(_calc!$E$219="","",IF(_calc!$E$219&lt;=500,IF(ISNUMBER(INDEX('Dealer pipeline'!$M$4:$M$503,_calc!$E$219)),TEXT(INDEX('Dealer pipeline'!$M$4:$M$503,_calc!$E$219),"yyyy-mm-dd"),""),IF(ISNUMBER(INDEX('My equipment'!$M$4:$M$503,(_calc!$E$219-500))),TEXT(INDEX('My equipment'!$M$4:$M$503,(_calc!$E$219-500)),"yyyy-mm-dd"),"")))</f>
        <v/>
      </c>
      <c r="C217" s="54">
        <f>IF(_calc!$E$219="","",IF(_calc!$E$219&lt;=500,"Warranty","Warranty"))</f>
        <v/>
      </c>
      <c r="D217" s="54">
        <f>IF(_calc!$E$219="","",IF(_calc!$E$219&lt;=500,IF(ISNUMBER(INDEX('Dealer pipeline'!$H$4:$H$503,_calc!$E$219)),TEXT(INDEX('Dealer pipeline'!$H$4:$H$503,_calc!$E$219),"yyyy-mm-dd"),""),IF(ISNUMBER(INDEX('My equipment'!$H$4:$H$503,(_calc!$E$219-500))),TEXT(INDEX('My equipment'!$H$4:$H$503,(_calc!$E$219-500)),"yyyy-mm-dd"),"")))</f>
        <v/>
      </c>
      <c r="F217" s="54">
        <f>IF(_calc!$E$219="","",IF(_calc!$E$219&lt;=500,TRIM(IF(LEN(IF(LEN(INDEX('Dealer pipeline'!$A$4:$A$503,_calc!$E$219))=0,"",INDEX('Dealer pipeline'!$A$4:$A$503,_calc!$E$219)))=0,"","Customer: "&amp;IF(LEN(INDEX('Dealer pipeline'!$A$4:$A$503,_calc!$E$219))=0,"",INDEX('Dealer pipeline'!$A$4:$A$503,_calc!$E$219))&amp;". ")&amp;IF(LEN(IF(LEN(INDEX('Dealer pipeline'!$B$4:$B$503,_calc!$E$219))=0,"",INDEX('Dealer pipeline'!$B$4:$B$503,_calc!$E$219)))=0,"","Contact: "&amp;IF(LEN(INDEX('Dealer pipeline'!$B$4:$B$503,_calc!$E$219))=0,"",INDEX('Dealer pipeline'!$B$4:$B$503,_calc!$E$219))&amp;". ")&amp;IF(LEN(IF(LEN(INDEX('Dealer pipeline'!$D$4:$D$503,_calc!$E$219))=0,"",INDEX('Dealer pipeline'!$D$4:$D$503,_calc!$E$219)))=0,"","Serial: "&amp;IF(LEN(INDEX('Dealer pipeline'!$D$4:$D$503,_calc!$E$219))=0,"",INDEX('Dealer pipeline'!$D$4:$D$503,_calc!$E$219))&amp;". ")&amp;IF(LEN(IF(ISNUMBER(INDEX('Dealer pipeline'!$J$4:$J$503,_calc!$E$219)),TEXT(INDEX('Dealer pipeline'!$J$4:$J$503,_calc!$E$219),"yyyy-mm-dd"),""))=0,"","Parts end: "&amp;IF(ISNUMBER(INDEX('Dealer pipeline'!$J$4:$J$503,_calc!$E$219)),TEXT(INDEX('Dealer pipeline'!$J$4:$J$503,_calc!$E$219),"yyyy-mm-dd"),"")&amp;". ")&amp;IF(LEN(IF(ISNUMBER(INDEX('Dealer pipeline'!$L$4:$L$503,_calc!$E$219)),TEXT(INDEX('Dealer pipeline'!$L$4:$L$503,_calc!$E$219),"yyyy-mm-dd"),""))=0,"","Labor end: "&amp;IF(ISNUMBER(INDEX('Dealer pipeline'!$L$4:$L$503,_calc!$E$219)),TEXT(INDEX('Dealer pipeline'!$L$4:$L$503,_calc!$E$219),"yyyy-mm-dd"),"")&amp;". ")&amp;IF(LEN(IF(LEN(INDEX('Dealer pipeline'!$Q$4:$Q$503,_calc!$E$219))=0,"",INDEX('Dealer pipeline'!$Q$4:$Q$503,_calc!$E$219)))=0,"","Status: "&amp;IF(LEN(INDEX('Dealer pipeline'!$Q$4:$Q$503,_calc!$E$219))=0,"",INDEX('Dealer pipeline'!$Q$4:$Q$503,_calc!$E$219))&amp;". ")&amp;IF(LEN(IF(LEN(INDEX('Dealer pipeline'!$P$4:$P$503,_calc!$E$219))=0,"",INDEX('Dealer pipeline'!$P$4:$P$503,_calc!$E$219)))=0,"","Last touch: "&amp;IF(LEN(INDEX('Dealer pipeline'!$P$4:$P$503,_calc!$E$219))=0,"",INDEX('Dealer pipeline'!$P$4:$P$503,_calc!$E$219))&amp;". ")&amp;IF(LEN(IF(LEN(INDEX('Dealer pipeline'!$R$4:$R$503,_calc!$E$219))=0,"",INDEX('Dealer pipeline'!$R$4:$R$503,_calc!$E$219)))=0,"","Owner: "&amp;IF(LEN(INDEX('Dealer pipeline'!$R$4:$R$503,_calc!$E$219))=0,"",INDEX('Dealer pipeline'!$R$4:$R$503,_calc!$E$219))&amp;". ")&amp;IF(LEN(IF(LEN(INDEX('Dealer pipeline'!$S$4:$S$503,_calc!$E$219))=0,"",INDEX('Dealer pipeline'!$S$4:$S$503,_calc!$E$219)))=0,"","Backup: "&amp;IF(LEN(INDEX('Dealer pipeline'!$S$4:$S$503,_calc!$E$219))=0,"",INDEX('Dealer pipeline'!$S$4:$S$503,_calc!$E$219))&amp;". ")&amp;IF(LEN(IF(LEN(INDEX('Dealer pipeline'!$T$4:$T$503,_calc!$E$219))=0,"",INDEX('Dealer pipeline'!$T$4:$T$503,_calc!$E$219)))=0,"",IF(LEN(INDEX('Dealer pipeline'!$T$4:$T$503,_calc!$E$219))=0,"",INDEX('Dealer pipeline'!$T$4:$T$503,_calc!$E$219)))),TRIM(IF(LEN(IF(LEN(INDEX('My equipment'!$C$4:$C$503,(_calc!$E$219-500)))=0,"",INDEX('My equipment'!$C$4:$C$503,(_calc!$E$219-500))))=0,"","Model: "&amp;IF(LEN(INDEX('My equipment'!$C$4:$C$503,(_calc!$E$219-500)))=0,"",INDEX('My equipment'!$C$4:$C$503,(_calc!$E$219-500)))&amp;". ")&amp;IF(LEN(IF(LEN(INDEX('My equipment'!$D$4:$D$503,(_calc!$E$219-500)))=0,"",INDEX('My equipment'!$D$4:$D$503,(_calc!$E$219-500))))=0,"","Serial: "&amp;IF(LEN(INDEX('My equipment'!$D$4:$D$503,(_calc!$E$219-500)))=0,"",INDEX('My equipment'!$D$4:$D$503,(_calc!$E$219-500)))&amp;". ")&amp;IF(LEN(IF(ISNUMBER(INDEX('My equipment'!$J$4:$J$503,(_calc!$E$219-500))),TEXT(INDEX('My equipment'!$J$4:$J$503,(_calc!$E$219-500)),"yyyy-mm-dd"),""))=0,"","Parts end: "&amp;IF(ISNUMBER(INDEX('My equipment'!$J$4:$J$503,(_calc!$E$219-500))),TEXT(INDEX('My equipment'!$J$4:$J$503,(_calc!$E$219-500)),"yyyy-mm-dd"),"")&amp;". ")&amp;IF(LEN(IF(ISNUMBER(INDEX('My equipment'!$L$4:$L$503,(_calc!$E$219-500))),TEXT(INDEX('My equipment'!$L$4:$L$503,(_calc!$E$219-500)),"yyyy-mm-dd"),""))=0,"","Labor end: "&amp;IF(ISNUMBER(INDEX('My equipment'!$L$4:$L$503,(_calc!$E$219-500))),TEXT(INDEX('My equipment'!$L$4:$L$503,(_calc!$E$219-500)),"yyyy-mm-dd"),"")&amp;". ")&amp;IF(LEN(IF(ISNUMBER(INDEX('My equipment'!$P$4:$P$503,(_calc!$E$219-500))),TEXT(INDEX('My equipment'!$P$4:$P$503,(_calc!$E$219-500)),"yyyy-mm-dd"),""))=0,"","Check by: "&amp;IF(ISNUMBER(INDEX('My equipment'!$P$4:$P$503,(_calc!$E$219-500))),TEXT(INDEX('My equipment'!$P$4:$P$503,(_calc!$E$219-500)),"yyyy-mm-dd"),"")&amp;". ")&amp;IF(LEN(IF(LEN(INDEX('My equipment'!$Q$4:$Q$503,(_calc!$E$219-500)))=0,"",INDEX('My equipment'!$Q$4:$Q$503,(_calc!$E$219-500))))=0,"","Claim status: "&amp;IF(LEN(INDEX('My equipment'!$Q$4:$Q$503,(_calc!$E$219-500)))=0,"",INDEX('My equipment'!$Q$4:$Q$503,(_calc!$E$219-500)))&amp;". ")&amp;IF(LEN(IF(LEN(INDEX('My equipment'!$R$4:$R$503,(_calc!$E$219-500)))=0,"",INDEX('My equipment'!$R$4:$R$503,(_calc!$E$219-500))))=0,"","Claims contact: "&amp;IF(LEN(INDEX('My equipment'!$R$4:$R$503,(_calc!$E$219-500)))=0,"",INDEX('My equipment'!$R$4:$R$503,(_calc!$E$219-500)))&amp;". ")&amp;IF(LEN(IF(LEN(INDEX('My equipment'!$S$4:$S$503,(_calc!$E$219-500)))=0,"",INDEX('My equipment'!$S$4:$S$503,(_calc!$E$219-500))))=0,"","Claims email: "&amp;IF(LEN(INDEX('My equipment'!$S$4:$S$503,(_calc!$E$219-500)))=0,"",INDEX('My equipment'!$S$4:$S$503,(_calc!$E$219-500)))&amp;". ")&amp;IF(LEN(IF(LEN(INDEX('My equipment'!$U$4:$U$503,(_calc!$E$219-500)))=0,"",INDEX('My equipment'!$U$4:$U$503,(_calc!$E$219-500))))=0,"","Registered: "&amp;IF(LEN(INDEX('My equipment'!$U$4:$U$503,(_calc!$E$219-500)))=0,"",INDEX('My equipment'!$U$4:$U$503,(_calc!$E$219-500)))&amp;". ")&amp;IF(LEN(IF(LEN(INDEX('My equipment'!$V$4:$V$503,(_calc!$E$219-500)))=0,"",INDEX('My equipment'!$V$4:$V$503,(_calc!$E$219-500))))=0,"","Proof on file: "&amp;IF(LEN(INDEX('My equipment'!$V$4:$V$503,(_calc!$E$219-500)))=0,"",INDEX('My equipment'!$V$4:$V$503,(_calc!$E$219-500)))&amp;". ")&amp;IF(LEN(IF(LEN(INDEX('My equipment'!$W$4:$W$503,(_calc!$E$219-500)))=0,"",INDEX('My equipment'!$W$4:$W$503,(_calc!$E$219-500))))=0,"","Claim ref: "&amp;IF(LEN(INDEX('My equipment'!$W$4:$W$503,(_calc!$E$219-500)))=0,"",INDEX('My equipment'!$W$4:$W$503,(_calc!$E$219-500)))&amp;". ")&amp;IF(LEN(IF(LEN(INDEX('My equipment'!$Y$4:$Y$503,(_calc!$E$219-500)))=0,"",INDEX('My equipment'!$Y$4:$Y$503,(_calc!$E$219-500))))=0,"",IF(LEN(INDEX('My equipment'!$Y$4:$Y$503,(_calc!$E$219-500)))=0,"",INDEX('My equipment'!$Y$4:$Y$503,(_calc!$E$219-500)))))))</f>
        <v/>
      </c>
      <c r="G217" s="54">
        <f>IF(_calc!$E$219="","",IF(_calc!$E$219&lt;=500,"",IF(LEN(INDEX('My equipment'!$X$4:$X$503,(_calc!$E$219-500)))=0,"",INDEX('My equipment'!$X$4:$X$503,(_calc!$E$219-500)))))</f>
        <v/>
      </c>
      <c r="K217" s="54">
        <f>IF(_calc!$E$219="","",IF(_calc!$E$219&lt;=500,"",IF(LEN(INDEX('My equipment'!$T$4:$T$503,(_calc!$E$219-500)))=0,"",INDEX('My equipment'!$T$4:$T$503,(_calc!$E$219-500)))))</f>
        <v/>
      </c>
    </row>
    <row r="218">
      <c r="A218" s="54">
        <f>IF(_calc!$E$220="","",IF(_calc!$E$220&lt;=500,"Warranty – "&amp;IF(LEN(INDEX('Dealer pipeline'!$C$4:$C$503,_calc!$E$220))=0,"",INDEX('Dealer pipeline'!$C$4:$C$503,_calc!$E$220))&amp;" – "&amp;IF(LEN(INDEX('Dealer pipeline'!$D$4:$D$503,_calc!$E$220))=0,"",INDEX('Dealer pipeline'!$D$4:$D$503,_calc!$E$220))&amp;" – "&amp;IF(LEN(INDEX('Dealer pipeline'!$A$4:$A$503,_calc!$E$220))=0,"",INDEX('Dealer pipeline'!$A$4:$A$503,_calc!$E$220)),"Warranty – "&amp;IF(LEN(INDEX('My equipment'!$A$4:$A$503,(_calc!$E$220-500)))=0,"",INDEX('My equipment'!$A$4:$A$503,(_calc!$E$220-500)))&amp;" – "&amp;IF(LEN(INDEX('My equipment'!$D$4:$D$503,(_calc!$E$220-500)))=0,"",INDEX('My equipment'!$D$4:$D$503,(_calc!$E$220-500)))))</f>
        <v/>
      </c>
      <c r="B218" s="54">
        <f>IF(_calc!$E$220="","",IF(_calc!$E$220&lt;=500,IF(ISNUMBER(INDEX('Dealer pipeline'!$M$4:$M$503,_calc!$E$220)),TEXT(INDEX('Dealer pipeline'!$M$4:$M$503,_calc!$E$220),"yyyy-mm-dd"),""),IF(ISNUMBER(INDEX('My equipment'!$M$4:$M$503,(_calc!$E$220-500))),TEXT(INDEX('My equipment'!$M$4:$M$503,(_calc!$E$220-500)),"yyyy-mm-dd"),"")))</f>
        <v/>
      </c>
      <c r="C218" s="54">
        <f>IF(_calc!$E$220="","",IF(_calc!$E$220&lt;=500,"Warranty","Warranty"))</f>
        <v/>
      </c>
      <c r="D218" s="54">
        <f>IF(_calc!$E$220="","",IF(_calc!$E$220&lt;=500,IF(ISNUMBER(INDEX('Dealer pipeline'!$H$4:$H$503,_calc!$E$220)),TEXT(INDEX('Dealer pipeline'!$H$4:$H$503,_calc!$E$220),"yyyy-mm-dd"),""),IF(ISNUMBER(INDEX('My equipment'!$H$4:$H$503,(_calc!$E$220-500))),TEXT(INDEX('My equipment'!$H$4:$H$503,(_calc!$E$220-500)),"yyyy-mm-dd"),"")))</f>
        <v/>
      </c>
      <c r="F218" s="54">
        <f>IF(_calc!$E$220="","",IF(_calc!$E$220&lt;=500,TRIM(IF(LEN(IF(LEN(INDEX('Dealer pipeline'!$A$4:$A$503,_calc!$E$220))=0,"",INDEX('Dealer pipeline'!$A$4:$A$503,_calc!$E$220)))=0,"","Customer: "&amp;IF(LEN(INDEX('Dealer pipeline'!$A$4:$A$503,_calc!$E$220))=0,"",INDEX('Dealer pipeline'!$A$4:$A$503,_calc!$E$220))&amp;". ")&amp;IF(LEN(IF(LEN(INDEX('Dealer pipeline'!$B$4:$B$503,_calc!$E$220))=0,"",INDEX('Dealer pipeline'!$B$4:$B$503,_calc!$E$220)))=0,"","Contact: "&amp;IF(LEN(INDEX('Dealer pipeline'!$B$4:$B$503,_calc!$E$220))=0,"",INDEX('Dealer pipeline'!$B$4:$B$503,_calc!$E$220))&amp;". ")&amp;IF(LEN(IF(LEN(INDEX('Dealer pipeline'!$D$4:$D$503,_calc!$E$220))=0,"",INDEX('Dealer pipeline'!$D$4:$D$503,_calc!$E$220)))=0,"","Serial: "&amp;IF(LEN(INDEX('Dealer pipeline'!$D$4:$D$503,_calc!$E$220))=0,"",INDEX('Dealer pipeline'!$D$4:$D$503,_calc!$E$220))&amp;". ")&amp;IF(LEN(IF(ISNUMBER(INDEX('Dealer pipeline'!$J$4:$J$503,_calc!$E$220)),TEXT(INDEX('Dealer pipeline'!$J$4:$J$503,_calc!$E$220),"yyyy-mm-dd"),""))=0,"","Parts end: "&amp;IF(ISNUMBER(INDEX('Dealer pipeline'!$J$4:$J$503,_calc!$E$220)),TEXT(INDEX('Dealer pipeline'!$J$4:$J$503,_calc!$E$220),"yyyy-mm-dd"),"")&amp;". ")&amp;IF(LEN(IF(ISNUMBER(INDEX('Dealer pipeline'!$L$4:$L$503,_calc!$E$220)),TEXT(INDEX('Dealer pipeline'!$L$4:$L$503,_calc!$E$220),"yyyy-mm-dd"),""))=0,"","Labor end: "&amp;IF(ISNUMBER(INDEX('Dealer pipeline'!$L$4:$L$503,_calc!$E$220)),TEXT(INDEX('Dealer pipeline'!$L$4:$L$503,_calc!$E$220),"yyyy-mm-dd"),"")&amp;". ")&amp;IF(LEN(IF(LEN(INDEX('Dealer pipeline'!$Q$4:$Q$503,_calc!$E$220))=0,"",INDEX('Dealer pipeline'!$Q$4:$Q$503,_calc!$E$220)))=0,"","Status: "&amp;IF(LEN(INDEX('Dealer pipeline'!$Q$4:$Q$503,_calc!$E$220))=0,"",INDEX('Dealer pipeline'!$Q$4:$Q$503,_calc!$E$220))&amp;". ")&amp;IF(LEN(IF(LEN(INDEX('Dealer pipeline'!$P$4:$P$503,_calc!$E$220))=0,"",INDEX('Dealer pipeline'!$P$4:$P$503,_calc!$E$220)))=0,"","Last touch: "&amp;IF(LEN(INDEX('Dealer pipeline'!$P$4:$P$503,_calc!$E$220))=0,"",INDEX('Dealer pipeline'!$P$4:$P$503,_calc!$E$220))&amp;". ")&amp;IF(LEN(IF(LEN(INDEX('Dealer pipeline'!$R$4:$R$503,_calc!$E$220))=0,"",INDEX('Dealer pipeline'!$R$4:$R$503,_calc!$E$220)))=0,"","Owner: "&amp;IF(LEN(INDEX('Dealer pipeline'!$R$4:$R$503,_calc!$E$220))=0,"",INDEX('Dealer pipeline'!$R$4:$R$503,_calc!$E$220))&amp;". ")&amp;IF(LEN(IF(LEN(INDEX('Dealer pipeline'!$S$4:$S$503,_calc!$E$220))=0,"",INDEX('Dealer pipeline'!$S$4:$S$503,_calc!$E$220)))=0,"","Backup: "&amp;IF(LEN(INDEX('Dealer pipeline'!$S$4:$S$503,_calc!$E$220))=0,"",INDEX('Dealer pipeline'!$S$4:$S$503,_calc!$E$220))&amp;". ")&amp;IF(LEN(IF(LEN(INDEX('Dealer pipeline'!$T$4:$T$503,_calc!$E$220))=0,"",INDEX('Dealer pipeline'!$T$4:$T$503,_calc!$E$220)))=0,"",IF(LEN(INDEX('Dealer pipeline'!$T$4:$T$503,_calc!$E$220))=0,"",INDEX('Dealer pipeline'!$T$4:$T$503,_calc!$E$220)))),TRIM(IF(LEN(IF(LEN(INDEX('My equipment'!$C$4:$C$503,(_calc!$E$220-500)))=0,"",INDEX('My equipment'!$C$4:$C$503,(_calc!$E$220-500))))=0,"","Model: "&amp;IF(LEN(INDEX('My equipment'!$C$4:$C$503,(_calc!$E$220-500)))=0,"",INDEX('My equipment'!$C$4:$C$503,(_calc!$E$220-500)))&amp;". ")&amp;IF(LEN(IF(LEN(INDEX('My equipment'!$D$4:$D$503,(_calc!$E$220-500)))=0,"",INDEX('My equipment'!$D$4:$D$503,(_calc!$E$220-500))))=0,"","Serial: "&amp;IF(LEN(INDEX('My equipment'!$D$4:$D$503,(_calc!$E$220-500)))=0,"",INDEX('My equipment'!$D$4:$D$503,(_calc!$E$220-500)))&amp;". ")&amp;IF(LEN(IF(ISNUMBER(INDEX('My equipment'!$J$4:$J$503,(_calc!$E$220-500))),TEXT(INDEX('My equipment'!$J$4:$J$503,(_calc!$E$220-500)),"yyyy-mm-dd"),""))=0,"","Parts end: "&amp;IF(ISNUMBER(INDEX('My equipment'!$J$4:$J$503,(_calc!$E$220-500))),TEXT(INDEX('My equipment'!$J$4:$J$503,(_calc!$E$220-500)),"yyyy-mm-dd"),"")&amp;". ")&amp;IF(LEN(IF(ISNUMBER(INDEX('My equipment'!$L$4:$L$503,(_calc!$E$220-500))),TEXT(INDEX('My equipment'!$L$4:$L$503,(_calc!$E$220-500)),"yyyy-mm-dd"),""))=0,"","Labor end: "&amp;IF(ISNUMBER(INDEX('My equipment'!$L$4:$L$503,(_calc!$E$220-500))),TEXT(INDEX('My equipment'!$L$4:$L$503,(_calc!$E$220-500)),"yyyy-mm-dd"),"")&amp;". ")&amp;IF(LEN(IF(ISNUMBER(INDEX('My equipment'!$P$4:$P$503,(_calc!$E$220-500))),TEXT(INDEX('My equipment'!$P$4:$P$503,(_calc!$E$220-500)),"yyyy-mm-dd"),""))=0,"","Check by: "&amp;IF(ISNUMBER(INDEX('My equipment'!$P$4:$P$503,(_calc!$E$220-500))),TEXT(INDEX('My equipment'!$P$4:$P$503,(_calc!$E$220-500)),"yyyy-mm-dd"),"")&amp;". ")&amp;IF(LEN(IF(LEN(INDEX('My equipment'!$Q$4:$Q$503,(_calc!$E$220-500)))=0,"",INDEX('My equipment'!$Q$4:$Q$503,(_calc!$E$220-500))))=0,"","Claim status: "&amp;IF(LEN(INDEX('My equipment'!$Q$4:$Q$503,(_calc!$E$220-500)))=0,"",INDEX('My equipment'!$Q$4:$Q$503,(_calc!$E$220-500)))&amp;". ")&amp;IF(LEN(IF(LEN(INDEX('My equipment'!$R$4:$R$503,(_calc!$E$220-500)))=0,"",INDEX('My equipment'!$R$4:$R$503,(_calc!$E$220-500))))=0,"","Claims contact: "&amp;IF(LEN(INDEX('My equipment'!$R$4:$R$503,(_calc!$E$220-500)))=0,"",INDEX('My equipment'!$R$4:$R$503,(_calc!$E$220-500)))&amp;". ")&amp;IF(LEN(IF(LEN(INDEX('My equipment'!$S$4:$S$503,(_calc!$E$220-500)))=0,"",INDEX('My equipment'!$S$4:$S$503,(_calc!$E$220-500))))=0,"","Claims email: "&amp;IF(LEN(INDEX('My equipment'!$S$4:$S$503,(_calc!$E$220-500)))=0,"",INDEX('My equipment'!$S$4:$S$503,(_calc!$E$220-500)))&amp;". ")&amp;IF(LEN(IF(LEN(INDEX('My equipment'!$U$4:$U$503,(_calc!$E$220-500)))=0,"",INDEX('My equipment'!$U$4:$U$503,(_calc!$E$220-500))))=0,"","Registered: "&amp;IF(LEN(INDEX('My equipment'!$U$4:$U$503,(_calc!$E$220-500)))=0,"",INDEX('My equipment'!$U$4:$U$503,(_calc!$E$220-500)))&amp;". ")&amp;IF(LEN(IF(LEN(INDEX('My equipment'!$V$4:$V$503,(_calc!$E$220-500)))=0,"",INDEX('My equipment'!$V$4:$V$503,(_calc!$E$220-500))))=0,"","Proof on file: "&amp;IF(LEN(INDEX('My equipment'!$V$4:$V$503,(_calc!$E$220-500)))=0,"",INDEX('My equipment'!$V$4:$V$503,(_calc!$E$220-500)))&amp;". ")&amp;IF(LEN(IF(LEN(INDEX('My equipment'!$W$4:$W$503,(_calc!$E$220-500)))=0,"",INDEX('My equipment'!$W$4:$W$503,(_calc!$E$220-500))))=0,"","Claim ref: "&amp;IF(LEN(INDEX('My equipment'!$W$4:$W$503,(_calc!$E$220-500)))=0,"",INDEX('My equipment'!$W$4:$W$503,(_calc!$E$220-500)))&amp;". ")&amp;IF(LEN(IF(LEN(INDEX('My equipment'!$Y$4:$Y$503,(_calc!$E$220-500)))=0,"",INDEX('My equipment'!$Y$4:$Y$503,(_calc!$E$220-500))))=0,"",IF(LEN(INDEX('My equipment'!$Y$4:$Y$503,(_calc!$E$220-500)))=0,"",INDEX('My equipment'!$Y$4:$Y$503,(_calc!$E$220-500)))))))</f>
        <v/>
      </c>
      <c r="G218" s="54">
        <f>IF(_calc!$E$220="","",IF(_calc!$E$220&lt;=500,"",IF(LEN(INDEX('My equipment'!$X$4:$X$503,(_calc!$E$220-500)))=0,"",INDEX('My equipment'!$X$4:$X$503,(_calc!$E$220-500)))))</f>
        <v/>
      </c>
      <c r="K218" s="54">
        <f>IF(_calc!$E$220="","",IF(_calc!$E$220&lt;=500,"",IF(LEN(INDEX('My equipment'!$T$4:$T$503,(_calc!$E$220-500)))=0,"",INDEX('My equipment'!$T$4:$T$503,(_calc!$E$220-500)))))</f>
        <v/>
      </c>
    </row>
    <row r="219">
      <c r="A219" s="54">
        <f>IF(_calc!$E$221="","",IF(_calc!$E$221&lt;=500,"Warranty – "&amp;IF(LEN(INDEX('Dealer pipeline'!$C$4:$C$503,_calc!$E$221))=0,"",INDEX('Dealer pipeline'!$C$4:$C$503,_calc!$E$221))&amp;" – "&amp;IF(LEN(INDEX('Dealer pipeline'!$D$4:$D$503,_calc!$E$221))=0,"",INDEX('Dealer pipeline'!$D$4:$D$503,_calc!$E$221))&amp;" – "&amp;IF(LEN(INDEX('Dealer pipeline'!$A$4:$A$503,_calc!$E$221))=0,"",INDEX('Dealer pipeline'!$A$4:$A$503,_calc!$E$221)),"Warranty – "&amp;IF(LEN(INDEX('My equipment'!$A$4:$A$503,(_calc!$E$221-500)))=0,"",INDEX('My equipment'!$A$4:$A$503,(_calc!$E$221-500)))&amp;" – "&amp;IF(LEN(INDEX('My equipment'!$D$4:$D$503,(_calc!$E$221-500)))=0,"",INDEX('My equipment'!$D$4:$D$503,(_calc!$E$221-500)))))</f>
        <v/>
      </c>
      <c r="B219" s="54">
        <f>IF(_calc!$E$221="","",IF(_calc!$E$221&lt;=500,IF(ISNUMBER(INDEX('Dealer pipeline'!$M$4:$M$503,_calc!$E$221)),TEXT(INDEX('Dealer pipeline'!$M$4:$M$503,_calc!$E$221),"yyyy-mm-dd"),""),IF(ISNUMBER(INDEX('My equipment'!$M$4:$M$503,(_calc!$E$221-500))),TEXT(INDEX('My equipment'!$M$4:$M$503,(_calc!$E$221-500)),"yyyy-mm-dd"),"")))</f>
        <v/>
      </c>
      <c r="C219" s="54">
        <f>IF(_calc!$E$221="","",IF(_calc!$E$221&lt;=500,"Warranty","Warranty"))</f>
        <v/>
      </c>
      <c r="D219" s="54">
        <f>IF(_calc!$E$221="","",IF(_calc!$E$221&lt;=500,IF(ISNUMBER(INDEX('Dealer pipeline'!$H$4:$H$503,_calc!$E$221)),TEXT(INDEX('Dealer pipeline'!$H$4:$H$503,_calc!$E$221),"yyyy-mm-dd"),""),IF(ISNUMBER(INDEX('My equipment'!$H$4:$H$503,(_calc!$E$221-500))),TEXT(INDEX('My equipment'!$H$4:$H$503,(_calc!$E$221-500)),"yyyy-mm-dd"),"")))</f>
        <v/>
      </c>
      <c r="F219" s="54">
        <f>IF(_calc!$E$221="","",IF(_calc!$E$221&lt;=500,TRIM(IF(LEN(IF(LEN(INDEX('Dealer pipeline'!$A$4:$A$503,_calc!$E$221))=0,"",INDEX('Dealer pipeline'!$A$4:$A$503,_calc!$E$221)))=0,"","Customer: "&amp;IF(LEN(INDEX('Dealer pipeline'!$A$4:$A$503,_calc!$E$221))=0,"",INDEX('Dealer pipeline'!$A$4:$A$503,_calc!$E$221))&amp;". ")&amp;IF(LEN(IF(LEN(INDEX('Dealer pipeline'!$B$4:$B$503,_calc!$E$221))=0,"",INDEX('Dealer pipeline'!$B$4:$B$503,_calc!$E$221)))=0,"","Contact: "&amp;IF(LEN(INDEX('Dealer pipeline'!$B$4:$B$503,_calc!$E$221))=0,"",INDEX('Dealer pipeline'!$B$4:$B$503,_calc!$E$221))&amp;". ")&amp;IF(LEN(IF(LEN(INDEX('Dealer pipeline'!$D$4:$D$503,_calc!$E$221))=0,"",INDEX('Dealer pipeline'!$D$4:$D$503,_calc!$E$221)))=0,"","Serial: "&amp;IF(LEN(INDEX('Dealer pipeline'!$D$4:$D$503,_calc!$E$221))=0,"",INDEX('Dealer pipeline'!$D$4:$D$503,_calc!$E$221))&amp;". ")&amp;IF(LEN(IF(ISNUMBER(INDEX('Dealer pipeline'!$J$4:$J$503,_calc!$E$221)),TEXT(INDEX('Dealer pipeline'!$J$4:$J$503,_calc!$E$221),"yyyy-mm-dd"),""))=0,"","Parts end: "&amp;IF(ISNUMBER(INDEX('Dealer pipeline'!$J$4:$J$503,_calc!$E$221)),TEXT(INDEX('Dealer pipeline'!$J$4:$J$503,_calc!$E$221),"yyyy-mm-dd"),"")&amp;". ")&amp;IF(LEN(IF(ISNUMBER(INDEX('Dealer pipeline'!$L$4:$L$503,_calc!$E$221)),TEXT(INDEX('Dealer pipeline'!$L$4:$L$503,_calc!$E$221),"yyyy-mm-dd"),""))=0,"","Labor end: "&amp;IF(ISNUMBER(INDEX('Dealer pipeline'!$L$4:$L$503,_calc!$E$221)),TEXT(INDEX('Dealer pipeline'!$L$4:$L$503,_calc!$E$221),"yyyy-mm-dd"),"")&amp;". ")&amp;IF(LEN(IF(LEN(INDEX('Dealer pipeline'!$Q$4:$Q$503,_calc!$E$221))=0,"",INDEX('Dealer pipeline'!$Q$4:$Q$503,_calc!$E$221)))=0,"","Status: "&amp;IF(LEN(INDEX('Dealer pipeline'!$Q$4:$Q$503,_calc!$E$221))=0,"",INDEX('Dealer pipeline'!$Q$4:$Q$503,_calc!$E$221))&amp;". ")&amp;IF(LEN(IF(LEN(INDEX('Dealer pipeline'!$P$4:$P$503,_calc!$E$221))=0,"",INDEX('Dealer pipeline'!$P$4:$P$503,_calc!$E$221)))=0,"","Last touch: "&amp;IF(LEN(INDEX('Dealer pipeline'!$P$4:$P$503,_calc!$E$221))=0,"",INDEX('Dealer pipeline'!$P$4:$P$503,_calc!$E$221))&amp;". ")&amp;IF(LEN(IF(LEN(INDEX('Dealer pipeline'!$R$4:$R$503,_calc!$E$221))=0,"",INDEX('Dealer pipeline'!$R$4:$R$503,_calc!$E$221)))=0,"","Owner: "&amp;IF(LEN(INDEX('Dealer pipeline'!$R$4:$R$503,_calc!$E$221))=0,"",INDEX('Dealer pipeline'!$R$4:$R$503,_calc!$E$221))&amp;". ")&amp;IF(LEN(IF(LEN(INDEX('Dealer pipeline'!$S$4:$S$503,_calc!$E$221))=0,"",INDEX('Dealer pipeline'!$S$4:$S$503,_calc!$E$221)))=0,"","Backup: "&amp;IF(LEN(INDEX('Dealer pipeline'!$S$4:$S$503,_calc!$E$221))=0,"",INDEX('Dealer pipeline'!$S$4:$S$503,_calc!$E$221))&amp;". ")&amp;IF(LEN(IF(LEN(INDEX('Dealer pipeline'!$T$4:$T$503,_calc!$E$221))=0,"",INDEX('Dealer pipeline'!$T$4:$T$503,_calc!$E$221)))=0,"",IF(LEN(INDEX('Dealer pipeline'!$T$4:$T$503,_calc!$E$221))=0,"",INDEX('Dealer pipeline'!$T$4:$T$503,_calc!$E$221)))),TRIM(IF(LEN(IF(LEN(INDEX('My equipment'!$C$4:$C$503,(_calc!$E$221-500)))=0,"",INDEX('My equipment'!$C$4:$C$503,(_calc!$E$221-500))))=0,"","Model: "&amp;IF(LEN(INDEX('My equipment'!$C$4:$C$503,(_calc!$E$221-500)))=0,"",INDEX('My equipment'!$C$4:$C$503,(_calc!$E$221-500)))&amp;". ")&amp;IF(LEN(IF(LEN(INDEX('My equipment'!$D$4:$D$503,(_calc!$E$221-500)))=0,"",INDEX('My equipment'!$D$4:$D$503,(_calc!$E$221-500))))=0,"","Serial: "&amp;IF(LEN(INDEX('My equipment'!$D$4:$D$503,(_calc!$E$221-500)))=0,"",INDEX('My equipment'!$D$4:$D$503,(_calc!$E$221-500)))&amp;". ")&amp;IF(LEN(IF(ISNUMBER(INDEX('My equipment'!$J$4:$J$503,(_calc!$E$221-500))),TEXT(INDEX('My equipment'!$J$4:$J$503,(_calc!$E$221-500)),"yyyy-mm-dd"),""))=0,"","Parts end: "&amp;IF(ISNUMBER(INDEX('My equipment'!$J$4:$J$503,(_calc!$E$221-500))),TEXT(INDEX('My equipment'!$J$4:$J$503,(_calc!$E$221-500)),"yyyy-mm-dd"),"")&amp;". ")&amp;IF(LEN(IF(ISNUMBER(INDEX('My equipment'!$L$4:$L$503,(_calc!$E$221-500))),TEXT(INDEX('My equipment'!$L$4:$L$503,(_calc!$E$221-500)),"yyyy-mm-dd"),""))=0,"","Labor end: "&amp;IF(ISNUMBER(INDEX('My equipment'!$L$4:$L$503,(_calc!$E$221-500))),TEXT(INDEX('My equipment'!$L$4:$L$503,(_calc!$E$221-500)),"yyyy-mm-dd"),"")&amp;". ")&amp;IF(LEN(IF(ISNUMBER(INDEX('My equipment'!$P$4:$P$503,(_calc!$E$221-500))),TEXT(INDEX('My equipment'!$P$4:$P$503,(_calc!$E$221-500)),"yyyy-mm-dd"),""))=0,"","Check by: "&amp;IF(ISNUMBER(INDEX('My equipment'!$P$4:$P$503,(_calc!$E$221-500))),TEXT(INDEX('My equipment'!$P$4:$P$503,(_calc!$E$221-500)),"yyyy-mm-dd"),"")&amp;". ")&amp;IF(LEN(IF(LEN(INDEX('My equipment'!$Q$4:$Q$503,(_calc!$E$221-500)))=0,"",INDEX('My equipment'!$Q$4:$Q$503,(_calc!$E$221-500))))=0,"","Claim status: "&amp;IF(LEN(INDEX('My equipment'!$Q$4:$Q$503,(_calc!$E$221-500)))=0,"",INDEX('My equipment'!$Q$4:$Q$503,(_calc!$E$221-500)))&amp;". ")&amp;IF(LEN(IF(LEN(INDEX('My equipment'!$R$4:$R$503,(_calc!$E$221-500)))=0,"",INDEX('My equipment'!$R$4:$R$503,(_calc!$E$221-500))))=0,"","Claims contact: "&amp;IF(LEN(INDEX('My equipment'!$R$4:$R$503,(_calc!$E$221-500)))=0,"",INDEX('My equipment'!$R$4:$R$503,(_calc!$E$221-500)))&amp;". ")&amp;IF(LEN(IF(LEN(INDEX('My equipment'!$S$4:$S$503,(_calc!$E$221-500)))=0,"",INDEX('My equipment'!$S$4:$S$503,(_calc!$E$221-500))))=0,"","Claims email: "&amp;IF(LEN(INDEX('My equipment'!$S$4:$S$503,(_calc!$E$221-500)))=0,"",INDEX('My equipment'!$S$4:$S$503,(_calc!$E$221-500)))&amp;". ")&amp;IF(LEN(IF(LEN(INDEX('My equipment'!$U$4:$U$503,(_calc!$E$221-500)))=0,"",INDEX('My equipment'!$U$4:$U$503,(_calc!$E$221-500))))=0,"","Registered: "&amp;IF(LEN(INDEX('My equipment'!$U$4:$U$503,(_calc!$E$221-500)))=0,"",INDEX('My equipment'!$U$4:$U$503,(_calc!$E$221-500)))&amp;". ")&amp;IF(LEN(IF(LEN(INDEX('My equipment'!$V$4:$V$503,(_calc!$E$221-500)))=0,"",INDEX('My equipment'!$V$4:$V$503,(_calc!$E$221-500))))=0,"","Proof on file: "&amp;IF(LEN(INDEX('My equipment'!$V$4:$V$503,(_calc!$E$221-500)))=0,"",INDEX('My equipment'!$V$4:$V$503,(_calc!$E$221-500)))&amp;". ")&amp;IF(LEN(IF(LEN(INDEX('My equipment'!$W$4:$W$503,(_calc!$E$221-500)))=0,"",INDEX('My equipment'!$W$4:$W$503,(_calc!$E$221-500))))=0,"","Claim ref: "&amp;IF(LEN(INDEX('My equipment'!$W$4:$W$503,(_calc!$E$221-500)))=0,"",INDEX('My equipment'!$W$4:$W$503,(_calc!$E$221-500)))&amp;". ")&amp;IF(LEN(IF(LEN(INDEX('My equipment'!$Y$4:$Y$503,(_calc!$E$221-500)))=0,"",INDEX('My equipment'!$Y$4:$Y$503,(_calc!$E$221-500))))=0,"",IF(LEN(INDEX('My equipment'!$Y$4:$Y$503,(_calc!$E$221-500)))=0,"",INDEX('My equipment'!$Y$4:$Y$503,(_calc!$E$221-500)))))))</f>
        <v/>
      </c>
      <c r="G219" s="54">
        <f>IF(_calc!$E$221="","",IF(_calc!$E$221&lt;=500,"",IF(LEN(INDEX('My equipment'!$X$4:$X$503,(_calc!$E$221-500)))=0,"",INDEX('My equipment'!$X$4:$X$503,(_calc!$E$221-500)))))</f>
        <v/>
      </c>
      <c r="K219" s="54">
        <f>IF(_calc!$E$221="","",IF(_calc!$E$221&lt;=500,"",IF(LEN(INDEX('My equipment'!$T$4:$T$503,(_calc!$E$221-500)))=0,"",INDEX('My equipment'!$T$4:$T$503,(_calc!$E$221-500)))))</f>
        <v/>
      </c>
    </row>
    <row r="220">
      <c r="A220" s="54">
        <f>IF(_calc!$E$222="","",IF(_calc!$E$222&lt;=500,"Warranty – "&amp;IF(LEN(INDEX('Dealer pipeline'!$C$4:$C$503,_calc!$E$222))=0,"",INDEX('Dealer pipeline'!$C$4:$C$503,_calc!$E$222))&amp;" – "&amp;IF(LEN(INDEX('Dealer pipeline'!$D$4:$D$503,_calc!$E$222))=0,"",INDEX('Dealer pipeline'!$D$4:$D$503,_calc!$E$222))&amp;" – "&amp;IF(LEN(INDEX('Dealer pipeline'!$A$4:$A$503,_calc!$E$222))=0,"",INDEX('Dealer pipeline'!$A$4:$A$503,_calc!$E$222)),"Warranty – "&amp;IF(LEN(INDEX('My equipment'!$A$4:$A$503,(_calc!$E$222-500)))=0,"",INDEX('My equipment'!$A$4:$A$503,(_calc!$E$222-500)))&amp;" – "&amp;IF(LEN(INDEX('My equipment'!$D$4:$D$503,(_calc!$E$222-500)))=0,"",INDEX('My equipment'!$D$4:$D$503,(_calc!$E$222-500)))))</f>
        <v/>
      </c>
      <c r="B220" s="54">
        <f>IF(_calc!$E$222="","",IF(_calc!$E$222&lt;=500,IF(ISNUMBER(INDEX('Dealer pipeline'!$M$4:$M$503,_calc!$E$222)),TEXT(INDEX('Dealer pipeline'!$M$4:$M$503,_calc!$E$222),"yyyy-mm-dd"),""),IF(ISNUMBER(INDEX('My equipment'!$M$4:$M$503,(_calc!$E$222-500))),TEXT(INDEX('My equipment'!$M$4:$M$503,(_calc!$E$222-500)),"yyyy-mm-dd"),"")))</f>
        <v/>
      </c>
      <c r="C220" s="54">
        <f>IF(_calc!$E$222="","",IF(_calc!$E$222&lt;=500,"Warranty","Warranty"))</f>
        <v/>
      </c>
      <c r="D220" s="54">
        <f>IF(_calc!$E$222="","",IF(_calc!$E$222&lt;=500,IF(ISNUMBER(INDEX('Dealer pipeline'!$H$4:$H$503,_calc!$E$222)),TEXT(INDEX('Dealer pipeline'!$H$4:$H$503,_calc!$E$222),"yyyy-mm-dd"),""),IF(ISNUMBER(INDEX('My equipment'!$H$4:$H$503,(_calc!$E$222-500))),TEXT(INDEX('My equipment'!$H$4:$H$503,(_calc!$E$222-500)),"yyyy-mm-dd"),"")))</f>
        <v/>
      </c>
      <c r="F220" s="54">
        <f>IF(_calc!$E$222="","",IF(_calc!$E$222&lt;=500,TRIM(IF(LEN(IF(LEN(INDEX('Dealer pipeline'!$A$4:$A$503,_calc!$E$222))=0,"",INDEX('Dealer pipeline'!$A$4:$A$503,_calc!$E$222)))=0,"","Customer: "&amp;IF(LEN(INDEX('Dealer pipeline'!$A$4:$A$503,_calc!$E$222))=0,"",INDEX('Dealer pipeline'!$A$4:$A$503,_calc!$E$222))&amp;". ")&amp;IF(LEN(IF(LEN(INDEX('Dealer pipeline'!$B$4:$B$503,_calc!$E$222))=0,"",INDEX('Dealer pipeline'!$B$4:$B$503,_calc!$E$222)))=0,"","Contact: "&amp;IF(LEN(INDEX('Dealer pipeline'!$B$4:$B$503,_calc!$E$222))=0,"",INDEX('Dealer pipeline'!$B$4:$B$503,_calc!$E$222))&amp;". ")&amp;IF(LEN(IF(LEN(INDEX('Dealer pipeline'!$D$4:$D$503,_calc!$E$222))=0,"",INDEX('Dealer pipeline'!$D$4:$D$503,_calc!$E$222)))=0,"","Serial: "&amp;IF(LEN(INDEX('Dealer pipeline'!$D$4:$D$503,_calc!$E$222))=0,"",INDEX('Dealer pipeline'!$D$4:$D$503,_calc!$E$222))&amp;". ")&amp;IF(LEN(IF(ISNUMBER(INDEX('Dealer pipeline'!$J$4:$J$503,_calc!$E$222)),TEXT(INDEX('Dealer pipeline'!$J$4:$J$503,_calc!$E$222),"yyyy-mm-dd"),""))=0,"","Parts end: "&amp;IF(ISNUMBER(INDEX('Dealer pipeline'!$J$4:$J$503,_calc!$E$222)),TEXT(INDEX('Dealer pipeline'!$J$4:$J$503,_calc!$E$222),"yyyy-mm-dd"),"")&amp;". ")&amp;IF(LEN(IF(ISNUMBER(INDEX('Dealer pipeline'!$L$4:$L$503,_calc!$E$222)),TEXT(INDEX('Dealer pipeline'!$L$4:$L$503,_calc!$E$222),"yyyy-mm-dd"),""))=0,"","Labor end: "&amp;IF(ISNUMBER(INDEX('Dealer pipeline'!$L$4:$L$503,_calc!$E$222)),TEXT(INDEX('Dealer pipeline'!$L$4:$L$503,_calc!$E$222),"yyyy-mm-dd"),"")&amp;". ")&amp;IF(LEN(IF(LEN(INDEX('Dealer pipeline'!$Q$4:$Q$503,_calc!$E$222))=0,"",INDEX('Dealer pipeline'!$Q$4:$Q$503,_calc!$E$222)))=0,"","Status: "&amp;IF(LEN(INDEX('Dealer pipeline'!$Q$4:$Q$503,_calc!$E$222))=0,"",INDEX('Dealer pipeline'!$Q$4:$Q$503,_calc!$E$222))&amp;". ")&amp;IF(LEN(IF(LEN(INDEX('Dealer pipeline'!$P$4:$P$503,_calc!$E$222))=0,"",INDEX('Dealer pipeline'!$P$4:$P$503,_calc!$E$222)))=0,"","Last touch: "&amp;IF(LEN(INDEX('Dealer pipeline'!$P$4:$P$503,_calc!$E$222))=0,"",INDEX('Dealer pipeline'!$P$4:$P$503,_calc!$E$222))&amp;". ")&amp;IF(LEN(IF(LEN(INDEX('Dealer pipeline'!$R$4:$R$503,_calc!$E$222))=0,"",INDEX('Dealer pipeline'!$R$4:$R$503,_calc!$E$222)))=0,"","Owner: "&amp;IF(LEN(INDEX('Dealer pipeline'!$R$4:$R$503,_calc!$E$222))=0,"",INDEX('Dealer pipeline'!$R$4:$R$503,_calc!$E$222))&amp;". ")&amp;IF(LEN(IF(LEN(INDEX('Dealer pipeline'!$S$4:$S$503,_calc!$E$222))=0,"",INDEX('Dealer pipeline'!$S$4:$S$503,_calc!$E$222)))=0,"","Backup: "&amp;IF(LEN(INDEX('Dealer pipeline'!$S$4:$S$503,_calc!$E$222))=0,"",INDEX('Dealer pipeline'!$S$4:$S$503,_calc!$E$222))&amp;". ")&amp;IF(LEN(IF(LEN(INDEX('Dealer pipeline'!$T$4:$T$503,_calc!$E$222))=0,"",INDEX('Dealer pipeline'!$T$4:$T$503,_calc!$E$222)))=0,"",IF(LEN(INDEX('Dealer pipeline'!$T$4:$T$503,_calc!$E$222))=0,"",INDEX('Dealer pipeline'!$T$4:$T$503,_calc!$E$222)))),TRIM(IF(LEN(IF(LEN(INDEX('My equipment'!$C$4:$C$503,(_calc!$E$222-500)))=0,"",INDEX('My equipment'!$C$4:$C$503,(_calc!$E$222-500))))=0,"","Model: "&amp;IF(LEN(INDEX('My equipment'!$C$4:$C$503,(_calc!$E$222-500)))=0,"",INDEX('My equipment'!$C$4:$C$503,(_calc!$E$222-500)))&amp;". ")&amp;IF(LEN(IF(LEN(INDEX('My equipment'!$D$4:$D$503,(_calc!$E$222-500)))=0,"",INDEX('My equipment'!$D$4:$D$503,(_calc!$E$222-500))))=0,"","Serial: "&amp;IF(LEN(INDEX('My equipment'!$D$4:$D$503,(_calc!$E$222-500)))=0,"",INDEX('My equipment'!$D$4:$D$503,(_calc!$E$222-500)))&amp;". ")&amp;IF(LEN(IF(ISNUMBER(INDEX('My equipment'!$J$4:$J$503,(_calc!$E$222-500))),TEXT(INDEX('My equipment'!$J$4:$J$503,(_calc!$E$222-500)),"yyyy-mm-dd"),""))=0,"","Parts end: "&amp;IF(ISNUMBER(INDEX('My equipment'!$J$4:$J$503,(_calc!$E$222-500))),TEXT(INDEX('My equipment'!$J$4:$J$503,(_calc!$E$222-500)),"yyyy-mm-dd"),"")&amp;". ")&amp;IF(LEN(IF(ISNUMBER(INDEX('My equipment'!$L$4:$L$503,(_calc!$E$222-500))),TEXT(INDEX('My equipment'!$L$4:$L$503,(_calc!$E$222-500)),"yyyy-mm-dd"),""))=0,"","Labor end: "&amp;IF(ISNUMBER(INDEX('My equipment'!$L$4:$L$503,(_calc!$E$222-500))),TEXT(INDEX('My equipment'!$L$4:$L$503,(_calc!$E$222-500)),"yyyy-mm-dd"),"")&amp;". ")&amp;IF(LEN(IF(ISNUMBER(INDEX('My equipment'!$P$4:$P$503,(_calc!$E$222-500))),TEXT(INDEX('My equipment'!$P$4:$P$503,(_calc!$E$222-500)),"yyyy-mm-dd"),""))=0,"","Check by: "&amp;IF(ISNUMBER(INDEX('My equipment'!$P$4:$P$503,(_calc!$E$222-500))),TEXT(INDEX('My equipment'!$P$4:$P$503,(_calc!$E$222-500)),"yyyy-mm-dd"),"")&amp;". ")&amp;IF(LEN(IF(LEN(INDEX('My equipment'!$Q$4:$Q$503,(_calc!$E$222-500)))=0,"",INDEX('My equipment'!$Q$4:$Q$503,(_calc!$E$222-500))))=0,"","Claim status: "&amp;IF(LEN(INDEX('My equipment'!$Q$4:$Q$503,(_calc!$E$222-500)))=0,"",INDEX('My equipment'!$Q$4:$Q$503,(_calc!$E$222-500)))&amp;". ")&amp;IF(LEN(IF(LEN(INDEX('My equipment'!$R$4:$R$503,(_calc!$E$222-500)))=0,"",INDEX('My equipment'!$R$4:$R$503,(_calc!$E$222-500))))=0,"","Claims contact: "&amp;IF(LEN(INDEX('My equipment'!$R$4:$R$503,(_calc!$E$222-500)))=0,"",INDEX('My equipment'!$R$4:$R$503,(_calc!$E$222-500)))&amp;". ")&amp;IF(LEN(IF(LEN(INDEX('My equipment'!$S$4:$S$503,(_calc!$E$222-500)))=0,"",INDEX('My equipment'!$S$4:$S$503,(_calc!$E$222-500))))=0,"","Claims email: "&amp;IF(LEN(INDEX('My equipment'!$S$4:$S$503,(_calc!$E$222-500)))=0,"",INDEX('My equipment'!$S$4:$S$503,(_calc!$E$222-500)))&amp;". ")&amp;IF(LEN(IF(LEN(INDEX('My equipment'!$U$4:$U$503,(_calc!$E$222-500)))=0,"",INDEX('My equipment'!$U$4:$U$503,(_calc!$E$222-500))))=0,"","Registered: "&amp;IF(LEN(INDEX('My equipment'!$U$4:$U$503,(_calc!$E$222-500)))=0,"",INDEX('My equipment'!$U$4:$U$503,(_calc!$E$222-500)))&amp;". ")&amp;IF(LEN(IF(LEN(INDEX('My equipment'!$V$4:$V$503,(_calc!$E$222-500)))=0,"",INDEX('My equipment'!$V$4:$V$503,(_calc!$E$222-500))))=0,"","Proof on file: "&amp;IF(LEN(INDEX('My equipment'!$V$4:$V$503,(_calc!$E$222-500)))=0,"",INDEX('My equipment'!$V$4:$V$503,(_calc!$E$222-500)))&amp;". ")&amp;IF(LEN(IF(LEN(INDEX('My equipment'!$W$4:$W$503,(_calc!$E$222-500)))=0,"",INDEX('My equipment'!$W$4:$W$503,(_calc!$E$222-500))))=0,"","Claim ref: "&amp;IF(LEN(INDEX('My equipment'!$W$4:$W$503,(_calc!$E$222-500)))=0,"",INDEX('My equipment'!$W$4:$W$503,(_calc!$E$222-500)))&amp;". ")&amp;IF(LEN(IF(LEN(INDEX('My equipment'!$Y$4:$Y$503,(_calc!$E$222-500)))=0,"",INDEX('My equipment'!$Y$4:$Y$503,(_calc!$E$222-500))))=0,"",IF(LEN(INDEX('My equipment'!$Y$4:$Y$503,(_calc!$E$222-500)))=0,"",INDEX('My equipment'!$Y$4:$Y$503,(_calc!$E$222-500)))))))</f>
        <v/>
      </c>
      <c r="G220" s="54">
        <f>IF(_calc!$E$222="","",IF(_calc!$E$222&lt;=500,"",IF(LEN(INDEX('My equipment'!$X$4:$X$503,(_calc!$E$222-500)))=0,"",INDEX('My equipment'!$X$4:$X$503,(_calc!$E$222-500)))))</f>
        <v/>
      </c>
      <c r="K220" s="54">
        <f>IF(_calc!$E$222="","",IF(_calc!$E$222&lt;=500,"",IF(LEN(INDEX('My equipment'!$T$4:$T$503,(_calc!$E$222-500)))=0,"",INDEX('My equipment'!$T$4:$T$503,(_calc!$E$222-500)))))</f>
        <v/>
      </c>
    </row>
    <row r="221">
      <c r="A221" s="54">
        <f>IF(_calc!$E$223="","",IF(_calc!$E$223&lt;=500,"Warranty – "&amp;IF(LEN(INDEX('Dealer pipeline'!$C$4:$C$503,_calc!$E$223))=0,"",INDEX('Dealer pipeline'!$C$4:$C$503,_calc!$E$223))&amp;" – "&amp;IF(LEN(INDEX('Dealer pipeline'!$D$4:$D$503,_calc!$E$223))=0,"",INDEX('Dealer pipeline'!$D$4:$D$503,_calc!$E$223))&amp;" – "&amp;IF(LEN(INDEX('Dealer pipeline'!$A$4:$A$503,_calc!$E$223))=0,"",INDEX('Dealer pipeline'!$A$4:$A$503,_calc!$E$223)),"Warranty – "&amp;IF(LEN(INDEX('My equipment'!$A$4:$A$503,(_calc!$E$223-500)))=0,"",INDEX('My equipment'!$A$4:$A$503,(_calc!$E$223-500)))&amp;" – "&amp;IF(LEN(INDEX('My equipment'!$D$4:$D$503,(_calc!$E$223-500)))=0,"",INDEX('My equipment'!$D$4:$D$503,(_calc!$E$223-500)))))</f>
        <v/>
      </c>
      <c r="B221" s="54">
        <f>IF(_calc!$E$223="","",IF(_calc!$E$223&lt;=500,IF(ISNUMBER(INDEX('Dealer pipeline'!$M$4:$M$503,_calc!$E$223)),TEXT(INDEX('Dealer pipeline'!$M$4:$M$503,_calc!$E$223),"yyyy-mm-dd"),""),IF(ISNUMBER(INDEX('My equipment'!$M$4:$M$503,(_calc!$E$223-500))),TEXT(INDEX('My equipment'!$M$4:$M$503,(_calc!$E$223-500)),"yyyy-mm-dd"),"")))</f>
        <v/>
      </c>
      <c r="C221" s="54">
        <f>IF(_calc!$E$223="","",IF(_calc!$E$223&lt;=500,"Warranty","Warranty"))</f>
        <v/>
      </c>
      <c r="D221" s="54">
        <f>IF(_calc!$E$223="","",IF(_calc!$E$223&lt;=500,IF(ISNUMBER(INDEX('Dealer pipeline'!$H$4:$H$503,_calc!$E$223)),TEXT(INDEX('Dealer pipeline'!$H$4:$H$503,_calc!$E$223),"yyyy-mm-dd"),""),IF(ISNUMBER(INDEX('My equipment'!$H$4:$H$503,(_calc!$E$223-500))),TEXT(INDEX('My equipment'!$H$4:$H$503,(_calc!$E$223-500)),"yyyy-mm-dd"),"")))</f>
        <v/>
      </c>
      <c r="F221" s="54">
        <f>IF(_calc!$E$223="","",IF(_calc!$E$223&lt;=500,TRIM(IF(LEN(IF(LEN(INDEX('Dealer pipeline'!$A$4:$A$503,_calc!$E$223))=0,"",INDEX('Dealer pipeline'!$A$4:$A$503,_calc!$E$223)))=0,"","Customer: "&amp;IF(LEN(INDEX('Dealer pipeline'!$A$4:$A$503,_calc!$E$223))=0,"",INDEX('Dealer pipeline'!$A$4:$A$503,_calc!$E$223))&amp;". ")&amp;IF(LEN(IF(LEN(INDEX('Dealer pipeline'!$B$4:$B$503,_calc!$E$223))=0,"",INDEX('Dealer pipeline'!$B$4:$B$503,_calc!$E$223)))=0,"","Contact: "&amp;IF(LEN(INDEX('Dealer pipeline'!$B$4:$B$503,_calc!$E$223))=0,"",INDEX('Dealer pipeline'!$B$4:$B$503,_calc!$E$223))&amp;". ")&amp;IF(LEN(IF(LEN(INDEX('Dealer pipeline'!$D$4:$D$503,_calc!$E$223))=0,"",INDEX('Dealer pipeline'!$D$4:$D$503,_calc!$E$223)))=0,"","Serial: "&amp;IF(LEN(INDEX('Dealer pipeline'!$D$4:$D$503,_calc!$E$223))=0,"",INDEX('Dealer pipeline'!$D$4:$D$503,_calc!$E$223))&amp;". ")&amp;IF(LEN(IF(ISNUMBER(INDEX('Dealer pipeline'!$J$4:$J$503,_calc!$E$223)),TEXT(INDEX('Dealer pipeline'!$J$4:$J$503,_calc!$E$223),"yyyy-mm-dd"),""))=0,"","Parts end: "&amp;IF(ISNUMBER(INDEX('Dealer pipeline'!$J$4:$J$503,_calc!$E$223)),TEXT(INDEX('Dealer pipeline'!$J$4:$J$503,_calc!$E$223),"yyyy-mm-dd"),"")&amp;". ")&amp;IF(LEN(IF(ISNUMBER(INDEX('Dealer pipeline'!$L$4:$L$503,_calc!$E$223)),TEXT(INDEX('Dealer pipeline'!$L$4:$L$503,_calc!$E$223),"yyyy-mm-dd"),""))=0,"","Labor end: "&amp;IF(ISNUMBER(INDEX('Dealer pipeline'!$L$4:$L$503,_calc!$E$223)),TEXT(INDEX('Dealer pipeline'!$L$4:$L$503,_calc!$E$223),"yyyy-mm-dd"),"")&amp;". ")&amp;IF(LEN(IF(LEN(INDEX('Dealer pipeline'!$Q$4:$Q$503,_calc!$E$223))=0,"",INDEX('Dealer pipeline'!$Q$4:$Q$503,_calc!$E$223)))=0,"","Status: "&amp;IF(LEN(INDEX('Dealer pipeline'!$Q$4:$Q$503,_calc!$E$223))=0,"",INDEX('Dealer pipeline'!$Q$4:$Q$503,_calc!$E$223))&amp;". ")&amp;IF(LEN(IF(LEN(INDEX('Dealer pipeline'!$P$4:$P$503,_calc!$E$223))=0,"",INDEX('Dealer pipeline'!$P$4:$P$503,_calc!$E$223)))=0,"","Last touch: "&amp;IF(LEN(INDEX('Dealer pipeline'!$P$4:$P$503,_calc!$E$223))=0,"",INDEX('Dealer pipeline'!$P$4:$P$503,_calc!$E$223))&amp;". ")&amp;IF(LEN(IF(LEN(INDEX('Dealer pipeline'!$R$4:$R$503,_calc!$E$223))=0,"",INDEX('Dealer pipeline'!$R$4:$R$503,_calc!$E$223)))=0,"","Owner: "&amp;IF(LEN(INDEX('Dealer pipeline'!$R$4:$R$503,_calc!$E$223))=0,"",INDEX('Dealer pipeline'!$R$4:$R$503,_calc!$E$223))&amp;". ")&amp;IF(LEN(IF(LEN(INDEX('Dealer pipeline'!$S$4:$S$503,_calc!$E$223))=0,"",INDEX('Dealer pipeline'!$S$4:$S$503,_calc!$E$223)))=0,"","Backup: "&amp;IF(LEN(INDEX('Dealer pipeline'!$S$4:$S$503,_calc!$E$223))=0,"",INDEX('Dealer pipeline'!$S$4:$S$503,_calc!$E$223))&amp;". ")&amp;IF(LEN(IF(LEN(INDEX('Dealer pipeline'!$T$4:$T$503,_calc!$E$223))=0,"",INDEX('Dealer pipeline'!$T$4:$T$503,_calc!$E$223)))=0,"",IF(LEN(INDEX('Dealer pipeline'!$T$4:$T$503,_calc!$E$223))=0,"",INDEX('Dealer pipeline'!$T$4:$T$503,_calc!$E$223)))),TRIM(IF(LEN(IF(LEN(INDEX('My equipment'!$C$4:$C$503,(_calc!$E$223-500)))=0,"",INDEX('My equipment'!$C$4:$C$503,(_calc!$E$223-500))))=0,"","Model: "&amp;IF(LEN(INDEX('My equipment'!$C$4:$C$503,(_calc!$E$223-500)))=0,"",INDEX('My equipment'!$C$4:$C$503,(_calc!$E$223-500)))&amp;". ")&amp;IF(LEN(IF(LEN(INDEX('My equipment'!$D$4:$D$503,(_calc!$E$223-500)))=0,"",INDEX('My equipment'!$D$4:$D$503,(_calc!$E$223-500))))=0,"","Serial: "&amp;IF(LEN(INDEX('My equipment'!$D$4:$D$503,(_calc!$E$223-500)))=0,"",INDEX('My equipment'!$D$4:$D$503,(_calc!$E$223-500)))&amp;". ")&amp;IF(LEN(IF(ISNUMBER(INDEX('My equipment'!$J$4:$J$503,(_calc!$E$223-500))),TEXT(INDEX('My equipment'!$J$4:$J$503,(_calc!$E$223-500)),"yyyy-mm-dd"),""))=0,"","Parts end: "&amp;IF(ISNUMBER(INDEX('My equipment'!$J$4:$J$503,(_calc!$E$223-500))),TEXT(INDEX('My equipment'!$J$4:$J$503,(_calc!$E$223-500)),"yyyy-mm-dd"),"")&amp;". ")&amp;IF(LEN(IF(ISNUMBER(INDEX('My equipment'!$L$4:$L$503,(_calc!$E$223-500))),TEXT(INDEX('My equipment'!$L$4:$L$503,(_calc!$E$223-500)),"yyyy-mm-dd"),""))=0,"","Labor end: "&amp;IF(ISNUMBER(INDEX('My equipment'!$L$4:$L$503,(_calc!$E$223-500))),TEXT(INDEX('My equipment'!$L$4:$L$503,(_calc!$E$223-500)),"yyyy-mm-dd"),"")&amp;". ")&amp;IF(LEN(IF(ISNUMBER(INDEX('My equipment'!$P$4:$P$503,(_calc!$E$223-500))),TEXT(INDEX('My equipment'!$P$4:$P$503,(_calc!$E$223-500)),"yyyy-mm-dd"),""))=0,"","Check by: "&amp;IF(ISNUMBER(INDEX('My equipment'!$P$4:$P$503,(_calc!$E$223-500))),TEXT(INDEX('My equipment'!$P$4:$P$503,(_calc!$E$223-500)),"yyyy-mm-dd"),"")&amp;". ")&amp;IF(LEN(IF(LEN(INDEX('My equipment'!$Q$4:$Q$503,(_calc!$E$223-500)))=0,"",INDEX('My equipment'!$Q$4:$Q$503,(_calc!$E$223-500))))=0,"","Claim status: "&amp;IF(LEN(INDEX('My equipment'!$Q$4:$Q$503,(_calc!$E$223-500)))=0,"",INDEX('My equipment'!$Q$4:$Q$503,(_calc!$E$223-500)))&amp;". ")&amp;IF(LEN(IF(LEN(INDEX('My equipment'!$R$4:$R$503,(_calc!$E$223-500)))=0,"",INDEX('My equipment'!$R$4:$R$503,(_calc!$E$223-500))))=0,"","Claims contact: "&amp;IF(LEN(INDEX('My equipment'!$R$4:$R$503,(_calc!$E$223-500)))=0,"",INDEX('My equipment'!$R$4:$R$503,(_calc!$E$223-500)))&amp;". ")&amp;IF(LEN(IF(LEN(INDEX('My equipment'!$S$4:$S$503,(_calc!$E$223-500)))=0,"",INDEX('My equipment'!$S$4:$S$503,(_calc!$E$223-500))))=0,"","Claims email: "&amp;IF(LEN(INDEX('My equipment'!$S$4:$S$503,(_calc!$E$223-500)))=0,"",INDEX('My equipment'!$S$4:$S$503,(_calc!$E$223-500)))&amp;". ")&amp;IF(LEN(IF(LEN(INDEX('My equipment'!$U$4:$U$503,(_calc!$E$223-500)))=0,"",INDEX('My equipment'!$U$4:$U$503,(_calc!$E$223-500))))=0,"","Registered: "&amp;IF(LEN(INDEX('My equipment'!$U$4:$U$503,(_calc!$E$223-500)))=0,"",INDEX('My equipment'!$U$4:$U$503,(_calc!$E$223-500)))&amp;". ")&amp;IF(LEN(IF(LEN(INDEX('My equipment'!$V$4:$V$503,(_calc!$E$223-500)))=0,"",INDEX('My equipment'!$V$4:$V$503,(_calc!$E$223-500))))=0,"","Proof on file: "&amp;IF(LEN(INDEX('My equipment'!$V$4:$V$503,(_calc!$E$223-500)))=0,"",INDEX('My equipment'!$V$4:$V$503,(_calc!$E$223-500)))&amp;". ")&amp;IF(LEN(IF(LEN(INDEX('My equipment'!$W$4:$W$503,(_calc!$E$223-500)))=0,"",INDEX('My equipment'!$W$4:$W$503,(_calc!$E$223-500))))=0,"","Claim ref: "&amp;IF(LEN(INDEX('My equipment'!$W$4:$W$503,(_calc!$E$223-500)))=0,"",INDEX('My equipment'!$W$4:$W$503,(_calc!$E$223-500)))&amp;". ")&amp;IF(LEN(IF(LEN(INDEX('My equipment'!$Y$4:$Y$503,(_calc!$E$223-500)))=0,"",INDEX('My equipment'!$Y$4:$Y$503,(_calc!$E$223-500))))=0,"",IF(LEN(INDEX('My equipment'!$Y$4:$Y$503,(_calc!$E$223-500)))=0,"",INDEX('My equipment'!$Y$4:$Y$503,(_calc!$E$223-500)))))))</f>
        <v/>
      </c>
      <c r="G221" s="54">
        <f>IF(_calc!$E$223="","",IF(_calc!$E$223&lt;=500,"",IF(LEN(INDEX('My equipment'!$X$4:$X$503,(_calc!$E$223-500)))=0,"",INDEX('My equipment'!$X$4:$X$503,(_calc!$E$223-500)))))</f>
        <v/>
      </c>
      <c r="K221" s="54">
        <f>IF(_calc!$E$223="","",IF(_calc!$E$223&lt;=500,"",IF(LEN(INDEX('My equipment'!$T$4:$T$503,(_calc!$E$223-500)))=0,"",INDEX('My equipment'!$T$4:$T$503,(_calc!$E$223-500)))))</f>
        <v/>
      </c>
    </row>
    <row r="222">
      <c r="A222" s="54">
        <f>IF(_calc!$E$224="","",IF(_calc!$E$224&lt;=500,"Warranty – "&amp;IF(LEN(INDEX('Dealer pipeline'!$C$4:$C$503,_calc!$E$224))=0,"",INDEX('Dealer pipeline'!$C$4:$C$503,_calc!$E$224))&amp;" – "&amp;IF(LEN(INDEX('Dealer pipeline'!$D$4:$D$503,_calc!$E$224))=0,"",INDEX('Dealer pipeline'!$D$4:$D$503,_calc!$E$224))&amp;" – "&amp;IF(LEN(INDEX('Dealer pipeline'!$A$4:$A$503,_calc!$E$224))=0,"",INDEX('Dealer pipeline'!$A$4:$A$503,_calc!$E$224)),"Warranty – "&amp;IF(LEN(INDEX('My equipment'!$A$4:$A$503,(_calc!$E$224-500)))=0,"",INDEX('My equipment'!$A$4:$A$503,(_calc!$E$224-500)))&amp;" – "&amp;IF(LEN(INDEX('My equipment'!$D$4:$D$503,(_calc!$E$224-500)))=0,"",INDEX('My equipment'!$D$4:$D$503,(_calc!$E$224-500)))))</f>
        <v/>
      </c>
      <c r="B222" s="54">
        <f>IF(_calc!$E$224="","",IF(_calc!$E$224&lt;=500,IF(ISNUMBER(INDEX('Dealer pipeline'!$M$4:$M$503,_calc!$E$224)),TEXT(INDEX('Dealer pipeline'!$M$4:$M$503,_calc!$E$224),"yyyy-mm-dd"),""),IF(ISNUMBER(INDEX('My equipment'!$M$4:$M$503,(_calc!$E$224-500))),TEXT(INDEX('My equipment'!$M$4:$M$503,(_calc!$E$224-500)),"yyyy-mm-dd"),"")))</f>
        <v/>
      </c>
      <c r="C222" s="54">
        <f>IF(_calc!$E$224="","",IF(_calc!$E$224&lt;=500,"Warranty","Warranty"))</f>
        <v/>
      </c>
      <c r="D222" s="54">
        <f>IF(_calc!$E$224="","",IF(_calc!$E$224&lt;=500,IF(ISNUMBER(INDEX('Dealer pipeline'!$H$4:$H$503,_calc!$E$224)),TEXT(INDEX('Dealer pipeline'!$H$4:$H$503,_calc!$E$224),"yyyy-mm-dd"),""),IF(ISNUMBER(INDEX('My equipment'!$H$4:$H$503,(_calc!$E$224-500))),TEXT(INDEX('My equipment'!$H$4:$H$503,(_calc!$E$224-500)),"yyyy-mm-dd"),"")))</f>
        <v/>
      </c>
      <c r="F222" s="54">
        <f>IF(_calc!$E$224="","",IF(_calc!$E$224&lt;=500,TRIM(IF(LEN(IF(LEN(INDEX('Dealer pipeline'!$A$4:$A$503,_calc!$E$224))=0,"",INDEX('Dealer pipeline'!$A$4:$A$503,_calc!$E$224)))=0,"","Customer: "&amp;IF(LEN(INDEX('Dealer pipeline'!$A$4:$A$503,_calc!$E$224))=0,"",INDEX('Dealer pipeline'!$A$4:$A$503,_calc!$E$224))&amp;". ")&amp;IF(LEN(IF(LEN(INDEX('Dealer pipeline'!$B$4:$B$503,_calc!$E$224))=0,"",INDEX('Dealer pipeline'!$B$4:$B$503,_calc!$E$224)))=0,"","Contact: "&amp;IF(LEN(INDEX('Dealer pipeline'!$B$4:$B$503,_calc!$E$224))=0,"",INDEX('Dealer pipeline'!$B$4:$B$503,_calc!$E$224))&amp;". ")&amp;IF(LEN(IF(LEN(INDEX('Dealer pipeline'!$D$4:$D$503,_calc!$E$224))=0,"",INDEX('Dealer pipeline'!$D$4:$D$503,_calc!$E$224)))=0,"","Serial: "&amp;IF(LEN(INDEX('Dealer pipeline'!$D$4:$D$503,_calc!$E$224))=0,"",INDEX('Dealer pipeline'!$D$4:$D$503,_calc!$E$224))&amp;". ")&amp;IF(LEN(IF(ISNUMBER(INDEX('Dealer pipeline'!$J$4:$J$503,_calc!$E$224)),TEXT(INDEX('Dealer pipeline'!$J$4:$J$503,_calc!$E$224),"yyyy-mm-dd"),""))=0,"","Parts end: "&amp;IF(ISNUMBER(INDEX('Dealer pipeline'!$J$4:$J$503,_calc!$E$224)),TEXT(INDEX('Dealer pipeline'!$J$4:$J$503,_calc!$E$224),"yyyy-mm-dd"),"")&amp;". ")&amp;IF(LEN(IF(ISNUMBER(INDEX('Dealer pipeline'!$L$4:$L$503,_calc!$E$224)),TEXT(INDEX('Dealer pipeline'!$L$4:$L$503,_calc!$E$224),"yyyy-mm-dd"),""))=0,"","Labor end: "&amp;IF(ISNUMBER(INDEX('Dealer pipeline'!$L$4:$L$503,_calc!$E$224)),TEXT(INDEX('Dealer pipeline'!$L$4:$L$503,_calc!$E$224),"yyyy-mm-dd"),"")&amp;". ")&amp;IF(LEN(IF(LEN(INDEX('Dealer pipeline'!$Q$4:$Q$503,_calc!$E$224))=0,"",INDEX('Dealer pipeline'!$Q$4:$Q$503,_calc!$E$224)))=0,"","Status: "&amp;IF(LEN(INDEX('Dealer pipeline'!$Q$4:$Q$503,_calc!$E$224))=0,"",INDEX('Dealer pipeline'!$Q$4:$Q$503,_calc!$E$224))&amp;". ")&amp;IF(LEN(IF(LEN(INDEX('Dealer pipeline'!$P$4:$P$503,_calc!$E$224))=0,"",INDEX('Dealer pipeline'!$P$4:$P$503,_calc!$E$224)))=0,"","Last touch: "&amp;IF(LEN(INDEX('Dealer pipeline'!$P$4:$P$503,_calc!$E$224))=0,"",INDEX('Dealer pipeline'!$P$4:$P$503,_calc!$E$224))&amp;". ")&amp;IF(LEN(IF(LEN(INDEX('Dealer pipeline'!$R$4:$R$503,_calc!$E$224))=0,"",INDEX('Dealer pipeline'!$R$4:$R$503,_calc!$E$224)))=0,"","Owner: "&amp;IF(LEN(INDEX('Dealer pipeline'!$R$4:$R$503,_calc!$E$224))=0,"",INDEX('Dealer pipeline'!$R$4:$R$503,_calc!$E$224))&amp;". ")&amp;IF(LEN(IF(LEN(INDEX('Dealer pipeline'!$S$4:$S$503,_calc!$E$224))=0,"",INDEX('Dealer pipeline'!$S$4:$S$503,_calc!$E$224)))=0,"","Backup: "&amp;IF(LEN(INDEX('Dealer pipeline'!$S$4:$S$503,_calc!$E$224))=0,"",INDEX('Dealer pipeline'!$S$4:$S$503,_calc!$E$224))&amp;". ")&amp;IF(LEN(IF(LEN(INDEX('Dealer pipeline'!$T$4:$T$503,_calc!$E$224))=0,"",INDEX('Dealer pipeline'!$T$4:$T$503,_calc!$E$224)))=0,"",IF(LEN(INDEX('Dealer pipeline'!$T$4:$T$503,_calc!$E$224))=0,"",INDEX('Dealer pipeline'!$T$4:$T$503,_calc!$E$224)))),TRIM(IF(LEN(IF(LEN(INDEX('My equipment'!$C$4:$C$503,(_calc!$E$224-500)))=0,"",INDEX('My equipment'!$C$4:$C$503,(_calc!$E$224-500))))=0,"","Model: "&amp;IF(LEN(INDEX('My equipment'!$C$4:$C$503,(_calc!$E$224-500)))=0,"",INDEX('My equipment'!$C$4:$C$503,(_calc!$E$224-500)))&amp;". ")&amp;IF(LEN(IF(LEN(INDEX('My equipment'!$D$4:$D$503,(_calc!$E$224-500)))=0,"",INDEX('My equipment'!$D$4:$D$503,(_calc!$E$224-500))))=0,"","Serial: "&amp;IF(LEN(INDEX('My equipment'!$D$4:$D$503,(_calc!$E$224-500)))=0,"",INDEX('My equipment'!$D$4:$D$503,(_calc!$E$224-500)))&amp;". ")&amp;IF(LEN(IF(ISNUMBER(INDEX('My equipment'!$J$4:$J$503,(_calc!$E$224-500))),TEXT(INDEX('My equipment'!$J$4:$J$503,(_calc!$E$224-500)),"yyyy-mm-dd"),""))=0,"","Parts end: "&amp;IF(ISNUMBER(INDEX('My equipment'!$J$4:$J$503,(_calc!$E$224-500))),TEXT(INDEX('My equipment'!$J$4:$J$503,(_calc!$E$224-500)),"yyyy-mm-dd"),"")&amp;". ")&amp;IF(LEN(IF(ISNUMBER(INDEX('My equipment'!$L$4:$L$503,(_calc!$E$224-500))),TEXT(INDEX('My equipment'!$L$4:$L$503,(_calc!$E$224-500)),"yyyy-mm-dd"),""))=0,"","Labor end: "&amp;IF(ISNUMBER(INDEX('My equipment'!$L$4:$L$503,(_calc!$E$224-500))),TEXT(INDEX('My equipment'!$L$4:$L$503,(_calc!$E$224-500)),"yyyy-mm-dd"),"")&amp;". ")&amp;IF(LEN(IF(ISNUMBER(INDEX('My equipment'!$P$4:$P$503,(_calc!$E$224-500))),TEXT(INDEX('My equipment'!$P$4:$P$503,(_calc!$E$224-500)),"yyyy-mm-dd"),""))=0,"","Check by: "&amp;IF(ISNUMBER(INDEX('My equipment'!$P$4:$P$503,(_calc!$E$224-500))),TEXT(INDEX('My equipment'!$P$4:$P$503,(_calc!$E$224-500)),"yyyy-mm-dd"),"")&amp;". ")&amp;IF(LEN(IF(LEN(INDEX('My equipment'!$Q$4:$Q$503,(_calc!$E$224-500)))=0,"",INDEX('My equipment'!$Q$4:$Q$503,(_calc!$E$224-500))))=0,"","Claim status: "&amp;IF(LEN(INDEX('My equipment'!$Q$4:$Q$503,(_calc!$E$224-500)))=0,"",INDEX('My equipment'!$Q$4:$Q$503,(_calc!$E$224-500)))&amp;". ")&amp;IF(LEN(IF(LEN(INDEX('My equipment'!$R$4:$R$503,(_calc!$E$224-500)))=0,"",INDEX('My equipment'!$R$4:$R$503,(_calc!$E$224-500))))=0,"","Claims contact: "&amp;IF(LEN(INDEX('My equipment'!$R$4:$R$503,(_calc!$E$224-500)))=0,"",INDEX('My equipment'!$R$4:$R$503,(_calc!$E$224-500)))&amp;". ")&amp;IF(LEN(IF(LEN(INDEX('My equipment'!$S$4:$S$503,(_calc!$E$224-500)))=0,"",INDEX('My equipment'!$S$4:$S$503,(_calc!$E$224-500))))=0,"","Claims email: "&amp;IF(LEN(INDEX('My equipment'!$S$4:$S$503,(_calc!$E$224-500)))=0,"",INDEX('My equipment'!$S$4:$S$503,(_calc!$E$224-500)))&amp;". ")&amp;IF(LEN(IF(LEN(INDEX('My equipment'!$U$4:$U$503,(_calc!$E$224-500)))=0,"",INDEX('My equipment'!$U$4:$U$503,(_calc!$E$224-500))))=0,"","Registered: "&amp;IF(LEN(INDEX('My equipment'!$U$4:$U$503,(_calc!$E$224-500)))=0,"",INDEX('My equipment'!$U$4:$U$503,(_calc!$E$224-500)))&amp;". ")&amp;IF(LEN(IF(LEN(INDEX('My equipment'!$V$4:$V$503,(_calc!$E$224-500)))=0,"",INDEX('My equipment'!$V$4:$V$503,(_calc!$E$224-500))))=0,"","Proof on file: "&amp;IF(LEN(INDEX('My equipment'!$V$4:$V$503,(_calc!$E$224-500)))=0,"",INDEX('My equipment'!$V$4:$V$503,(_calc!$E$224-500)))&amp;". ")&amp;IF(LEN(IF(LEN(INDEX('My equipment'!$W$4:$W$503,(_calc!$E$224-500)))=0,"",INDEX('My equipment'!$W$4:$W$503,(_calc!$E$224-500))))=0,"","Claim ref: "&amp;IF(LEN(INDEX('My equipment'!$W$4:$W$503,(_calc!$E$224-500)))=0,"",INDEX('My equipment'!$W$4:$W$503,(_calc!$E$224-500)))&amp;". ")&amp;IF(LEN(IF(LEN(INDEX('My equipment'!$Y$4:$Y$503,(_calc!$E$224-500)))=0,"",INDEX('My equipment'!$Y$4:$Y$503,(_calc!$E$224-500))))=0,"",IF(LEN(INDEX('My equipment'!$Y$4:$Y$503,(_calc!$E$224-500)))=0,"",INDEX('My equipment'!$Y$4:$Y$503,(_calc!$E$224-500)))))))</f>
        <v/>
      </c>
      <c r="G222" s="54">
        <f>IF(_calc!$E$224="","",IF(_calc!$E$224&lt;=500,"",IF(LEN(INDEX('My equipment'!$X$4:$X$503,(_calc!$E$224-500)))=0,"",INDEX('My equipment'!$X$4:$X$503,(_calc!$E$224-500)))))</f>
        <v/>
      </c>
      <c r="K222" s="54">
        <f>IF(_calc!$E$224="","",IF(_calc!$E$224&lt;=500,"",IF(LEN(INDEX('My equipment'!$T$4:$T$503,(_calc!$E$224-500)))=0,"",INDEX('My equipment'!$T$4:$T$503,(_calc!$E$224-500)))))</f>
        <v/>
      </c>
    </row>
    <row r="223">
      <c r="A223" s="54">
        <f>IF(_calc!$E$225="","",IF(_calc!$E$225&lt;=500,"Warranty – "&amp;IF(LEN(INDEX('Dealer pipeline'!$C$4:$C$503,_calc!$E$225))=0,"",INDEX('Dealer pipeline'!$C$4:$C$503,_calc!$E$225))&amp;" – "&amp;IF(LEN(INDEX('Dealer pipeline'!$D$4:$D$503,_calc!$E$225))=0,"",INDEX('Dealer pipeline'!$D$4:$D$503,_calc!$E$225))&amp;" – "&amp;IF(LEN(INDEX('Dealer pipeline'!$A$4:$A$503,_calc!$E$225))=0,"",INDEX('Dealer pipeline'!$A$4:$A$503,_calc!$E$225)),"Warranty – "&amp;IF(LEN(INDEX('My equipment'!$A$4:$A$503,(_calc!$E$225-500)))=0,"",INDEX('My equipment'!$A$4:$A$503,(_calc!$E$225-500)))&amp;" – "&amp;IF(LEN(INDEX('My equipment'!$D$4:$D$503,(_calc!$E$225-500)))=0,"",INDEX('My equipment'!$D$4:$D$503,(_calc!$E$225-500)))))</f>
        <v/>
      </c>
      <c r="B223" s="54">
        <f>IF(_calc!$E$225="","",IF(_calc!$E$225&lt;=500,IF(ISNUMBER(INDEX('Dealer pipeline'!$M$4:$M$503,_calc!$E$225)),TEXT(INDEX('Dealer pipeline'!$M$4:$M$503,_calc!$E$225),"yyyy-mm-dd"),""),IF(ISNUMBER(INDEX('My equipment'!$M$4:$M$503,(_calc!$E$225-500))),TEXT(INDEX('My equipment'!$M$4:$M$503,(_calc!$E$225-500)),"yyyy-mm-dd"),"")))</f>
        <v/>
      </c>
      <c r="C223" s="54">
        <f>IF(_calc!$E$225="","",IF(_calc!$E$225&lt;=500,"Warranty","Warranty"))</f>
        <v/>
      </c>
      <c r="D223" s="54">
        <f>IF(_calc!$E$225="","",IF(_calc!$E$225&lt;=500,IF(ISNUMBER(INDEX('Dealer pipeline'!$H$4:$H$503,_calc!$E$225)),TEXT(INDEX('Dealer pipeline'!$H$4:$H$503,_calc!$E$225),"yyyy-mm-dd"),""),IF(ISNUMBER(INDEX('My equipment'!$H$4:$H$503,(_calc!$E$225-500))),TEXT(INDEX('My equipment'!$H$4:$H$503,(_calc!$E$225-500)),"yyyy-mm-dd"),"")))</f>
        <v/>
      </c>
      <c r="F223" s="54">
        <f>IF(_calc!$E$225="","",IF(_calc!$E$225&lt;=500,TRIM(IF(LEN(IF(LEN(INDEX('Dealer pipeline'!$A$4:$A$503,_calc!$E$225))=0,"",INDEX('Dealer pipeline'!$A$4:$A$503,_calc!$E$225)))=0,"","Customer: "&amp;IF(LEN(INDEX('Dealer pipeline'!$A$4:$A$503,_calc!$E$225))=0,"",INDEX('Dealer pipeline'!$A$4:$A$503,_calc!$E$225))&amp;". ")&amp;IF(LEN(IF(LEN(INDEX('Dealer pipeline'!$B$4:$B$503,_calc!$E$225))=0,"",INDEX('Dealer pipeline'!$B$4:$B$503,_calc!$E$225)))=0,"","Contact: "&amp;IF(LEN(INDEX('Dealer pipeline'!$B$4:$B$503,_calc!$E$225))=0,"",INDEX('Dealer pipeline'!$B$4:$B$503,_calc!$E$225))&amp;". ")&amp;IF(LEN(IF(LEN(INDEX('Dealer pipeline'!$D$4:$D$503,_calc!$E$225))=0,"",INDEX('Dealer pipeline'!$D$4:$D$503,_calc!$E$225)))=0,"","Serial: "&amp;IF(LEN(INDEX('Dealer pipeline'!$D$4:$D$503,_calc!$E$225))=0,"",INDEX('Dealer pipeline'!$D$4:$D$503,_calc!$E$225))&amp;". ")&amp;IF(LEN(IF(ISNUMBER(INDEX('Dealer pipeline'!$J$4:$J$503,_calc!$E$225)),TEXT(INDEX('Dealer pipeline'!$J$4:$J$503,_calc!$E$225),"yyyy-mm-dd"),""))=0,"","Parts end: "&amp;IF(ISNUMBER(INDEX('Dealer pipeline'!$J$4:$J$503,_calc!$E$225)),TEXT(INDEX('Dealer pipeline'!$J$4:$J$503,_calc!$E$225),"yyyy-mm-dd"),"")&amp;". ")&amp;IF(LEN(IF(ISNUMBER(INDEX('Dealer pipeline'!$L$4:$L$503,_calc!$E$225)),TEXT(INDEX('Dealer pipeline'!$L$4:$L$503,_calc!$E$225),"yyyy-mm-dd"),""))=0,"","Labor end: "&amp;IF(ISNUMBER(INDEX('Dealer pipeline'!$L$4:$L$503,_calc!$E$225)),TEXT(INDEX('Dealer pipeline'!$L$4:$L$503,_calc!$E$225),"yyyy-mm-dd"),"")&amp;". ")&amp;IF(LEN(IF(LEN(INDEX('Dealer pipeline'!$Q$4:$Q$503,_calc!$E$225))=0,"",INDEX('Dealer pipeline'!$Q$4:$Q$503,_calc!$E$225)))=0,"","Status: "&amp;IF(LEN(INDEX('Dealer pipeline'!$Q$4:$Q$503,_calc!$E$225))=0,"",INDEX('Dealer pipeline'!$Q$4:$Q$503,_calc!$E$225))&amp;". ")&amp;IF(LEN(IF(LEN(INDEX('Dealer pipeline'!$P$4:$P$503,_calc!$E$225))=0,"",INDEX('Dealer pipeline'!$P$4:$P$503,_calc!$E$225)))=0,"","Last touch: "&amp;IF(LEN(INDEX('Dealer pipeline'!$P$4:$P$503,_calc!$E$225))=0,"",INDEX('Dealer pipeline'!$P$4:$P$503,_calc!$E$225))&amp;". ")&amp;IF(LEN(IF(LEN(INDEX('Dealer pipeline'!$R$4:$R$503,_calc!$E$225))=0,"",INDEX('Dealer pipeline'!$R$4:$R$503,_calc!$E$225)))=0,"","Owner: "&amp;IF(LEN(INDEX('Dealer pipeline'!$R$4:$R$503,_calc!$E$225))=0,"",INDEX('Dealer pipeline'!$R$4:$R$503,_calc!$E$225))&amp;". ")&amp;IF(LEN(IF(LEN(INDEX('Dealer pipeline'!$S$4:$S$503,_calc!$E$225))=0,"",INDEX('Dealer pipeline'!$S$4:$S$503,_calc!$E$225)))=0,"","Backup: "&amp;IF(LEN(INDEX('Dealer pipeline'!$S$4:$S$503,_calc!$E$225))=0,"",INDEX('Dealer pipeline'!$S$4:$S$503,_calc!$E$225))&amp;". ")&amp;IF(LEN(IF(LEN(INDEX('Dealer pipeline'!$T$4:$T$503,_calc!$E$225))=0,"",INDEX('Dealer pipeline'!$T$4:$T$503,_calc!$E$225)))=0,"",IF(LEN(INDEX('Dealer pipeline'!$T$4:$T$503,_calc!$E$225))=0,"",INDEX('Dealer pipeline'!$T$4:$T$503,_calc!$E$225)))),TRIM(IF(LEN(IF(LEN(INDEX('My equipment'!$C$4:$C$503,(_calc!$E$225-500)))=0,"",INDEX('My equipment'!$C$4:$C$503,(_calc!$E$225-500))))=0,"","Model: "&amp;IF(LEN(INDEX('My equipment'!$C$4:$C$503,(_calc!$E$225-500)))=0,"",INDEX('My equipment'!$C$4:$C$503,(_calc!$E$225-500)))&amp;". ")&amp;IF(LEN(IF(LEN(INDEX('My equipment'!$D$4:$D$503,(_calc!$E$225-500)))=0,"",INDEX('My equipment'!$D$4:$D$503,(_calc!$E$225-500))))=0,"","Serial: "&amp;IF(LEN(INDEX('My equipment'!$D$4:$D$503,(_calc!$E$225-500)))=0,"",INDEX('My equipment'!$D$4:$D$503,(_calc!$E$225-500)))&amp;". ")&amp;IF(LEN(IF(ISNUMBER(INDEX('My equipment'!$J$4:$J$503,(_calc!$E$225-500))),TEXT(INDEX('My equipment'!$J$4:$J$503,(_calc!$E$225-500)),"yyyy-mm-dd"),""))=0,"","Parts end: "&amp;IF(ISNUMBER(INDEX('My equipment'!$J$4:$J$503,(_calc!$E$225-500))),TEXT(INDEX('My equipment'!$J$4:$J$503,(_calc!$E$225-500)),"yyyy-mm-dd"),"")&amp;". ")&amp;IF(LEN(IF(ISNUMBER(INDEX('My equipment'!$L$4:$L$503,(_calc!$E$225-500))),TEXT(INDEX('My equipment'!$L$4:$L$503,(_calc!$E$225-500)),"yyyy-mm-dd"),""))=0,"","Labor end: "&amp;IF(ISNUMBER(INDEX('My equipment'!$L$4:$L$503,(_calc!$E$225-500))),TEXT(INDEX('My equipment'!$L$4:$L$503,(_calc!$E$225-500)),"yyyy-mm-dd"),"")&amp;". ")&amp;IF(LEN(IF(ISNUMBER(INDEX('My equipment'!$P$4:$P$503,(_calc!$E$225-500))),TEXT(INDEX('My equipment'!$P$4:$P$503,(_calc!$E$225-500)),"yyyy-mm-dd"),""))=0,"","Check by: "&amp;IF(ISNUMBER(INDEX('My equipment'!$P$4:$P$503,(_calc!$E$225-500))),TEXT(INDEX('My equipment'!$P$4:$P$503,(_calc!$E$225-500)),"yyyy-mm-dd"),"")&amp;". ")&amp;IF(LEN(IF(LEN(INDEX('My equipment'!$Q$4:$Q$503,(_calc!$E$225-500)))=0,"",INDEX('My equipment'!$Q$4:$Q$503,(_calc!$E$225-500))))=0,"","Claim status: "&amp;IF(LEN(INDEX('My equipment'!$Q$4:$Q$503,(_calc!$E$225-500)))=0,"",INDEX('My equipment'!$Q$4:$Q$503,(_calc!$E$225-500)))&amp;". ")&amp;IF(LEN(IF(LEN(INDEX('My equipment'!$R$4:$R$503,(_calc!$E$225-500)))=0,"",INDEX('My equipment'!$R$4:$R$503,(_calc!$E$225-500))))=0,"","Claims contact: "&amp;IF(LEN(INDEX('My equipment'!$R$4:$R$503,(_calc!$E$225-500)))=0,"",INDEX('My equipment'!$R$4:$R$503,(_calc!$E$225-500)))&amp;". ")&amp;IF(LEN(IF(LEN(INDEX('My equipment'!$S$4:$S$503,(_calc!$E$225-500)))=0,"",INDEX('My equipment'!$S$4:$S$503,(_calc!$E$225-500))))=0,"","Claims email: "&amp;IF(LEN(INDEX('My equipment'!$S$4:$S$503,(_calc!$E$225-500)))=0,"",INDEX('My equipment'!$S$4:$S$503,(_calc!$E$225-500)))&amp;". ")&amp;IF(LEN(IF(LEN(INDEX('My equipment'!$U$4:$U$503,(_calc!$E$225-500)))=0,"",INDEX('My equipment'!$U$4:$U$503,(_calc!$E$225-500))))=0,"","Registered: "&amp;IF(LEN(INDEX('My equipment'!$U$4:$U$503,(_calc!$E$225-500)))=0,"",INDEX('My equipment'!$U$4:$U$503,(_calc!$E$225-500)))&amp;". ")&amp;IF(LEN(IF(LEN(INDEX('My equipment'!$V$4:$V$503,(_calc!$E$225-500)))=0,"",INDEX('My equipment'!$V$4:$V$503,(_calc!$E$225-500))))=0,"","Proof on file: "&amp;IF(LEN(INDEX('My equipment'!$V$4:$V$503,(_calc!$E$225-500)))=0,"",INDEX('My equipment'!$V$4:$V$503,(_calc!$E$225-500)))&amp;". ")&amp;IF(LEN(IF(LEN(INDEX('My equipment'!$W$4:$W$503,(_calc!$E$225-500)))=0,"",INDEX('My equipment'!$W$4:$W$503,(_calc!$E$225-500))))=0,"","Claim ref: "&amp;IF(LEN(INDEX('My equipment'!$W$4:$W$503,(_calc!$E$225-500)))=0,"",INDEX('My equipment'!$W$4:$W$503,(_calc!$E$225-500)))&amp;". ")&amp;IF(LEN(IF(LEN(INDEX('My equipment'!$Y$4:$Y$503,(_calc!$E$225-500)))=0,"",INDEX('My equipment'!$Y$4:$Y$503,(_calc!$E$225-500))))=0,"",IF(LEN(INDEX('My equipment'!$Y$4:$Y$503,(_calc!$E$225-500)))=0,"",INDEX('My equipment'!$Y$4:$Y$503,(_calc!$E$225-500)))))))</f>
        <v/>
      </c>
      <c r="G223" s="54">
        <f>IF(_calc!$E$225="","",IF(_calc!$E$225&lt;=500,"",IF(LEN(INDEX('My equipment'!$X$4:$X$503,(_calc!$E$225-500)))=0,"",INDEX('My equipment'!$X$4:$X$503,(_calc!$E$225-500)))))</f>
        <v/>
      </c>
      <c r="K223" s="54">
        <f>IF(_calc!$E$225="","",IF(_calc!$E$225&lt;=500,"",IF(LEN(INDEX('My equipment'!$T$4:$T$503,(_calc!$E$225-500)))=0,"",INDEX('My equipment'!$T$4:$T$503,(_calc!$E$225-500)))))</f>
        <v/>
      </c>
    </row>
    <row r="224">
      <c r="A224" s="54">
        <f>IF(_calc!$E$226="","",IF(_calc!$E$226&lt;=500,"Warranty – "&amp;IF(LEN(INDEX('Dealer pipeline'!$C$4:$C$503,_calc!$E$226))=0,"",INDEX('Dealer pipeline'!$C$4:$C$503,_calc!$E$226))&amp;" – "&amp;IF(LEN(INDEX('Dealer pipeline'!$D$4:$D$503,_calc!$E$226))=0,"",INDEX('Dealer pipeline'!$D$4:$D$503,_calc!$E$226))&amp;" – "&amp;IF(LEN(INDEX('Dealer pipeline'!$A$4:$A$503,_calc!$E$226))=0,"",INDEX('Dealer pipeline'!$A$4:$A$503,_calc!$E$226)),"Warranty – "&amp;IF(LEN(INDEX('My equipment'!$A$4:$A$503,(_calc!$E$226-500)))=0,"",INDEX('My equipment'!$A$4:$A$503,(_calc!$E$226-500)))&amp;" – "&amp;IF(LEN(INDEX('My equipment'!$D$4:$D$503,(_calc!$E$226-500)))=0,"",INDEX('My equipment'!$D$4:$D$503,(_calc!$E$226-500)))))</f>
        <v/>
      </c>
      <c r="B224" s="54">
        <f>IF(_calc!$E$226="","",IF(_calc!$E$226&lt;=500,IF(ISNUMBER(INDEX('Dealer pipeline'!$M$4:$M$503,_calc!$E$226)),TEXT(INDEX('Dealer pipeline'!$M$4:$M$503,_calc!$E$226),"yyyy-mm-dd"),""),IF(ISNUMBER(INDEX('My equipment'!$M$4:$M$503,(_calc!$E$226-500))),TEXT(INDEX('My equipment'!$M$4:$M$503,(_calc!$E$226-500)),"yyyy-mm-dd"),"")))</f>
        <v/>
      </c>
      <c r="C224" s="54">
        <f>IF(_calc!$E$226="","",IF(_calc!$E$226&lt;=500,"Warranty","Warranty"))</f>
        <v/>
      </c>
      <c r="D224" s="54">
        <f>IF(_calc!$E$226="","",IF(_calc!$E$226&lt;=500,IF(ISNUMBER(INDEX('Dealer pipeline'!$H$4:$H$503,_calc!$E$226)),TEXT(INDEX('Dealer pipeline'!$H$4:$H$503,_calc!$E$226),"yyyy-mm-dd"),""),IF(ISNUMBER(INDEX('My equipment'!$H$4:$H$503,(_calc!$E$226-500))),TEXT(INDEX('My equipment'!$H$4:$H$503,(_calc!$E$226-500)),"yyyy-mm-dd"),"")))</f>
        <v/>
      </c>
      <c r="F224" s="54">
        <f>IF(_calc!$E$226="","",IF(_calc!$E$226&lt;=500,TRIM(IF(LEN(IF(LEN(INDEX('Dealer pipeline'!$A$4:$A$503,_calc!$E$226))=0,"",INDEX('Dealer pipeline'!$A$4:$A$503,_calc!$E$226)))=0,"","Customer: "&amp;IF(LEN(INDEX('Dealer pipeline'!$A$4:$A$503,_calc!$E$226))=0,"",INDEX('Dealer pipeline'!$A$4:$A$503,_calc!$E$226))&amp;". ")&amp;IF(LEN(IF(LEN(INDEX('Dealer pipeline'!$B$4:$B$503,_calc!$E$226))=0,"",INDEX('Dealer pipeline'!$B$4:$B$503,_calc!$E$226)))=0,"","Contact: "&amp;IF(LEN(INDEX('Dealer pipeline'!$B$4:$B$503,_calc!$E$226))=0,"",INDEX('Dealer pipeline'!$B$4:$B$503,_calc!$E$226))&amp;". ")&amp;IF(LEN(IF(LEN(INDEX('Dealer pipeline'!$D$4:$D$503,_calc!$E$226))=0,"",INDEX('Dealer pipeline'!$D$4:$D$503,_calc!$E$226)))=0,"","Serial: "&amp;IF(LEN(INDEX('Dealer pipeline'!$D$4:$D$503,_calc!$E$226))=0,"",INDEX('Dealer pipeline'!$D$4:$D$503,_calc!$E$226))&amp;". ")&amp;IF(LEN(IF(ISNUMBER(INDEX('Dealer pipeline'!$J$4:$J$503,_calc!$E$226)),TEXT(INDEX('Dealer pipeline'!$J$4:$J$503,_calc!$E$226),"yyyy-mm-dd"),""))=0,"","Parts end: "&amp;IF(ISNUMBER(INDEX('Dealer pipeline'!$J$4:$J$503,_calc!$E$226)),TEXT(INDEX('Dealer pipeline'!$J$4:$J$503,_calc!$E$226),"yyyy-mm-dd"),"")&amp;". ")&amp;IF(LEN(IF(ISNUMBER(INDEX('Dealer pipeline'!$L$4:$L$503,_calc!$E$226)),TEXT(INDEX('Dealer pipeline'!$L$4:$L$503,_calc!$E$226),"yyyy-mm-dd"),""))=0,"","Labor end: "&amp;IF(ISNUMBER(INDEX('Dealer pipeline'!$L$4:$L$503,_calc!$E$226)),TEXT(INDEX('Dealer pipeline'!$L$4:$L$503,_calc!$E$226),"yyyy-mm-dd"),"")&amp;". ")&amp;IF(LEN(IF(LEN(INDEX('Dealer pipeline'!$Q$4:$Q$503,_calc!$E$226))=0,"",INDEX('Dealer pipeline'!$Q$4:$Q$503,_calc!$E$226)))=0,"","Status: "&amp;IF(LEN(INDEX('Dealer pipeline'!$Q$4:$Q$503,_calc!$E$226))=0,"",INDEX('Dealer pipeline'!$Q$4:$Q$503,_calc!$E$226))&amp;". ")&amp;IF(LEN(IF(LEN(INDEX('Dealer pipeline'!$P$4:$P$503,_calc!$E$226))=0,"",INDEX('Dealer pipeline'!$P$4:$P$503,_calc!$E$226)))=0,"","Last touch: "&amp;IF(LEN(INDEX('Dealer pipeline'!$P$4:$P$503,_calc!$E$226))=0,"",INDEX('Dealer pipeline'!$P$4:$P$503,_calc!$E$226))&amp;". ")&amp;IF(LEN(IF(LEN(INDEX('Dealer pipeline'!$R$4:$R$503,_calc!$E$226))=0,"",INDEX('Dealer pipeline'!$R$4:$R$503,_calc!$E$226)))=0,"","Owner: "&amp;IF(LEN(INDEX('Dealer pipeline'!$R$4:$R$503,_calc!$E$226))=0,"",INDEX('Dealer pipeline'!$R$4:$R$503,_calc!$E$226))&amp;". ")&amp;IF(LEN(IF(LEN(INDEX('Dealer pipeline'!$S$4:$S$503,_calc!$E$226))=0,"",INDEX('Dealer pipeline'!$S$4:$S$503,_calc!$E$226)))=0,"","Backup: "&amp;IF(LEN(INDEX('Dealer pipeline'!$S$4:$S$503,_calc!$E$226))=0,"",INDEX('Dealer pipeline'!$S$4:$S$503,_calc!$E$226))&amp;". ")&amp;IF(LEN(IF(LEN(INDEX('Dealer pipeline'!$T$4:$T$503,_calc!$E$226))=0,"",INDEX('Dealer pipeline'!$T$4:$T$503,_calc!$E$226)))=0,"",IF(LEN(INDEX('Dealer pipeline'!$T$4:$T$503,_calc!$E$226))=0,"",INDEX('Dealer pipeline'!$T$4:$T$503,_calc!$E$226)))),TRIM(IF(LEN(IF(LEN(INDEX('My equipment'!$C$4:$C$503,(_calc!$E$226-500)))=0,"",INDEX('My equipment'!$C$4:$C$503,(_calc!$E$226-500))))=0,"","Model: "&amp;IF(LEN(INDEX('My equipment'!$C$4:$C$503,(_calc!$E$226-500)))=0,"",INDEX('My equipment'!$C$4:$C$503,(_calc!$E$226-500)))&amp;". ")&amp;IF(LEN(IF(LEN(INDEX('My equipment'!$D$4:$D$503,(_calc!$E$226-500)))=0,"",INDEX('My equipment'!$D$4:$D$503,(_calc!$E$226-500))))=0,"","Serial: "&amp;IF(LEN(INDEX('My equipment'!$D$4:$D$503,(_calc!$E$226-500)))=0,"",INDEX('My equipment'!$D$4:$D$503,(_calc!$E$226-500)))&amp;". ")&amp;IF(LEN(IF(ISNUMBER(INDEX('My equipment'!$J$4:$J$503,(_calc!$E$226-500))),TEXT(INDEX('My equipment'!$J$4:$J$503,(_calc!$E$226-500)),"yyyy-mm-dd"),""))=0,"","Parts end: "&amp;IF(ISNUMBER(INDEX('My equipment'!$J$4:$J$503,(_calc!$E$226-500))),TEXT(INDEX('My equipment'!$J$4:$J$503,(_calc!$E$226-500)),"yyyy-mm-dd"),"")&amp;". ")&amp;IF(LEN(IF(ISNUMBER(INDEX('My equipment'!$L$4:$L$503,(_calc!$E$226-500))),TEXT(INDEX('My equipment'!$L$4:$L$503,(_calc!$E$226-500)),"yyyy-mm-dd"),""))=0,"","Labor end: "&amp;IF(ISNUMBER(INDEX('My equipment'!$L$4:$L$503,(_calc!$E$226-500))),TEXT(INDEX('My equipment'!$L$4:$L$503,(_calc!$E$226-500)),"yyyy-mm-dd"),"")&amp;". ")&amp;IF(LEN(IF(ISNUMBER(INDEX('My equipment'!$P$4:$P$503,(_calc!$E$226-500))),TEXT(INDEX('My equipment'!$P$4:$P$503,(_calc!$E$226-500)),"yyyy-mm-dd"),""))=0,"","Check by: "&amp;IF(ISNUMBER(INDEX('My equipment'!$P$4:$P$503,(_calc!$E$226-500))),TEXT(INDEX('My equipment'!$P$4:$P$503,(_calc!$E$226-500)),"yyyy-mm-dd"),"")&amp;". ")&amp;IF(LEN(IF(LEN(INDEX('My equipment'!$Q$4:$Q$503,(_calc!$E$226-500)))=0,"",INDEX('My equipment'!$Q$4:$Q$503,(_calc!$E$226-500))))=0,"","Claim status: "&amp;IF(LEN(INDEX('My equipment'!$Q$4:$Q$503,(_calc!$E$226-500)))=0,"",INDEX('My equipment'!$Q$4:$Q$503,(_calc!$E$226-500)))&amp;". ")&amp;IF(LEN(IF(LEN(INDEX('My equipment'!$R$4:$R$503,(_calc!$E$226-500)))=0,"",INDEX('My equipment'!$R$4:$R$503,(_calc!$E$226-500))))=0,"","Claims contact: "&amp;IF(LEN(INDEX('My equipment'!$R$4:$R$503,(_calc!$E$226-500)))=0,"",INDEX('My equipment'!$R$4:$R$503,(_calc!$E$226-500)))&amp;". ")&amp;IF(LEN(IF(LEN(INDEX('My equipment'!$S$4:$S$503,(_calc!$E$226-500)))=0,"",INDEX('My equipment'!$S$4:$S$503,(_calc!$E$226-500))))=0,"","Claims email: "&amp;IF(LEN(INDEX('My equipment'!$S$4:$S$503,(_calc!$E$226-500)))=0,"",INDEX('My equipment'!$S$4:$S$503,(_calc!$E$226-500)))&amp;". ")&amp;IF(LEN(IF(LEN(INDEX('My equipment'!$U$4:$U$503,(_calc!$E$226-500)))=0,"",INDEX('My equipment'!$U$4:$U$503,(_calc!$E$226-500))))=0,"","Registered: "&amp;IF(LEN(INDEX('My equipment'!$U$4:$U$503,(_calc!$E$226-500)))=0,"",INDEX('My equipment'!$U$4:$U$503,(_calc!$E$226-500)))&amp;". ")&amp;IF(LEN(IF(LEN(INDEX('My equipment'!$V$4:$V$503,(_calc!$E$226-500)))=0,"",INDEX('My equipment'!$V$4:$V$503,(_calc!$E$226-500))))=0,"","Proof on file: "&amp;IF(LEN(INDEX('My equipment'!$V$4:$V$503,(_calc!$E$226-500)))=0,"",INDEX('My equipment'!$V$4:$V$503,(_calc!$E$226-500)))&amp;". ")&amp;IF(LEN(IF(LEN(INDEX('My equipment'!$W$4:$W$503,(_calc!$E$226-500)))=0,"",INDEX('My equipment'!$W$4:$W$503,(_calc!$E$226-500))))=0,"","Claim ref: "&amp;IF(LEN(INDEX('My equipment'!$W$4:$W$503,(_calc!$E$226-500)))=0,"",INDEX('My equipment'!$W$4:$W$503,(_calc!$E$226-500)))&amp;". ")&amp;IF(LEN(IF(LEN(INDEX('My equipment'!$Y$4:$Y$503,(_calc!$E$226-500)))=0,"",INDEX('My equipment'!$Y$4:$Y$503,(_calc!$E$226-500))))=0,"",IF(LEN(INDEX('My equipment'!$Y$4:$Y$503,(_calc!$E$226-500)))=0,"",INDEX('My equipment'!$Y$4:$Y$503,(_calc!$E$226-500)))))))</f>
        <v/>
      </c>
      <c r="G224" s="54">
        <f>IF(_calc!$E$226="","",IF(_calc!$E$226&lt;=500,"",IF(LEN(INDEX('My equipment'!$X$4:$X$503,(_calc!$E$226-500)))=0,"",INDEX('My equipment'!$X$4:$X$503,(_calc!$E$226-500)))))</f>
        <v/>
      </c>
      <c r="K224" s="54">
        <f>IF(_calc!$E$226="","",IF(_calc!$E$226&lt;=500,"",IF(LEN(INDEX('My equipment'!$T$4:$T$503,(_calc!$E$226-500)))=0,"",INDEX('My equipment'!$T$4:$T$503,(_calc!$E$226-500)))))</f>
        <v/>
      </c>
    </row>
    <row r="225">
      <c r="A225" s="54">
        <f>IF(_calc!$E$227="","",IF(_calc!$E$227&lt;=500,"Warranty – "&amp;IF(LEN(INDEX('Dealer pipeline'!$C$4:$C$503,_calc!$E$227))=0,"",INDEX('Dealer pipeline'!$C$4:$C$503,_calc!$E$227))&amp;" – "&amp;IF(LEN(INDEX('Dealer pipeline'!$D$4:$D$503,_calc!$E$227))=0,"",INDEX('Dealer pipeline'!$D$4:$D$503,_calc!$E$227))&amp;" – "&amp;IF(LEN(INDEX('Dealer pipeline'!$A$4:$A$503,_calc!$E$227))=0,"",INDEX('Dealer pipeline'!$A$4:$A$503,_calc!$E$227)),"Warranty – "&amp;IF(LEN(INDEX('My equipment'!$A$4:$A$503,(_calc!$E$227-500)))=0,"",INDEX('My equipment'!$A$4:$A$503,(_calc!$E$227-500)))&amp;" – "&amp;IF(LEN(INDEX('My equipment'!$D$4:$D$503,(_calc!$E$227-500)))=0,"",INDEX('My equipment'!$D$4:$D$503,(_calc!$E$227-500)))))</f>
        <v/>
      </c>
      <c r="B225" s="54">
        <f>IF(_calc!$E$227="","",IF(_calc!$E$227&lt;=500,IF(ISNUMBER(INDEX('Dealer pipeline'!$M$4:$M$503,_calc!$E$227)),TEXT(INDEX('Dealer pipeline'!$M$4:$M$503,_calc!$E$227),"yyyy-mm-dd"),""),IF(ISNUMBER(INDEX('My equipment'!$M$4:$M$503,(_calc!$E$227-500))),TEXT(INDEX('My equipment'!$M$4:$M$503,(_calc!$E$227-500)),"yyyy-mm-dd"),"")))</f>
        <v/>
      </c>
      <c r="C225" s="54">
        <f>IF(_calc!$E$227="","",IF(_calc!$E$227&lt;=500,"Warranty","Warranty"))</f>
        <v/>
      </c>
      <c r="D225" s="54">
        <f>IF(_calc!$E$227="","",IF(_calc!$E$227&lt;=500,IF(ISNUMBER(INDEX('Dealer pipeline'!$H$4:$H$503,_calc!$E$227)),TEXT(INDEX('Dealer pipeline'!$H$4:$H$503,_calc!$E$227),"yyyy-mm-dd"),""),IF(ISNUMBER(INDEX('My equipment'!$H$4:$H$503,(_calc!$E$227-500))),TEXT(INDEX('My equipment'!$H$4:$H$503,(_calc!$E$227-500)),"yyyy-mm-dd"),"")))</f>
        <v/>
      </c>
      <c r="F225" s="54">
        <f>IF(_calc!$E$227="","",IF(_calc!$E$227&lt;=500,TRIM(IF(LEN(IF(LEN(INDEX('Dealer pipeline'!$A$4:$A$503,_calc!$E$227))=0,"",INDEX('Dealer pipeline'!$A$4:$A$503,_calc!$E$227)))=0,"","Customer: "&amp;IF(LEN(INDEX('Dealer pipeline'!$A$4:$A$503,_calc!$E$227))=0,"",INDEX('Dealer pipeline'!$A$4:$A$503,_calc!$E$227))&amp;". ")&amp;IF(LEN(IF(LEN(INDEX('Dealer pipeline'!$B$4:$B$503,_calc!$E$227))=0,"",INDEX('Dealer pipeline'!$B$4:$B$503,_calc!$E$227)))=0,"","Contact: "&amp;IF(LEN(INDEX('Dealer pipeline'!$B$4:$B$503,_calc!$E$227))=0,"",INDEX('Dealer pipeline'!$B$4:$B$503,_calc!$E$227))&amp;". ")&amp;IF(LEN(IF(LEN(INDEX('Dealer pipeline'!$D$4:$D$503,_calc!$E$227))=0,"",INDEX('Dealer pipeline'!$D$4:$D$503,_calc!$E$227)))=0,"","Serial: "&amp;IF(LEN(INDEX('Dealer pipeline'!$D$4:$D$503,_calc!$E$227))=0,"",INDEX('Dealer pipeline'!$D$4:$D$503,_calc!$E$227))&amp;". ")&amp;IF(LEN(IF(ISNUMBER(INDEX('Dealer pipeline'!$J$4:$J$503,_calc!$E$227)),TEXT(INDEX('Dealer pipeline'!$J$4:$J$503,_calc!$E$227),"yyyy-mm-dd"),""))=0,"","Parts end: "&amp;IF(ISNUMBER(INDEX('Dealer pipeline'!$J$4:$J$503,_calc!$E$227)),TEXT(INDEX('Dealer pipeline'!$J$4:$J$503,_calc!$E$227),"yyyy-mm-dd"),"")&amp;". ")&amp;IF(LEN(IF(ISNUMBER(INDEX('Dealer pipeline'!$L$4:$L$503,_calc!$E$227)),TEXT(INDEX('Dealer pipeline'!$L$4:$L$503,_calc!$E$227),"yyyy-mm-dd"),""))=0,"","Labor end: "&amp;IF(ISNUMBER(INDEX('Dealer pipeline'!$L$4:$L$503,_calc!$E$227)),TEXT(INDEX('Dealer pipeline'!$L$4:$L$503,_calc!$E$227),"yyyy-mm-dd"),"")&amp;". ")&amp;IF(LEN(IF(LEN(INDEX('Dealer pipeline'!$Q$4:$Q$503,_calc!$E$227))=0,"",INDEX('Dealer pipeline'!$Q$4:$Q$503,_calc!$E$227)))=0,"","Status: "&amp;IF(LEN(INDEX('Dealer pipeline'!$Q$4:$Q$503,_calc!$E$227))=0,"",INDEX('Dealer pipeline'!$Q$4:$Q$503,_calc!$E$227))&amp;". ")&amp;IF(LEN(IF(LEN(INDEX('Dealer pipeline'!$P$4:$P$503,_calc!$E$227))=0,"",INDEX('Dealer pipeline'!$P$4:$P$503,_calc!$E$227)))=0,"","Last touch: "&amp;IF(LEN(INDEX('Dealer pipeline'!$P$4:$P$503,_calc!$E$227))=0,"",INDEX('Dealer pipeline'!$P$4:$P$503,_calc!$E$227))&amp;". ")&amp;IF(LEN(IF(LEN(INDEX('Dealer pipeline'!$R$4:$R$503,_calc!$E$227))=0,"",INDEX('Dealer pipeline'!$R$4:$R$503,_calc!$E$227)))=0,"","Owner: "&amp;IF(LEN(INDEX('Dealer pipeline'!$R$4:$R$503,_calc!$E$227))=0,"",INDEX('Dealer pipeline'!$R$4:$R$503,_calc!$E$227))&amp;". ")&amp;IF(LEN(IF(LEN(INDEX('Dealer pipeline'!$S$4:$S$503,_calc!$E$227))=0,"",INDEX('Dealer pipeline'!$S$4:$S$503,_calc!$E$227)))=0,"","Backup: "&amp;IF(LEN(INDEX('Dealer pipeline'!$S$4:$S$503,_calc!$E$227))=0,"",INDEX('Dealer pipeline'!$S$4:$S$503,_calc!$E$227))&amp;". ")&amp;IF(LEN(IF(LEN(INDEX('Dealer pipeline'!$T$4:$T$503,_calc!$E$227))=0,"",INDEX('Dealer pipeline'!$T$4:$T$503,_calc!$E$227)))=0,"",IF(LEN(INDEX('Dealer pipeline'!$T$4:$T$503,_calc!$E$227))=0,"",INDEX('Dealer pipeline'!$T$4:$T$503,_calc!$E$227)))),TRIM(IF(LEN(IF(LEN(INDEX('My equipment'!$C$4:$C$503,(_calc!$E$227-500)))=0,"",INDEX('My equipment'!$C$4:$C$503,(_calc!$E$227-500))))=0,"","Model: "&amp;IF(LEN(INDEX('My equipment'!$C$4:$C$503,(_calc!$E$227-500)))=0,"",INDEX('My equipment'!$C$4:$C$503,(_calc!$E$227-500)))&amp;". ")&amp;IF(LEN(IF(LEN(INDEX('My equipment'!$D$4:$D$503,(_calc!$E$227-500)))=0,"",INDEX('My equipment'!$D$4:$D$503,(_calc!$E$227-500))))=0,"","Serial: "&amp;IF(LEN(INDEX('My equipment'!$D$4:$D$503,(_calc!$E$227-500)))=0,"",INDEX('My equipment'!$D$4:$D$503,(_calc!$E$227-500)))&amp;". ")&amp;IF(LEN(IF(ISNUMBER(INDEX('My equipment'!$J$4:$J$503,(_calc!$E$227-500))),TEXT(INDEX('My equipment'!$J$4:$J$503,(_calc!$E$227-500)),"yyyy-mm-dd"),""))=0,"","Parts end: "&amp;IF(ISNUMBER(INDEX('My equipment'!$J$4:$J$503,(_calc!$E$227-500))),TEXT(INDEX('My equipment'!$J$4:$J$503,(_calc!$E$227-500)),"yyyy-mm-dd"),"")&amp;". ")&amp;IF(LEN(IF(ISNUMBER(INDEX('My equipment'!$L$4:$L$503,(_calc!$E$227-500))),TEXT(INDEX('My equipment'!$L$4:$L$503,(_calc!$E$227-500)),"yyyy-mm-dd"),""))=0,"","Labor end: "&amp;IF(ISNUMBER(INDEX('My equipment'!$L$4:$L$503,(_calc!$E$227-500))),TEXT(INDEX('My equipment'!$L$4:$L$503,(_calc!$E$227-500)),"yyyy-mm-dd"),"")&amp;". ")&amp;IF(LEN(IF(ISNUMBER(INDEX('My equipment'!$P$4:$P$503,(_calc!$E$227-500))),TEXT(INDEX('My equipment'!$P$4:$P$503,(_calc!$E$227-500)),"yyyy-mm-dd"),""))=0,"","Check by: "&amp;IF(ISNUMBER(INDEX('My equipment'!$P$4:$P$503,(_calc!$E$227-500))),TEXT(INDEX('My equipment'!$P$4:$P$503,(_calc!$E$227-500)),"yyyy-mm-dd"),"")&amp;". ")&amp;IF(LEN(IF(LEN(INDEX('My equipment'!$Q$4:$Q$503,(_calc!$E$227-500)))=0,"",INDEX('My equipment'!$Q$4:$Q$503,(_calc!$E$227-500))))=0,"","Claim status: "&amp;IF(LEN(INDEX('My equipment'!$Q$4:$Q$503,(_calc!$E$227-500)))=0,"",INDEX('My equipment'!$Q$4:$Q$503,(_calc!$E$227-500)))&amp;". ")&amp;IF(LEN(IF(LEN(INDEX('My equipment'!$R$4:$R$503,(_calc!$E$227-500)))=0,"",INDEX('My equipment'!$R$4:$R$503,(_calc!$E$227-500))))=0,"","Claims contact: "&amp;IF(LEN(INDEX('My equipment'!$R$4:$R$503,(_calc!$E$227-500)))=0,"",INDEX('My equipment'!$R$4:$R$503,(_calc!$E$227-500)))&amp;". ")&amp;IF(LEN(IF(LEN(INDEX('My equipment'!$S$4:$S$503,(_calc!$E$227-500)))=0,"",INDEX('My equipment'!$S$4:$S$503,(_calc!$E$227-500))))=0,"","Claims email: "&amp;IF(LEN(INDEX('My equipment'!$S$4:$S$503,(_calc!$E$227-500)))=0,"",INDEX('My equipment'!$S$4:$S$503,(_calc!$E$227-500)))&amp;". ")&amp;IF(LEN(IF(LEN(INDEX('My equipment'!$U$4:$U$503,(_calc!$E$227-500)))=0,"",INDEX('My equipment'!$U$4:$U$503,(_calc!$E$227-500))))=0,"","Registered: "&amp;IF(LEN(INDEX('My equipment'!$U$4:$U$503,(_calc!$E$227-500)))=0,"",INDEX('My equipment'!$U$4:$U$503,(_calc!$E$227-500)))&amp;". ")&amp;IF(LEN(IF(LEN(INDEX('My equipment'!$V$4:$V$503,(_calc!$E$227-500)))=0,"",INDEX('My equipment'!$V$4:$V$503,(_calc!$E$227-500))))=0,"","Proof on file: "&amp;IF(LEN(INDEX('My equipment'!$V$4:$V$503,(_calc!$E$227-500)))=0,"",INDEX('My equipment'!$V$4:$V$503,(_calc!$E$227-500)))&amp;". ")&amp;IF(LEN(IF(LEN(INDEX('My equipment'!$W$4:$W$503,(_calc!$E$227-500)))=0,"",INDEX('My equipment'!$W$4:$W$503,(_calc!$E$227-500))))=0,"","Claim ref: "&amp;IF(LEN(INDEX('My equipment'!$W$4:$W$503,(_calc!$E$227-500)))=0,"",INDEX('My equipment'!$W$4:$W$503,(_calc!$E$227-500)))&amp;". ")&amp;IF(LEN(IF(LEN(INDEX('My equipment'!$Y$4:$Y$503,(_calc!$E$227-500)))=0,"",INDEX('My equipment'!$Y$4:$Y$503,(_calc!$E$227-500))))=0,"",IF(LEN(INDEX('My equipment'!$Y$4:$Y$503,(_calc!$E$227-500)))=0,"",INDEX('My equipment'!$Y$4:$Y$503,(_calc!$E$227-500)))))))</f>
        <v/>
      </c>
      <c r="G225" s="54">
        <f>IF(_calc!$E$227="","",IF(_calc!$E$227&lt;=500,"",IF(LEN(INDEX('My equipment'!$X$4:$X$503,(_calc!$E$227-500)))=0,"",INDEX('My equipment'!$X$4:$X$503,(_calc!$E$227-500)))))</f>
        <v/>
      </c>
      <c r="K225" s="54">
        <f>IF(_calc!$E$227="","",IF(_calc!$E$227&lt;=500,"",IF(LEN(INDEX('My equipment'!$T$4:$T$503,(_calc!$E$227-500)))=0,"",INDEX('My equipment'!$T$4:$T$503,(_calc!$E$227-500)))))</f>
        <v/>
      </c>
    </row>
    <row r="226">
      <c r="A226" s="54">
        <f>IF(_calc!$E$228="","",IF(_calc!$E$228&lt;=500,"Warranty – "&amp;IF(LEN(INDEX('Dealer pipeline'!$C$4:$C$503,_calc!$E$228))=0,"",INDEX('Dealer pipeline'!$C$4:$C$503,_calc!$E$228))&amp;" – "&amp;IF(LEN(INDEX('Dealer pipeline'!$D$4:$D$503,_calc!$E$228))=0,"",INDEX('Dealer pipeline'!$D$4:$D$503,_calc!$E$228))&amp;" – "&amp;IF(LEN(INDEX('Dealer pipeline'!$A$4:$A$503,_calc!$E$228))=0,"",INDEX('Dealer pipeline'!$A$4:$A$503,_calc!$E$228)),"Warranty – "&amp;IF(LEN(INDEX('My equipment'!$A$4:$A$503,(_calc!$E$228-500)))=0,"",INDEX('My equipment'!$A$4:$A$503,(_calc!$E$228-500)))&amp;" – "&amp;IF(LEN(INDEX('My equipment'!$D$4:$D$503,(_calc!$E$228-500)))=0,"",INDEX('My equipment'!$D$4:$D$503,(_calc!$E$228-500)))))</f>
        <v/>
      </c>
      <c r="B226" s="54">
        <f>IF(_calc!$E$228="","",IF(_calc!$E$228&lt;=500,IF(ISNUMBER(INDEX('Dealer pipeline'!$M$4:$M$503,_calc!$E$228)),TEXT(INDEX('Dealer pipeline'!$M$4:$M$503,_calc!$E$228),"yyyy-mm-dd"),""),IF(ISNUMBER(INDEX('My equipment'!$M$4:$M$503,(_calc!$E$228-500))),TEXT(INDEX('My equipment'!$M$4:$M$503,(_calc!$E$228-500)),"yyyy-mm-dd"),"")))</f>
        <v/>
      </c>
      <c r="C226" s="54">
        <f>IF(_calc!$E$228="","",IF(_calc!$E$228&lt;=500,"Warranty","Warranty"))</f>
        <v/>
      </c>
      <c r="D226" s="54">
        <f>IF(_calc!$E$228="","",IF(_calc!$E$228&lt;=500,IF(ISNUMBER(INDEX('Dealer pipeline'!$H$4:$H$503,_calc!$E$228)),TEXT(INDEX('Dealer pipeline'!$H$4:$H$503,_calc!$E$228),"yyyy-mm-dd"),""),IF(ISNUMBER(INDEX('My equipment'!$H$4:$H$503,(_calc!$E$228-500))),TEXT(INDEX('My equipment'!$H$4:$H$503,(_calc!$E$228-500)),"yyyy-mm-dd"),"")))</f>
        <v/>
      </c>
      <c r="F226" s="54">
        <f>IF(_calc!$E$228="","",IF(_calc!$E$228&lt;=500,TRIM(IF(LEN(IF(LEN(INDEX('Dealer pipeline'!$A$4:$A$503,_calc!$E$228))=0,"",INDEX('Dealer pipeline'!$A$4:$A$503,_calc!$E$228)))=0,"","Customer: "&amp;IF(LEN(INDEX('Dealer pipeline'!$A$4:$A$503,_calc!$E$228))=0,"",INDEX('Dealer pipeline'!$A$4:$A$503,_calc!$E$228))&amp;". ")&amp;IF(LEN(IF(LEN(INDEX('Dealer pipeline'!$B$4:$B$503,_calc!$E$228))=0,"",INDEX('Dealer pipeline'!$B$4:$B$503,_calc!$E$228)))=0,"","Contact: "&amp;IF(LEN(INDEX('Dealer pipeline'!$B$4:$B$503,_calc!$E$228))=0,"",INDEX('Dealer pipeline'!$B$4:$B$503,_calc!$E$228))&amp;". ")&amp;IF(LEN(IF(LEN(INDEX('Dealer pipeline'!$D$4:$D$503,_calc!$E$228))=0,"",INDEX('Dealer pipeline'!$D$4:$D$503,_calc!$E$228)))=0,"","Serial: "&amp;IF(LEN(INDEX('Dealer pipeline'!$D$4:$D$503,_calc!$E$228))=0,"",INDEX('Dealer pipeline'!$D$4:$D$503,_calc!$E$228))&amp;". ")&amp;IF(LEN(IF(ISNUMBER(INDEX('Dealer pipeline'!$J$4:$J$503,_calc!$E$228)),TEXT(INDEX('Dealer pipeline'!$J$4:$J$503,_calc!$E$228),"yyyy-mm-dd"),""))=0,"","Parts end: "&amp;IF(ISNUMBER(INDEX('Dealer pipeline'!$J$4:$J$503,_calc!$E$228)),TEXT(INDEX('Dealer pipeline'!$J$4:$J$503,_calc!$E$228),"yyyy-mm-dd"),"")&amp;". ")&amp;IF(LEN(IF(ISNUMBER(INDEX('Dealer pipeline'!$L$4:$L$503,_calc!$E$228)),TEXT(INDEX('Dealer pipeline'!$L$4:$L$503,_calc!$E$228),"yyyy-mm-dd"),""))=0,"","Labor end: "&amp;IF(ISNUMBER(INDEX('Dealer pipeline'!$L$4:$L$503,_calc!$E$228)),TEXT(INDEX('Dealer pipeline'!$L$4:$L$503,_calc!$E$228),"yyyy-mm-dd"),"")&amp;". ")&amp;IF(LEN(IF(LEN(INDEX('Dealer pipeline'!$Q$4:$Q$503,_calc!$E$228))=0,"",INDEX('Dealer pipeline'!$Q$4:$Q$503,_calc!$E$228)))=0,"","Status: "&amp;IF(LEN(INDEX('Dealer pipeline'!$Q$4:$Q$503,_calc!$E$228))=0,"",INDEX('Dealer pipeline'!$Q$4:$Q$503,_calc!$E$228))&amp;". ")&amp;IF(LEN(IF(LEN(INDEX('Dealer pipeline'!$P$4:$P$503,_calc!$E$228))=0,"",INDEX('Dealer pipeline'!$P$4:$P$503,_calc!$E$228)))=0,"","Last touch: "&amp;IF(LEN(INDEX('Dealer pipeline'!$P$4:$P$503,_calc!$E$228))=0,"",INDEX('Dealer pipeline'!$P$4:$P$503,_calc!$E$228))&amp;". ")&amp;IF(LEN(IF(LEN(INDEX('Dealer pipeline'!$R$4:$R$503,_calc!$E$228))=0,"",INDEX('Dealer pipeline'!$R$4:$R$503,_calc!$E$228)))=0,"","Owner: "&amp;IF(LEN(INDEX('Dealer pipeline'!$R$4:$R$503,_calc!$E$228))=0,"",INDEX('Dealer pipeline'!$R$4:$R$503,_calc!$E$228))&amp;". ")&amp;IF(LEN(IF(LEN(INDEX('Dealer pipeline'!$S$4:$S$503,_calc!$E$228))=0,"",INDEX('Dealer pipeline'!$S$4:$S$503,_calc!$E$228)))=0,"","Backup: "&amp;IF(LEN(INDEX('Dealer pipeline'!$S$4:$S$503,_calc!$E$228))=0,"",INDEX('Dealer pipeline'!$S$4:$S$503,_calc!$E$228))&amp;". ")&amp;IF(LEN(IF(LEN(INDEX('Dealer pipeline'!$T$4:$T$503,_calc!$E$228))=0,"",INDEX('Dealer pipeline'!$T$4:$T$503,_calc!$E$228)))=0,"",IF(LEN(INDEX('Dealer pipeline'!$T$4:$T$503,_calc!$E$228))=0,"",INDEX('Dealer pipeline'!$T$4:$T$503,_calc!$E$228)))),TRIM(IF(LEN(IF(LEN(INDEX('My equipment'!$C$4:$C$503,(_calc!$E$228-500)))=0,"",INDEX('My equipment'!$C$4:$C$503,(_calc!$E$228-500))))=0,"","Model: "&amp;IF(LEN(INDEX('My equipment'!$C$4:$C$503,(_calc!$E$228-500)))=0,"",INDEX('My equipment'!$C$4:$C$503,(_calc!$E$228-500)))&amp;". ")&amp;IF(LEN(IF(LEN(INDEX('My equipment'!$D$4:$D$503,(_calc!$E$228-500)))=0,"",INDEX('My equipment'!$D$4:$D$503,(_calc!$E$228-500))))=0,"","Serial: "&amp;IF(LEN(INDEX('My equipment'!$D$4:$D$503,(_calc!$E$228-500)))=0,"",INDEX('My equipment'!$D$4:$D$503,(_calc!$E$228-500)))&amp;". ")&amp;IF(LEN(IF(ISNUMBER(INDEX('My equipment'!$J$4:$J$503,(_calc!$E$228-500))),TEXT(INDEX('My equipment'!$J$4:$J$503,(_calc!$E$228-500)),"yyyy-mm-dd"),""))=0,"","Parts end: "&amp;IF(ISNUMBER(INDEX('My equipment'!$J$4:$J$503,(_calc!$E$228-500))),TEXT(INDEX('My equipment'!$J$4:$J$503,(_calc!$E$228-500)),"yyyy-mm-dd"),"")&amp;". ")&amp;IF(LEN(IF(ISNUMBER(INDEX('My equipment'!$L$4:$L$503,(_calc!$E$228-500))),TEXT(INDEX('My equipment'!$L$4:$L$503,(_calc!$E$228-500)),"yyyy-mm-dd"),""))=0,"","Labor end: "&amp;IF(ISNUMBER(INDEX('My equipment'!$L$4:$L$503,(_calc!$E$228-500))),TEXT(INDEX('My equipment'!$L$4:$L$503,(_calc!$E$228-500)),"yyyy-mm-dd"),"")&amp;". ")&amp;IF(LEN(IF(ISNUMBER(INDEX('My equipment'!$P$4:$P$503,(_calc!$E$228-500))),TEXT(INDEX('My equipment'!$P$4:$P$503,(_calc!$E$228-500)),"yyyy-mm-dd"),""))=0,"","Check by: "&amp;IF(ISNUMBER(INDEX('My equipment'!$P$4:$P$503,(_calc!$E$228-500))),TEXT(INDEX('My equipment'!$P$4:$P$503,(_calc!$E$228-500)),"yyyy-mm-dd"),"")&amp;". ")&amp;IF(LEN(IF(LEN(INDEX('My equipment'!$Q$4:$Q$503,(_calc!$E$228-500)))=0,"",INDEX('My equipment'!$Q$4:$Q$503,(_calc!$E$228-500))))=0,"","Claim status: "&amp;IF(LEN(INDEX('My equipment'!$Q$4:$Q$503,(_calc!$E$228-500)))=0,"",INDEX('My equipment'!$Q$4:$Q$503,(_calc!$E$228-500)))&amp;". ")&amp;IF(LEN(IF(LEN(INDEX('My equipment'!$R$4:$R$503,(_calc!$E$228-500)))=0,"",INDEX('My equipment'!$R$4:$R$503,(_calc!$E$228-500))))=0,"","Claims contact: "&amp;IF(LEN(INDEX('My equipment'!$R$4:$R$503,(_calc!$E$228-500)))=0,"",INDEX('My equipment'!$R$4:$R$503,(_calc!$E$228-500)))&amp;". ")&amp;IF(LEN(IF(LEN(INDEX('My equipment'!$S$4:$S$503,(_calc!$E$228-500)))=0,"",INDEX('My equipment'!$S$4:$S$503,(_calc!$E$228-500))))=0,"","Claims email: "&amp;IF(LEN(INDEX('My equipment'!$S$4:$S$503,(_calc!$E$228-500)))=0,"",INDEX('My equipment'!$S$4:$S$503,(_calc!$E$228-500)))&amp;". ")&amp;IF(LEN(IF(LEN(INDEX('My equipment'!$U$4:$U$503,(_calc!$E$228-500)))=0,"",INDEX('My equipment'!$U$4:$U$503,(_calc!$E$228-500))))=0,"","Registered: "&amp;IF(LEN(INDEX('My equipment'!$U$4:$U$503,(_calc!$E$228-500)))=0,"",INDEX('My equipment'!$U$4:$U$503,(_calc!$E$228-500)))&amp;". ")&amp;IF(LEN(IF(LEN(INDEX('My equipment'!$V$4:$V$503,(_calc!$E$228-500)))=0,"",INDEX('My equipment'!$V$4:$V$503,(_calc!$E$228-500))))=0,"","Proof on file: "&amp;IF(LEN(INDEX('My equipment'!$V$4:$V$503,(_calc!$E$228-500)))=0,"",INDEX('My equipment'!$V$4:$V$503,(_calc!$E$228-500)))&amp;". ")&amp;IF(LEN(IF(LEN(INDEX('My equipment'!$W$4:$W$503,(_calc!$E$228-500)))=0,"",INDEX('My equipment'!$W$4:$W$503,(_calc!$E$228-500))))=0,"","Claim ref: "&amp;IF(LEN(INDEX('My equipment'!$W$4:$W$503,(_calc!$E$228-500)))=0,"",INDEX('My equipment'!$W$4:$W$503,(_calc!$E$228-500)))&amp;". ")&amp;IF(LEN(IF(LEN(INDEX('My equipment'!$Y$4:$Y$503,(_calc!$E$228-500)))=0,"",INDEX('My equipment'!$Y$4:$Y$503,(_calc!$E$228-500))))=0,"",IF(LEN(INDEX('My equipment'!$Y$4:$Y$503,(_calc!$E$228-500)))=0,"",INDEX('My equipment'!$Y$4:$Y$503,(_calc!$E$228-500)))))))</f>
        <v/>
      </c>
      <c r="G226" s="54">
        <f>IF(_calc!$E$228="","",IF(_calc!$E$228&lt;=500,"",IF(LEN(INDEX('My equipment'!$X$4:$X$503,(_calc!$E$228-500)))=0,"",INDEX('My equipment'!$X$4:$X$503,(_calc!$E$228-500)))))</f>
        <v/>
      </c>
      <c r="K226" s="54">
        <f>IF(_calc!$E$228="","",IF(_calc!$E$228&lt;=500,"",IF(LEN(INDEX('My equipment'!$T$4:$T$503,(_calc!$E$228-500)))=0,"",INDEX('My equipment'!$T$4:$T$503,(_calc!$E$228-500)))))</f>
        <v/>
      </c>
    </row>
    <row r="227">
      <c r="A227" s="54">
        <f>IF(_calc!$E$229="","",IF(_calc!$E$229&lt;=500,"Warranty – "&amp;IF(LEN(INDEX('Dealer pipeline'!$C$4:$C$503,_calc!$E$229))=0,"",INDEX('Dealer pipeline'!$C$4:$C$503,_calc!$E$229))&amp;" – "&amp;IF(LEN(INDEX('Dealer pipeline'!$D$4:$D$503,_calc!$E$229))=0,"",INDEX('Dealer pipeline'!$D$4:$D$503,_calc!$E$229))&amp;" – "&amp;IF(LEN(INDEX('Dealer pipeline'!$A$4:$A$503,_calc!$E$229))=0,"",INDEX('Dealer pipeline'!$A$4:$A$503,_calc!$E$229)),"Warranty – "&amp;IF(LEN(INDEX('My equipment'!$A$4:$A$503,(_calc!$E$229-500)))=0,"",INDEX('My equipment'!$A$4:$A$503,(_calc!$E$229-500)))&amp;" – "&amp;IF(LEN(INDEX('My equipment'!$D$4:$D$503,(_calc!$E$229-500)))=0,"",INDEX('My equipment'!$D$4:$D$503,(_calc!$E$229-500)))))</f>
        <v/>
      </c>
      <c r="B227" s="54">
        <f>IF(_calc!$E$229="","",IF(_calc!$E$229&lt;=500,IF(ISNUMBER(INDEX('Dealer pipeline'!$M$4:$M$503,_calc!$E$229)),TEXT(INDEX('Dealer pipeline'!$M$4:$M$503,_calc!$E$229),"yyyy-mm-dd"),""),IF(ISNUMBER(INDEX('My equipment'!$M$4:$M$503,(_calc!$E$229-500))),TEXT(INDEX('My equipment'!$M$4:$M$503,(_calc!$E$229-500)),"yyyy-mm-dd"),"")))</f>
        <v/>
      </c>
      <c r="C227" s="54">
        <f>IF(_calc!$E$229="","",IF(_calc!$E$229&lt;=500,"Warranty","Warranty"))</f>
        <v/>
      </c>
      <c r="D227" s="54">
        <f>IF(_calc!$E$229="","",IF(_calc!$E$229&lt;=500,IF(ISNUMBER(INDEX('Dealer pipeline'!$H$4:$H$503,_calc!$E$229)),TEXT(INDEX('Dealer pipeline'!$H$4:$H$503,_calc!$E$229),"yyyy-mm-dd"),""),IF(ISNUMBER(INDEX('My equipment'!$H$4:$H$503,(_calc!$E$229-500))),TEXT(INDEX('My equipment'!$H$4:$H$503,(_calc!$E$229-500)),"yyyy-mm-dd"),"")))</f>
        <v/>
      </c>
      <c r="F227" s="54">
        <f>IF(_calc!$E$229="","",IF(_calc!$E$229&lt;=500,TRIM(IF(LEN(IF(LEN(INDEX('Dealer pipeline'!$A$4:$A$503,_calc!$E$229))=0,"",INDEX('Dealer pipeline'!$A$4:$A$503,_calc!$E$229)))=0,"","Customer: "&amp;IF(LEN(INDEX('Dealer pipeline'!$A$4:$A$503,_calc!$E$229))=0,"",INDEX('Dealer pipeline'!$A$4:$A$503,_calc!$E$229))&amp;". ")&amp;IF(LEN(IF(LEN(INDEX('Dealer pipeline'!$B$4:$B$503,_calc!$E$229))=0,"",INDEX('Dealer pipeline'!$B$4:$B$503,_calc!$E$229)))=0,"","Contact: "&amp;IF(LEN(INDEX('Dealer pipeline'!$B$4:$B$503,_calc!$E$229))=0,"",INDEX('Dealer pipeline'!$B$4:$B$503,_calc!$E$229))&amp;". ")&amp;IF(LEN(IF(LEN(INDEX('Dealer pipeline'!$D$4:$D$503,_calc!$E$229))=0,"",INDEX('Dealer pipeline'!$D$4:$D$503,_calc!$E$229)))=0,"","Serial: "&amp;IF(LEN(INDEX('Dealer pipeline'!$D$4:$D$503,_calc!$E$229))=0,"",INDEX('Dealer pipeline'!$D$4:$D$503,_calc!$E$229))&amp;". ")&amp;IF(LEN(IF(ISNUMBER(INDEX('Dealer pipeline'!$J$4:$J$503,_calc!$E$229)),TEXT(INDEX('Dealer pipeline'!$J$4:$J$503,_calc!$E$229),"yyyy-mm-dd"),""))=0,"","Parts end: "&amp;IF(ISNUMBER(INDEX('Dealer pipeline'!$J$4:$J$503,_calc!$E$229)),TEXT(INDEX('Dealer pipeline'!$J$4:$J$503,_calc!$E$229),"yyyy-mm-dd"),"")&amp;". ")&amp;IF(LEN(IF(ISNUMBER(INDEX('Dealer pipeline'!$L$4:$L$503,_calc!$E$229)),TEXT(INDEX('Dealer pipeline'!$L$4:$L$503,_calc!$E$229),"yyyy-mm-dd"),""))=0,"","Labor end: "&amp;IF(ISNUMBER(INDEX('Dealer pipeline'!$L$4:$L$503,_calc!$E$229)),TEXT(INDEX('Dealer pipeline'!$L$4:$L$503,_calc!$E$229),"yyyy-mm-dd"),"")&amp;". ")&amp;IF(LEN(IF(LEN(INDEX('Dealer pipeline'!$Q$4:$Q$503,_calc!$E$229))=0,"",INDEX('Dealer pipeline'!$Q$4:$Q$503,_calc!$E$229)))=0,"","Status: "&amp;IF(LEN(INDEX('Dealer pipeline'!$Q$4:$Q$503,_calc!$E$229))=0,"",INDEX('Dealer pipeline'!$Q$4:$Q$503,_calc!$E$229))&amp;". ")&amp;IF(LEN(IF(LEN(INDEX('Dealer pipeline'!$P$4:$P$503,_calc!$E$229))=0,"",INDEX('Dealer pipeline'!$P$4:$P$503,_calc!$E$229)))=0,"","Last touch: "&amp;IF(LEN(INDEX('Dealer pipeline'!$P$4:$P$503,_calc!$E$229))=0,"",INDEX('Dealer pipeline'!$P$4:$P$503,_calc!$E$229))&amp;". ")&amp;IF(LEN(IF(LEN(INDEX('Dealer pipeline'!$R$4:$R$503,_calc!$E$229))=0,"",INDEX('Dealer pipeline'!$R$4:$R$503,_calc!$E$229)))=0,"","Owner: "&amp;IF(LEN(INDEX('Dealer pipeline'!$R$4:$R$503,_calc!$E$229))=0,"",INDEX('Dealer pipeline'!$R$4:$R$503,_calc!$E$229))&amp;". ")&amp;IF(LEN(IF(LEN(INDEX('Dealer pipeline'!$S$4:$S$503,_calc!$E$229))=0,"",INDEX('Dealer pipeline'!$S$4:$S$503,_calc!$E$229)))=0,"","Backup: "&amp;IF(LEN(INDEX('Dealer pipeline'!$S$4:$S$503,_calc!$E$229))=0,"",INDEX('Dealer pipeline'!$S$4:$S$503,_calc!$E$229))&amp;". ")&amp;IF(LEN(IF(LEN(INDEX('Dealer pipeline'!$T$4:$T$503,_calc!$E$229))=0,"",INDEX('Dealer pipeline'!$T$4:$T$503,_calc!$E$229)))=0,"",IF(LEN(INDEX('Dealer pipeline'!$T$4:$T$503,_calc!$E$229))=0,"",INDEX('Dealer pipeline'!$T$4:$T$503,_calc!$E$229)))),TRIM(IF(LEN(IF(LEN(INDEX('My equipment'!$C$4:$C$503,(_calc!$E$229-500)))=0,"",INDEX('My equipment'!$C$4:$C$503,(_calc!$E$229-500))))=0,"","Model: "&amp;IF(LEN(INDEX('My equipment'!$C$4:$C$503,(_calc!$E$229-500)))=0,"",INDEX('My equipment'!$C$4:$C$503,(_calc!$E$229-500)))&amp;". ")&amp;IF(LEN(IF(LEN(INDEX('My equipment'!$D$4:$D$503,(_calc!$E$229-500)))=0,"",INDEX('My equipment'!$D$4:$D$503,(_calc!$E$229-500))))=0,"","Serial: "&amp;IF(LEN(INDEX('My equipment'!$D$4:$D$503,(_calc!$E$229-500)))=0,"",INDEX('My equipment'!$D$4:$D$503,(_calc!$E$229-500)))&amp;". ")&amp;IF(LEN(IF(ISNUMBER(INDEX('My equipment'!$J$4:$J$503,(_calc!$E$229-500))),TEXT(INDEX('My equipment'!$J$4:$J$503,(_calc!$E$229-500)),"yyyy-mm-dd"),""))=0,"","Parts end: "&amp;IF(ISNUMBER(INDEX('My equipment'!$J$4:$J$503,(_calc!$E$229-500))),TEXT(INDEX('My equipment'!$J$4:$J$503,(_calc!$E$229-500)),"yyyy-mm-dd"),"")&amp;". ")&amp;IF(LEN(IF(ISNUMBER(INDEX('My equipment'!$L$4:$L$503,(_calc!$E$229-500))),TEXT(INDEX('My equipment'!$L$4:$L$503,(_calc!$E$229-500)),"yyyy-mm-dd"),""))=0,"","Labor end: "&amp;IF(ISNUMBER(INDEX('My equipment'!$L$4:$L$503,(_calc!$E$229-500))),TEXT(INDEX('My equipment'!$L$4:$L$503,(_calc!$E$229-500)),"yyyy-mm-dd"),"")&amp;". ")&amp;IF(LEN(IF(ISNUMBER(INDEX('My equipment'!$P$4:$P$503,(_calc!$E$229-500))),TEXT(INDEX('My equipment'!$P$4:$P$503,(_calc!$E$229-500)),"yyyy-mm-dd"),""))=0,"","Check by: "&amp;IF(ISNUMBER(INDEX('My equipment'!$P$4:$P$503,(_calc!$E$229-500))),TEXT(INDEX('My equipment'!$P$4:$P$503,(_calc!$E$229-500)),"yyyy-mm-dd"),"")&amp;". ")&amp;IF(LEN(IF(LEN(INDEX('My equipment'!$Q$4:$Q$503,(_calc!$E$229-500)))=0,"",INDEX('My equipment'!$Q$4:$Q$503,(_calc!$E$229-500))))=0,"","Claim status: "&amp;IF(LEN(INDEX('My equipment'!$Q$4:$Q$503,(_calc!$E$229-500)))=0,"",INDEX('My equipment'!$Q$4:$Q$503,(_calc!$E$229-500)))&amp;". ")&amp;IF(LEN(IF(LEN(INDEX('My equipment'!$R$4:$R$503,(_calc!$E$229-500)))=0,"",INDEX('My equipment'!$R$4:$R$503,(_calc!$E$229-500))))=0,"","Claims contact: "&amp;IF(LEN(INDEX('My equipment'!$R$4:$R$503,(_calc!$E$229-500)))=0,"",INDEX('My equipment'!$R$4:$R$503,(_calc!$E$229-500)))&amp;". ")&amp;IF(LEN(IF(LEN(INDEX('My equipment'!$S$4:$S$503,(_calc!$E$229-500)))=0,"",INDEX('My equipment'!$S$4:$S$503,(_calc!$E$229-500))))=0,"","Claims email: "&amp;IF(LEN(INDEX('My equipment'!$S$4:$S$503,(_calc!$E$229-500)))=0,"",INDEX('My equipment'!$S$4:$S$503,(_calc!$E$229-500)))&amp;". ")&amp;IF(LEN(IF(LEN(INDEX('My equipment'!$U$4:$U$503,(_calc!$E$229-500)))=0,"",INDEX('My equipment'!$U$4:$U$503,(_calc!$E$229-500))))=0,"","Registered: "&amp;IF(LEN(INDEX('My equipment'!$U$4:$U$503,(_calc!$E$229-500)))=0,"",INDEX('My equipment'!$U$4:$U$503,(_calc!$E$229-500)))&amp;". ")&amp;IF(LEN(IF(LEN(INDEX('My equipment'!$V$4:$V$503,(_calc!$E$229-500)))=0,"",INDEX('My equipment'!$V$4:$V$503,(_calc!$E$229-500))))=0,"","Proof on file: "&amp;IF(LEN(INDEX('My equipment'!$V$4:$V$503,(_calc!$E$229-500)))=0,"",INDEX('My equipment'!$V$4:$V$503,(_calc!$E$229-500)))&amp;". ")&amp;IF(LEN(IF(LEN(INDEX('My equipment'!$W$4:$W$503,(_calc!$E$229-500)))=0,"",INDEX('My equipment'!$W$4:$W$503,(_calc!$E$229-500))))=0,"","Claim ref: "&amp;IF(LEN(INDEX('My equipment'!$W$4:$W$503,(_calc!$E$229-500)))=0,"",INDEX('My equipment'!$W$4:$W$503,(_calc!$E$229-500)))&amp;". ")&amp;IF(LEN(IF(LEN(INDEX('My equipment'!$Y$4:$Y$503,(_calc!$E$229-500)))=0,"",INDEX('My equipment'!$Y$4:$Y$503,(_calc!$E$229-500))))=0,"",IF(LEN(INDEX('My equipment'!$Y$4:$Y$503,(_calc!$E$229-500)))=0,"",INDEX('My equipment'!$Y$4:$Y$503,(_calc!$E$229-500)))))))</f>
        <v/>
      </c>
      <c r="G227" s="54">
        <f>IF(_calc!$E$229="","",IF(_calc!$E$229&lt;=500,"",IF(LEN(INDEX('My equipment'!$X$4:$X$503,(_calc!$E$229-500)))=0,"",INDEX('My equipment'!$X$4:$X$503,(_calc!$E$229-500)))))</f>
        <v/>
      </c>
      <c r="K227" s="54">
        <f>IF(_calc!$E$229="","",IF(_calc!$E$229&lt;=500,"",IF(LEN(INDEX('My equipment'!$T$4:$T$503,(_calc!$E$229-500)))=0,"",INDEX('My equipment'!$T$4:$T$503,(_calc!$E$229-500)))))</f>
        <v/>
      </c>
    </row>
    <row r="228">
      <c r="A228" s="54">
        <f>IF(_calc!$E$230="","",IF(_calc!$E$230&lt;=500,"Warranty – "&amp;IF(LEN(INDEX('Dealer pipeline'!$C$4:$C$503,_calc!$E$230))=0,"",INDEX('Dealer pipeline'!$C$4:$C$503,_calc!$E$230))&amp;" – "&amp;IF(LEN(INDEX('Dealer pipeline'!$D$4:$D$503,_calc!$E$230))=0,"",INDEX('Dealer pipeline'!$D$4:$D$503,_calc!$E$230))&amp;" – "&amp;IF(LEN(INDEX('Dealer pipeline'!$A$4:$A$503,_calc!$E$230))=0,"",INDEX('Dealer pipeline'!$A$4:$A$503,_calc!$E$230)),"Warranty – "&amp;IF(LEN(INDEX('My equipment'!$A$4:$A$503,(_calc!$E$230-500)))=0,"",INDEX('My equipment'!$A$4:$A$503,(_calc!$E$230-500)))&amp;" – "&amp;IF(LEN(INDEX('My equipment'!$D$4:$D$503,(_calc!$E$230-500)))=0,"",INDEX('My equipment'!$D$4:$D$503,(_calc!$E$230-500)))))</f>
        <v/>
      </c>
      <c r="B228" s="54">
        <f>IF(_calc!$E$230="","",IF(_calc!$E$230&lt;=500,IF(ISNUMBER(INDEX('Dealer pipeline'!$M$4:$M$503,_calc!$E$230)),TEXT(INDEX('Dealer pipeline'!$M$4:$M$503,_calc!$E$230),"yyyy-mm-dd"),""),IF(ISNUMBER(INDEX('My equipment'!$M$4:$M$503,(_calc!$E$230-500))),TEXT(INDEX('My equipment'!$M$4:$M$503,(_calc!$E$230-500)),"yyyy-mm-dd"),"")))</f>
        <v/>
      </c>
      <c r="C228" s="54">
        <f>IF(_calc!$E$230="","",IF(_calc!$E$230&lt;=500,"Warranty","Warranty"))</f>
        <v/>
      </c>
      <c r="D228" s="54">
        <f>IF(_calc!$E$230="","",IF(_calc!$E$230&lt;=500,IF(ISNUMBER(INDEX('Dealer pipeline'!$H$4:$H$503,_calc!$E$230)),TEXT(INDEX('Dealer pipeline'!$H$4:$H$503,_calc!$E$230),"yyyy-mm-dd"),""),IF(ISNUMBER(INDEX('My equipment'!$H$4:$H$503,(_calc!$E$230-500))),TEXT(INDEX('My equipment'!$H$4:$H$503,(_calc!$E$230-500)),"yyyy-mm-dd"),"")))</f>
        <v/>
      </c>
      <c r="F228" s="54">
        <f>IF(_calc!$E$230="","",IF(_calc!$E$230&lt;=500,TRIM(IF(LEN(IF(LEN(INDEX('Dealer pipeline'!$A$4:$A$503,_calc!$E$230))=0,"",INDEX('Dealer pipeline'!$A$4:$A$503,_calc!$E$230)))=0,"","Customer: "&amp;IF(LEN(INDEX('Dealer pipeline'!$A$4:$A$503,_calc!$E$230))=0,"",INDEX('Dealer pipeline'!$A$4:$A$503,_calc!$E$230))&amp;". ")&amp;IF(LEN(IF(LEN(INDEX('Dealer pipeline'!$B$4:$B$503,_calc!$E$230))=0,"",INDEX('Dealer pipeline'!$B$4:$B$503,_calc!$E$230)))=0,"","Contact: "&amp;IF(LEN(INDEX('Dealer pipeline'!$B$4:$B$503,_calc!$E$230))=0,"",INDEX('Dealer pipeline'!$B$4:$B$503,_calc!$E$230))&amp;". ")&amp;IF(LEN(IF(LEN(INDEX('Dealer pipeline'!$D$4:$D$503,_calc!$E$230))=0,"",INDEX('Dealer pipeline'!$D$4:$D$503,_calc!$E$230)))=0,"","Serial: "&amp;IF(LEN(INDEX('Dealer pipeline'!$D$4:$D$503,_calc!$E$230))=0,"",INDEX('Dealer pipeline'!$D$4:$D$503,_calc!$E$230))&amp;". ")&amp;IF(LEN(IF(ISNUMBER(INDEX('Dealer pipeline'!$J$4:$J$503,_calc!$E$230)),TEXT(INDEX('Dealer pipeline'!$J$4:$J$503,_calc!$E$230),"yyyy-mm-dd"),""))=0,"","Parts end: "&amp;IF(ISNUMBER(INDEX('Dealer pipeline'!$J$4:$J$503,_calc!$E$230)),TEXT(INDEX('Dealer pipeline'!$J$4:$J$503,_calc!$E$230),"yyyy-mm-dd"),"")&amp;". ")&amp;IF(LEN(IF(ISNUMBER(INDEX('Dealer pipeline'!$L$4:$L$503,_calc!$E$230)),TEXT(INDEX('Dealer pipeline'!$L$4:$L$503,_calc!$E$230),"yyyy-mm-dd"),""))=0,"","Labor end: "&amp;IF(ISNUMBER(INDEX('Dealer pipeline'!$L$4:$L$503,_calc!$E$230)),TEXT(INDEX('Dealer pipeline'!$L$4:$L$503,_calc!$E$230),"yyyy-mm-dd"),"")&amp;". ")&amp;IF(LEN(IF(LEN(INDEX('Dealer pipeline'!$Q$4:$Q$503,_calc!$E$230))=0,"",INDEX('Dealer pipeline'!$Q$4:$Q$503,_calc!$E$230)))=0,"","Status: "&amp;IF(LEN(INDEX('Dealer pipeline'!$Q$4:$Q$503,_calc!$E$230))=0,"",INDEX('Dealer pipeline'!$Q$4:$Q$503,_calc!$E$230))&amp;". ")&amp;IF(LEN(IF(LEN(INDEX('Dealer pipeline'!$P$4:$P$503,_calc!$E$230))=0,"",INDEX('Dealer pipeline'!$P$4:$P$503,_calc!$E$230)))=0,"","Last touch: "&amp;IF(LEN(INDEX('Dealer pipeline'!$P$4:$P$503,_calc!$E$230))=0,"",INDEX('Dealer pipeline'!$P$4:$P$503,_calc!$E$230))&amp;". ")&amp;IF(LEN(IF(LEN(INDEX('Dealer pipeline'!$R$4:$R$503,_calc!$E$230))=0,"",INDEX('Dealer pipeline'!$R$4:$R$503,_calc!$E$230)))=0,"","Owner: "&amp;IF(LEN(INDEX('Dealer pipeline'!$R$4:$R$503,_calc!$E$230))=0,"",INDEX('Dealer pipeline'!$R$4:$R$503,_calc!$E$230))&amp;". ")&amp;IF(LEN(IF(LEN(INDEX('Dealer pipeline'!$S$4:$S$503,_calc!$E$230))=0,"",INDEX('Dealer pipeline'!$S$4:$S$503,_calc!$E$230)))=0,"","Backup: "&amp;IF(LEN(INDEX('Dealer pipeline'!$S$4:$S$503,_calc!$E$230))=0,"",INDEX('Dealer pipeline'!$S$4:$S$503,_calc!$E$230))&amp;". ")&amp;IF(LEN(IF(LEN(INDEX('Dealer pipeline'!$T$4:$T$503,_calc!$E$230))=0,"",INDEX('Dealer pipeline'!$T$4:$T$503,_calc!$E$230)))=0,"",IF(LEN(INDEX('Dealer pipeline'!$T$4:$T$503,_calc!$E$230))=0,"",INDEX('Dealer pipeline'!$T$4:$T$503,_calc!$E$230)))),TRIM(IF(LEN(IF(LEN(INDEX('My equipment'!$C$4:$C$503,(_calc!$E$230-500)))=0,"",INDEX('My equipment'!$C$4:$C$503,(_calc!$E$230-500))))=0,"","Model: "&amp;IF(LEN(INDEX('My equipment'!$C$4:$C$503,(_calc!$E$230-500)))=0,"",INDEX('My equipment'!$C$4:$C$503,(_calc!$E$230-500)))&amp;". ")&amp;IF(LEN(IF(LEN(INDEX('My equipment'!$D$4:$D$503,(_calc!$E$230-500)))=0,"",INDEX('My equipment'!$D$4:$D$503,(_calc!$E$230-500))))=0,"","Serial: "&amp;IF(LEN(INDEX('My equipment'!$D$4:$D$503,(_calc!$E$230-500)))=0,"",INDEX('My equipment'!$D$4:$D$503,(_calc!$E$230-500)))&amp;". ")&amp;IF(LEN(IF(ISNUMBER(INDEX('My equipment'!$J$4:$J$503,(_calc!$E$230-500))),TEXT(INDEX('My equipment'!$J$4:$J$503,(_calc!$E$230-500)),"yyyy-mm-dd"),""))=0,"","Parts end: "&amp;IF(ISNUMBER(INDEX('My equipment'!$J$4:$J$503,(_calc!$E$230-500))),TEXT(INDEX('My equipment'!$J$4:$J$503,(_calc!$E$230-500)),"yyyy-mm-dd"),"")&amp;". ")&amp;IF(LEN(IF(ISNUMBER(INDEX('My equipment'!$L$4:$L$503,(_calc!$E$230-500))),TEXT(INDEX('My equipment'!$L$4:$L$503,(_calc!$E$230-500)),"yyyy-mm-dd"),""))=0,"","Labor end: "&amp;IF(ISNUMBER(INDEX('My equipment'!$L$4:$L$503,(_calc!$E$230-500))),TEXT(INDEX('My equipment'!$L$4:$L$503,(_calc!$E$230-500)),"yyyy-mm-dd"),"")&amp;". ")&amp;IF(LEN(IF(ISNUMBER(INDEX('My equipment'!$P$4:$P$503,(_calc!$E$230-500))),TEXT(INDEX('My equipment'!$P$4:$P$503,(_calc!$E$230-500)),"yyyy-mm-dd"),""))=0,"","Check by: "&amp;IF(ISNUMBER(INDEX('My equipment'!$P$4:$P$503,(_calc!$E$230-500))),TEXT(INDEX('My equipment'!$P$4:$P$503,(_calc!$E$230-500)),"yyyy-mm-dd"),"")&amp;". ")&amp;IF(LEN(IF(LEN(INDEX('My equipment'!$Q$4:$Q$503,(_calc!$E$230-500)))=0,"",INDEX('My equipment'!$Q$4:$Q$503,(_calc!$E$230-500))))=0,"","Claim status: "&amp;IF(LEN(INDEX('My equipment'!$Q$4:$Q$503,(_calc!$E$230-500)))=0,"",INDEX('My equipment'!$Q$4:$Q$503,(_calc!$E$230-500)))&amp;". ")&amp;IF(LEN(IF(LEN(INDEX('My equipment'!$R$4:$R$503,(_calc!$E$230-500)))=0,"",INDEX('My equipment'!$R$4:$R$503,(_calc!$E$230-500))))=0,"","Claims contact: "&amp;IF(LEN(INDEX('My equipment'!$R$4:$R$503,(_calc!$E$230-500)))=0,"",INDEX('My equipment'!$R$4:$R$503,(_calc!$E$230-500)))&amp;". ")&amp;IF(LEN(IF(LEN(INDEX('My equipment'!$S$4:$S$503,(_calc!$E$230-500)))=0,"",INDEX('My equipment'!$S$4:$S$503,(_calc!$E$230-500))))=0,"","Claims email: "&amp;IF(LEN(INDEX('My equipment'!$S$4:$S$503,(_calc!$E$230-500)))=0,"",INDEX('My equipment'!$S$4:$S$503,(_calc!$E$230-500)))&amp;". ")&amp;IF(LEN(IF(LEN(INDEX('My equipment'!$U$4:$U$503,(_calc!$E$230-500)))=0,"",INDEX('My equipment'!$U$4:$U$503,(_calc!$E$230-500))))=0,"","Registered: "&amp;IF(LEN(INDEX('My equipment'!$U$4:$U$503,(_calc!$E$230-500)))=0,"",INDEX('My equipment'!$U$4:$U$503,(_calc!$E$230-500)))&amp;". ")&amp;IF(LEN(IF(LEN(INDEX('My equipment'!$V$4:$V$503,(_calc!$E$230-500)))=0,"",INDEX('My equipment'!$V$4:$V$503,(_calc!$E$230-500))))=0,"","Proof on file: "&amp;IF(LEN(INDEX('My equipment'!$V$4:$V$503,(_calc!$E$230-500)))=0,"",INDEX('My equipment'!$V$4:$V$503,(_calc!$E$230-500)))&amp;". ")&amp;IF(LEN(IF(LEN(INDEX('My equipment'!$W$4:$W$503,(_calc!$E$230-500)))=0,"",INDEX('My equipment'!$W$4:$W$503,(_calc!$E$230-500))))=0,"","Claim ref: "&amp;IF(LEN(INDEX('My equipment'!$W$4:$W$503,(_calc!$E$230-500)))=0,"",INDEX('My equipment'!$W$4:$W$503,(_calc!$E$230-500)))&amp;". ")&amp;IF(LEN(IF(LEN(INDEX('My equipment'!$Y$4:$Y$503,(_calc!$E$230-500)))=0,"",INDEX('My equipment'!$Y$4:$Y$503,(_calc!$E$230-500))))=0,"",IF(LEN(INDEX('My equipment'!$Y$4:$Y$503,(_calc!$E$230-500)))=0,"",INDEX('My equipment'!$Y$4:$Y$503,(_calc!$E$230-500)))))))</f>
        <v/>
      </c>
      <c r="G228" s="54">
        <f>IF(_calc!$E$230="","",IF(_calc!$E$230&lt;=500,"",IF(LEN(INDEX('My equipment'!$X$4:$X$503,(_calc!$E$230-500)))=0,"",INDEX('My equipment'!$X$4:$X$503,(_calc!$E$230-500)))))</f>
        <v/>
      </c>
      <c r="K228" s="54">
        <f>IF(_calc!$E$230="","",IF(_calc!$E$230&lt;=500,"",IF(LEN(INDEX('My equipment'!$T$4:$T$503,(_calc!$E$230-500)))=0,"",INDEX('My equipment'!$T$4:$T$503,(_calc!$E$230-500)))))</f>
        <v/>
      </c>
    </row>
    <row r="229">
      <c r="A229" s="54">
        <f>IF(_calc!$E$231="","",IF(_calc!$E$231&lt;=500,"Warranty – "&amp;IF(LEN(INDEX('Dealer pipeline'!$C$4:$C$503,_calc!$E$231))=0,"",INDEX('Dealer pipeline'!$C$4:$C$503,_calc!$E$231))&amp;" – "&amp;IF(LEN(INDEX('Dealer pipeline'!$D$4:$D$503,_calc!$E$231))=0,"",INDEX('Dealer pipeline'!$D$4:$D$503,_calc!$E$231))&amp;" – "&amp;IF(LEN(INDEX('Dealer pipeline'!$A$4:$A$503,_calc!$E$231))=0,"",INDEX('Dealer pipeline'!$A$4:$A$503,_calc!$E$231)),"Warranty – "&amp;IF(LEN(INDEX('My equipment'!$A$4:$A$503,(_calc!$E$231-500)))=0,"",INDEX('My equipment'!$A$4:$A$503,(_calc!$E$231-500)))&amp;" – "&amp;IF(LEN(INDEX('My equipment'!$D$4:$D$503,(_calc!$E$231-500)))=0,"",INDEX('My equipment'!$D$4:$D$503,(_calc!$E$231-500)))))</f>
        <v/>
      </c>
      <c r="B229" s="54">
        <f>IF(_calc!$E$231="","",IF(_calc!$E$231&lt;=500,IF(ISNUMBER(INDEX('Dealer pipeline'!$M$4:$M$503,_calc!$E$231)),TEXT(INDEX('Dealer pipeline'!$M$4:$M$503,_calc!$E$231),"yyyy-mm-dd"),""),IF(ISNUMBER(INDEX('My equipment'!$M$4:$M$503,(_calc!$E$231-500))),TEXT(INDEX('My equipment'!$M$4:$M$503,(_calc!$E$231-500)),"yyyy-mm-dd"),"")))</f>
        <v/>
      </c>
      <c r="C229" s="54">
        <f>IF(_calc!$E$231="","",IF(_calc!$E$231&lt;=500,"Warranty","Warranty"))</f>
        <v/>
      </c>
      <c r="D229" s="54">
        <f>IF(_calc!$E$231="","",IF(_calc!$E$231&lt;=500,IF(ISNUMBER(INDEX('Dealer pipeline'!$H$4:$H$503,_calc!$E$231)),TEXT(INDEX('Dealer pipeline'!$H$4:$H$503,_calc!$E$231),"yyyy-mm-dd"),""),IF(ISNUMBER(INDEX('My equipment'!$H$4:$H$503,(_calc!$E$231-500))),TEXT(INDEX('My equipment'!$H$4:$H$503,(_calc!$E$231-500)),"yyyy-mm-dd"),"")))</f>
        <v/>
      </c>
      <c r="F229" s="54">
        <f>IF(_calc!$E$231="","",IF(_calc!$E$231&lt;=500,TRIM(IF(LEN(IF(LEN(INDEX('Dealer pipeline'!$A$4:$A$503,_calc!$E$231))=0,"",INDEX('Dealer pipeline'!$A$4:$A$503,_calc!$E$231)))=0,"","Customer: "&amp;IF(LEN(INDEX('Dealer pipeline'!$A$4:$A$503,_calc!$E$231))=0,"",INDEX('Dealer pipeline'!$A$4:$A$503,_calc!$E$231))&amp;". ")&amp;IF(LEN(IF(LEN(INDEX('Dealer pipeline'!$B$4:$B$503,_calc!$E$231))=0,"",INDEX('Dealer pipeline'!$B$4:$B$503,_calc!$E$231)))=0,"","Contact: "&amp;IF(LEN(INDEX('Dealer pipeline'!$B$4:$B$503,_calc!$E$231))=0,"",INDEX('Dealer pipeline'!$B$4:$B$503,_calc!$E$231))&amp;". ")&amp;IF(LEN(IF(LEN(INDEX('Dealer pipeline'!$D$4:$D$503,_calc!$E$231))=0,"",INDEX('Dealer pipeline'!$D$4:$D$503,_calc!$E$231)))=0,"","Serial: "&amp;IF(LEN(INDEX('Dealer pipeline'!$D$4:$D$503,_calc!$E$231))=0,"",INDEX('Dealer pipeline'!$D$4:$D$503,_calc!$E$231))&amp;". ")&amp;IF(LEN(IF(ISNUMBER(INDEX('Dealer pipeline'!$J$4:$J$503,_calc!$E$231)),TEXT(INDEX('Dealer pipeline'!$J$4:$J$503,_calc!$E$231),"yyyy-mm-dd"),""))=0,"","Parts end: "&amp;IF(ISNUMBER(INDEX('Dealer pipeline'!$J$4:$J$503,_calc!$E$231)),TEXT(INDEX('Dealer pipeline'!$J$4:$J$503,_calc!$E$231),"yyyy-mm-dd"),"")&amp;". ")&amp;IF(LEN(IF(ISNUMBER(INDEX('Dealer pipeline'!$L$4:$L$503,_calc!$E$231)),TEXT(INDEX('Dealer pipeline'!$L$4:$L$503,_calc!$E$231),"yyyy-mm-dd"),""))=0,"","Labor end: "&amp;IF(ISNUMBER(INDEX('Dealer pipeline'!$L$4:$L$503,_calc!$E$231)),TEXT(INDEX('Dealer pipeline'!$L$4:$L$503,_calc!$E$231),"yyyy-mm-dd"),"")&amp;". ")&amp;IF(LEN(IF(LEN(INDEX('Dealer pipeline'!$Q$4:$Q$503,_calc!$E$231))=0,"",INDEX('Dealer pipeline'!$Q$4:$Q$503,_calc!$E$231)))=0,"","Status: "&amp;IF(LEN(INDEX('Dealer pipeline'!$Q$4:$Q$503,_calc!$E$231))=0,"",INDEX('Dealer pipeline'!$Q$4:$Q$503,_calc!$E$231))&amp;". ")&amp;IF(LEN(IF(LEN(INDEX('Dealer pipeline'!$P$4:$P$503,_calc!$E$231))=0,"",INDEX('Dealer pipeline'!$P$4:$P$503,_calc!$E$231)))=0,"","Last touch: "&amp;IF(LEN(INDEX('Dealer pipeline'!$P$4:$P$503,_calc!$E$231))=0,"",INDEX('Dealer pipeline'!$P$4:$P$503,_calc!$E$231))&amp;". ")&amp;IF(LEN(IF(LEN(INDEX('Dealer pipeline'!$R$4:$R$503,_calc!$E$231))=0,"",INDEX('Dealer pipeline'!$R$4:$R$503,_calc!$E$231)))=0,"","Owner: "&amp;IF(LEN(INDEX('Dealer pipeline'!$R$4:$R$503,_calc!$E$231))=0,"",INDEX('Dealer pipeline'!$R$4:$R$503,_calc!$E$231))&amp;". ")&amp;IF(LEN(IF(LEN(INDEX('Dealer pipeline'!$S$4:$S$503,_calc!$E$231))=0,"",INDEX('Dealer pipeline'!$S$4:$S$503,_calc!$E$231)))=0,"","Backup: "&amp;IF(LEN(INDEX('Dealer pipeline'!$S$4:$S$503,_calc!$E$231))=0,"",INDEX('Dealer pipeline'!$S$4:$S$503,_calc!$E$231))&amp;". ")&amp;IF(LEN(IF(LEN(INDEX('Dealer pipeline'!$T$4:$T$503,_calc!$E$231))=0,"",INDEX('Dealer pipeline'!$T$4:$T$503,_calc!$E$231)))=0,"",IF(LEN(INDEX('Dealer pipeline'!$T$4:$T$503,_calc!$E$231))=0,"",INDEX('Dealer pipeline'!$T$4:$T$503,_calc!$E$231)))),TRIM(IF(LEN(IF(LEN(INDEX('My equipment'!$C$4:$C$503,(_calc!$E$231-500)))=0,"",INDEX('My equipment'!$C$4:$C$503,(_calc!$E$231-500))))=0,"","Model: "&amp;IF(LEN(INDEX('My equipment'!$C$4:$C$503,(_calc!$E$231-500)))=0,"",INDEX('My equipment'!$C$4:$C$503,(_calc!$E$231-500)))&amp;". ")&amp;IF(LEN(IF(LEN(INDEX('My equipment'!$D$4:$D$503,(_calc!$E$231-500)))=0,"",INDEX('My equipment'!$D$4:$D$503,(_calc!$E$231-500))))=0,"","Serial: "&amp;IF(LEN(INDEX('My equipment'!$D$4:$D$503,(_calc!$E$231-500)))=0,"",INDEX('My equipment'!$D$4:$D$503,(_calc!$E$231-500)))&amp;". ")&amp;IF(LEN(IF(ISNUMBER(INDEX('My equipment'!$J$4:$J$503,(_calc!$E$231-500))),TEXT(INDEX('My equipment'!$J$4:$J$503,(_calc!$E$231-500)),"yyyy-mm-dd"),""))=0,"","Parts end: "&amp;IF(ISNUMBER(INDEX('My equipment'!$J$4:$J$503,(_calc!$E$231-500))),TEXT(INDEX('My equipment'!$J$4:$J$503,(_calc!$E$231-500)),"yyyy-mm-dd"),"")&amp;". ")&amp;IF(LEN(IF(ISNUMBER(INDEX('My equipment'!$L$4:$L$503,(_calc!$E$231-500))),TEXT(INDEX('My equipment'!$L$4:$L$503,(_calc!$E$231-500)),"yyyy-mm-dd"),""))=0,"","Labor end: "&amp;IF(ISNUMBER(INDEX('My equipment'!$L$4:$L$503,(_calc!$E$231-500))),TEXT(INDEX('My equipment'!$L$4:$L$503,(_calc!$E$231-500)),"yyyy-mm-dd"),"")&amp;". ")&amp;IF(LEN(IF(ISNUMBER(INDEX('My equipment'!$P$4:$P$503,(_calc!$E$231-500))),TEXT(INDEX('My equipment'!$P$4:$P$503,(_calc!$E$231-500)),"yyyy-mm-dd"),""))=0,"","Check by: "&amp;IF(ISNUMBER(INDEX('My equipment'!$P$4:$P$503,(_calc!$E$231-500))),TEXT(INDEX('My equipment'!$P$4:$P$503,(_calc!$E$231-500)),"yyyy-mm-dd"),"")&amp;". ")&amp;IF(LEN(IF(LEN(INDEX('My equipment'!$Q$4:$Q$503,(_calc!$E$231-500)))=0,"",INDEX('My equipment'!$Q$4:$Q$503,(_calc!$E$231-500))))=0,"","Claim status: "&amp;IF(LEN(INDEX('My equipment'!$Q$4:$Q$503,(_calc!$E$231-500)))=0,"",INDEX('My equipment'!$Q$4:$Q$503,(_calc!$E$231-500)))&amp;". ")&amp;IF(LEN(IF(LEN(INDEX('My equipment'!$R$4:$R$503,(_calc!$E$231-500)))=0,"",INDEX('My equipment'!$R$4:$R$503,(_calc!$E$231-500))))=0,"","Claims contact: "&amp;IF(LEN(INDEX('My equipment'!$R$4:$R$503,(_calc!$E$231-500)))=0,"",INDEX('My equipment'!$R$4:$R$503,(_calc!$E$231-500)))&amp;". ")&amp;IF(LEN(IF(LEN(INDEX('My equipment'!$S$4:$S$503,(_calc!$E$231-500)))=0,"",INDEX('My equipment'!$S$4:$S$503,(_calc!$E$231-500))))=0,"","Claims email: "&amp;IF(LEN(INDEX('My equipment'!$S$4:$S$503,(_calc!$E$231-500)))=0,"",INDEX('My equipment'!$S$4:$S$503,(_calc!$E$231-500)))&amp;". ")&amp;IF(LEN(IF(LEN(INDEX('My equipment'!$U$4:$U$503,(_calc!$E$231-500)))=0,"",INDEX('My equipment'!$U$4:$U$503,(_calc!$E$231-500))))=0,"","Registered: "&amp;IF(LEN(INDEX('My equipment'!$U$4:$U$503,(_calc!$E$231-500)))=0,"",INDEX('My equipment'!$U$4:$U$503,(_calc!$E$231-500)))&amp;". ")&amp;IF(LEN(IF(LEN(INDEX('My equipment'!$V$4:$V$503,(_calc!$E$231-500)))=0,"",INDEX('My equipment'!$V$4:$V$503,(_calc!$E$231-500))))=0,"","Proof on file: "&amp;IF(LEN(INDEX('My equipment'!$V$4:$V$503,(_calc!$E$231-500)))=0,"",INDEX('My equipment'!$V$4:$V$503,(_calc!$E$231-500)))&amp;". ")&amp;IF(LEN(IF(LEN(INDEX('My equipment'!$W$4:$W$503,(_calc!$E$231-500)))=0,"",INDEX('My equipment'!$W$4:$W$503,(_calc!$E$231-500))))=0,"","Claim ref: "&amp;IF(LEN(INDEX('My equipment'!$W$4:$W$503,(_calc!$E$231-500)))=0,"",INDEX('My equipment'!$W$4:$W$503,(_calc!$E$231-500)))&amp;". ")&amp;IF(LEN(IF(LEN(INDEX('My equipment'!$Y$4:$Y$503,(_calc!$E$231-500)))=0,"",INDEX('My equipment'!$Y$4:$Y$503,(_calc!$E$231-500))))=0,"",IF(LEN(INDEX('My equipment'!$Y$4:$Y$503,(_calc!$E$231-500)))=0,"",INDEX('My equipment'!$Y$4:$Y$503,(_calc!$E$231-500)))))))</f>
        <v/>
      </c>
      <c r="G229" s="54">
        <f>IF(_calc!$E$231="","",IF(_calc!$E$231&lt;=500,"",IF(LEN(INDEX('My equipment'!$X$4:$X$503,(_calc!$E$231-500)))=0,"",INDEX('My equipment'!$X$4:$X$503,(_calc!$E$231-500)))))</f>
        <v/>
      </c>
      <c r="K229" s="54">
        <f>IF(_calc!$E$231="","",IF(_calc!$E$231&lt;=500,"",IF(LEN(INDEX('My equipment'!$T$4:$T$503,(_calc!$E$231-500)))=0,"",INDEX('My equipment'!$T$4:$T$503,(_calc!$E$231-500)))))</f>
        <v/>
      </c>
    </row>
    <row r="230">
      <c r="A230" s="54">
        <f>IF(_calc!$E$232="","",IF(_calc!$E$232&lt;=500,"Warranty – "&amp;IF(LEN(INDEX('Dealer pipeline'!$C$4:$C$503,_calc!$E$232))=0,"",INDEX('Dealer pipeline'!$C$4:$C$503,_calc!$E$232))&amp;" – "&amp;IF(LEN(INDEX('Dealer pipeline'!$D$4:$D$503,_calc!$E$232))=0,"",INDEX('Dealer pipeline'!$D$4:$D$503,_calc!$E$232))&amp;" – "&amp;IF(LEN(INDEX('Dealer pipeline'!$A$4:$A$503,_calc!$E$232))=0,"",INDEX('Dealer pipeline'!$A$4:$A$503,_calc!$E$232)),"Warranty – "&amp;IF(LEN(INDEX('My equipment'!$A$4:$A$503,(_calc!$E$232-500)))=0,"",INDEX('My equipment'!$A$4:$A$503,(_calc!$E$232-500)))&amp;" – "&amp;IF(LEN(INDEX('My equipment'!$D$4:$D$503,(_calc!$E$232-500)))=0,"",INDEX('My equipment'!$D$4:$D$503,(_calc!$E$232-500)))))</f>
        <v/>
      </c>
      <c r="B230" s="54">
        <f>IF(_calc!$E$232="","",IF(_calc!$E$232&lt;=500,IF(ISNUMBER(INDEX('Dealer pipeline'!$M$4:$M$503,_calc!$E$232)),TEXT(INDEX('Dealer pipeline'!$M$4:$M$503,_calc!$E$232),"yyyy-mm-dd"),""),IF(ISNUMBER(INDEX('My equipment'!$M$4:$M$503,(_calc!$E$232-500))),TEXT(INDEX('My equipment'!$M$4:$M$503,(_calc!$E$232-500)),"yyyy-mm-dd"),"")))</f>
        <v/>
      </c>
      <c r="C230" s="54">
        <f>IF(_calc!$E$232="","",IF(_calc!$E$232&lt;=500,"Warranty","Warranty"))</f>
        <v/>
      </c>
      <c r="D230" s="54">
        <f>IF(_calc!$E$232="","",IF(_calc!$E$232&lt;=500,IF(ISNUMBER(INDEX('Dealer pipeline'!$H$4:$H$503,_calc!$E$232)),TEXT(INDEX('Dealer pipeline'!$H$4:$H$503,_calc!$E$232),"yyyy-mm-dd"),""),IF(ISNUMBER(INDEX('My equipment'!$H$4:$H$503,(_calc!$E$232-500))),TEXT(INDEX('My equipment'!$H$4:$H$503,(_calc!$E$232-500)),"yyyy-mm-dd"),"")))</f>
        <v/>
      </c>
      <c r="F230" s="54">
        <f>IF(_calc!$E$232="","",IF(_calc!$E$232&lt;=500,TRIM(IF(LEN(IF(LEN(INDEX('Dealer pipeline'!$A$4:$A$503,_calc!$E$232))=0,"",INDEX('Dealer pipeline'!$A$4:$A$503,_calc!$E$232)))=0,"","Customer: "&amp;IF(LEN(INDEX('Dealer pipeline'!$A$4:$A$503,_calc!$E$232))=0,"",INDEX('Dealer pipeline'!$A$4:$A$503,_calc!$E$232))&amp;". ")&amp;IF(LEN(IF(LEN(INDEX('Dealer pipeline'!$B$4:$B$503,_calc!$E$232))=0,"",INDEX('Dealer pipeline'!$B$4:$B$503,_calc!$E$232)))=0,"","Contact: "&amp;IF(LEN(INDEX('Dealer pipeline'!$B$4:$B$503,_calc!$E$232))=0,"",INDEX('Dealer pipeline'!$B$4:$B$503,_calc!$E$232))&amp;". ")&amp;IF(LEN(IF(LEN(INDEX('Dealer pipeline'!$D$4:$D$503,_calc!$E$232))=0,"",INDEX('Dealer pipeline'!$D$4:$D$503,_calc!$E$232)))=0,"","Serial: "&amp;IF(LEN(INDEX('Dealer pipeline'!$D$4:$D$503,_calc!$E$232))=0,"",INDEX('Dealer pipeline'!$D$4:$D$503,_calc!$E$232))&amp;". ")&amp;IF(LEN(IF(ISNUMBER(INDEX('Dealer pipeline'!$J$4:$J$503,_calc!$E$232)),TEXT(INDEX('Dealer pipeline'!$J$4:$J$503,_calc!$E$232),"yyyy-mm-dd"),""))=0,"","Parts end: "&amp;IF(ISNUMBER(INDEX('Dealer pipeline'!$J$4:$J$503,_calc!$E$232)),TEXT(INDEX('Dealer pipeline'!$J$4:$J$503,_calc!$E$232),"yyyy-mm-dd"),"")&amp;". ")&amp;IF(LEN(IF(ISNUMBER(INDEX('Dealer pipeline'!$L$4:$L$503,_calc!$E$232)),TEXT(INDEX('Dealer pipeline'!$L$4:$L$503,_calc!$E$232),"yyyy-mm-dd"),""))=0,"","Labor end: "&amp;IF(ISNUMBER(INDEX('Dealer pipeline'!$L$4:$L$503,_calc!$E$232)),TEXT(INDEX('Dealer pipeline'!$L$4:$L$503,_calc!$E$232),"yyyy-mm-dd"),"")&amp;". ")&amp;IF(LEN(IF(LEN(INDEX('Dealer pipeline'!$Q$4:$Q$503,_calc!$E$232))=0,"",INDEX('Dealer pipeline'!$Q$4:$Q$503,_calc!$E$232)))=0,"","Status: "&amp;IF(LEN(INDEX('Dealer pipeline'!$Q$4:$Q$503,_calc!$E$232))=0,"",INDEX('Dealer pipeline'!$Q$4:$Q$503,_calc!$E$232))&amp;". ")&amp;IF(LEN(IF(LEN(INDEX('Dealer pipeline'!$P$4:$P$503,_calc!$E$232))=0,"",INDEX('Dealer pipeline'!$P$4:$P$503,_calc!$E$232)))=0,"","Last touch: "&amp;IF(LEN(INDEX('Dealer pipeline'!$P$4:$P$503,_calc!$E$232))=0,"",INDEX('Dealer pipeline'!$P$4:$P$503,_calc!$E$232))&amp;". ")&amp;IF(LEN(IF(LEN(INDEX('Dealer pipeline'!$R$4:$R$503,_calc!$E$232))=0,"",INDEX('Dealer pipeline'!$R$4:$R$503,_calc!$E$232)))=0,"","Owner: "&amp;IF(LEN(INDEX('Dealer pipeline'!$R$4:$R$503,_calc!$E$232))=0,"",INDEX('Dealer pipeline'!$R$4:$R$503,_calc!$E$232))&amp;". ")&amp;IF(LEN(IF(LEN(INDEX('Dealer pipeline'!$S$4:$S$503,_calc!$E$232))=0,"",INDEX('Dealer pipeline'!$S$4:$S$503,_calc!$E$232)))=0,"","Backup: "&amp;IF(LEN(INDEX('Dealer pipeline'!$S$4:$S$503,_calc!$E$232))=0,"",INDEX('Dealer pipeline'!$S$4:$S$503,_calc!$E$232))&amp;". ")&amp;IF(LEN(IF(LEN(INDEX('Dealer pipeline'!$T$4:$T$503,_calc!$E$232))=0,"",INDEX('Dealer pipeline'!$T$4:$T$503,_calc!$E$232)))=0,"",IF(LEN(INDEX('Dealer pipeline'!$T$4:$T$503,_calc!$E$232))=0,"",INDEX('Dealer pipeline'!$T$4:$T$503,_calc!$E$232)))),TRIM(IF(LEN(IF(LEN(INDEX('My equipment'!$C$4:$C$503,(_calc!$E$232-500)))=0,"",INDEX('My equipment'!$C$4:$C$503,(_calc!$E$232-500))))=0,"","Model: "&amp;IF(LEN(INDEX('My equipment'!$C$4:$C$503,(_calc!$E$232-500)))=0,"",INDEX('My equipment'!$C$4:$C$503,(_calc!$E$232-500)))&amp;". ")&amp;IF(LEN(IF(LEN(INDEX('My equipment'!$D$4:$D$503,(_calc!$E$232-500)))=0,"",INDEX('My equipment'!$D$4:$D$503,(_calc!$E$232-500))))=0,"","Serial: "&amp;IF(LEN(INDEX('My equipment'!$D$4:$D$503,(_calc!$E$232-500)))=0,"",INDEX('My equipment'!$D$4:$D$503,(_calc!$E$232-500)))&amp;". ")&amp;IF(LEN(IF(ISNUMBER(INDEX('My equipment'!$J$4:$J$503,(_calc!$E$232-500))),TEXT(INDEX('My equipment'!$J$4:$J$503,(_calc!$E$232-500)),"yyyy-mm-dd"),""))=0,"","Parts end: "&amp;IF(ISNUMBER(INDEX('My equipment'!$J$4:$J$503,(_calc!$E$232-500))),TEXT(INDEX('My equipment'!$J$4:$J$503,(_calc!$E$232-500)),"yyyy-mm-dd"),"")&amp;". ")&amp;IF(LEN(IF(ISNUMBER(INDEX('My equipment'!$L$4:$L$503,(_calc!$E$232-500))),TEXT(INDEX('My equipment'!$L$4:$L$503,(_calc!$E$232-500)),"yyyy-mm-dd"),""))=0,"","Labor end: "&amp;IF(ISNUMBER(INDEX('My equipment'!$L$4:$L$503,(_calc!$E$232-500))),TEXT(INDEX('My equipment'!$L$4:$L$503,(_calc!$E$232-500)),"yyyy-mm-dd"),"")&amp;". ")&amp;IF(LEN(IF(ISNUMBER(INDEX('My equipment'!$P$4:$P$503,(_calc!$E$232-500))),TEXT(INDEX('My equipment'!$P$4:$P$503,(_calc!$E$232-500)),"yyyy-mm-dd"),""))=0,"","Check by: "&amp;IF(ISNUMBER(INDEX('My equipment'!$P$4:$P$503,(_calc!$E$232-500))),TEXT(INDEX('My equipment'!$P$4:$P$503,(_calc!$E$232-500)),"yyyy-mm-dd"),"")&amp;". ")&amp;IF(LEN(IF(LEN(INDEX('My equipment'!$Q$4:$Q$503,(_calc!$E$232-500)))=0,"",INDEX('My equipment'!$Q$4:$Q$503,(_calc!$E$232-500))))=0,"","Claim status: "&amp;IF(LEN(INDEX('My equipment'!$Q$4:$Q$503,(_calc!$E$232-500)))=0,"",INDEX('My equipment'!$Q$4:$Q$503,(_calc!$E$232-500)))&amp;". ")&amp;IF(LEN(IF(LEN(INDEX('My equipment'!$R$4:$R$503,(_calc!$E$232-500)))=0,"",INDEX('My equipment'!$R$4:$R$503,(_calc!$E$232-500))))=0,"","Claims contact: "&amp;IF(LEN(INDEX('My equipment'!$R$4:$R$503,(_calc!$E$232-500)))=0,"",INDEX('My equipment'!$R$4:$R$503,(_calc!$E$232-500)))&amp;". ")&amp;IF(LEN(IF(LEN(INDEX('My equipment'!$S$4:$S$503,(_calc!$E$232-500)))=0,"",INDEX('My equipment'!$S$4:$S$503,(_calc!$E$232-500))))=0,"","Claims email: "&amp;IF(LEN(INDEX('My equipment'!$S$4:$S$503,(_calc!$E$232-500)))=0,"",INDEX('My equipment'!$S$4:$S$503,(_calc!$E$232-500)))&amp;". ")&amp;IF(LEN(IF(LEN(INDEX('My equipment'!$U$4:$U$503,(_calc!$E$232-500)))=0,"",INDEX('My equipment'!$U$4:$U$503,(_calc!$E$232-500))))=0,"","Registered: "&amp;IF(LEN(INDEX('My equipment'!$U$4:$U$503,(_calc!$E$232-500)))=0,"",INDEX('My equipment'!$U$4:$U$503,(_calc!$E$232-500)))&amp;". ")&amp;IF(LEN(IF(LEN(INDEX('My equipment'!$V$4:$V$503,(_calc!$E$232-500)))=0,"",INDEX('My equipment'!$V$4:$V$503,(_calc!$E$232-500))))=0,"","Proof on file: "&amp;IF(LEN(INDEX('My equipment'!$V$4:$V$503,(_calc!$E$232-500)))=0,"",INDEX('My equipment'!$V$4:$V$503,(_calc!$E$232-500)))&amp;". ")&amp;IF(LEN(IF(LEN(INDEX('My equipment'!$W$4:$W$503,(_calc!$E$232-500)))=0,"",INDEX('My equipment'!$W$4:$W$503,(_calc!$E$232-500))))=0,"","Claim ref: "&amp;IF(LEN(INDEX('My equipment'!$W$4:$W$503,(_calc!$E$232-500)))=0,"",INDEX('My equipment'!$W$4:$W$503,(_calc!$E$232-500)))&amp;". ")&amp;IF(LEN(IF(LEN(INDEX('My equipment'!$Y$4:$Y$503,(_calc!$E$232-500)))=0,"",INDEX('My equipment'!$Y$4:$Y$503,(_calc!$E$232-500))))=0,"",IF(LEN(INDEX('My equipment'!$Y$4:$Y$503,(_calc!$E$232-500)))=0,"",INDEX('My equipment'!$Y$4:$Y$503,(_calc!$E$232-500)))))))</f>
        <v/>
      </c>
      <c r="G230" s="54">
        <f>IF(_calc!$E$232="","",IF(_calc!$E$232&lt;=500,"",IF(LEN(INDEX('My equipment'!$X$4:$X$503,(_calc!$E$232-500)))=0,"",INDEX('My equipment'!$X$4:$X$503,(_calc!$E$232-500)))))</f>
        <v/>
      </c>
      <c r="K230" s="54">
        <f>IF(_calc!$E$232="","",IF(_calc!$E$232&lt;=500,"",IF(LEN(INDEX('My equipment'!$T$4:$T$503,(_calc!$E$232-500)))=0,"",INDEX('My equipment'!$T$4:$T$503,(_calc!$E$232-500)))))</f>
        <v/>
      </c>
    </row>
    <row r="231">
      <c r="A231" s="54">
        <f>IF(_calc!$E$233="","",IF(_calc!$E$233&lt;=500,"Warranty – "&amp;IF(LEN(INDEX('Dealer pipeline'!$C$4:$C$503,_calc!$E$233))=0,"",INDEX('Dealer pipeline'!$C$4:$C$503,_calc!$E$233))&amp;" – "&amp;IF(LEN(INDEX('Dealer pipeline'!$D$4:$D$503,_calc!$E$233))=0,"",INDEX('Dealer pipeline'!$D$4:$D$503,_calc!$E$233))&amp;" – "&amp;IF(LEN(INDEX('Dealer pipeline'!$A$4:$A$503,_calc!$E$233))=0,"",INDEX('Dealer pipeline'!$A$4:$A$503,_calc!$E$233)),"Warranty – "&amp;IF(LEN(INDEX('My equipment'!$A$4:$A$503,(_calc!$E$233-500)))=0,"",INDEX('My equipment'!$A$4:$A$503,(_calc!$E$233-500)))&amp;" – "&amp;IF(LEN(INDEX('My equipment'!$D$4:$D$503,(_calc!$E$233-500)))=0,"",INDEX('My equipment'!$D$4:$D$503,(_calc!$E$233-500)))))</f>
        <v/>
      </c>
      <c r="B231" s="54">
        <f>IF(_calc!$E$233="","",IF(_calc!$E$233&lt;=500,IF(ISNUMBER(INDEX('Dealer pipeline'!$M$4:$M$503,_calc!$E$233)),TEXT(INDEX('Dealer pipeline'!$M$4:$M$503,_calc!$E$233),"yyyy-mm-dd"),""),IF(ISNUMBER(INDEX('My equipment'!$M$4:$M$503,(_calc!$E$233-500))),TEXT(INDEX('My equipment'!$M$4:$M$503,(_calc!$E$233-500)),"yyyy-mm-dd"),"")))</f>
        <v/>
      </c>
      <c r="C231" s="54">
        <f>IF(_calc!$E$233="","",IF(_calc!$E$233&lt;=500,"Warranty","Warranty"))</f>
        <v/>
      </c>
      <c r="D231" s="54">
        <f>IF(_calc!$E$233="","",IF(_calc!$E$233&lt;=500,IF(ISNUMBER(INDEX('Dealer pipeline'!$H$4:$H$503,_calc!$E$233)),TEXT(INDEX('Dealer pipeline'!$H$4:$H$503,_calc!$E$233),"yyyy-mm-dd"),""),IF(ISNUMBER(INDEX('My equipment'!$H$4:$H$503,(_calc!$E$233-500))),TEXT(INDEX('My equipment'!$H$4:$H$503,(_calc!$E$233-500)),"yyyy-mm-dd"),"")))</f>
        <v/>
      </c>
      <c r="F231" s="54">
        <f>IF(_calc!$E$233="","",IF(_calc!$E$233&lt;=500,TRIM(IF(LEN(IF(LEN(INDEX('Dealer pipeline'!$A$4:$A$503,_calc!$E$233))=0,"",INDEX('Dealer pipeline'!$A$4:$A$503,_calc!$E$233)))=0,"","Customer: "&amp;IF(LEN(INDEX('Dealer pipeline'!$A$4:$A$503,_calc!$E$233))=0,"",INDEX('Dealer pipeline'!$A$4:$A$503,_calc!$E$233))&amp;". ")&amp;IF(LEN(IF(LEN(INDEX('Dealer pipeline'!$B$4:$B$503,_calc!$E$233))=0,"",INDEX('Dealer pipeline'!$B$4:$B$503,_calc!$E$233)))=0,"","Contact: "&amp;IF(LEN(INDEX('Dealer pipeline'!$B$4:$B$503,_calc!$E$233))=0,"",INDEX('Dealer pipeline'!$B$4:$B$503,_calc!$E$233))&amp;". ")&amp;IF(LEN(IF(LEN(INDEX('Dealer pipeline'!$D$4:$D$503,_calc!$E$233))=0,"",INDEX('Dealer pipeline'!$D$4:$D$503,_calc!$E$233)))=0,"","Serial: "&amp;IF(LEN(INDEX('Dealer pipeline'!$D$4:$D$503,_calc!$E$233))=0,"",INDEX('Dealer pipeline'!$D$4:$D$503,_calc!$E$233))&amp;". ")&amp;IF(LEN(IF(ISNUMBER(INDEX('Dealer pipeline'!$J$4:$J$503,_calc!$E$233)),TEXT(INDEX('Dealer pipeline'!$J$4:$J$503,_calc!$E$233),"yyyy-mm-dd"),""))=0,"","Parts end: "&amp;IF(ISNUMBER(INDEX('Dealer pipeline'!$J$4:$J$503,_calc!$E$233)),TEXT(INDEX('Dealer pipeline'!$J$4:$J$503,_calc!$E$233),"yyyy-mm-dd"),"")&amp;". ")&amp;IF(LEN(IF(ISNUMBER(INDEX('Dealer pipeline'!$L$4:$L$503,_calc!$E$233)),TEXT(INDEX('Dealer pipeline'!$L$4:$L$503,_calc!$E$233),"yyyy-mm-dd"),""))=0,"","Labor end: "&amp;IF(ISNUMBER(INDEX('Dealer pipeline'!$L$4:$L$503,_calc!$E$233)),TEXT(INDEX('Dealer pipeline'!$L$4:$L$503,_calc!$E$233),"yyyy-mm-dd"),"")&amp;". ")&amp;IF(LEN(IF(LEN(INDEX('Dealer pipeline'!$Q$4:$Q$503,_calc!$E$233))=0,"",INDEX('Dealer pipeline'!$Q$4:$Q$503,_calc!$E$233)))=0,"","Status: "&amp;IF(LEN(INDEX('Dealer pipeline'!$Q$4:$Q$503,_calc!$E$233))=0,"",INDEX('Dealer pipeline'!$Q$4:$Q$503,_calc!$E$233))&amp;". ")&amp;IF(LEN(IF(LEN(INDEX('Dealer pipeline'!$P$4:$P$503,_calc!$E$233))=0,"",INDEX('Dealer pipeline'!$P$4:$P$503,_calc!$E$233)))=0,"","Last touch: "&amp;IF(LEN(INDEX('Dealer pipeline'!$P$4:$P$503,_calc!$E$233))=0,"",INDEX('Dealer pipeline'!$P$4:$P$503,_calc!$E$233))&amp;". ")&amp;IF(LEN(IF(LEN(INDEX('Dealer pipeline'!$R$4:$R$503,_calc!$E$233))=0,"",INDEX('Dealer pipeline'!$R$4:$R$503,_calc!$E$233)))=0,"","Owner: "&amp;IF(LEN(INDEX('Dealer pipeline'!$R$4:$R$503,_calc!$E$233))=0,"",INDEX('Dealer pipeline'!$R$4:$R$503,_calc!$E$233))&amp;". ")&amp;IF(LEN(IF(LEN(INDEX('Dealer pipeline'!$S$4:$S$503,_calc!$E$233))=0,"",INDEX('Dealer pipeline'!$S$4:$S$503,_calc!$E$233)))=0,"","Backup: "&amp;IF(LEN(INDEX('Dealer pipeline'!$S$4:$S$503,_calc!$E$233))=0,"",INDEX('Dealer pipeline'!$S$4:$S$503,_calc!$E$233))&amp;". ")&amp;IF(LEN(IF(LEN(INDEX('Dealer pipeline'!$T$4:$T$503,_calc!$E$233))=0,"",INDEX('Dealer pipeline'!$T$4:$T$503,_calc!$E$233)))=0,"",IF(LEN(INDEX('Dealer pipeline'!$T$4:$T$503,_calc!$E$233))=0,"",INDEX('Dealer pipeline'!$T$4:$T$503,_calc!$E$233)))),TRIM(IF(LEN(IF(LEN(INDEX('My equipment'!$C$4:$C$503,(_calc!$E$233-500)))=0,"",INDEX('My equipment'!$C$4:$C$503,(_calc!$E$233-500))))=0,"","Model: "&amp;IF(LEN(INDEX('My equipment'!$C$4:$C$503,(_calc!$E$233-500)))=0,"",INDEX('My equipment'!$C$4:$C$503,(_calc!$E$233-500)))&amp;". ")&amp;IF(LEN(IF(LEN(INDEX('My equipment'!$D$4:$D$503,(_calc!$E$233-500)))=0,"",INDEX('My equipment'!$D$4:$D$503,(_calc!$E$233-500))))=0,"","Serial: "&amp;IF(LEN(INDEX('My equipment'!$D$4:$D$503,(_calc!$E$233-500)))=0,"",INDEX('My equipment'!$D$4:$D$503,(_calc!$E$233-500)))&amp;". ")&amp;IF(LEN(IF(ISNUMBER(INDEX('My equipment'!$J$4:$J$503,(_calc!$E$233-500))),TEXT(INDEX('My equipment'!$J$4:$J$503,(_calc!$E$233-500)),"yyyy-mm-dd"),""))=0,"","Parts end: "&amp;IF(ISNUMBER(INDEX('My equipment'!$J$4:$J$503,(_calc!$E$233-500))),TEXT(INDEX('My equipment'!$J$4:$J$503,(_calc!$E$233-500)),"yyyy-mm-dd"),"")&amp;". ")&amp;IF(LEN(IF(ISNUMBER(INDEX('My equipment'!$L$4:$L$503,(_calc!$E$233-500))),TEXT(INDEX('My equipment'!$L$4:$L$503,(_calc!$E$233-500)),"yyyy-mm-dd"),""))=0,"","Labor end: "&amp;IF(ISNUMBER(INDEX('My equipment'!$L$4:$L$503,(_calc!$E$233-500))),TEXT(INDEX('My equipment'!$L$4:$L$503,(_calc!$E$233-500)),"yyyy-mm-dd"),"")&amp;". ")&amp;IF(LEN(IF(ISNUMBER(INDEX('My equipment'!$P$4:$P$503,(_calc!$E$233-500))),TEXT(INDEX('My equipment'!$P$4:$P$503,(_calc!$E$233-500)),"yyyy-mm-dd"),""))=0,"","Check by: "&amp;IF(ISNUMBER(INDEX('My equipment'!$P$4:$P$503,(_calc!$E$233-500))),TEXT(INDEX('My equipment'!$P$4:$P$503,(_calc!$E$233-500)),"yyyy-mm-dd"),"")&amp;". ")&amp;IF(LEN(IF(LEN(INDEX('My equipment'!$Q$4:$Q$503,(_calc!$E$233-500)))=0,"",INDEX('My equipment'!$Q$4:$Q$503,(_calc!$E$233-500))))=0,"","Claim status: "&amp;IF(LEN(INDEX('My equipment'!$Q$4:$Q$503,(_calc!$E$233-500)))=0,"",INDEX('My equipment'!$Q$4:$Q$503,(_calc!$E$233-500)))&amp;". ")&amp;IF(LEN(IF(LEN(INDEX('My equipment'!$R$4:$R$503,(_calc!$E$233-500)))=0,"",INDEX('My equipment'!$R$4:$R$503,(_calc!$E$233-500))))=0,"","Claims contact: "&amp;IF(LEN(INDEX('My equipment'!$R$4:$R$503,(_calc!$E$233-500)))=0,"",INDEX('My equipment'!$R$4:$R$503,(_calc!$E$233-500)))&amp;". ")&amp;IF(LEN(IF(LEN(INDEX('My equipment'!$S$4:$S$503,(_calc!$E$233-500)))=0,"",INDEX('My equipment'!$S$4:$S$503,(_calc!$E$233-500))))=0,"","Claims email: "&amp;IF(LEN(INDEX('My equipment'!$S$4:$S$503,(_calc!$E$233-500)))=0,"",INDEX('My equipment'!$S$4:$S$503,(_calc!$E$233-500)))&amp;". ")&amp;IF(LEN(IF(LEN(INDEX('My equipment'!$U$4:$U$503,(_calc!$E$233-500)))=0,"",INDEX('My equipment'!$U$4:$U$503,(_calc!$E$233-500))))=0,"","Registered: "&amp;IF(LEN(INDEX('My equipment'!$U$4:$U$503,(_calc!$E$233-500)))=0,"",INDEX('My equipment'!$U$4:$U$503,(_calc!$E$233-500)))&amp;". ")&amp;IF(LEN(IF(LEN(INDEX('My equipment'!$V$4:$V$503,(_calc!$E$233-500)))=0,"",INDEX('My equipment'!$V$4:$V$503,(_calc!$E$233-500))))=0,"","Proof on file: "&amp;IF(LEN(INDEX('My equipment'!$V$4:$V$503,(_calc!$E$233-500)))=0,"",INDEX('My equipment'!$V$4:$V$503,(_calc!$E$233-500)))&amp;". ")&amp;IF(LEN(IF(LEN(INDEX('My equipment'!$W$4:$W$503,(_calc!$E$233-500)))=0,"",INDEX('My equipment'!$W$4:$W$503,(_calc!$E$233-500))))=0,"","Claim ref: "&amp;IF(LEN(INDEX('My equipment'!$W$4:$W$503,(_calc!$E$233-500)))=0,"",INDEX('My equipment'!$W$4:$W$503,(_calc!$E$233-500)))&amp;". ")&amp;IF(LEN(IF(LEN(INDEX('My equipment'!$Y$4:$Y$503,(_calc!$E$233-500)))=0,"",INDEX('My equipment'!$Y$4:$Y$503,(_calc!$E$233-500))))=0,"",IF(LEN(INDEX('My equipment'!$Y$4:$Y$503,(_calc!$E$233-500)))=0,"",INDEX('My equipment'!$Y$4:$Y$503,(_calc!$E$233-500)))))))</f>
        <v/>
      </c>
      <c r="G231" s="54">
        <f>IF(_calc!$E$233="","",IF(_calc!$E$233&lt;=500,"",IF(LEN(INDEX('My equipment'!$X$4:$X$503,(_calc!$E$233-500)))=0,"",INDEX('My equipment'!$X$4:$X$503,(_calc!$E$233-500)))))</f>
        <v/>
      </c>
      <c r="K231" s="54">
        <f>IF(_calc!$E$233="","",IF(_calc!$E$233&lt;=500,"",IF(LEN(INDEX('My equipment'!$T$4:$T$503,(_calc!$E$233-500)))=0,"",INDEX('My equipment'!$T$4:$T$503,(_calc!$E$233-500)))))</f>
        <v/>
      </c>
    </row>
    <row r="232">
      <c r="A232" s="54">
        <f>IF(_calc!$E$234="","",IF(_calc!$E$234&lt;=500,"Warranty – "&amp;IF(LEN(INDEX('Dealer pipeline'!$C$4:$C$503,_calc!$E$234))=0,"",INDEX('Dealer pipeline'!$C$4:$C$503,_calc!$E$234))&amp;" – "&amp;IF(LEN(INDEX('Dealer pipeline'!$D$4:$D$503,_calc!$E$234))=0,"",INDEX('Dealer pipeline'!$D$4:$D$503,_calc!$E$234))&amp;" – "&amp;IF(LEN(INDEX('Dealer pipeline'!$A$4:$A$503,_calc!$E$234))=0,"",INDEX('Dealer pipeline'!$A$4:$A$503,_calc!$E$234)),"Warranty – "&amp;IF(LEN(INDEX('My equipment'!$A$4:$A$503,(_calc!$E$234-500)))=0,"",INDEX('My equipment'!$A$4:$A$503,(_calc!$E$234-500)))&amp;" – "&amp;IF(LEN(INDEX('My equipment'!$D$4:$D$503,(_calc!$E$234-500)))=0,"",INDEX('My equipment'!$D$4:$D$503,(_calc!$E$234-500)))))</f>
        <v/>
      </c>
      <c r="B232" s="54">
        <f>IF(_calc!$E$234="","",IF(_calc!$E$234&lt;=500,IF(ISNUMBER(INDEX('Dealer pipeline'!$M$4:$M$503,_calc!$E$234)),TEXT(INDEX('Dealer pipeline'!$M$4:$M$503,_calc!$E$234),"yyyy-mm-dd"),""),IF(ISNUMBER(INDEX('My equipment'!$M$4:$M$503,(_calc!$E$234-500))),TEXT(INDEX('My equipment'!$M$4:$M$503,(_calc!$E$234-500)),"yyyy-mm-dd"),"")))</f>
        <v/>
      </c>
      <c r="C232" s="54">
        <f>IF(_calc!$E$234="","",IF(_calc!$E$234&lt;=500,"Warranty","Warranty"))</f>
        <v/>
      </c>
      <c r="D232" s="54">
        <f>IF(_calc!$E$234="","",IF(_calc!$E$234&lt;=500,IF(ISNUMBER(INDEX('Dealer pipeline'!$H$4:$H$503,_calc!$E$234)),TEXT(INDEX('Dealer pipeline'!$H$4:$H$503,_calc!$E$234),"yyyy-mm-dd"),""),IF(ISNUMBER(INDEX('My equipment'!$H$4:$H$503,(_calc!$E$234-500))),TEXT(INDEX('My equipment'!$H$4:$H$503,(_calc!$E$234-500)),"yyyy-mm-dd"),"")))</f>
        <v/>
      </c>
      <c r="F232" s="54">
        <f>IF(_calc!$E$234="","",IF(_calc!$E$234&lt;=500,TRIM(IF(LEN(IF(LEN(INDEX('Dealer pipeline'!$A$4:$A$503,_calc!$E$234))=0,"",INDEX('Dealer pipeline'!$A$4:$A$503,_calc!$E$234)))=0,"","Customer: "&amp;IF(LEN(INDEX('Dealer pipeline'!$A$4:$A$503,_calc!$E$234))=0,"",INDEX('Dealer pipeline'!$A$4:$A$503,_calc!$E$234))&amp;". ")&amp;IF(LEN(IF(LEN(INDEX('Dealer pipeline'!$B$4:$B$503,_calc!$E$234))=0,"",INDEX('Dealer pipeline'!$B$4:$B$503,_calc!$E$234)))=0,"","Contact: "&amp;IF(LEN(INDEX('Dealer pipeline'!$B$4:$B$503,_calc!$E$234))=0,"",INDEX('Dealer pipeline'!$B$4:$B$503,_calc!$E$234))&amp;". ")&amp;IF(LEN(IF(LEN(INDEX('Dealer pipeline'!$D$4:$D$503,_calc!$E$234))=0,"",INDEX('Dealer pipeline'!$D$4:$D$503,_calc!$E$234)))=0,"","Serial: "&amp;IF(LEN(INDEX('Dealer pipeline'!$D$4:$D$503,_calc!$E$234))=0,"",INDEX('Dealer pipeline'!$D$4:$D$503,_calc!$E$234))&amp;". ")&amp;IF(LEN(IF(ISNUMBER(INDEX('Dealer pipeline'!$J$4:$J$503,_calc!$E$234)),TEXT(INDEX('Dealer pipeline'!$J$4:$J$503,_calc!$E$234),"yyyy-mm-dd"),""))=0,"","Parts end: "&amp;IF(ISNUMBER(INDEX('Dealer pipeline'!$J$4:$J$503,_calc!$E$234)),TEXT(INDEX('Dealer pipeline'!$J$4:$J$503,_calc!$E$234),"yyyy-mm-dd"),"")&amp;". ")&amp;IF(LEN(IF(ISNUMBER(INDEX('Dealer pipeline'!$L$4:$L$503,_calc!$E$234)),TEXT(INDEX('Dealer pipeline'!$L$4:$L$503,_calc!$E$234),"yyyy-mm-dd"),""))=0,"","Labor end: "&amp;IF(ISNUMBER(INDEX('Dealer pipeline'!$L$4:$L$503,_calc!$E$234)),TEXT(INDEX('Dealer pipeline'!$L$4:$L$503,_calc!$E$234),"yyyy-mm-dd"),"")&amp;". ")&amp;IF(LEN(IF(LEN(INDEX('Dealer pipeline'!$Q$4:$Q$503,_calc!$E$234))=0,"",INDEX('Dealer pipeline'!$Q$4:$Q$503,_calc!$E$234)))=0,"","Status: "&amp;IF(LEN(INDEX('Dealer pipeline'!$Q$4:$Q$503,_calc!$E$234))=0,"",INDEX('Dealer pipeline'!$Q$4:$Q$503,_calc!$E$234))&amp;". ")&amp;IF(LEN(IF(LEN(INDEX('Dealer pipeline'!$P$4:$P$503,_calc!$E$234))=0,"",INDEX('Dealer pipeline'!$P$4:$P$503,_calc!$E$234)))=0,"","Last touch: "&amp;IF(LEN(INDEX('Dealer pipeline'!$P$4:$P$503,_calc!$E$234))=0,"",INDEX('Dealer pipeline'!$P$4:$P$503,_calc!$E$234))&amp;". ")&amp;IF(LEN(IF(LEN(INDEX('Dealer pipeline'!$R$4:$R$503,_calc!$E$234))=0,"",INDEX('Dealer pipeline'!$R$4:$R$503,_calc!$E$234)))=0,"","Owner: "&amp;IF(LEN(INDEX('Dealer pipeline'!$R$4:$R$503,_calc!$E$234))=0,"",INDEX('Dealer pipeline'!$R$4:$R$503,_calc!$E$234))&amp;". ")&amp;IF(LEN(IF(LEN(INDEX('Dealer pipeline'!$S$4:$S$503,_calc!$E$234))=0,"",INDEX('Dealer pipeline'!$S$4:$S$503,_calc!$E$234)))=0,"","Backup: "&amp;IF(LEN(INDEX('Dealer pipeline'!$S$4:$S$503,_calc!$E$234))=0,"",INDEX('Dealer pipeline'!$S$4:$S$503,_calc!$E$234))&amp;". ")&amp;IF(LEN(IF(LEN(INDEX('Dealer pipeline'!$T$4:$T$503,_calc!$E$234))=0,"",INDEX('Dealer pipeline'!$T$4:$T$503,_calc!$E$234)))=0,"",IF(LEN(INDEX('Dealer pipeline'!$T$4:$T$503,_calc!$E$234))=0,"",INDEX('Dealer pipeline'!$T$4:$T$503,_calc!$E$234)))),TRIM(IF(LEN(IF(LEN(INDEX('My equipment'!$C$4:$C$503,(_calc!$E$234-500)))=0,"",INDEX('My equipment'!$C$4:$C$503,(_calc!$E$234-500))))=0,"","Model: "&amp;IF(LEN(INDEX('My equipment'!$C$4:$C$503,(_calc!$E$234-500)))=0,"",INDEX('My equipment'!$C$4:$C$503,(_calc!$E$234-500)))&amp;". ")&amp;IF(LEN(IF(LEN(INDEX('My equipment'!$D$4:$D$503,(_calc!$E$234-500)))=0,"",INDEX('My equipment'!$D$4:$D$503,(_calc!$E$234-500))))=0,"","Serial: "&amp;IF(LEN(INDEX('My equipment'!$D$4:$D$503,(_calc!$E$234-500)))=0,"",INDEX('My equipment'!$D$4:$D$503,(_calc!$E$234-500)))&amp;". ")&amp;IF(LEN(IF(ISNUMBER(INDEX('My equipment'!$J$4:$J$503,(_calc!$E$234-500))),TEXT(INDEX('My equipment'!$J$4:$J$503,(_calc!$E$234-500)),"yyyy-mm-dd"),""))=0,"","Parts end: "&amp;IF(ISNUMBER(INDEX('My equipment'!$J$4:$J$503,(_calc!$E$234-500))),TEXT(INDEX('My equipment'!$J$4:$J$503,(_calc!$E$234-500)),"yyyy-mm-dd"),"")&amp;". ")&amp;IF(LEN(IF(ISNUMBER(INDEX('My equipment'!$L$4:$L$503,(_calc!$E$234-500))),TEXT(INDEX('My equipment'!$L$4:$L$503,(_calc!$E$234-500)),"yyyy-mm-dd"),""))=0,"","Labor end: "&amp;IF(ISNUMBER(INDEX('My equipment'!$L$4:$L$503,(_calc!$E$234-500))),TEXT(INDEX('My equipment'!$L$4:$L$503,(_calc!$E$234-500)),"yyyy-mm-dd"),"")&amp;". ")&amp;IF(LEN(IF(ISNUMBER(INDEX('My equipment'!$P$4:$P$503,(_calc!$E$234-500))),TEXT(INDEX('My equipment'!$P$4:$P$503,(_calc!$E$234-500)),"yyyy-mm-dd"),""))=0,"","Check by: "&amp;IF(ISNUMBER(INDEX('My equipment'!$P$4:$P$503,(_calc!$E$234-500))),TEXT(INDEX('My equipment'!$P$4:$P$503,(_calc!$E$234-500)),"yyyy-mm-dd"),"")&amp;". ")&amp;IF(LEN(IF(LEN(INDEX('My equipment'!$Q$4:$Q$503,(_calc!$E$234-500)))=0,"",INDEX('My equipment'!$Q$4:$Q$503,(_calc!$E$234-500))))=0,"","Claim status: "&amp;IF(LEN(INDEX('My equipment'!$Q$4:$Q$503,(_calc!$E$234-500)))=0,"",INDEX('My equipment'!$Q$4:$Q$503,(_calc!$E$234-500)))&amp;". ")&amp;IF(LEN(IF(LEN(INDEX('My equipment'!$R$4:$R$503,(_calc!$E$234-500)))=0,"",INDEX('My equipment'!$R$4:$R$503,(_calc!$E$234-500))))=0,"","Claims contact: "&amp;IF(LEN(INDEX('My equipment'!$R$4:$R$503,(_calc!$E$234-500)))=0,"",INDEX('My equipment'!$R$4:$R$503,(_calc!$E$234-500)))&amp;". ")&amp;IF(LEN(IF(LEN(INDEX('My equipment'!$S$4:$S$503,(_calc!$E$234-500)))=0,"",INDEX('My equipment'!$S$4:$S$503,(_calc!$E$234-500))))=0,"","Claims email: "&amp;IF(LEN(INDEX('My equipment'!$S$4:$S$503,(_calc!$E$234-500)))=0,"",INDEX('My equipment'!$S$4:$S$503,(_calc!$E$234-500)))&amp;". ")&amp;IF(LEN(IF(LEN(INDEX('My equipment'!$U$4:$U$503,(_calc!$E$234-500)))=0,"",INDEX('My equipment'!$U$4:$U$503,(_calc!$E$234-500))))=0,"","Registered: "&amp;IF(LEN(INDEX('My equipment'!$U$4:$U$503,(_calc!$E$234-500)))=0,"",INDEX('My equipment'!$U$4:$U$503,(_calc!$E$234-500)))&amp;". ")&amp;IF(LEN(IF(LEN(INDEX('My equipment'!$V$4:$V$503,(_calc!$E$234-500)))=0,"",INDEX('My equipment'!$V$4:$V$503,(_calc!$E$234-500))))=0,"","Proof on file: "&amp;IF(LEN(INDEX('My equipment'!$V$4:$V$503,(_calc!$E$234-500)))=0,"",INDEX('My equipment'!$V$4:$V$503,(_calc!$E$234-500)))&amp;". ")&amp;IF(LEN(IF(LEN(INDEX('My equipment'!$W$4:$W$503,(_calc!$E$234-500)))=0,"",INDEX('My equipment'!$W$4:$W$503,(_calc!$E$234-500))))=0,"","Claim ref: "&amp;IF(LEN(INDEX('My equipment'!$W$4:$W$503,(_calc!$E$234-500)))=0,"",INDEX('My equipment'!$W$4:$W$503,(_calc!$E$234-500)))&amp;". ")&amp;IF(LEN(IF(LEN(INDEX('My equipment'!$Y$4:$Y$503,(_calc!$E$234-500)))=0,"",INDEX('My equipment'!$Y$4:$Y$503,(_calc!$E$234-500))))=0,"",IF(LEN(INDEX('My equipment'!$Y$4:$Y$503,(_calc!$E$234-500)))=0,"",INDEX('My equipment'!$Y$4:$Y$503,(_calc!$E$234-500)))))))</f>
        <v/>
      </c>
      <c r="G232" s="54">
        <f>IF(_calc!$E$234="","",IF(_calc!$E$234&lt;=500,"",IF(LEN(INDEX('My equipment'!$X$4:$X$503,(_calc!$E$234-500)))=0,"",INDEX('My equipment'!$X$4:$X$503,(_calc!$E$234-500)))))</f>
        <v/>
      </c>
      <c r="K232" s="54">
        <f>IF(_calc!$E$234="","",IF(_calc!$E$234&lt;=500,"",IF(LEN(INDEX('My equipment'!$T$4:$T$503,(_calc!$E$234-500)))=0,"",INDEX('My equipment'!$T$4:$T$503,(_calc!$E$234-500)))))</f>
        <v/>
      </c>
    </row>
    <row r="233">
      <c r="A233" s="54">
        <f>IF(_calc!$E$235="","",IF(_calc!$E$235&lt;=500,"Warranty – "&amp;IF(LEN(INDEX('Dealer pipeline'!$C$4:$C$503,_calc!$E$235))=0,"",INDEX('Dealer pipeline'!$C$4:$C$503,_calc!$E$235))&amp;" – "&amp;IF(LEN(INDEX('Dealer pipeline'!$D$4:$D$503,_calc!$E$235))=0,"",INDEX('Dealer pipeline'!$D$4:$D$503,_calc!$E$235))&amp;" – "&amp;IF(LEN(INDEX('Dealer pipeline'!$A$4:$A$503,_calc!$E$235))=0,"",INDEX('Dealer pipeline'!$A$4:$A$503,_calc!$E$235)),"Warranty – "&amp;IF(LEN(INDEX('My equipment'!$A$4:$A$503,(_calc!$E$235-500)))=0,"",INDEX('My equipment'!$A$4:$A$503,(_calc!$E$235-500)))&amp;" – "&amp;IF(LEN(INDEX('My equipment'!$D$4:$D$503,(_calc!$E$235-500)))=0,"",INDEX('My equipment'!$D$4:$D$503,(_calc!$E$235-500)))))</f>
        <v/>
      </c>
      <c r="B233" s="54">
        <f>IF(_calc!$E$235="","",IF(_calc!$E$235&lt;=500,IF(ISNUMBER(INDEX('Dealer pipeline'!$M$4:$M$503,_calc!$E$235)),TEXT(INDEX('Dealer pipeline'!$M$4:$M$503,_calc!$E$235),"yyyy-mm-dd"),""),IF(ISNUMBER(INDEX('My equipment'!$M$4:$M$503,(_calc!$E$235-500))),TEXT(INDEX('My equipment'!$M$4:$M$503,(_calc!$E$235-500)),"yyyy-mm-dd"),"")))</f>
        <v/>
      </c>
      <c r="C233" s="54">
        <f>IF(_calc!$E$235="","",IF(_calc!$E$235&lt;=500,"Warranty","Warranty"))</f>
        <v/>
      </c>
      <c r="D233" s="54">
        <f>IF(_calc!$E$235="","",IF(_calc!$E$235&lt;=500,IF(ISNUMBER(INDEX('Dealer pipeline'!$H$4:$H$503,_calc!$E$235)),TEXT(INDEX('Dealer pipeline'!$H$4:$H$503,_calc!$E$235),"yyyy-mm-dd"),""),IF(ISNUMBER(INDEX('My equipment'!$H$4:$H$503,(_calc!$E$235-500))),TEXT(INDEX('My equipment'!$H$4:$H$503,(_calc!$E$235-500)),"yyyy-mm-dd"),"")))</f>
        <v/>
      </c>
      <c r="F233" s="54">
        <f>IF(_calc!$E$235="","",IF(_calc!$E$235&lt;=500,TRIM(IF(LEN(IF(LEN(INDEX('Dealer pipeline'!$A$4:$A$503,_calc!$E$235))=0,"",INDEX('Dealer pipeline'!$A$4:$A$503,_calc!$E$235)))=0,"","Customer: "&amp;IF(LEN(INDEX('Dealer pipeline'!$A$4:$A$503,_calc!$E$235))=0,"",INDEX('Dealer pipeline'!$A$4:$A$503,_calc!$E$235))&amp;". ")&amp;IF(LEN(IF(LEN(INDEX('Dealer pipeline'!$B$4:$B$503,_calc!$E$235))=0,"",INDEX('Dealer pipeline'!$B$4:$B$503,_calc!$E$235)))=0,"","Contact: "&amp;IF(LEN(INDEX('Dealer pipeline'!$B$4:$B$503,_calc!$E$235))=0,"",INDEX('Dealer pipeline'!$B$4:$B$503,_calc!$E$235))&amp;". ")&amp;IF(LEN(IF(LEN(INDEX('Dealer pipeline'!$D$4:$D$503,_calc!$E$235))=0,"",INDEX('Dealer pipeline'!$D$4:$D$503,_calc!$E$235)))=0,"","Serial: "&amp;IF(LEN(INDEX('Dealer pipeline'!$D$4:$D$503,_calc!$E$235))=0,"",INDEX('Dealer pipeline'!$D$4:$D$503,_calc!$E$235))&amp;". ")&amp;IF(LEN(IF(ISNUMBER(INDEX('Dealer pipeline'!$J$4:$J$503,_calc!$E$235)),TEXT(INDEX('Dealer pipeline'!$J$4:$J$503,_calc!$E$235),"yyyy-mm-dd"),""))=0,"","Parts end: "&amp;IF(ISNUMBER(INDEX('Dealer pipeline'!$J$4:$J$503,_calc!$E$235)),TEXT(INDEX('Dealer pipeline'!$J$4:$J$503,_calc!$E$235),"yyyy-mm-dd"),"")&amp;". ")&amp;IF(LEN(IF(ISNUMBER(INDEX('Dealer pipeline'!$L$4:$L$503,_calc!$E$235)),TEXT(INDEX('Dealer pipeline'!$L$4:$L$503,_calc!$E$235),"yyyy-mm-dd"),""))=0,"","Labor end: "&amp;IF(ISNUMBER(INDEX('Dealer pipeline'!$L$4:$L$503,_calc!$E$235)),TEXT(INDEX('Dealer pipeline'!$L$4:$L$503,_calc!$E$235),"yyyy-mm-dd"),"")&amp;". ")&amp;IF(LEN(IF(LEN(INDEX('Dealer pipeline'!$Q$4:$Q$503,_calc!$E$235))=0,"",INDEX('Dealer pipeline'!$Q$4:$Q$503,_calc!$E$235)))=0,"","Status: "&amp;IF(LEN(INDEX('Dealer pipeline'!$Q$4:$Q$503,_calc!$E$235))=0,"",INDEX('Dealer pipeline'!$Q$4:$Q$503,_calc!$E$235))&amp;". ")&amp;IF(LEN(IF(LEN(INDEX('Dealer pipeline'!$P$4:$P$503,_calc!$E$235))=0,"",INDEX('Dealer pipeline'!$P$4:$P$503,_calc!$E$235)))=0,"","Last touch: "&amp;IF(LEN(INDEX('Dealer pipeline'!$P$4:$P$503,_calc!$E$235))=0,"",INDEX('Dealer pipeline'!$P$4:$P$503,_calc!$E$235))&amp;". ")&amp;IF(LEN(IF(LEN(INDEX('Dealer pipeline'!$R$4:$R$503,_calc!$E$235))=0,"",INDEX('Dealer pipeline'!$R$4:$R$503,_calc!$E$235)))=0,"","Owner: "&amp;IF(LEN(INDEX('Dealer pipeline'!$R$4:$R$503,_calc!$E$235))=0,"",INDEX('Dealer pipeline'!$R$4:$R$503,_calc!$E$235))&amp;". ")&amp;IF(LEN(IF(LEN(INDEX('Dealer pipeline'!$S$4:$S$503,_calc!$E$235))=0,"",INDEX('Dealer pipeline'!$S$4:$S$503,_calc!$E$235)))=0,"","Backup: "&amp;IF(LEN(INDEX('Dealer pipeline'!$S$4:$S$503,_calc!$E$235))=0,"",INDEX('Dealer pipeline'!$S$4:$S$503,_calc!$E$235))&amp;". ")&amp;IF(LEN(IF(LEN(INDEX('Dealer pipeline'!$T$4:$T$503,_calc!$E$235))=0,"",INDEX('Dealer pipeline'!$T$4:$T$503,_calc!$E$235)))=0,"",IF(LEN(INDEX('Dealer pipeline'!$T$4:$T$503,_calc!$E$235))=0,"",INDEX('Dealer pipeline'!$T$4:$T$503,_calc!$E$235)))),TRIM(IF(LEN(IF(LEN(INDEX('My equipment'!$C$4:$C$503,(_calc!$E$235-500)))=0,"",INDEX('My equipment'!$C$4:$C$503,(_calc!$E$235-500))))=0,"","Model: "&amp;IF(LEN(INDEX('My equipment'!$C$4:$C$503,(_calc!$E$235-500)))=0,"",INDEX('My equipment'!$C$4:$C$503,(_calc!$E$235-500)))&amp;". ")&amp;IF(LEN(IF(LEN(INDEX('My equipment'!$D$4:$D$503,(_calc!$E$235-500)))=0,"",INDEX('My equipment'!$D$4:$D$503,(_calc!$E$235-500))))=0,"","Serial: "&amp;IF(LEN(INDEX('My equipment'!$D$4:$D$503,(_calc!$E$235-500)))=0,"",INDEX('My equipment'!$D$4:$D$503,(_calc!$E$235-500)))&amp;". ")&amp;IF(LEN(IF(ISNUMBER(INDEX('My equipment'!$J$4:$J$503,(_calc!$E$235-500))),TEXT(INDEX('My equipment'!$J$4:$J$503,(_calc!$E$235-500)),"yyyy-mm-dd"),""))=0,"","Parts end: "&amp;IF(ISNUMBER(INDEX('My equipment'!$J$4:$J$503,(_calc!$E$235-500))),TEXT(INDEX('My equipment'!$J$4:$J$503,(_calc!$E$235-500)),"yyyy-mm-dd"),"")&amp;". ")&amp;IF(LEN(IF(ISNUMBER(INDEX('My equipment'!$L$4:$L$503,(_calc!$E$235-500))),TEXT(INDEX('My equipment'!$L$4:$L$503,(_calc!$E$235-500)),"yyyy-mm-dd"),""))=0,"","Labor end: "&amp;IF(ISNUMBER(INDEX('My equipment'!$L$4:$L$503,(_calc!$E$235-500))),TEXT(INDEX('My equipment'!$L$4:$L$503,(_calc!$E$235-500)),"yyyy-mm-dd"),"")&amp;". ")&amp;IF(LEN(IF(ISNUMBER(INDEX('My equipment'!$P$4:$P$503,(_calc!$E$235-500))),TEXT(INDEX('My equipment'!$P$4:$P$503,(_calc!$E$235-500)),"yyyy-mm-dd"),""))=0,"","Check by: "&amp;IF(ISNUMBER(INDEX('My equipment'!$P$4:$P$503,(_calc!$E$235-500))),TEXT(INDEX('My equipment'!$P$4:$P$503,(_calc!$E$235-500)),"yyyy-mm-dd"),"")&amp;". ")&amp;IF(LEN(IF(LEN(INDEX('My equipment'!$Q$4:$Q$503,(_calc!$E$235-500)))=0,"",INDEX('My equipment'!$Q$4:$Q$503,(_calc!$E$235-500))))=0,"","Claim status: "&amp;IF(LEN(INDEX('My equipment'!$Q$4:$Q$503,(_calc!$E$235-500)))=0,"",INDEX('My equipment'!$Q$4:$Q$503,(_calc!$E$235-500)))&amp;". ")&amp;IF(LEN(IF(LEN(INDEX('My equipment'!$R$4:$R$503,(_calc!$E$235-500)))=0,"",INDEX('My equipment'!$R$4:$R$503,(_calc!$E$235-500))))=0,"","Claims contact: "&amp;IF(LEN(INDEX('My equipment'!$R$4:$R$503,(_calc!$E$235-500)))=0,"",INDEX('My equipment'!$R$4:$R$503,(_calc!$E$235-500)))&amp;". ")&amp;IF(LEN(IF(LEN(INDEX('My equipment'!$S$4:$S$503,(_calc!$E$235-500)))=0,"",INDEX('My equipment'!$S$4:$S$503,(_calc!$E$235-500))))=0,"","Claims email: "&amp;IF(LEN(INDEX('My equipment'!$S$4:$S$503,(_calc!$E$235-500)))=0,"",INDEX('My equipment'!$S$4:$S$503,(_calc!$E$235-500)))&amp;". ")&amp;IF(LEN(IF(LEN(INDEX('My equipment'!$U$4:$U$503,(_calc!$E$235-500)))=0,"",INDEX('My equipment'!$U$4:$U$503,(_calc!$E$235-500))))=0,"","Registered: "&amp;IF(LEN(INDEX('My equipment'!$U$4:$U$503,(_calc!$E$235-500)))=0,"",INDEX('My equipment'!$U$4:$U$503,(_calc!$E$235-500)))&amp;". ")&amp;IF(LEN(IF(LEN(INDEX('My equipment'!$V$4:$V$503,(_calc!$E$235-500)))=0,"",INDEX('My equipment'!$V$4:$V$503,(_calc!$E$235-500))))=0,"","Proof on file: "&amp;IF(LEN(INDEX('My equipment'!$V$4:$V$503,(_calc!$E$235-500)))=0,"",INDEX('My equipment'!$V$4:$V$503,(_calc!$E$235-500)))&amp;". ")&amp;IF(LEN(IF(LEN(INDEX('My equipment'!$W$4:$W$503,(_calc!$E$235-500)))=0,"",INDEX('My equipment'!$W$4:$W$503,(_calc!$E$235-500))))=0,"","Claim ref: "&amp;IF(LEN(INDEX('My equipment'!$W$4:$W$503,(_calc!$E$235-500)))=0,"",INDEX('My equipment'!$W$4:$W$503,(_calc!$E$235-500)))&amp;". ")&amp;IF(LEN(IF(LEN(INDEX('My equipment'!$Y$4:$Y$503,(_calc!$E$235-500)))=0,"",INDEX('My equipment'!$Y$4:$Y$503,(_calc!$E$235-500))))=0,"",IF(LEN(INDEX('My equipment'!$Y$4:$Y$503,(_calc!$E$235-500)))=0,"",INDEX('My equipment'!$Y$4:$Y$503,(_calc!$E$235-500)))))))</f>
        <v/>
      </c>
      <c r="G233" s="54">
        <f>IF(_calc!$E$235="","",IF(_calc!$E$235&lt;=500,"",IF(LEN(INDEX('My equipment'!$X$4:$X$503,(_calc!$E$235-500)))=0,"",INDEX('My equipment'!$X$4:$X$503,(_calc!$E$235-500)))))</f>
        <v/>
      </c>
      <c r="K233" s="54">
        <f>IF(_calc!$E$235="","",IF(_calc!$E$235&lt;=500,"",IF(LEN(INDEX('My equipment'!$T$4:$T$503,(_calc!$E$235-500)))=0,"",INDEX('My equipment'!$T$4:$T$503,(_calc!$E$235-500)))))</f>
        <v/>
      </c>
    </row>
    <row r="234">
      <c r="A234" s="54">
        <f>IF(_calc!$E$236="","",IF(_calc!$E$236&lt;=500,"Warranty – "&amp;IF(LEN(INDEX('Dealer pipeline'!$C$4:$C$503,_calc!$E$236))=0,"",INDEX('Dealer pipeline'!$C$4:$C$503,_calc!$E$236))&amp;" – "&amp;IF(LEN(INDEX('Dealer pipeline'!$D$4:$D$503,_calc!$E$236))=0,"",INDEX('Dealer pipeline'!$D$4:$D$503,_calc!$E$236))&amp;" – "&amp;IF(LEN(INDEX('Dealer pipeline'!$A$4:$A$503,_calc!$E$236))=0,"",INDEX('Dealer pipeline'!$A$4:$A$503,_calc!$E$236)),"Warranty – "&amp;IF(LEN(INDEX('My equipment'!$A$4:$A$503,(_calc!$E$236-500)))=0,"",INDEX('My equipment'!$A$4:$A$503,(_calc!$E$236-500)))&amp;" – "&amp;IF(LEN(INDEX('My equipment'!$D$4:$D$503,(_calc!$E$236-500)))=0,"",INDEX('My equipment'!$D$4:$D$503,(_calc!$E$236-500)))))</f>
        <v/>
      </c>
      <c r="B234" s="54">
        <f>IF(_calc!$E$236="","",IF(_calc!$E$236&lt;=500,IF(ISNUMBER(INDEX('Dealer pipeline'!$M$4:$M$503,_calc!$E$236)),TEXT(INDEX('Dealer pipeline'!$M$4:$M$503,_calc!$E$236),"yyyy-mm-dd"),""),IF(ISNUMBER(INDEX('My equipment'!$M$4:$M$503,(_calc!$E$236-500))),TEXT(INDEX('My equipment'!$M$4:$M$503,(_calc!$E$236-500)),"yyyy-mm-dd"),"")))</f>
        <v/>
      </c>
      <c r="C234" s="54">
        <f>IF(_calc!$E$236="","",IF(_calc!$E$236&lt;=500,"Warranty","Warranty"))</f>
        <v/>
      </c>
      <c r="D234" s="54">
        <f>IF(_calc!$E$236="","",IF(_calc!$E$236&lt;=500,IF(ISNUMBER(INDEX('Dealer pipeline'!$H$4:$H$503,_calc!$E$236)),TEXT(INDEX('Dealer pipeline'!$H$4:$H$503,_calc!$E$236),"yyyy-mm-dd"),""),IF(ISNUMBER(INDEX('My equipment'!$H$4:$H$503,(_calc!$E$236-500))),TEXT(INDEX('My equipment'!$H$4:$H$503,(_calc!$E$236-500)),"yyyy-mm-dd"),"")))</f>
        <v/>
      </c>
      <c r="F234" s="54">
        <f>IF(_calc!$E$236="","",IF(_calc!$E$236&lt;=500,TRIM(IF(LEN(IF(LEN(INDEX('Dealer pipeline'!$A$4:$A$503,_calc!$E$236))=0,"",INDEX('Dealer pipeline'!$A$4:$A$503,_calc!$E$236)))=0,"","Customer: "&amp;IF(LEN(INDEX('Dealer pipeline'!$A$4:$A$503,_calc!$E$236))=0,"",INDEX('Dealer pipeline'!$A$4:$A$503,_calc!$E$236))&amp;". ")&amp;IF(LEN(IF(LEN(INDEX('Dealer pipeline'!$B$4:$B$503,_calc!$E$236))=0,"",INDEX('Dealer pipeline'!$B$4:$B$503,_calc!$E$236)))=0,"","Contact: "&amp;IF(LEN(INDEX('Dealer pipeline'!$B$4:$B$503,_calc!$E$236))=0,"",INDEX('Dealer pipeline'!$B$4:$B$503,_calc!$E$236))&amp;". ")&amp;IF(LEN(IF(LEN(INDEX('Dealer pipeline'!$D$4:$D$503,_calc!$E$236))=0,"",INDEX('Dealer pipeline'!$D$4:$D$503,_calc!$E$236)))=0,"","Serial: "&amp;IF(LEN(INDEX('Dealer pipeline'!$D$4:$D$503,_calc!$E$236))=0,"",INDEX('Dealer pipeline'!$D$4:$D$503,_calc!$E$236))&amp;". ")&amp;IF(LEN(IF(ISNUMBER(INDEX('Dealer pipeline'!$J$4:$J$503,_calc!$E$236)),TEXT(INDEX('Dealer pipeline'!$J$4:$J$503,_calc!$E$236),"yyyy-mm-dd"),""))=0,"","Parts end: "&amp;IF(ISNUMBER(INDEX('Dealer pipeline'!$J$4:$J$503,_calc!$E$236)),TEXT(INDEX('Dealer pipeline'!$J$4:$J$503,_calc!$E$236),"yyyy-mm-dd"),"")&amp;". ")&amp;IF(LEN(IF(ISNUMBER(INDEX('Dealer pipeline'!$L$4:$L$503,_calc!$E$236)),TEXT(INDEX('Dealer pipeline'!$L$4:$L$503,_calc!$E$236),"yyyy-mm-dd"),""))=0,"","Labor end: "&amp;IF(ISNUMBER(INDEX('Dealer pipeline'!$L$4:$L$503,_calc!$E$236)),TEXT(INDEX('Dealer pipeline'!$L$4:$L$503,_calc!$E$236),"yyyy-mm-dd"),"")&amp;". ")&amp;IF(LEN(IF(LEN(INDEX('Dealer pipeline'!$Q$4:$Q$503,_calc!$E$236))=0,"",INDEX('Dealer pipeline'!$Q$4:$Q$503,_calc!$E$236)))=0,"","Status: "&amp;IF(LEN(INDEX('Dealer pipeline'!$Q$4:$Q$503,_calc!$E$236))=0,"",INDEX('Dealer pipeline'!$Q$4:$Q$503,_calc!$E$236))&amp;". ")&amp;IF(LEN(IF(LEN(INDEX('Dealer pipeline'!$P$4:$P$503,_calc!$E$236))=0,"",INDEX('Dealer pipeline'!$P$4:$P$503,_calc!$E$236)))=0,"","Last touch: "&amp;IF(LEN(INDEX('Dealer pipeline'!$P$4:$P$503,_calc!$E$236))=0,"",INDEX('Dealer pipeline'!$P$4:$P$503,_calc!$E$236))&amp;". ")&amp;IF(LEN(IF(LEN(INDEX('Dealer pipeline'!$R$4:$R$503,_calc!$E$236))=0,"",INDEX('Dealer pipeline'!$R$4:$R$503,_calc!$E$236)))=0,"","Owner: "&amp;IF(LEN(INDEX('Dealer pipeline'!$R$4:$R$503,_calc!$E$236))=0,"",INDEX('Dealer pipeline'!$R$4:$R$503,_calc!$E$236))&amp;". ")&amp;IF(LEN(IF(LEN(INDEX('Dealer pipeline'!$S$4:$S$503,_calc!$E$236))=0,"",INDEX('Dealer pipeline'!$S$4:$S$503,_calc!$E$236)))=0,"","Backup: "&amp;IF(LEN(INDEX('Dealer pipeline'!$S$4:$S$503,_calc!$E$236))=0,"",INDEX('Dealer pipeline'!$S$4:$S$503,_calc!$E$236))&amp;". ")&amp;IF(LEN(IF(LEN(INDEX('Dealer pipeline'!$T$4:$T$503,_calc!$E$236))=0,"",INDEX('Dealer pipeline'!$T$4:$T$503,_calc!$E$236)))=0,"",IF(LEN(INDEX('Dealer pipeline'!$T$4:$T$503,_calc!$E$236))=0,"",INDEX('Dealer pipeline'!$T$4:$T$503,_calc!$E$236)))),TRIM(IF(LEN(IF(LEN(INDEX('My equipment'!$C$4:$C$503,(_calc!$E$236-500)))=0,"",INDEX('My equipment'!$C$4:$C$503,(_calc!$E$236-500))))=0,"","Model: "&amp;IF(LEN(INDEX('My equipment'!$C$4:$C$503,(_calc!$E$236-500)))=0,"",INDEX('My equipment'!$C$4:$C$503,(_calc!$E$236-500)))&amp;". ")&amp;IF(LEN(IF(LEN(INDEX('My equipment'!$D$4:$D$503,(_calc!$E$236-500)))=0,"",INDEX('My equipment'!$D$4:$D$503,(_calc!$E$236-500))))=0,"","Serial: "&amp;IF(LEN(INDEX('My equipment'!$D$4:$D$503,(_calc!$E$236-500)))=0,"",INDEX('My equipment'!$D$4:$D$503,(_calc!$E$236-500)))&amp;". ")&amp;IF(LEN(IF(ISNUMBER(INDEX('My equipment'!$J$4:$J$503,(_calc!$E$236-500))),TEXT(INDEX('My equipment'!$J$4:$J$503,(_calc!$E$236-500)),"yyyy-mm-dd"),""))=0,"","Parts end: "&amp;IF(ISNUMBER(INDEX('My equipment'!$J$4:$J$503,(_calc!$E$236-500))),TEXT(INDEX('My equipment'!$J$4:$J$503,(_calc!$E$236-500)),"yyyy-mm-dd"),"")&amp;". ")&amp;IF(LEN(IF(ISNUMBER(INDEX('My equipment'!$L$4:$L$503,(_calc!$E$236-500))),TEXT(INDEX('My equipment'!$L$4:$L$503,(_calc!$E$236-500)),"yyyy-mm-dd"),""))=0,"","Labor end: "&amp;IF(ISNUMBER(INDEX('My equipment'!$L$4:$L$503,(_calc!$E$236-500))),TEXT(INDEX('My equipment'!$L$4:$L$503,(_calc!$E$236-500)),"yyyy-mm-dd"),"")&amp;". ")&amp;IF(LEN(IF(ISNUMBER(INDEX('My equipment'!$P$4:$P$503,(_calc!$E$236-500))),TEXT(INDEX('My equipment'!$P$4:$P$503,(_calc!$E$236-500)),"yyyy-mm-dd"),""))=0,"","Check by: "&amp;IF(ISNUMBER(INDEX('My equipment'!$P$4:$P$503,(_calc!$E$236-500))),TEXT(INDEX('My equipment'!$P$4:$P$503,(_calc!$E$236-500)),"yyyy-mm-dd"),"")&amp;". ")&amp;IF(LEN(IF(LEN(INDEX('My equipment'!$Q$4:$Q$503,(_calc!$E$236-500)))=0,"",INDEX('My equipment'!$Q$4:$Q$503,(_calc!$E$236-500))))=0,"","Claim status: "&amp;IF(LEN(INDEX('My equipment'!$Q$4:$Q$503,(_calc!$E$236-500)))=0,"",INDEX('My equipment'!$Q$4:$Q$503,(_calc!$E$236-500)))&amp;". ")&amp;IF(LEN(IF(LEN(INDEX('My equipment'!$R$4:$R$503,(_calc!$E$236-500)))=0,"",INDEX('My equipment'!$R$4:$R$503,(_calc!$E$236-500))))=0,"","Claims contact: "&amp;IF(LEN(INDEX('My equipment'!$R$4:$R$503,(_calc!$E$236-500)))=0,"",INDEX('My equipment'!$R$4:$R$503,(_calc!$E$236-500)))&amp;". ")&amp;IF(LEN(IF(LEN(INDEX('My equipment'!$S$4:$S$503,(_calc!$E$236-500)))=0,"",INDEX('My equipment'!$S$4:$S$503,(_calc!$E$236-500))))=0,"","Claims email: "&amp;IF(LEN(INDEX('My equipment'!$S$4:$S$503,(_calc!$E$236-500)))=0,"",INDEX('My equipment'!$S$4:$S$503,(_calc!$E$236-500)))&amp;". ")&amp;IF(LEN(IF(LEN(INDEX('My equipment'!$U$4:$U$503,(_calc!$E$236-500)))=0,"",INDEX('My equipment'!$U$4:$U$503,(_calc!$E$236-500))))=0,"","Registered: "&amp;IF(LEN(INDEX('My equipment'!$U$4:$U$503,(_calc!$E$236-500)))=0,"",INDEX('My equipment'!$U$4:$U$503,(_calc!$E$236-500)))&amp;". ")&amp;IF(LEN(IF(LEN(INDEX('My equipment'!$V$4:$V$503,(_calc!$E$236-500)))=0,"",INDEX('My equipment'!$V$4:$V$503,(_calc!$E$236-500))))=0,"","Proof on file: "&amp;IF(LEN(INDEX('My equipment'!$V$4:$V$503,(_calc!$E$236-500)))=0,"",INDEX('My equipment'!$V$4:$V$503,(_calc!$E$236-500)))&amp;". ")&amp;IF(LEN(IF(LEN(INDEX('My equipment'!$W$4:$W$503,(_calc!$E$236-500)))=0,"",INDEX('My equipment'!$W$4:$W$503,(_calc!$E$236-500))))=0,"","Claim ref: "&amp;IF(LEN(INDEX('My equipment'!$W$4:$W$503,(_calc!$E$236-500)))=0,"",INDEX('My equipment'!$W$4:$W$503,(_calc!$E$236-500)))&amp;". ")&amp;IF(LEN(IF(LEN(INDEX('My equipment'!$Y$4:$Y$503,(_calc!$E$236-500)))=0,"",INDEX('My equipment'!$Y$4:$Y$503,(_calc!$E$236-500))))=0,"",IF(LEN(INDEX('My equipment'!$Y$4:$Y$503,(_calc!$E$236-500)))=0,"",INDEX('My equipment'!$Y$4:$Y$503,(_calc!$E$236-500)))))))</f>
        <v/>
      </c>
      <c r="G234" s="54">
        <f>IF(_calc!$E$236="","",IF(_calc!$E$236&lt;=500,"",IF(LEN(INDEX('My equipment'!$X$4:$X$503,(_calc!$E$236-500)))=0,"",INDEX('My equipment'!$X$4:$X$503,(_calc!$E$236-500)))))</f>
        <v/>
      </c>
      <c r="K234" s="54">
        <f>IF(_calc!$E$236="","",IF(_calc!$E$236&lt;=500,"",IF(LEN(INDEX('My equipment'!$T$4:$T$503,(_calc!$E$236-500)))=0,"",INDEX('My equipment'!$T$4:$T$503,(_calc!$E$236-500)))))</f>
        <v/>
      </c>
    </row>
    <row r="235">
      <c r="A235" s="54">
        <f>IF(_calc!$E$237="","",IF(_calc!$E$237&lt;=500,"Warranty – "&amp;IF(LEN(INDEX('Dealer pipeline'!$C$4:$C$503,_calc!$E$237))=0,"",INDEX('Dealer pipeline'!$C$4:$C$503,_calc!$E$237))&amp;" – "&amp;IF(LEN(INDEX('Dealer pipeline'!$D$4:$D$503,_calc!$E$237))=0,"",INDEX('Dealer pipeline'!$D$4:$D$503,_calc!$E$237))&amp;" – "&amp;IF(LEN(INDEX('Dealer pipeline'!$A$4:$A$503,_calc!$E$237))=0,"",INDEX('Dealer pipeline'!$A$4:$A$503,_calc!$E$237)),"Warranty – "&amp;IF(LEN(INDEX('My equipment'!$A$4:$A$503,(_calc!$E$237-500)))=0,"",INDEX('My equipment'!$A$4:$A$503,(_calc!$E$237-500)))&amp;" – "&amp;IF(LEN(INDEX('My equipment'!$D$4:$D$503,(_calc!$E$237-500)))=0,"",INDEX('My equipment'!$D$4:$D$503,(_calc!$E$237-500)))))</f>
        <v/>
      </c>
      <c r="B235" s="54">
        <f>IF(_calc!$E$237="","",IF(_calc!$E$237&lt;=500,IF(ISNUMBER(INDEX('Dealer pipeline'!$M$4:$M$503,_calc!$E$237)),TEXT(INDEX('Dealer pipeline'!$M$4:$M$503,_calc!$E$237),"yyyy-mm-dd"),""),IF(ISNUMBER(INDEX('My equipment'!$M$4:$M$503,(_calc!$E$237-500))),TEXT(INDEX('My equipment'!$M$4:$M$503,(_calc!$E$237-500)),"yyyy-mm-dd"),"")))</f>
        <v/>
      </c>
      <c r="C235" s="54">
        <f>IF(_calc!$E$237="","",IF(_calc!$E$237&lt;=500,"Warranty","Warranty"))</f>
        <v/>
      </c>
      <c r="D235" s="54">
        <f>IF(_calc!$E$237="","",IF(_calc!$E$237&lt;=500,IF(ISNUMBER(INDEX('Dealer pipeline'!$H$4:$H$503,_calc!$E$237)),TEXT(INDEX('Dealer pipeline'!$H$4:$H$503,_calc!$E$237),"yyyy-mm-dd"),""),IF(ISNUMBER(INDEX('My equipment'!$H$4:$H$503,(_calc!$E$237-500))),TEXT(INDEX('My equipment'!$H$4:$H$503,(_calc!$E$237-500)),"yyyy-mm-dd"),"")))</f>
        <v/>
      </c>
      <c r="F235" s="54">
        <f>IF(_calc!$E$237="","",IF(_calc!$E$237&lt;=500,TRIM(IF(LEN(IF(LEN(INDEX('Dealer pipeline'!$A$4:$A$503,_calc!$E$237))=0,"",INDEX('Dealer pipeline'!$A$4:$A$503,_calc!$E$237)))=0,"","Customer: "&amp;IF(LEN(INDEX('Dealer pipeline'!$A$4:$A$503,_calc!$E$237))=0,"",INDEX('Dealer pipeline'!$A$4:$A$503,_calc!$E$237))&amp;". ")&amp;IF(LEN(IF(LEN(INDEX('Dealer pipeline'!$B$4:$B$503,_calc!$E$237))=0,"",INDEX('Dealer pipeline'!$B$4:$B$503,_calc!$E$237)))=0,"","Contact: "&amp;IF(LEN(INDEX('Dealer pipeline'!$B$4:$B$503,_calc!$E$237))=0,"",INDEX('Dealer pipeline'!$B$4:$B$503,_calc!$E$237))&amp;". ")&amp;IF(LEN(IF(LEN(INDEX('Dealer pipeline'!$D$4:$D$503,_calc!$E$237))=0,"",INDEX('Dealer pipeline'!$D$4:$D$503,_calc!$E$237)))=0,"","Serial: "&amp;IF(LEN(INDEX('Dealer pipeline'!$D$4:$D$503,_calc!$E$237))=0,"",INDEX('Dealer pipeline'!$D$4:$D$503,_calc!$E$237))&amp;". ")&amp;IF(LEN(IF(ISNUMBER(INDEX('Dealer pipeline'!$J$4:$J$503,_calc!$E$237)),TEXT(INDEX('Dealer pipeline'!$J$4:$J$503,_calc!$E$237),"yyyy-mm-dd"),""))=0,"","Parts end: "&amp;IF(ISNUMBER(INDEX('Dealer pipeline'!$J$4:$J$503,_calc!$E$237)),TEXT(INDEX('Dealer pipeline'!$J$4:$J$503,_calc!$E$237),"yyyy-mm-dd"),"")&amp;". ")&amp;IF(LEN(IF(ISNUMBER(INDEX('Dealer pipeline'!$L$4:$L$503,_calc!$E$237)),TEXT(INDEX('Dealer pipeline'!$L$4:$L$503,_calc!$E$237),"yyyy-mm-dd"),""))=0,"","Labor end: "&amp;IF(ISNUMBER(INDEX('Dealer pipeline'!$L$4:$L$503,_calc!$E$237)),TEXT(INDEX('Dealer pipeline'!$L$4:$L$503,_calc!$E$237),"yyyy-mm-dd"),"")&amp;". ")&amp;IF(LEN(IF(LEN(INDEX('Dealer pipeline'!$Q$4:$Q$503,_calc!$E$237))=0,"",INDEX('Dealer pipeline'!$Q$4:$Q$503,_calc!$E$237)))=0,"","Status: "&amp;IF(LEN(INDEX('Dealer pipeline'!$Q$4:$Q$503,_calc!$E$237))=0,"",INDEX('Dealer pipeline'!$Q$4:$Q$503,_calc!$E$237))&amp;". ")&amp;IF(LEN(IF(LEN(INDEX('Dealer pipeline'!$P$4:$P$503,_calc!$E$237))=0,"",INDEX('Dealer pipeline'!$P$4:$P$503,_calc!$E$237)))=0,"","Last touch: "&amp;IF(LEN(INDEX('Dealer pipeline'!$P$4:$P$503,_calc!$E$237))=0,"",INDEX('Dealer pipeline'!$P$4:$P$503,_calc!$E$237))&amp;". ")&amp;IF(LEN(IF(LEN(INDEX('Dealer pipeline'!$R$4:$R$503,_calc!$E$237))=0,"",INDEX('Dealer pipeline'!$R$4:$R$503,_calc!$E$237)))=0,"","Owner: "&amp;IF(LEN(INDEX('Dealer pipeline'!$R$4:$R$503,_calc!$E$237))=0,"",INDEX('Dealer pipeline'!$R$4:$R$503,_calc!$E$237))&amp;". ")&amp;IF(LEN(IF(LEN(INDEX('Dealer pipeline'!$S$4:$S$503,_calc!$E$237))=0,"",INDEX('Dealer pipeline'!$S$4:$S$503,_calc!$E$237)))=0,"","Backup: "&amp;IF(LEN(INDEX('Dealer pipeline'!$S$4:$S$503,_calc!$E$237))=0,"",INDEX('Dealer pipeline'!$S$4:$S$503,_calc!$E$237))&amp;". ")&amp;IF(LEN(IF(LEN(INDEX('Dealer pipeline'!$T$4:$T$503,_calc!$E$237))=0,"",INDEX('Dealer pipeline'!$T$4:$T$503,_calc!$E$237)))=0,"",IF(LEN(INDEX('Dealer pipeline'!$T$4:$T$503,_calc!$E$237))=0,"",INDEX('Dealer pipeline'!$T$4:$T$503,_calc!$E$237)))),TRIM(IF(LEN(IF(LEN(INDEX('My equipment'!$C$4:$C$503,(_calc!$E$237-500)))=0,"",INDEX('My equipment'!$C$4:$C$503,(_calc!$E$237-500))))=0,"","Model: "&amp;IF(LEN(INDEX('My equipment'!$C$4:$C$503,(_calc!$E$237-500)))=0,"",INDEX('My equipment'!$C$4:$C$503,(_calc!$E$237-500)))&amp;". ")&amp;IF(LEN(IF(LEN(INDEX('My equipment'!$D$4:$D$503,(_calc!$E$237-500)))=0,"",INDEX('My equipment'!$D$4:$D$503,(_calc!$E$237-500))))=0,"","Serial: "&amp;IF(LEN(INDEX('My equipment'!$D$4:$D$503,(_calc!$E$237-500)))=0,"",INDEX('My equipment'!$D$4:$D$503,(_calc!$E$237-500)))&amp;". ")&amp;IF(LEN(IF(ISNUMBER(INDEX('My equipment'!$J$4:$J$503,(_calc!$E$237-500))),TEXT(INDEX('My equipment'!$J$4:$J$503,(_calc!$E$237-500)),"yyyy-mm-dd"),""))=0,"","Parts end: "&amp;IF(ISNUMBER(INDEX('My equipment'!$J$4:$J$503,(_calc!$E$237-500))),TEXT(INDEX('My equipment'!$J$4:$J$503,(_calc!$E$237-500)),"yyyy-mm-dd"),"")&amp;". ")&amp;IF(LEN(IF(ISNUMBER(INDEX('My equipment'!$L$4:$L$503,(_calc!$E$237-500))),TEXT(INDEX('My equipment'!$L$4:$L$503,(_calc!$E$237-500)),"yyyy-mm-dd"),""))=0,"","Labor end: "&amp;IF(ISNUMBER(INDEX('My equipment'!$L$4:$L$503,(_calc!$E$237-500))),TEXT(INDEX('My equipment'!$L$4:$L$503,(_calc!$E$237-500)),"yyyy-mm-dd"),"")&amp;". ")&amp;IF(LEN(IF(ISNUMBER(INDEX('My equipment'!$P$4:$P$503,(_calc!$E$237-500))),TEXT(INDEX('My equipment'!$P$4:$P$503,(_calc!$E$237-500)),"yyyy-mm-dd"),""))=0,"","Check by: "&amp;IF(ISNUMBER(INDEX('My equipment'!$P$4:$P$503,(_calc!$E$237-500))),TEXT(INDEX('My equipment'!$P$4:$P$503,(_calc!$E$237-500)),"yyyy-mm-dd"),"")&amp;". ")&amp;IF(LEN(IF(LEN(INDEX('My equipment'!$Q$4:$Q$503,(_calc!$E$237-500)))=0,"",INDEX('My equipment'!$Q$4:$Q$503,(_calc!$E$237-500))))=0,"","Claim status: "&amp;IF(LEN(INDEX('My equipment'!$Q$4:$Q$503,(_calc!$E$237-500)))=0,"",INDEX('My equipment'!$Q$4:$Q$503,(_calc!$E$237-500)))&amp;". ")&amp;IF(LEN(IF(LEN(INDEX('My equipment'!$R$4:$R$503,(_calc!$E$237-500)))=0,"",INDEX('My equipment'!$R$4:$R$503,(_calc!$E$237-500))))=0,"","Claims contact: "&amp;IF(LEN(INDEX('My equipment'!$R$4:$R$503,(_calc!$E$237-500)))=0,"",INDEX('My equipment'!$R$4:$R$503,(_calc!$E$237-500)))&amp;". ")&amp;IF(LEN(IF(LEN(INDEX('My equipment'!$S$4:$S$503,(_calc!$E$237-500)))=0,"",INDEX('My equipment'!$S$4:$S$503,(_calc!$E$237-500))))=0,"","Claims email: "&amp;IF(LEN(INDEX('My equipment'!$S$4:$S$503,(_calc!$E$237-500)))=0,"",INDEX('My equipment'!$S$4:$S$503,(_calc!$E$237-500)))&amp;". ")&amp;IF(LEN(IF(LEN(INDEX('My equipment'!$U$4:$U$503,(_calc!$E$237-500)))=0,"",INDEX('My equipment'!$U$4:$U$503,(_calc!$E$237-500))))=0,"","Registered: "&amp;IF(LEN(INDEX('My equipment'!$U$4:$U$503,(_calc!$E$237-500)))=0,"",INDEX('My equipment'!$U$4:$U$503,(_calc!$E$237-500)))&amp;". ")&amp;IF(LEN(IF(LEN(INDEX('My equipment'!$V$4:$V$503,(_calc!$E$237-500)))=0,"",INDEX('My equipment'!$V$4:$V$503,(_calc!$E$237-500))))=0,"","Proof on file: "&amp;IF(LEN(INDEX('My equipment'!$V$4:$V$503,(_calc!$E$237-500)))=0,"",INDEX('My equipment'!$V$4:$V$503,(_calc!$E$237-500)))&amp;". ")&amp;IF(LEN(IF(LEN(INDEX('My equipment'!$W$4:$W$503,(_calc!$E$237-500)))=0,"",INDEX('My equipment'!$W$4:$W$503,(_calc!$E$237-500))))=0,"","Claim ref: "&amp;IF(LEN(INDEX('My equipment'!$W$4:$W$503,(_calc!$E$237-500)))=0,"",INDEX('My equipment'!$W$4:$W$503,(_calc!$E$237-500)))&amp;". ")&amp;IF(LEN(IF(LEN(INDEX('My equipment'!$Y$4:$Y$503,(_calc!$E$237-500)))=0,"",INDEX('My equipment'!$Y$4:$Y$503,(_calc!$E$237-500))))=0,"",IF(LEN(INDEX('My equipment'!$Y$4:$Y$503,(_calc!$E$237-500)))=0,"",INDEX('My equipment'!$Y$4:$Y$503,(_calc!$E$237-500)))))))</f>
        <v/>
      </c>
      <c r="G235" s="54">
        <f>IF(_calc!$E$237="","",IF(_calc!$E$237&lt;=500,"",IF(LEN(INDEX('My equipment'!$X$4:$X$503,(_calc!$E$237-500)))=0,"",INDEX('My equipment'!$X$4:$X$503,(_calc!$E$237-500)))))</f>
        <v/>
      </c>
      <c r="K235" s="54">
        <f>IF(_calc!$E$237="","",IF(_calc!$E$237&lt;=500,"",IF(LEN(INDEX('My equipment'!$T$4:$T$503,(_calc!$E$237-500)))=0,"",INDEX('My equipment'!$T$4:$T$503,(_calc!$E$237-500)))))</f>
        <v/>
      </c>
    </row>
    <row r="236">
      <c r="A236" s="54">
        <f>IF(_calc!$E$238="","",IF(_calc!$E$238&lt;=500,"Warranty – "&amp;IF(LEN(INDEX('Dealer pipeline'!$C$4:$C$503,_calc!$E$238))=0,"",INDEX('Dealer pipeline'!$C$4:$C$503,_calc!$E$238))&amp;" – "&amp;IF(LEN(INDEX('Dealer pipeline'!$D$4:$D$503,_calc!$E$238))=0,"",INDEX('Dealer pipeline'!$D$4:$D$503,_calc!$E$238))&amp;" – "&amp;IF(LEN(INDEX('Dealer pipeline'!$A$4:$A$503,_calc!$E$238))=0,"",INDEX('Dealer pipeline'!$A$4:$A$503,_calc!$E$238)),"Warranty – "&amp;IF(LEN(INDEX('My equipment'!$A$4:$A$503,(_calc!$E$238-500)))=0,"",INDEX('My equipment'!$A$4:$A$503,(_calc!$E$238-500)))&amp;" – "&amp;IF(LEN(INDEX('My equipment'!$D$4:$D$503,(_calc!$E$238-500)))=0,"",INDEX('My equipment'!$D$4:$D$503,(_calc!$E$238-500)))))</f>
        <v/>
      </c>
      <c r="B236" s="54">
        <f>IF(_calc!$E$238="","",IF(_calc!$E$238&lt;=500,IF(ISNUMBER(INDEX('Dealer pipeline'!$M$4:$M$503,_calc!$E$238)),TEXT(INDEX('Dealer pipeline'!$M$4:$M$503,_calc!$E$238),"yyyy-mm-dd"),""),IF(ISNUMBER(INDEX('My equipment'!$M$4:$M$503,(_calc!$E$238-500))),TEXT(INDEX('My equipment'!$M$4:$M$503,(_calc!$E$238-500)),"yyyy-mm-dd"),"")))</f>
        <v/>
      </c>
      <c r="C236" s="54">
        <f>IF(_calc!$E$238="","",IF(_calc!$E$238&lt;=500,"Warranty","Warranty"))</f>
        <v/>
      </c>
      <c r="D236" s="54">
        <f>IF(_calc!$E$238="","",IF(_calc!$E$238&lt;=500,IF(ISNUMBER(INDEX('Dealer pipeline'!$H$4:$H$503,_calc!$E$238)),TEXT(INDEX('Dealer pipeline'!$H$4:$H$503,_calc!$E$238),"yyyy-mm-dd"),""),IF(ISNUMBER(INDEX('My equipment'!$H$4:$H$503,(_calc!$E$238-500))),TEXT(INDEX('My equipment'!$H$4:$H$503,(_calc!$E$238-500)),"yyyy-mm-dd"),"")))</f>
        <v/>
      </c>
      <c r="F236" s="54">
        <f>IF(_calc!$E$238="","",IF(_calc!$E$238&lt;=500,TRIM(IF(LEN(IF(LEN(INDEX('Dealer pipeline'!$A$4:$A$503,_calc!$E$238))=0,"",INDEX('Dealer pipeline'!$A$4:$A$503,_calc!$E$238)))=0,"","Customer: "&amp;IF(LEN(INDEX('Dealer pipeline'!$A$4:$A$503,_calc!$E$238))=0,"",INDEX('Dealer pipeline'!$A$4:$A$503,_calc!$E$238))&amp;". ")&amp;IF(LEN(IF(LEN(INDEX('Dealer pipeline'!$B$4:$B$503,_calc!$E$238))=0,"",INDEX('Dealer pipeline'!$B$4:$B$503,_calc!$E$238)))=0,"","Contact: "&amp;IF(LEN(INDEX('Dealer pipeline'!$B$4:$B$503,_calc!$E$238))=0,"",INDEX('Dealer pipeline'!$B$4:$B$503,_calc!$E$238))&amp;". ")&amp;IF(LEN(IF(LEN(INDEX('Dealer pipeline'!$D$4:$D$503,_calc!$E$238))=0,"",INDEX('Dealer pipeline'!$D$4:$D$503,_calc!$E$238)))=0,"","Serial: "&amp;IF(LEN(INDEX('Dealer pipeline'!$D$4:$D$503,_calc!$E$238))=0,"",INDEX('Dealer pipeline'!$D$4:$D$503,_calc!$E$238))&amp;". ")&amp;IF(LEN(IF(ISNUMBER(INDEX('Dealer pipeline'!$J$4:$J$503,_calc!$E$238)),TEXT(INDEX('Dealer pipeline'!$J$4:$J$503,_calc!$E$238),"yyyy-mm-dd"),""))=0,"","Parts end: "&amp;IF(ISNUMBER(INDEX('Dealer pipeline'!$J$4:$J$503,_calc!$E$238)),TEXT(INDEX('Dealer pipeline'!$J$4:$J$503,_calc!$E$238),"yyyy-mm-dd"),"")&amp;". ")&amp;IF(LEN(IF(ISNUMBER(INDEX('Dealer pipeline'!$L$4:$L$503,_calc!$E$238)),TEXT(INDEX('Dealer pipeline'!$L$4:$L$503,_calc!$E$238),"yyyy-mm-dd"),""))=0,"","Labor end: "&amp;IF(ISNUMBER(INDEX('Dealer pipeline'!$L$4:$L$503,_calc!$E$238)),TEXT(INDEX('Dealer pipeline'!$L$4:$L$503,_calc!$E$238),"yyyy-mm-dd"),"")&amp;". ")&amp;IF(LEN(IF(LEN(INDEX('Dealer pipeline'!$Q$4:$Q$503,_calc!$E$238))=0,"",INDEX('Dealer pipeline'!$Q$4:$Q$503,_calc!$E$238)))=0,"","Status: "&amp;IF(LEN(INDEX('Dealer pipeline'!$Q$4:$Q$503,_calc!$E$238))=0,"",INDEX('Dealer pipeline'!$Q$4:$Q$503,_calc!$E$238))&amp;". ")&amp;IF(LEN(IF(LEN(INDEX('Dealer pipeline'!$P$4:$P$503,_calc!$E$238))=0,"",INDEX('Dealer pipeline'!$P$4:$P$503,_calc!$E$238)))=0,"","Last touch: "&amp;IF(LEN(INDEX('Dealer pipeline'!$P$4:$P$503,_calc!$E$238))=0,"",INDEX('Dealer pipeline'!$P$4:$P$503,_calc!$E$238))&amp;". ")&amp;IF(LEN(IF(LEN(INDEX('Dealer pipeline'!$R$4:$R$503,_calc!$E$238))=0,"",INDEX('Dealer pipeline'!$R$4:$R$503,_calc!$E$238)))=0,"","Owner: "&amp;IF(LEN(INDEX('Dealer pipeline'!$R$4:$R$503,_calc!$E$238))=0,"",INDEX('Dealer pipeline'!$R$4:$R$503,_calc!$E$238))&amp;". ")&amp;IF(LEN(IF(LEN(INDEX('Dealer pipeline'!$S$4:$S$503,_calc!$E$238))=0,"",INDEX('Dealer pipeline'!$S$4:$S$503,_calc!$E$238)))=0,"","Backup: "&amp;IF(LEN(INDEX('Dealer pipeline'!$S$4:$S$503,_calc!$E$238))=0,"",INDEX('Dealer pipeline'!$S$4:$S$503,_calc!$E$238))&amp;". ")&amp;IF(LEN(IF(LEN(INDEX('Dealer pipeline'!$T$4:$T$503,_calc!$E$238))=0,"",INDEX('Dealer pipeline'!$T$4:$T$503,_calc!$E$238)))=0,"",IF(LEN(INDEX('Dealer pipeline'!$T$4:$T$503,_calc!$E$238))=0,"",INDEX('Dealer pipeline'!$T$4:$T$503,_calc!$E$238)))),TRIM(IF(LEN(IF(LEN(INDEX('My equipment'!$C$4:$C$503,(_calc!$E$238-500)))=0,"",INDEX('My equipment'!$C$4:$C$503,(_calc!$E$238-500))))=0,"","Model: "&amp;IF(LEN(INDEX('My equipment'!$C$4:$C$503,(_calc!$E$238-500)))=0,"",INDEX('My equipment'!$C$4:$C$503,(_calc!$E$238-500)))&amp;". ")&amp;IF(LEN(IF(LEN(INDEX('My equipment'!$D$4:$D$503,(_calc!$E$238-500)))=0,"",INDEX('My equipment'!$D$4:$D$503,(_calc!$E$238-500))))=0,"","Serial: "&amp;IF(LEN(INDEX('My equipment'!$D$4:$D$503,(_calc!$E$238-500)))=0,"",INDEX('My equipment'!$D$4:$D$503,(_calc!$E$238-500)))&amp;". ")&amp;IF(LEN(IF(ISNUMBER(INDEX('My equipment'!$J$4:$J$503,(_calc!$E$238-500))),TEXT(INDEX('My equipment'!$J$4:$J$503,(_calc!$E$238-500)),"yyyy-mm-dd"),""))=0,"","Parts end: "&amp;IF(ISNUMBER(INDEX('My equipment'!$J$4:$J$503,(_calc!$E$238-500))),TEXT(INDEX('My equipment'!$J$4:$J$503,(_calc!$E$238-500)),"yyyy-mm-dd"),"")&amp;". ")&amp;IF(LEN(IF(ISNUMBER(INDEX('My equipment'!$L$4:$L$503,(_calc!$E$238-500))),TEXT(INDEX('My equipment'!$L$4:$L$503,(_calc!$E$238-500)),"yyyy-mm-dd"),""))=0,"","Labor end: "&amp;IF(ISNUMBER(INDEX('My equipment'!$L$4:$L$503,(_calc!$E$238-500))),TEXT(INDEX('My equipment'!$L$4:$L$503,(_calc!$E$238-500)),"yyyy-mm-dd"),"")&amp;". ")&amp;IF(LEN(IF(ISNUMBER(INDEX('My equipment'!$P$4:$P$503,(_calc!$E$238-500))),TEXT(INDEX('My equipment'!$P$4:$P$503,(_calc!$E$238-500)),"yyyy-mm-dd"),""))=0,"","Check by: "&amp;IF(ISNUMBER(INDEX('My equipment'!$P$4:$P$503,(_calc!$E$238-500))),TEXT(INDEX('My equipment'!$P$4:$P$503,(_calc!$E$238-500)),"yyyy-mm-dd"),"")&amp;". ")&amp;IF(LEN(IF(LEN(INDEX('My equipment'!$Q$4:$Q$503,(_calc!$E$238-500)))=0,"",INDEX('My equipment'!$Q$4:$Q$503,(_calc!$E$238-500))))=0,"","Claim status: "&amp;IF(LEN(INDEX('My equipment'!$Q$4:$Q$503,(_calc!$E$238-500)))=0,"",INDEX('My equipment'!$Q$4:$Q$503,(_calc!$E$238-500)))&amp;". ")&amp;IF(LEN(IF(LEN(INDEX('My equipment'!$R$4:$R$503,(_calc!$E$238-500)))=0,"",INDEX('My equipment'!$R$4:$R$503,(_calc!$E$238-500))))=0,"","Claims contact: "&amp;IF(LEN(INDEX('My equipment'!$R$4:$R$503,(_calc!$E$238-500)))=0,"",INDEX('My equipment'!$R$4:$R$503,(_calc!$E$238-500)))&amp;". ")&amp;IF(LEN(IF(LEN(INDEX('My equipment'!$S$4:$S$503,(_calc!$E$238-500)))=0,"",INDEX('My equipment'!$S$4:$S$503,(_calc!$E$238-500))))=0,"","Claims email: "&amp;IF(LEN(INDEX('My equipment'!$S$4:$S$503,(_calc!$E$238-500)))=0,"",INDEX('My equipment'!$S$4:$S$503,(_calc!$E$238-500)))&amp;". ")&amp;IF(LEN(IF(LEN(INDEX('My equipment'!$U$4:$U$503,(_calc!$E$238-500)))=0,"",INDEX('My equipment'!$U$4:$U$503,(_calc!$E$238-500))))=0,"","Registered: "&amp;IF(LEN(INDEX('My equipment'!$U$4:$U$503,(_calc!$E$238-500)))=0,"",INDEX('My equipment'!$U$4:$U$503,(_calc!$E$238-500)))&amp;". ")&amp;IF(LEN(IF(LEN(INDEX('My equipment'!$V$4:$V$503,(_calc!$E$238-500)))=0,"",INDEX('My equipment'!$V$4:$V$503,(_calc!$E$238-500))))=0,"","Proof on file: "&amp;IF(LEN(INDEX('My equipment'!$V$4:$V$503,(_calc!$E$238-500)))=0,"",INDEX('My equipment'!$V$4:$V$503,(_calc!$E$238-500)))&amp;". ")&amp;IF(LEN(IF(LEN(INDEX('My equipment'!$W$4:$W$503,(_calc!$E$238-500)))=0,"",INDEX('My equipment'!$W$4:$W$503,(_calc!$E$238-500))))=0,"","Claim ref: "&amp;IF(LEN(INDEX('My equipment'!$W$4:$W$503,(_calc!$E$238-500)))=0,"",INDEX('My equipment'!$W$4:$W$503,(_calc!$E$238-500)))&amp;". ")&amp;IF(LEN(IF(LEN(INDEX('My equipment'!$Y$4:$Y$503,(_calc!$E$238-500)))=0,"",INDEX('My equipment'!$Y$4:$Y$503,(_calc!$E$238-500))))=0,"",IF(LEN(INDEX('My equipment'!$Y$4:$Y$503,(_calc!$E$238-500)))=0,"",INDEX('My equipment'!$Y$4:$Y$503,(_calc!$E$238-500)))))))</f>
        <v/>
      </c>
      <c r="G236" s="54">
        <f>IF(_calc!$E$238="","",IF(_calc!$E$238&lt;=500,"",IF(LEN(INDEX('My equipment'!$X$4:$X$503,(_calc!$E$238-500)))=0,"",INDEX('My equipment'!$X$4:$X$503,(_calc!$E$238-500)))))</f>
        <v/>
      </c>
      <c r="K236" s="54">
        <f>IF(_calc!$E$238="","",IF(_calc!$E$238&lt;=500,"",IF(LEN(INDEX('My equipment'!$T$4:$T$503,(_calc!$E$238-500)))=0,"",INDEX('My equipment'!$T$4:$T$503,(_calc!$E$238-500)))))</f>
        <v/>
      </c>
    </row>
    <row r="237">
      <c r="A237" s="54">
        <f>IF(_calc!$E$239="","",IF(_calc!$E$239&lt;=500,"Warranty – "&amp;IF(LEN(INDEX('Dealer pipeline'!$C$4:$C$503,_calc!$E$239))=0,"",INDEX('Dealer pipeline'!$C$4:$C$503,_calc!$E$239))&amp;" – "&amp;IF(LEN(INDEX('Dealer pipeline'!$D$4:$D$503,_calc!$E$239))=0,"",INDEX('Dealer pipeline'!$D$4:$D$503,_calc!$E$239))&amp;" – "&amp;IF(LEN(INDEX('Dealer pipeline'!$A$4:$A$503,_calc!$E$239))=0,"",INDEX('Dealer pipeline'!$A$4:$A$503,_calc!$E$239)),"Warranty – "&amp;IF(LEN(INDEX('My equipment'!$A$4:$A$503,(_calc!$E$239-500)))=0,"",INDEX('My equipment'!$A$4:$A$503,(_calc!$E$239-500)))&amp;" – "&amp;IF(LEN(INDEX('My equipment'!$D$4:$D$503,(_calc!$E$239-500)))=0,"",INDEX('My equipment'!$D$4:$D$503,(_calc!$E$239-500)))))</f>
        <v/>
      </c>
      <c r="B237" s="54">
        <f>IF(_calc!$E$239="","",IF(_calc!$E$239&lt;=500,IF(ISNUMBER(INDEX('Dealer pipeline'!$M$4:$M$503,_calc!$E$239)),TEXT(INDEX('Dealer pipeline'!$M$4:$M$503,_calc!$E$239),"yyyy-mm-dd"),""),IF(ISNUMBER(INDEX('My equipment'!$M$4:$M$503,(_calc!$E$239-500))),TEXT(INDEX('My equipment'!$M$4:$M$503,(_calc!$E$239-500)),"yyyy-mm-dd"),"")))</f>
        <v/>
      </c>
      <c r="C237" s="54">
        <f>IF(_calc!$E$239="","",IF(_calc!$E$239&lt;=500,"Warranty","Warranty"))</f>
        <v/>
      </c>
      <c r="D237" s="54">
        <f>IF(_calc!$E$239="","",IF(_calc!$E$239&lt;=500,IF(ISNUMBER(INDEX('Dealer pipeline'!$H$4:$H$503,_calc!$E$239)),TEXT(INDEX('Dealer pipeline'!$H$4:$H$503,_calc!$E$239),"yyyy-mm-dd"),""),IF(ISNUMBER(INDEX('My equipment'!$H$4:$H$503,(_calc!$E$239-500))),TEXT(INDEX('My equipment'!$H$4:$H$503,(_calc!$E$239-500)),"yyyy-mm-dd"),"")))</f>
        <v/>
      </c>
      <c r="F237" s="54">
        <f>IF(_calc!$E$239="","",IF(_calc!$E$239&lt;=500,TRIM(IF(LEN(IF(LEN(INDEX('Dealer pipeline'!$A$4:$A$503,_calc!$E$239))=0,"",INDEX('Dealer pipeline'!$A$4:$A$503,_calc!$E$239)))=0,"","Customer: "&amp;IF(LEN(INDEX('Dealer pipeline'!$A$4:$A$503,_calc!$E$239))=0,"",INDEX('Dealer pipeline'!$A$4:$A$503,_calc!$E$239))&amp;". ")&amp;IF(LEN(IF(LEN(INDEX('Dealer pipeline'!$B$4:$B$503,_calc!$E$239))=0,"",INDEX('Dealer pipeline'!$B$4:$B$503,_calc!$E$239)))=0,"","Contact: "&amp;IF(LEN(INDEX('Dealer pipeline'!$B$4:$B$503,_calc!$E$239))=0,"",INDEX('Dealer pipeline'!$B$4:$B$503,_calc!$E$239))&amp;". ")&amp;IF(LEN(IF(LEN(INDEX('Dealer pipeline'!$D$4:$D$503,_calc!$E$239))=0,"",INDEX('Dealer pipeline'!$D$4:$D$503,_calc!$E$239)))=0,"","Serial: "&amp;IF(LEN(INDEX('Dealer pipeline'!$D$4:$D$503,_calc!$E$239))=0,"",INDEX('Dealer pipeline'!$D$4:$D$503,_calc!$E$239))&amp;". ")&amp;IF(LEN(IF(ISNUMBER(INDEX('Dealer pipeline'!$J$4:$J$503,_calc!$E$239)),TEXT(INDEX('Dealer pipeline'!$J$4:$J$503,_calc!$E$239),"yyyy-mm-dd"),""))=0,"","Parts end: "&amp;IF(ISNUMBER(INDEX('Dealer pipeline'!$J$4:$J$503,_calc!$E$239)),TEXT(INDEX('Dealer pipeline'!$J$4:$J$503,_calc!$E$239),"yyyy-mm-dd"),"")&amp;". ")&amp;IF(LEN(IF(ISNUMBER(INDEX('Dealer pipeline'!$L$4:$L$503,_calc!$E$239)),TEXT(INDEX('Dealer pipeline'!$L$4:$L$503,_calc!$E$239),"yyyy-mm-dd"),""))=0,"","Labor end: "&amp;IF(ISNUMBER(INDEX('Dealer pipeline'!$L$4:$L$503,_calc!$E$239)),TEXT(INDEX('Dealer pipeline'!$L$4:$L$503,_calc!$E$239),"yyyy-mm-dd"),"")&amp;". ")&amp;IF(LEN(IF(LEN(INDEX('Dealer pipeline'!$Q$4:$Q$503,_calc!$E$239))=0,"",INDEX('Dealer pipeline'!$Q$4:$Q$503,_calc!$E$239)))=0,"","Status: "&amp;IF(LEN(INDEX('Dealer pipeline'!$Q$4:$Q$503,_calc!$E$239))=0,"",INDEX('Dealer pipeline'!$Q$4:$Q$503,_calc!$E$239))&amp;". ")&amp;IF(LEN(IF(LEN(INDEX('Dealer pipeline'!$P$4:$P$503,_calc!$E$239))=0,"",INDEX('Dealer pipeline'!$P$4:$P$503,_calc!$E$239)))=0,"","Last touch: "&amp;IF(LEN(INDEX('Dealer pipeline'!$P$4:$P$503,_calc!$E$239))=0,"",INDEX('Dealer pipeline'!$P$4:$P$503,_calc!$E$239))&amp;". ")&amp;IF(LEN(IF(LEN(INDEX('Dealer pipeline'!$R$4:$R$503,_calc!$E$239))=0,"",INDEX('Dealer pipeline'!$R$4:$R$503,_calc!$E$239)))=0,"","Owner: "&amp;IF(LEN(INDEX('Dealer pipeline'!$R$4:$R$503,_calc!$E$239))=0,"",INDEX('Dealer pipeline'!$R$4:$R$503,_calc!$E$239))&amp;". ")&amp;IF(LEN(IF(LEN(INDEX('Dealer pipeline'!$S$4:$S$503,_calc!$E$239))=0,"",INDEX('Dealer pipeline'!$S$4:$S$503,_calc!$E$239)))=0,"","Backup: "&amp;IF(LEN(INDEX('Dealer pipeline'!$S$4:$S$503,_calc!$E$239))=0,"",INDEX('Dealer pipeline'!$S$4:$S$503,_calc!$E$239))&amp;". ")&amp;IF(LEN(IF(LEN(INDEX('Dealer pipeline'!$T$4:$T$503,_calc!$E$239))=0,"",INDEX('Dealer pipeline'!$T$4:$T$503,_calc!$E$239)))=0,"",IF(LEN(INDEX('Dealer pipeline'!$T$4:$T$503,_calc!$E$239))=0,"",INDEX('Dealer pipeline'!$T$4:$T$503,_calc!$E$239)))),TRIM(IF(LEN(IF(LEN(INDEX('My equipment'!$C$4:$C$503,(_calc!$E$239-500)))=0,"",INDEX('My equipment'!$C$4:$C$503,(_calc!$E$239-500))))=0,"","Model: "&amp;IF(LEN(INDEX('My equipment'!$C$4:$C$503,(_calc!$E$239-500)))=0,"",INDEX('My equipment'!$C$4:$C$503,(_calc!$E$239-500)))&amp;". ")&amp;IF(LEN(IF(LEN(INDEX('My equipment'!$D$4:$D$503,(_calc!$E$239-500)))=0,"",INDEX('My equipment'!$D$4:$D$503,(_calc!$E$239-500))))=0,"","Serial: "&amp;IF(LEN(INDEX('My equipment'!$D$4:$D$503,(_calc!$E$239-500)))=0,"",INDEX('My equipment'!$D$4:$D$503,(_calc!$E$239-500)))&amp;". ")&amp;IF(LEN(IF(ISNUMBER(INDEX('My equipment'!$J$4:$J$503,(_calc!$E$239-500))),TEXT(INDEX('My equipment'!$J$4:$J$503,(_calc!$E$239-500)),"yyyy-mm-dd"),""))=0,"","Parts end: "&amp;IF(ISNUMBER(INDEX('My equipment'!$J$4:$J$503,(_calc!$E$239-500))),TEXT(INDEX('My equipment'!$J$4:$J$503,(_calc!$E$239-500)),"yyyy-mm-dd"),"")&amp;". ")&amp;IF(LEN(IF(ISNUMBER(INDEX('My equipment'!$L$4:$L$503,(_calc!$E$239-500))),TEXT(INDEX('My equipment'!$L$4:$L$503,(_calc!$E$239-500)),"yyyy-mm-dd"),""))=0,"","Labor end: "&amp;IF(ISNUMBER(INDEX('My equipment'!$L$4:$L$503,(_calc!$E$239-500))),TEXT(INDEX('My equipment'!$L$4:$L$503,(_calc!$E$239-500)),"yyyy-mm-dd"),"")&amp;". ")&amp;IF(LEN(IF(ISNUMBER(INDEX('My equipment'!$P$4:$P$503,(_calc!$E$239-500))),TEXT(INDEX('My equipment'!$P$4:$P$503,(_calc!$E$239-500)),"yyyy-mm-dd"),""))=0,"","Check by: "&amp;IF(ISNUMBER(INDEX('My equipment'!$P$4:$P$503,(_calc!$E$239-500))),TEXT(INDEX('My equipment'!$P$4:$P$503,(_calc!$E$239-500)),"yyyy-mm-dd"),"")&amp;". ")&amp;IF(LEN(IF(LEN(INDEX('My equipment'!$Q$4:$Q$503,(_calc!$E$239-500)))=0,"",INDEX('My equipment'!$Q$4:$Q$503,(_calc!$E$239-500))))=0,"","Claim status: "&amp;IF(LEN(INDEX('My equipment'!$Q$4:$Q$503,(_calc!$E$239-500)))=0,"",INDEX('My equipment'!$Q$4:$Q$503,(_calc!$E$239-500)))&amp;". ")&amp;IF(LEN(IF(LEN(INDEX('My equipment'!$R$4:$R$503,(_calc!$E$239-500)))=0,"",INDEX('My equipment'!$R$4:$R$503,(_calc!$E$239-500))))=0,"","Claims contact: "&amp;IF(LEN(INDEX('My equipment'!$R$4:$R$503,(_calc!$E$239-500)))=0,"",INDEX('My equipment'!$R$4:$R$503,(_calc!$E$239-500)))&amp;". ")&amp;IF(LEN(IF(LEN(INDEX('My equipment'!$S$4:$S$503,(_calc!$E$239-500)))=0,"",INDEX('My equipment'!$S$4:$S$503,(_calc!$E$239-500))))=0,"","Claims email: "&amp;IF(LEN(INDEX('My equipment'!$S$4:$S$503,(_calc!$E$239-500)))=0,"",INDEX('My equipment'!$S$4:$S$503,(_calc!$E$239-500)))&amp;". ")&amp;IF(LEN(IF(LEN(INDEX('My equipment'!$U$4:$U$503,(_calc!$E$239-500)))=0,"",INDEX('My equipment'!$U$4:$U$503,(_calc!$E$239-500))))=0,"","Registered: "&amp;IF(LEN(INDEX('My equipment'!$U$4:$U$503,(_calc!$E$239-500)))=0,"",INDEX('My equipment'!$U$4:$U$503,(_calc!$E$239-500)))&amp;". ")&amp;IF(LEN(IF(LEN(INDEX('My equipment'!$V$4:$V$503,(_calc!$E$239-500)))=0,"",INDEX('My equipment'!$V$4:$V$503,(_calc!$E$239-500))))=0,"","Proof on file: "&amp;IF(LEN(INDEX('My equipment'!$V$4:$V$503,(_calc!$E$239-500)))=0,"",INDEX('My equipment'!$V$4:$V$503,(_calc!$E$239-500)))&amp;". ")&amp;IF(LEN(IF(LEN(INDEX('My equipment'!$W$4:$W$503,(_calc!$E$239-500)))=0,"",INDEX('My equipment'!$W$4:$W$503,(_calc!$E$239-500))))=0,"","Claim ref: "&amp;IF(LEN(INDEX('My equipment'!$W$4:$W$503,(_calc!$E$239-500)))=0,"",INDEX('My equipment'!$W$4:$W$503,(_calc!$E$239-500)))&amp;". ")&amp;IF(LEN(IF(LEN(INDEX('My equipment'!$Y$4:$Y$503,(_calc!$E$239-500)))=0,"",INDEX('My equipment'!$Y$4:$Y$503,(_calc!$E$239-500))))=0,"",IF(LEN(INDEX('My equipment'!$Y$4:$Y$503,(_calc!$E$239-500)))=0,"",INDEX('My equipment'!$Y$4:$Y$503,(_calc!$E$239-500)))))))</f>
        <v/>
      </c>
      <c r="G237" s="54">
        <f>IF(_calc!$E$239="","",IF(_calc!$E$239&lt;=500,"",IF(LEN(INDEX('My equipment'!$X$4:$X$503,(_calc!$E$239-500)))=0,"",INDEX('My equipment'!$X$4:$X$503,(_calc!$E$239-500)))))</f>
        <v/>
      </c>
      <c r="K237" s="54">
        <f>IF(_calc!$E$239="","",IF(_calc!$E$239&lt;=500,"",IF(LEN(INDEX('My equipment'!$T$4:$T$503,(_calc!$E$239-500)))=0,"",INDEX('My equipment'!$T$4:$T$503,(_calc!$E$239-500)))))</f>
        <v/>
      </c>
    </row>
    <row r="238">
      <c r="A238" s="54">
        <f>IF(_calc!$E$240="","",IF(_calc!$E$240&lt;=500,"Warranty – "&amp;IF(LEN(INDEX('Dealer pipeline'!$C$4:$C$503,_calc!$E$240))=0,"",INDEX('Dealer pipeline'!$C$4:$C$503,_calc!$E$240))&amp;" – "&amp;IF(LEN(INDEX('Dealer pipeline'!$D$4:$D$503,_calc!$E$240))=0,"",INDEX('Dealer pipeline'!$D$4:$D$503,_calc!$E$240))&amp;" – "&amp;IF(LEN(INDEX('Dealer pipeline'!$A$4:$A$503,_calc!$E$240))=0,"",INDEX('Dealer pipeline'!$A$4:$A$503,_calc!$E$240)),"Warranty – "&amp;IF(LEN(INDEX('My equipment'!$A$4:$A$503,(_calc!$E$240-500)))=0,"",INDEX('My equipment'!$A$4:$A$503,(_calc!$E$240-500)))&amp;" – "&amp;IF(LEN(INDEX('My equipment'!$D$4:$D$503,(_calc!$E$240-500)))=0,"",INDEX('My equipment'!$D$4:$D$503,(_calc!$E$240-500)))))</f>
        <v/>
      </c>
      <c r="B238" s="54">
        <f>IF(_calc!$E$240="","",IF(_calc!$E$240&lt;=500,IF(ISNUMBER(INDEX('Dealer pipeline'!$M$4:$M$503,_calc!$E$240)),TEXT(INDEX('Dealer pipeline'!$M$4:$M$503,_calc!$E$240),"yyyy-mm-dd"),""),IF(ISNUMBER(INDEX('My equipment'!$M$4:$M$503,(_calc!$E$240-500))),TEXT(INDEX('My equipment'!$M$4:$M$503,(_calc!$E$240-500)),"yyyy-mm-dd"),"")))</f>
        <v/>
      </c>
      <c r="C238" s="54">
        <f>IF(_calc!$E$240="","",IF(_calc!$E$240&lt;=500,"Warranty","Warranty"))</f>
        <v/>
      </c>
      <c r="D238" s="54">
        <f>IF(_calc!$E$240="","",IF(_calc!$E$240&lt;=500,IF(ISNUMBER(INDEX('Dealer pipeline'!$H$4:$H$503,_calc!$E$240)),TEXT(INDEX('Dealer pipeline'!$H$4:$H$503,_calc!$E$240),"yyyy-mm-dd"),""),IF(ISNUMBER(INDEX('My equipment'!$H$4:$H$503,(_calc!$E$240-500))),TEXT(INDEX('My equipment'!$H$4:$H$503,(_calc!$E$240-500)),"yyyy-mm-dd"),"")))</f>
        <v/>
      </c>
      <c r="F238" s="54">
        <f>IF(_calc!$E$240="","",IF(_calc!$E$240&lt;=500,TRIM(IF(LEN(IF(LEN(INDEX('Dealer pipeline'!$A$4:$A$503,_calc!$E$240))=0,"",INDEX('Dealer pipeline'!$A$4:$A$503,_calc!$E$240)))=0,"","Customer: "&amp;IF(LEN(INDEX('Dealer pipeline'!$A$4:$A$503,_calc!$E$240))=0,"",INDEX('Dealer pipeline'!$A$4:$A$503,_calc!$E$240))&amp;". ")&amp;IF(LEN(IF(LEN(INDEX('Dealer pipeline'!$B$4:$B$503,_calc!$E$240))=0,"",INDEX('Dealer pipeline'!$B$4:$B$503,_calc!$E$240)))=0,"","Contact: "&amp;IF(LEN(INDEX('Dealer pipeline'!$B$4:$B$503,_calc!$E$240))=0,"",INDEX('Dealer pipeline'!$B$4:$B$503,_calc!$E$240))&amp;". ")&amp;IF(LEN(IF(LEN(INDEX('Dealer pipeline'!$D$4:$D$503,_calc!$E$240))=0,"",INDEX('Dealer pipeline'!$D$4:$D$503,_calc!$E$240)))=0,"","Serial: "&amp;IF(LEN(INDEX('Dealer pipeline'!$D$4:$D$503,_calc!$E$240))=0,"",INDEX('Dealer pipeline'!$D$4:$D$503,_calc!$E$240))&amp;". ")&amp;IF(LEN(IF(ISNUMBER(INDEX('Dealer pipeline'!$J$4:$J$503,_calc!$E$240)),TEXT(INDEX('Dealer pipeline'!$J$4:$J$503,_calc!$E$240),"yyyy-mm-dd"),""))=0,"","Parts end: "&amp;IF(ISNUMBER(INDEX('Dealer pipeline'!$J$4:$J$503,_calc!$E$240)),TEXT(INDEX('Dealer pipeline'!$J$4:$J$503,_calc!$E$240),"yyyy-mm-dd"),"")&amp;". ")&amp;IF(LEN(IF(ISNUMBER(INDEX('Dealer pipeline'!$L$4:$L$503,_calc!$E$240)),TEXT(INDEX('Dealer pipeline'!$L$4:$L$503,_calc!$E$240),"yyyy-mm-dd"),""))=0,"","Labor end: "&amp;IF(ISNUMBER(INDEX('Dealer pipeline'!$L$4:$L$503,_calc!$E$240)),TEXT(INDEX('Dealer pipeline'!$L$4:$L$503,_calc!$E$240),"yyyy-mm-dd"),"")&amp;". ")&amp;IF(LEN(IF(LEN(INDEX('Dealer pipeline'!$Q$4:$Q$503,_calc!$E$240))=0,"",INDEX('Dealer pipeline'!$Q$4:$Q$503,_calc!$E$240)))=0,"","Status: "&amp;IF(LEN(INDEX('Dealer pipeline'!$Q$4:$Q$503,_calc!$E$240))=0,"",INDEX('Dealer pipeline'!$Q$4:$Q$503,_calc!$E$240))&amp;". ")&amp;IF(LEN(IF(LEN(INDEX('Dealer pipeline'!$P$4:$P$503,_calc!$E$240))=0,"",INDEX('Dealer pipeline'!$P$4:$P$503,_calc!$E$240)))=0,"","Last touch: "&amp;IF(LEN(INDEX('Dealer pipeline'!$P$4:$P$503,_calc!$E$240))=0,"",INDEX('Dealer pipeline'!$P$4:$P$503,_calc!$E$240))&amp;". ")&amp;IF(LEN(IF(LEN(INDEX('Dealer pipeline'!$R$4:$R$503,_calc!$E$240))=0,"",INDEX('Dealer pipeline'!$R$4:$R$503,_calc!$E$240)))=0,"","Owner: "&amp;IF(LEN(INDEX('Dealer pipeline'!$R$4:$R$503,_calc!$E$240))=0,"",INDEX('Dealer pipeline'!$R$4:$R$503,_calc!$E$240))&amp;". ")&amp;IF(LEN(IF(LEN(INDEX('Dealer pipeline'!$S$4:$S$503,_calc!$E$240))=0,"",INDEX('Dealer pipeline'!$S$4:$S$503,_calc!$E$240)))=0,"","Backup: "&amp;IF(LEN(INDEX('Dealer pipeline'!$S$4:$S$503,_calc!$E$240))=0,"",INDEX('Dealer pipeline'!$S$4:$S$503,_calc!$E$240))&amp;". ")&amp;IF(LEN(IF(LEN(INDEX('Dealer pipeline'!$T$4:$T$503,_calc!$E$240))=0,"",INDEX('Dealer pipeline'!$T$4:$T$503,_calc!$E$240)))=0,"",IF(LEN(INDEX('Dealer pipeline'!$T$4:$T$503,_calc!$E$240))=0,"",INDEX('Dealer pipeline'!$T$4:$T$503,_calc!$E$240)))),TRIM(IF(LEN(IF(LEN(INDEX('My equipment'!$C$4:$C$503,(_calc!$E$240-500)))=0,"",INDEX('My equipment'!$C$4:$C$503,(_calc!$E$240-500))))=0,"","Model: "&amp;IF(LEN(INDEX('My equipment'!$C$4:$C$503,(_calc!$E$240-500)))=0,"",INDEX('My equipment'!$C$4:$C$503,(_calc!$E$240-500)))&amp;". ")&amp;IF(LEN(IF(LEN(INDEX('My equipment'!$D$4:$D$503,(_calc!$E$240-500)))=0,"",INDEX('My equipment'!$D$4:$D$503,(_calc!$E$240-500))))=0,"","Serial: "&amp;IF(LEN(INDEX('My equipment'!$D$4:$D$503,(_calc!$E$240-500)))=0,"",INDEX('My equipment'!$D$4:$D$503,(_calc!$E$240-500)))&amp;". ")&amp;IF(LEN(IF(ISNUMBER(INDEX('My equipment'!$J$4:$J$503,(_calc!$E$240-500))),TEXT(INDEX('My equipment'!$J$4:$J$503,(_calc!$E$240-500)),"yyyy-mm-dd"),""))=0,"","Parts end: "&amp;IF(ISNUMBER(INDEX('My equipment'!$J$4:$J$503,(_calc!$E$240-500))),TEXT(INDEX('My equipment'!$J$4:$J$503,(_calc!$E$240-500)),"yyyy-mm-dd"),"")&amp;". ")&amp;IF(LEN(IF(ISNUMBER(INDEX('My equipment'!$L$4:$L$503,(_calc!$E$240-500))),TEXT(INDEX('My equipment'!$L$4:$L$503,(_calc!$E$240-500)),"yyyy-mm-dd"),""))=0,"","Labor end: "&amp;IF(ISNUMBER(INDEX('My equipment'!$L$4:$L$503,(_calc!$E$240-500))),TEXT(INDEX('My equipment'!$L$4:$L$503,(_calc!$E$240-500)),"yyyy-mm-dd"),"")&amp;". ")&amp;IF(LEN(IF(ISNUMBER(INDEX('My equipment'!$P$4:$P$503,(_calc!$E$240-500))),TEXT(INDEX('My equipment'!$P$4:$P$503,(_calc!$E$240-500)),"yyyy-mm-dd"),""))=0,"","Check by: "&amp;IF(ISNUMBER(INDEX('My equipment'!$P$4:$P$503,(_calc!$E$240-500))),TEXT(INDEX('My equipment'!$P$4:$P$503,(_calc!$E$240-500)),"yyyy-mm-dd"),"")&amp;". ")&amp;IF(LEN(IF(LEN(INDEX('My equipment'!$Q$4:$Q$503,(_calc!$E$240-500)))=0,"",INDEX('My equipment'!$Q$4:$Q$503,(_calc!$E$240-500))))=0,"","Claim status: "&amp;IF(LEN(INDEX('My equipment'!$Q$4:$Q$503,(_calc!$E$240-500)))=0,"",INDEX('My equipment'!$Q$4:$Q$503,(_calc!$E$240-500)))&amp;". ")&amp;IF(LEN(IF(LEN(INDEX('My equipment'!$R$4:$R$503,(_calc!$E$240-500)))=0,"",INDEX('My equipment'!$R$4:$R$503,(_calc!$E$240-500))))=0,"","Claims contact: "&amp;IF(LEN(INDEX('My equipment'!$R$4:$R$503,(_calc!$E$240-500)))=0,"",INDEX('My equipment'!$R$4:$R$503,(_calc!$E$240-500)))&amp;". ")&amp;IF(LEN(IF(LEN(INDEX('My equipment'!$S$4:$S$503,(_calc!$E$240-500)))=0,"",INDEX('My equipment'!$S$4:$S$503,(_calc!$E$240-500))))=0,"","Claims email: "&amp;IF(LEN(INDEX('My equipment'!$S$4:$S$503,(_calc!$E$240-500)))=0,"",INDEX('My equipment'!$S$4:$S$503,(_calc!$E$240-500)))&amp;". ")&amp;IF(LEN(IF(LEN(INDEX('My equipment'!$U$4:$U$503,(_calc!$E$240-500)))=0,"",INDEX('My equipment'!$U$4:$U$503,(_calc!$E$240-500))))=0,"","Registered: "&amp;IF(LEN(INDEX('My equipment'!$U$4:$U$503,(_calc!$E$240-500)))=0,"",INDEX('My equipment'!$U$4:$U$503,(_calc!$E$240-500)))&amp;". ")&amp;IF(LEN(IF(LEN(INDEX('My equipment'!$V$4:$V$503,(_calc!$E$240-500)))=0,"",INDEX('My equipment'!$V$4:$V$503,(_calc!$E$240-500))))=0,"","Proof on file: "&amp;IF(LEN(INDEX('My equipment'!$V$4:$V$503,(_calc!$E$240-500)))=0,"",INDEX('My equipment'!$V$4:$V$503,(_calc!$E$240-500)))&amp;". ")&amp;IF(LEN(IF(LEN(INDEX('My equipment'!$W$4:$W$503,(_calc!$E$240-500)))=0,"",INDEX('My equipment'!$W$4:$W$503,(_calc!$E$240-500))))=0,"","Claim ref: "&amp;IF(LEN(INDEX('My equipment'!$W$4:$W$503,(_calc!$E$240-500)))=0,"",INDEX('My equipment'!$W$4:$W$503,(_calc!$E$240-500)))&amp;". ")&amp;IF(LEN(IF(LEN(INDEX('My equipment'!$Y$4:$Y$503,(_calc!$E$240-500)))=0,"",INDEX('My equipment'!$Y$4:$Y$503,(_calc!$E$240-500))))=0,"",IF(LEN(INDEX('My equipment'!$Y$4:$Y$503,(_calc!$E$240-500)))=0,"",INDEX('My equipment'!$Y$4:$Y$503,(_calc!$E$240-500)))))))</f>
        <v/>
      </c>
      <c r="G238" s="54">
        <f>IF(_calc!$E$240="","",IF(_calc!$E$240&lt;=500,"",IF(LEN(INDEX('My equipment'!$X$4:$X$503,(_calc!$E$240-500)))=0,"",INDEX('My equipment'!$X$4:$X$503,(_calc!$E$240-500)))))</f>
        <v/>
      </c>
      <c r="K238" s="54">
        <f>IF(_calc!$E$240="","",IF(_calc!$E$240&lt;=500,"",IF(LEN(INDEX('My equipment'!$T$4:$T$503,(_calc!$E$240-500)))=0,"",INDEX('My equipment'!$T$4:$T$503,(_calc!$E$240-500)))))</f>
        <v/>
      </c>
    </row>
    <row r="239">
      <c r="A239" s="54">
        <f>IF(_calc!$E$241="","",IF(_calc!$E$241&lt;=500,"Warranty – "&amp;IF(LEN(INDEX('Dealer pipeline'!$C$4:$C$503,_calc!$E$241))=0,"",INDEX('Dealer pipeline'!$C$4:$C$503,_calc!$E$241))&amp;" – "&amp;IF(LEN(INDEX('Dealer pipeline'!$D$4:$D$503,_calc!$E$241))=0,"",INDEX('Dealer pipeline'!$D$4:$D$503,_calc!$E$241))&amp;" – "&amp;IF(LEN(INDEX('Dealer pipeline'!$A$4:$A$503,_calc!$E$241))=0,"",INDEX('Dealer pipeline'!$A$4:$A$503,_calc!$E$241)),"Warranty – "&amp;IF(LEN(INDEX('My equipment'!$A$4:$A$503,(_calc!$E$241-500)))=0,"",INDEX('My equipment'!$A$4:$A$503,(_calc!$E$241-500)))&amp;" – "&amp;IF(LEN(INDEX('My equipment'!$D$4:$D$503,(_calc!$E$241-500)))=0,"",INDEX('My equipment'!$D$4:$D$503,(_calc!$E$241-500)))))</f>
        <v/>
      </c>
      <c r="B239" s="54">
        <f>IF(_calc!$E$241="","",IF(_calc!$E$241&lt;=500,IF(ISNUMBER(INDEX('Dealer pipeline'!$M$4:$M$503,_calc!$E$241)),TEXT(INDEX('Dealer pipeline'!$M$4:$M$503,_calc!$E$241),"yyyy-mm-dd"),""),IF(ISNUMBER(INDEX('My equipment'!$M$4:$M$503,(_calc!$E$241-500))),TEXT(INDEX('My equipment'!$M$4:$M$503,(_calc!$E$241-500)),"yyyy-mm-dd"),"")))</f>
        <v/>
      </c>
      <c r="C239" s="54">
        <f>IF(_calc!$E$241="","",IF(_calc!$E$241&lt;=500,"Warranty","Warranty"))</f>
        <v/>
      </c>
      <c r="D239" s="54">
        <f>IF(_calc!$E$241="","",IF(_calc!$E$241&lt;=500,IF(ISNUMBER(INDEX('Dealer pipeline'!$H$4:$H$503,_calc!$E$241)),TEXT(INDEX('Dealer pipeline'!$H$4:$H$503,_calc!$E$241),"yyyy-mm-dd"),""),IF(ISNUMBER(INDEX('My equipment'!$H$4:$H$503,(_calc!$E$241-500))),TEXT(INDEX('My equipment'!$H$4:$H$503,(_calc!$E$241-500)),"yyyy-mm-dd"),"")))</f>
        <v/>
      </c>
      <c r="F239" s="54">
        <f>IF(_calc!$E$241="","",IF(_calc!$E$241&lt;=500,TRIM(IF(LEN(IF(LEN(INDEX('Dealer pipeline'!$A$4:$A$503,_calc!$E$241))=0,"",INDEX('Dealer pipeline'!$A$4:$A$503,_calc!$E$241)))=0,"","Customer: "&amp;IF(LEN(INDEX('Dealer pipeline'!$A$4:$A$503,_calc!$E$241))=0,"",INDEX('Dealer pipeline'!$A$4:$A$503,_calc!$E$241))&amp;". ")&amp;IF(LEN(IF(LEN(INDEX('Dealer pipeline'!$B$4:$B$503,_calc!$E$241))=0,"",INDEX('Dealer pipeline'!$B$4:$B$503,_calc!$E$241)))=0,"","Contact: "&amp;IF(LEN(INDEX('Dealer pipeline'!$B$4:$B$503,_calc!$E$241))=0,"",INDEX('Dealer pipeline'!$B$4:$B$503,_calc!$E$241))&amp;". ")&amp;IF(LEN(IF(LEN(INDEX('Dealer pipeline'!$D$4:$D$503,_calc!$E$241))=0,"",INDEX('Dealer pipeline'!$D$4:$D$503,_calc!$E$241)))=0,"","Serial: "&amp;IF(LEN(INDEX('Dealer pipeline'!$D$4:$D$503,_calc!$E$241))=0,"",INDEX('Dealer pipeline'!$D$4:$D$503,_calc!$E$241))&amp;". ")&amp;IF(LEN(IF(ISNUMBER(INDEX('Dealer pipeline'!$J$4:$J$503,_calc!$E$241)),TEXT(INDEX('Dealer pipeline'!$J$4:$J$503,_calc!$E$241),"yyyy-mm-dd"),""))=0,"","Parts end: "&amp;IF(ISNUMBER(INDEX('Dealer pipeline'!$J$4:$J$503,_calc!$E$241)),TEXT(INDEX('Dealer pipeline'!$J$4:$J$503,_calc!$E$241),"yyyy-mm-dd"),"")&amp;". ")&amp;IF(LEN(IF(ISNUMBER(INDEX('Dealer pipeline'!$L$4:$L$503,_calc!$E$241)),TEXT(INDEX('Dealer pipeline'!$L$4:$L$503,_calc!$E$241),"yyyy-mm-dd"),""))=0,"","Labor end: "&amp;IF(ISNUMBER(INDEX('Dealer pipeline'!$L$4:$L$503,_calc!$E$241)),TEXT(INDEX('Dealer pipeline'!$L$4:$L$503,_calc!$E$241),"yyyy-mm-dd"),"")&amp;". ")&amp;IF(LEN(IF(LEN(INDEX('Dealer pipeline'!$Q$4:$Q$503,_calc!$E$241))=0,"",INDEX('Dealer pipeline'!$Q$4:$Q$503,_calc!$E$241)))=0,"","Status: "&amp;IF(LEN(INDEX('Dealer pipeline'!$Q$4:$Q$503,_calc!$E$241))=0,"",INDEX('Dealer pipeline'!$Q$4:$Q$503,_calc!$E$241))&amp;". ")&amp;IF(LEN(IF(LEN(INDEX('Dealer pipeline'!$P$4:$P$503,_calc!$E$241))=0,"",INDEX('Dealer pipeline'!$P$4:$P$503,_calc!$E$241)))=0,"","Last touch: "&amp;IF(LEN(INDEX('Dealer pipeline'!$P$4:$P$503,_calc!$E$241))=0,"",INDEX('Dealer pipeline'!$P$4:$P$503,_calc!$E$241))&amp;". ")&amp;IF(LEN(IF(LEN(INDEX('Dealer pipeline'!$R$4:$R$503,_calc!$E$241))=0,"",INDEX('Dealer pipeline'!$R$4:$R$503,_calc!$E$241)))=0,"","Owner: "&amp;IF(LEN(INDEX('Dealer pipeline'!$R$4:$R$503,_calc!$E$241))=0,"",INDEX('Dealer pipeline'!$R$4:$R$503,_calc!$E$241))&amp;". ")&amp;IF(LEN(IF(LEN(INDEX('Dealer pipeline'!$S$4:$S$503,_calc!$E$241))=0,"",INDEX('Dealer pipeline'!$S$4:$S$503,_calc!$E$241)))=0,"","Backup: "&amp;IF(LEN(INDEX('Dealer pipeline'!$S$4:$S$503,_calc!$E$241))=0,"",INDEX('Dealer pipeline'!$S$4:$S$503,_calc!$E$241))&amp;". ")&amp;IF(LEN(IF(LEN(INDEX('Dealer pipeline'!$T$4:$T$503,_calc!$E$241))=0,"",INDEX('Dealer pipeline'!$T$4:$T$503,_calc!$E$241)))=0,"",IF(LEN(INDEX('Dealer pipeline'!$T$4:$T$503,_calc!$E$241))=0,"",INDEX('Dealer pipeline'!$T$4:$T$503,_calc!$E$241)))),TRIM(IF(LEN(IF(LEN(INDEX('My equipment'!$C$4:$C$503,(_calc!$E$241-500)))=0,"",INDEX('My equipment'!$C$4:$C$503,(_calc!$E$241-500))))=0,"","Model: "&amp;IF(LEN(INDEX('My equipment'!$C$4:$C$503,(_calc!$E$241-500)))=0,"",INDEX('My equipment'!$C$4:$C$503,(_calc!$E$241-500)))&amp;". ")&amp;IF(LEN(IF(LEN(INDEX('My equipment'!$D$4:$D$503,(_calc!$E$241-500)))=0,"",INDEX('My equipment'!$D$4:$D$503,(_calc!$E$241-500))))=0,"","Serial: "&amp;IF(LEN(INDEX('My equipment'!$D$4:$D$503,(_calc!$E$241-500)))=0,"",INDEX('My equipment'!$D$4:$D$503,(_calc!$E$241-500)))&amp;". ")&amp;IF(LEN(IF(ISNUMBER(INDEX('My equipment'!$J$4:$J$503,(_calc!$E$241-500))),TEXT(INDEX('My equipment'!$J$4:$J$503,(_calc!$E$241-500)),"yyyy-mm-dd"),""))=0,"","Parts end: "&amp;IF(ISNUMBER(INDEX('My equipment'!$J$4:$J$503,(_calc!$E$241-500))),TEXT(INDEX('My equipment'!$J$4:$J$503,(_calc!$E$241-500)),"yyyy-mm-dd"),"")&amp;". ")&amp;IF(LEN(IF(ISNUMBER(INDEX('My equipment'!$L$4:$L$503,(_calc!$E$241-500))),TEXT(INDEX('My equipment'!$L$4:$L$503,(_calc!$E$241-500)),"yyyy-mm-dd"),""))=0,"","Labor end: "&amp;IF(ISNUMBER(INDEX('My equipment'!$L$4:$L$503,(_calc!$E$241-500))),TEXT(INDEX('My equipment'!$L$4:$L$503,(_calc!$E$241-500)),"yyyy-mm-dd"),"")&amp;". ")&amp;IF(LEN(IF(ISNUMBER(INDEX('My equipment'!$P$4:$P$503,(_calc!$E$241-500))),TEXT(INDEX('My equipment'!$P$4:$P$503,(_calc!$E$241-500)),"yyyy-mm-dd"),""))=0,"","Check by: "&amp;IF(ISNUMBER(INDEX('My equipment'!$P$4:$P$503,(_calc!$E$241-500))),TEXT(INDEX('My equipment'!$P$4:$P$503,(_calc!$E$241-500)),"yyyy-mm-dd"),"")&amp;". ")&amp;IF(LEN(IF(LEN(INDEX('My equipment'!$Q$4:$Q$503,(_calc!$E$241-500)))=0,"",INDEX('My equipment'!$Q$4:$Q$503,(_calc!$E$241-500))))=0,"","Claim status: "&amp;IF(LEN(INDEX('My equipment'!$Q$4:$Q$503,(_calc!$E$241-500)))=0,"",INDEX('My equipment'!$Q$4:$Q$503,(_calc!$E$241-500)))&amp;". ")&amp;IF(LEN(IF(LEN(INDEX('My equipment'!$R$4:$R$503,(_calc!$E$241-500)))=0,"",INDEX('My equipment'!$R$4:$R$503,(_calc!$E$241-500))))=0,"","Claims contact: "&amp;IF(LEN(INDEX('My equipment'!$R$4:$R$503,(_calc!$E$241-500)))=0,"",INDEX('My equipment'!$R$4:$R$503,(_calc!$E$241-500)))&amp;". ")&amp;IF(LEN(IF(LEN(INDEX('My equipment'!$S$4:$S$503,(_calc!$E$241-500)))=0,"",INDEX('My equipment'!$S$4:$S$503,(_calc!$E$241-500))))=0,"","Claims email: "&amp;IF(LEN(INDEX('My equipment'!$S$4:$S$503,(_calc!$E$241-500)))=0,"",INDEX('My equipment'!$S$4:$S$503,(_calc!$E$241-500)))&amp;". ")&amp;IF(LEN(IF(LEN(INDEX('My equipment'!$U$4:$U$503,(_calc!$E$241-500)))=0,"",INDEX('My equipment'!$U$4:$U$503,(_calc!$E$241-500))))=0,"","Registered: "&amp;IF(LEN(INDEX('My equipment'!$U$4:$U$503,(_calc!$E$241-500)))=0,"",INDEX('My equipment'!$U$4:$U$503,(_calc!$E$241-500)))&amp;". ")&amp;IF(LEN(IF(LEN(INDEX('My equipment'!$V$4:$V$503,(_calc!$E$241-500)))=0,"",INDEX('My equipment'!$V$4:$V$503,(_calc!$E$241-500))))=0,"","Proof on file: "&amp;IF(LEN(INDEX('My equipment'!$V$4:$V$503,(_calc!$E$241-500)))=0,"",INDEX('My equipment'!$V$4:$V$503,(_calc!$E$241-500)))&amp;". ")&amp;IF(LEN(IF(LEN(INDEX('My equipment'!$W$4:$W$503,(_calc!$E$241-500)))=0,"",INDEX('My equipment'!$W$4:$W$503,(_calc!$E$241-500))))=0,"","Claim ref: "&amp;IF(LEN(INDEX('My equipment'!$W$4:$W$503,(_calc!$E$241-500)))=0,"",INDEX('My equipment'!$W$4:$W$503,(_calc!$E$241-500)))&amp;". ")&amp;IF(LEN(IF(LEN(INDEX('My equipment'!$Y$4:$Y$503,(_calc!$E$241-500)))=0,"",INDEX('My equipment'!$Y$4:$Y$503,(_calc!$E$241-500))))=0,"",IF(LEN(INDEX('My equipment'!$Y$4:$Y$503,(_calc!$E$241-500)))=0,"",INDEX('My equipment'!$Y$4:$Y$503,(_calc!$E$241-500)))))))</f>
        <v/>
      </c>
      <c r="G239" s="54">
        <f>IF(_calc!$E$241="","",IF(_calc!$E$241&lt;=500,"",IF(LEN(INDEX('My equipment'!$X$4:$X$503,(_calc!$E$241-500)))=0,"",INDEX('My equipment'!$X$4:$X$503,(_calc!$E$241-500)))))</f>
        <v/>
      </c>
      <c r="K239" s="54">
        <f>IF(_calc!$E$241="","",IF(_calc!$E$241&lt;=500,"",IF(LEN(INDEX('My equipment'!$T$4:$T$503,(_calc!$E$241-500)))=0,"",INDEX('My equipment'!$T$4:$T$503,(_calc!$E$241-500)))))</f>
        <v/>
      </c>
    </row>
    <row r="240">
      <c r="A240" s="54">
        <f>IF(_calc!$E$242="","",IF(_calc!$E$242&lt;=500,"Warranty – "&amp;IF(LEN(INDEX('Dealer pipeline'!$C$4:$C$503,_calc!$E$242))=0,"",INDEX('Dealer pipeline'!$C$4:$C$503,_calc!$E$242))&amp;" – "&amp;IF(LEN(INDEX('Dealer pipeline'!$D$4:$D$503,_calc!$E$242))=0,"",INDEX('Dealer pipeline'!$D$4:$D$503,_calc!$E$242))&amp;" – "&amp;IF(LEN(INDEX('Dealer pipeline'!$A$4:$A$503,_calc!$E$242))=0,"",INDEX('Dealer pipeline'!$A$4:$A$503,_calc!$E$242)),"Warranty – "&amp;IF(LEN(INDEX('My equipment'!$A$4:$A$503,(_calc!$E$242-500)))=0,"",INDEX('My equipment'!$A$4:$A$503,(_calc!$E$242-500)))&amp;" – "&amp;IF(LEN(INDEX('My equipment'!$D$4:$D$503,(_calc!$E$242-500)))=0,"",INDEX('My equipment'!$D$4:$D$503,(_calc!$E$242-500)))))</f>
        <v/>
      </c>
      <c r="B240" s="54">
        <f>IF(_calc!$E$242="","",IF(_calc!$E$242&lt;=500,IF(ISNUMBER(INDEX('Dealer pipeline'!$M$4:$M$503,_calc!$E$242)),TEXT(INDEX('Dealer pipeline'!$M$4:$M$503,_calc!$E$242),"yyyy-mm-dd"),""),IF(ISNUMBER(INDEX('My equipment'!$M$4:$M$503,(_calc!$E$242-500))),TEXT(INDEX('My equipment'!$M$4:$M$503,(_calc!$E$242-500)),"yyyy-mm-dd"),"")))</f>
        <v/>
      </c>
      <c r="C240" s="54">
        <f>IF(_calc!$E$242="","",IF(_calc!$E$242&lt;=500,"Warranty","Warranty"))</f>
        <v/>
      </c>
      <c r="D240" s="54">
        <f>IF(_calc!$E$242="","",IF(_calc!$E$242&lt;=500,IF(ISNUMBER(INDEX('Dealer pipeline'!$H$4:$H$503,_calc!$E$242)),TEXT(INDEX('Dealer pipeline'!$H$4:$H$503,_calc!$E$242),"yyyy-mm-dd"),""),IF(ISNUMBER(INDEX('My equipment'!$H$4:$H$503,(_calc!$E$242-500))),TEXT(INDEX('My equipment'!$H$4:$H$503,(_calc!$E$242-500)),"yyyy-mm-dd"),"")))</f>
        <v/>
      </c>
      <c r="F240" s="54">
        <f>IF(_calc!$E$242="","",IF(_calc!$E$242&lt;=500,TRIM(IF(LEN(IF(LEN(INDEX('Dealer pipeline'!$A$4:$A$503,_calc!$E$242))=0,"",INDEX('Dealer pipeline'!$A$4:$A$503,_calc!$E$242)))=0,"","Customer: "&amp;IF(LEN(INDEX('Dealer pipeline'!$A$4:$A$503,_calc!$E$242))=0,"",INDEX('Dealer pipeline'!$A$4:$A$503,_calc!$E$242))&amp;". ")&amp;IF(LEN(IF(LEN(INDEX('Dealer pipeline'!$B$4:$B$503,_calc!$E$242))=0,"",INDEX('Dealer pipeline'!$B$4:$B$503,_calc!$E$242)))=0,"","Contact: "&amp;IF(LEN(INDEX('Dealer pipeline'!$B$4:$B$503,_calc!$E$242))=0,"",INDEX('Dealer pipeline'!$B$4:$B$503,_calc!$E$242))&amp;". ")&amp;IF(LEN(IF(LEN(INDEX('Dealer pipeline'!$D$4:$D$503,_calc!$E$242))=0,"",INDEX('Dealer pipeline'!$D$4:$D$503,_calc!$E$242)))=0,"","Serial: "&amp;IF(LEN(INDEX('Dealer pipeline'!$D$4:$D$503,_calc!$E$242))=0,"",INDEX('Dealer pipeline'!$D$4:$D$503,_calc!$E$242))&amp;". ")&amp;IF(LEN(IF(ISNUMBER(INDEX('Dealer pipeline'!$J$4:$J$503,_calc!$E$242)),TEXT(INDEX('Dealer pipeline'!$J$4:$J$503,_calc!$E$242),"yyyy-mm-dd"),""))=0,"","Parts end: "&amp;IF(ISNUMBER(INDEX('Dealer pipeline'!$J$4:$J$503,_calc!$E$242)),TEXT(INDEX('Dealer pipeline'!$J$4:$J$503,_calc!$E$242),"yyyy-mm-dd"),"")&amp;". ")&amp;IF(LEN(IF(ISNUMBER(INDEX('Dealer pipeline'!$L$4:$L$503,_calc!$E$242)),TEXT(INDEX('Dealer pipeline'!$L$4:$L$503,_calc!$E$242),"yyyy-mm-dd"),""))=0,"","Labor end: "&amp;IF(ISNUMBER(INDEX('Dealer pipeline'!$L$4:$L$503,_calc!$E$242)),TEXT(INDEX('Dealer pipeline'!$L$4:$L$503,_calc!$E$242),"yyyy-mm-dd"),"")&amp;". ")&amp;IF(LEN(IF(LEN(INDEX('Dealer pipeline'!$Q$4:$Q$503,_calc!$E$242))=0,"",INDEX('Dealer pipeline'!$Q$4:$Q$503,_calc!$E$242)))=0,"","Status: "&amp;IF(LEN(INDEX('Dealer pipeline'!$Q$4:$Q$503,_calc!$E$242))=0,"",INDEX('Dealer pipeline'!$Q$4:$Q$503,_calc!$E$242))&amp;". ")&amp;IF(LEN(IF(LEN(INDEX('Dealer pipeline'!$P$4:$P$503,_calc!$E$242))=0,"",INDEX('Dealer pipeline'!$P$4:$P$503,_calc!$E$242)))=0,"","Last touch: "&amp;IF(LEN(INDEX('Dealer pipeline'!$P$4:$P$503,_calc!$E$242))=0,"",INDEX('Dealer pipeline'!$P$4:$P$503,_calc!$E$242))&amp;". ")&amp;IF(LEN(IF(LEN(INDEX('Dealer pipeline'!$R$4:$R$503,_calc!$E$242))=0,"",INDEX('Dealer pipeline'!$R$4:$R$503,_calc!$E$242)))=0,"","Owner: "&amp;IF(LEN(INDEX('Dealer pipeline'!$R$4:$R$503,_calc!$E$242))=0,"",INDEX('Dealer pipeline'!$R$4:$R$503,_calc!$E$242))&amp;". ")&amp;IF(LEN(IF(LEN(INDEX('Dealer pipeline'!$S$4:$S$503,_calc!$E$242))=0,"",INDEX('Dealer pipeline'!$S$4:$S$503,_calc!$E$242)))=0,"","Backup: "&amp;IF(LEN(INDEX('Dealer pipeline'!$S$4:$S$503,_calc!$E$242))=0,"",INDEX('Dealer pipeline'!$S$4:$S$503,_calc!$E$242))&amp;". ")&amp;IF(LEN(IF(LEN(INDEX('Dealer pipeline'!$T$4:$T$503,_calc!$E$242))=0,"",INDEX('Dealer pipeline'!$T$4:$T$503,_calc!$E$242)))=0,"",IF(LEN(INDEX('Dealer pipeline'!$T$4:$T$503,_calc!$E$242))=0,"",INDEX('Dealer pipeline'!$T$4:$T$503,_calc!$E$242)))),TRIM(IF(LEN(IF(LEN(INDEX('My equipment'!$C$4:$C$503,(_calc!$E$242-500)))=0,"",INDEX('My equipment'!$C$4:$C$503,(_calc!$E$242-500))))=0,"","Model: "&amp;IF(LEN(INDEX('My equipment'!$C$4:$C$503,(_calc!$E$242-500)))=0,"",INDEX('My equipment'!$C$4:$C$503,(_calc!$E$242-500)))&amp;". ")&amp;IF(LEN(IF(LEN(INDEX('My equipment'!$D$4:$D$503,(_calc!$E$242-500)))=0,"",INDEX('My equipment'!$D$4:$D$503,(_calc!$E$242-500))))=0,"","Serial: "&amp;IF(LEN(INDEX('My equipment'!$D$4:$D$503,(_calc!$E$242-500)))=0,"",INDEX('My equipment'!$D$4:$D$503,(_calc!$E$242-500)))&amp;". ")&amp;IF(LEN(IF(ISNUMBER(INDEX('My equipment'!$J$4:$J$503,(_calc!$E$242-500))),TEXT(INDEX('My equipment'!$J$4:$J$503,(_calc!$E$242-500)),"yyyy-mm-dd"),""))=0,"","Parts end: "&amp;IF(ISNUMBER(INDEX('My equipment'!$J$4:$J$503,(_calc!$E$242-500))),TEXT(INDEX('My equipment'!$J$4:$J$503,(_calc!$E$242-500)),"yyyy-mm-dd"),"")&amp;". ")&amp;IF(LEN(IF(ISNUMBER(INDEX('My equipment'!$L$4:$L$503,(_calc!$E$242-500))),TEXT(INDEX('My equipment'!$L$4:$L$503,(_calc!$E$242-500)),"yyyy-mm-dd"),""))=0,"","Labor end: "&amp;IF(ISNUMBER(INDEX('My equipment'!$L$4:$L$503,(_calc!$E$242-500))),TEXT(INDEX('My equipment'!$L$4:$L$503,(_calc!$E$242-500)),"yyyy-mm-dd"),"")&amp;". ")&amp;IF(LEN(IF(ISNUMBER(INDEX('My equipment'!$P$4:$P$503,(_calc!$E$242-500))),TEXT(INDEX('My equipment'!$P$4:$P$503,(_calc!$E$242-500)),"yyyy-mm-dd"),""))=0,"","Check by: "&amp;IF(ISNUMBER(INDEX('My equipment'!$P$4:$P$503,(_calc!$E$242-500))),TEXT(INDEX('My equipment'!$P$4:$P$503,(_calc!$E$242-500)),"yyyy-mm-dd"),"")&amp;". ")&amp;IF(LEN(IF(LEN(INDEX('My equipment'!$Q$4:$Q$503,(_calc!$E$242-500)))=0,"",INDEX('My equipment'!$Q$4:$Q$503,(_calc!$E$242-500))))=0,"","Claim status: "&amp;IF(LEN(INDEX('My equipment'!$Q$4:$Q$503,(_calc!$E$242-500)))=0,"",INDEX('My equipment'!$Q$4:$Q$503,(_calc!$E$242-500)))&amp;". ")&amp;IF(LEN(IF(LEN(INDEX('My equipment'!$R$4:$R$503,(_calc!$E$242-500)))=0,"",INDEX('My equipment'!$R$4:$R$503,(_calc!$E$242-500))))=0,"","Claims contact: "&amp;IF(LEN(INDEX('My equipment'!$R$4:$R$503,(_calc!$E$242-500)))=0,"",INDEX('My equipment'!$R$4:$R$503,(_calc!$E$242-500)))&amp;". ")&amp;IF(LEN(IF(LEN(INDEX('My equipment'!$S$4:$S$503,(_calc!$E$242-500)))=0,"",INDEX('My equipment'!$S$4:$S$503,(_calc!$E$242-500))))=0,"","Claims email: "&amp;IF(LEN(INDEX('My equipment'!$S$4:$S$503,(_calc!$E$242-500)))=0,"",INDEX('My equipment'!$S$4:$S$503,(_calc!$E$242-500)))&amp;". ")&amp;IF(LEN(IF(LEN(INDEX('My equipment'!$U$4:$U$503,(_calc!$E$242-500)))=0,"",INDEX('My equipment'!$U$4:$U$503,(_calc!$E$242-500))))=0,"","Registered: "&amp;IF(LEN(INDEX('My equipment'!$U$4:$U$503,(_calc!$E$242-500)))=0,"",INDEX('My equipment'!$U$4:$U$503,(_calc!$E$242-500)))&amp;". ")&amp;IF(LEN(IF(LEN(INDEX('My equipment'!$V$4:$V$503,(_calc!$E$242-500)))=0,"",INDEX('My equipment'!$V$4:$V$503,(_calc!$E$242-500))))=0,"","Proof on file: "&amp;IF(LEN(INDEX('My equipment'!$V$4:$V$503,(_calc!$E$242-500)))=0,"",INDEX('My equipment'!$V$4:$V$503,(_calc!$E$242-500)))&amp;". ")&amp;IF(LEN(IF(LEN(INDEX('My equipment'!$W$4:$W$503,(_calc!$E$242-500)))=0,"",INDEX('My equipment'!$W$4:$W$503,(_calc!$E$242-500))))=0,"","Claim ref: "&amp;IF(LEN(INDEX('My equipment'!$W$4:$W$503,(_calc!$E$242-500)))=0,"",INDEX('My equipment'!$W$4:$W$503,(_calc!$E$242-500)))&amp;". ")&amp;IF(LEN(IF(LEN(INDEX('My equipment'!$Y$4:$Y$503,(_calc!$E$242-500)))=0,"",INDEX('My equipment'!$Y$4:$Y$503,(_calc!$E$242-500))))=0,"",IF(LEN(INDEX('My equipment'!$Y$4:$Y$503,(_calc!$E$242-500)))=0,"",INDEX('My equipment'!$Y$4:$Y$503,(_calc!$E$242-500)))))))</f>
        <v/>
      </c>
      <c r="G240" s="54">
        <f>IF(_calc!$E$242="","",IF(_calc!$E$242&lt;=500,"",IF(LEN(INDEX('My equipment'!$X$4:$X$503,(_calc!$E$242-500)))=0,"",INDEX('My equipment'!$X$4:$X$503,(_calc!$E$242-500)))))</f>
        <v/>
      </c>
      <c r="K240" s="54">
        <f>IF(_calc!$E$242="","",IF(_calc!$E$242&lt;=500,"",IF(LEN(INDEX('My equipment'!$T$4:$T$503,(_calc!$E$242-500)))=0,"",INDEX('My equipment'!$T$4:$T$503,(_calc!$E$242-500)))))</f>
        <v/>
      </c>
    </row>
    <row r="241">
      <c r="A241" s="54">
        <f>IF(_calc!$E$243="","",IF(_calc!$E$243&lt;=500,"Warranty – "&amp;IF(LEN(INDEX('Dealer pipeline'!$C$4:$C$503,_calc!$E$243))=0,"",INDEX('Dealer pipeline'!$C$4:$C$503,_calc!$E$243))&amp;" – "&amp;IF(LEN(INDEX('Dealer pipeline'!$D$4:$D$503,_calc!$E$243))=0,"",INDEX('Dealer pipeline'!$D$4:$D$503,_calc!$E$243))&amp;" – "&amp;IF(LEN(INDEX('Dealer pipeline'!$A$4:$A$503,_calc!$E$243))=0,"",INDEX('Dealer pipeline'!$A$4:$A$503,_calc!$E$243)),"Warranty – "&amp;IF(LEN(INDEX('My equipment'!$A$4:$A$503,(_calc!$E$243-500)))=0,"",INDEX('My equipment'!$A$4:$A$503,(_calc!$E$243-500)))&amp;" – "&amp;IF(LEN(INDEX('My equipment'!$D$4:$D$503,(_calc!$E$243-500)))=0,"",INDEX('My equipment'!$D$4:$D$503,(_calc!$E$243-500)))))</f>
        <v/>
      </c>
      <c r="B241" s="54">
        <f>IF(_calc!$E$243="","",IF(_calc!$E$243&lt;=500,IF(ISNUMBER(INDEX('Dealer pipeline'!$M$4:$M$503,_calc!$E$243)),TEXT(INDEX('Dealer pipeline'!$M$4:$M$503,_calc!$E$243),"yyyy-mm-dd"),""),IF(ISNUMBER(INDEX('My equipment'!$M$4:$M$503,(_calc!$E$243-500))),TEXT(INDEX('My equipment'!$M$4:$M$503,(_calc!$E$243-500)),"yyyy-mm-dd"),"")))</f>
        <v/>
      </c>
      <c r="C241" s="54">
        <f>IF(_calc!$E$243="","",IF(_calc!$E$243&lt;=500,"Warranty","Warranty"))</f>
        <v/>
      </c>
      <c r="D241" s="54">
        <f>IF(_calc!$E$243="","",IF(_calc!$E$243&lt;=500,IF(ISNUMBER(INDEX('Dealer pipeline'!$H$4:$H$503,_calc!$E$243)),TEXT(INDEX('Dealer pipeline'!$H$4:$H$503,_calc!$E$243),"yyyy-mm-dd"),""),IF(ISNUMBER(INDEX('My equipment'!$H$4:$H$503,(_calc!$E$243-500))),TEXT(INDEX('My equipment'!$H$4:$H$503,(_calc!$E$243-500)),"yyyy-mm-dd"),"")))</f>
        <v/>
      </c>
      <c r="F241" s="54">
        <f>IF(_calc!$E$243="","",IF(_calc!$E$243&lt;=500,TRIM(IF(LEN(IF(LEN(INDEX('Dealer pipeline'!$A$4:$A$503,_calc!$E$243))=0,"",INDEX('Dealer pipeline'!$A$4:$A$503,_calc!$E$243)))=0,"","Customer: "&amp;IF(LEN(INDEX('Dealer pipeline'!$A$4:$A$503,_calc!$E$243))=0,"",INDEX('Dealer pipeline'!$A$4:$A$503,_calc!$E$243))&amp;". ")&amp;IF(LEN(IF(LEN(INDEX('Dealer pipeline'!$B$4:$B$503,_calc!$E$243))=0,"",INDEX('Dealer pipeline'!$B$4:$B$503,_calc!$E$243)))=0,"","Contact: "&amp;IF(LEN(INDEX('Dealer pipeline'!$B$4:$B$503,_calc!$E$243))=0,"",INDEX('Dealer pipeline'!$B$4:$B$503,_calc!$E$243))&amp;". ")&amp;IF(LEN(IF(LEN(INDEX('Dealer pipeline'!$D$4:$D$503,_calc!$E$243))=0,"",INDEX('Dealer pipeline'!$D$4:$D$503,_calc!$E$243)))=0,"","Serial: "&amp;IF(LEN(INDEX('Dealer pipeline'!$D$4:$D$503,_calc!$E$243))=0,"",INDEX('Dealer pipeline'!$D$4:$D$503,_calc!$E$243))&amp;". ")&amp;IF(LEN(IF(ISNUMBER(INDEX('Dealer pipeline'!$J$4:$J$503,_calc!$E$243)),TEXT(INDEX('Dealer pipeline'!$J$4:$J$503,_calc!$E$243),"yyyy-mm-dd"),""))=0,"","Parts end: "&amp;IF(ISNUMBER(INDEX('Dealer pipeline'!$J$4:$J$503,_calc!$E$243)),TEXT(INDEX('Dealer pipeline'!$J$4:$J$503,_calc!$E$243),"yyyy-mm-dd"),"")&amp;". ")&amp;IF(LEN(IF(ISNUMBER(INDEX('Dealer pipeline'!$L$4:$L$503,_calc!$E$243)),TEXT(INDEX('Dealer pipeline'!$L$4:$L$503,_calc!$E$243),"yyyy-mm-dd"),""))=0,"","Labor end: "&amp;IF(ISNUMBER(INDEX('Dealer pipeline'!$L$4:$L$503,_calc!$E$243)),TEXT(INDEX('Dealer pipeline'!$L$4:$L$503,_calc!$E$243),"yyyy-mm-dd"),"")&amp;". ")&amp;IF(LEN(IF(LEN(INDEX('Dealer pipeline'!$Q$4:$Q$503,_calc!$E$243))=0,"",INDEX('Dealer pipeline'!$Q$4:$Q$503,_calc!$E$243)))=0,"","Status: "&amp;IF(LEN(INDEX('Dealer pipeline'!$Q$4:$Q$503,_calc!$E$243))=0,"",INDEX('Dealer pipeline'!$Q$4:$Q$503,_calc!$E$243))&amp;". ")&amp;IF(LEN(IF(LEN(INDEX('Dealer pipeline'!$P$4:$P$503,_calc!$E$243))=0,"",INDEX('Dealer pipeline'!$P$4:$P$503,_calc!$E$243)))=0,"","Last touch: "&amp;IF(LEN(INDEX('Dealer pipeline'!$P$4:$P$503,_calc!$E$243))=0,"",INDEX('Dealer pipeline'!$P$4:$P$503,_calc!$E$243))&amp;". ")&amp;IF(LEN(IF(LEN(INDEX('Dealer pipeline'!$R$4:$R$503,_calc!$E$243))=0,"",INDEX('Dealer pipeline'!$R$4:$R$503,_calc!$E$243)))=0,"","Owner: "&amp;IF(LEN(INDEX('Dealer pipeline'!$R$4:$R$503,_calc!$E$243))=0,"",INDEX('Dealer pipeline'!$R$4:$R$503,_calc!$E$243))&amp;". ")&amp;IF(LEN(IF(LEN(INDEX('Dealer pipeline'!$S$4:$S$503,_calc!$E$243))=0,"",INDEX('Dealer pipeline'!$S$4:$S$503,_calc!$E$243)))=0,"","Backup: "&amp;IF(LEN(INDEX('Dealer pipeline'!$S$4:$S$503,_calc!$E$243))=0,"",INDEX('Dealer pipeline'!$S$4:$S$503,_calc!$E$243))&amp;". ")&amp;IF(LEN(IF(LEN(INDEX('Dealer pipeline'!$T$4:$T$503,_calc!$E$243))=0,"",INDEX('Dealer pipeline'!$T$4:$T$503,_calc!$E$243)))=0,"",IF(LEN(INDEX('Dealer pipeline'!$T$4:$T$503,_calc!$E$243))=0,"",INDEX('Dealer pipeline'!$T$4:$T$503,_calc!$E$243)))),TRIM(IF(LEN(IF(LEN(INDEX('My equipment'!$C$4:$C$503,(_calc!$E$243-500)))=0,"",INDEX('My equipment'!$C$4:$C$503,(_calc!$E$243-500))))=0,"","Model: "&amp;IF(LEN(INDEX('My equipment'!$C$4:$C$503,(_calc!$E$243-500)))=0,"",INDEX('My equipment'!$C$4:$C$503,(_calc!$E$243-500)))&amp;". ")&amp;IF(LEN(IF(LEN(INDEX('My equipment'!$D$4:$D$503,(_calc!$E$243-500)))=0,"",INDEX('My equipment'!$D$4:$D$503,(_calc!$E$243-500))))=0,"","Serial: "&amp;IF(LEN(INDEX('My equipment'!$D$4:$D$503,(_calc!$E$243-500)))=0,"",INDEX('My equipment'!$D$4:$D$503,(_calc!$E$243-500)))&amp;". ")&amp;IF(LEN(IF(ISNUMBER(INDEX('My equipment'!$J$4:$J$503,(_calc!$E$243-500))),TEXT(INDEX('My equipment'!$J$4:$J$503,(_calc!$E$243-500)),"yyyy-mm-dd"),""))=0,"","Parts end: "&amp;IF(ISNUMBER(INDEX('My equipment'!$J$4:$J$503,(_calc!$E$243-500))),TEXT(INDEX('My equipment'!$J$4:$J$503,(_calc!$E$243-500)),"yyyy-mm-dd"),"")&amp;". ")&amp;IF(LEN(IF(ISNUMBER(INDEX('My equipment'!$L$4:$L$503,(_calc!$E$243-500))),TEXT(INDEX('My equipment'!$L$4:$L$503,(_calc!$E$243-500)),"yyyy-mm-dd"),""))=0,"","Labor end: "&amp;IF(ISNUMBER(INDEX('My equipment'!$L$4:$L$503,(_calc!$E$243-500))),TEXT(INDEX('My equipment'!$L$4:$L$503,(_calc!$E$243-500)),"yyyy-mm-dd"),"")&amp;". ")&amp;IF(LEN(IF(ISNUMBER(INDEX('My equipment'!$P$4:$P$503,(_calc!$E$243-500))),TEXT(INDEX('My equipment'!$P$4:$P$503,(_calc!$E$243-500)),"yyyy-mm-dd"),""))=0,"","Check by: "&amp;IF(ISNUMBER(INDEX('My equipment'!$P$4:$P$503,(_calc!$E$243-500))),TEXT(INDEX('My equipment'!$P$4:$P$503,(_calc!$E$243-500)),"yyyy-mm-dd"),"")&amp;". ")&amp;IF(LEN(IF(LEN(INDEX('My equipment'!$Q$4:$Q$503,(_calc!$E$243-500)))=0,"",INDEX('My equipment'!$Q$4:$Q$503,(_calc!$E$243-500))))=0,"","Claim status: "&amp;IF(LEN(INDEX('My equipment'!$Q$4:$Q$503,(_calc!$E$243-500)))=0,"",INDEX('My equipment'!$Q$4:$Q$503,(_calc!$E$243-500)))&amp;". ")&amp;IF(LEN(IF(LEN(INDEX('My equipment'!$R$4:$R$503,(_calc!$E$243-500)))=0,"",INDEX('My equipment'!$R$4:$R$503,(_calc!$E$243-500))))=0,"","Claims contact: "&amp;IF(LEN(INDEX('My equipment'!$R$4:$R$503,(_calc!$E$243-500)))=0,"",INDEX('My equipment'!$R$4:$R$503,(_calc!$E$243-500)))&amp;". ")&amp;IF(LEN(IF(LEN(INDEX('My equipment'!$S$4:$S$503,(_calc!$E$243-500)))=0,"",INDEX('My equipment'!$S$4:$S$503,(_calc!$E$243-500))))=0,"","Claims email: "&amp;IF(LEN(INDEX('My equipment'!$S$4:$S$503,(_calc!$E$243-500)))=0,"",INDEX('My equipment'!$S$4:$S$503,(_calc!$E$243-500)))&amp;". ")&amp;IF(LEN(IF(LEN(INDEX('My equipment'!$U$4:$U$503,(_calc!$E$243-500)))=0,"",INDEX('My equipment'!$U$4:$U$503,(_calc!$E$243-500))))=0,"","Registered: "&amp;IF(LEN(INDEX('My equipment'!$U$4:$U$503,(_calc!$E$243-500)))=0,"",INDEX('My equipment'!$U$4:$U$503,(_calc!$E$243-500)))&amp;". ")&amp;IF(LEN(IF(LEN(INDEX('My equipment'!$V$4:$V$503,(_calc!$E$243-500)))=0,"",INDEX('My equipment'!$V$4:$V$503,(_calc!$E$243-500))))=0,"","Proof on file: "&amp;IF(LEN(INDEX('My equipment'!$V$4:$V$503,(_calc!$E$243-500)))=0,"",INDEX('My equipment'!$V$4:$V$503,(_calc!$E$243-500)))&amp;". ")&amp;IF(LEN(IF(LEN(INDEX('My equipment'!$W$4:$W$503,(_calc!$E$243-500)))=0,"",INDEX('My equipment'!$W$4:$W$503,(_calc!$E$243-500))))=0,"","Claim ref: "&amp;IF(LEN(INDEX('My equipment'!$W$4:$W$503,(_calc!$E$243-500)))=0,"",INDEX('My equipment'!$W$4:$W$503,(_calc!$E$243-500)))&amp;". ")&amp;IF(LEN(IF(LEN(INDEX('My equipment'!$Y$4:$Y$503,(_calc!$E$243-500)))=0,"",INDEX('My equipment'!$Y$4:$Y$503,(_calc!$E$243-500))))=0,"",IF(LEN(INDEX('My equipment'!$Y$4:$Y$503,(_calc!$E$243-500)))=0,"",INDEX('My equipment'!$Y$4:$Y$503,(_calc!$E$243-500)))))))</f>
        <v/>
      </c>
      <c r="G241" s="54">
        <f>IF(_calc!$E$243="","",IF(_calc!$E$243&lt;=500,"",IF(LEN(INDEX('My equipment'!$X$4:$X$503,(_calc!$E$243-500)))=0,"",INDEX('My equipment'!$X$4:$X$503,(_calc!$E$243-500)))))</f>
        <v/>
      </c>
      <c r="K241" s="54">
        <f>IF(_calc!$E$243="","",IF(_calc!$E$243&lt;=500,"",IF(LEN(INDEX('My equipment'!$T$4:$T$503,(_calc!$E$243-500)))=0,"",INDEX('My equipment'!$T$4:$T$503,(_calc!$E$243-500)))))</f>
        <v/>
      </c>
    </row>
    <row r="242">
      <c r="A242" s="54">
        <f>IF(_calc!$E$244="","",IF(_calc!$E$244&lt;=500,"Warranty – "&amp;IF(LEN(INDEX('Dealer pipeline'!$C$4:$C$503,_calc!$E$244))=0,"",INDEX('Dealer pipeline'!$C$4:$C$503,_calc!$E$244))&amp;" – "&amp;IF(LEN(INDEX('Dealer pipeline'!$D$4:$D$503,_calc!$E$244))=0,"",INDEX('Dealer pipeline'!$D$4:$D$503,_calc!$E$244))&amp;" – "&amp;IF(LEN(INDEX('Dealer pipeline'!$A$4:$A$503,_calc!$E$244))=0,"",INDEX('Dealer pipeline'!$A$4:$A$503,_calc!$E$244)),"Warranty – "&amp;IF(LEN(INDEX('My equipment'!$A$4:$A$503,(_calc!$E$244-500)))=0,"",INDEX('My equipment'!$A$4:$A$503,(_calc!$E$244-500)))&amp;" – "&amp;IF(LEN(INDEX('My equipment'!$D$4:$D$503,(_calc!$E$244-500)))=0,"",INDEX('My equipment'!$D$4:$D$503,(_calc!$E$244-500)))))</f>
        <v/>
      </c>
      <c r="B242" s="54">
        <f>IF(_calc!$E$244="","",IF(_calc!$E$244&lt;=500,IF(ISNUMBER(INDEX('Dealer pipeline'!$M$4:$M$503,_calc!$E$244)),TEXT(INDEX('Dealer pipeline'!$M$4:$M$503,_calc!$E$244),"yyyy-mm-dd"),""),IF(ISNUMBER(INDEX('My equipment'!$M$4:$M$503,(_calc!$E$244-500))),TEXT(INDEX('My equipment'!$M$4:$M$503,(_calc!$E$244-500)),"yyyy-mm-dd"),"")))</f>
        <v/>
      </c>
      <c r="C242" s="54">
        <f>IF(_calc!$E$244="","",IF(_calc!$E$244&lt;=500,"Warranty","Warranty"))</f>
        <v/>
      </c>
      <c r="D242" s="54">
        <f>IF(_calc!$E$244="","",IF(_calc!$E$244&lt;=500,IF(ISNUMBER(INDEX('Dealer pipeline'!$H$4:$H$503,_calc!$E$244)),TEXT(INDEX('Dealer pipeline'!$H$4:$H$503,_calc!$E$244),"yyyy-mm-dd"),""),IF(ISNUMBER(INDEX('My equipment'!$H$4:$H$503,(_calc!$E$244-500))),TEXT(INDEX('My equipment'!$H$4:$H$503,(_calc!$E$244-500)),"yyyy-mm-dd"),"")))</f>
        <v/>
      </c>
      <c r="F242" s="54">
        <f>IF(_calc!$E$244="","",IF(_calc!$E$244&lt;=500,TRIM(IF(LEN(IF(LEN(INDEX('Dealer pipeline'!$A$4:$A$503,_calc!$E$244))=0,"",INDEX('Dealer pipeline'!$A$4:$A$503,_calc!$E$244)))=0,"","Customer: "&amp;IF(LEN(INDEX('Dealer pipeline'!$A$4:$A$503,_calc!$E$244))=0,"",INDEX('Dealer pipeline'!$A$4:$A$503,_calc!$E$244))&amp;". ")&amp;IF(LEN(IF(LEN(INDEX('Dealer pipeline'!$B$4:$B$503,_calc!$E$244))=0,"",INDEX('Dealer pipeline'!$B$4:$B$503,_calc!$E$244)))=0,"","Contact: "&amp;IF(LEN(INDEX('Dealer pipeline'!$B$4:$B$503,_calc!$E$244))=0,"",INDEX('Dealer pipeline'!$B$4:$B$503,_calc!$E$244))&amp;". ")&amp;IF(LEN(IF(LEN(INDEX('Dealer pipeline'!$D$4:$D$503,_calc!$E$244))=0,"",INDEX('Dealer pipeline'!$D$4:$D$503,_calc!$E$244)))=0,"","Serial: "&amp;IF(LEN(INDEX('Dealer pipeline'!$D$4:$D$503,_calc!$E$244))=0,"",INDEX('Dealer pipeline'!$D$4:$D$503,_calc!$E$244))&amp;". ")&amp;IF(LEN(IF(ISNUMBER(INDEX('Dealer pipeline'!$J$4:$J$503,_calc!$E$244)),TEXT(INDEX('Dealer pipeline'!$J$4:$J$503,_calc!$E$244),"yyyy-mm-dd"),""))=0,"","Parts end: "&amp;IF(ISNUMBER(INDEX('Dealer pipeline'!$J$4:$J$503,_calc!$E$244)),TEXT(INDEX('Dealer pipeline'!$J$4:$J$503,_calc!$E$244),"yyyy-mm-dd"),"")&amp;". ")&amp;IF(LEN(IF(ISNUMBER(INDEX('Dealer pipeline'!$L$4:$L$503,_calc!$E$244)),TEXT(INDEX('Dealer pipeline'!$L$4:$L$503,_calc!$E$244),"yyyy-mm-dd"),""))=0,"","Labor end: "&amp;IF(ISNUMBER(INDEX('Dealer pipeline'!$L$4:$L$503,_calc!$E$244)),TEXT(INDEX('Dealer pipeline'!$L$4:$L$503,_calc!$E$244),"yyyy-mm-dd"),"")&amp;". ")&amp;IF(LEN(IF(LEN(INDEX('Dealer pipeline'!$Q$4:$Q$503,_calc!$E$244))=0,"",INDEX('Dealer pipeline'!$Q$4:$Q$503,_calc!$E$244)))=0,"","Status: "&amp;IF(LEN(INDEX('Dealer pipeline'!$Q$4:$Q$503,_calc!$E$244))=0,"",INDEX('Dealer pipeline'!$Q$4:$Q$503,_calc!$E$244))&amp;". ")&amp;IF(LEN(IF(LEN(INDEX('Dealer pipeline'!$P$4:$P$503,_calc!$E$244))=0,"",INDEX('Dealer pipeline'!$P$4:$P$503,_calc!$E$244)))=0,"","Last touch: "&amp;IF(LEN(INDEX('Dealer pipeline'!$P$4:$P$503,_calc!$E$244))=0,"",INDEX('Dealer pipeline'!$P$4:$P$503,_calc!$E$244))&amp;". ")&amp;IF(LEN(IF(LEN(INDEX('Dealer pipeline'!$R$4:$R$503,_calc!$E$244))=0,"",INDEX('Dealer pipeline'!$R$4:$R$503,_calc!$E$244)))=0,"","Owner: "&amp;IF(LEN(INDEX('Dealer pipeline'!$R$4:$R$503,_calc!$E$244))=0,"",INDEX('Dealer pipeline'!$R$4:$R$503,_calc!$E$244))&amp;". ")&amp;IF(LEN(IF(LEN(INDEX('Dealer pipeline'!$S$4:$S$503,_calc!$E$244))=0,"",INDEX('Dealer pipeline'!$S$4:$S$503,_calc!$E$244)))=0,"","Backup: "&amp;IF(LEN(INDEX('Dealer pipeline'!$S$4:$S$503,_calc!$E$244))=0,"",INDEX('Dealer pipeline'!$S$4:$S$503,_calc!$E$244))&amp;". ")&amp;IF(LEN(IF(LEN(INDEX('Dealer pipeline'!$T$4:$T$503,_calc!$E$244))=0,"",INDEX('Dealer pipeline'!$T$4:$T$503,_calc!$E$244)))=0,"",IF(LEN(INDEX('Dealer pipeline'!$T$4:$T$503,_calc!$E$244))=0,"",INDEX('Dealer pipeline'!$T$4:$T$503,_calc!$E$244)))),TRIM(IF(LEN(IF(LEN(INDEX('My equipment'!$C$4:$C$503,(_calc!$E$244-500)))=0,"",INDEX('My equipment'!$C$4:$C$503,(_calc!$E$244-500))))=0,"","Model: "&amp;IF(LEN(INDEX('My equipment'!$C$4:$C$503,(_calc!$E$244-500)))=0,"",INDEX('My equipment'!$C$4:$C$503,(_calc!$E$244-500)))&amp;". ")&amp;IF(LEN(IF(LEN(INDEX('My equipment'!$D$4:$D$503,(_calc!$E$244-500)))=0,"",INDEX('My equipment'!$D$4:$D$503,(_calc!$E$244-500))))=0,"","Serial: "&amp;IF(LEN(INDEX('My equipment'!$D$4:$D$503,(_calc!$E$244-500)))=0,"",INDEX('My equipment'!$D$4:$D$503,(_calc!$E$244-500)))&amp;". ")&amp;IF(LEN(IF(ISNUMBER(INDEX('My equipment'!$J$4:$J$503,(_calc!$E$244-500))),TEXT(INDEX('My equipment'!$J$4:$J$503,(_calc!$E$244-500)),"yyyy-mm-dd"),""))=0,"","Parts end: "&amp;IF(ISNUMBER(INDEX('My equipment'!$J$4:$J$503,(_calc!$E$244-500))),TEXT(INDEX('My equipment'!$J$4:$J$503,(_calc!$E$244-500)),"yyyy-mm-dd"),"")&amp;". ")&amp;IF(LEN(IF(ISNUMBER(INDEX('My equipment'!$L$4:$L$503,(_calc!$E$244-500))),TEXT(INDEX('My equipment'!$L$4:$L$503,(_calc!$E$244-500)),"yyyy-mm-dd"),""))=0,"","Labor end: "&amp;IF(ISNUMBER(INDEX('My equipment'!$L$4:$L$503,(_calc!$E$244-500))),TEXT(INDEX('My equipment'!$L$4:$L$503,(_calc!$E$244-500)),"yyyy-mm-dd"),"")&amp;". ")&amp;IF(LEN(IF(ISNUMBER(INDEX('My equipment'!$P$4:$P$503,(_calc!$E$244-500))),TEXT(INDEX('My equipment'!$P$4:$P$503,(_calc!$E$244-500)),"yyyy-mm-dd"),""))=0,"","Check by: "&amp;IF(ISNUMBER(INDEX('My equipment'!$P$4:$P$503,(_calc!$E$244-500))),TEXT(INDEX('My equipment'!$P$4:$P$503,(_calc!$E$244-500)),"yyyy-mm-dd"),"")&amp;". ")&amp;IF(LEN(IF(LEN(INDEX('My equipment'!$Q$4:$Q$503,(_calc!$E$244-500)))=0,"",INDEX('My equipment'!$Q$4:$Q$503,(_calc!$E$244-500))))=0,"","Claim status: "&amp;IF(LEN(INDEX('My equipment'!$Q$4:$Q$503,(_calc!$E$244-500)))=0,"",INDEX('My equipment'!$Q$4:$Q$503,(_calc!$E$244-500)))&amp;". ")&amp;IF(LEN(IF(LEN(INDEX('My equipment'!$R$4:$R$503,(_calc!$E$244-500)))=0,"",INDEX('My equipment'!$R$4:$R$503,(_calc!$E$244-500))))=0,"","Claims contact: "&amp;IF(LEN(INDEX('My equipment'!$R$4:$R$503,(_calc!$E$244-500)))=0,"",INDEX('My equipment'!$R$4:$R$503,(_calc!$E$244-500)))&amp;". ")&amp;IF(LEN(IF(LEN(INDEX('My equipment'!$S$4:$S$503,(_calc!$E$244-500)))=0,"",INDEX('My equipment'!$S$4:$S$503,(_calc!$E$244-500))))=0,"","Claims email: "&amp;IF(LEN(INDEX('My equipment'!$S$4:$S$503,(_calc!$E$244-500)))=0,"",INDEX('My equipment'!$S$4:$S$503,(_calc!$E$244-500)))&amp;". ")&amp;IF(LEN(IF(LEN(INDEX('My equipment'!$U$4:$U$503,(_calc!$E$244-500)))=0,"",INDEX('My equipment'!$U$4:$U$503,(_calc!$E$244-500))))=0,"","Registered: "&amp;IF(LEN(INDEX('My equipment'!$U$4:$U$503,(_calc!$E$244-500)))=0,"",INDEX('My equipment'!$U$4:$U$503,(_calc!$E$244-500)))&amp;". ")&amp;IF(LEN(IF(LEN(INDEX('My equipment'!$V$4:$V$503,(_calc!$E$244-500)))=0,"",INDEX('My equipment'!$V$4:$V$503,(_calc!$E$244-500))))=0,"","Proof on file: "&amp;IF(LEN(INDEX('My equipment'!$V$4:$V$503,(_calc!$E$244-500)))=0,"",INDEX('My equipment'!$V$4:$V$503,(_calc!$E$244-500)))&amp;". ")&amp;IF(LEN(IF(LEN(INDEX('My equipment'!$W$4:$W$503,(_calc!$E$244-500)))=0,"",INDEX('My equipment'!$W$4:$W$503,(_calc!$E$244-500))))=0,"","Claim ref: "&amp;IF(LEN(INDEX('My equipment'!$W$4:$W$503,(_calc!$E$244-500)))=0,"",INDEX('My equipment'!$W$4:$W$503,(_calc!$E$244-500)))&amp;". ")&amp;IF(LEN(IF(LEN(INDEX('My equipment'!$Y$4:$Y$503,(_calc!$E$244-500)))=0,"",INDEX('My equipment'!$Y$4:$Y$503,(_calc!$E$244-500))))=0,"",IF(LEN(INDEX('My equipment'!$Y$4:$Y$503,(_calc!$E$244-500)))=0,"",INDEX('My equipment'!$Y$4:$Y$503,(_calc!$E$244-500)))))))</f>
        <v/>
      </c>
      <c r="G242" s="54">
        <f>IF(_calc!$E$244="","",IF(_calc!$E$244&lt;=500,"",IF(LEN(INDEX('My equipment'!$X$4:$X$503,(_calc!$E$244-500)))=0,"",INDEX('My equipment'!$X$4:$X$503,(_calc!$E$244-500)))))</f>
        <v/>
      </c>
      <c r="K242" s="54">
        <f>IF(_calc!$E$244="","",IF(_calc!$E$244&lt;=500,"",IF(LEN(INDEX('My equipment'!$T$4:$T$503,(_calc!$E$244-500)))=0,"",INDEX('My equipment'!$T$4:$T$503,(_calc!$E$244-500)))))</f>
        <v/>
      </c>
    </row>
    <row r="243">
      <c r="A243" s="54">
        <f>IF(_calc!$E$245="","",IF(_calc!$E$245&lt;=500,"Warranty – "&amp;IF(LEN(INDEX('Dealer pipeline'!$C$4:$C$503,_calc!$E$245))=0,"",INDEX('Dealer pipeline'!$C$4:$C$503,_calc!$E$245))&amp;" – "&amp;IF(LEN(INDEX('Dealer pipeline'!$D$4:$D$503,_calc!$E$245))=0,"",INDEX('Dealer pipeline'!$D$4:$D$503,_calc!$E$245))&amp;" – "&amp;IF(LEN(INDEX('Dealer pipeline'!$A$4:$A$503,_calc!$E$245))=0,"",INDEX('Dealer pipeline'!$A$4:$A$503,_calc!$E$245)),"Warranty – "&amp;IF(LEN(INDEX('My equipment'!$A$4:$A$503,(_calc!$E$245-500)))=0,"",INDEX('My equipment'!$A$4:$A$503,(_calc!$E$245-500)))&amp;" – "&amp;IF(LEN(INDEX('My equipment'!$D$4:$D$503,(_calc!$E$245-500)))=0,"",INDEX('My equipment'!$D$4:$D$503,(_calc!$E$245-500)))))</f>
        <v/>
      </c>
      <c r="B243" s="54">
        <f>IF(_calc!$E$245="","",IF(_calc!$E$245&lt;=500,IF(ISNUMBER(INDEX('Dealer pipeline'!$M$4:$M$503,_calc!$E$245)),TEXT(INDEX('Dealer pipeline'!$M$4:$M$503,_calc!$E$245),"yyyy-mm-dd"),""),IF(ISNUMBER(INDEX('My equipment'!$M$4:$M$503,(_calc!$E$245-500))),TEXT(INDEX('My equipment'!$M$4:$M$503,(_calc!$E$245-500)),"yyyy-mm-dd"),"")))</f>
        <v/>
      </c>
      <c r="C243" s="54">
        <f>IF(_calc!$E$245="","",IF(_calc!$E$245&lt;=500,"Warranty","Warranty"))</f>
        <v/>
      </c>
      <c r="D243" s="54">
        <f>IF(_calc!$E$245="","",IF(_calc!$E$245&lt;=500,IF(ISNUMBER(INDEX('Dealer pipeline'!$H$4:$H$503,_calc!$E$245)),TEXT(INDEX('Dealer pipeline'!$H$4:$H$503,_calc!$E$245),"yyyy-mm-dd"),""),IF(ISNUMBER(INDEX('My equipment'!$H$4:$H$503,(_calc!$E$245-500))),TEXT(INDEX('My equipment'!$H$4:$H$503,(_calc!$E$245-500)),"yyyy-mm-dd"),"")))</f>
        <v/>
      </c>
      <c r="F243" s="54">
        <f>IF(_calc!$E$245="","",IF(_calc!$E$245&lt;=500,TRIM(IF(LEN(IF(LEN(INDEX('Dealer pipeline'!$A$4:$A$503,_calc!$E$245))=0,"",INDEX('Dealer pipeline'!$A$4:$A$503,_calc!$E$245)))=0,"","Customer: "&amp;IF(LEN(INDEX('Dealer pipeline'!$A$4:$A$503,_calc!$E$245))=0,"",INDEX('Dealer pipeline'!$A$4:$A$503,_calc!$E$245))&amp;". ")&amp;IF(LEN(IF(LEN(INDEX('Dealer pipeline'!$B$4:$B$503,_calc!$E$245))=0,"",INDEX('Dealer pipeline'!$B$4:$B$503,_calc!$E$245)))=0,"","Contact: "&amp;IF(LEN(INDEX('Dealer pipeline'!$B$4:$B$503,_calc!$E$245))=0,"",INDEX('Dealer pipeline'!$B$4:$B$503,_calc!$E$245))&amp;". ")&amp;IF(LEN(IF(LEN(INDEX('Dealer pipeline'!$D$4:$D$503,_calc!$E$245))=0,"",INDEX('Dealer pipeline'!$D$4:$D$503,_calc!$E$245)))=0,"","Serial: "&amp;IF(LEN(INDEX('Dealer pipeline'!$D$4:$D$503,_calc!$E$245))=0,"",INDEX('Dealer pipeline'!$D$4:$D$503,_calc!$E$245))&amp;". ")&amp;IF(LEN(IF(ISNUMBER(INDEX('Dealer pipeline'!$J$4:$J$503,_calc!$E$245)),TEXT(INDEX('Dealer pipeline'!$J$4:$J$503,_calc!$E$245),"yyyy-mm-dd"),""))=0,"","Parts end: "&amp;IF(ISNUMBER(INDEX('Dealer pipeline'!$J$4:$J$503,_calc!$E$245)),TEXT(INDEX('Dealer pipeline'!$J$4:$J$503,_calc!$E$245),"yyyy-mm-dd"),"")&amp;". ")&amp;IF(LEN(IF(ISNUMBER(INDEX('Dealer pipeline'!$L$4:$L$503,_calc!$E$245)),TEXT(INDEX('Dealer pipeline'!$L$4:$L$503,_calc!$E$245),"yyyy-mm-dd"),""))=0,"","Labor end: "&amp;IF(ISNUMBER(INDEX('Dealer pipeline'!$L$4:$L$503,_calc!$E$245)),TEXT(INDEX('Dealer pipeline'!$L$4:$L$503,_calc!$E$245),"yyyy-mm-dd"),"")&amp;". ")&amp;IF(LEN(IF(LEN(INDEX('Dealer pipeline'!$Q$4:$Q$503,_calc!$E$245))=0,"",INDEX('Dealer pipeline'!$Q$4:$Q$503,_calc!$E$245)))=0,"","Status: "&amp;IF(LEN(INDEX('Dealer pipeline'!$Q$4:$Q$503,_calc!$E$245))=0,"",INDEX('Dealer pipeline'!$Q$4:$Q$503,_calc!$E$245))&amp;". ")&amp;IF(LEN(IF(LEN(INDEX('Dealer pipeline'!$P$4:$P$503,_calc!$E$245))=0,"",INDEX('Dealer pipeline'!$P$4:$P$503,_calc!$E$245)))=0,"","Last touch: "&amp;IF(LEN(INDEX('Dealer pipeline'!$P$4:$P$503,_calc!$E$245))=0,"",INDEX('Dealer pipeline'!$P$4:$P$503,_calc!$E$245))&amp;". ")&amp;IF(LEN(IF(LEN(INDEX('Dealer pipeline'!$R$4:$R$503,_calc!$E$245))=0,"",INDEX('Dealer pipeline'!$R$4:$R$503,_calc!$E$245)))=0,"","Owner: "&amp;IF(LEN(INDEX('Dealer pipeline'!$R$4:$R$503,_calc!$E$245))=0,"",INDEX('Dealer pipeline'!$R$4:$R$503,_calc!$E$245))&amp;". ")&amp;IF(LEN(IF(LEN(INDEX('Dealer pipeline'!$S$4:$S$503,_calc!$E$245))=0,"",INDEX('Dealer pipeline'!$S$4:$S$503,_calc!$E$245)))=0,"","Backup: "&amp;IF(LEN(INDEX('Dealer pipeline'!$S$4:$S$503,_calc!$E$245))=0,"",INDEX('Dealer pipeline'!$S$4:$S$503,_calc!$E$245))&amp;". ")&amp;IF(LEN(IF(LEN(INDEX('Dealer pipeline'!$T$4:$T$503,_calc!$E$245))=0,"",INDEX('Dealer pipeline'!$T$4:$T$503,_calc!$E$245)))=0,"",IF(LEN(INDEX('Dealer pipeline'!$T$4:$T$503,_calc!$E$245))=0,"",INDEX('Dealer pipeline'!$T$4:$T$503,_calc!$E$245)))),TRIM(IF(LEN(IF(LEN(INDEX('My equipment'!$C$4:$C$503,(_calc!$E$245-500)))=0,"",INDEX('My equipment'!$C$4:$C$503,(_calc!$E$245-500))))=0,"","Model: "&amp;IF(LEN(INDEX('My equipment'!$C$4:$C$503,(_calc!$E$245-500)))=0,"",INDEX('My equipment'!$C$4:$C$503,(_calc!$E$245-500)))&amp;". ")&amp;IF(LEN(IF(LEN(INDEX('My equipment'!$D$4:$D$503,(_calc!$E$245-500)))=0,"",INDEX('My equipment'!$D$4:$D$503,(_calc!$E$245-500))))=0,"","Serial: "&amp;IF(LEN(INDEX('My equipment'!$D$4:$D$503,(_calc!$E$245-500)))=0,"",INDEX('My equipment'!$D$4:$D$503,(_calc!$E$245-500)))&amp;". ")&amp;IF(LEN(IF(ISNUMBER(INDEX('My equipment'!$J$4:$J$503,(_calc!$E$245-500))),TEXT(INDEX('My equipment'!$J$4:$J$503,(_calc!$E$245-500)),"yyyy-mm-dd"),""))=0,"","Parts end: "&amp;IF(ISNUMBER(INDEX('My equipment'!$J$4:$J$503,(_calc!$E$245-500))),TEXT(INDEX('My equipment'!$J$4:$J$503,(_calc!$E$245-500)),"yyyy-mm-dd"),"")&amp;". ")&amp;IF(LEN(IF(ISNUMBER(INDEX('My equipment'!$L$4:$L$503,(_calc!$E$245-500))),TEXT(INDEX('My equipment'!$L$4:$L$503,(_calc!$E$245-500)),"yyyy-mm-dd"),""))=0,"","Labor end: "&amp;IF(ISNUMBER(INDEX('My equipment'!$L$4:$L$503,(_calc!$E$245-500))),TEXT(INDEX('My equipment'!$L$4:$L$503,(_calc!$E$245-500)),"yyyy-mm-dd"),"")&amp;". ")&amp;IF(LEN(IF(ISNUMBER(INDEX('My equipment'!$P$4:$P$503,(_calc!$E$245-500))),TEXT(INDEX('My equipment'!$P$4:$P$503,(_calc!$E$245-500)),"yyyy-mm-dd"),""))=0,"","Check by: "&amp;IF(ISNUMBER(INDEX('My equipment'!$P$4:$P$503,(_calc!$E$245-500))),TEXT(INDEX('My equipment'!$P$4:$P$503,(_calc!$E$245-500)),"yyyy-mm-dd"),"")&amp;". ")&amp;IF(LEN(IF(LEN(INDEX('My equipment'!$Q$4:$Q$503,(_calc!$E$245-500)))=0,"",INDEX('My equipment'!$Q$4:$Q$503,(_calc!$E$245-500))))=0,"","Claim status: "&amp;IF(LEN(INDEX('My equipment'!$Q$4:$Q$503,(_calc!$E$245-500)))=0,"",INDEX('My equipment'!$Q$4:$Q$503,(_calc!$E$245-500)))&amp;". ")&amp;IF(LEN(IF(LEN(INDEX('My equipment'!$R$4:$R$503,(_calc!$E$245-500)))=0,"",INDEX('My equipment'!$R$4:$R$503,(_calc!$E$245-500))))=0,"","Claims contact: "&amp;IF(LEN(INDEX('My equipment'!$R$4:$R$503,(_calc!$E$245-500)))=0,"",INDEX('My equipment'!$R$4:$R$503,(_calc!$E$245-500)))&amp;". ")&amp;IF(LEN(IF(LEN(INDEX('My equipment'!$S$4:$S$503,(_calc!$E$245-500)))=0,"",INDEX('My equipment'!$S$4:$S$503,(_calc!$E$245-500))))=0,"","Claims email: "&amp;IF(LEN(INDEX('My equipment'!$S$4:$S$503,(_calc!$E$245-500)))=0,"",INDEX('My equipment'!$S$4:$S$503,(_calc!$E$245-500)))&amp;". ")&amp;IF(LEN(IF(LEN(INDEX('My equipment'!$U$4:$U$503,(_calc!$E$245-500)))=0,"",INDEX('My equipment'!$U$4:$U$503,(_calc!$E$245-500))))=0,"","Registered: "&amp;IF(LEN(INDEX('My equipment'!$U$4:$U$503,(_calc!$E$245-500)))=0,"",INDEX('My equipment'!$U$4:$U$503,(_calc!$E$245-500)))&amp;". ")&amp;IF(LEN(IF(LEN(INDEX('My equipment'!$V$4:$V$503,(_calc!$E$245-500)))=0,"",INDEX('My equipment'!$V$4:$V$503,(_calc!$E$245-500))))=0,"","Proof on file: "&amp;IF(LEN(INDEX('My equipment'!$V$4:$V$503,(_calc!$E$245-500)))=0,"",INDEX('My equipment'!$V$4:$V$503,(_calc!$E$245-500)))&amp;". ")&amp;IF(LEN(IF(LEN(INDEX('My equipment'!$W$4:$W$503,(_calc!$E$245-500)))=0,"",INDEX('My equipment'!$W$4:$W$503,(_calc!$E$245-500))))=0,"","Claim ref: "&amp;IF(LEN(INDEX('My equipment'!$W$4:$W$503,(_calc!$E$245-500)))=0,"",INDEX('My equipment'!$W$4:$W$503,(_calc!$E$245-500)))&amp;". ")&amp;IF(LEN(IF(LEN(INDEX('My equipment'!$Y$4:$Y$503,(_calc!$E$245-500)))=0,"",INDEX('My equipment'!$Y$4:$Y$503,(_calc!$E$245-500))))=0,"",IF(LEN(INDEX('My equipment'!$Y$4:$Y$503,(_calc!$E$245-500)))=0,"",INDEX('My equipment'!$Y$4:$Y$503,(_calc!$E$245-500)))))))</f>
        <v/>
      </c>
      <c r="G243" s="54">
        <f>IF(_calc!$E$245="","",IF(_calc!$E$245&lt;=500,"",IF(LEN(INDEX('My equipment'!$X$4:$X$503,(_calc!$E$245-500)))=0,"",INDEX('My equipment'!$X$4:$X$503,(_calc!$E$245-500)))))</f>
        <v/>
      </c>
      <c r="K243" s="54">
        <f>IF(_calc!$E$245="","",IF(_calc!$E$245&lt;=500,"",IF(LEN(INDEX('My equipment'!$T$4:$T$503,(_calc!$E$245-500)))=0,"",INDEX('My equipment'!$T$4:$T$503,(_calc!$E$245-500)))))</f>
        <v/>
      </c>
    </row>
    <row r="244">
      <c r="A244" s="54">
        <f>IF(_calc!$E$246="","",IF(_calc!$E$246&lt;=500,"Warranty – "&amp;IF(LEN(INDEX('Dealer pipeline'!$C$4:$C$503,_calc!$E$246))=0,"",INDEX('Dealer pipeline'!$C$4:$C$503,_calc!$E$246))&amp;" – "&amp;IF(LEN(INDEX('Dealer pipeline'!$D$4:$D$503,_calc!$E$246))=0,"",INDEX('Dealer pipeline'!$D$4:$D$503,_calc!$E$246))&amp;" – "&amp;IF(LEN(INDEX('Dealer pipeline'!$A$4:$A$503,_calc!$E$246))=0,"",INDEX('Dealer pipeline'!$A$4:$A$503,_calc!$E$246)),"Warranty – "&amp;IF(LEN(INDEX('My equipment'!$A$4:$A$503,(_calc!$E$246-500)))=0,"",INDEX('My equipment'!$A$4:$A$503,(_calc!$E$246-500)))&amp;" – "&amp;IF(LEN(INDEX('My equipment'!$D$4:$D$503,(_calc!$E$246-500)))=0,"",INDEX('My equipment'!$D$4:$D$503,(_calc!$E$246-500)))))</f>
        <v/>
      </c>
      <c r="B244" s="54">
        <f>IF(_calc!$E$246="","",IF(_calc!$E$246&lt;=500,IF(ISNUMBER(INDEX('Dealer pipeline'!$M$4:$M$503,_calc!$E$246)),TEXT(INDEX('Dealer pipeline'!$M$4:$M$503,_calc!$E$246),"yyyy-mm-dd"),""),IF(ISNUMBER(INDEX('My equipment'!$M$4:$M$503,(_calc!$E$246-500))),TEXT(INDEX('My equipment'!$M$4:$M$503,(_calc!$E$246-500)),"yyyy-mm-dd"),"")))</f>
        <v/>
      </c>
      <c r="C244" s="54">
        <f>IF(_calc!$E$246="","",IF(_calc!$E$246&lt;=500,"Warranty","Warranty"))</f>
        <v/>
      </c>
      <c r="D244" s="54">
        <f>IF(_calc!$E$246="","",IF(_calc!$E$246&lt;=500,IF(ISNUMBER(INDEX('Dealer pipeline'!$H$4:$H$503,_calc!$E$246)),TEXT(INDEX('Dealer pipeline'!$H$4:$H$503,_calc!$E$246),"yyyy-mm-dd"),""),IF(ISNUMBER(INDEX('My equipment'!$H$4:$H$503,(_calc!$E$246-500))),TEXT(INDEX('My equipment'!$H$4:$H$503,(_calc!$E$246-500)),"yyyy-mm-dd"),"")))</f>
        <v/>
      </c>
      <c r="F244" s="54">
        <f>IF(_calc!$E$246="","",IF(_calc!$E$246&lt;=500,TRIM(IF(LEN(IF(LEN(INDEX('Dealer pipeline'!$A$4:$A$503,_calc!$E$246))=0,"",INDEX('Dealer pipeline'!$A$4:$A$503,_calc!$E$246)))=0,"","Customer: "&amp;IF(LEN(INDEX('Dealer pipeline'!$A$4:$A$503,_calc!$E$246))=0,"",INDEX('Dealer pipeline'!$A$4:$A$503,_calc!$E$246))&amp;". ")&amp;IF(LEN(IF(LEN(INDEX('Dealer pipeline'!$B$4:$B$503,_calc!$E$246))=0,"",INDEX('Dealer pipeline'!$B$4:$B$503,_calc!$E$246)))=0,"","Contact: "&amp;IF(LEN(INDEX('Dealer pipeline'!$B$4:$B$503,_calc!$E$246))=0,"",INDEX('Dealer pipeline'!$B$4:$B$503,_calc!$E$246))&amp;". ")&amp;IF(LEN(IF(LEN(INDEX('Dealer pipeline'!$D$4:$D$503,_calc!$E$246))=0,"",INDEX('Dealer pipeline'!$D$4:$D$503,_calc!$E$246)))=0,"","Serial: "&amp;IF(LEN(INDEX('Dealer pipeline'!$D$4:$D$503,_calc!$E$246))=0,"",INDEX('Dealer pipeline'!$D$4:$D$503,_calc!$E$246))&amp;". ")&amp;IF(LEN(IF(ISNUMBER(INDEX('Dealer pipeline'!$J$4:$J$503,_calc!$E$246)),TEXT(INDEX('Dealer pipeline'!$J$4:$J$503,_calc!$E$246),"yyyy-mm-dd"),""))=0,"","Parts end: "&amp;IF(ISNUMBER(INDEX('Dealer pipeline'!$J$4:$J$503,_calc!$E$246)),TEXT(INDEX('Dealer pipeline'!$J$4:$J$503,_calc!$E$246),"yyyy-mm-dd"),"")&amp;". ")&amp;IF(LEN(IF(ISNUMBER(INDEX('Dealer pipeline'!$L$4:$L$503,_calc!$E$246)),TEXT(INDEX('Dealer pipeline'!$L$4:$L$503,_calc!$E$246),"yyyy-mm-dd"),""))=0,"","Labor end: "&amp;IF(ISNUMBER(INDEX('Dealer pipeline'!$L$4:$L$503,_calc!$E$246)),TEXT(INDEX('Dealer pipeline'!$L$4:$L$503,_calc!$E$246),"yyyy-mm-dd"),"")&amp;". ")&amp;IF(LEN(IF(LEN(INDEX('Dealer pipeline'!$Q$4:$Q$503,_calc!$E$246))=0,"",INDEX('Dealer pipeline'!$Q$4:$Q$503,_calc!$E$246)))=0,"","Status: "&amp;IF(LEN(INDEX('Dealer pipeline'!$Q$4:$Q$503,_calc!$E$246))=0,"",INDEX('Dealer pipeline'!$Q$4:$Q$503,_calc!$E$246))&amp;". ")&amp;IF(LEN(IF(LEN(INDEX('Dealer pipeline'!$P$4:$P$503,_calc!$E$246))=0,"",INDEX('Dealer pipeline'!$P$4:$P$503,_calc!$E$246)))=0,"","Last touch: "&amp;IF(LEN(INDEX('Dealer pipeline'!$P$4:$P$503,_calc!$E$246))=0,"",INDEX('Dealer pipeline'!$P$4:$P$503,_calc!$E$246))&amp;". ")&amp;IF(LEN(IF(LEN(INDEX('Dealer pipeline'!$R$4:$R$503,_calc!$E$246))=0,"",INDEX('Dealer pipeline'!$R$4:$R$503,_calc!$E$246)))=0,"","Owner: "&amp;IF(LEN(INDEX('Dealer pipeline'!$R$4:$R$503,_calc!$E$246))=0,"",INDEX('Dealer pipeline'!$R$4:$R$503,_calc!$E$246))&amp;". ")&amp;IF(LEN(IF(LEN(INDEX('Dealer pipeline'!$S$4:$S$503,_calc!$E$246))=0,"",INDEX('Dealer pipeline'!$S$4:$S$503,_calc!$E$246)))=0,"","Backup: "&amp;IF(LEN(INDEX('Dealer pipeline'!$S$4:$S$503,_calc!$E$246))=0,"",INDEX('Dealer pipeline'!$S$4:$S$503,_calc!$E$246))&amp;". ")&amp;IF(LEN(IF(LEN(INDEX('Dealer pipeline'!$T$4:$T$503,_calc!$E$246))=0,"",INDEX('Dealer pipeline'!$T$4:$T$503,_calc!$E$246)))=0,"",IF(LEN(INDEX('Dealer pipeline'!$T$4:$T$503,_calc!$E$246))=0,"",INDEX('Dealer pipeline'!$T$4:$T$503,_calc!$E$246)))),TRIM(IF(LEN(IF(LEN(INDEX('My equipment'!$C$4:$C$503,(_calc!$E$246-500)))=0,"",INDEX('My equipment'!$C$4:$C$503,(_calc!$E$246-500))))=0,"","Model: "&amp;IF(LEN(INDEX('My equipment'!$C$4:$C$503,(_calc!$E$246-500)))=0,"",INDEX('My equipment'!$C$4:$C$503,(_calc!$E$246-500)))&amp;". ")&amp;IF(LEN(IF(LEN(INDEX('My equipment'!$D$4:$D$503,(_calc!$E$246-500)))=0,"",INDEX('My equipment'!$D$4:$D$503,(_calc!$E$246-500))))=0,"","Serial: "&amp;IF(LEN(INDEX('My equipment'!$D$4:$D$503,(_calc!$E$246-500)))=0,"",INDEX('My equipment'!$D$4:$D$503,(_calc!$E$246-500)))&amp;". ")&amp;IF(LEN(IF(ISNUMBER(INDEX('My equipment'!$J$4:$J$503,(_calc!$E$246-500))),TEXT(INDEX('My equipment'!$J$4:$J$503,(_calc!$E$246-500)),"yyyy-mm-dd"),""))=0,"","Parts end: "&amp;IF(ISNUMBER(INDEX('My equipment'!$J$4:$J$503,(_calc!$E$246-500))),TEXT(INDEX('My equipment'!$J$4:$J$503,(_calc!$E$246-500)),"yyyy-mm-dd"),"")&amp;". ")&amp;IF(LEN(IF(ISNUMBER(INDEX('My equipment'!$L$4:$L$503,(_calc!$E$246-500))),TEXT(INDEX('My equipment'!$L$4:$L$503,(_calc!$E$246-500)),"yyyy-mm-dd"),""))=0,"","Labor end: "&amp;IF(ISNUMBER(INDEX('My equipment'!$L$4:$L$503,(_calc!$E$246-500))),TEXT(INDEX('My equipment'!$L$4:$L$503,(_calc!$E$246-500)),"yyyy-mm-dd"),"")&amp;". ")&amp;IF(LEN(IF(ISNUMBER(INDEX('My equipment'!$P$4:$P$503,(_calc!$E$246-500))),TEXT(INDEX('My equipment'!$P$4:$P$503,(_calc!$E$246-500)),"yyyy-mm-dd"),""))=0,"","Check by: "&amp;IF(ISNUMBER(INDEX('My equipment'!$P$4:$P$503,(_calc!$E$246-500))),TEXT(INDEX('My equipment'!$P$4:$P$503,(_calc!$E$246-500)),"yyyy-mm-dd"),"")&amp;". ")&amp;IF(LEN(IF(LEN(INDEX('My equipment'!$Q$4:$Q$503,(_calc!$E$246-500)))=0,"",INDEX('My equipment'!$Q$4:$Q$503,(_calc!$E$246-500))))=0,"","Claim status: "&amp;IF(LEN(INDEX('My equipment'!$Q$4:$Q$503,(_calc!$E$246-500)))=0,"",INDEX('My equipment'!$Q$4:$Q$503,(_calc!$E$246-500)))&amp;". ")&amp;IF(LEN(IF(LEN(INDEX('My equipment'!$R$4:$R$503,(_calc!$E$246-500)))=0,"",INDEX('My equipment'!$R$4:$R$503,(_calc!$E$246-500))))=0,"","Claims contact: "&amp;IF(LEN(INDEX('My equipment'!$R$4:$R$503,(_calc!$E$246-500)))=0,"",INDEX('My equipment'!$R$4:$R$503,(_calc!$E$246-500)))&amp;". ")&amp;IF(LEN(IF(LEN(INDEX('My equipment'!$S$4:$S$503,(_calc!$E$246-500)))=0,"",INDEX('My equipment'!$S$4:$S$503,(_calc!$E$246-500))))=0,"","Claims email: "&amp;IF(LEN(INDEX('My equipment'!$S$4:$S$503,(_calc!$E$246-500)))=0,"",INDEX('My equipment'!$S$4:$S$503,(_calc!$E$246-500)))&amp;". ")&amp;IF(LEN(IF(LEN(INDEX('My equipment'!$U$4:$U$503,(_calc!$E$246-500)))=0,"",INDEX('My equipment'!$U$4:$U$503,(_calc!$E$246-500))))=0,"","Registered: "&amp;IF(LEN(INDEX('My equipment'!$U$4:$U$503,(_calc!$E$246-500)))=0,"",INDEX('My equipment'!$U$4:$U$503,(_calc!$E$246-500)))&amp;". ")&amp;IF(LEN(IF(LEN(INDEX('My equipment'!$V$4:$V$503,(_calc!$E$246-500)))=0,"",INDEX('My equipment'!$V$4:$V$503,(_calc!$E$246-500))))=0,"","Proof on file: "&amp;IF(LEN(INDEX('My equipment'!$V$4:$V$503,(_calc!$E$246-500)))=0,"",INDEX('My equipment'!$V$4:$V$503,(_calc!$E$246-500)))&amp;". ")&amp;IF(LEN(IF(LEN(INDEX('My equipment'!$W$4:$W$503,(_calc!$E$246-500)))=0,"",INDEX('My equipment'!$W$4:$W$503,(_calc!$E$246-500))))=0,"","Claim ref: "&amp;IF(LEN(INDEX('My equipment'!$W$4:$W$503,(_calc!$E$246-500)))=0,"",INDEX('My equipment'!$W$4:$W$503,(_calc!$E$246-500)))&amp;". ")&amp;IF(LEN(IF(LEN(INDEX('My equipment'!$Y$4:$Y$503,(_calc!$E$246-500)))=0,"",INDEX('My equipment'!$Y$4:$Y$503,(_calc!$E$246-500))))=0,"",IF(LEN(INDEX('My equipment'!$Y$4:$Y$503,(_calc!$E$246-500)))=0,"",INDEX('My equipment'!$Y$4:$Y$503,(_calc!$E$246-500)))))))</f>
        <v/>
      </c>
      <c r="G244" s="54">
        <f>IF(_calc!$E$246="","",IF(_calc!$E$246&lt;=500,"",IF(LEN(INDEX('My equipment'!$X$4:$X$503,(_calc!$E$246-500)))=0,"",INDEX('My equipment'!$X$4:$X$503,(_calc!$E$246-500)))))</f>
        <v/>
      </c>
      <c r="K244" s="54">
        <f>IF(_calc!$E$246="","",IF(_calc!$E$246&lt;=500,"",IF(LEN(INDEX('My equipment'!$T$4:$T$503,(_calc!$E$246-500)))=0,"",INDEX('My equipment'!$T$4:$T$503,(_calc!$E$246-500)))))</f>
        <v/>
      </c>
    </row>
    <row r="245">
      <c r="A245" s="54">
        <f>IF(_calc!$E$247="","",IF(_calc!$E$247&lt;=500,"Warranty – "&amp;IF(LEN(INDEX('Dealer pipeline'!$C$4:$C$503,_calc!$E$247))=0,"",INDEX('Dealer pipeline'!$C$4:$C$503,_calc!$E$247))&amp;" – "&amp;IF(LEN(INDEX('Dealer pipeline'!$D$4:$D$503,_calc!$E$247))=0,"",INDEX('Dealer pipeline'!$D$4:$D$503,_calc!$E$247))&amp;" – "&amp;IF(LEN(INDEX('Dealer pipeline'!$A$4:$A$503,_calc!$E$247))=0,"",INDEX('Dealer pipeline'!$A$4:$A$503,_calc!$E$247)),"Warranty – "&amp;IF(LEN(INDEX('My equipment'!$A$4:$A$503,(_calc!$E$247-500)))=0,"",INDEX('My equipment'!$A$4:$A$503,(_calc!$E$247-500)))&amp;" – "&amp;IF(LEN(INDEX('My equipment'!$D$4:$D$503,(_calc!$E$247-500)))=0,"",INDEX('My equipment'!$D$4:$D$503,(_calc!$E$247-500)))))</f>
        <v/>
      </c>
      <c r="B245" s="54">
        <f>IF(_calc!$E$247="","",IF(_calc!$E$247&lt;=500,IF(ISNUMBER(INDEX('Dealer pipeline'!$M$4:$M$503,_calc!$E$247)),TEXT(INDEX('Dealer pipeline'!$M$4:$M$503,_calc!$E$247),"yyyy-mm-dd"),""),IF(ISNUMBER(INDEX('My equipment'!$M$4:$M$503,(_calc!$E$247-500))),TEXT(INDEX('My equipment'!$M$4:$M$503,(_calc!$E$247-500)),"yyyy-mm-dd"),"")))</f>
        <v/>
      </c>
      <c r="C245" s="54">
        <f>IF(_calc!$E$247="","",IF(_calc!$E$247&lt;=500,"Warranty","Warranty"))</f>
        <v/>
      </c>
      <c r="D245" s="54">
        <f>IF(_calc!$E$247="","",IF(_calc!$E$247&lt;=500,IF(ISNUMBER(INDEX('Dealer pipeline'!$H$4:$H$503,_calc!$E$247)),TEXT(INDEX('Dealer pipeline'!$H$4:$H$503,_calc!$E$247),"yyyy-mm-dd"),""),IF(ISNUMBER(INDEX('My equipment'!$H$4:$H$503,(_calc!$E$247-500))),TEXT(INDEX('My equipment'!$H$4:$H$503,(_calc!$E$247-500)),"yyyy-mm-dd"),"")))</f>
        <v/>
      </c>
      <c r="F245" s="54">
        <f>IF(_calc!$E$247="","",IF(_calc!$E$247&lt;=500,TRIM(IF(LEN(IF(LEN(INDEX('Dealer pipeline'!$A$4:$A$503,_calc!$E$247))=0,"",INDEX('Dealer pipeline'!$A$4:$A$503,_calc!$E$247)))=0,"","Customer: "&amp;IF(LEN(INDEX('Dealer pipeline'!$A$4:$A$503,_calc!$E$247))=0,"",INDEX('Dealer pipeline'!$A$4:$A$503,_calc!$E$247))&amp;". ")&amp;IF(LEN(IF(LEN(INDEX('Dealer pipeline'!$B$4:$B$503,_calc!$E$247))=0,"",INDEX('Dealer pipeline'!$B$4:$B$503,_calc!$E$247)))=0,"","Contact: "&amp;IF(LEN(INDEX('Dealer pipeline'!$B$4:$B$503,_calc!$E$247))=0,"",INDEX('Dealer pipeline'!$B$4:$B$503,_calc!$E$247))&amp;". ")&amp;IF(LEN(IF(LEN(INDEX('Dealer pipeline'!$D$4:$D$503,_calc!$E$247))=0,"",INDEX('Dealer pipeline'!$D$4:$D$503,_calc!$E$247)))=0,"","Serial: "&amp;IF(LEN(INDEX('Dealer pipeline'!$D$4:$D$503,_calc!$E$247))=0,"",INDEX('Dealer pipeline'!$D$4:$D$503,_calc!$E$247))&amp;". ")&amp;IF(LEN(IF(ISNUMBER(INDEX('Dealer pipeline'!$J$4:$J$503,_calc!$E$247)),TEXT(INDEX('Dealer pipeline'!$J$4:$J$503,_calc!$E$247),"yyyy-mm-dd"),""))=0,"","Parts end: "&amp;IF(ISNUMBER(INDEX('Dealer pipeline'!$J$4:$J$503,_calc!$E$247)),TEXT(INDEX('Dealer pipeline'!$J$4:$J$503,_calc!$E$247),"yyyy-mm-dd"),"")&amp;". ")&amp;IF(LEN(IF(ISNUMBER(INDEX('Dealer pipeline'!$L$4:$L$503,_calc!$E$247)),TEXT(INDEX('Dealer pipeline'!$L$4:$L$503,_calc!$E$247),"yyyy-mm-dd"),""))=0,"","Labor end: "&amp;IF(ISNUMBER(INDEX('Dealer pipeline'!$L$4:$L$503,_calc!$E$247)),TEXT(INDEX('Dealer pipeline'!$L$4:$L$503,_calc!$E$247),"yyyy-mm-dd"),"")&amp;". ")&amp;IF(LEN(IF(LEN(INDEX('Dealer pipeline'!$Q$4:$Q$503,_calc!$E$247))=0,"",INDEX('Dealer pipeline'!$Q$4:$Q$503,_calc!$E$247)))=0,"","Status: "&amp;IF(LEN(INDEX('Dealer pipeline'!$Q$4:$Q$503,_calc!$E$247))=0,"",INDEX('Dealer pipeline'!$Q$4:$Q$503,_calc!$E$247))&amp;". ")&amp;IF(LEN(IF(LEN(INDEX('Dealer pipeline'!$P$4:$P$503,_calc!$E$247))=0,"",INDEX('Dealer pipeline'!$P$4:$P$503,_calc!$E$247)))=0,"","Last touch: "&amp;IF(LEN(INDEX('Dealer pipeline'!$P$4:$P$503,_calc!$E$247))=0,"",INDEX('Dealer pipeline'!$P$4:$P$503,_calc!$E$247))&amp;". ")&amp;IF(LEN(IF(LEN(INDEX('Dealer pipeline'!$R$4:$R$503,_calc!$E$247))=0,"",INDEX('Dealer pipeline'!$R$4:$R$503,_calc!$E$247)))=0,"","Owner: "&amp;IF(LEN(INDEX('Dealer pipeline'!$R$4:$R$503,_calc!$E$247))=0,"",INDEX('Dealer pipeline'!$R$4:$R$503,_calc!$E$247))&amp;". ")&amp;IF(LEN(IF(LEN(INDEX('Dealer pipeline'!$S$4:$S$503,_calc!$E$247))=0,"",INDEX('Dealer pipeline'!$S$4:$S$503,_calc!$E$247)))=0,"","Backup: "&amp;IF(LEN(INDEX('Dealer pipeline'!$S$4:$S$503,_calc!$E$247))=0,"",INDEX('Dealer pipeline'!$S$4:$S$503,_calc!$E$247))&amp;". ")&amp;IF(LEN(IF(LEN(INDEX('Dealer pipeline'!$T$4:$T$503,_calc!$E$247))=0,"",INDEX('Dealer pipeline'!$T$4:$T$503,_calc!$E$247)))=0,"",IF(LEN(INDEX('Dealer pipeline'!$T$4:$T$503,_calc!$E$247))=0,"",INDEX('Dealer pipeline'!$T$4:$T$503,_calc!$E$247)))),TRIM(IF(LEN(IF(LEN(INDEX('My equipment'!$C$4:$C$503,(_calc!$E$247-500)))=0,"",INDEX('My equipment'!$C$4:$C$503,(_calc!$E$247-500))))=0,"","Model: "&amp;IF(LEN(INDEX('My equipment'!$C$4:$C$503,(_calc!$E$247-500)))=0,"",INDEX('My equipment'!$C$4:$C$503,(_calc!$E$247-500)))&amp;". ")&amp;IF(LEN(IF(LEN(INDEX('My equipment'!$D$4:$D$503,(_calc!$E$247-500)))=0,"",INDEX('My equipment'!$D$4:$D$503,(_calc!$E$247-500))))=0,"","Serial: "&amp;IF(LEN(INDEX('My equipment'!$D$4:$D$503,(_calc!$E$247-500)))=0,"",INDEX('My equipment'!$D$4:$D$503,(_calc!$E$247-500)))&amp;". ")&amp;IF(LEN(IF(ISNUMBER(INDEX('My equipment'!$J$4:$J$503,(_calc!$E$247-500))),TEXT(INDEX('My equipment'!$J$4:$J$503,(_calc!$E$247-500)),"yyyy-mm-dd"),""))=0,"","Parts end: "&amp;IF(ISNUMBER(INDEX('My equipment'!$J$4:$J$503,(_calc!$E$247-500))),TEXT(INDEX('My equipment'!$J$4:$J$503,(_calc!$E$247-500)),"yyyy-mm-dd"),"")&amp;". ")&amp;IF(LEN(IF(ISNUMBER(INDEX('My equipment'!$L$4:$L$503,(_calc!$E$247-500))),TEXT(INDEX('My equipment'!$L$4:$L$503,(_calc!$E$247-500)),"yyyy-mm-dd"),""))=0,"","Labor end: "&amp;IF(ISNUMBER(INDEX('My equipment'!$L$4:$L$503,(_calc!$E$247-500))),TEXT(INDEX('My equipment'!$L$4:$L$503,(_calc!$E$247-500)),"yyyy-mm-dd"),"")&amp;". ")&amp;IF(LEN(IF(ISNUMBER(INDEX('My equipment'!$P$4:$P$503,(_calc!$E$247-500))),TEXT(INDEX('My equipment'!$P$4:$P$503,(_calc!$E$247-500)),"yyyy-mm-dd"),""))=0,"","Check by: "&amp;IF(ISNUMBER(INDEX('My equipment'!$P$4:$P$503,(_calc!$E$247-500))),TEXT(INDEX('My equipment'!$P$4:$P$503,(_calc!$E$247-500)),"yyyy-mm-dd"),"")&amp;". ")&amp;IF(LEN(IF(LEN(INDEX('My equipment'!$Q$4:$Q$503,(_calc!$E$247-500)))=0,"",INDEX('My equipment'!$Q$4:$Q$503,(_calc!$E$247-500))))=0,"","Claim status: "&amp;IF(LEN(INDEX('My equipment'!$Q$4:$Q$503,(_calc!$E$247-500)))=0,"",INDEX('My equipment'!$Q$4:$Q$503,(_calc!$E$247-500)))&amp;". ")&amp;IF(LEN(IF(LEN(INDEX('My equipment'!$R$4:$R$503,(_calc!$E$247-500)))=0,"",INDEX('My equipment'!$R$4:$R$503,(_calc!$E$247-500))))=0,"","Claims contact: "&amp;IF(LEN(INDEX('My equipment'!$R$4:$R$503,(_calc!$E$247-500)))=0,"",INDEX('My equipment'!$R$4:$R$503,(_calc!$E$247-500)))&amp;". ")&amp;IF(LEN(IF(LEN(INDEX('My equipment'!$S$4:$S$503,(_calc!$E$247-500)))=0,"",INDEX('My equipment'!$S$4:$S$503,(_calc!$E$247-500))))=0,"","Claims email: "&amp;IF(LEN(INDEX('My equipment'!$S$4:$S$503,(_calc!$E$247-500)))=0,"",INDEX('My equipment'!$S$4:$S$503,(_calc!$E$247-500)))&amp;". ")&amp;IF(LEN(IF(LEN(INDEX('My equipment'!$U$4:$U$503,(_calc!$E$247-500)))=0,"",INDEX('My equipment'!$U$4:$U$503,(_calc!$E$247-500))))=0,"","Registered: "&amp;IF(LEN(INDEX('My equipment'!$U$4:$U$503,(_calc!$E$247-500)))=0,"",INDEX('My equipment'!$U$4:$U$503,(_calc!$E$247-500)))&amp;". ")&amp;IF(LEN(IF(LEN(INDEX('My equipment'!$V$4:$V$503,(_calc!$E$247-500)))=0,"",INDEX('My equipment'!$V$4:$V$503,(_calc!$E$247-500))))=0,"","Proof on file: "&amp;IF(LEN(INDEX('My equipment'!$V$4:$V$503,(_calc!$E$247-500)))=0,"",INDEX('My equipment'!$V$4:$V$503,(_calc!$E$247-500)))&amp;". ")&amp;IF(LEN(IF(LEN(INDEX('My equipment'!$W$4:$W$503,(_calc!$E$247-500)))=0,"",INDEX('My equipment'!$W$4:$W$503,(_calc!$E$247-500))))=0,"","Claim ref: "&amp;IF(LEN(INDEX('My equipment'!$W$4:$W$503,(_calc!$E$247-500)))=0,"",INDEX('My equipment'!$W$4:$W$503,(_calc!$E$247-500)))&amp;". ")&amp;IF(LEN(IF(LEN(INDEX('My equipment'!$Y$4:$Y$503,(_calc!$E$247-500)))=0,"",INDEX('My equipment'!$Y$4:$Y$503,(_calc!$E$247-500))))=0,"",IF(LEN(INDEX('My equipment'!$Y$4:$Y$503,(_calc!$E$247-500)))=0,"",INDEX('My equipment'!$Y$4:$Y$503,(_calc!$E$247-500)))))))</f>
        <v/>
      </c>
      <c r="G245" s="54">
        <f>IF(_calc!$E$247="","",IF(_calc!$E$247&lt;=500,"",IF(LEN(INDEX('My equipment'!$X$4:$X$503,(_calc!$E$247-500)))=0,"",INDEX('My equipment'!$X$4:$X$503,(_calc!$E$247-500)))))</f>
        <v/>
      </c>
      <c r="K245" s="54">
        <f>IF(_calc!$E$247="","",IF(_calc!$E$247&lt;=500,"",IF(LEN(INDEX('My equipment'!$T$4:$T$503,(_calc!$E$247-500)))=0,"",INDEX('My equipment'!$T$4:$T$503,(_calc!$E$247-500)))))</f>
        <v/>
      </c>
    </row>
    <row r="246">
      <c r="A246" s="54">
        <f>IF(_calc!$E$248="","",IF(_calc!$E$248&lt;=500,"Warranty – "&amp;IF(LEN(INDEX('Dealer pipeline'!$C$4:$C$503,_calc!$E$248))=0,"",INDEX('Dealer pipeline'!$C$4:$C$503,_calc!$E$248))&amp;" – "&amp;IF(LEN(INDEX('Dealer pipeline'!$D$4:$D$503,_calc!$E$248))=0,"",INDEX('Dealer pipeline'!$D$4:$D$503,_calc!$E$248))&amp;" – "&amp;IF(LEN(INDEX('Dealer pipeline'!$A$4:$A$503,_calc!$E$248))=0,"",INDEX('Dealer pipeline'!$A$4:$A$503,_calc!$E$248)),"Warranty – "&amp;IF(LEN(INDEX('My equipment'!$A$4:$A$503,(_calc!$E$248-500)))=0,"",INDEX('My equipment'!$A$4:$A$503,(_calc!$E$248-500)))&amp;" – "&amp;IF(LEN(INDEX('My equipment'!$D$4:$D$503,(_calc!$E$248-500)))=0,"",INDEX('My equipment'!$D$4:$D$503,(_calc!$E$248-500)))))</f>
        <v/>
      </c>
      <c r="B246" s="54">
        <f>IF(_calc!$E$248="","",IF(_calc!$E$248&lt;=500,IF(ISNUMBER(INDEX('Dealer pipeline'!$M$4:$M$503,_calc!$E$248)),TEXT(INDEX('Dealer pipeline'!$M$4:$M$503,_calc!$E$248),"yyyy-mm-dd"),""),IF(ISNUMBER(INDEX('My equipment'!$M$4:$M$503,(_calc!$E$248-500))),TEXT(INDEX('My equipment'!$M$4:$M$503,(_calc!$E$248-500)),"yyyy-mm-dd"),"")))</f>
        <v/>
      </c>
      <c r="C246" s="54">
        <f>IF(_calc!$E$248="","",IF(_calc!$E$248&lt;=500,"Warranty","Warranty"))</f>
        <v/>
      </c>
      <c r="D246" s="54">
        <f>IF(_calc!$E$248="","",IF(_calc!$E$248&lt;=500,IF(ISNUMBER(INDEX('Dealer pipeline'!$H$4:$H$503,_calc!$E$248)),TEXT(INDEX('Dealer pipeline'!$H$4:$H$503,_calc!$E$248),"yyyy-mm-dd"),""),IF(ISNUMBER(INDEX('My equipment'!$H$4:$H$503,(_calc!$E$248-500))),TEXT(INDEX('My equipment'!$H$4:$H$503,(_calc!$E$248-500)),"yyyy-mm-dd"),"")))</f>
        <v/>
      </c>
      <c r="F246" s="54">
        <f>IF(_calc!$E$248="","",IF(_calc!$E$248&lt;=500,TRIM(IF(LEN(IF(LEN(INDEX('Dealer pipeline'!$A$4:$A$503,_calc!$E$248))=0,"",INDEX('Dealer pipeline'!$A$4:$A$503,_calc!$E$248)))=0,"","Customer: "&amp;IF(LEN(INDEX('Dealer pipeline'!$A$4:$A$503,_calc!$E$248))=0,"",INDEX('Dealer pipeline'!$A$4:$A$503,_calc!$E$248))&amp;". ")&amp;IF(LEN(IF(LEN(INDEX('Dealer pipeline'!$B$4:$B$503,_calc!$E$248))=0,"",INDEX('Dealer pipeline'!$B$4:$B$503,_calc!$E$248)))=0,"","Contact: "&amp;IF(LEN(INDEX('Dealer pipeline'!$B$4:$B$503,_calc!$E$248))=0,"",INDEX('Dealer pipeline'!$B$4:$B$503,_calc!$E$248))&amp;". ")&amp;IF(LEN(IF(LEN(INDEX('Dealer pipeline'!$D$4:$D$503,_calc!$E$248))=0,"",INDEX('Dealer pipeline'!$D$4:$D$503,_calc!$E$248)))=0,"","Serial: "&amp;IF(LEN(INDEX('Dealer pipeline'!$D$4:$D$503,_calc!$E$248))=0,"",INDEX('Dealer pipeline'!$D$4:$D$503,_calc!$E$248))&amp;". ")&amp;IF(LEN(IF(ISNUMBER(INDEX('Dealer pipeline'!$J$4:$J$503,_calc!$E$248)),TEXT(INDEX('Dealer pipeline'!$J$4:$J$503,_calc!$E$248),"yyyy-mm-dd"),""))=0,"","Parts end: "&amp;IF(ISNUMBER(INDEX('Dealer pipeline'!$J$4:$J$503,_calc!$E$248)),TEXT(INDEX('Dealer pipeline'!$J$4:$J$503,_calc!$E$248),"yyyy-mm-dd"),"")&amp;". ")&amp;IF(LEN(IF(ISNUMBER(INDEX('Dealer pipeline'!$L$4:$L$503,_calc!$E$248)),TEXT(INDEX('Dealer pipeline'!$L$4:$L$503,_calc!$E$248),"yyyy-mm-dd"),""))=0,"","Labor end: "&amp;IF(ISNUMBER(INDEX('Dealer pipeline'!$L$4:$L$503,_calc!$E$248)),TEXT(INDEX('Dealer pipeline'!$L$4:$L$503,_calc!$E$248),"yyyy-mm-dd"),"")&amp;". ")&amp;IF(LEN(IF(LEN(INDEX('Dealer pipeline'!$Q$4:$Q$503,_calc!$E$248))=0,"",INDEX('Dealer pipeline'!$Q$4:$Q$503,_calc!$E$248)))=0,"","Status: "&amp;IF(LEN(INDEX('Dealer pipeline'!$Q$4:$Q$503,_calc!$E$248))=0,"",INDEX('Dealer pipeline'!$Q$4:$Q$503,_calc!$E$248))&amp;". ")&amp;IF(LEN(IF(LEN(INDEX('Dealer pipeline'!$P$4:$P$503,_calc!$E$248))=0,"",INDEX('Dealer pipeline'!$P$4:$P$503,_calc!$E$248)))=0,"","Last touch: "&amp;IF(LEN(INDEX('Dealer pipeline'!$P$4:$P$503,_calc!$E$248))=0,"",INDEX('Dealer pipeline'!$P$4:$P$503,_calc!$E$248))&amp;". ")&amp;IF(LEN(IF(LEN(INDEX('Dealer pipeline'!$R$4:$R$503,_calc!$E$248))=0,"",INDEX('Dealer pipeline'!$R$4:$R$503,_calc!$E$248)))=0,"","Owner: "&amp;IF(LEN(INDEX('Dealer pipeline'!$R$4:$R$503,_calc!$E$248))=0,"",INDEX('Dealer pipeline'!$R$4:$R$503,_calc!$E$248))&amp;". ")&amp;IF(LEN(IF(LEN(INDEX('Dealer pipeline'!$S$4:$S$503,_calc!$E$248))=0,"",INDEX('Dealer pipeline'!$S$4:$S$503,_calc!$E$248)))=0,"","Backup: "&amp;IF(LEN(INDEX('Dealer pipeline'!$S$4:$S$503,_calc!$E$248))=0,"",INDEX('Dealer pipeline'!$S$4:$S$503,_calc!$E$248))&amp;". ")&amp;IF(LEN(IF(LEN(INDEX('Dealer pipeline'!$T$4:$T$503,_calc!$E$248))=0,"",INDEX('Dealer pipeline'!$T$4:$T$503,_calc!$E$248)))=0,"",IF(LEN(INDEX('Dealer pipeline'!$T$4:$T$503,_calc!$E$248))=0,"",INDEX('Dealer pipeline'!$T$4:$T$503,_calc!$E$248)))),TRIM(IF(LEN(IF(LEN(INDEX('My equipment'!$C$4:$C$503,(_calc!$E$248-500)))=0,"",INDEX('My equipment'!$C$4:$C$503,(_calc!$E$248-500))))=0,"","Model: "&amp;IF(LEN(INDEX('My equipment'!$C$4:$C$503,(_calc!$E$248-500)))=0,"",INDEX('My equipment'!$C$4:$C$503,(_calc!$E$248-500)))&amp;". ")&amp;IF(LEN(IF(LEN(INDEX('My equipment'!$D$4:$D$503,(_calc!$E$248-500)))=0,"",INDEX('My equipment'!$D$4:$D$503,(_calc!$E$248-500))))=0,"","Serial: "&amp;IF(LEN(INDEX('My equipment'!$D$4:$D$503,(_calc!$E$248-500)))=0,"",INDEX('My equipment'!$D$4:$D$503,(_calc!$E$248-500)))&amp;". ")&amp;IF(LEN(IF(ISNUMBER(INDEX('My equipment'!$J$4:$J$503,(_calc!$E$248-500))),TEXT(INDEX('My equipment'!$J$4:$J$503,(_calc!$E$248-500)),"yyyy-mm-dd"),""))=0,"","Parts end: "&amp;IF(ISNUMBER(INDEX('My equipment'!$J$4:$J$503,(_calc!$E$248-500))),TEXT(INDEX('My equipment'!$J$4:$J$503,(_calc!$E$248-500)),"yyyy-mm-dd"),"")&amp;". ")&amp;IF(LEN(IF(ISNUMBER(INDEX('My equipment'!$L$4:$L$503,(_calc!$E$248-500))),TEXT(INDEX('My equipment'!$L$4:$L$503,(_calc!$E$248-500)),"yyyy-mm-dd"),""))=0,"","Labor end: "&amp;IF(ISNUMBER(INDEX('My equipment'!$L$4:$L$503,(_calc!$E$248-500))),TEXT(INDEX('My equipment'!$L$4:$L$503,(_calc!$E$248-500)),"yyyy-mm-dd"),"")&amp;". ")&amp;IF(LEN(IF(ISNUMBER(INDEX('My equipment'!$P$4:$P$503,(_calc!$E$248-500))),TEXT(INDEX('My equipment'!$P$4:$P$503,(_calc!$E$248-500)),"yyyy-mm-dd"),""))=0,"","Check by: "&amp;IF(ISNUMBER(INDEX('My equipment'!$P$4:$P$503,(_calc!$E$248-500))),TEXT(INDEX('My equipment'!$P$4:$P$503,(_calc!$E$248-500)),"yyyy-mm-dd"),"")&amp;". ")&amp;IF(LEN(IF(LEN(INDEX('My equipment'!$Q$4:$Q$503,(_calc!$E$248-500)))=0,"",INDEX('My equipment'!$Q$4:$Q$503,(_calc!$E$248-500))))=0,"","Claim status: "&amp;IF(LEN(INDEX('My equipment'!$Q$4:$Q$503,(_calc!$E$248-500)))=0,"",INDEX('My equipment'!$Q$4:$Q$503,(_calc!$E$248-500)))&amp;". ")&amp;IF(LEN(IF(LEN(INDEX('My equipment'!$R$4:$R$503,(_calc!$E$248-500)))=0,"",INDEX('My equipment'!$R$4:$R$503,(_calc!$E$248-500))))=0,"","Claims contact: "&amp;IF(LEN(INDEX('My equipment'!$R$4:$R$503,(_calc!$E$248-500)))=0,"",INDEX('My equipment'!$R$4:$R$503,(_calc!$E$248-500)))&amp;". ")&amp;IF(LEN(IF(LEN(INDEX('My equipment'!$S$4:$S$503,(_calc!$E$248-500)))=0,"",INDEX('My equipment'!$S$4:$S$503,(_calc!$E$248-500))))=0,"","Claims email: "&amp;IF(LEN(INDEX('My equipment'!$S$4:$S$503,(_calc!$E$248-500)))=0,"",INDEX('My equipment'!$S$4:$S$503,(_calc!$E$248-500)))&amp;". ")&amp;IF(LEN(IF(LEN(INDEX('My equipment'!$U$4:$U$503,(_calc!$E$248-500)))=0,"",INDEX('My equipment'!$U$4:$U$503,(_calc!$E$248-500))))=0,"","Registered: "&amp;IF(LEN(INDEX('My equipment'!$U$4:$U$503,(_calc!$E$248-500)))=0,"",INDEX('My equipment'!$U$4:$U$503,(_calc!$E$248-500)))&amp;". ")&amp;IF(LEN(IF(LEN(INDEX('My equipment'!$V$4:$V$503,(_calc!$E$248-500)))=0,"",INDEX('My equipment'!$V$4:$V$503,(_calc!$E$248-500))))=0,"","Proof on file: "&amp;IF(LEN(INDEX('My equipment'!$V$4:$V$503,(_calc!$E$248-500)))=0,"",INDEX('My equipment'!$V$4:$V$503,(_calc!$E$248-500)))&amp;". ")&amp;IF(LEN(IF(LEN(INDEX('My equipment'!$W$4:$W$503,(_calc!$E$248-500)))=0,"",INDEX('My equipment'!$W$4:$W$503,(_calc!$E$248-500))))=0,"","Claim ref: "&amp;IF(LEN(INDEX('My equipment'!$W$4:$W$503,(_calc!$E$248-500)))=0,"",INDEX('My equipment'!$W$4:$W$503,(_calc!$E$248-500)))&amp;". ")&amp;IF(LEN(IF(LEN(INDEX('My equipment'!$Y$4:$Y$503,(_calc!$E$248-500)))=0,"",INDEX('My equipment'!$Y$4:$Y$503,(_calc!$E$248-500))))=0,"",IF(LEN(INDEX('My equipment'!$Y$4:$Y$503,(_calc!$E$248-500)))=0,"",INDEX('My equipment'!$Y$4:$Y$503,(_calc!$E$248-500)))))))</f>
        <v/>
      </c>
      <c r="G246" s="54">
        <f>IF(_calc!$E$248="","",IF(_calc!$E$248&lt;=500,"",IF(LEN(INDEX('My equipment'!$X$4:$X$503,(_calc!$E$248-500)))=0,"",INDEX('My equipment'!$X$4:$X$503,(_calc!$E$248-500)))))</f>
        <v/>
      </c>
      <c r="K246" s="54">
        <f>IF(_calc!$E$248="","",IF(_calc!$E$248&lt;=500,"",IF(LEN(INDEX('My equipment'!$T$4:$T$503,(_calc!$E$248-500)))=0,"",INDEX('My equipment'!$T$4:$T$503,(_calc!$E$248-500)))))</f>
        <v/>
      </c>
    </row>
    <row r="247">
      <c r="A247" s="54">
        <f>IF(_calc!$E$249="","",IF(_calc!$E$249&lt;=500,"Warranty – "&amp;IF(LEN(INDEX('Dealer pipeline'!$C$4:$C$503,_calc!$E$249))=0,"",INDEX('Dealer pipeline'!$C$4:$C$503,_calc!$E$249))&amp;" – "&amp;IF(LEN(INDEX('Dealer pipeline'!$D$4:$D$503,_calc!$E$249))=0,"",INDEX('Dealer pipeline'!$D$4:$D$503,_calc!$E$249))&amp;" – "&amp;IF(LEN(INDEX('Dealer pipeline'!$A$4:$A$503,_calc!$E$249))=0,"",INDEX('Dealer pipeline'!$A$4:$A$503,_calc!$E$249)),"Warranty – "&amp;IF(LEN(INDEX('My equipment'!$A$4:$A$503,(_calc!$E$249-500)))=0,"",INDEX('My equipment'!$A$4:$A$503,(_calc!$E$249-500)))&amp;" – "&amp;IF(LEN(INDEX('My equipment'!$D$4:$D$503,(_calc!$E$249-500)))=0,"",INDEX('My equipment'!$D$4:$D$503,(_calc!$E$249-500)))))</f>
        <v/>
      </c>
      <c r="B247" s="54">
        <f>IF(_calc!$E$249="","",IF(_calc!$E$249&lt;=500,IF(ISNUMBER(INDEX('Dealer pipeline'!$M$4:$M$503,_calc!$E$249)),TEXT(INDEX('Dealer pipeline'!$M$4:$M$503,_calc!$E$249),"yyyy-mm-dd"),""),IF(ISNUMBER(INDEX('My equipment'!$M$4:$M$503,(_calc!$E$249-500))),TEXT(INDEX('My equipment'!$M$4:$M$503,(_calc!$E$249-500)),"yyyy-mm-dd"),"")))</f>
        <v/>
      </c>
      <c r="C247" s="54">
        <f>IF(_calc!$E$249="","",IF(_calc!$E$249&lt;=500,"Warranty","Warranty"))</f>
        <v/>
      </c>
      <c r="D247" s="54">
        <f>IF(_calc!$E$249="","",IF(_calc!$E$249&lt;=500,IF(ISNUMBER(INDEX('Dealer pipeline'!$H$4:$H$503,_calc!$E$249)),TEXT(INDEX('Dealer pipeline'!$H$4:$H$503,_calc!$E$249),"yyyy-mm-dd"),""),IF(ISNUMBER(INDEX('My equipment'!$H$4:$H$503,(_calc!$E$249-500))),TEXT(INDEX('My equipment'!$H$4:$H$503,(_calc!$E$249-500)),"yyyy-mm-dd"),"")))</f>
        <v/>
      </c>
      <c r="F247" s="54">
        <f>IF(_calc!$E$249="","",IF(_calc!$E$249&lt;=500,TRIM(IF(LEN(IF(LEN(INDEX('Dealer pipeline'!$A$4:$A$503,_calc!$E$249))=0,"",INDEX('Dealer pipeline'!$A$4:$A$503,_calc!$E$249)))=0,"","Customer: "&amp;IF(LEN(INDEX('Dealer pipeline'!$A$4:$A$503,_calc!$E$249))=0,"",INDEX('Dealer pipeline'!$A$4:$A$503,_calc!$E$249))&amp;". ")&amp;IF(LEN(IF(LEN(INDEX('Dealer pipeline'!$B$4:$B$503,_calc!$E$249))=0,"",INDEX('Dealer pipeline'!$B$4:$B$503,_calc!$E$249)))=0,"","Contact: "&amp;IF(LEN(INDEX('Dealer pipeline'!$B$4:$B$503,_calc!$E$249))=0,"",INDEX('Dealer pipeline'!$B$4:$B$503,_calc!$E$249))&amp;". ")&amp;IF(LEN(IF(LEN(INDEX('Dealer pipeline'!$D$4:$D$503,_calc!$E$249))=0,"",INDEX('Dealer pipeline'!$D$4:$D$503,_calc!$E$249)))=0,"","Serial: "&amp;IF(LEN(INDEX('Dealer pipeline'!$D$4:$D$503,_calc!$E$249))=0,"",INDEX('Dealer pipeline'!$D$4:$D$503,_calc!$E$249))&amp;". ")&amp;IF(LEN(IF(ISNUMBER(INDEX('Dealer pipeline'!$J$4:$J$503,_calc!$E$249)),TEXT(INDEX('Dealer pipeline'!$J$4:$J$503,_calc!$E$249),"yyyy-mm-dd"),""))=0,"","Parts end: "&amp;IF(ISNUMBER(INDEX('Dealer pipeline'!$J$4:$J$503,_calc!$E$249)),TEXT(INDEX('Dealer pipeline'!$J$4:$J$503,_calc!$E$249),"yyyy-mm-dd"),"")&amp;". ")&amp;IF(LEN(IF(ISNUMBER(INDEX('Dealer pipeline'!$L$4:$L$503,_calc!$E$249)),TEXT(INDEX('Dealer pipeline'!$L$4:$L$503,_calc!$E$249),"yyyy-mm-dd"),""))=0,"","Labor end: "&amp;IF(ISNUMBER(INDEX('Dealer pipeline'!$L$4:$L$503,_calc!$E$249)),TEXT(INDEX('Dealer pipeline'!$L$4:$L$503,_calc!$E$249),"yyyy-mm-dd"),"")&amp;". ")&amp;IF(LEN(IF(LEN(INDEX('Dealer pipeline'!$Q$4:$Q$503,_calc!$E$249))=0,"",INDEX('Dealer pipeline'!$Q$4:$Q$503,_calc!$E$249)))=0,"","Status: "&amp;IF(LEN(INDEX('Dealer pipeline'!$Q$4:$Q$503,_calc!$E$249))=0,"",INDEX('Dealer pipeline'!$Q$4:$Q$503,_calc!$E$249))&amp;". ")&amp;IF(LEN(IF(LEN(INDEX('Dealer pipeline'!$P$4:$P$503,_calc!$E$249))=0,"",INDEX('Dealer pipeline'!$P$4:$P$503,_calc!$E$249)))=0,"","Last touch: "&amp;IF(LEN(INDEX('Dealer pipeline'!$P$4:$P$503,_calc!$E$249))=0,"",INDEX('Dealer pipeline'!$P$4:$P$503,_calc!$E$249))&amp;". ")&amp;IF(LEN(IF(LEN(INDEX('Dealer pipeline'!$R$4:$R$503,_calc!$E$249))=0,"",INDEX('Dealer pipeline'!$R$4:$R$503,_calc!$E$249)))=0,"","Owner: "&amp;IF(LEN(INDEX('Dealer pipeline'!$R$4:$R$503,_calc!$E$249))=0,"",INDEX('Dealer pipeline'!$R$4:$R$503,_calc!$E$249))&amp;". ")&amp;IF(LEN(IF(LEN(INDEX('Dealer pipeline'!$S$4:$S$503,_calc!$E$249))=0,"",INDEX('Dealer pipeline'!$S$4:$S$503,_calc!$E$249)))=0,"","Backup: "&amp;IF(LEN(INDEX('Dealer pipeline'!$S$4:$S$503,_calc!$E$249))=0,"",INDEX('Dealer pipeline'!$S$4:$S$503,_calc!$E$249))&amp;". ")&amp;IF(LEN(IF(LEN(INDEX('Dealer pipeline'!$T$4:$T$503,_calc!$E$249))=0,"",INDEX('Dealer pipeline'!$T$4:$T$503,_calc!$E$249)))=0,"",IF(LEN(INDEX('Dealer pipeline'!$T$4:$T$503,_calc!$E$249))=0,"",INDEX('Dealer pipeline'!$T$4:$T$503,_calc!$E$249)))),TRIM(IF(LEN(IF(LEN(INDEX('My equipment'!$C$4:$C$503,(_calc!$E$249-500)))=0,"",INDEX('My equipment'!$C$4:$C$503,(_calc!$E$249-500))))=0,"","Model: "&amp;IF(LEN(INDEX('My equipment'!$C$4:$C$503,(_calc!$E$249-500)))=0,"",INDEX('My equipment'!$C$4:$C$503,(_calc!$E$249-500)))&amp;". ")&amp;IF(LEN(IF(LEN(INDEX('My equipment'!$D$4:$D$503,(_calc!$E$249-500)))=0,"",INDEX('My equipment'!$D$4:$D$503,(_calc!$E$249-500))))=0,"","Serial: "&amp;IF(LEN(INDEX('My equipment'!$D$4:$D$503,(_calc!$E$249-500)))=0,"",INDEX('My equipment'!$D$4:$D$503,(_calc!$E$249-500)))&amp;". ")&amp;IF(LEN(IF(ISNUMBER(INDEX('My equipment'!$J$4:$J$503,(_calc!$E$249-500))),TEXT(INDEX('My equipment'!$J$4:$J$503,(_calc!$E$249-500)),"yyyy-mm-dd"),""))=0,"","Parts end: "&amp;IF(ISNUMBER(INDEX('My equipment'!$J$4:$J$503,(_calc!$E$249-500))),TEXT(INDEX('My equipment'!$J$4:$J$503,(_calc!$E$249-500)),"yyyy-mm-dd"),"")&amp;". ")&amp;IF(LEN(IF(ISNUMBER(INDEX('My equipment'!$L$4:$L$503,(_calc!$E$249-500))),TEXT(INDEX('My equipment'!$L$4:$L$503,(_calc!$E$249-500)),"yyyy-mm-dd"),""))=0,"","Labor end: "&amp;IF(ISNUMBER(INDEX('My equipment'!$L$4:$L$503,(_calc!$E$249-500))),TEXT(INDEX('My equipment'!$L$4:$L$503,(_calc!$E$249-500)),"yyyy-mm-dd"),"")&amp;". ")&amp;IF(LEN(IF(ISNUMBER(INDEX('My equipment'!$P$4:$P$503,(_calc!$E$249-500))),TEXT(INDEX('My equipment'!$P$4:$P$503,(_calc!$E$249-500)),"yyyy-mm-dd"),""))=0,"","Check by: "&amp;IF(ISNUMBER(INDEX('My equipment'!$P$4:$P$503,(_calc!$E$249-500))),TEXT(INDEX('My equipment'!$P$4:$P$503,(_calc!$E$249-500)),"yyyy-mm-dd"),"")&amp;". ")&amp;IF(LEN(IF(LEN(INDEX('My equipment'!$Q$4:$Q$503,(_calc!$E$249-500)))=0,"",INDEX('My equipment'!$Q$4:$Q$503,(_calc!$E$249-500))))=0,"","Claim status: "&amp;IF(LEN(INDEX('My equipment'!$Q$4:$Q$503,(_calc!$E$249-500)))=0,"",INDEX('My equipment'!$Q$4:$Q$503,(_calc!$E$249-500)))&amp;". ")&amp;IF(LEN(IF(LEN(INDEX('My equipment'!$R$4:$R$503,(_calc!$E$249-500)))=0,"",INDEX('My equipment'!$R$4:$R$503,(_calc!$E$249-500))))=0,"","Claims contact: "&amp;IF(LEN(INDEX('My equipment'!$R$4:$R$503,(_calc!$E$249-500)))=0,"",INDEX('My equipment'!$R$4:$R$503,(_calc!$E$249-500)))&amp;". ")&amp;IF(LEN(IF(LEN(INDEX('My equipment'!$S$4:$S$503,(_calc!$E$249-500)))=0,"",INDEX('My equipment'!$S$4:$S$503,(_calc!$E$249-500))))=0,"","Claims email: "&amp;IF(LEN(INDEX('My equipment'!$S$4:$S$503,(_calc!$E$249-500)))=0,"",INDEX('My equipment'!$S$4:$S$503,(_calc!$E$249-500)))&amp;". ")&amp;IF(LEN(IF(LEN(INDEX('My equipment'!$U$4:$U$503,(_calc!$E$249-500)))=0,"",INDEX('My equipment'!$U$4:$U$503,(_calc!$E$249-500))))=0,"","Registered: "&amp;IF(LEN(INDEX('My equipment'!$U$4:$U$503,(_calc!$E$249-500)))=0,"",INDEX('My equipment'!$U$4:$U$503,(_calc!$E$249-500)))&amp;". ")&amp;IF(LEN(IF(LEN(INDEX('My equipment'!$V$4:$V$503,(_calc!$E$249-500)))=0,"",INDEX('My equipment'!$V$4:$V$503,(_calc!$E$249-500))))=0,"","Proof on file: "&amp;IF(LEN(INDEX('My equipment'!$V$4:$V$503,(_calc!$E$249-500)))=0,"",INDEX('My equipment'!$V$4:$V$503,(_calc!$E$249-500)))&amp;". ")&amp;IF(LEN(IF(LEN(INDEX('My equipment'!$W$4:$W$503,(_calc!$E$249-500)))=0,"",INDEX('My equipment'!$W$4:$W$503,(_calc!$E$249-500))))=0,"","Claim ref: "&amp;IF(LEN(INDEX('My equipment'!$W$4:$W$503,(_calc!$E$249-500)))=0,"",INDEX('My equipment'!$W$4:$W$503,(_calc!$E$249-500)))&amp;". ")&amp;IF(LEN(IF(LEN(INDEX('My equipment'!$Y$4:$Y$503,(_calc!$E$249-500)))=0,"",INDEX('My equipment'!$Y$4:$Y$503,(_calc!$E$249-500))))=0,"",IF(LEN(INDEX('My equipment'!$Y$4:$Y$503,(_calc!$E$249-500)))=0,"",INDEX('My equipment'!$Y$4:$Y$503,(_calc!$E$249-500)))))))</f>
        <v/>
      </c>
      <c r="G247" s="54">
        <f>IF(_calc!$E$249="","",IF(_calc!$E$249&lt;=500,"",IF(LEN(INDEX('My equipment'!$X$4:$X$503,(_calc!$E$249-500)))=0,"",INDEX('My equipment'!$X$4:$X$503,(_calc!$E$249-500)))))</f>
        <v/>
      </c>
      <c r="K247" s="54">
        <f>IF(_calc!$E$249="","",IF(_calc!$E$249&lt;=500,"",IF(LEN(INDEX('My equipment'!$T$4:$T$503,(_calc!$E$249-500)))=0,"",INDEX('My equipment'!$T$4:$T$503,(_calc!$E$249-500)))))</f>
        <v/>
      </c>
    </row>
    <row r="248">
      <c r="A248" s="54">
        <f>IF(_calc!$E$250="","",IF(_calc!$E$250&lt;=500,"Warranty – "&amp;IF(LEN(INDEX('Dealer pipeline'!$C$4:$C$503,_calc!$E$250))=0,"",INDEX('Dealer pipeline'!$C$4:$C$503,_calc!$E$250))&amp;" – "&amp;IF(LEN(INDEX('Dealer pipeline'!$D$4:$D$503,_calc!$E$250))=0,"",INDEX('Dealer pipeline'!$D$4:$D$503,_calc!$E$250))&amp;" – "&amp;IF(LEN(INDEX('Dealer pipeline'!$A$4:$A$503,_calc!$E$250))=0,"",INDEX('Dealer pipeline'!$A$4:$A$503,_calc!$E$250)),"Warranty – "&amp;IF(LEN(INDEX('My equipment'!$A$4:$A$503,(_calc!$E$250-500)))=0,"",INDEX('My equipment'!$A$4:$A$503,(_calc!$E$250-500)))&amp;" – "&amp;IF(LEN(INDEX('My equipment'!$D$4:$D$503,(_calc!$E$250-500)))=0,"",INDEX('My equipment'!$D$4:$D$503,(_calc!$E$250-500)))))</f>
        <v/>
      </c>
      <c r="B248" s="54">
        <f>IF(_calc!$E$250="","",IF(_calc!$E$250&lt;=500,IF(ISNUMBER(INDEX('Dealer pipeline'!$M$4:$M$503,_calc!$E$250)),TEXT(INDEX('Dealer pipeline'!$M$4:$M$503,_calc!$E$250),"yyyy-mm-dd"),""),IF(ISNUMBER(INDEX('My equipment'!$M$4:$M$503,(_calc!$E$250-500))),TEXT(INDEX('My equipment'!$M$4:$M$503,(_calc!$E$250-500)),"yyyy-mm-dd"),"")))</f>
        <v/>
      </c>
      <c r="C248" s="54">
        <f>IF(_calc!$E$250="","",IF(_calc!$E$250&lt;=500,"Warranty","Warranty"))</f>
        <v/>
      </c>
      <c r="D248" s="54">
        <f>IF(_calc!$E$250="","",IF(_calc!$E$250&lt;=500,IF(ISNUMBER(INDEX('Dealer pipeline'!$H$4:$H$503,_calc!$E$250)),TEXT(INDEX('Dealer pipeline'!$H$4:$H$503,_calc!$E$250),"yyyy-mm-dd"),""),IF(ISNUMBER(INDEX('My equipment'!$H$4:$H$503,(_calc!$E$250-500))),TEXT(INDEX('My equipment'!$H$4:$H$503,(_calc!$E$250-500)),"yyyy-mm-dd"),"")))</f>
        <v/>
      </c>
      <c r="F248" s="54">
        <f>IF(_calc!$E$250="","",IF(_calc!$E$250&lt;=500,TRIM(IF(LEN(IF(LEN(INDEX('Dealer pipeline'!$A$4:$A$503,_calc!$E$250))=0,"",INDEX('Dealer pipeline'!$A$4:$A$503,_calc!$E$250)))=0,"","Customer: "&amp;IF(LEN(INDEX('Dealer pipeline'!$A$4:$A$503,_calc!$E$250))=0,"",INDEX('Dealer pipeline'!$A$4:$A$503,_calc!$E$250))&amp;". ")&amp;IF(LEN(IF(LEN(INDEX('Dealer pipeline'!$B$4:$B$503,_calc!$E$250))=0,"",INDEX('Dealer pipeline'!$B$4:$B$503,_calc!$E$250)))=0,"","Contact: "&amp;IF(LEN(INDEX('Dealer pipeline'!$B$4:$B$503,_calc!$E$250))=0,"",INDEX('Dealer pipeline'!$B$4:$B$503,_calc!$E$250))&amp;". ")&amp;IF(LEN(IF(LEN(INDEX('Dealer pipeline'!$D$4:$D$503,_calc!$E$250))=0,"",INDEX('Dealer pipeline'!$D$4:$D$503,_calc!$E$250)))=0,"","Serial: "&amp;IF(LEN(INDEX('Dealer pipeline'!$D$4:$D$503,_calc!$E$250))=0,"",INDEX('Dealer pipeline'!$D$4:$D$503,_calc!$E$250))&amp;". ")&amp;IF(LEN(IF(ISNUMBER(INDEX('Dealer pipeline'!$J$4:$J$503,_calc!$E$250)),TEXT(INDEX('Dealer pipeline'!$J$4:$J$503,_calc!$E$250),"yyyy-mm-dd"),""))=0,"","Parts end: "&amp;IF(ISNUMBER(INDEX('Dealer pipeline'!$J$4:$J$503,_calc!$E$250)),TEXT(INDEX('Dealer pipeline'!$J$4:$J$503,_calc!$E$250),"yyyy-mm-dd"),"")&amp;". ")&amp;IF(LEN(IF(ISNUMBER(INDEX('Dealer pipeline'!$L$4:$L$503,_calc!$E$250)),TEXT(INDEX('Dealer pipeline'!$L$4:$L$503,_calc!$E$250),"yyyy-mm-dd"),""))=0,"","Labor end: "&amp;IF(ISNUMBER(INDEX('Dealer pipeline'!$L$4:$L$503,_calc!$E$250)),TEXT(INDEX('Dealer pipeline'!$L$4:$L$503,_calc!$E$250),"yyyy-mm-dd"),"")&amp;". ")&amp;IF(LEN(IF(LEN(INDEX('Dealer pipeline'!$Q$4:$Q$503,_calc!$E$250))=0,"",INDEX('Dealer pipeline'!$Q$4:$Q$503,_calc!$E$250)))=0,"","Status: "&amp;IF(LEN(INDEX('Dealer pipeline'!$Q$4:$Q$503,_calc!$E$250))=0,"",INDEX('Dealer pipeline'!$Q$4:$Q$503,_calc!$E$250))&amp;". ")&amp;IF(LEN(IF(LEN(INDEX('Dealer pipeline'!$P$4:$P$503,_calc!$E$250))=0,"",INDEX('Dealer pipeline'!$P$4:$P$503,_calc!$E$250)))=0,"","Last touch: "&amp;IF(LEN(INDEX('Dealer pipeline'!$P$4:$P$503,_calc!$E$250))=0,"",INDEX('Dealer pipeline'!$P$4:$P$503,_calc!$E$250))&amp;". ")&amp;IF(LEN(IF(LEN(INDEX('Dealer pipeline'!$R$4:$R$503,_calc!$E$250))=0,"",INDEX('Dealer pipeline'!$R$4:$R$503,_calc!$E$250)))=0,"","Owner: "&amp;IF(LEN(INDEX('Dealer pipeline'!$R$4:$R$503,_calc!$E$250))=0,"",INDEX('Dealer pipeline'!$R$4:$R$503,_calc!$E$250))&amp;". ")&amp;IF(LEN(IF(LEN(INDEX('Dealer pipeline'!$S$4:$S$503,_calc!$E$250))=0,"",INDEX('Dealer pipeline'!$S$4:$S$503,_calc!$E$250)))=0,"","Backup: "&amp;IF(LEN(INDEX('Dealer pipeline'!$S$4:$S$503,_calc!$E$250))=0,"",INDEX('Dealer pipeline'!$S$4:$S$503,_calc!$E$250))&amp;". ")&amp;IF(LEN(IF(LEN(INDEX('Dealer pipeline'!$T$4:$T$503,_calc!$E$250))=0,"",INDEX('Dealer pipeline'!$T$4:$T$503,_calc!$E$250)))=0,"",IF(LEN(INDEX('Dealer pipeline'!$T$4:$T$503,_calc!$E$250))=0,"",INDEX('Dealer pipeline'!$T$4:$T$503,_calc!$E$250)))),TRIM(IF(LEN(IF(LEN(INDEX('My equipment'!$C$4:$C$503,(_calc!$E$250-500)))=0,"",INDEX('My equipment'!$C$4:$C$503,(_calc!$E$250-500))))=0,"","Model: "&amp;IF(LEN(INDEX('My equipment'!$C$4:$C$503,(_calc!$E$250-500)))=0,"",INDEX('My equipment'!$C$4:$C$503,(_calc!$E$250-500)))&amp;". ")&amp;IF(LEN(IF(LEN(INDEX('My equipment'!$D$4:$D$503,(_calc!$E$250-500)))=0,"",INDEX('My equipment'!$D$4:$D$503,(_calc!$E$250-500))))=0,"","Serial: "&amp;IF(LEN(INDEX('My equipment'!$D$4:$D$503,(_calc!$E$250-500)))=0,"",INDEX('My equipment'!$D$4:$D$503,(_calc!$E$250-500)))&amp;". ")&amp;IF(LEN(IF(ISNUMBER(INDEX('My equipment'!$J$4:$J$503,(_calc!$E$250-500))),TEXT(INDEX('My equipment'!$J$4:$J$503,(_calc!$E$250-500)),"yyyy-mm-dd"),""))=0,"","Parts end: "&amp;IF(ISNUMBER(INDEX('My equipment'!$J$4:$J$503,(_calc!$E$250-500))),TEXT(INDEX('My equipment'!$J$4:$J$503,(_calc!$E$250-500)),"yyyy-mm-dd"),"")&amp;". ")&amp;IF(LEN(IF(ISNUMBER(INDEX('My equipment'!$L$4:$L$503,(_calc!$E$250-500))),TEXT(INDEX('My equipment'!$L$4:$L$503,(_calc!$E$250-500)),"yyyy-mm-dd"),""))=0,"","Labor end: "&amp;IF(ISNUMBER(INDEX('My equipment'!$L$4:$L$503,(_calc!$E$250-500))),TEXT(INDEX('My equipment'!$L$4:$L$503,(_calc!$E$250-500)),"yyyy-mm-dd"),"")&amp;". ")&amp;IF(LEN(IF(ISNUMBER(INDEX('My equipment'!$P$4:$P$503,(_calc!$E$250-500))),TEXT(INDEX('My equipment'!$P$4:$P$503,(_calc!$E$250-500)),"yyyy-mm-dd"),""))=0,"","Check by: "&amp;IF(ISNUMBER(INDEX('My equipment'!$P$4:$P$503,(_calc!$E$250-500))),TEXT(INDEX('My equipment'!$P$4:$P$503,(_calc!$E$250-500)),"yyyy-mm-dd"),"")&amp;". ")&amp;IF(LEN(IF(LEN(INDEX('My equipment'!$Q$4:$Q$503,(_calc!$E$250-500)))=0,"",INDEX('My equipment'!$Q$4:$Q$503,(_calc!$E$250-500))))=0,"","Claim status: "&amp;IF(LEN(INDEX('My equipment'!$Q$4:$Q$503,(_calc!$E$250-500)))=0,"",INDEX('My equipment'!$Q$4:$Q$503,(_calc!$E$250-500)))&amp;". ")&amp;IF(LEN(IF(LEN(INDEX('My equipment'!$R$4:$R$503,(_calc!$E$250-500)))=0,"",INDEX('My equipment'!$R$4:$R$503,(_calc!$E$250-500))))=0,"","Claims contact: "&amp;IF(LEN(INDEX('My equipment'!$R$4:$R$503,(_calc!$E$250-500)))=0,"",INDEX('My equipment'!$R$4:$R$503,(_calc!$E$250-500)))&amp;". ")&amp;IF(LEN(IF(LEN(INDEX('My equipment'!$S$4:$S$503,(_calc!$E$250-500)))=0,"",INDEX('My equipment'!$S$4:$S$503,(_calc!$E$250-500))))=0,"","Claims email: "&amp;IF(LEN(INDEX('My equipment'!$S$4:$S$503,(_calc!$E$250-500)))=0,"",INDEX('My equipment'!$S$4:$S$503,(_calc!$E$250-500)))&amp;". ")&amp;IF(LEN(IF(LEN(INDEX('My equipment'!$U$4:$U$503,(_calc!$E$250-500)))=0,"",INDEX('My equipment'!$U$4:$U$503,(_calc!$E$250-500))))=0,"","Registered: "&amp;IF(LEN(INDEX('My equipment'!$U$4:$U$503,(_calc!$E$250-500)))=0,"",INDEX('My equipment'!$U$4:$U$503,(_calc!$E$250-500)))&amp;". ")&amp;IF(LEN(IF(LEN(INDEX('My equipment'!$V$4:$V$503,(_calc!$E$250-500)))=0,"",INDEX('My equipment'!$V$4:$V$503,(_calc!$E$250-500))))=0,"","Proof on file: "&amp;IF(LEN(INDEX('My equipment'!$V$4:$V$503,(_calc!$E$250-500)))=0,"",INDEX('My equipment'!$V$4:$V$503,(_calc!$E$250-500)))&amp;". ")&amp;IF(LEN(IF(LEN(INDEX('My equipment'!$W$4:$W$503,(_calc!$E$250-500)))=0,"",INDEX('My equipment'!$W$4:$W$503,(_calc!$E$250-500))))=0,"","Claim ref: "&amp;IF(LEN(INDEX('My equipment'!$W$4:$W$503,(_calc!$E$250-500)))=0,"",INDEX('My equipment'!$W$4:$W$503,(_calc!$E$250-500)))&amp;". ")&amp;IF(LEN(IF(LEN(INDEX('My equipment'!$Y$4:$Y$503,(_calc!$E$250-500)))=0,"",INDEX('My equipment'!$Y$4:$Y$503,(_calc!$E$250-500))))=0,"",IF(LEN(INDEX('My equipment'!$Y$4:$Y$503,(_calc!$E$250-500)))=0,"",INDEX('My equipment'!$Y$4:$Y$503,(_calc!$E$250-500)))))))</f>
        <v/>
      </c>
      <c r="G248" s="54">
        <f>IF(_calc!$E$250="","",IF(_calc!$E$250&lt;=500,"",IF(LEN(INDEX('My equipment'!$X$4:$X$503,(_calc!$E$250-500)))=0,"",INDEX('My equipment'!$X$4:$X$503,(_calc!$E$250-500)))))</f>
        <v/>
      </c>
      <c r="K248" s="54">
        <f>IF(_calc!$E$250="","",IF(_calc!$E$250&lt;=500,"",IF(LEN(INDEX('My equipment'!$T$4:$T$503,(_calc!$E$250-500)))=0,"",INDEX('My equipment'!$T$4:$T$503,(_calc!$E$250-500)))))</f>
        <v/>
      </c>
    </row>
    <row r="249">
      <c r="A249" s="54">
        <f>IF(_calc!$E$251="","",IF(_calc!$E$251&lt;=500,"Warranty – "&amp;IF(LEN(INDEX('Dealer pipeline'!$C$4:$C$503,_calc!$E$251))=0,"",INDEX('Dealer pipeline'!$C$4:$C$503,_calc!$E$251))&amp;" – "&amp;IF(LEN(INDEX('Dealer pipeline'!$D$4:$D$503,_calc!$E$251))=0,"",INDEX('Dealer pipeline'!$D$4:$D$503,_calc!$E$251))&amp;" – "&amp;IF(LEN(INDEX('Dealer pipeline'!$A$4:$A$503,_calc!$E$251))=0,"",INDEX('Dealer pipeline'!$A$4:$A$503,_calc!$E$251)),"Warranty – "&amp;IF(LEN(INDEX('My equipment'!$A$4:$A$503,(_calc!$E$251-500)))=0,"",INDEX('My equipment'!$A$4:$A$503,(_calc!$E$251-500)))&amp;" – "&amp;IF(LEN(INDEX('My equipment'!$D$4:$D$503,(_calc!$E$251-500)))=0,"",INDEX('My equipment'!$D$4:$D$503,(_calc!$E$251-500)))))</f>
        <v/>
      </c>
      <c r="B249" s="54">
        <f>IF(_calc!$E$251="","",IF(_calc!$E$251&lt;=500,IF(ISNUMBER(INDEX('Dealer pipeline'!$M$4:$M$503,_calc!$E$251)),TEXT(INDEX('Dealer pipeline'!$M$4:$M$503,_calc!$E$251),"yyyy-mm-dd"),""),IF(ISNUMBER(INDEX('My equipment'!$M$4:$M$503,(_calc!$E$251-500))),TEXT(INDEX('My equipment'!$M$4:$M$503,(_calc!$E$251-500)),"yyyy-mm-dd"),"")))</f>
        <v/>
      </c>
      <c r="C249" s="54">
        <f>IF(_calc!$E$251="","",IF(_calc!$E$251&lt;=500,"Warranty","Warranty"))</f>
        <v/>
      </c>
      <c r="D249" s="54">
        <f>IF(_calc!$E$251="","",IF(_calc!$E$251&lt;=500,IF(ISNUMBER(INDEX('Dealer pipeline'!$H$4:$H$503,_calc!$E$251)),TEXT(INDEX('Dealer pipeline'!$H$4:$H$503,_calc!$E$251),"yyyy-mm-dd"),""),IF(ISNUMBER(INDEX('My equipment'!$H$4:$H$503,(_calc!$E$251-500))),TEXT(INDEX('My equipment'!$H$4:$H$503,(_calc!$E$251-500)),"yyyy-mm-dd"),"")))</f>
        <v/>
      </c>
      <c r="F249" s="54">
        <f>IF(_calc!$E$251="","",IF(_calc!$E$251&lt;=500,TRIM(IF(LEN(IF(LEN(INDEX('Dealer pipeline'!$A$4:$A$503,_calc!$E$251))=0,"",INDEX('Dealer pipeline'!$A$4:$A$503,_calc!$E$251)))=0,"","Customer: "&amp;IF(LEN(INDEX('Dealer pipeline'!$A$4:$A$503,_calc!$E$251))=0,"",INDEX('Dealer pipeline'!$A$4:$A$503,_calc!$E$251))&amp;". ")&amp;IF(LEN(IF(LEN(INDEX('Dealer pipeline'!$B$4:$B$503,_calc!$E$251))=0,"",INDEX('Dealer pipeline'!$B$4:$B$503,_calc!$E$251)))=0,"","Contact: "&amp;IF(LEN(INDEX('Dealer pipeline'!$B$4:$B$503,_calc!$E$251))=0,"",INDEX('Dealer pipeline'!$B$4:$B$503,_calc!$E$251))&amp;". ")&amp;IF(LEN(IF(LEN(INDEX('Dealer pipeline'!$D$4:$D$503,_calc!$E$251))=0,"",INDEX('Dealer pipeline'!$D$4:$D$503,_calc!$E$251)))=0,"","Serial: "&amp;IF(LEN(INDEX('Dealer pipeline'!$D$4:$D$503,_calc!$E$251))=0,"",INDEX('Dealer pipeline'!$D$4:$D$503,_calc!$E$251))&amp;". ")&amp;IF(LEN(IF(ISNUMBER(INDEX('Dealer pipeline'!$J$4:$J$503,_calc!$E$251)),TEXT(INDEX('Dealer pipeline'!$J$4:$J$503,_calc!$E$251),"yyyy-mm-dd"),""))=0,"","Parts end: "&amp;IF(ISNUMBER(INDEX('Dealer pipeline'!$J$4:$J$503,_calc!$E$251)),TEXT(INDEX('Dealer pipeline'!$J$4:$J$503,_calc!$E$251),"yyyy-mm-dd"),"")&amp;". ")&amp;IF(LEN(IF(ISNUMBER(INDEX('Dealer pipeline'!$L$4:$L$503,_calc!$E$251)),TEXT(INDEX('Dealer pipeline'!$L$4:$L$503,_calc!$E$251),"yyyy-mm-dd"),""))=0,"","Labor end: "&amp;IF(ISNUMBER(INDEX('Dealer pipeline'!$L$4:$L$503,_calc!$E$251)),TEXT(INDEX('Dealer pipeline'!$L$4:$L$503,_calc!$E$251),"yyyy-mm-dd"),"")&amp;". ")&amp;IF(LEN(IF(LEN(INDEX('Dealer pipeline'!$Q$4:$Q$503,_calc!$E$251))=0,"",INDEX('Dealer pipeline'!$Q$4:$Q$503,_calc!$E$251)))=0,"","Status: "&amp;IF(LEN(INDEX('Dealer pipeline'!$Q$4:$Q$503,_calc!$E$251))=0,"",INDEX('Dealer pipeline'!$Q$4:$Q$503,_calc!$E$251))&amp;". ")&amp;IF(LEN(IF(LEN(INDEX('Dealer pipeline'!$P$4:$P$503,_calc!$E$251))=0,"",INDEX('Dealer pipeline'!$P$4:$P$503,_calc!$E$251)))=0,"","Last touch: "&amp;IF(LEN(INDEX('Dealer pipeline'!$P$4:$P$503,_calc!$E$251))=0,"",INDEX('Dealer pipeline'!$P$4:$P$503,_calc!$E$251))&amp;". ")&amp;IF(LEN(IF(LEN(INDEX('Dealer pipeline'!$R$4:$R$503,_calc!$E$251))=0,"",INDEX('Dealer pipeline'!$R$4:$R$503,_calc!$E$251)))=0,"","Owner: "&amp;IF(LEN(INDEX('Dealer pipeline'!$R$4:$R$503,_calc!$E$251))=0,"",INDEX('Dealer pipeline'!$R$4:$R$503,_calc!$E$251))&amp;". ")&amp;IF(LEN(IF(LEN(INDEX('Dealer pipeline'!$S$4:$S$503,_calc!$E$251))=0,"",INDEX('Dealer pipeline'!$S$4:$S$503,_calc!$E$251)))=0,"","Backup: "&amp;IF(LEN(INDEX('Dealer pipeline'!$S$4:$S$503,_calc!$E$251))=0,"",INDEX('Dealer pipeline'!$S$4:$S$503,_calc!$E$251))&amp;". ")&amp;IF(LEN(IF(LEN(INDEX('Dealer pipeline'!$T$4:$T$503,_calc!$E$251))=0,"",INDEX('Dealer pipeline'!$T$4:$T$503,_calc!$E$251)))=0,"",IF(LEN(INDEX('Dealer pipeline'!$T$4:$T$503,_calc!$E$251))=0,"",INDEX('Dealer pipeline'!$T$4:$T$503,_calc!$E$251)))),TRIM(IF(LEN(IF(LEN(INDEX('My equipment'!$C$4:$C$503,(_calc!$E$251-500)))=0,"",INDEX('My equipment'!$C$4:$C$503,(_calc!$E$251-500))))=0,"","Model: "&amp;IF(LEN(INDEX('My equipment'!$C$4:$C$503,(_calc!$E$251-500)))=0,"",INDEX('My equipment'!$C$4:$C$503,(_calc!$E$251-500)))&amp;". ")&amp;IF(LEN(IF(LEN(INDEX('My equipment'!$D$4:$D$503,(_calc!$E$251-500)))=0,"",INDEX('My equipment'!$D$4:$D$503,(_calc!$E$251-500))))=0,"","Serial: "&amp;IF(LEN(INDEX('My equipment'!$D$4:$D$503,(_calc!$E$251-500)))=0,"",INDEX('My equipment'!$D$4:$D$503,(_calc!$E$251-500)))&amp;". ")&amp;IF(LEN(IF(ISNUMBER(INDEX('My equipment'!$J$4:$J$503,(_calc!$E$251-500))),TEXT(INDEX('My equipment'!$J$4:$J$503,(_calc!$E$251-500)),"yyyy-mm-dd"),""))=0,"","Parts end: "&amp;IF(ISNUMBER(INDEX('My equipment'!$J$4:$J$503,(_calc!$E$251-500))),TEXT(INDEX('My equipment'!$J$4:$J$503,(_calc!$E$251-500)),"yyyy-mm-dd"),"")&amp;". ")&amp;IF(LEN(IF(ISNUMBER(INDEX('My equipment'!$L$4:$L$503,(_calc!$E$251-500))),TEXT(INDEX('My equipment'!$L$4:$L$503,(_calc!$E$251-500)),"yyyy-mm-dd"),""))=0,"","Labor end: "&amp;IF(ISNUMBER(INDEX('My equipment'!$L$4:$L$503,(_calc!$E$251-500))),TEXT(INDEX('My equipment'!$L$4:$L$503,(_calc!$E$251-500)),"yyyy-mm-dd"),"")&amp;". ")&amp;IF(LEN(IF(ISNUMBER(INDEX('My equipment'!$P$4:$P$503,(_calc!$E$251-500))),TEXT(INDEX('My equipment'!$P$4:$P$503,(_calc!$E$251-500)),"yyyy-mm-dd"),""))=0,"","Check by: "&amp;IF(ISNUMBER(INDEX('My equipment'!$P$4:$P$503,(_calc!$E$251-500))),TEXT(INDEX('My equipment'!$P$4:$P$503,(_calc!$E$251-500)),"yyyy-mm-dd"),"")&amp;". ")&amp;IF(LEN(IF(LEN(INDEX('My equipment'!$Q$4:$Q$503,(_calc!$E$251-500)))=0,"",INDEX('My equipment'!$Q$4:$Q$503,(_calc!$E$251-500))))=0,"","Claim status: "&amp;IF(LEN(INDEX('My equipment'!$Q$4:$Q$503,(_calc!$E$251-500)))=0,"",INDEX('My equipment'!$Q$4:$Q$503,(_calc!$E$251-500)))&amp;". ")&amp;IF(LEN(IF(LEN(INDEX('My equipment'!$R$4:$R$503,(_calc!$E$251-500)))=0,"",INDEX('My equipment'!$R$4:$R$503,(_calc!$E$251-500))))=0,"","Claims contact: "&amp;IF(LEN(INDEX('My equipment'!$R$4:$R$503,(_calc!$E$251-500)))=0,"",INDEX('My equipment'!$R$4:$R$503,(_calc!$E$251-500)))&amp;". ")&amp;IF(LEN(IF(LEN(INDEX('My equipment'!$S$4:$S$503,(_calc!$E$251-500)))=0,"",INDEX('My equipment'!$S$4:$S$503,(_calc!$E$251-500))))=0,"","Claims email: "&amp;IF(LEN(INDEX('My equipment'!$S$4:$S$503,(_calc!$E$251-500)))=0,"",INDEX('My equipment'!$S$4:$S$503,(_calc!$E$251-500)))&amp;". ")&amp;IF(LEN(IF(LEN(INDEX('My equipment'!$U$4:$U$503,(_calc!$E$251-500)))=0,"",INDEX('My equipment'!$U$4:$U$503,(_calc!$E$251-500))))=0,"","Registered: "&amp;IF(LEN(INDEX('My equipment'!$U$4:$U$503,(_calc!$E$251-500)))=0,"",INDEX('My equipment'!$U$4:$U$503,(_calc!$E$251-500)))&amp;". ")&amp;IF(LEN(IF(LEN(INDEX('My equipment'!$V$4:$V$503,(_calc!$E$251-500)))=0,"",INDEX('My equipment'!$V$4:$V$503,(_calc!$E$251-500))))=0,"","Proof on file: "&amp;IF(LEN(INDEX('My equipment'!$V$4:$V$503,(_calc!$E$251-500)))=0,"",INDEX('My equipment'!$V$4:$V$503,(_calc!$E$251-500)))&amp;". ")&amp;IF(LEN(IF(LEN(INDEX('My equipment'!$W$4:$W$503,(_calc!$E$251-500)))=0,"",INDEX('My equipment'!$W$4:$W$503,(_calc!$E$251-500))))=0,"","Claim ref: "&amp;IF(LEN(INDEX('My equipment'!$W$4:$W$503,(_calc!$E$251-500)))=0,"",INDEX('My equipment'!$W$4:$W$503,(_calc!$E$251-500)))&amp;". ")&amp;IF(LEN(IF(LEN(INDEX('My equipment'!$Y$4:$Y$503,(_calc!$E$251-500)))=0,"",INDEX('My equipment'!$Y$4:$Y$503,(_calc!$E$251-500))))=0,"",IF(LEN(INDEX('My equipment'!$Y$4:$Y$503,(_calc!$E$251-500)))=0,"",INDEX('My equipment'!$Y$4:$Y$503,(_calc!$E$251-500)))))))</f>
        <v/>
      </c>
      <c r="G249" s="54">
        <f>IF(_calc!$E$251="","",IF(_calc!$E$251&lt;=500,"",IF(LEN(INDEX('My equipment'!$X$4:$X$503,(_calc!$E$251-500)))=0,"",INDEX('My equipment'!$X$4:$X$503,(_calc!$E$251-500)))))</f>
        <v/>
      </c>
      <c r="K249" s="54">
        <f>IF(_calc!$E$251="","",IF(_calc!$E$251&lt;=500,"",IF(LEN(INDEX('My equipment'!$T$4:$T$503,(_calc!$E$251-500)))=0,"",INDEX('My equipment'!$T$4:$T$503,(_calc!$E$251-500)))))</f>
        <v/>
      </c>
    </row>
    <row r="250">
      <c r="A250" s="54">
        <f>IF(_calc!$E$252="","",IF(_calc!$E$252&lt;=500,"Warranty – "&amp;IF(LEN(INDEX('Dealer pipeline'!$C$4:$C$503,_calc!$E$252))=0,"",INDEX('Dealer pipeline'!$C$4:$C$503,_calc!$E$252))&amp;" – "&amp;IF(LEN(INDEX('Dealer pipeline'!$D$4:$D$503,_calc!$E$252))=0,"",INDEX('Dealer pipeline'!$D$4:$D$503,_calc!$E$252))&amp;" – "&amp;IF(LEN(INDEX('Dealer pipeline'!$A$4:$A$503,_calc!$E$252))=0,"",INDEX('Dealer pipeline'!$A$4:$A$503,_calc!$E$252)),"Warranty – "&amp;IF(LEN(INDEX('My equipment'!$A$4:$A$503,(_calc!$E$252-500)))=0,"",INDEX('My equipment'!$A$4:$A$503,(_calc!$E$252-500)))&amp;" – "&amp;IF(LEN(INDEX('My equipment'!$D$4:$D$503,(_calc!$E$252-500)))=0,"",INDEX('My equipment'!$D$4:$D$503,(_calc!$E$252-500)))))</f>
        <v/>
      </c>
      <c r="B250" s="54">
        <f>IF(_calc!$E$252="","",IF(_calc!$E$252&lt;=500,IF(ISNUMBER(INDEX('Dealer pipeline'!$M$4:$M$503,_calc!$E$252)),TEXT(INDEX('Dealer pipeline'!$M$4:$M$503,_calc!$E$252),"yyyy-mm-dd"),""),IF(ISNUMBER(INDEX('My equipment'!$M$4:$M$503,(_calc!$E$252-500))),TEXT(INDEX('My equipment'!$M$4:$M$503,(_calc!$E$252-500)),"yyyy-mm-dd"),"")))</f>
        <v/>
      </c>
      <c r="C250" s="54">
        <f>IF(_calc!$E$252="","",IF(_calc!$E$252&lt;=500,"Warranty","Warranty"))</f>
        <v/>
      </c>
      <c r="D250" s="54">
        <f>IF(_calc!$E$252="","",IF(_calc!$E$252&lt;=500,IF(ISNUMBER(INDEX('Dealer pipeline'!$H$4:$H$503,_calc!$E$252)),TEXT(INDEX('Dealer pipeline'!$H$4:$H$503,_calc!$E$252),"yyyy-mm-dd"),""),IF(ISNUMBER(INDEX('My equipment'!$H$4:$H$503,(_calc!$E$252-500))),TEXT(INDEX('My equipment'!$H$4:$H$503,(_calc!$E$252-500)),"yyyy-mm-dd"),"")))</f>
        <v/>
      </c>
      <c r="F250" s="54">
        <f>IF(_calc!$E$252="","",IF(_calc!$E$252&lt;=500,TRIM(IF(LEN(IF(LEN(INDEX('Dealer pipeline'!$A$4:$A$503,_calc!$E$252))=0,"",INDEX('Dealer pipeline'!$A$4:$A$503,_calc!$E$252)))=0,"","Customer: "&amp;IF(LEN(INDEX('Dealer pipeline'!$A$4:$A$503,_calc!$E$252))=0,"",INDEX('Dealer pipeline'!$A$4:$A$503,_calc!$E$252))&amp;". ")&amp;IF(LEN(IF(LEN(INDEX('Dealer pipeline'!$B$4:$B$503,_calc!$E$252))=0,"",INDEX('Dealer pipeline'!$B$4:$B$503,_calc!$E$252)))=0,"","Contact: "&amp;IF(LEN(INDEX('Dealer pipeline'!$B$4:$B$503,_calc!$E$252))=0,"",INDEX('Dealer pipeline'!$B$4:$B$503,_calc!$E$252))&amp;". ")&amp;IF(LEN(IF(LEN(INDEX('Dealer pipeline'!$D$4:$D$503,_calc!$E$252))=0,"",INDEX('Dealer pipeline'!$D$4:$D$503,_calc!$E$252)))=0,"","Serial: "&amp;IF(LEN(INDEX('Dealer pipeline'!$D$4:$D$503,_calc!$E$252))=0,"",INDEX('Dealer pipeline'!$D$4:$D$503,_calc!$E$252))&amp;". ")&amp;IF(LEN(IF(ISNUMBER(INDEX('Dealer pipeline'!$J$4:$J$503,_calc!$E$252)),TEXT(INDEX('Dealer pipeline'!$J$4:$J$503,_calc!$E$252),"yyyy-mm-dd"),""))=0,"","Parts end: "&amp;IF(ISNUMBER(INDEX('Dealer pipeline'!$J$4:$J$503,_calc!$E$252)),TEXT(INDEX('Dealer pipeline'!$J$4:$J$503,_calc!$E$252),"yyyy-mm-dd"),"")&amp;". ")&amp;IF(LEN(IF(ISNUMBER(INDEX('Dealer pipeline'!$L$4:$L$503,_calc!$E$252)),TEXT(INDEX('Dealer pipeline'!$L$4:$L$503,_calc!$E$252),"yyyy-mm-dd"),""))=0,"","Labor end: "&amp;IF(ISNUMBER(INDEX('Dealer pipeline'!$L$4:$L$503,_calc!$E$252)),TEXT(INDEX('Dealer pipeline'!$L$4:$L$503,_calc!$E$252),"yyyy-mm-dd"),"")&amp;". ")&amp;IF(LEN(IF(LEN(INDEX('Dealer pipeline'!$Q$4:$Q$503,_calc!$E$252))=0,"",INDEX('Dealer pipeline'!$Q$4:$Q$503,_calc!$E$252)))=0,"","Status: "&amp;IF(LEN(INDEX('Dealer pipeline'!$Q$4:$Q$503,_calc!$E$252))=0,"",INDEX('Dealer pipeline'!$Q$4:$Q$503,_calc!$E$252))&amp;". ")&amp;IF(LEN(IF(LEN(INDEX('Dealer pipeline'!$P$4:$P$503,_calc!$E$252))=0,"",INDEX('Dealer pipeline'!$P$4:$P$503,_calc!$E$252)))=0,"","Last touch: "&amp;IF(LEN(INDEX('Dealer pipeline'!$P$4:$P$503,_calc!$E$252))=0,"",INDEX('Dealer pipeline'!$P$4:$P$503,_calc!$E$252))&amp;". ")&amp;IF(LEN(IF(LEN(INDEX('Dealer pipeline'!$R$4:$R$503,_calc!$E$252))=0,"",INDEX('Dealer pipeline'!$R$4:$R$503,_calc!$E$252)))=0,"","Owner: "&amp;IF(LEN(INDEX('Dealer pipeline'!$R$4:$R$503,_calc!$E$252))=0,"",INDEX('Dealer pipeline'!$R$4:$R$503,_calc!$E$252))&amp;". ")&amp;IF(LEN(IF(LEN(INDEX('Dealer pipeline'!$S$4:$S$503,_calc!$E$252))=0,"",INDEX('Dealer pipeline'!$S$4:$S$503,_calc!$E$252)))=0,"","Backup: "&amp;IF(LEN(INDEX('Dealer pipeline'!$S$4:$S$503,_calc!$E$252))=0,"",INDEX('Dealer pipeline'!$S$4:$S$503,_calc!$E$252))&amp;". ")&amp;IF(LEN(IF(LEN(INDEX('Dealer pipeline'!$T$4:$T$503,_calc!$E$252))=0,"",INDEX('Dealer pipeline'!$T$4:$T$503,_calc!$E$252)))=0,"",IF(LEN(INDEX('Dealer pipeline'!$T$4:$T$503,_calc!$E$252))=0,"",INDEX('Dealer pipeline'!$T$4:$T$503,_calc!$E$252)))),TRIM(IF(LEN(IF(LEN(INDEX('My equipment'!$C$4:$C$503,(_calc!$E$252-500)))=0,"",INDEX('My equipment'!$C$4:$C$503,(_calc!$E$252-500))))=0,"","Model: "&amp;IF(LEN(INDEX('My equipment'!$C$4:$C$503,(_calc!$E$252-500)))=0,"",INDEX('My equipment'!$C$4:$C$503,(_calc!$E$252-500)))&amp;". ")&amp;IF(LEN(IF(LEN(INDEX('My equipment'!$D$4:$D$503,(_calc!$E$252-500)))=0,"",INDEX('My equipment'!$D$4:$D$503,(_calc!$E$252-500))))=0,"","Serial: "&amp;IF(LEN(INDEX('My equipment'!$D$4:$D$503,(_calc!$E$252-500)))=0,"",INDEX('My equipment'!$D$4:$D$503,(_calc!$E$252-500)))&amp;". ")&amp;IF(LEN(IF(ISNUMBER(INDEX('My equipment'!$J$4:$J$503,(_calc!$E$252-500))),TEXT(INDEX('My equipment'!$J$4:$J$503,(_calc!$E$252-500)),"yyyy-mm-dd"),""))=0,"","Parts end: "&amp;IF(ISNUMBER(INDEX('My equipment'!$J$4:$J$503,(_calc!$E$252-500))),TEXT(INDEX('My equipment'!$J$4:$J$503,(_calc!$E$252-500)),"yyyy-mm-dd"),"")&amp;". ")&amp;IF(LEN(IF(ISNUMBER(INDEX('My equipment'!$L$4:$L$503,(_calc!$E$252-500))),TEXT(INDEX('My equipment'!$L$4:$L$503,(_calc!$E$252-500)),"yyyy-mm-dd"),""))=0,"","Labor end: "&amp;IF(ISNUMBER(INDEX('My equipment'!$L$4:$L$503,(_calc!$E$252-500))),TEXT(INDEX('My equipment'!$L$4:$L$503,(_calc!$E$252-500)),"yyyy-mm-dd"),"")&amp;". ")&amp;IF(LEN(IF(ISNUMBER(INDEX('My equipment'!$P$4:$P$503,(_calc!$E$252-500))),TEXT(INDEX('My equipment'!$P$4:$P$503,(_calc!$E$252-500)),"yyyy-mm-dd"),""))=0,"","Check by: "&amp;IF(ISNUMBER(INDEX('My equipment'!$P$4:$P$503,(_calc!$E$252-500))),TEXT(INDEX('My equipment'!$P$4:$P$503,(_calc!$E$252-500)),"yyyy-mm-dd"),"")&amp;". ")&amp;IF(LEN(IF(LEN(INDEX('My equipment'!$Q$4:$Q$503,(_calc!$E$252-500)))=0,"",INDEX('My equipment'!$Q$4:$Q$503,(_calc!$E$252-500))))=0,"","Claim status: "&amp;IF(LEN(INDEX('My equipment'!$Q$4:$Q$503,(_calc!$E$252-500)))=0,"",INDEX('My equipment'!$Q$4:$Q$503,(_calc!$E$252-500)))&amp;". ")&amp;IF(LEN(IF(LEN(INDEX('My equipment'!$R$4:$R$503,(_calc!$E$252-500)))=0,"",INDEX('My equipment'!$R$4:$R$503,(_calc!$E$252-500))))=0,"","Claims contact: "&amp;IF(LEN(INDEX('My equipment'!$R$4:$R$503,(_calc!$E$252-500)))=0,"",INDEX('My equipment'!$R$4:$R$503,(_calc!$E$252-500)))&amp;". ")&amp;IF(LEN(IF(LEN(INDEX('My equipment'!$S$4:$S$503,(_calc!$E$252-500)))=0,"",INDEX('My equipment'!$S$4:$S$503,(_calc!$E$252-500))))=0,"","Claims email: "&amp;IF(LEN(INDEX('My equipment'!$S$4:$S$503,(_calc!$E$252-500)))=0,"",INDEX('My equipment'!$S$4:$S$503,(_calc!$E$252-500)))&amp;". ")&amp;IF(LEN(IF(LEN(INDEX('My equipment'!$U$4:$U$503,(_calc!$E$252-500)))=0,"",INDEX('My equipment'!$U$4:$U$503,(_calc!$E$252-500))))=0,"","Registered: "&amp;IF(LEN(INDEX('My equipment'!$U$4:$U$503,(_calc!$E$252-500)))=0,"",INDEX('My equipment'!$U$4:$U$503,(_calc!$E$252-500)))&amp;". ")&amp;IF(LEN(IF(LEN(INDEX('My equipment'!$V$4:$V$503,(_calc!$E$252-500)))=0,"",INDEX('My equipment'!$V$4:$V$503,(_calc!$E$252-500))))=0,"","Proof on file: "&amp;IF(LEN(INDEX('My equipment'!$V$4:$V$503,(_calc!$E$252-500)))=0,"",INDEX('My equipment'!$V$4:$V$503,(_calc!$E$252-500)))&amp;". ")&amp;IF(LEN(IF(LEN(INDEX('My equipment'!$W$4:$W$503,(_calc!$E$252-500)))=0,"",INDEX('My equipment'!$W$4:$W$503,(_calc!$E$252-500))))=0,"","Claim ref: "&amp;IF(LEN(INDEX('My equipment'!$W$4:$W$503,(_calc!$E$252-500)))=0,"",INDEX('My equipment'!$W$4:$W$503,(_calc!$E$252-500)))&amp;". ")&amp;IF(LEN(IF(LEN(INDEX('My equipment'!$Y$4:$Y$503,(_calc!$E$252-500)))=0,"",INDEX('My equipment'!$Y$4:$Y$503,(_calc!$E$252-500))))=0,"",IF(LEN(INDEX('My equipment'!$Y$4:$Y$503,(_calc!$E$252-500)))=0,"",INDEX('My equipment'!$Y$4:$Y$503,(_calc!$E$252-500)))))))</f>
        <v/>
      </c>
      <c r="G250" s="54">
        <f>IF(_calc!$E$252="","",IF(_calc!$E$252&lt;=500,"",IF(LEN(INDEX('My equipment'!$X$4:$X$503,(_calc!$E$252-500)))=0,"",INDEX('My equipment'!$X$4:$X$503,(_calc!$E$252-500)))))</f>
        <v/>
      </c>
      <c r="K250" s="54">
        <f>IF(_calc!$E$252="","",IF(_calc!$E$252&lt;=500,"",IF(LEN(INDEX('My equipment'!$T$4:$T$503,(_calc!$E$252-500)))=0,"",INDEX('My equipment'!$T$4:$T$503,(_calc!$E$252-500)))))</f>
        <v/>
      </c>
    </row>
    <row r="251">
      <c r="A251" s="54">
        <f>IF(_calc!$E$253="","",IF(_calc!$E$253&lt;=500,"Warranty – "&amp;IF(LEN(INDEX('Dealer pipeline'!$C$4:$C$503,_calc!$E$253))=0,"",INDEX('Dealer pipeline'!$C$4:$C$503,_calc!$E$253))&amp;" – "&amp;IF(LEN(INDEX('Dealer pipeline'!$D$4:$D$503,_calc!$E$253))=0,"",INDEX('Dealer pipeline'!$D$4:$D$503,_calc!$E$253))&amp;" – "&amp;IF(LEN(INDEX('Dealer pipeline'!$A$4:$A$503,_calc!$E$253))=0,"",INDEX('Dealer pipeline'!$A$4:$A$503,_calc!$E$253)),"Warranty – "&amp;IF(LEN(INDEX('My equipment'!$A$4:$A$503,(_calc!$E$253-500)))=0,"",INDEX('My equipment'!$A$4:$A$503,(_calc!$E$253-500)))&amp;" – "&amp;IF(LEN(INDEX('My equipment'!$D$4:$D$503,(_calc!$E$253-500)))=0,"",INDEX('My equipment'!$D$4:$D$503,(_calc!$E$253-500)))))</f>
        <v/>
      </c>
      <c r="B251" s="54">
        <f>IF(_calc!$E$253="","",IF(_calc!$E$253&lt;=500,IF(ISNUMBER(INDEX('Dealer pipeline'!$M$4:$M$503,_calc!$E$253)),TEXT(INDEX('Dealer pipeline'!$M$4:$M$503,_calc!$E$253),"yyyy-mm-dd"),""),IF(ISNUMBER(INDEX('My equipment'!$M$4:$M$503,(_calc!$E$253-500))),TEXT(INDEX('My equipment'!$M$4:$M$503,(_calc!$E$253-500)),"yyyy-mm-dd"),"")))</f>
        <v/>
      </c>
      <c r="C251" s="54">
        <f>IF(_calc!$E$253="","",IF(_calc!$E$253&lt;=500,"Warranty","Warranty"))</f>
        <v/>
      </c>
      <c r="D251" s="54">
        <f>IF(_calc!$E$253="","",IF(_calc!$E$253&lt;=500,IF(ISNUMBER(INDEX('Dealer pipeline'!$H$4:$H$503,_calc!$E$253)),TEXT(INDEX('Dealer pipeline'!$H$4:$H$503,_calc!$E$253),"yyyy-mm-dd"),""),IF(ISNUMBER(INDEX('My equipment'!$H$4:$H$503,(_calc!$E$253-500))),TEXT(INDEX('My equipment'!$H$4:$H$503,(_calc!$E$253-500)),"yyyy-mm-dd"),"")))</f>
        <v/>
      </c>
      <c r="F251" s="54">
        <f>IF(_calc!$E$253="","",IF(_calc!$E$253&lt;=500,TRIM(IF(LEN(IF(LEN(INDEX('Dealer pipeline'!$A$4:$A$503,_calc!$E$253))=0,"",INDEX('Dealer pipeline'!$A$4:$A$503,_calc!$E$253)))=0,"","Customer: "&amp;IF(LEN(INDEX('Dealer pipeline'!$A$4:$A$503,_calc!$E$253))=0,"",INDEX('Dealer pipeline'!$A$4:$A$503,_calc!$E$253))&amp;". ")&amp;IF(LEN(IF(LEN(INDEX('Dealer pipeline'!$B$4:$B$503,_calc!$E$253))=0,"",INDEX('Dealer pipeline'!$B$4:$B$503,_calc!$E$253)))=0,"","Contact: "&amp;IF(LEN(INDEX('Dealer pipeline'!$B$4:$B$503,_calc!$E$253))=0,"",INDEX('Dealer pipeline'!$B$4:$B$503,_calc!$E$253))&amp;". ")&amp;IF(LEN(IF(LEN(INDEX('Dealer pipeline'!$D$4:$D$503,_calc!$E$253))=0,"",INDEX('Dealer pipeline'!$D$4:$D$503,_calc!$E$253)))=0,"","Serial: "&amp;IF(LEN(INDEX('Dealer pipeline'!$D$4:$D$503,_calc!$E$253))=0,"",INDEX('Dealer pipeline'!$D$4:$D$503,_calc!$E$253))&amp;". ")&amp;IF(LEN(IF(ISNUMBER(INDEX('Dealer pipeline'!$J$4:$J$503,_calc!$E$253)),TEXT(INDEX('Dealer pipeline'!$J$4:$J$503,_calc!$E$253),"yyyy-mm-dd"),""))=0,"","Parts end: "&amp;IF(ISNUMBER(INDEX('Dealer pipeline'!$J$4:$J$503,_calc!$E$253)),TEXT(INDEX('Dealer pipeline'!$J$4:$J$503,_calc!$E$253),"yyyy-mm-dd"),"")&amp;". ")&amp;IF(LEN(IF(ISNUMBER(INDEX('Dealer pipeline'!$L$4:$L$503,_calc!$E$253)),TEXT(INDEX('Dealer pipeline'!$L$4:$L$503,_calc!$E$253),"yyyy-mm-dd"),""))=0,"","Labor end: "&amp;IF(ISNUMBER(INDEX('Dealer pipeline'!$L$4:$L$503,_calc!$E$253)),TEXT(INDEX('Dealer pipeline'!$L$4:$L$503,_calc!$E$253),"yyyy-mm-dd"),"")&amp;". ")&amp;IF(LEN(IF(LEN(INDEX('Dealer pipeline'!$Q$4:$Q$503,_calc!$E$253))=0,"",INDEX('Dealer pipeline'!$Q$4:$Q$503,_calc!$E$253)))=0,"","Status: "&amp;IF(LEN(INDEX('Dealer pipeline'!$Q$4:$Q$503,_calc!$E$253))=0,"",INDEX('Dealer pipeline'!$Q$4:$Q$503,_calc!$E$253))&amp;". ")&amp;IF(LEN(IF(LEN(INDEX('Dealer pipeline'!$P$4:$P$503,_calc!$E$253))=0,"",INDEX('Dealer pipeline'!$P$4:$P$503,_calc!$E$253)))=0,"","Last touch: "&amp;IF(LEN(INDEX('Dealer pipeline'!$P$4:$P$503,_calc!$E$253))=0,"",INDEX('Dealer pipeline'!$P$4:$P$503,_calc!$E$253))&amp;". ")&amp;IF(LEN(IF(LEN(INDEX('Dealer pipeline'!$R$4:$R$503,_calc!$E$253))=0,"",INDEX('Dealer pipeline'!$R$4:$R$503,_calc!$E$253)))=0,"","Owner: "&amp;IF(LEN(INDEX('Dealer pipeline'!$R$4:$R$503,_calc!$E$253))=0,"",INDEX('Dealer pipeline'!$R$4:$R$503,_calc!$E$253))&amp;". ")&amp;IF(LEN(IF(LEN(INDEX('Dealer pipeline'!$S$4:$S$503,_calc!$E$253))=0,"",INDEX('Dealer pipeline'!$S$4:$S$503,_calc!$E$253)))=0,"","Backup: "&amp;IF(LEN(INDEX('Dealer pipeline'!$S$4:$S$503,_calc!$E$253))=0,"",INDEX('Dealer pipeline'!$S$4:$S$503,_calc!$E$253))&amp;". ")&amp;IF(LEN(IF(LEN(INDEX('Dealer pipeline'!$T$4:$T$503,_calc!$E$253))=0,"",INDEX('Dealer pipeline'!$T$4:$T$503,_calc!$E$253)))=0,"",IF(LEN(INDEX('Dealer pipeline'!$T$4:$T$503,_calc!$E$253))=0,"",INDEX('Dealer pipeline'!$T$4:$T$503,_calc!$E$253)))),TRIM(IF(LEN(IF(LEN(INDEX('My equipment'!$C$4:$C$503,(_calc!$E$253-500)))=0,"",INDEX('My equipment'!$C$4:$C$503,(_calc!$E$253-500))))=0,"","Model: "&amp;IF(LEN(INDEX('My equipment'!$C$4:$C$503,(_calc!$E$253-500)))=0,"",INDEX('My equipment'!$C$4:$C$503,(_calc!$E$253-500)))&amp;". ")&amp;IF(LEN(IF(LEN(INDEX('My equipment'!$D$4:$D$503,(_calc!$E$253-500)))=0,"",INDEX('My equipment'!$D$4:$D$503,(_calc!$E$253-500))))=0,"","Serial: "&amp;IF(LEN(INDEX('My equipment'!$D$4:$D$503,(_calc!$E$253-500)))=0,"",INDEX('My equipment'!$D$4:$D$503,(_calc!$E$253-500)))&amp;". ")&amp;IF(LEN(IF(ISNUMBER(INDEX('My equipment'!$J$4:$J$503,(_calc!$E$253-500))),TEXT(INDEX('My equipment'!$J$4:$J$503,(_calc!$E$253-500)),"yyyy-mm-dd"),""))=0,"","Parts end: "&amp;IF(ISNUMBER(INDEX('My equipment'!$J$4:$J$503,(_calc!$E$253-500))),TEXT(INDEX('My equipment'!$J$4:$J$503,(_calc!$E$253-500)),"yyyy-mm-dd"),"")&amp;". ")&amp;IF(LEN(IF(ISNUMBER(INDEX('My equipment'!$L$4:$L$503,(_calc!$E$253-500))),TEXT(INDEX('My equipment'!$L$4:$L$503,(_calc!$E$253-500)),"yyyy-mm-dd"),""))=0,"","Labor end: "&amp;IF(ISNUMBER(INDEX('My equipment'!$L$4:$L$503,(_calc!$E$253-500))),TEXT(INDEX('My equipment'!$L$4:$L$503,(_calc!$E$253-500)),"yyyy-mm-dd"),"")&amp;". ")&amp;IF(LEN(IF(ISNUMBER(INDEX('My equipment'!$P$4:$P$503,(_calc!$E$253-500))),TEXT(INDEX('My equipment'!$P$4:$P$503,(_calc!$E$253-500)),"yyyy-mm-dd"),""))=0,"","Check by: "&amp;IF(ISNUMBER(INDEX('My equipment'!$P$4:$P$503,(_calc!$E$253-500))),TEXT(INDEX('My equipment'!$P$4:$P$503,(_calc!$E$253-500)),"yyyy-mm-dd"),"")&amp;". ")&amp;IF(LEN(IF(LEN(INDEX('My equipment'!$Q$4:$Q$503,(_calc!$E$253-500)))=0,"",INDEX('My equipment'!$Q$4:$Q$503,(_calc!$E$253-500))))=0,"","Claim status: "&amp;IF(LEN(INDEX('My equipment'!$Q$4:$Q$503,(_calc!$E$253-500)))=0,"",INDEX('My equipment'!$Q$4:$Q$503,(_calc!$E$253-500)))&amp;". ")&amp;IF(LEN(IF(LEN(INDEX('My equipment'!$R$4:$R$503,(_calc!$E$253-500)))=0,"",INDEX('My equipment'!$R$4:$R$503,(_calc!$E$253-500))))=0,"","Claims contact: "&amp;IF(LEN(INDEX('My equipment'!$R$4:$R$503,(_calc!$E$253-500)))=0,"",INDEX('My equipment'!$R$4:$R$503,(_calc!$E$253-500)))&amp;". ")&amp;IF(LEN(IF(LEN(INDEX('My equipment'!$S$4:$S$503,(_calc!$E$253-500)))=0,"",INDEX('My equipment'!$S$4:$S$503,(_calc!$E$253-500))))=0,"","Claims email: "&amp;IF(LEN(INDEX('My equipment'!$S$4:$S$503,(_calc!$E$253-500)))=0,"",INDEX('My equipment'!$S$4:$S$503,(_calc!$E$253-500)))&amp;". ")&amp;IF(LEN(IF(LEN(INDEX('My equipment'!$U$4:$U$503,(_calc!$E$253-500)))=0,"",INDEX('My equipment'!$U$4:$U$503,(_calc!$E$253-500))))=0,"","Registered: "&amp;IF(LEN(INDEX('My equipment'!$U$4:$U$503,(_calc!$E$253-500)))=0,"",INDEX('My equipment'!$U$4:$U$503,(_calc!$E$253-500)))&amp;". ")&amp;IF(LEN(IF(LEN(INDEX('My equipment'!$V$4:$V$503,(_calc!$E$253-500)))=0,"",INDEX('My equipment'!$V$4:$V$503,(_calc!$E$253-500))))=0,"","Proof on file: "&amp;IF(LEN(INDEX('My equipment'!$V$4:$V$503,(_calc!$E$253-500)))=0,"",INDEX('My equipment'!$V$4:$V$503,(_calc!$E$253-500)))&amp;". ")&amp;IF(LEN(IF(LEN(INDEX('My equipment'!$W$4:$W$503,(_calc!$E$253-500)))=0,"",INDEX('My equipment'!$W$4:$W$503,(_calc!$E$253-500))))=0,"","Claim ref: "&amp;IF(LEN(INDEX('My equipment'!$W$4:$W$503,(_calc!$E$253-500)))=0,"",INDEX('My equipment'!$W$4:$W$503,(_calc!$E$253-500)))&amp;". ")&amp;IF(LEN(IF(LEN(INDEX('My equipment'!$Y$4:$Y$503,(_calc!$E$253-500)))=0,"",INDEX('My equipment'!$Y$4:$Y$503,(_calc!$E$253-500))))=0,"",IF(LEN(INDEX('My equipment'!$Y$4:$Y$503,(_calc!$E$253-500)))=0,"",INDEX('My equipment'!$Y$4:$Y$503,(_calc!$E$253-500)))))))</f>
        <v/>
      </c>
      <c r="G251" s="54">
        <f>IF(_calc!$E$253="","",IF(_calc!$E$253&lt;=500,"",IF(LEN(INDEX('My equipment'!$X$4:$X$503,(_calc!$E$253-500)))=0,"",INDEX('My equipment'!$X$4:$X$503,(_calc!$E$253-500)))))</f>
        <v/>
      </c>
      <c r="K251" s="54">
        <f>IF(_calc!$E$253="","",IF(_calc!$E$253&lt;=500,"",IF(LEN(INDEX('My equipment'!$T$4:$T$503,(_calc!$E$253-500)))=0,"",INDEX('My equipment'!$T$4:$T$503,(_calc!$E$253-500)))))</f>
        <v/>
      </c>
    </row>
    <row r="252">
      <c r="A252" s="54">
        <f>IF(_calc!$E$254="","",IF(_calc!$E$254&lt;=500,"Warranty – "&amp;IF(LEN(INDEX('Dealer pipeline'!$C$4:$C$503,_calc!$E$254))=0,"",INDEX('Dealer pipeline'!$C$4:$C$503,_calc!$E$254))&amp;" – "&amp;IF(LEN(INDEX('Dealer pipeline'!$D$4:$D$503,_calc!$E$254))=0,"",INDEX('Dealer pipeline'!$D$4:$D$503,_calc!$E$254))&amp;" – "&amp;IF(LEN(INDEX('Dealer pipeline'!$A$4:$A$503,_calc!$E$254))=0,"",INDEX('Dealer pipeline'!$A$4:$A$503,_calc!$E$254)),"Warranty – "&amp;IF(LEN(INDEX('My equipment'!$A$4:$A$503,(_calc!$E$254-500)))=0,"",INDEX('My equipment'!$A$4:$A$503,(_calc!$E$254-500)))&amp;" – "&amp;IF(LEN(INDEX('My equipment'!$D$4:$D$503,(_calc!$E$254-500)))=0,"",INDEX('My equipment'!$D$4:$D$503,(_calc!$E$254-500)))))</f>
        <v/>
      </c>
      <c r="B252" s="54">
        <f>IF(_calc!$E$254="","",IF(_calc!$E$254&lt;=500,IF(ISNUMBER(INDEX('Dealer pipeline'!$M$4:$M$503,_calc!$E$254)),TEXT(INDEX('Dealer pipeline'!$M$4:$M$503,_calc!$E$254),"yyyy-mm-dd"),""),IF(ISNUMBER(INDEX('My equipment'!$M$4:$M$503,(_calc!$E$254-500))),TEXT(INDEX('My equipment'!$M$4:$M$503,(_calc!$E$254-500)),"yyyy-mm-dd"),"")))</f>
        <v/>
      </c>
      <c r="C252" s="54">
        <f>IF(_calc!$E$254="","",IF(_calc!$E$254&lt;=500,"Warranty","Warranty"))</f>
        <v/>
      </c>
      <c r="D252" s="54">
        <f>IF(_calc!$E$254="","",IF(_calc!$E$254&lt;=500,IF(ISNUMBER(INDEX('Dealer pipeline'!$H$4:$H$503,_calc!$E$254)),TEXT(INDEX('Dealer pipeline'!$H$4:$H$503,_calc!$E$254),"yyyy-mm-dd"),""),IF(ISNUMBER(INDEX('My equipment'!$H$4:$H$503,(_calc!$E$254-500))),TEXT(INDEX('My equipment'!$H$4:$H$503,(_calc!$E$254-500)),"yyyy-mm-dd"),"")))</f>
        <v/>
      </c>
      <c r="F252" s="54">
        <f>IF(_calc!$E$254="","",IF(_calc!$E$254&lt;=500,TRIM(IF(LEN(IF(LEN(INDEX('Dealer pipeline'!$A$4:$A$503,_calc!$E$254))=0,"",INDEX('Dealer pipeline'!$A$4:$A$503,_calc!$E$254)))=0,"","Customer: "&amp;IF(LEN(INDEX('Dealer pipeline'!$A$4:$A$503,_calc!$E$254))=0,"",INDEX('Dealer pipeline'!$A$4:$A$503,_calc!$E$254))&amp;". ")&amp;IF(LEN(IF(LEN(INDEX('Dealer pipeline'!$B$4:$B$503,_calc!$E$254))=0,"",INDEX('Dealer pipeline'!$B$4:$B$503,_calc!$E$254)))=0,"","Contact: "&amp;IF(LEN(INDEX('Dealer pipeline'!$B$4:$B$503,_calc!$E$254))=0,"",INDEX('Dealer pipeline'!$B$4:$B$503,_calc!$E$254))&amp;". ")&amp;IF(LEN(IF(LEN(INDEX('Dealer pipeline'!$D$4:$D$503,_calc!$E$254))=0,"",INDEX('Dealer pipeline'!$D$4:$D$503,_calc!$E$254)))=0,"","Serial: "&amp;IF(LEN(INDEX('Dealer pipeline'!$D$4:$D$503,_calc!$E$254))=0,"",INDEX('Dealer pipeline'!$D$4:$D$503,_calc!$E$254))&amp;". ")&amp;IF(LEN(IF(ISNUMBER(INDEX('Dealer pipeline'!$J$4:$J$503,_calc!$E$254)),TEXT(INDEX('Dealer pipeline'!$J$4:$J$503,_calc!$E$254),"yyyy-mm-dd"),""))=0,"","Parts end: "&amp;IF(ISNUMBER(INDEX('Dealer pipeline'!$J$4:$J$503,_calc!$E$254)),TEXT(INDEX('Dealer pipeline'!$J$4:$J$503,_calc!$E$254),"yyyy-mm-dd"),"")&amp;". ")&amp;IF(LEN(IF(ISNUMBER(INDEX('Dealer pipeline'!$L$4:$L$503,_calc!$E$254)),TEXT(INDEX('Dealer pipeline'!$L$4:$L$503,_calc!$E$254),"yyyy-mm-dd"),""))=0,"","Labor end: "&amp;IF(ISNUMBER(INDEX('Dealer pipeline'!$L$4:$L$503,_calc!$E$254)),TEXT(INDEX('Dealer pipeline'!$L$4:$L$503,_calc!$E$254),"yyyy-mm-dd"),"")&amp;". ")&amp;IF(LEN(IF(LEN(INDEX('Dealer pipeline'!$Q$4:$Q$503,_calc!$E$254))=0,"",INDEX('Dealer pipeline'!$Q$4:$Q$503,_calc!$E$254)))=0,"","Status: "&amp;IF(LEN(INDEX('Dealer pipeline'!$Q$4:$Q$503,_calc!$E$254))=0,"",INDEX('Dealer pipeline'!$Q$4:$Q$503,_calc!$E$254))&amp;". ")&amp;IF(LEN(IF(LEN(INDEX('Dealer pipeline'!$P$4:$P$503,_calc!$E$254))=0,"",INDEX('Dealer pipeline'!$P$4:$P$503,_calc!$E$254)))=0,"","Last touch: "&amp;IF(LEN(INDEX('Dealer pipeline'!$P$4:$P$503,_calc!$E$254))=0,"",INDEX('Dealer pipeline'!$P$4:$P$503,_calc!$E$254))&amp;". ")&amp;IF(LEN(IF(LEN(INDEX('Dealer pipeline'!$R$4:$R$503,_calc!$E$254))=0,"",INDEX('Dealer pipeline'!$R$4:$R$503,_calc!$E$254)))=0,"","Owner: "&amp;IF(LEN(INDEX('Dealer pipeline'!$R$4:$R$503,_calc!$E$254))=0,"",INDEX('Dealer pipeline'!$R$4:$R$503,_calc!$E$254))&amp;". ")&amp;IF(LEN(IF(LEN(INDEX('Dealer pipeline'!$S$4:$S$503,_calc!$E$254))=0,"",INDEX('Dealer pipeline'!$S$4:$S$503,_calc!$E$254)))=0,"","Backup: "&amp;IF(LEN(INDEX('Dealer pipeline'!$S$4:$S$503,_calc!$E$254))=0,"",INDEX('Dealer pipeline'!$S$4:$S$503,_calc!$E$254))&amp;". ")&amp;IF(LEN(IF(LEN(INDEX('Dealer pipeline'!$T$4:$T$503,_calc!$E$254))=0,"",INDEX('Dealer pipeline'!$T$4:$T$503,_calc!$E$254)))=0,"",IF(LEN(INDEX('Dealer pipeline'!$T$4:$T$503,_calc!$E$254))=0,"",INDEX('Dealer pipeline'!$T$4:$T$503,_calc!$E$254)))),TRIM(IF(LEN(IF(LEN(INDEX('My equipment'!$C$4:$C$503,(_calc!$E$254-500)))=0,"",INDEX('My equipment'!$C$4:$C$503,(_calc!$E$254-500))))=0,"","Model: "&amp;IF(LEN(INDEX('My equipment'!$C$4:$C$503,(_calc!$E$254-500)))=0,"",INDEX('My equipment'!$C$4:$C$503,(_calc!$E$254-500)))&amp;". ")&amp;IF(LEN(IF(LEN(INDEX('My equipment'!$D$4:$D$503,(_calc!$E$254-500)))=0,"",INDEX('My equipment'!$D$4:$D$503,(_calc!$E$254-500))))=0,"","Serial: "&amp;IF(LEN(INDEX('My equipment'!$D$4:$D$503,(_calc!$E$254-500)))=0,"",INDEX('My equipment'!$D$4:$D$503,(_calc!$E$254-500)))&amp;". ")&amp;IF(LEN(IF(ISNUMBER(INDEX('My equipment'!$J$4:$J$503,(_calc!$E$254-500))),TEXT(INDEX('My equipment'!$J$4:$J$503,(_calc!$E$254-500)),"yyyy-mm-dd"),""))=0,"","Parts end: "&amp;IF(ISNUMBER(INDEX('My equipment'!$J$4:$J$503,(_calc!$E$254-500))),TEXT(INDEX('My equipment'!$J$4:$J$503,(_calc!$E$254-500)),"yyyy-mm-dd"),"")&amp;". ")&amp;IF(LEN(IF(ISNUMBER(INDEX('My equipment'!$L$4:$L$503,(_calc!$E$254-500))),TEXT(INDEX('My equipment'!$L$4:$L$503,(_calc!$E$254-500)),"yyyy-mm-dd"),""))=0,"","Labor end: "&amp;IF(ISNUMBER(INDEX('My equipment'!$L$4:$L$503,(_calc!$E$254-500))),TEXT(INDEX('My equipment'!$L$4:$L$503,(_calc!$E$254-500)),"yyyy-mm-dd"),"")&amp;". ")&amp;IF(LEN(IF(ISNUMBER(INDEX('My equipment'!$P$4:$P$503,(_calc!$E$254-500))),TEXT(INDEX('My equipment'!$P$4:$P$503,(_calc!$E$254-500)),"yyyy-mm-dd"),""))=0,"","Check by: "&amp;IF(ISNUMBER(INDEX('My equipment'!$P$4:$P$503,(_calc!$E$254-500))),TEXT(INDEX('My equipment'!$P$4:$P$503,(_calc!$E$254-500)),"yyyy-mm-dd"),"")&amp;". ")&amp;IF(LEN(IF(LEN(INDEX('My equipment'!$Q$4:$Q$503,(_calc!$E$254-500)))=0,"",INDEX('My equipment'!$Q$4:$Q$503,(_calc!$E$254-500))))=0,"","Claim status: "&amp;IF(LEN(INDEX('My equipment'!$Q$4:$Q$503,(_calc!$E$254-500)))=0,"",INDEX('My equipment'!$Q$4:$Q$503,(_calc!$E$254-500)))&amp;". ")&amp;IF(LEN(IF(LEN(INDEX('My equipment'!$R$4:$R$503,(_calc!$E$254-500)))=0,"",INDEX('My equipment'!$R$4:$R$503,(_calc!$E$254-500))))=0,"","Claims contact: "&amp;IF(LEN(INDEX('My equipment'!$R$4:$R$503,(_calc!$E$254-500)))=0,"",INDEX('My equipment'!$R$4:$R$503,(_calc!$E$254-500)))&amp;". ")&amp;IF(LEN(IF(LEN(INDEX('My equipment'!$S$4:$S$503,(_calc!$E$254-500)))=0,"",INDEX('My equipment'!$S$4:$S$503,(_calc!$E$254-500))))=0,"","Claims email: "&amp;IF(LEN(INDEX('My equipment'!$S$4:$S$503,(_calc!$E$254-500)))=0,"",INDEX('My equipment'!$S$4:$S$503,(_calc!$E$254-500)))&amp;". ")&amp;IF(LEN(IF(LEN(INDEX('My equipment'!$U$4:$U$503,(_calc!$E$254-500)))=0,"",INDEX('My equipment'!$U$4:$U$503,(_calc!$E$254-500))))=0,"","Registered: "&amp;IF(LEN(INDEX('My equipment'!$U$4:$U$503,(_calc!$E$254-500)))=0,"",INDEX('My equipment'!$U$4:$U$503,(_calc!$E$254-500)))&amp;". ")&amp;IF(LEN(IF(LEN(INDEX('My equipment'!$V$4:$V$503,(_calc!$E$254-500)))=0,"",INDEX('My equipment'!$V$4:$V$503,(_calc!$E$254-500))))=0,"","Proof on file: "&amp;IF(LEN(INDEX('My equipment'!$V$4:$V$503,(_calc!$E$254-500)))=0,"",INDEX('My equipment'!$V$4:$V$503,(_calc!$E$254-500)))&amp;". ")&amp;IF(LEN(IF(LEN(INDEX('My equipment'!$W$4:$W$503,(_calc!$E$254-500)))=0,"",INDEX('My equipment'!$W$4:$W$503,(_calc!$E$254-500))))=0,"","Claim ref: "&amp;IF(LEN(INDEX('My equipment'!$W$4:$W$503,(_calc!$E$254-500)))=0,"",INDEX('My equipment'!$W$4:$W$503,(_calc!$E$254-500)))&amp;". ")&amp;IF(LEN(IF(LEN(INDEX('My equipment'!$Y$4:$Y$503,(_calc!$E$254-500)))=0,"",INDEX('My equipment'!$Y$4:$Y$503,(_calc!$E$254-500))))=0,"",IF(LEN(INDEX('My equipment'!$Y$4:$Y$503,(_calc!$E$254-500)))=0,"",INDEX('My equipment'!$Y$4:$Y$503,(_calc!$E$254-500)))))))</f>
        <v/>
      </c>
      <c r="G252" s="54">
        <f>IF(_calc!$E$254="","",IF(_calc!$E$254&lt;=500,"",IF(LEN(INDEX('My equipment'!$X$4:$X$503,(_calc!$E$254-500)))=0,"",INDEX('My equipment'!$X$4:$X$503,(_calc!$E$254-500)))))</f>
        <v/>
      </c>
      <c r="K252" s="54">
        <f>IF(_calc!$E$254="","",IF(_calc!$E$254&lt;=500,"",IF(LEN(INDEX('My equipment'!$T$4:$T$503,(_calc!$E$254-500)))=0,"",INDEX('My equipment'!$T$4:$T$503,(_calc!$E$254-500)))))</f>
        <v/>
      </c>
    </row>
    <row r="253">
      <c r="A253" s="54">
        <f>IF(_calc!$E$255="","",IF(_calc!$E$255&lt;=500,"Warranty – "&amp;IF(LEN(INDEX('Dealer pipeline'!$C$4:$C$503,_calc!$E$255))=0,"",INDEX('Dealer pipeline'!$C$4:$C$503,_calc!$E$255))&amp;" – "&amp;IF(LEN(INDEX('Dealer pipeline'!$D$4:$D$503,_calc!$E$255))=0,"",INDEX('Dealer pipeline'!$D$4:$D$503,_calc!$E$255))&amp;" – "&amp;IF(LEN(INDEX('Dealer pipeline'!$A$4:$A$503,_calc!$E$255))=0,"",INDEX('Dealer pipeline'!$A$4:$A$503,_calc!$E$255)),"Warranty – "&amp;IF(LEN(INDEX('My equipment'!$A$4:$A$503,(_calc!$E$255-500)))=0,"",INDEX('My equipment'!$A$4:$A$503,(_calc!$E$255-500)))&amp;" – "&amp;IF(LEN(INDEX('My equipment'!$D$4:$D$503,(_calc!$E$255-500)))=0,"",INDEX('My equipment'!$D$4:$D$503,(_calc!$E$255-500)))))</f>
        <v/>
      </c>
      <c r="B253" s="54">
        <f>IF(_calc!$E$255="","",IF(_calc!$E$255&lt;=500,IF(ISNUMBER(INDEX('Dealer pipeline'!$M$4:$M$503,_calc!$E$255)),TEXT(INDEX('Dealer pipeline'!$M$4:$M$503,_calc!$E$255),"yyyy-mm-dd"),""),IF(ISNUMBER(INDEX('My equipment'!$M$4:$M$503,(_calc!$E$255-500))),TEXT(INDEX('My equipment'!$M$4:$M$503,(_calc!$E$255-500)),"yyyy-mm-dd"),"")))</f>
        <v/>
      </c>
      <c r="C253" s="54">
        <f>IF(_calc!$E$255="","",IF(_calc!$E$255&lt;=500,"Warranty","Warranty"))</f>
        <v/>
      </c>
      <c r="D253" s="54">
        <f>IF(_calc!$E$255="","",IF(_calc!$E$255&lt;=500,IF(ISNUMBER(INDEX('Dealer pipeline'!$H$4:$H$503,_calc!$E$255)),TEXT(INDEX('Dealer pipeline'!$H$4:$H$503,_calc!$E$255),"yyyy-mm-dd"),""),IF(ISNUMBER(INDEX('My equipment'!$H$4:$H$503,(_calc!$E$255-500))),TEXT(INDEX('My equipment'!$H$4:$H$503,(_calc!$E$255-500)),"yyyy-mm-dd"),"")))</f>
        <v/>
      </c>
      <c r="F253" s="54">
        <f>IF(_calc!$E$255="","",IF(_calc!$E$255&lt;=500,TRIM(IF(LEN(IF(LEN(INDEX('Dealer pipeline'!$A$4:$A$503,_calc!$E$255))=0,"",INDEX('Dealer pipeline'!$A$4:$A$503,_calc!$E$255)))=0,"","Customer: "&amp;IF(LEN(INDEX('Dealer pipeline'!$A$4:$A$503,_calc!$E$255))=0,"",INDEX('Dealer pipeline'!$A$4:$A$503,_calc!$E$255))&amp;". ")&amp;IF(LEN(IF(LEN(INDEX('Dealer pipeline'!$B$4:$B$503,_calc!$E$255))=0,"",INDEX('Dealer pipeline'!$B$4:$B$503,_calc!$E$255)))=0,"","Contact: "&amp;IF(LEN(INDEX('Dealer pipeline'!$B$4:$B$503,_calc!$E$255))=0,"",INDEX('Dealer pipeline'!$B$4:$B$503,_calc!$E$255))&amp;". ")&amp;IF(LEN(IF(LEN(INDEX('Dealer pipeline'!$D$4:$D$503,_calc!$E$255))=0,"",INDEX('Dealer pipeline'!$D$4:$D$503,_calc!$E$255)))=0,"","Serial: "&amp;IF(LEN(INDEX('Dealer pipeline'!$D$4:$D$503,_calc!$E$255))=0,"",INDEX('Dealer pipeline'!$D$4:$D$503,_calc!$E$255))&amp;". ")&amp;IF(LEN(IF(ISNUMBER(INDEX('Dealer pipeline'!$J$4:$J$503,_calc!$E$255)),TEXT(INDEX('Dealer pipeline'!$J$4:$J$503,_calc!$E$255),"yyyy-mm-dd"),""))=0,"","Parts end: "&amp;IF(ISNUMBER(INDEX('Dealer pipeline'!$J$4:$J$503,_calc!$E$255)),TEXT(INDEX('Dealer pipeline'!$J$4:$J$503,_calc!$E$255),"yyyy-mm-dd"),"")&amp;". ")&amp;IF(LEN(IF(ISNUMBER(INDEX('Dealer pipeline'!$L$4:$L$503,_calc!$E$255)),TEXT(INDEX('Dealer pipeline'!$L$4:$L$503,_calc!$E$255),"yyyy-mm-dd"),""))=0,"","Labor end: "&amp;IF(ISNUMBER(INDEX('Dealer pipeline'!$L$4:$L$503,_calc!$E$255)),TEXT(INDEX('Dealer pipeline'!$L$4:$L$503,_calc!$E$255),"yyyy-mm-dd"),"")&amp;". ")&amp;IF(LEN(IF(LEN(INDEX('Dealer pipeline'!$Q$4:$Q$503,_calc!$E$255))=0,"",INDEX('Dealer pipeline'!$Q$4:$Q$503,_calc!$E$255)))=0,"","Status: "&amp;IF(LEN(INDEX('Dealer pipeline'!$Q$4:$Q$503,_calc!$E$255))=0,"",INDEX('Dealer pipeline'!$Q$4:$Q$503,_calc!$E$255))&amp;". ")&amp;IF(LEN(IF(LEN(INDEX('Dealer pipeline'!$P$4:$P$503,_calc!$E$255))=0,"",INDEX('Dealer pipeline'!$P$4:$P$503,_calc!$E$255)))=0,"","Last touch: "&amp;IF(LEN(INDEX('Dealer pipeline'!$P$4:$P$503,_calc!$E$255))=0,"",INDEX('Dealer pipeline'!$P$4:$P$503,_calc!$E$255))&amp;". ")&amp;IF(LEN(IF(LEN(INDEX('Dealer pipeline'!$R$4:$R$503,_calc!$E$255))=0,"",INDEX('Dealer pipeline'!$R$4:$R$503,_calc!$E$255)))=0,"","Owner: "&amp;IF(LEN(INDEX('Dealer pipeline'!$R$4:$R$503,_calc!$E$255))=0,"",INDEX('Dealer pipeline'!$R$4:$R$503,_calc!$E$255))&amp;". ")&amp;IF(LEN(IF(LEN(INDEX('Dealer pipeline'!$S$4:$S$503,_calc!$E$255))=0,"",INDEX('Dealer pipeline'!$S$4:$S$503,_calc!$E$255)))=0,"","Backup: "&amp;IF(LEN(INDEX('Dealer pipeline'!$S$4:$S$503,_calc!$E$255))=0,"",INDEX('Dealer pipeline'!$S$4:$S$503,_calc!$E$255))&amp;". ")&amp;IF(LEN(IF(LEN(INDEX('Dealer pipeline'!$T$4:$T$503,_calc!$E$255))=0,"",INDEX('Dealer pipeline'!$T$4:$T$503,_calc!$E$255)))=0,"",IF(LEN(INDEX('Dealer pipeline'!$T$4:$T$503,_calc!$E$255))=0,"",INDEX('Dealer pipeline'!$T$4:$T$503,_calc!$E$255)))),TRIM(IF(LEN(IF(LEN(INDEX('My equipment'!$C$4:$C$503,(_calc!$E$255-500)))=0,"",INDEX('My equipment'!$C$4:$C$503,(_calc!$E$255-500))))=0,"","Model: "&amp;IF(LEN(INDEX('My equipment'!$C$4:$C$503,(_calc!$E$255-500)))=0,"",INDEX('My equipment'!$C$4:$C$503,(_calc!$E$255-500)))&amp;". ")&amp;IF(LEN(IF(LEN(INDEX('My equipment'!$D$4:$D$503,(_calc!$E$255-500)))=0,"",INDEX('My equipment'!$D$4:$D$503,(_calc!$E$255-500))))=0,"","Serial: "&amp;IF(LEN(INDEX('My equipment'!$D$4:$D$503,(_calc!$E$255-500)))=0,"",INDEX('My equipment'!$D$4:$D$503,(_calc!$E$255-500)))&amp;". ")&amp;IF(LEN(IF(ISNUMBER(INDEX('My equipment'!$J$4:$J$503,(_calc!$E$255-500))),TEXT(INDEX('My equipment'!$J$4:$J$503,(_calc!$E$255-500)),"yyyy-mm-dd"),""))=0,"","Parts end: "&amp;IF(ISNUMBER(INDEX('My equipment'!$J$4:$J$503,(_calc!$E$255-500))),TEXT(INDEX('My equipment'!$J$4:$J$503,(_calc!$E$255-500)),"yyyy-mm-dd"),"")&amp;". ")&amp;IF(LEN(IF(ISNUMBER(INDEX('My equipment'!$L$4:$L$503,(_calc!$E$255-500))),TEXT(INDEX('My equipment'!$L$4:$L$503,(_calc!$E$255-500)),"yyyy-mm-dd"),""))=0,"","Labor end: "&amp;IF(ISNUMBER(INDEX('My equipment'!$L$4:$L$503,(_calc!$E$255-500))),TEXT(INDEX('My equipment'!$L$4:$L$503,(_calc!$E$255-500)),"yyyy-mm-dd"),"")&amp;". ")&amp;IF(LEN(IF(ISNUMBER(INDEX('My equipment'!$P$4:$P$503,(_calc!$E$255-500))),TEXT(INDEX('My equipment'!$P$4:$P$503,(_calc!$E$255-500)),"yyyy-mm-dd"),""))=0,"","Check by: "&amp;IF(ISNUMBER(INDEX('My equipment'!$P$4:$P$503,(_calc!$E$255-500))),TEXT(INDEX('My equipment'!$P$4:$P$503,(_calc!$E$255-500)),"yyyy-mm-dd"),"")&amp;". ")&amp;IF(LEN(IF(LEN(INDEX('My equipment'!$Q$4:$Q$503,(_calc!$E$255-500)))=0,"",INDEX('My equipment'!$Q$4:$Q$503,(_calc!$E$255-500))))=0,"","Claim status: "&amp;IF(LEN(INDEX('My equipment'!$Q$4:$Q$503,(_calc!$E$255-500)))=0,"",INDEX('My equipment'!$Q$4:$Q$503,(_calc!$E$255-500)))&amp;". ")&amp;IF(LEN(IF(LEN(INDEX('My equipment'!$R$4:$R$503,(_calc!$E$255-500)))=0,"",INDEX('My equipment'!$R$4:$R$503,(_calc!$E$255-500))))=0,"","Claims contact: "&amp;IF(LEN(INDEX('My equipment'!$R$4:$R$503,(_calc!$E$255-500)))=0,"",INDEX('My equipment'!$R$4:$R$503,(_calc!$E$255-500)))&amp;". ")&amp;IF(LEN(IF(LEN(INDEX('My equipment'!$S$4:$S$503,(_calc!$E$255-500)))=0,"",INDEX('My equipment'!$S$4:$S$503,(_calc!$E$255-500))))=0,"","Claims email: "&amp;IF(LEN(INDEX('My equipment'!$S$4:$S$503,(_calc!$E$255-500)))=0,"",INDEX('My equipment'!$S$4:$S$503,(_calc!$E$255-500)))&amp;". ")&amp;IF(LEN(IF(LEN(INDEX('My equipment'!$U$4:$U$503,(_calc!$E$255-500)))=0,"",INDEX('My equipment'!$U$4:$U$503,(_calc!$E$255-500))))=0,"","Registered: "&amp;IF(LEN(INDEX('My equipment'!$U$4:$U$503,(_calc!$E$255-500)))=0,"",INDEX('My equipment'!$U$4:$U$503,(_calc!$E$255-500)))&amp;". ")&amp;IF(LEN(IF(LEN(INDEX('My equipment'!$V$4:$V$503,(_calc!$E$255-500)))=0,"",INDEX('My equipment'!$V$4:$V$503,(_calc!$E$255-500))))=0,"","Proof on file: "&amp;IF(LEN(INDEX('My equipment'!$V$4:$V$503,(_calc!$E$255-500)))=0,"",INDEX('My equipment'!$V$4:$V$503,(_calc!$E$255-500)))&amp;". ")&amp;IF(LEN(IF(LEN(INDEX('My equipment'!$W$4:$W$503,(_calc!$E$255-500)))=0,"",INDEX('My equipment'!$W$4:$W$503,(_calc!$E$255-500))))=0,"","Claim ref: "&amp;IF(LEN(INDEX('My equipment'!$W$4:$W$503,(_calc!$E$255-500)))=0,"",INDEX('My equipment'!$W$4:$W$503,(_calc!$E$255-500)))&amp;". ")&amp;IF(LEN(IF(LEN(INDEX('My equipment'!$Y$4:$Y$503,(_calc!$E$255-500)))=0,"",INDEX('My equipment'!$Y$4:$Y$503,(_calc!$E$255-500))))=0,"",IF(LEN(INDEX('My equipment'!$Y$4:$Y$503,(_calc!$E$255-500)))=0,"",INDEX('My equipment'!$Y$4:$Y$503,(_calc!$E$255-500)))))))</f>
        <v/>
      </c>
      <c r="G253" s="54">
        <f>IF(_calc!$E$255="","",IF(_calc!$E$255&lt;=500,"",IF(LEN(INDEX('My equipment'!$X$4:$X$503,(_calc!$E$255-500)))=0,"",INDEX('My equipment'!$X$4:$X$503,(_calc!$E$255-500)))))</f>
        <v/>
      </c>
      <c r="K253" s="54">
        <f>IF(_calc!$E$255="","",IF(_calc!$E$255&lt;=500,"",IF(LEN(INDEX('My equipment'!$T$4:$T$503,(_calc!$E$255-500)))=0,"",INDEX('My equipment'!$T$4:$T$503,(_calc!$E$255-500)))))</f>
        <v/>
      </c>
    </row>
    <row r="254">
      <c r="A254" s="54">
        <f>IF(_calc!$E$256="","",IF(_calc!$E$256&lt;=500,"Warranty – "&amp;IF(LEN(INDEX('Dealer pipeline'!$C$4:$C$503,_calc!$E$256))=0,"",INDEX('Dealer pipeline'!$C$4:$C$503,_calc!$E$256))&amp;" – "&amp;IF(LEN(INDEX('Dealer pipeline'!$D$4:$D$503,_calc!$E$256))=0,"",INDEX('Dealer pipeline'!$D$4:$D$503,_calc!$E$256))&amp;" – "&amp;IF(LEN(INDEX('Dealer pipeline'!$A$4:$A$503,_calc!$E$256))=0,"",INDEX('Dealer pipeline'!$A$4:$A$503,_calc!$E$256)),"Warranty – "&amp;IF(LEN(INDEX('My equipment'!$A$4:$A$503,(_calc!$E$256-500)))=0,"",INDEX('My equipment'!$A$4:$A$503,(_calc!$E$256-500)))&amp;" – "&amp;IF(LEN(INDEX('My equipment'!$D$4:$D$503,(_calc!$E$256-500)))=0,"",INDEX('My equipment'!$D$4:$D$503,(_calc!$E$256-500)))))</f>
        <v/>
      </c>
      <c r="B254" s="54">
        <f>IF(_calc!$E$256="","",IF(_calc!$E$256&lt;=500,IF(ISNUMBER(INDEX('Dealer pipeline'!$M$4:$M$503,_calc!$E$256)),TEXT(INDEX('Dealer pipeline'!$M$4:$M$503,_calc!$E$256),"yyyy-mm-dd"),""),IF(ISNUMBER(INDEX('My equipment'!$M$4:$M$503,(_calc!$E$256-500))),TEXT(INDEX('My equipment'!$M$4:$M$503,(_calc!$E$256-500)),"yyyy-mm-dd"),"")))</f>
        <v/>
      </c>
      <c r="C254" s="54">
        <f>IF(_calc!$E$256="","",IF(_calc!$E$256&lt;=500,"Warranty","Warranty"))</f>
        <v/>
      </c>
      <c r="D254" s="54">
        <f>IF(_calc!$E$256="","",IF(_calc!$E$256&lt;=500,IF(ISNUMBER(INDEX('Dealer pipeline'!$H$4:$H$503,_calc!$E$256)),TEXT(INDEX('Dealer pipeline'!$H$4:$H$503,_calc!$E$256),"yyyy-mm-dd"),""),IF(ISNUMBER(INDEX('My equipment'!$H$4:$H$503,(_calc!$E$256-500))),TEXT(INDEX('My equipment'!$H$4:$H$503,(_calc!$E$256-500)),"yyyy-mm-dd"),"")))</f>
        <v/>
      </c>
      <c r="F254" s="54">
        <f>IF(_calc!$E$256="","",IF(_calc!$E$256&lt;=500,TRIM(IF(LEN(IF(LEN(INDEX('Dealer pipeline'!$A$4:$A$503,_calc!$E$256))=0,"",INDEX('Dealer pipeline'!$A$4:$A$503,_calc!$E$256)))=0,"","Customer: "&amp;IF(LEN(INDEX('Dealer pipeline'!$A$4:$A$503,_calc!$E$256))=0,"",INDEX('Dealer pipeline'!$A$4:$A$503,_calc!$E$256))&amp;". ")&amp;IF(LEN(IF(LEN(INDEX('Dealer pipeline'!$B$4:$B$503,_calc!$E$256))=0,"",INDEX('Dealer pipeline'!$B$4:$B$503,_calc!$E$256)))=0,"","Contact: "&amp;IF(LEN(INDEX('Dealer pipeline'!$B$4:$B$503,_calc!$E$256))=0,"",INDEX('Dealer pipeline'!$B$4:$B$503,_calc!$E$256))&amp;". ")&amp;IF(LEN(IF(LEN(INDEX('Dealer pipeline'!$D$4:$D$503,_calc!$E$256))=0,"",INDEX('Dealer pipeline'!$D$4:$D$503,_calc!$E$256)))=0,"","Serial: "&amp;IF(LEN(INDEX('Dealer pipeline'!$D$4:$D$503,_calc!$E$256))=0,"",INDEX('Dealer pipeline'!$D$4:$D$503,_calc!$E$256))&amp;". ")&amp;IF(LEN(IF(ISNUMBER(INDEX('Dealer pipeline'!$J$4:$J$503,_calc!$E$256)),TEXT(INDEX('Dealer pipeline'!$J$4:$J$503,_calc!$E$256),"yyyy-mm-dd"),""))=0,"","Parts end: "&amp;IF(ISNUMBER(INDEX('Dealer pipeline'!$J$4:$J$503,_calc!$E$256)),TEXT(INDEX('Dealer pipeline'!$J$4:$J$503,_calc!$E$256),"yyyy-mm-dd"),"")&amp;". ")&amp;IF(LEN(IF(ISNUMBER(INDEX('Dealer pipeline'!$L$4:$L$503,_calc!$E$256)),TEXT(INDEX('Dealer pipeline'!$L$4:$L$503,_calc!$E$256),"yyyy-mm-dd"),""))=0,"","Labor end: "&amp;IF(ISNUMBER(INDEX('Dealer pipeline'!$L$4:$L$503,_calc!$E$256)),TEXT(INDEX('Dealer pipeline'!$L$4:$L$503,_calc!$E$256),"yyyy-mm-dd"),"")&amp;". ")&amp;IF(LEN(IF(LEN(INDEX('Dealer pipeline'!$Q$4:$Q$503,_calc!$E$256))=0,"",INDEX('Dealer pipeline'!$Q$4:$Q$503,_calc!$E$256)))=0,"","Status: "&amp;IF(LEN(INDEX('Dealer pipeline'!$Q$4:$Q$503,_calc!$E$256))=0,"",INDEX('Dealer pipeline'!$Q$4:$Q$503,_calc!$E$256))&amp;". ")&amp;IF(LEN(IF(LEN(INDEX('Dealer pipeline'!$P$4:$P$503,_calc!$E$256))=0,"",INDEX('Dealer pipeline'!$P$4:$P$503,_calc!$E$256)))=0,"","Last touch: "&amp;IF(LEN(INDEX('Dealer pipeline'!$P$4:$P$503,_calc!$E$256))=0,"",INDEX('Dealer pipeline'!$P$4:$P$503,_calc!$E$256))&amp;". ")&amp;IF(LEN(IF(LEN(INDEX('Dealer pipeline'!$R$4:$R$503,_calc!$E$256))=0,"",INDEX('Dealer pipeline'!$R$4:$R$503,_calc!$E$256)))=0,"","Owner: "&amp;IF(LEN(INDEX('Dealer pipeline'!$R$4:$R$503,_calc!$E$256))=0,"",INDEX('Dealer pipeline'!$R$4:$R$503,_calc!$E$256))&amp;". ")&amp;IF(LEN(IF(LEN(INDEX('Dealer pipeline'!$S$4:$S$503,_calc!$E$256))=0,"",INDEX('Dealer pipeline'!$S$4:$S$503,_calc!$E$256)))=0,"","Backup: "&amp;IF(LEN(INDEX('Dealer pipeline'!$S$4:$S$503,_calc!$E$256))=0,"",INDEX('Dealer pipeline'!$S$4:$S$503,_calc!$E$256))&amp;". ")&amp;IF(LEN(IF(LEN(INDEX('Dealer pipeline'!$T$4:$T$503,_calc!$E$256))=0,"",INDEX('Dealer pipeline'!$T$4:$T$503,_calc!$E$256)))=0,"",IF(LEN(INDEX('Dealer pipeline'!$T$4:$T$503,_calc!$E$256))=0,"",INDEX('Dealer pipeline'!$T$4:$T$503,_calc!$E$256)))),TRIM(IF(LEN(IF(LEN(INDEX('My equipment'!$C$4:$C$503,(_calc!$E$256-500)))=0,"",INDEX('My equipment'!$C$4:$C$503,(_calc!$E$256-500))))=0,"","Model: "&amp;IF(LEN(INDEX('My equipment'!$C$4:$C$503,(_calc!$E$256-500)))=0,"",INDEX('My equipment'!$C$4:$C$503,(_calc!$E$256-500)))&amp;". ")&amp;IF(LEN(IF(LEN(INDEX('My equipment'!$D$4:$D$503,(_calc!$E$256-500)))=0,"",INDEX('My equipment'!$D$4:$D$503,(_calc!$E$256-500))))=0,"","Serial: "&amp;IF(LEN(INDEX('My equipment'!$D$4:$D$503,(_calc!$E$256-500)))=0,"",INDEX('My equipment'!$D$4:$D$503,(_calc!$E$256-500)))&amp;". ")&amp;IF(LEN(IF(ISNUMBER(INDEX('My equipment'!$J$4:$J$503,(_calc!$E$256-500))),TEXT(INDEX('My equipment'!$J$4:$J$503,(_calc!$E$256-500)),"yyyy-mm-dd"),""))=0,"","Parts end: "&amp;IF(ISNUMBER(INDEX('My equipment'!$J$4:$J$503,(_calc!$E$256-500))),TEXT(INDEX('My equipment'!$J$4:$J$503,(_calc!$E$256-500)),"yyyy-mm-dd"),"")&amp;". ")&amp;IF(LEN(IF(ISNUMBER(INDEX('My equipment'!$L$4:$L$503,(_calc!$E$256-500))),TEXT(INDEX('My equipment'!$L$4:$L$503,(_calc!$E$256-500)),"yyyy-mm-dd"),""))=0,"","Labor end: "&amp;IF(ISNUMBER(INDEX('My equipment'!$L$4:$L$503,(_calc!$E$256-500))),TEXT(INDEX('My equipment'!$L$4:$L$503,(_calc!$E$256-500)),"yyyy-mm-dd"),"")&amp;". ")&amp;IF(LEN(IF(ISNUMBER(INDEX('My equipment'!$P$4:$P$503,(_calc!$E$256-500))),TEXT(INDEX('My equipment'!$P$4:$P$503,(_calc!$E$256-500)),"yyyy-mm-dd"),""))=0,"","Check by: "&amp;IF(ISNUMBER(INDEX('My equipment'!$P$4:$P$503,(_calc!$E$256-500))),TEXT(INDEX('My equipment'!$P$4:$P$503,(_calc!$E$256-500)),"yyyy-mm-dd"),"")&amp;". ")&amp;IF(LEN(IF(LEN(INDEX('My equipment'!$Q$4:$Q$503,(_calc!$E$256-500)))=0,"",INDEX('My equipment'!$Q$4:$Q$503,(_calc!$E$256-500))))=0,"","Claim status: "&amp;IF(LEN(INDEX('My equipment'!$Q$4:$Q$503,(_calc!$E$256-500)))=0,"",INDEX('My equipment'!$Q$4:$Q$503,(_calc!$E$256-500)))&amp;". ")&amp;IF(LEN(IF(LEN(INDEX('My equipment'!$R$4:$R$503,(_calc!$E$256-500)))=0,"",INDEX('My equipment'!$R$4:$R$503,(_calc!$E$256-500))))=0,"","Claims contact: "&amp;IF(LEN(INDEX('My equipment'!$R$4:$R$503,(_calc!$E$256-500)))=0,"",INDEX('My equipment'!$R$4:$R$503,(_calc!$E$256-500)))&amp;". ")&amp;IF(LEN(IF(LEN(INDEX('My equipment'!$S$4:$S$503,(_calc!$E$256-500)))=0,"",INDEX('My equipment'!$S$4:$S$503,(_calc!$E$256-500))))=0,"","Claims email: "&amp;IF(LEN(INDEX('My equipment'!$S$4:$S$503,(_calc!$E$256-500)))=0,"",INDEX('My equipment'!$S$4:$S$503,(_calc!$E$256-500)))&amp;". ")&amp;IF(LEN(IF(LEN(INDEX('My equipment'!$U$4:$U$503,(_calc!$E$256-500)))=0,"",INDEX('My equipment'!$U$4:$U$503,(_calc!$E$256-500))))=0,"","Registered: "&amp;IF(LEN(INDEX('My equipment'!$U$4:$U$503,(_calc!$E$256-500)))=0,"",INDEX('My equipment'!$U$4:$U$503,(_calc!$E$256-500)))&amp;". ")&amp;IF(LEN(IF(LEN(INDEX('My equipment'!$V$4:$V$503,(_calc!$E$256-500)))=0,"",INDEX('My equipment'!$V$4:$V$503,(_calc!$E$256-500))))=0,"","Proof on file: "&amp;IF(LEN(INDEX('My equipment'!$V$4:$V$503,(_calc!$E$256-500)))=0,"",INDEX('My equipment'!$V$4:$V$503,(_calc!$E$256-500)))&amp;". ")&amp;IF(LEN(IF(LEN(INDEX('My equipment'!$W$4:$W$503,(_calc!$E$256-500)))=0,"",INDEX('My equipment'!$W$4:$W$503,(_calc!$E$256-500))))=0,"","Claim ref: "&amp;IF(LEN(INDEX('My equipment'!$W$4:$W$503,(_calc!$E$256-500)))=0,"",INDEX('My equipment'!$W$4:$W$503,(_calc!$E$256-500)))&amp;". ")&amp;IF(LEN(IF(LEN(INDEX('My equipment'!$Y$4:$Y$503,(_calc!$E$256-500)))=0,"",INDEX('My equipment'!$Y$4:$Y$503,(_calc!$E$256-500))))=0,"",IF(LEN(INDEX('My equipment'!$Y$4:$Y$503,(_calc!$E$256-500)))=0,"",INDEX('My equipment'!$Y$4:$Y$503,(_calc!$E$256-500)))))))</f>
        <v/>
      </c>
      <c r="G254" s="54">
        <f>IF(_calc!$E$256="","",IF(_calc!$E$256&lt;=500,"",IF(LEN(INDEX('My equipment'!$X$4:$X$503,(_calc!$E$256-500)))=0,"",INDEX('My equipment'!$X$4:$X$503,(_calc!$E$256-500)))))</f>
        <v/>
      </c>
      <c r="K254" s="54">
        <f>IF(_calc!$E$256="","",IF(_calc!$E$256&lt;=500,"",IF(LEN(INDEX('My equipment'!$T$4:$T$503,(_calc!$E$256-500)))=0,"",INDEX('My equipment'!$T$4:$T$503,(_calc!$E$256-500)))))</f>
        <v/>
      </c>
    </row>
    <row r="255">
      <c r="A255" s="54">
        <f>IF(_calc!$E$257="","",IF(_calc!$E$257&lt;=500,"Warranty – "&amp;IF(LEN(INDEX('Dealer pipeline'!$C$4:$C$503,_calc!$E$257))=0,"",INDEX('Dealer pipeline'!$C$4:$C$503,_calc!$E$257))&amp;" – "&amp;IF(LEN(INDEX('Dealer pipeline'!$D$4:$D$503,_calc!$E$257))=0,"",INDEX('Dealer pipeline'!$D$4:$D$503,_calc!$E$257))&amp;" – "&amp;IF(LEN(INDEX('Dealer pipeline'!$A$4:$A$503,_calc!$E$257))=0,"",INDEX('Dealer pipeline'!$A$4:$A$503,_calc!$E$257)),"Warranty – "&amp;IF(LEN(INDEX('My equipment'!$A$4:$A$503,(_calc!$E$257-500)))=0,"",INDEX('My equipment'!$A$4:$A$503,(_calc!$E$257-500)))&amp;" – "&amp;IF(LEN(INDEX('My equipment'!$D$4:$D$503,(_calc!$E$257-500)))=0,"",INDEX('My equipment'!$D$4:$D$503,(_calc!$E$257-500)))))</f>
        <v/>
      </c>
      <c r="B255" s="54">
        <f>IF(_calc!$E$257="","",IF(_calc!$E$257&lt;=500,IF(ISNUMBER(INDEX('Dealer pipeline'!$M$4:$M$503,_calc!$E$257)),TEXT(INDEX('Dealer pipeline'!$M$4:$M$503,_calc!$E$257),"yyyy-mm-dd"),""),IF(ISNUMBER(INDEX('My equipment'!$M$4:$M$503,(_calc!$E$257-500))),TEXT(INDEX('My equipment'!$M$4:$M$503,(_calc!$E$257-500)),"yyyy-mm-dd"),"")))</f>
        <v/>
      </c>
      <c r="C255" s="54">
        <f>IF(_calc!$E$257="","",IF(_calc!$E$257&lt;=500,"Warranty","Warranty"))</f>
        <v/>
      </c>
      <c r="D255" s="54">
        <f>IF(_calc!$E$257="","",IF(_calc!$E$257&lt;=500,IF(ISNUMBER(INDEX('Dealer pipeline'!$H$4:$H$503,_calc!$E$257)),TEXT(INDEX('Dealer pipeline'!$H$4:$H$503,_calc!$E$257),"yyyy-mm-dd"),""),IF(ISNUMBER(INDEX('My equipment'!$H$4:$H$503,(_calc!$E$257-500))),TEXT(INDEX('My equipment'!$H$4:$H$503,(_calc!$E$257-500)),"yyyy-mm-dd"),"")))</f>
        <v/>
      </c>
      <c r="F255" s="54">
        <f>IF(_calc!$E$257="","",IF(_calc!$E$257&lt;=500,TRIM(IF(LEN(IF(LEN(INDEX('Dealer pipeline'!$A$4:$A$503,_calc!$E$257))=0,"",INDEX('Dealer pipeline'!$A$4:$A$503,_calc!$E$257)))=0,"","Customer: "&amp;IF(LEN(INDEX('Dealer pipeline'!$A$4:$A$503,_calc!$E$257))=0,"",INDEX('Dealer pipeline'!$A$4:$A$503,_calc!$E$257))&amp;". ")&amp;IF(LEN(IF(LEN(INDEX('Dealer pipeline'!$B$4:$B$503,_calc!$E$257))=0,"",INDEX('Dealer pipeline'!$B$4:$B$503,_calc!$E$257)))=0,"","Contact: "&amp;IF(LEN(INDEX('Dealer pipeline'!$B$4:$B$503,_calc!$E$257))=0,"",INDEX('Dealer pipeline'!$B$4:$B$503,_calc!$E$257))&amp;". ")&amp;IF(LEN(IF(LEN(INDEX('Dealer pipeline'!$D$4:$D$503,_calc!$E$257))=0,"",INDEX('Dealer pipeline'!$D$4:$D$503,_calc!$E$257)))=0,"","Serial: "&amp;IF(LEN(INDEX('Dealer pipeline'!$D$4:$D$503,_calc!$E$257))=0,"",INDEX('Dealer pipeline'!$D$4:$D$503,_calc!$E$257))&amp;". ")&amp;IF(LEN(IF(ISNUMBER(INDEX('Dealer pipeline'!$J$4:$J$503,_calc!$E$257)),TEXT(INDEX('Dealer pipeline'!$J$4:$J$503,_calc!$E$257),"yyyy-mm-dd"),""))=0,"","Parts end: "&amp;IF(ISNUMBER(INDEX('Dealer pipeline'!$J$4:$J$503,_calc!$E$257)),TEXT(INDEX('Dealer pipeline'!$J$4:$J$503,_calc!$E$257),"yyyy-mm-dd"),"")&amp;". ")&amp;IF(LEN(IF(ISNUMBER(INDEX('Dealer pipeline'!$L$4:$L$503,_calc!$E$257)),TEXT(INDEX('Dealer pipeline'!$L$4:$L$503,_calc!$E$257),"yyyy-mm-dd"),""))=0,"","Labor end: "&amp;IF(ISNUMBER(INDEX('Dealer pipeline'!$L$4:$L$503,_calc!$E$257)),TEXT(INDEX('Dealer pipeline'!$L$4:$L$503,_calc!$E$257),"yyyy-mm-dd"),"")&amp;". ")&amp;IF(LEN(IF(LEN(INDEX('Dealer pipeline'!$Q$4:$Q$503,_calc!$E$257))=0,"",INDEX('Dealer pipeline'!$Q$4:$Q$503,_calc!$E$257)))=0,"","Status: "&amp;IF(LEN(INDEX('Dealer pipeline'!$Q$4:$Q$503,_calc!$E$257))=0,"",INDEX('Dealer pipeline'!$Q$4:$Q$503,_calc!$E$257))&amp;". ")&amp;IF(LEN(IF(LEN(INDEX('Dealer pipeline'!$P$4:$P$503,_calc!$E$257))=0,"",INDEX('Dealer pipeline'!$P$4:$P$503,_calc!$E$257)))=0,"","Last touch: "&amp;IF(LEN(INDEX('Dealer pipeline'!$P$4:$P$503,_calc!$E$257))=0,"",INDEX('Dealer pipeline'!$P$4:$P$503,_calc!$E$257))&amp;". ")&amp;IF(LEN(IF(LEN(INDEX('Dealer pipeline'!$R$4:$R$503,_calc!$E$257))=0,"",INDEX('Dealer pipeline'!$R$4:$R$503,_calc!$E$257)))=0,"","Owner: "&amp;IF(LEN(INDEX('Dealer pipeline'!$R$4:$R$503,_calc!$E$257))=0,"",INDEX('Dealer pipeline'!$R$4:$R$503,_calc!$E$257))&amp;". ")&amp;IF(LEN(IF(LEN(INDEX('Dealer pipeline'!$S$4:$S$503,_calc!$E$257))=0,"",INDEX('Dealer pipeline'!$S$4:$S$503,_calc!$E$257)))=0,"","Backup: "&amp;IF(LEN(INDEX('Dealer pipeline'!$S$4:$S$503,_calc!$E$257))=0,"",INDEX('Dealer pipeline'!$S$4:$S$503,_calc!$E$257))&amp;". ")&amp;IF(LEN(IF(LEN(INDEX('Dealer pipeline'!$T$4:$T$503,_calc!$E$257))=0,"",INDEX('Dealer pipeline'!$T$4:$T$503,_calc!$E$257)))=0,"",IF(LEN(INDEX('Dealer pipeline'!$T$4:$T$503,_calc!$E$257))=0,"",INDEX('Dealer pipeline'!$T$4:$T$503,_calc!$E$257)))),TRIM(IF(LEN(IF(LEN(INDEX('My equipment'!$C$4:$C$503,(_calc!$E$257-500)))=0,"",INDEX('My equipment'!$C$4:$C$503,(_calc!$E$257-500))))=0,"","Model: "&amp;IF(LEN(INDEX('My equipment'!$C$4:$C$503,(_calc!$E$257-500)))=0,"",INDEX('My equipment'!$C$4:$C$503,(_calc!$E$257-500)))&amp;". ")&amp;IF(LEN(IF(LEN(INDEX('My equipment'!$D$4:$D$503,(_calc!$E$257-500)))=0,"",INDEX('My equipment'!$D$4:$D$503,(_calc!$E$257-500))))=0,"","Serial: "&amp;IF(LEN(INDEX('My equipment'!$D$4:$D$503,(_calc!$E$257-500)))=0,"",INDEX('My equipment'!$D$4:$D$503,(_calc!$E$257-500)))&amp;". ")&amp;IF(LEN(IF(ISNUMBER(INDEX('My equipment'!$J$4:$J$503,(_calc!$E$257-500))),TEXT(INDEX('My equipment'!$J$4:$J$503,(_calc!$E$257-500)),"yyyy-mm-dd"),""))=0,"","Parts end: "&amp;IF(ISNUMBER(INDEX('My equipment'!$J$4:$J$503,(_calc!$E$257-500))),TEXT(INDEX('My equipment'!$J$4:$J$503,(_calc!$E$257-500)),"yyyy-mm-dd"),"")&amp;". ")&amp;IF(LEN(IF(ISNUMBER(INDEX('My equipment'!$L$4:$L$503,(_calc!$E$257-500))),TEXT(INDEX('My equipment'!$L$4:$L$503,(_calc!$E$257-500)),"yyyy-mm-dd"),""))=0,"","Labor end: "&amp;IF(ISNUMBER(INDEX('My equipment'!$L$4:$L$503,(_calc!$E$257-500))),TEXT(INDEX('My equipment'!$L$4:$L$503,(_calc!$E$257-500)),"yyyy-mm-dd"),"")&amp;". ")&amp;IF(LEN(IF(ISNUMBER(INDEX('My equipment'!$P$4:$P$503,(_calc!$E$257-500))),TEXT(INDEX('My equipment'!$P$4:$P$503,(_calc!$E$257-500)),"yyyy-mm-dd"),""))=0,"","Check by: "&amp;IF(ISNUMBER(INDEX('My equipment'!$P$4:$P$503,(_calc!$E$257-500))),TEXT(INDEX('My equipment'!$P$4:$P$503,(_calc!$E$257-500)),"yyyy-mm-dd"),"")&amp;". ")&amp;IF(LEN(IF(LEN(INDEX('My equipment'!$Q$4:$Q$503,(_calc!$E$257-500)))=0,"",INDEX('My equipment'!$Q$4:$Q$503,(_calc!$E$257-500))))=0,"","Claim status: "&amp;IF(LEN(INDEX('My equipment'!$Q$4:$Q$503,(_calc!$E$257-500)))=0,"",INDEX('My equipment'!$Q$4:$Q$503,(_calc!$E$257-500)))&amp;". ")&amp;IF(LEN(IF(LEN(INDEX('My equipment'!$R$4:$R$503,(_calc!$E$257-500)))=0,"",INDEX('My equipment'!$R$4:$R$503,(_calc!$E$257-500))))=0,"","Claims contact: "&amp;IF(LEN(INDEX('My equipment'!$R$4:$R$503,(_calc!$E$257-500)))=0,"",INDEX('My equipment'!$R$4:$R$503,(_calc!$E$257-500)))&amp;". ")&amp;IF(LEN(IF(LEN(INDEX('My equipment'!$S$4:$S$503,(_calc!$E$257-500)))=0,"",INDEX('My equipment'!$S$4:$S$503,(_calc!$E$257-500))))=0,"","Claims email: "&amp;IF(LEN(INDEX('My equipment'!$S$4:$S$503,(_calc!$E$257-500)))=0,"",INDEX('My equipment'!$S$4:$S$503,(_calc!$E$257-500)))&amp;". ")&amp;IF(LEN(IF(LEN(INDEX('My equipment'!$U$4:$U$503,(_calc!$E$257-500)))=0,"",INDEX('My equipment'!$U$4:$U$503,(_calc!$E$257-500))))=0,"","Registered: "&amp;IF(LEN(INDEX('My equipment'!$U$4:$U$503,(_calc!$E$257-500)))=0,"",INDEX('My equipment'!$U$4:$U$503,(_calc!$E$257-500)))&amp;". ")&amp;IF(LEN(IF(LEN(INDEX('My equipment'!$V$4:$V$503,(_calc!$E$257-500)))=0,"",INDEX('My equipment'!$V$4:$V$503,(_calc!$E$257-500))))=0,"","Proof on file: "&amp;IF(LEN(INDEX('My equipment'!$V$4:$V$503,(_calc!$E$257-500)))=0,"",INDEX('My equipment'!$V$4:$V$503,(_calc!$E$257-500)))&amp;". ")&amp;IF(LEN(IF(LEN(INDEX('My equipment'!$W$4:$W$503,(_calc!$E$257-500)))=0,"",INDEX('My equipment'!$W$4:$W$503,(_calc!$E$257-500))))=0,"","Claim ref: "&amp;IF(LEN(INDEX('My equipment'!$W$4:$W$503,(_calc!$E$257-500)))=0,"",INDEX('My equipment'!$W$4:$W$503,(_calc!$E$257-500)))&amp;". ")&amp;IF(LEN(IF(LEN(INDEX('My equipment'!$Y$4:$Y$503,(_calc!$E$257-500)))=0,"",INDEX('My equipment'!$Y$4:$Y$503,(_calc!$E$257-500))))=0,"",IF(LEN(INDEX('My equipment'!$Y$4:$Y$503,(_calc!$E$257-500)))=0,"",INDEX('My equipment'!$Y$4:$Y$503,(_calc!$E$257-500)))))))</f>
        <v/>
      </c>
      <c r="G255" s="54">
        <f>IF(_calc!$E$257="","",IF(_calc!$E$257&lt;=500,"",IF(LEN(INDEX('My equipment'!$X$4:$X$503,(_calc!$E$257-500)))=0,"",INDEX('My equipment'!$X$4:$X$503,(_calc!$E$257-500)))))</f>
        <v/>
      </c>
      <c r="K255" s="54">
        <f>IF(_calc!$E$257="","",IF(_calc!$E$257&lt;=500,"",IF(LEN(INDEX('My equipment'!$T$4:$T$503,(_calc!$E$257-500)))=0,"",INDEX('My equipment'!$T$4:$T$503,(_calc!$E$257-500)))))</f>
        <v/>
      </c>
    </row>
    <row r="256">
      <c r="A256" s="54">
        <f>IF(_calc!$E$258="","",IF(_calc!$E$258&lt;=500,"Warranty – "&amp;IF(LEN(INDEX('Dealer pipeline'!$C$4:$C$503,_calc!$E$258))=0,"",INDEX('Dealer pipeline'!$C$4:$C$503,_calc!$E$258))&amp;" – "&amp;IF(LEN(INDEX('Dealer pipeline'!$D$4:$D$503,_calc!$E$258))=0,"",INDEX('Dealer pipeline'!$D$4:$D$503,_calc!$E$258))&amp;" – "&amp;IF(LEN(INDEX('Dealer pipeline'!$A$4:$A$503,_calc!$E$258))=0,"",INDEX('Dealer pipeline'!$A$4:$A$503,_calc!$E$258)),"Warranty – "&amp;IF(LEN(INDEX('My equipment'!$A$4:$A$503,(_calc!$E$258-500)))=0,"",INDEX('My equipment'!$A$4:$A$503,(_calc!$E$258-500)))&amp;" – "&amp;IF(LEN(INDEX('My equipment'!$D$4:$D$503,(_calc!$E$258-500)))=0,"",INDEX('My equipment'!$D$4:$D$503,(_calc!$E$258-500)))))</f>
        <v/>
      </c>
      <c r="B256" s="54">
        <f>IF(_calc!$E$258="","",IF(_calc!$E$258&lt;=500,IF(ISNUMBER(INDEX('Dealer pipeline'!$M$4:$M$503,_calc!$E$258)),TEXT(INDEX('Dealer pipeline'!$M$4:$M$503,_calc!$E$258),"yyyy-mm-dd"),""),IF(ISNUMBER(INDEX('My equipment'!$M$4:$M$503,(_calc!$E$258-500))),TEXT(INDEX('My equipment'!$M$4:$M$503,(_calc!$E$258-500)),"yyyy-mm-dd"),"")))</f>
        <v/>
      </c>
      <c r="C256" s="54">
        <f>IF(_calc!$E$258="","",IF(_calc!$E$258&lt;=500,"Warranty","Warranty"))</f>
        <v/>
      </c>
      <c r="D256" s="54">
        <f>IF(_calc!$E$258="","",IF(_calc!$E$258&lt;=500,IF(ISNUMBER(INDEX('Dealer pipeline'!$H$4:$H$503,_calc!$E$258)),TEXT(INDEX('Dealer pipeline'!$H$4:$H$503,_calc!$E$258),"yyyy-mm-dd"),""),IF(ISNUMBER(INDEX('My equipment'!$H$4:$H$503,(_calc!$E$258-500))),TEXT(INDEX('My equipment'!$H$4:$H$503,(_calc!$E$258-500)),"yyyy-mm-dd"),"")))</f>
        <v/>
      </c>
      <c r="F256" s="54">
        <f>IF(_calc!$E$258="","",IF(_calc!$E$258&lt;=500,TRIM(IF(LEN(IF(LEN(INDEX('Dealer pipeline'!$A$4:$A$503,_calc!$E$258))=0,"",INDEX('Dealer pipeline'!$A$4:$A$503,_calc!$E$258)))=0,"","Customer: "&amp;IF(LEN(INDEX('Dealer pipeline'!$A$4:$A$503,_calc!$E$258))=0,"",INDEX('Dealer pipeline'!$A$4:$A$503,_calc!$E$258))&amp;". ")&amp;IF(LEN(IF(LEN(INDEX('Dealer pipeline'!$B$4:$B$503,_calc!$E$258))=0,"",INDEX('Dealer pipeline'!$B$4:$B$503,_calc!$E$258)))=0,"","Contact: "&amp;IF(LEN(INDEX('Dealer pipeline'!$B$4:$B$503,_calc!$E$258))=0,"",INDEX('Dealer pipeline'!$B$4:$B$503,_calc!$E$258))&amp;". ")&amp;IF(LEN(IF(LEN(INDEX('Dealer pipeline'!$D$4:$D$503,_calc!$E$258))=0,"",INDEX('Dealer pipeline'!$D$4:$D$503,_calc!$E$258)))=0,"","Serial: "&amp;IF(LEN(INDEX('Dealer pipeline'!$D$4:$D$503,_calc!$E$258))=0,"",INDEX('Dealer pipeline'!$D$4:$D$503,_calc!$E$258))&amp;". ")&amp;IF(LEN(IF(ISNUMBER(INDEX('Dealer pipeline'!$J$4:$J$503,_calc!$E$258)),TEXT(INDEX('Dealer pipeline'!$J$4:$J$503,_calc!$E$258),"yyyy-mm-dd"),""))=0,"","Parts end: "&amp;IF(ISNUMBER(INDEX('Dealer pipeline'!$J$4:$J$503,_calc!$E$258)),TEXT(INDEX('Dealer pipeline'!$J$4:$J$503,_calc!$E$258),"yyyy-mm-dd"),"")&amp;". ")&amp;IF(LEN(IF(ISNUMBER(INDEX('Dealer pipeline'!$L$4:$L$503,_calc!$E$258)),TEXT(INDEX('Dealer pipeline'!$L$4:$L$503,_calc!$E$258),"yyyy-mm-dd"),""))=0,"","Labor end: "&amp;IF(ISNUMBER(INDEX('Dealer pipeline'!$L$4:$L$503,_calc!$E$258)),TEXT(INDEX('Dealer pipeline'!$L$4:$L$503,_calc!$E$258),"yyyy-mm-dd"),"")&amp;". ")&amp;IF(LEN(IF(LEN(INDEX('Dealer pipeline'!$Q$4:$Q$503,_calc!$E$258))=0,"",INDEX('Dealer pipeline'!$Q$4:$Q$503,_calc!$E$258)))=0,"","Status: "&amp;IF(LEN(INDEX('Dealer pipeline'!$Q$4:$Q$503,_calc!$E$258))=0,"",INDEX('Dealer pipeline'!$Q$4:$Q$503,_calc!$E$258))&amp;". ")&amp;IF(LEN(IF(LEN(INDEX('Dealer pipeline'!$P$4:$P$503,_calc!$E$258))=0,"",INDEX('Dealer pipeline'!$P$4:$P$503,_calc!$E$258)))=0,"","Last touch: "&amp;IF(LEN(INDEX('Dealer pipeline'!$P$4:$P$503,_calc!$E$258))=0,"",INDEX('Dealer pipeline'!$P$4:$P$503,_calc!$E$258))&amp;". ")&amp;IF(LEN(IF(LEN(INDEX('Dealer pipeline'!$R$4:$R$503,_calc!$E$258))=0,"",INDEX('Dealer pipeline'!$R$4:$R$503,_calc!$E$258)))=0,"","Owner: "&amp;IF(LEN(INDEX('Dealer pipeline'!$R$4:$R$503,_calc!$E$258))=0,"",INDEX('Dealer pipeline'!$R$4:$R$503,_calc!$E$258))&amp;". ")&amp;IF(LEN(IF(LEN(INDEX('Dealer pipeline'!$S$4:$S$503,_calc!$E$258))=0,"",INDEX('Dealer pipeline'!$S$4:$S$503,_calc!$E$258)))=0,"","Backup: "&amp;IF(LEN(INDEX('Dealer pipeline'!$S$4:$S$503,_calc!$E$258))=0,"",INDEX('Dealer pipeline'!$S$4:$S$503,_calc!$E$258))&amp;". ")&amp;IF(LEN(IF(LEN(INDEX('Dealer pipeline'!$T$4:$T$503,_calc!$E$258))=0,"",INDEX('Dealer pipeline'!$T$4:$T$503,_calc!$E$258)))=0,"",IF(LEN(INDEX('Dealer pipeline'!$T$4:$T$503,_calc!$E$258))=0,"",INDEX('Dealer pipeline'!$T$4:$T$503,_calc!$E$258)))),TRIM(IF(LEN(IF(LEN(INDEX('My equipment'!$C$4:$C$503,(_calc!$E$258-500)))=0,"",INDEX('My equipment'!$C$4:$C$503,(_calc!$E$258-500))))=0,"","Model: "&amp;IF(LEN(INDEX('My equipment'!$C$4:$C$503,(_calc!$E$258-500)))=0,"",INDEX('My equipment'!$C$4:$C$503,(_calc!$E$258-500)))&amp;". ")&amp;IF(LEN(IF(LEN(INDEX('My equipment'!$D$4:$D$503,(_calc!$E$258-500)))=0,"",INDEX('My equipment'!$D$4:$D$503,(_calc!$E$258-500))))=0,"","Serial: "&amp;IF(LEN(INDEX('My equipment'!$D$4:$D$503,(_calc!$E$258-500)))=0,"",INDEX('My equipment'!$D$4:$D$503,(_calc!$E$258-500)))&amp;". ")&amp;IF(LEN(IF(ISNUMBER(INDEX('My equipment'!$J$4:$J$503,(_calc!$E$258-500))),TEXT(INDEX('My equipment'!$J$4:$J$503,(_calc!$E$258-500)),"yyyy-mm-dd"),""))=0,"","Parts end: "&amp;IF(ISNUMBER(INDEX('My equipment'!$J$4:$J$503,(_calc!$E$258-500))),TEXT(INDEX('My equipment'!$J$4:$J$503,(_calc!$E$258-500)),"yyyy-mm-dd"),"")&amp;". ")&amp;IF(LEN(IF(ISNUMBER(INDEX('My equipment'!$L$4:$L$503,(_calc!$E$258-500))),TEXT(INDEX('My equipment'!$L$4:$L$503,(_calc!$E$258-500)),"yyyy-mm-dd"),""))=0,"","Labor end: "&amp;IF(ISNUMBER(INDEX('My equipment'!$L$4:$L$503,(_calc!$E$258-500))),TEXT(INDEX('My equipment'!$L$4:$L$503,(_calc!$E$258-500)),"yyyy-mm-dd"),"")&amp;". ")&amp;IF(LEN(IF(ISNUMBER(INDEX('My equipment'!$P$4:$P$503,(_calc!$E$258-500))),TEXT(INDEX('My equipment'!$P$4:$P$503,(_calc!$E$258-500)),"yyyy-mm-dd"),""))=0,"","Check by: "&amp;IF(ISNUMBER(INDEX('My equipment'!$P$4:$P$503,(_calc!$E$258-500))),TEXT(INDEX('My equipment'!$P$4:$P$503,(_calc!$E$258-500)),"yyyy-mm-dd"),"")&amp;". ")&amp;IF(LEN(IF(LEN(INDEX('My equipment'!$Q$4:$Q$503,(_calc!$E$258-500)))=0,"",INDEX('My equipment'!$Q$4:$Q$503,(_calc!$E$258-500))))=0,"","Claim status: "&amp;IF(LEN(INDEX('My equipment'!$Q$4:$Q$503,(_calc!$E$258-500)))=0,"",INDEX('My equipment'!$Q$4:$Q$503,(_calc!$E$258-500)))&amp;". ")&amp;IF(LEN(IF(LEN(INDEX('My equipment'!$R$4:$R$503,(_calc!$E$258-500)))=0,"",INDEX('My equipment'!$R$4:$R$503,(_calc!$E$258-500))))=0,"","Claims contact: "&amp;IF(LEN(INDEX('My equipment'!$R$4:$R$503,(_calc!$E$258-500)))=0,"",INDEX('My equipment'!$R$4:$R$503,(_calc!$E$258-500)))&amp;". ")&amp;IF(LEN(IF(LEN(INDEX('My equipment'!$S$4:$S$503,(_calc!$E$258-500)))=0,"",INDEX('My equipment'!$S$4:$S$503,(_calc!$E$258-500))))=0,"","Claims email: "&amp;IF(LEN(INDEX('My equipment'!$S$4:$S$503,(_calc!$E$258-500)))=0,"",INDEX('My equipment'!$S$4:$S$503,(_calc!$E$258-500)))&amp;". ")&amp;IF(LEN(IF(LEN(INDEX('My equipment'!$U$4:$U$503,(_calc!$E$258-500)))=0,"",INDEX('My equipment'!$U$4:$U$503,(_calc!$E$258-500))))=0,"","Registered: "&amp;IF(LEN(INDEX('My equipment'!$U$4:$U$503,(_calc!$E$258-500)))=0,"",INDEX('My equipment'!$U$4:$U$503,(_calc!$E$258-500)))&amp;". ")&amp;IF(LEN(IF(LEN(INDEX('My equipment'!$V$4:$V$503,(_calc!$E$258-500)))=0,"",INDEX('My equipment'!$V$4:$V$503,(_calc!$E$258-500))))=0,"","Proof on file: "&amp;IF(LEN(INDEX('My equipment'!$V$4:$V$503,(_calc!$E$258-500)))=0,"",INDEX('My equipment'!$V$4:$V$503,(_calc!$E$258-500)))&amp;". ")&amp;IF(LEN(IF(LEN(INDEX('My equipment'!$W$4:$W$503,(_calc!$E$258-500)))=0,"",INDEX('My equipment'!$W$4:$W$503,(_calc!$E$258-500))))=0,"","Claim ref: "&amp;IF(LEN(INDEX('My equipment'!$W$4:$W$503,(_calc!$E$258-500)))=0,"",INDEX('My equipment'!$W$4:$W$503,(_calc!$E$258-500)))&amp;". ")&amp;IF(LEN(IF(LEN(INDEX('My equipment'!$Y$4:$Y$503,(_calc!$E$258-500)))=0,"",INDEX('My equipment'!$Y$4:$Y$503,(_calc!$E$258-500))))=0,"",IF(LEN(INDEX('My equipment'!$Y$4:$Y$503,(_calc!$E$258-500)))=0,"",INDEX('My equipment'!$Y$4:$Y$503,(_calc!$E$258-500)))))))</f>
        <v/>
      </c>
      <c r="G256" s="54">
        <f>IF(_calc!$E$258="","",IF(_calc!$E$258&lt;=500,"",IF(LEN(INDEX('My equipment'!$X$4:$X$503,(_calc!$E$258-500)))=0,"",INDEX('My equipment'!$X$4:$X$503,(_calc!$E$258-500)))))</f>
        <v/>
      </c>
      <c r="K256" s="54">
        <f>IF(_calc!$E$258="","",IF(_calc!$E$258&lt;=500,"",IF(LEN(INDEX('My equipment'!$T$4:$T$503,(_calc!$E$258-500)))=0,"",INDEX('My equipment'!$T$4:$T$503,(_calc!$E$258-500)))))</f>
        <v/>
      </c>
    </row>
    <row r="257">
      <c r="A257" s="54">
        <f>IF(_calc!$E$259="","",IF(_calc!$E$259&lt;=500,"Warranty – "&amp;IF(LEN(INDEX('Dealer pipeline'!$C$4:$C$503,_calc!$E$259))=0,"",INDEX('Dealer pipeline'!$C$4:$C$503,_calc!$E$259))&amp;" – "&amp;IF(LEN(INDEX('Dealer pipeline'!$D$4:$D$503,_calc!$E$259))=0,"",INDEX('Dealer pipeline'!$D$4:$D$503,_calc!$E$259))&amp;" – "&amp;IF(LEN(INDEX('Dealer pipeline'!$A$4:$A$503,_calc!$E$259))=0,"",INDEX('Dealer pipeline'!$A$4:$A$503,_calc!$E$259)),"Warranty – "&amp;IF(LEN(INDEX('My equipment'!$A$4:$A$503,(_calc!$E$259-500)))=0,"",INDEX('My equipment'!$A$4:$A$503,(_calc!$E$259-500)))&amp;" – "&amp;IF(LEN(INDEX('My equipment'!$D$4:$D$503,(_calc!$E$259-500)))=0,"",INDEX('My equipment'!$D$4:$D$503,(_calc!$E$259-500)))))</f>
        <v/>
      </c>
      <c r="B257" s="54">
        <f>IF(_calc!$E$259="","",IF(_calc!$E$259&lt;=500,IF(ISNUMBER(INDEX('Dealer pipeline'!$M$4:$M$503,_calc!$E$259)),TEXT(INDEX('Dealer pipeline'!$M$4:$M$503,_calc!$E$259),"yyyy-mm-dd"),""),IF(ISNUMBER(INDEX('My equipment'!$M$4:$M$503,(_calc!$E$259-500))),TEXT(INDEX('My equipment'!$M$4:$M$503,(_calc!$E$259-500)),"yyyy-mm-dd"),"")))</f>
        <v/>
      </c>
      <c r="C257" s="54">
        <f>IF(_calc!$E$259="","",IF(_calc!$E$259&lt;=500,"Warranty","Warranty"))</f>
        <v/>
      </c>
      <c r="D257" s="54">
        <f>IF(_calc!$E$259="","",IF(_calc!$E$259&lt;=500,IF(ISNUMBER(INDEX('Dealer pipeline'!$H$4:$H$503,_calc!$E$259)),TEXT(INDEX('Dealer pipeline'!$H$4:$H$503,_calc!$E$259),"yyyy-mm-dd"),""),IF(ISNUMBER(INDEX('My equipment'!$H$4:$H$503,(_calc!$E$259-500))),TEXT(INDEX('My equipment'!$H$4:$H$503,(_calc!$E$259-500)),"yyyy-mm-dd"),"")))</f>
        <v/>
      </c>
      <c r="F257" s="54">
        <f>IF(_calc!$E$259="","",IF(_calc!$E$259&lt;=500,TRIM(IF(LEN(IF(LEN(INDEX('Dealer pipeline'!$A$4:$A$503,_calc!$E$259))=0,"",INDEX('Dealer pipeline'!$A$4:$A$503,_calc!$E$259)))=0,"","Customer: "&amp;IF(LEN(INDEX('Dealer pipeline'!$A$4:$A$503,_calc!$E$259))=0,"",INDEX('Dealer pipeline'!$A$4:$A$503,_calc!$E$259))&amp;". ")&amp;IF(LEN(IF(LEN(INDEX('Dealer pipeline'!$B$4:$B$503,_calc!$E$259))=0,"",INDEX('Dealer pipeline'!$B$4:$B$503,_calc!$E$259)))=0,"","Contact: "&amp;IF(LEN(INDEX('Dealer pipeline'!$B$4:$B$503,_calc!$E$259))=0,"",INDEX('Dealer pipeline'!$B$4:$B$503,_calc!$E$259))&amp;". ")&amp;IF(LEN(IF(LEN(INDEX('Dealer pipeline'!$D$4:$D$503,_calc!$E$259))=0,"",INDEX('Dealer pipeline'!$D$4:$D$503,_calc!$E$259)))=0,"","Serial: "&amp;IF(LEN(INDEX('Dealer pipeline'!$D$4:$D$503,_calc!$E$259))=0,"",INDEX('Dealer pipeline'!$D$4:$D$503,_calc!$E$259))&amp;". ")&amp;IF(LEN(IF(ISNUMBER(INDEX('Dealer pipeline'!$J$4:$J$503,_calc!$E$259)),TEXT(INDEX('Dealer pipeline'!$J$4:$J$503,_calc!$E$259),"yyyy-mm-dd"),""))=0,"","Parts end: "&amp;IF(ISNUMBER(INDEX('Dealer pipeline'!$J$4:$J$503,_calc!$E$259)),TEXT(INDEX('Dealer pipeline'!$J$4:$J$503,_calc!$E$259),"yyyy-mm-dd"),"")&amp;". ")&amp;IF(LEN(IF(ISNUMBER(INDEX('Dealer pipeline'!$L$4:$L$503,_calc!$E$259)),TEXT(INDEX('Dealer pipeline'!$L$4:$L$503,_calc!$E$259),"yyyy-mm-dd"),""))=0,"","Labor end: "&amp;IF(ISNUMBER(INDEX('Dealer pipeline'!$L$4:$L$503,_calc!$E$259)),TEXT(INDEX('Dealer pipeline'!$L$4:$L$503,_calc!$E$259),"yyyy-mm-dd"),"")&amp;". ")&amp;IF(LEN(IF(LEN(INDEX('Dealer pipeline'!$Q$4:$Q$503,_calc!$E$259))=0,"",INDEX('Dealer pipeline'!$Q$4:$Q$503,_calc!$E$259)))=0,"","Status: "&amp;IF(LEN(INDEX('Dealer pipeline'!$Q$4:$Q$503,_calc!$E$259))=0,"",INDEX('Dealer pipeline'!$Q$4:$Q$503,_calc!$E$259))&amp;". ")&amp;IF(LEN(IF(LEN(INDEX('Dealer pipeline'!$P$4:$P$503,_calc!$E$259))=0,"",INDEX('Dealer pipeline'!$P$4:$P$503,_calc!$E$259)))=0,"","Last touch: "&amp;IF(LEN(INDEX('Dealer pipeline'!$P$4:$P$503,_calc!$E$259))=0,"",INDEX('Dealer pipeline'!$P$4:$P$503,_calc!$E$259))&amp;". ")&amp;IF(LEN(IF(LEN(INDEX('Dealer pipeline'!$R$4:$R$503,_calc!$E$259))=0,"",INDEX('Dealer pipeline'!$R$4:$R$503,_calc!$E$259)))=0,"","Owner: "&amp;IF(LEN(INDEX('Dealer pipeline'!$R$4:$R$503,_calc!$E$259))=0,"",INDEX('Dealer pipeline'!$R$4:$R$503,_calc!$E$259))&amp;". ")&amp;IF(LEN(IF(LEN(INDEX('Dealer pipeline'!$S$4:$S$503,_calc!$E$259))=0,"",INDEX('Dealer pipeline'!$S$4:$S$503,_calc!$E$259)))=0,"","Backup: "&amp;IF(LEN(INDEX('Dealer pipeline'!$S$4:$S$503,_calc!$E$259))=0,"",INDEX('Dealer pipeline'!$S$4:$S$503,_calc!$E$259))&amp;". ")&amp;IF(LEN(IF(LEN(INDEX('Dealer pipeline'!$T$4:$T$503,_calc!$E$259))=0,"",INDEX('Dealer pipeline'!$T$4:$T$503,_calc!$E$259)))=0,"",IF(LEN(INDEX('Dealer pipeline'!$T$4:$T$503,_calc!$E$259))=0,"",INDEX('Dealer pipeline'!$T$4:$T$503,_calc!$E$259)))),TRIM(IF(LEN(IF(LEN(INDEX('My equipment'!$C$4:$C$503,(_calc!$E$259-500)))=0,"",INDEX('My equipment'!$C$4:$C$503,(_calc!$E$259-500))))=0,"","Model: "&amp;IF(LEN(INDEX('My equipment'!$C$4:$C$503,(_calc!$E$259-500)))=0,"",INDEX('My equipment'!$C$4:$C$503,(_calc!$E$259-500)))&amp;". ")&amp;IF(LEN(IF(LEN(INDEX('My equipment'!$D$4:$D$503,(_calc!$E$259-500)))=0,"",INDEX('My equipment'!$D$4:$D$503,(_calc!$E$259-500))))=0,"","Serial: "&amp;IF(LEN(INDEX('My equipment'!$D$4:$D$503,(_calc!$E$259-500)))=0,"",INDEX('My equipment'!$D$4:$D$503,(_calc!$E$259-500)))&amp;". ")&amp;IF(LEN(IF(ISNUMBER(INDEX('My equipment'!$J$4:$J$503,(_calc!$E$259-500))),TEXT(INDEX('My equipment'!$J$4:$J$503,(_calc!$E$259-500)),"yyyy-mm-dd"),""))=0,"","Parts end: "&amp;IF(ISNUMBER(INDEX('My equipment'!$J$4:$J$503,(_calc!$E$259-500))),TEXT(INDEX('My equipment'!$J$4:$J$503,(_calc!$E$259-500)),"yyyy-mm-dd"),"")&amp;". ")&amp;IF(LEN(IF(ISNUMBER(INDEX('My equipment'!$L$4:$L$503,(_calc!$E$259-500))),TEXT(INDEX('My equipment'!$L$4:$L$503,(_calc!$E$259-500)),"yyyy-mm-dd"),""))=0,"","Labor end: "&amp;IF(ISNUMBER(INDEX('My equipment'!$L$4:$L$503,(_calc!$E$259-500))),TEXT(INDEX('My equipment'!$L$4:$L$503,(_calc!$E$259-500)),"yyyy-mm-dd"),"")&amp;". ")&amp;IF(LEN(IF(ISNUMBER(INDEX('My equipment'!$P$4:$P$503,(_calc!$E$259-500))),TEXT(INDEX('My equipment'!$P$4:$P$503,(_calc!$E$259-500)),"yyyy-mm-dd"),""))=0,"","Check by: "&amp;IF(ISNUMBER(INDEX('My equipment'!$P$4:$P$503,(_calc!$E$259-500))),TEXT(INDEX('My equipment'!$P$4:$P$503,(_calc!$E$259-500)),"yyyy-mm-dd"),"")&amp;". ")&amp;IF(LEN(IF(LEN(INDEX('My equipment'!$Q$4:$Q$503,(_calc!$E$259-500)))=0,"",INDEX('My equipment'!$Q$4:$Q$503,(_calc!$E$259-500))))=0,"","Claim status: "&amp;IF(LEN(INDEX('My equipment'!$Q$4:$Q$503,(_calc!$E$259-500)))=0,"",INDEX('My equipment'!$Q$4:$Q$503,(_calc!$E$259-500)))&amp;". ")&amp;IF(LEN(IF(LEN(INDEX('My equipment'!$R$4:$R$503,(_calc!$E$259-500)))=0,"",INDEX('My equipment'!$R$4:$R$503,(_calc!$E$259-500))))=0,"","Claims contact: "&amp;IF(LEN(INDEX('My equipment'!$R$4:$R$503,(_calc!$E$259-500)))=0,"",INDEX('My equipment'!$R$4:$R$503,(_calc!$E$259-500)))&amp;". ")&amp;IF(LEN(IF(LEN(INDEX('My equipment'!$S$4:$S$503,(_calc!$E$259-500)))=0,"",INDEX('My equipment'!$S$4:$S$503,(_calc!$E$259-500))))=0,"","Claims email: "&amp;IF(LEN(INDEX('My equipment'!$S$4:$S$503,(_calc!$E$259-500)))=0,"",INDEX('My equipment'!$S$4:$S$503,(_calc!$E$259-500)))&amp;". ")&amp;IF(LEN(IF(LEN(INDEX('My equipment'!$U$4:$U$503,(_calc!$E$259-500)))=0,"",INDEX('My equipment'!$U$4:$U$503,(_calc!$E$259-500))))=0,"","Registered: "&amp;IF(LEN(INDEX('My equipment'!$U$4:$U$503,(_calc!$E$259-500)))=0,"",INDEX('My equipment'!$U$4:$U$503,(_calc!$E$259-500)))&amp;". ")&amp;IF(LEN(IF(LEN(INDEX('My equipment'!$V$4:$V$503,(_calc!$E$259-500)))=0,"",INDEX('My equipment'!$V$4:$V$503,(_calc!$E$259-500))))=0,"","Proof on file: "&amp;IF(LEN(INDEX('My equipment'!$V$4:$V$503,(_calc!$E$259-500)))=0,"",INDEX('My equipment'!$V$4:$V$503,(_calc!$E$259-500)))&amp;". ")&amp;IF(LEN(IF(LEN(INDEX('My equipment'!$W$4:$W$503,(_calc!$E$259-500)))=0,"",INDEX('My equipment'!$W$4:$W$503,(_calc!$E$259-500))))=0,"","Claim ref: "&amp;IF(LEN(INDEX('My equipment'!$W$4:$W$503,(_calc!$E$259-500)))=0,"",INDEX('My equipment'!$W$4:$W$503,(_calc!$E$259-500)))&amp;". ")&amp;IF(LEN(IF(LEN(INDEX('My equipment'!$Y$4:$Y$503,(_calc!$E$259-500)))=0,"",INDEX('My equipment'!$Y$4:$Y$503,(_calc!$E$259-500))))=0,"",IF(LEN(INDEX('My equipment'!$Y$4:$Y$503,(_calc!$E$259-500)))=0,"",INDEX('My equipment'!$Y$4:$Y$503,(_calc!$E$259-500)))))))</f>
        <v/>
      </c>
      <c r="G257" s="54">
        <f>IF(_calc!$E$259="","",IF(_calc!$E$259&lt;=500,"",IF(LEN(INDEX('My equipment'!$X$4:$X$503,(_calc!$E$259-500)))=0,"",INDEX('My equipment'!$X$4:$X$503,(_calc!$E$259-500)))))</f>
        <v/>
      </c>
      <c r="K257" s="54">
        <f>IF(_calc!$E$259="","",IF(_calc!$E$259&lt;=500,"",IF(LEN(INDEX('My equipment'!$T$4:$T$503,(_calc!$E$259-500)))=0,"",INDEX('My equipment'!$T$4:$T$503,(_calc!$E$259-500)))))</f>
        <v/>
      </c>
    </row>
    <row r="258">
      <c r="A258" s="54">
        <f>IF(_calc!$E$260="","",IF(_calc!$E$260&lt;=500,"Warranty – "&amp;IF(LEN(INDEX('Dealer pipeline'!$C$4:$C$503,_calc!$E$260))=0,"",INDEX('Dealer pipeline'!$C$4:$C$503,_calc!$E$260))&amp;" – "&amp;IF(LEN(INDEX('Dealer pipeline'!$D$4:$D$503,_calc!$E$260))=0,"",INDEX('Dealer pipeline'!$D$4:$D$503,_calc!$E$260))&amp;" – "&amp;IF(LEN(INDEX('Dealer pipeline'!$A$4:$A$503,_calc!$E$260))=0,"",INDEX('Dealer pipeline'!$A$4:$A$503,_calc!$E$260)),"Warranty – "&amp;IF(LEN(INDEX('My equipment'!$A$4:$A$503,(_calc!$E$260-500)))=0,"",INDEX('My equipment'!$A$4:$A$503,(_calc!$E$260-500)))&amp;" – "&amp;IF(LEN(INDEX('My equipment'!$D$4:$D$503,(_calc!$E$260-500)))=0,"",INDEX('My equipment'!$D$4:$D$503,(_calc!$E$260-500)))))</f>
        <v/>
      </c>
      <c r="B258" s="54">
        <f>IF(_calc!$E$260="","",IF(_calc!$E$260&lt;=500,IF(ISNUMBER(INDEX('Dealer pipeline'!$M$4:$M$503,_calc!$E$260)),TEXT(INDEX('Dealer pipeline'!$M$4:$M$503,_calc!$E$260),"yyyy-mm-dd"),""),IF(ISNUMBER(INDEX('My equipment'!$M$4:$M$503,(_calc!$E$260-500))),TEXT(INDEX('My equipment'!$M$4:$M$503,(_calc!$E$260-500)),"yyyy-mm-dd"),"")))</f>
        <v/>
      </c>
      <c r="C258" s="54">
        <f>IF(_calc!$E$260="","",IF(_calc!$E$260&lt;=500,"Warranty","Warranty"))</f>
        <v/>
      </c>
      <c r="D258" s="54">
        <f>IF(_calc!$E$260="","",IF(_calc!$E$260&lt;=500,IF(ISNUMBER(INDEX('Dealer pipeline'!$H$4:$H$503,_calc!$E$260)),TEXT(INDEX('Dealer pipeline'!$H$4:$H$503,_calc!$E$260),"yyyy-mm-dd"),""),IF(ISNUMBER(INDEX('My equipment'!$H$4:$H$503,(_calc!$E$260-500))),TEXT(INDEX('My equipment'!$H$4:$H$503,(_calc!$E$260-500)),"yyyy-mm-dd"),"")))</f>
        <v/>
      </c>
      <c r="F258" s="54">
        <f>IF(_calc!$E$260="","",IF(_calc!$E$260&lt;=500,TRIM(IF(LEN(IF(LEN(INDEX('Dealer pipeline'!$A$4:$A$503,_calc!$E$260))=0,"",INDEX('Dealer pipeline'!$A$4:$A$503,_calc!$E$260)))=0,"","Customer: "&amp;IF(LEN(INDEX('Dealer pipeline'!$A$4:$A$503,_calc!$E$260))=0,"",INDEX('Dealer pipeline'!$A$4:$A$503,_calc!$E$260))&amp;". ")&amp;IF(LEN(IF(LEN(INDEX('Dealer pipeline'!$B$4:$B$503,_calc!$E$260))=0,"",INDEX('Dealer pipeline'!$B$4:$B$503,_calc!$E$260)))=0,"","Contact: "&amp;IF(LEN(INDEX('Dealer pipeline'!$B$4:$B$503,_calc!$E$260))=0,"",INDEX('Dealer pipeline'!$B$4:$B$503,_calc!$E$260))&amp;". ")&amp;IF(LEN(IF(LEN(INDEX('Dealer pipeline'!$D$4:$D$503,_calc!$E$260))=0,"",INDEX('Dealer pipeline'!$D$4:$D$503,_calc!$E$260)))=0,"","Serial: "&amp;IF(LEN(INDEX('Dealer pipeline'!$D$4:$D$503,_calc!$E$260))=0,"",INDEX('Dealer pipeline'!$D$4:$D$503,_calc!$E$260))&amp;". ")&amp;IF(LEN(IF(ISNUMBER(INDEX('Dealer pipeline'!$J$4:$J$503,_calc!$E$260)),TEXT(INDEX('Dealer pipeline'!$J$4:$J$503,_calc!$E$260),"yyyy-mm-dd"),""))=0,"","Parts end: "&amp;IF(ISNUMBER(INDEX('Dealer pipeline'!$J$4:$J$503,_calc!$E$260)),TEXT(INDEX('Dealer pipeline'!$J$4:$J$503,_calc!$E$260),"yyyy-mm-dd"),"")&amp;". ")&amp;IF(LEN(IF(ISNUMBER(INDEX('Dealer pipeline'!$L$4:$L$503,_calc!$E$260)),TEXT(INDEX('Dealer pipeline'!$L$4:$L$503,_calc!$E$260),"yyyy-mm-dd"),""))=0,"","Labor end: "&amp;IF(ISNUMBER(INDEX('Dealer pipeline'!$L$4:$L$503,_calc!$E$260)),TEXT(INDEX('Dealer pipeline'!$L$4:$L$503,_calc!$E$260),"yyyy-mm-dd"),"")&amp;". ")&amp;IF(LEN(IF(LEN(INDEX('Dealer pipeline'!$Q$4:$Q$503,_calc!$E$260))=0,"",INDEX('Dealer pipeline'!$Q$4:$Q$503,_calc!$E$260)))=0,"","Status: "&amp;IF(LEN(INDEX('Dealer pipeline'!$Q$4:$Q$503,_calc!$E$260))=0,"",INDEX('Dealer pipeline'!$Q$4:$Q$503,_calc!$E$260))&amp;". ")&amp;IF(LEN(IF(LEN(INDEX('Dealer pipeline'!$P$4:$P$503,_calc!$E$260))=0,"",INDEX('Dealer pipeline'!$P$4:$P$503,_calc!$E$260)))=0,"","Last touch: "&amp;IF(LEN(INDEX('Dealer pipeline'!$P$4:$P$503,_calc!$E$260))=0,"",INDEX('Dealer pipeline'!$P$4:$P$503,_calc!$E$260))&amp;". ")&amp;IF(LEN(IF(LEN(INDEX('Dealer pipeline'!$R$4:$R$503,_calc!$E$260))=0,"",INDEX('Dealer pipeline'!$R$4:$R$503,_calc!$E$260)))=0,"","Owner: "&amp;IF(LEN(INDEX('Dealer pipeline'!$R$4:$R$503,_calc!$E$260))=0,"",INDEX('Dealer pipeline'!$R$4:$R$503,_calc!$E$260))&amp;". ")&amp;IF(LEN(IF(LEN(INDEX('Dealer pipeline'!$S$4:$S$503,_calc!$E$260))=0,"",INDEX('Dealer pipeline'!$S$4:$S$503,_calc!$E$260)))=0,"","Backup: "&amp;IF(LEN(INDEX('Dealer pipeline'!$S$4:$S$503,_calc!$E$260))=0,"",INDEX('Dealer pipeline'!$S$4:$S$503,_calc!$E$260))&amp;". ")&amp;IF(LEN(IF(LEN(INDEX('Dealer pipeline'!$T$4:$T$503,_calc!$E$260))=0,"",INDEX('Dealer pipeline'!$T$4:$T$503,_calc!$E$260)))=0,"",IF(LEN(INDEX('Dealer pipeline'!$T$4:$T$503,_calc!$E$260))=0,"",INDEX('Dealer pipeline'!$T$4:$T$503,_calc!$E$260)))),TRIM(IF(LEN(IF(LEN(INDEX('My equipment'!$C$4:$C$503,(_calc!$E$260-500)))=0,"",INDEX('My equipment'!$C$4:$C$503,(_calc!$E$260-500))))=0,"","Model: "&amp;IF(LEN(INDEX('My equipment'!$C$4:$C$503,(_calc!$E$260-500)))=0,"",INDEX('My equipment'!$C$4:$C$503,(_calc!$E$260-500)))&amp;". ")&amp;IF(LEN(IF(LEN(INDEX('My equipment'!$D$4:$D$503,(_calc!$E$260-500)))=0,"",INDEX('My equipment'!$D$4:$D$503,(_calc!$E$260-500))))=0,"","Serial: "&amp;IF(LEN(INDEX('My equipment'!$D$4:$D$503,(_calc!$E$260-500)))=0,"",INDEX('My equipment'!$D$4:$D$503,(_calc!$E$260-500)))&amp;". ")&amp;IF(LEN(IF(ISNUMBER(INDEX('My equipment'!$J$4:$J$503,(_calc!$E$260-500))),TEXT(INDEX('My equipment'!$J$4:$J$503,(_calc!$E$260-500)),"yyyy-mm-dd"),""))=0,"","Parts end: "&amp;IF(ISNUMBER(INDEX('My equipment'!$J$4:$J$503,(_calc!$E$260-500))),TEXT(INDEX('My equipment'!$J$4:$J$503,(_calc!$E$260-500)),"yyyy-mm-dd"),"")&amp;". ")&amp;IF(LEN(IF(ISNUMBER(INDEX('My equipment'!$L$4:$L$503,(_calc!$E$260-500))),TEXT(INDEX('My equipment'!$L$4:$L$503,(_calc!$E$260-500)),"yyyy-mm-dd"),""))=0,"","Labor end: "&amp;IF(ISNUMBER(INDEX('My equipment'!$L$4:$L$503,(_calc!$E$260-500))),TEXT(INDEX('My equipment'!$L$4:$L$503,(_calc!$E$260-500)),"yyyy-mm-dd"),"")&amp;". ")&amp;IF(LEN(IF(ISNUMBER(INDEX('My equipment'!$P$4:$P$503,(_calc!$E$260-500))),TEXT(INDEX('My equipment'!$P$4:$P$503,(_calc!$E$260-500)),"yyyy-mm-dd"),""))=0,"","Check by: "&amp;IF(ISNUMBER(INDEX('My equipment'!$P$4:$P$503,(_calc!$E$260-500))),TEXT(INDEX('My equipment'!$P$4:$P$503,(_calc!$E$260-500)),"yyyy-mm-dd"),"")&amp;". ")&amp;IF(LEN(IF(LEN(INDEX('My equipment'!$Q$4:$Q$503,(_calc!$E$260-500)))=0,"",INDEX('My equipment'!$Q$4:$Q$503,(_calc!$E$260-500))))=0,"","Claim status: "&amp;IF(LEN(INDEX('My equipment'!$Q$4:$Q$503,(_calc!$E$260-500)))=0,"",INDEX('My equipment'!$Q$4:$Q$503,(_calc!$E$260-500)))&amp;". ")&amp;IF(LEN(IF(LEN(INDEX('My equipment'!$R$4:$R$503,(_calc!$E$260-500)))=0,"",INDEX('My equipment'!$R$4:$R$503,(_calc!$E$260-500))))=0,"","Claims contact: "&amp;IF(LEN(INDEX('My equipment'!$R$4:$R$503,(_calc!$E$260-500)))=0,"",INDEX('My equipment'!$R$4:$R$503,(_calc!$E$260-500)))&amp;". ")&amp;IF(LEN(IF(LEN(INDEX('My equipment'!$S$4:$S$503,(_calc!$E$260-500)))=0,"",INDEX('My equipment'!$S$4:$S$503,(_calc!$E$260-500))))=0,"","Claims email: "&amp;IF(LEN(INDEX('My equipment'!$S$4:$S$503,(_calc!$E$260-500)))=0,"",INDEX('My equipment'!$S$4:$S$503,(_calc!$E$260-500)))&amp;". ")&amp;IF(LEN(IF(LEN(INDEX('My equipment'!$U$4:$U$503,(_calc!$E$260-500)))=0,"",INDEX('My equipment'!$U$4:$U$503,(_calc!$E$260-500))))=0,"","Registered: "&amp;IF(LEN(INDEX('My equipment'!$U$4:$U$503,(_calc!$E$260-500)))=0,"",INDEX('My equipment'!$U$4:$U$503,(_calc!$E$260-500)))&amp;". ")&amp;IF(LEN(IF(LEN(INDEX('My equipment'!$V$4:$V$503,(_calc!$E$260-500)))=0,"",INDEX('My equipment'!$V$4:$V$503,(_calc!$E$260-500))))=0,"","Proof on file: "&amp;IF(LEN(INDEX('My equipment'!$V$4:$V$503,(_calc!$E$260-500)))=0,"",INDEX('My equipment'!$V$4:$V$503,(_calc!$E$260-500)))&amp;". ")&amp;IF(LEN(IF(LEN(INDEX('My equipment'!$W$4:$W$503,(_calc!$E$260-500)))=0,"",INDEX('My equipment'!$W$4:$W$503,(_calc!$E$260-500))))=0,"","Claim ref: "&amp;IF(LEN(INDEX('My equipment'!$W$4:$W$503,(_calc!$E$260-500)))=0,"",INDEX('My equipment'!$W$4:$W$503,(_calc!$E$260-500)))&amp;". ")&amp;IF(LEN(IF(LEN(INDEX('My equipment'!$Y$4:$Y$503,(_calc!$E$260-500)))=0,"",INDEX('My equipment'!$Y$4:$Y$503,(_calc!$E$260-500))))=0,"",IF(LEN(INDEX('My equipment'!$Y$4:$Y$503,(_calc!$E$260-500)))=0,"",INDEX('My equipment'!$Y$4:$Y$503,(_calc!$E$260-500)))))))</f>
        <v/>
      </c>
      <c r="G258" s="54">
        <f>IF(_calc!$E$260="","",IF(_calc!$E$260&lt;=500,"",IF(LEN(INDEX('My equipment'!$X$4:$X$503,(_calc!$E$260-500)))=0,"",INDEX('My equipment'!$X$4:$X$503,(_calc!$E$260-500)))))</f>
        <v/>
      </c>
      <c r="K258" s="54">
        <f>IF(_calc!$E$260="","",IF(_calc!$E$260&lt;=500,"",IF(LEN(INDEX('My equipment'!$T$4:$T$503,(_calc!$E$260-500)))=0,"",INDEX('My equipment'!$T$4:$T$503,(_calc!$E$260-500)))))</f>
        <v/>
      </c>
    </row>
    <row r="259">
      <c r="A259" s="54">
        <f>IF(_calc!$E$261="","",IF(_calc!$E$261&lt;=500,"Warranty – "&amp;IF(LEN(INDEX('Dealer pipeline'!$C$4:$C$503,_calc!$E$261))=0,"",INDEX('Dealer pipeline'!$C$4:$C$503,_calc!$E$261))&amp;" – "&amp;IF(LEN(INDEX('Dealer pipeline'!$D$4:$D$503,_calc!$E$261))=0,"",INDEX('Dealer pipeline'!$D$4:$D$503,_calc!$E$261))&amp;" – "&amp;IF(LEN(INDEX('Dealer pipeline'!$A$4:$A$503,_calc!$E$261))=0,"",INDEX('Dealer pipeline'!$A$4:$A$503,_calc!$E$261)),"Warranty – "&amp;IF(LEN(INDEX('My equipment'!$A$4:$A$503,(_calc!$E$261-500)))=0,"",INDEX('My equipment'!$A$4:$A$503,(_calc!$E$261-500)))&amp;" – "&amp;IF(LEN(INDEX('My equipment'!$D$4:$D$503,(_calc!$E$261-500)))=0,"",INDEX('My equipment'!$D$4:$D$503,(_calc!$E$261-500)))))</f>
        <v/>
      </c>
      <c r="B259" s="54">
        <f>IF(_calc!$E$261="","",IF(_calc!$E$261&lt;=500,IF(ISNUMBER(INDEX('Dealer pipeline'!$M$4:$M$503,_calc!$E$261)),TEXT(INDEX('Dealer pipeline'!$M$4:$M$503,_calc!$E$261),"yyyy-mm-dd"),""),IF(ISNUMBER(INDEX('My equipment'!$M$4:$M$503,(_calc!$E$261-500))),TEXT(INDEX('My equipment'!$M$4:$M$503,(_calc!$E$261-500)),"yyyy-mm-dd"),"")))</f>
        <v/>
      </c>
      <c r="C259" s="54">
        <f>IF(_calc!$E$261="","",IF(_calc!$E$261&lt;=500,"Warranty","Warranty"))</f>
        <v/>
      </c>
      <c r="D259" s="54">
        <f>IF(_calc!$E$261="","",IF(_calc!$E$261&lt;=500,IF(ISNUMBER(INDEX('Dealer pipeline'!$H$4:$H$503,_calc!$E$261)),TEXT(INDEX('Dealer pipeline'!$H$4:$H$503,_calc!$E$261),"yyyy-mm-dd"),""),IF(ISNUMBER(INDEX('My equipment'!$H$4:$H$503,(_calc!$E$261-500))),TEXT(INDEX('My equipment'!$H$4:$H$503,(_calc!$E$261-500)),"yyyy-mm-dd"),"")))</f>
        <v/>
      </c>
      <c r="F259" s="54">
        <f>IF(_calc!$E$261="","",IF(_calc!$E$261&lt;=500,TRIM(IF(LEN(IF(LEN(INDEX('Dealer pipeline'!$A$4:$A$503,_calc!$E$261))=0,"",INDEX('Dealer pipeline'!$A$4:$A$503,_calc!$E$261)))=0,"","Customer: "&amp;IF(LEN(INDEX('Dealer pipeline'!$A$4:$A$503,_calc!$E$261))=0,"",INDEX('Dealer pipeline'!$A$4:$A$503,_calc!$E$261))&amp;". ")&amp;IF(LEN(IF(LEN(INDEX('Dealer pipeline'!$B$4:$B$503,_calc!$E$261))=0,"",INDEX('Dealer pipeline'!$B$4:$B$503,_calc!$E$261)))=0,"","Contact: "&amp;IF(LEN(INDEX('Dealer pipeline'!$B$4:$B$503,_calc!$E$261))=0,"",INDEX('Dealer pipeline'!$B$4:$B$503,_calc!$E$261))&amp;". ")&amp;IF(LEN(IF(LEN(INDEX('Dealer pipeline'!$D$4:$D$503,_calc!$E$261))=0,"",INDEX('Dealer pipeline'!$D$4:$D$503,_calc!$E$261)))=0,"","Serial: "&amp;IF(LEN(INDEX('Dealer pipeline'!$D$4:$D$503,_calc!$E$261))=0,"",INDEX('Dealer pipeline'!$D$4:$D$503,_calc!$E$261))&amp;". ")&amp;IF(LEN(IF(ISNUMBER(INDEX('Dealer pipeline'!$J$4:$J$503,_calc!$E$261)),TEXT(INDEX('Dealer pipeline'!$J$4:$J$503,_calc!$E$261),"yyyy-mm-dd"),""))=0,"","Parts end: "&amp;IF(ISNUMBER(INDEX('Dealer pipeline'!$J$4:$J$503,_calc!$E$261)),TEXT(INDEX('Dealer pipeline'!$J$4:$J$503,_calc!$E$261),"yyyy-mm-dd"),"")&amp;". ")&amp;IF(LEN(IF(ISNUMBER(INDEX('Dealer pipeline'!$L$4:$L$503,_calc!$E$261)),TEXT(INDEX('Dealer pipeline'!$L$4:$L$503,_calc!$E$261),"yyyy-mm-dd"),""))=0,"","Labor end: "&amp;IF(ISNUMBER(INDEX('Dealer pipeline'!$L$4:$L$503,_calc!$E$261)),TEXT(INDEX('Dealer pipeline'!$L$4:$L$503,_calc!$E$261),"yyyy-mm-dd"),"")&amp;". ")&amp;IF(LEN(IF(LEN(INDEX('Dealer pipeline'!$Q$4:$Q$503,_calc!$E$261))=0,"",INDEX('Dealer pipeline'!$Q$4:$Q$503,_calc!$E$261)))=0,"","Status: "&amp;IF(LEN(INDEX('Dealer pipeline'!$Q$4:$Q$503,_calc!$E$261))=0,"",INDEX('Dealer pipeline'!$Q$4:$Q$503,_calc!$E$261))&amp;". ")&amp;IF(LEN(IF(LEN(INDEX('Dealer pipeline'!$P$4:$P$503,_calc!$E$261))=0,"",INDEX('Dealer pipeline'!$P$4:$P$503,_calc!$E$261)))=0,"","Last touch: "&amp;IF(LEN(INDEX('Dealer pipeline'!$P$4:$P$503,_calc!$E$261))=0,"",INDEX('Dealer pipeline'!$P$4:$P$503,_calc!$E$261))&amp;". ")&amp;IF(LEN(IF(LEN(INDEX('Dealer pipeline'!$R$4:$R$503,_calc!$E$261))=0,"",INDEX('Dealer pipeline'!$R$4:$R$503,_calc!$E$261)))=0,"","Owner: "&amp;IF(LEN(INDEX('Dealer pipeline'!$R$4:$R$503,_calc!$E$261))=0,"",INDEX('Dealer pipeline'!$R$4:$R$503,_calc!$E$261))&amp;". ")&amp;IF(LEN(IF(LEN(INDEX('Dealer pipeline'!$S$4:$S$503,_calc!$E$261))=0,"",INDEX('Dealer pipeline'!$S$4:$S$503,_calc!$E$261)))=0,"","Backup: "&amp;IF(LEN(INDEX('Dealer pipeline'!$S$4:$S$503,_calc!$E$261))=0,"",INDEX('Dealer pipeline'!$S$4:$S$503,_calc!$E$261))&amp;". ")&amp;IF(LEN(IF(LEN(INDEX('Dealer pipeline'!$T$4:$T$503,_calc!$E$261))=0,"",INDEX('Dealer pipeline'!$T$4:$T$503,_calc!$E$261)))=0,"",IF(LEN(INDEX('Dealer pipeline'!$T$4:$T$503,_calc!$E$261))=0,"",INDEX('Dealer pipeline'!$T$4:$T$503,_calc!$E$261)))),TRIM(IF(LEN(IF(LEN(INDEX('My equipment'!$C$4:$C$503,(_calc!$E$261-500)))=0,"",INDEX('My equipment'!$C$4:$C$503,(_calc!$E$261-500))))=0,"","Model: "&amp;IF(LEN(INDEX('My equipment'!$C$4:$C$503,(_calc!$E$261-500)))=0,"",INDEX('My equipment'!$C$4:$C$503,(_calc!$E$261-500)))&amp;". ")&amp;IF(LEN(IF(LEN(INDEX('My equipment'!$D$4:$D$503,(_calc!$E$261-500)))=0,"",INDEX('My equipment'!$D$4:$D$503,(_calc!$E$261-500))))=0,"","Serial: "&amp;IF(LEN(INDEX('My equipment'!$D$4:$D$503,(_calc!$E$261-500)))=0,"",INDEX('My equipment'!$D$4:$D$503,(_calc!$E$261-500)))&amp;". ")&amp;IF(LEN(IF(ISNUMBER(INDEX('My equipment'!$J$4:$J$503,(_calc!$E$261-500))),TEXT(INDEX('My equipment'!$J$4:$J$503,(_calc!$E$261-500)),"yyyy-mm-dd"),""))=0,"","Parts end: "&amp;IF(ISNUMBER(INDEX('My equipment'!$J$4:$J$503,(_calc!$E$261-500))),TEXT(INDEX('My equipment'!$J$4:$J$503,(_calc!$E$261-500)),"yyyy-mm-dd"),"")&amp;". ")&amp;IF(LEN(IF(ISNUMBER(INDEX('My equipment'!$L$4:$L$503,(_calc!$E$261-500))),TEXT(INDEX('My equipment'!$L$4:$L$503,(_calc!$E$261-500)),"yyyy-mm-dd"),""))=0,"","Labor end: "&amp;IF(ISNUMBER(INDEX('My equipment'!$L$4:$L$503,(_calc!$E$261-500))),TEXT(INDEX('My equipment'!$L$4:$L$503,(_calc!$E$261-500)),"yyyy-mm-dd"),"")&amp;". ")&amp;IF(LEN(IF(ISNUMBER(INDEX('My equipment'!$P$4:$P$503,(_calc!$E$261-500))),TEXT(INDEX('My equipment'!$P$4:$P$503,(_calc!$E$261-500)),"yyyy-mm-dd"),""))=0,"","Check by: "&amp;IF(ISNUMBER(INDEX('My equipment'!$P$4:$P$503,(_calc!$E$261-500))),TEXT(INDEX('My equipment'!$P$4:$P$503,(_calc!$E$261-500)),"yyyy-mm-dd"),"")&amp;". ")&amp;IF(LEN(IF(LEN(INDEX('My equipment'!$Q$4:$Q$503,(_calc!$E$261-500)))=0,"",INDEX('My equipment'!$Q$4:$Q$503,(_calc!$E$261-500))))=0,"","Claim status: "&amp;IF(LEN(INDEX('My equipment'!$Q$4:$Q$503,(_calc!$E$261-500)))=0,"",INDEX('My equipment'!$Q$4:$Q$503,(_calc!$E$261-500)))&amp;". ")&amp;IF(LEN(IF(LEN(INDEX('My equipment'!$R$4:$R$503,(_calc!$E$261-500)))=0,"",INDEX('My equipment'!$R$4:$R$503,(_calc!$E$261-500))))=0,"","Claims contact: "&amp;IF(LEN(INDEX('My equipment'!$R$4:$R$503,(_calc!$E$261-500)))=0,"",INDEX('My equipment'!$R$4:$R$503,(_calc!$E$261-500)))&amp;". ")&amp;IF(LEN(IF(LEN(INDEX('My equipment'!$S$4:$S$503,(_calc!$E$261-500)))=0,"",INDEX('My equipment'!$S$4:$S$503,(_calc!$E$261-500))))=0,"","Claims email: "&amp;IF(LEN(INDEX('My equipment'!$S$4:$S$503,(_calc!$E$261-500)))=0,"",INDEX('My equipment'!$S$4:$S$503,(_calc!$E$261-500)))&amp;". ")&amp;IF(LEN(IF(LEN(INDEX('My equipment'!$U$4:$U$503,(_calc!$E$261-500)))=0,"",INDEX('My equipment'!$U$4:$U$503,(_calc!$E$261-500))))=0,"","Registered: "&amp;IF(LEN(INDEX('My equipment'!$U$4:$U$503,(_calc!$E$261-500)))=0,"",INDEX('My equipment'!$U$4:$U$503,(_calc!$E$261-500)))&amp;". ")&amp;IF(LEN(IF(LEN(INDEX('My equipment'!$V$4:$V$503,(_calc!$E$261-500)))=0,"",INDEX('My equipment'!$V$4:$V$503,(_calc!$E$261-500))))=0,"","Proof on file: "&amp;IF(LEN(INDEX('My equipment'!$V$4:$V$503,(_calc!$E$261-500)))=0,"",INDEX('My equipment'!$V$4:$V$503,(_calc!$E$261-500)))&amp;". ")&amp;IF(LEN(IF(LEN(INDEX('My equipment'!$W$4:$W$503,(_calc!$E$261-500)))=0,"",INDEX('My equipment'!$W$4:$W$503,(_calc!$E$261-500))))=0,"","Claim ref: "&amp;IF(LEN(INDEX('My equipment'!$W$4:$W$503,(_calc!$E$261-500)))=0,"",INDEX('My equipment'!$W$4:$W$503,(_calc!$E$261-500)))&amp;". ")&amp;IF(LEN(IF(LEN(INDEX('My equipment'!$Y$4:$Y$503,(_calc!$E$261-500)))=0,"",INDEX('My equipment'!$Y$4:$Y$503,(_calc!$E$261-500))))=0,"",IF(LEN(INDEX('My equipment'!$Y$4:$Y$503,(_calc!$E$261-500)))=0,"",INDEX('My equipment'!$Y$4:$Y$503,(_calc!$E$261-500)))))))</f>
        <v/>
      </c>
      <c r="G259" s="54">
        <f>IF(_calc!$E$261="","",IF(_calc!$E$261&lt;=500,"",IF(LEN(INDEX('My equipment'!$X$4:$X$503,(_calc!$E$261-500)))=0,"",INDEX('My equipment'!$X$4:$X$503,(_calc!$E$261-500)))))</f>
        <v/>
      </c>
      <c r="K259" s="54">
        <f>IF(_calc!$E$261="","",IF(_calc!$E$261&lt;=500,"",IF(LEN(INDEX('My equipment'!$T$4:$T$503,(_calc!$E$261-500)))=0,"",INDEX('My equipment'!$T$4:$T$503,(_calc!$E$261-500)))))</f>
        <v/>
      </c>
    </row>
    <row r="260">
      <c r="A260" s="54">
        <f>IF(_calc!$E$262="","",IF(_calc!$E$262&lt;=500,"Warranty – "&amp;IF(LEN(INDEX('Dealer pipeline'!$C$4:$C$503,_calc!$E$262))=0,"",INDEX('Dealer pipeline'!$C$4:$C$503,_calc!$E$262))&amp;" – "&amp;IF(LEN(INDEX('Dealer pipeline'!$D$4:$D$503,_calc!$E$262))=0,"",INDEX('Dealer pipeline'!$D$4:$D$503,_calc!$E$262))&amp;" – "&amp;IF(LEN(INDEX('Dealer pipeline'!$A$4:$A$503,_calc!$E$262))=0,"",INDEX('Dealer pipeline'!$A$4:$A$503,_calc!$E$262)),"Warranty – "&amp;IF(LEN(INDEX('My equipment'!$A$4:$A$503,(_calc!$E$262-500)))=0,"",INDEX('My equipment'!$A$4:$A$503,(_calc!$E$262-500)))&amp;" – "&amp;IF(LEN(INDEX('My equipment'!$D$4:$D$503,(_calc!$E$262-500)))=0,"",INDEX('My equipment'!$D$4:$D$503,(_calc!$E$262-500)))))</f>
        <v/>
      </c>
      <c r="B260" s="54">
        <f>IF(_calc!$E$262="","",IF(_calc!$E$262&lt;=500,IF(ISNUMBER(INDEX('Dealer pipeline'!$M$4:$M$503,_calc!$E$262)),TEXT(INDEX('Dealer pipeline'!$M$4:$M$503,_calc!$E$262),"yyyy-mm-dd"),""),IF(ISNUMBER(INDEX('My equipment'!$M$4:$M$503,(_calc!$E$262-500))),TEXT(INDEX('My equipment'!$M$4:$M$503,(_calc!$E$262-500)),"yyyy-mm-dd"),"")))</f>
        <v/>
      </c>
      <c r="C260" s="54">
        <f>IF(_calc!$E$262="","",IF(_calc!$E$262&lt;=500,"Warranty","Warranty"))</f>
        <v/>
      </c>
      <c r="D260" s="54">
        <f>IF(_calc!$E$262="","",IF(_calc!$E$262&lt;=500,IF(ISNUMBER(INDEX('Dealer pipeline'!$H$4:$H$503,_calc!$E$262)),TEXT(INDEX('Dealer pipeline'!$H$4:$H$503,_calc!$E$262),"yyyy-mm-dd"),""),IF(ISNUMBER(INDEX('My equipment'!$H$4:$H$503,(_calc!$E$262-500))),TEXT(INDEX('My equipment'!$H$4:$H$503,(_calc!$E$262-500)),"yyyy-mm-dd"),"")))</f>
        <v/>
      </c>
      <c r="F260" s="54">
        <f>IF(_calc!$E$262="","",IF(_calc!$E$262&lt;=500,TRIM(IF(LEN(IF(LEN(INDEX('Dealer pipeline'!$A$4:$A$503,_calc!$E$262))=0,"",INDEX('Dealer pipeline'!$A$4:$A$503,_calc!$E$262)))=0,"","Customer: "&amp;IF(LEN(INDEX('Dealer pipeline'!$A$4:$A$503,_calc!$E$262))=0,"",INDEX('Dealer pipeline'!$A$4:$A$503,_calc!$E$262))&amp;". ")&amp;IF(LEN(IF(LEN(INDEX('Dealer pipeline'!$B$4:$B$503,_calc!$E$262))=0,"",INDEX('Dealer pipeline'!$B$4:$B$503,_calc!$E$262)))=0,"","Contact: "&amp;IF(LEN(INDEX('Dealer pipeline'!$B$4:$B$503,_calc!$E$262))=0,"",INDEX('Dealer pipeline'!$B$4:$B$503,_calc!$E$262))&amp;". ")&amp;IF(LEN(IF(LEN(INDEX('Dealer pipeline'!$D$4:$D$503,_calc!$E$262))=0,"",INDEX('Dealer pipeline'!$D$4:$D$503,_calc!$E$262)))=0,"","Serial: "&amp;IF(LEN(INDEX('Dealer pipeline'!$D$4:$D$503,_calc!$E$262))=0,"",INDEX('Dealer pipeline'!$D$4:$D$503,_calc!$E$262))&amp;". ")&amp;IF(LEN(IF(ISNUMBER(INDEX('Dealer pipeline'!$J$4:$J$503,_calc!$E$262)),TEXT(INDEX('Dealer pipeline'!$J$4:$J$503,_calc!$E$262),"yyyy-mm-dd"),""))=0,"","Parts end: "&amp;IF(ISNUMBER(INDEX('Dealer pipeline'!$J$4:$J$503,_calc!$E$262)),TEXT(INDEX('Dealer pipeline'!$J$4:$J$503,_calc!$E$262),"yyyy-mm-dd"),"")&amp;". ")&amp;IF(LEN(IF(ISNUMBER(INDEX('Dealer pipeline'!$L$4:$L$503,_calc!$E$262)),TEXT(INDEX('Dealer pipeline'!$L$4:$L$503,_calc!$E$262),"yyyy-mm-dd"),""))=0,"","Labor end: "&amp;IF(ISNUMBER(INDEX('Dealer pipeline'!$L$4:$L$503,_calc!$E$262)),TEXT(INDEX('Dealer pipeline'!$L$4:$L$503,_calc!$E$262),"yyyy-mm-dd"),"")&amp;". ")&amp;IF(LEN(IF(LEN(INDEX('Dealer pipeline'!$Q$4:$Q$503,_calc!$E$262))=0,"",INDEX('Dealer pipeline'!$Q$4:$Q$503,_calc!$E$262)))=0,"","Status: "&amp;IF(LEN(INDEX('Dealer pipeline'!$Q$4:$Q$503,_calc!$E$262))=0,"",INDEX('Dealer pipeline'!$Q$4:$Q$503,_calc!$E$262))&amp;". ")&amp;IF(LEN(IF(LEN(INDEX('Dealer pipeline'!$P$4:$P$503,_calc!$E$262))=0,"",INDEX('Dealer pipeline'!$P$4:$P$503,_calc!$E$262)))=0,"","Last touch: "&amp;IF(LEN(INDEX('Dealer pipeline'!$P$4:$P$503,_calc!$E$262))=0,"",INDEX('Dealer pipeline'!$P$4:$P$503,_calc!$E$262))&amp;". ")&amp;IF(LEN(IF(LEN(INDEX('Dealer pipeline'!$R$4:$R$503,_calc!$E$262))=0,"",INDEX('Dealer pipeline'!$R$4:$R$503,_calc!$E$262)))=0,"","Owner: "&amp;IF(LEN(INDEX('Dealer pipeline'!$R$4:$R$503,_calc!$E$262))=0,"",INDEX('Dealer pipeline'!$R$4:$R$503,_calc!$E$262))&amp;". ")&amp;IF(LEN(IF(LEN(INDEX('Dealer pipeline'!$S$4:$S$503,_calc!$E$262))=0,"",INDEX('Dealer pipeline'!$S$4:$S$503,_calc!$E$262)))=0,"","Backup: "&amp;IF(LEN(INDEX('Dealer pipeline'!$S$4:$S$503,_calc!$E$262))=0,"",INDEX('Dealer pipeline'!$S$4:$S$503,_calc!$E$262))&amp;". ")&amp;IF(LEN(IF(LEN(INDEX('Dealer pipeline'!$T$4:$T$503,_calc!$E$262))=0,"",INDEX('Dealer pipeline'!$T$4:$T$503,_calc!$E$262)))=0,"",IF(LEN(INDEX('Dealer pipeline'!$T$4:$T$503,_calc!$E$262))=0,"",INDEX('Dealer pipeline'!$T$4:$T$503,_calc!$E$262)))),TRIM(IF(LEN(IF(LEN(INDEX('My equipment'!$C$4:$C$503,(_calc!$E$262-500)))=0,"",INDEX('My equipment'!$C$4:$C$503,(_calc!$E$262-500))))=0,"","Model: "&amp;IF(LEN(INDEX('My equipment'!$C$4:$C$503,(_calc!$E$262-500)))=0,"",INDEX('My equipment'!$C$4:$C$503,(_calc!$E$262-500)))&amp;". ")&amp;IF(LEN(IF(LEN(INDEX('My equipment'!$D$4:$D$503,(_calc!$E$262-500)))=0,"",INDEX('My equipment'!$D$4:$D$503,(_calc!$E$262-500))))=0,"","Serial: "&amp;IF(LEN(INDEX('My equipment'!$D$4:$D$503,(_calc!$E$262-500)))=0,"",INDEX('My equipment'!$D$4:$D$503,(_calc!$E$262-500)))&amp;". ")&amp;IF(LEN(IF(ISNUMBER(INDEX('My equipment'!$J$4:$J$503,(_calc!$E$262-500))),TEXT(INDEX('My equipment'!$J$4:$J$503,(_calc!$E$262-500)),"yyyy-mm-dd"),""))=0,"","Parts end: "&amp;IF(ISNUMBER(INDEX('My equipment'!$J$4:$J$503,(_calc!$E$262-500))),TEXT(INDEX('My equipment'!$J$4:$J$503,(_calc!$E$262-500)),"yyyy-mm-dd"),"")&amp;". ")&amp;IF(LEN(IF(ISNUMBER(INDEX('My equipment'!$L$4:$L$503,(_calc!$E$262-500))),TEXT(INDEX('My equipment'!$L$4:$L$503,(_calc!$E$262-500)),"yyyy-mm-dd"),""))=0,"","Labor end: "&amp;IF(ISNUMBER(INDEX('My equipment'!$L$4:$L$503,(_calc!$E$262-500))),TEXT(INDEX('My equipment'!$L$4:$L$503,(_calc!$E$262-500)),"yyyy-mm-dd"),"")&amp;". ")&amp;IF(LEN(IF(ISNUMBER(INDEX('My equipment'!$P$4:$P$503,(_calc!$E$262-500))),TEXT(INDEX('My equipment'!$P$4:$P$503,(_calc!$E$262-500)),"yyyy-mm-dd"),""))=0,"","Check by: "&amp;IF(ISNUMBER(INDEX('My equipment'!$P$4:$P$503,(_calc!$E$262-500))),TEXT(INDEX('My equipment'!$P$4:$P$503,(_calc!$E$262-500)),"yyyy-mm-dd"),"")&amp;". ")&amp;IF(LEN(IF(LEN(INDEX('My equipment'!$Q$4:$Q$503,(_calc!$E$262-500)))=0,"",INDEX('My equipment'!$Q$4:$Q$503,(_calc!$E$262-500))))=0,"","Claim status: "&amp;IF(LEN(INDEX('My equipment'!$Q$4:$Q$503,(_calc!$E$262-500)))=0,"",INDEX('My equipment'!$Q$4:$Q$503,(_calc!$E$262-500)))&amp;". ")&amp;IF(LEN(IF(LEN(INDEX('My equipment'!$R$4:$R$503,(_calc!$E$262-500)))=0,"",INDEX('My equipment'!$R$4:$R$503,(_calc!$E$262-500))))=0,"","Claims contact: "&amp;IF(LEN(INDEX('My equipment'!$R$4:$R$503,(_calc!$E$262-500)))=0,"",INDEX('My equipment'!$R$4:$R$503,(_calc!$E$262-500)))&amp;". ")&amp;IF(LEN(IF(LEN(INDEX('My equipment'!$S$4:$S$503,(_calc!$E$262-500)))=0,"",INDEX('My equipment'!$S$4:$S$503,(_calc!$E$262-500))))=0,"","Claims email: "&amp;IF(LEN(INDEX('My equipment'!$S$4:$S$503,(_calc!$E$262-500)))=0,"",INDEX('My equipment'!$S$4:$S$503,(_calc!$E$262-500)))&amp;". ")&amp;IF(LEN(IF(LEN(INDEX('My equipment'!$U$4:$U$503,(_calc!$E$262-500)))=0,"",INDEX('My equipment'!$U$4:$U$503,(_calc!$E$262-500))))=0,"","Registered: "&amp;IF(LEN(INDEX('My equipment'!$U$4:$U$503,(_calc!$E$262-500)))=0,"",INDEX('My equipment'!$U$4:$U$503,(_calc!$E$262-500)))&amp;". ")&amp;IF(LEN(IF(LEN(INDEX('My equipment'!$V$4:$V$503,(_calc!$E$262-500)))=0,"",INDEX('My equipment'!$V$4:$V$503,(_calc!$E$262-500))))=0,"","Proof on file: "&amp;IF(LEN(INDEX('My equipment'!$V$4:$V$503,(_calc!$E$262-500)))=0,"",INDEX('My equipment'!$V$4:$V$503,(_calc!$E$262-500)))&amp;". ")&amp;IF(LEN(IF(LEN(INDEX('My equipment'!$W$4:$W$503,(_calc!$E$262-500)))=0,"",INDEX('My equipment'!$W$4:$W$503,(_calc!$E$262-500))))=0,"","Claim ref: "&amp;IF(LEN(INDEX('My equipment'!$W$4:$W$503,(_calc!$E$262-500)))=0,"",INDEX('My equipment'!$W$4:$W$503,(_calc!$E$262-500)))&amp;". ")&amp;IF(LEN(IF(LEN(INDEX('My equipment'!$Y$4:$Y$503,(_calc!$E$262-500)))=0,"",INDEX('My equipment'!$Y$4:$Y$503,(_calc!$E$262-500))))=0,"",IF(LEN(INDEX('My equipment'!$Y$4:$Y$503,(_calc!$E$262-500)))=0,"",INDEX('My equipment'!$Y$4:$Y$503,(_calc!$E$262-500)))))))</f>
        <v/>
      </c>
      <c r="G260" s="54">
        <f>IF(_calc!$E$262="","",IF(_calc!$E$262&lt;=500,"",IF(LEN(INDEX('My equipment'!$X$4:$X$503,(_calc!$E$262-500)))=0,"",INDEX('My equipment'!$X$4:$X$503,(_calc!$E$262-500)))))</f>
        <v/>
      </c>
      <c r="K260" s="54">
        <f>IF(_calc!$E$262="","",IF(_calc!$E$262&lt;=500,"",IF(LEN(INDEX('My equipment'!$T$4:$T$503,(_calc!$E$262-500)))=0,"",INDEX('My equipment'!$T$4:$T$503,(_calc!$E$262-500)))))</f>
        <v/>
      </c>
    </row>
    <row r="261">
      <c r="A261" s="54">
        <f>IF(_calc!$E$263="","",IF(_calc!$E$263&lt;=500,"Warranty – "&amp;IF(LEN(INDEX('Dealer pipeline'!$C$4:$C$503,_calc!$E$263))=0,"",INDEX('Dealer pipeline'!$C$4:$C$503,_calc!$E$263))&amp;" – "&amp;IF(LEN(INDEX('Dealer pipeline'!$D$4:$D$503,_calc!$E$263))=0,"",INDEX('Dealer pipeline'!$D$4:$D$503,_calc!$E$263))&amp;" – "&amp;IF(LEN(INDEX('Dealer pipeline'!$A$4:$A$503,_calc!$E$263))=0,"",INDEX('Dealer pipeline'!$A$4:$A$503,_calc!$E$263)),"Warranty – "&amp;IF(LEN(INDEX('My equipment'!$A$4:$A$503,(_calc!$E$263-500)))=0,"",INDEX('My equipment'!$A$4:$A$503,(_calc!$E$263-500)))&amp;" – "&amp;IF(LEN(INDEX('My equipment'!$D$4:$D$503,(_calc!$E$263-500)))=0,"",INDEX('My equipment'!$D$4:$D$503,(_calc!$E$263-500)))))</f>
        <v/>
      </c>
      <c r="B261" s="54">
        <f>IF(_calc!$E$263="","",IF(_calc!$E$263&lt;=500,IF(ISNUMBER(INDEX('Dealer pipeline'!$M$4:$M$503,_calc!$E$263)),TEXT(INDEX('Dealer pipeline'!$M$4:$M$503,_calc!$E$263),"yyyy-mm-dd"),""),IF(ISNUMBER(INDEX('My equipment'!$M$4:$M$503,(_calc!$E$263-500))),TEXT(INDEX('My equipment'!$M$4:$M$503,(_calc!$E$263-500)),"yyyy-mm-dd"),"")))</f>
        <v/>
      </c>
      <c r="C261" s="54">
        <f>IF(_calc!$E$263="","",IF(_calc!$E$263&lt;=500,"Warranty","Warranty"))</f>
        <v/>
      </c>
      <c r="D261" s="54">
        <f>IF(_calc!$E$263="","",IF(_calc!$E$263&lt;=500,IF(ISNUMBER(INDEX('Dealer pipeline'!$H$4:$H$503,_calc!$E$263)),TEXT(INDEX('Dealer pipeline'!$H$4:$H$503,_calc!$E$263),"yyyy-mm-dd"),""),IF(ISNUMBER(INDEX('My equipment'!$H$4:$H$503,(_calc!$E$263-500))),TEXT(INDEX('My equipment'!$H$4:$H$503,(_calc!$E$263-500)),"yyyy-mm-dd"),"")))</f>
        <v/>
      </c>
      <c r="F261" s="54">
        <f>IF(_calc!$E$263="","",IF(_calc!$E$263&lt;=500,TRIM(IF(LEN(IF(LEN(INDEX('Dealer pipeline'!$A$4:$A$503,_calc!$E$263))=0,"",INDEX('Dealer pipeline'!$A$4:$A$503,_calc!$E$263)))=0,"","Customer: "&amp;IF(LEN(INDEX('Dealer pipeline'!$A$4:$A$503,_calc!$E$263))=0,"",INDEX('Dealer pipeline'!$A$4:$A$503,_calc!$E$263))&amp;". ")&amp;IF(LEN(IF(LEN(INDEX('Dealer pipeline'!$B$4:$B$503,_calc!$E$263))=0,"",INDEX('Dealer pipeline'!$B$4:$B$503,_calc!$E$263)))=0,"","Contact: "&amp;IF(LEN(INDEX('Dealer pipeline'!$B$4:$B$503,_calc!$E$263))=0,"",INDEX('Dealer pipeline'!$B$4:$B$503,_calc!$E$263))&amp;". ")&amp;IF(LEN(IF(LEN(INDEX('Dealer pipeline'!$D$4:$D$503,_calc!$E$263))=0,"",INDEX('Dealer pipeline'!$D$4:$D$503,_calc!$E$263)))=0,"","Serial: "&amp;IF(LEN(INDEX('Dealer pipeline'!$D$4:$D$503,_calc!$E$263))=0,"",INDEX('Dealer pipeline'!$D$4:$D$503,_calc!$E$263))&amp;". ")&amp;IF(LEN(IF(ISNUMBER(INDEX('Dealer pipeline'!$J$4:$J$503,_calc!$E$263)),TEXT(INDEX('Dealer pipeline'!$J$4:$J$503,_calc!$E$263),"yyyy-mm-dd"),""))=0,"","Parts end: "&amp;IF(ISNUMBER(INDEX('Dealer pipeline'!$J$4:$J$503,_calc!$E$263)),TEXT(INDEX('Dealer pipeline'!$J$4:$J$503,_calc!$E$263),"yyyy-mm-dd"),"")&amp;". ")&amp;IF(LEN(IF(ISNUMBER(INDEX('Dealer pipeline'!$L$4:$L$503,_calc!$E$263)),TEXT(INDEX('Dealer pipeline'!$L$4:$L$503,_calc!$E$263),"yyyy-mm-dd"),""))=0,"","Labor end: "&amp;IF(ISNUMBER(INDEX('Dealer pipeline'!$L$4:$L$503,_calc!$E$263)),TEXT(INDEX('Dealer pipeline'!$L$4:$L$503,_calc!$E$263),"yyyy-mm-dd"),"")&amp;". ")&amp;IF(LEN(IF(LEN(INDEX('Dealer pipeline'!$Q$4:$Q$503,_calc!$E$263))=0,"",INDEX('Dealer pipeline'!$Q$4:$Q$503,_calc!$E$263)))=0,"","Status: "&amp;IF(LEN(INDEX('Dealer pipeline'!$Q$4:$Q$503,_calc!$E$263))=0,"",INDEX('Dealer pipeline'!$Q$4:$Q$503,_calc!$E$263))&amp;". ")&amp;IF(LEN(IF(LEN(INDEX('Dealer pipeline'!$P$4:$P$503,_calc!$E$263))=0,"",INDEX('Dealer pipeline'!$P$4:$P$503,_calc!$E$263)))=0,"","Last touch: "&amp;IF(LEN(INDEX('Dealer pipeline'!$P$4:$P$503,_calc!$E$263))=0,"",INDEX('Dealer pipeline'!$P$4:$P$503,_calc!$E$263))&amp;". ")&amp;IF(LEN(IF(LEN(INDEX('Dealer pipeline'!$R$4:$R$503,_calc!$E$263))=0,"",INDEX('Dealer pipeline'!$R$4:$R$503,_calc!$E$263)))=0,"","Owner: "&amp;IF(LEN(INDEX('Dealer pipeline'!$R$4:$R$503,_calc!$E$263))=0,"",INDEX('Dealer pipeline'!$R$4:$R$503,_calc!$E$263))&amp;". ")&amp;IF(LEN(IF(LEN(INDEX('Dealer pipeline'!$S$4:$S$503,_calc!$E$263))=0,"",INDEX('Dealer pipeline'!$S$4:$S$503,_calc!$E$263)))=0,"","Backup: "&amp;IF(LEN(INDEX('Dealer pipeline'!$S$4:$S$503,_calc!$E$263))=0,"",INDEX('Dealer pipeline'!$S$4:$S$503,_calc!$E$263))&amp;". ")&amp;IF(LEN(IF(LEN(INDEX('Dealer pipeline'!$T$4:$T$503,_calc!$E$263))=0,"",INDEX('Dealer pipeline'!$T$4:$T$503,_calc!$E$263)))=0,"",IF(LEN(INDEX('Dealer pipeline'!$T$4:$T$503,_calc!$E$263))=0,"",INDEX('Dealer pipeline'!$T$4:$T$503,_calc!$E$263)))),TRIM(IF(LEN(IF(LEN(INDEX('My equipment'!$C$4:$C$503,(_calc!$E$263-500)))=0,"",INDEX('My equipment'!$C$4:$C$503,(_calc!$E$263-500))))=0,"","Model: "&amp;IF(LEN(INDEX('My equipment'!$C$4:$C$503,(_calc!$E$263-500)))=0,"",INDEX('My equipment'!$C$4:$C$503,(_calc!$E$263-500)))&amp;". ")&amp;IF(LEN(IF(LEN(INDEX('My equipment'!$D$4:$D$503,(_calc!$E$263-500)))=0,"",INDEX('My equipment'!$D$4:$D$503,(_calc!$E$263-500))))=0,"","Serial: "&amp;IF(LEN(INDEX('My equipment'!$D$4:$D$503,(_calc!$E$263-500)))=0,"",INDEX('My equipment'!$D$4:$D$503,(_calc!$E$263-500)))&amp;". ")&amp;IF(LEN(IF(ISNUMBER(INDEX('My equipment'!$J$4:$J$503,(_calc!$E$263-500))),TEXT(INDEX('My equipment'!$J$4:$J$503,(_calc!$E$263-500)),"yyyy-mm-dd"),""))=0,"","Parts end: "&amp;IF(ISNUMBER(INDEX('My equipment'!$J$4:$J$503,(_calc!$E$263-500))),TEXT(INDEX('My equipment'!$J$4:$J$503,(_calc!$E$263-500)),"yyyy-mm-dd"),"")&amp;". ")&amp;IF(LEN(IF(ISNUMBER(INDEX('My equipment'!$L$4:$L$503,(_calc!$E$263-500))),TEXT(INDEX('My equipment'!$L$4:$L$503,(_calc!$E$263-500)),"yyyy-mm-dd"),""))=0,"","Labor end: "&amp;IF(ISNUMBER(INDEX('My equipment'!$L$4:$L$503,(_calc!$E$263-500))),TEXT(INDEX('My equipment'!$L$4:$L$503,(_calc!$E$263-500)),"yyyy-mm-dd"),"")&amp;". ")&amp;IF(LEN(IF(ISNUMBER(INDEX('My equipment'!$P$4:$P$503,(_calc!$E$263-500))),TEXT(INDEX('My equipment'!$P$4:$P$503,(_calc!$E$263-500)),"yyyy-mm-dd"),""))=0,"","Check by: "&amp;IF(ISNUMBER(INDEX('My equipment'!$P$4:$P$503,(_calc!$E$263-500))),TEXT(INDEX('My equipment'!$P$4:$P$503,(_calc!$E$263-500)),"yyyy-mm-dd"),"")&amp;". ")&amp;IF(LEN(IF(LEN(INDEX('My equipment'!$Q$4:$Q$503,(_calc!$E$263-500)))=0,"",INDEX('My equipment'!$Q$4:$Q$503,(_calc!$E$263-500))))=0,"","Claim status: "&amp;IF(LEN(INDEX('My equipment'!$Q$4:$Q$503,(_calc!$E$263-500)))=0,"",INDEX('My equipment'!$Q$4:$Q$503,(_calc!$E$263-500)))&amp;". ")&amp;IF(LEN(IF(LEN(INDEX('My equipment'!$R$4:$R$503,(_calc!$E$263-500)))=0,"",INDEX('My equipment'!$R$4:$R$503,(_calc!$E$263-500))))=0,"","Claims contact: "&amp;IF(LEN(INDEX('My equipment'!$R$4:$R$503,(_calc!$E$263-500)))=0,"",INDEX('My equipment'!$R$4:$R$503,(_calc!$E$263-500)))&amp;". ")&amp;IF(LEN(IF(LEN(INDEX('My equipment'!$S$4:$S$503,(_calc!$E$263-500)))=0,"",INDEX('My equipment'!$S$4:$S$503,(_calc!$E$263-500))))=0,"","Claims email: "&amp;IF(LEN(INDEX('My equipment'!$S$4:$S$503,(_calc!$E$263-500)))=0,"",INDEX('My equipment'!$S$4:$S$503,(_calc!$E$263-500)))&amp;". ")&amp;IF(LEN(IF(LEN(INDEX('My equipment'!$U$4:$U$503,(_calc!$E$263-500)))=0,"",INDEX('My equipment'!$U$4:$U$503,(_calc!$E$263-500))))=0,"","Registered: "&amp;IF(LEN(INDEX('My equipment'!$U$4:$U$503,(_calc!$E$263-500)))=0,"",INDEX('My equipment'!$U$4:$U$503,(_calc!$E$263-500)))&amp;". ")&amp;IF(LEN(IF(LEN(INDEX('My equipment'!$V$4:$V$503,(_calc!$E$263-500)))=0,"",INDEX('My equipment'!$V$4:$V$503,(_calc!$E$263-500))))=0,"","Proof on file: "&amp;IF(LEN(INDEX('My equipment'!$V$4:$V$503,(_calc!$E$263-500)))=0,"",INDEX('My equipment'!$V$4:$V$503,(_calc!$E$263-500)))&amp;". ")&amp;IF(LEN(IF(LEN(INDEX('My equipment'!$W$4:$W$503,(_calc!$E$263-500)))=0,"",INDEX('My equipment'!$W$4:$W$503,(_calc!$E$263-500))))=0,"","Claim ref: "&amp;IF(LEN(INDEX('My equipment'!$W$4:$W$503,(_calc!$E$263-500)))=0,"",INDEX('My equipment'!$W$4:$W$503,(_calc!$E$263-500)))&amp;". ")&amp;IF(LEN(IF(LEN(INDEX('My equipment'!$Y$4:$Y$503,(_calc!$E$263-500)))=0,"",INDEX('My equipment'!$Y$4:$Y$503,(_calc!$E$263-500))))=0,"",IF(LEN(INDEX('My equipment'!$Y$4:$Y$503,(_calc!$E$263-500)))=0,"",INDEX('My equipment'!$Y$4:$Y$503,(_calc!$E$263-500)))))))</f>
        <v/>
      </c>
      <c r="G261" s="54">
        <f>IF(_calc!$E$263="","",IF(_calc!$E$263&lt;=500,"",IF(LEN(INDEX('My equipment'!$X$4:$X$503,(_calc!$E$263-500)))=0,"",INDEX('My equipment'!$X$4:$X$503,(_calc!$E$263-500)))))</f>
        <v/>
      </c>
      <c r="K261" s="54">
        <f>IF(_calc!$E$263="","",IF(_calc!$E$263&lt;=500,"",IF(LEN(INDEX('My equipment'!$T$4:$T$503,(_calc!$E$263-500)))=0,"",INDEX('My equipment'!$T$4:$T$503,(_calc!$E$263-500)))))</f>
        <v/>
      </c>
    </row>
    <row r="262">
      <c r="A262" s="54">
        <f>IF(_calc!$E$264="","",IF(_calc!$E$264&lt;=500,"Warranty – "&amp;IF(LEN(INDEX('Dealer pipeline'!$C$4:$C$503,_calc!$E$264))=0,"",INDEX('Dealer pipeline'!$C$4:$C$503,_calc!$E$264))&amp;" – "&amp;IF(LEN(INDEX('Dealer pipeline'!$D$4:$D$503,_calc!$E$264))=0,"",INDEX('Dealer pipeline'!$D$4:$D$503,_calc!$E$264))&amp;" – "&amp;IF(LEN(INDEX('Dealer pipeline'!$A$4:$A$503,_calc!$E$264))=0,"",INDEX('Dealer pipeline'!$A$4:$A$503,_calc!$E$264)),"Warranty – "&amp;IF(LEN(INDEX('My equipment'!$A$4:$A$503,(_calc!$E$264-500)))=0,"",INDEX('My equipment'!$A$4:$A$503,(_calc!$E$264-500)))&amp;" – "&amp;IF(LEN(INDEX('My equipment'!$D$4:$D$503,(_calc!$E$264-500)))=0,"",INDEX('My equipment'!$D$4:$D$503,(_calc!$E$264-500)))))</f>
        <v/>
      </c>
      <c r="B262" s="54">
        <f>IF(_calc!$E$264="","",IF(_calc!$E$264&lt;=500,IF(ISNUMBER(INDEX('Dealer pipeline'!$M$4:$M$503,_calc!$E$264)),TEXT(INDEX('Dealer pipeline'!$M$4:$M$503,_calc!$E$264),"yyyy-mm-dd"),""),IF(ISNUMBER(INDEX('My equipment'!$M$4:$M$503,(_calc!$E$264-500))),TEXT(INDEX('My equipment'!$M$4:$M$503,(_calc!$E$264-500)),"yyyy-mm-dd"),"")))</f>
        <v/>
      </c>
      <c r="C262" s="54">
        <f>IF(_calc!$E$264="","",IF(_calc!$E$264&lt;=500,"Warranty","Warranty"))</f>
        <v/>
      </c>
      <c r="D262" s="54">
        <f>IF(_calc!$E$264="","",IF(_calc!$E$264&lt;=500,IF(ISNUMBER(INDEX('Dealer pipeline'!$H$4:$H$503,_calc!$E$264)),TEXT(INDEX('Dealer pipeline'!$H$4:$H$503,_calc!$E$264),"yyyy-mm-dd"),""),IF(ISNUMBER(INDEX('My equipment'!$H$4:$H$503,(_calc!$E$264-500))),TEXT(INDEX('My equipment'!$H$4:$H$503,(_calc!$E$264-500)),"yyyy-mm-dd"),"")))</f>
        <v/>
      </c>
      <c r="F262" s="54">
        <f>IF(_calc!$E$264="","",IF(_calc!$E$264&lt;=500,TRIM(IF(LEN(IF(LEN(INDEX('Dealer pipeline'!$A$4:$A$503,_calc!$E$264))=0,"",INDEX('Dealer pipeline'!$A$4:$A$503,_calc!$E$264)))=0,"","Customer: "&amp;IF(LEN(INDEX('Dealer pipeline'!$A$4:$A$503,_calc!$E$264))=0,"",INDEX('Dealer pipeline'!$A$4:$A$503,_calc!$E$264))&amp;". ")&amp;IF(LEN(IF(LEN(INDEX('Dealer pipeline'!$B$4:$B$503,_calc!$E$264))=0,"",INDEX('Dealer pipeline'!$B$4:$B$503,_calc!$E$264)))=0,"","Contact: "&amp;IF(LEN(INDEX('Dealer pipeline'!$B$4:$B$503,_calc!$E$264))=0,"",INDEX('Dealer pipeline'!$B$4:$B$503,_calc!$E$264))&amp;". ")&amp;IF(LEN(IF(LEN(INDEX('Dealer pipeline'!$D$4:$D$503,_calc!$E$264))=0,"",INDEX('Dealer pipeline'!$D$4:$D$503,_calc!$E$264)))=0,"","Serial: "&amp;IF(LEN(INDEX('Dealer pipeline'!$D$4:$D$503,_calc!$E$264))=0,"",INDEX('Dealer pipeline'!$D$4:$D$503,_calc!$E$264))&amp;". ")&amp;IF(LEN(IF(ISNUMBER(INDEX('Dealer pipeline'!$J$4:$J$503,_calc!$E$264)),TEXT(INDEX('Dealer pipeline'!$J$4:$J$503,_calc!$E$264),"yyyy-mm-dd"),""))=0,"","Parts end: "&amp;IF(ISNUMBER(INDEX('Dealer pipeline'!$J$4:$J$503,_calc!$E$264)),TEXT(INDEX('Dealer pipeline'!$J$4:$J$503,_calc!$E$264),"yyyy-mm-dd"),"")&amp;". ")&amp;IF(LEN(IF(ISNUMBER(INDEX('Dealer pipeline'!$L$4:$L$503,_calc!$E$264)),TEXT(INDEX('Dealer pipeline'!$L$4:$L$503,_calc!$E$264),"yyyy-mm-dd"),""))=0,"","Labor end: "&amp;IF(ISNUMBER(INDEX('Dealer pipeline'!$L$4:$L$503,_calc!$E$264)),TEXT(INDEX('Dealer pipeline'!$L$4:$L$503,_calc!$E$264),"yyyy-mm-dd"),"")&amp;". ")&amp;IF(LEN(IF(LEN(INDEX('Dealer pipeline'!$Q$4:$Q$503,_calc!$E$264))=0,"",INDEX('Dealer pipeline'!$Q$4:$Q$503,_calc!$E$264)))=0,"","Status: "&amp;IF(LEN(INDEX('Dealer pipeline'!$Q$4:$Q$503,_calc!$E$264))=0,"",INDEX('Dealer pipeline'!$Q$4:$Q$503,_calc!$E$264))&amp;". ")&amp;IF(LEN(IF(LEN(INDEX('Dealer pipeline'!$P$4:$P$503,_calc!$E$264))=0,"",INDEX('Dealer pipeline'!$P$4:$P$503,_calc!$E$264)))=0,"","Last touch: "&amp;IF(LEN(INDEX('Dealer pipeline'!$P$4:$P$503,_calc!$E$264))=0,"",INDEX('Dealer pipeline'!$P$4:$P$503,_calc!$E$264))&amp;". ")&amp;IF(LEN(IF(LEN(INDEX('Dealer pipeline'!$R$4:$R$503,_calc!$E$264))=0,"",INDEX('Dealer pipeline'!$R$4:$R$503,_calc!$E$264)))=0,"","Owner: "&amp;IF(LEN(INDEX('Dealer pipeline'!$R$4:$R$503,_calc!$E$264))=0,"",INDEX('Dealer pipeline'!$R$4:$R$503,_calc!$E$264))&amp;". ")&amp;IF(LEN(IF(LEN(INDEX('Dealer pipeline'!$S$4:$S$503,_calc!$E$264))=0,"",INDEX('Dealer pipeline'!$S$4:$S$503,_calc!$E$264)))=0,"","Backup: "&amp;IF(LEN(INDEX('Dealer pipeline'!$S$4:$S$503,_calc!$E$264))=0,"",INDEX('Dealer pipeline'!$S$4:$S$503,_calc!$E$264))&amp;". ")&amp;IF(LEN(IF(LEN(INDEX('Dealer pipeline'!$T$4:$T$503,_calc!$E$264))=0,"",INDEX('Dealer pipeline'!$T$4:$T$503,_calc!$E$264)))=0,"",IF(LEN(INDEX('Dealer pipeline'!$T$4:$T$503,_calc!$E$264))=0,"",INDEX('Dealer pipeline'!$T$4:$T$503,_calc!$E$264)))),TRIM(IF(LEN(IF(LEN(INDEX('My equipment'!$C$4:$C$503,(_calc!$E$264-500)))=0,"",INDEX('My equipment'!$C$4:$C$503,(_calc!$E$264-500))))=0,"","Model: "&amp;IF(LEN(INDEX('My equipment'!$C$4:$C$503,(_calc!$E$264-500)))=0,"",INDEX('My equipment'!$C$4:$C$503,(_calc!$E$264-500)))&amp;". ")&amp;IF(LEN(IF(LEN(INDEX('My equipment'!$D$4:$D$503,(_calc!$E$264-500)))=0,"",INDEX('My equipment'!$D$4:$D$503,(_calc!$E$264-500))))=0,"","Serial: "&amp;IF(LEN(INDEX('My equipment'!$D$4:$D$503,(_calc!$E$264-500)))=0,"",INDEX('My equipment'!$D$4:$D$503,(_calc!$E$264-500)))&amp;". ")&amp;IF(LEN(IF(ISNUMBER(INDEX('My equipment'!$J$4:$J$503,(_calc!$E$264-500))),TEXT(INDEX('My equipment'!$J$4:$J$503,(_calc!$E$264-500)),"yyyy-mm-dd"),""))=0,"","Parts end: "&amp;IF(ISNUMBER(INDEX('My equipment'!$J$4:$J$503,(_calc!$E$264-500))),TEXT(INDEX('My equipment'!$J$4:$J$503,(_calc!$E$264-500)),"yyyy-mm-dd"),"")&amp;". ")&amp;IF(LEN(IF(ISNUMBER(INDEX('My equipment'!$L$4:$L$503,(_calc!$E$264-500))),TEXT(INDEX('My equipment'!$L$4:$L$503,(_calc!$E$264-500)),"yyyy-mm-dd"),""))=0,"","Labor end: "&amp;IF(ISNUMBER(INDEX('My equipment'!$L$4:$L$503,(_calc!$E$264-500))),TEXT(INDEX('My equipment'!$L$4:$L$503,(_calc!$E$264-500)),"yyyy-mm-dd"),"")&amp;". ")&amp;IF(LEN(IF(ISNUMBER(INDEX('My equipment'!$P$4:$P$503,(_calc!$E$264-500))),TEXT(INDEX('My equipment'!$P$4:$P$503,(_calc!$E$264-500)),"yyyy-mm-dd"),""))=0,"","Check by: "&amp;IF(ISNUMBER(INDEX('My equipment'!$P$4:$P$503,(_calc!$E$264-500))),TEXT(INDEX('My equipment'!$P$4:$P$503,(_calc!$E$264-500)),"yyyy-mm-dd"),"")&amp;". ")&amp;IF(LEN(IF(LEN(INDEX('My equipment'!$Q$4:$Q$503,(_calc!$E$264-500)))=0,"",INDEX('My equipment'!$Q$4:$Q$503,(_calc!$E$264-500))))=0,"","Claim status: "&amp;IF(LEN(INDEX('My equipment'!$Q$4:$Q$503,(_calc!$E$264-500)))=0,"",INDEX('My equipment'!$Q$4:$Q$503,(_calc!$E$264-500)))&amp;". ")&amp;IF(LEN(IF(LEN(INDEX('My equipment'!$R$4:$R$503,(_calc!$E$264-500)))=0,"",INDEX('My equipment'!$R$4:$R$503,(_calc!$E$264-500))))=0,"","Claims contact: "&amp;IF(LEN(INDEX('My equipment'!$R$4:$R$503,(_calc!$E$264-500)))=0,"",INDEX('My equipment'!$R$4:$R$503,(_calc!$E$264-500)))&amp;". ")&amp;IF(LEN(IF(LEN(INDEX('My equipment'!$S$4:$S$503,(_calc!$E$264-500)))=0,"",INDEX('My equipment'!$S$4:$S$503,(_calc!$E$264-500))))=0,"","Claims email: "&amp;IF(LEN(INDEX('My equipment'!$S$4:$S$503,(_calc!$E$264-500)))=0,"",INDEX('My equipment'!$S$4:$S$503,(_calc!$E$264-500)))&amp;". ")&amp;IF(LEN(IF(LEN(INDEX('My equipment'!$U$4:$U$503,(_calc!$E$264-500)))=0,"",INDEX('My equipment'!$U$4:$U$503,(_calc!$E$264-500))))=0,"","Registered: "&amp;IF(LEN(INDEX('My equipment'!$U$4:$U$503,(_calc!$E$264-500)))=0,"",INDEX('My equipment'!$U$4:$U$503,(_calc!$E$264-500)))&amp;". ")&amp;IF(LEN(IF(LEN(INDEX('My equipment'!$V$4:$V$503,(_calc!$E$264-500)))=0,"",INDEX('My equipment'!$V$4:$V$503,(_calc!$E$264-500))))=0,"","Proof on file: "&amp;IF(LEN(INDEX('My equipment'!$V$4:$V$503,(_calc!$E$264-500)))=0,"",INDEX('My equipment'!$V$4:$V$503,(_calc!$E$264-500)))&amp;". ")&amp;IF(LEN(IF(LEN(INDEX('My equipment'!$W$4:$W$503,(_calc!$E$264-500)))=0,"",INDEX('My equipment'!$W$4:$W$503,(_calc!$E$264-500))))=0,"","Claim ref: "&amp;IF(LEN(INDEX('My equipment'!$W$4:$W$503,(_calc!$E$264-500)))=0,"",INDEX('My equipment'!$W$4:$W$503,(_calc!$E$264-500)))&amp;". ")&amp;IF(LEN(IF(LEN(INDEX('My equipment'!$Y$4:$Y$503,(_calc!$E$264-500)))=0,"",INDEX('My equipment'!$Y$4:$Y$503,(_calc!$E$264-500))))=0,"",IF(LEN(INDEX('My equipment'!$Y$4:$Y$503,(_calc!$E$264-500)))=0,"",INDEX('My equipment'!$Y$4:$Y$503,(_calc!$E$264-500)))))))</f>
        <v/>
      </c>
      <c r="G262" s="54">
        <f>IF(_calc!$E$264="","",IF(_calc!$E$264&lt;=500,"",IF(LEN(INDEX('My equipment'!$X$4:$X$503,(_calc!$E$264-500)))=0,"",INDEX('My equipment'!$X$4:$X$503,(_calc!$E$264-500)))))</f>
        <v/>
      </c>
      <c r="K262" s="54">
        <f>IF(_calc!$E$264="","",IF(_calc!$E$264&lt;=500,"",IF(LEN(INDEX('My equipment'!$T$4:$T$503,(_calc!$E$264-500)))=0,"",INDEX('My equipment'!$T$4:$T$503,(_calc!$E$264-500)))))</f>
        <v/>
      </c>
    </row>
    <row r="263">
      <c r="A263" s="54">
        <f>IF(_calc!$E$265="","",IF(_calc!$E$265&lt;=500,"Warranty – "&amp;IF(LEN(INDEX('Dealer pipeline'!$C$4:$C$503,_calc!$E$265))=0,"",INDEX('Dealer pipeline'!$C$4:$C$503,_calc!$E$265))&amp;" – "&amp;IF(LEN(INDEX('Dealer pipeline'!$D$4:$D$503,_calc!$E$265))=0,"",INDEX('Dealer pipeline'!$D$4:$D$503,_calc!$E$265))&amp;" – "&amp;IF(LEN(INDEX('Dealer pipeline'!$A$4:$A$503,_calc!$E$265))=0,"",INDEX('Dealer pipeline'!$A$4:$A$503,_calc!$E$265)),"Warranty – "&amp;IF(LEN(INDEX('My equipment'!$A$4:$A$503,(_calc!$E$265-500)))=0,"",INDEX('My equipment'!$A$4:$A$503,(_calc!$E$265-500)))&amp;" – "&amp;IF(LEN(INDEX('My equipment'!$D$4:$D$503,(_calc!$E$265-500)))=0,"",INDEX('My equipment'!$D$4:$D$503,(_calc!$E$265-500)))))</f>
        <v/>
      </c>
      <c r="B263" s="54">
        <f>IF(_calc!$E$265="","",IF(_calc!$E$265&lt;=500,IF(ISNUMBER(INDEX('Dealer pipeline'!$M$4:$M$503,_calc!$E$265)),TEXT(INDEX('Dealer pipeline'!$M$4:$M$503,_calc!$E$265),"yyyy-mm-dd"),""),IF(ISNUMBER(INDEX('My equipment'!$M$4:$M$503,(_calc!$E$265-500))),TEXT(INDEX('My equipment'!$M$4:$M$503,(_calc!$E$265-500)),"yyyy-mm-dd"),"")))</f>
        <v/>
      </c>
      <c r="C263" s="54">
        <f>IF(_calc!$E$265="","",IF(_calc!$E$265&lt;=500,"Warranty","Warranty"))</f>
        <v/>
      </c>
      <c r="D263" s="54">
        <f>IF(_calc!$E$265="","",IF(_calc!$E$265&lt;=500,IF(ISNUMBER(INDEX('Dealer pipeline'!$H$4:$H$503,_calc!$E$265)),TEXT(INDEX('Dealer pipeline'!$H$4:$H$503,_calc!$E$265),"yyyy-mm-dd"),""),IF(ISNUMBER(INDEX('My equipment'!$H$4:$H$503,(_calc!$E$265-500))),TEXT(INDEX('My equipment'!$H$4:$H$503,(_calc!$E$265-500)),"yyyy-mm-dd"),"")))</f>
        <v/>
      </c>
      <c r="F263" s="54">
        <f>IF(_calc!$E$265="","",IF(_calc!$E$265&lt;=500,TRIM(IF(LEN(IF(LEN(INDEX('Dealer pipeline'!$A$4:$A$503,_calc!$E$265))=0,"",INDEX('Dealer pipeline'!$A$4:$A$503,_calc!$E$265)))=0,"","Customer: "&amp;IF(LEN(INDEX('Dealer pipeline'!$A$4:$A$503,_calc!$E$265))=0,"",INDEX('Dealer pipeline'!$A$4:$A$503,_calc!$E$265))&amp;". ")&amp;IF(LEN(IF(LEN(INDEX('Dealer pipeline'!$B$4:$B$503,_calc!$E$265))=0,"",INDEX('Dealer pipeline'!$B$4:$B$503,_calc!$E$265)))=0,"","Contact: "&amp;IF(LEN(INDEX('Dealer pipeline'!$B$4:$B$503,_calc!$E$265))=0,"",INDEX('Dealer pipeline'!$B$4:$B$503,_calc!$E$265))&amp;". ")&amp;IF(LEN(IF(LEN(INDEX('Dealer pipeline'!$D$4:$D$503,_calc!$E$265))=0,"",INDEX('Dealer pipeline'!$D$4:$D$503,_calc!$E$265)))=0,"","Serial: "&amp;IF(LEN(INDEX('Dealer pipeline'!$D$4:$D$503,_calc!$E$265))=0,"",INDEX('Dealer pipeline'!$D$4:$D$503,_calc!$E$265))&amp;". ")&amp;IF(LEN(IF(ISNUMBER(INDEX('Dealer pipeline'!$J$4:$J$503,_calc!$E$265)),TEXT(INDEX('Dealer pipeline'!$J$4:$J$503,_calc!$E$265),"yyyy-mm-dd"),""))=0,"","Parts end: "&amp;IF(ISNUMBER(INDEX('Dealer pipeline'!$J$4:$J$503,_calc!$E$265)),TEXT(INDEX('Dealer pipeline'!$J$4:$J$503,_calc!$E$265),"yyyy-mm-dd"),"")&amp;". ")&amp;IF(LEN(IF(ISNUMBER(INDEX('Dealer pipeline'!$L$4:$L$503,_calc!$E$265)),TEXT(INDEX('Dealer pipeline'!$L$4:$L$503,_calc!$E$265),"yyyy-mm-dd"),""))=0,"","Labor end: "&amp;IF(ISNUMBER(INDEX('Dealer pipeline'!$L$4:$L$503,_calc!$E$265)),TEXT(INDEX('Dealer pipeline'!$L$4:$L$503,_calc!$E$265),"yyyy-mm-dd"),"")&amp;". ")&amp;IF(LEN(IF(LEN(INDEX('Dealer pipeline'!$Q$4:$Q$503,_calc!$E$265))=0,"",INDEX('Dealer pipeline'!$Q$4:$Q$503,_calc!$E$265)))=0,"","Status: "&amp;IF(LEN(INDEX('Dealer pipeline'!$Q$4:$Q$503,_calc!$E$265))=0,"",INDEX('Dealer pipeline'!$Q$4:$Q$503,_calc!$E$265))&amp;". ")&amp;IF(LEN(IF(LEN(INDEX('Dealer pipeline'!$P$4:$P$503,_calc!$E$265))=0,"",INDEX('Dealer pipeline'!$P$4:$P$503,_calc!$E$265)))=0,"","Last touch: "&amp;IF(LEN(INDEX('Dealer pipeline'!$P$4:$P$503,_calc!$E$265))=0,"",INDEX('Dealer pipeline'!$P$4:$P$503,_calc!$E$265))&amp;". ")&amp;IF(LEN(IF(LEN(INDEX('Dealer pipeline'!$R$4:$R$503,_calc!$E$265))=0,"",INDEX('Dealer pipeline'!$R$4:$R$503,_calc!$E$265)))=0,"","Owner: "&amp;IF(LEN(INDEX('Dealer pipeline'!$R$4:$R$503,_calc!$E$265))=0,"",INDEX('Dealer pipeline'!$R$4:$R$503,_calc!$E$265))&amp;". ")&amp;IF(LEN(IF(LEN(INDEX('Dealer pipeline'!$S$4:$S$503,_calc!$E$265))=0,"",INDEX('Dealer pipeline'!$S$4:$S$503,_calc!$E$265)))=0,"","Backup: "&amp;IF(LEN(INDEX('Dealer pipeline'!$S$4:$S$503,_calc!$E$265))=0,"",INDEX('Dealer pipeline'!$S$4:$S$503,_calc!$E$265))&amp;". ")&amp;IF(LEN(IF(LEN(INDEX('Dealer pipeline'!$T$4:$T$503,_calc!$E$265))=0,"",INDEX('Dealer pipeline'!$T$4:$T$503,_calc!$E$265)))=0,"",IF(LEN(INDEX('Dealer pipeline'!$T$4:$T$503,_calc!$E$265))=0,"",INDEX('Dealer pipeline'!$T$4:$T$503,_calc!$E$265)))),TRIM(IF(LEN(IF(LEN(INDEX('My equipment'!$C$4:$C$503,(_calc!$E$265-500)))=0,"",INDEX('My equipment'!$C$4:$C$503,(_calc!$E$265-500))))=0,"","Model: "&amp;IF(LEN(INDEX('My equipment'!$C$4:$C$503,(_calc!$E$265-500)))=0,"",INDEX('My equipment'!$C$4:$C$503,(_calc!$E$265-500)))&amp;". ")&amp;IF(LEN(IF(LEN(INDEX('My equipment'!$D$4:$D$503,(_calc!$E$265-500)))=0,"",INDEX('My equipment'!$D$4:$D$503,(_calc!$E$265-500))))=0,"","Serial: "&amp;IF(LEN(INDEX('My equipment'!$D$4:$D$503,(_calc!$E$265-500)))=0,"",INDEX('My equipment'!$D$4:$D$503,(_calc!$E$265-500)))&amp;". ")&amp;IF(LEN(IF(ISNUMBER(INDEX('My equipment'!$J$4:$J$503,(_calc!$E$265-500))),TEXT(INDEX('My equipment'!$J$4:$J$503,(_calc!$E$265-500)),"yyyy-mm-dd"),""))=0,"","Parts end: "&amp;IF(ISNUMBER(INDEX('My equipment'!$J$4:$J$503,(_calc!$E$265-500))),TEXT(INDEX('My equipment'!$J$4:$J$503,(_calc!$E$265-500)),"yyyy-mm-dd"),"")&amp;". ")&amp;IF(LEN(IF(ISNUMBER(INDEX('My equipment'!$L$4:$L$503,(_calc!$E$265-500))),TEXT(INDEX('My equipment'!$L$4:$L$503,(_calc!$E$265-500)),"yyyy-mm-dd"),""))=0,"","Labor end: "&amp;IF(ISNUMBER(INDEX('My equipment'!$L$4:$L$503,(_calc!$E$265-500))),TEXT(INDEX('My equipment'!$L$4:$L$503,(_calc!$E$265-500)),"yyyy-mm-dd"),"")&amp;". ")&amp;IF(LEN(IF(ISNUMBER(INDEX('My equipment'!$P$4:$P$503,(_calc!$E$265-500))),TEXT(INDEX('My equipment'!$P$4:$P$503,(_calc!$E$265-500)),"yyyy-mm-dd"),""))=0,"","Check by: "&amp;IF(ISNUMBER(INDEX('My equipment'!$P$4:$P$503,(_calc!$E$265-500))),TEXT(INDEX('My equipment'!$P$4:$P$503,(_calc!$E$265-500)),"yyyy-mm-dd"),"")&amp;". ")&amp;IF(LEN(IF(LEN(INDEX('My equipment'!$Q$4:$Q$503,(_calc!$E$265-500)))=0,"",INDEX('My equipment'!$Q$4:$Q$503,(_calc!$E$265-500))))=0,"","Claim status: "&amp;IF(LEN(INDEX('My equipment'!$Q$4:$Q$503,(_calc!$E$265-500)))=0,"",INDEX('My equipment'!$Q$4:$Q$503,(_calc!$E$265-500)))&amp;". ")&amp;IF(LEN(IF(LEN(INDEX('My equipment'!$R$4:$R$503,(_calc!$E$265-500)))=0,"",INDEX('My equipment'!$R$4:$R$503,(_calc!$E$265-500))))=0,"","Claims contact: "&amp;IF(LEN(INDEX('My equipment'!$R$4:$R$503,(_calc!$E$265-500)))=0,"",INDEX('My equipment'!$R$4:$R$503,(_calc!$E$265-500)))&amp;". ")&amp;IF(LEN(IF(LEN(INDEX('My equipment'!$S$4:$S$503,(_calc!$E$265-500)))=0,"",INDEX('My equipment'!$S$4:$S$503,(_calc!$E$265-500))))=0,"","Claims email: "&amp;IF(LEN(INDEX('My equipment'!$S$4:$S$503,(_calc!$E$265-500)))=0,"",INDEX('My equipment'!$S$4:$S$503,(_calc!$E$265-500)))&amp;". ")&amp;IF(LEN(IF(LEN(INDEX('My equipment'!$U$4:$U$503,(_calc!$E$265-500)))=0,"",INDEX('My equipment'!$U$4:$U$503,(_calc!$E$265-500))))=0,"","Registered: "&amp;IF(LEN(INDEX('My equipment'!$U$4:$U$503,(_calc!$E$265-500)))=0,"",INDEX('My equipment'!$U$4:$U$503,(_calc!$E$265-500)))&amp;". ")&amp;IF(LEN(IF(LEN(INDEX('My equipment'!$V$4:$V$503,(_calc!$E$265-500)))=0,"",INDEX('My equipment'!$V$4:$V$503,(_calc!$E$265-500))))=0,"","Proof on file: "&amp;IF(LEN(INDEX('My equipment'!$V$4:$V$503,(_calc!$E$265-500)))=0,"",INDEX('My equipment'!$V$4:$V$503,(_calc!$E$265-500)))&amp;". ")&amp;IF(LEN(IF(LEN(INDEX('My equipment'!$W$4:$W$503,(_calc!$E$265-500)))=0,"",INDEX('My equipment'!$W$4:$W$503,(_calc!$E$265-500))))=0,"","Claim ref: "&amp;IF(LEN(INDEX('My equipment'!$W$4:$W$503,(_calc!$E$265-500)))=0,"",INDEX('My equipment'!$W$4:$W$503,(_calc!$E$265-500)))&amp;". ")&amp;IF(LEN(IF(LEN(INDEX('My equipment'!$Y$4:$Y$503,(_calc!$E$265-500)))=0,"",INDEX('My equipment'!$Y$4:$Y$503,(_calc!$E$265-500))))=0,"",IF(LEN(INDEX('My equipment'!$Y$4:$Y$503,(_calc!$E$265-500)))=0,"",INDEX('My equipment'!$Y$4:$Y$503,(_calc!$E$265-500)))))))</f>
        <v/>
      </c>
      <c r="G263" s="54">
        <f>IF(_calc!$E$265="","",IF(_calc!$E$265&lt;=500,"",IF(LEN(INDEX('My equipment'!$X$4:$X$503,(_calc!$E$265-500)))=0,"",INDEX('My equipment'!$X$4:$X$503,(_calc!$E$265-500)))))</f>
        <v/>
      </c>
      <c r="K263" s="54">
        <f>IF(_calc!$E$265="","",IF(_calc!$E$265&lt;=500,"",IF(LEN(INDEX('My equipment'!$T$4:$T$503,(_calc!$E$265-500)))=0,"",INDEX('My equipment'!$T$4:$T$503,(_calc!$E$265-500)))))</f>
        <v/>
      </c>
    </row>
    <row r="264">
      <c r="A264" s="54">
        <f>IF(_calc!$E$266="","",IF(_calc!$E$266&lt;=500,"Warranty – "&amp;IF(LEN(INDEX('Dealer pipeline'!$C$4:$C$503,_calc!$E$266))=0,"",INDEX('Dealer pipeline'!$C$4:$C$503,_calc!$E$266))&amp;" – "&amp;IF(LEN(INDEX('Dealer pipeline'!$D$4:$D$503,_calc!$E$266))=0,"",INDEX('Dealer pipeline'!$D$4:$D$503,_calc!$E$266))&amp;" – "&amp;IF(LEN(INDEX('Dealer pipeline'!$A$4:$A$503,_calc!$E$266))=0,"",INDEX('Dealer pipeline'!$A$4:$A$503,_calc!$E$266)),"Warranty – "&amp;IF(LEN(INDEX('My equipment'!$A$4:$A$503,(_calc!$E$266-500)))=0,"",INDEX('My equipment'!$A$4:$A$503,(_calc!$E$266-500)))&amp;" – "&amp;IF(LEN(INDEX('My equipment'!$D$4:$D$503,(_calc!$E$266-500)))=0,"",INDEX('My equipment'!$D$4:$D$503,(_calc!$E$266-500)))))</f>
        <v/>
      </c>
      <c r="B264" s="54">
        <f>IF(_calc!$E$266="","",IF(_calc!$E$266&lt;=500,IF(ISNUMBER(INDEX('Dealer pipeline'!$M$4:$M$503,_calc!$E$266)),TEXT(INDEX('Dealer pipeline'!$M$4:$M$503,_calc!$E$266),"yyyy-mm-dd"),""),IF(ISNUMBER(INDEX('My equipment'!$M$4:$M$503,(_calc!$E$266-500))),TEXT(INDEX('My equipment'!$M$4:$M$503,(_calc!$E$266-500)),"yyyy-mm-dd"),"")))</f>
        <v/>
      </c>
      <c r="C264" s="54">
        <f>IF(_calc!$E$266="","",IF(_calc!$E$266&lt;=500,"Warranty","Warranty"))</f>
        <v/>
      </c>
      <c r="D264" s="54">
        <f>IF(_calc!$E$266="","",IF(_calc!$E$266&lt;=500,IF(ISNUMBER(INDEX('Dealer pipeline'!$H$4:$H$503,_calc!$E$266)),TEXT(INDEX('Dealer pipeline'!$H$4:$H$503,_calc!$E$266),"yyyy-mm-dd"),""),IF(ISNUMBER(INDEX('My equipment'!$H$4:$H$503,(_calc!$E$266-500))),TEXT(INDEX('My equipment'!$H$4:$H$503,(_calc!$E$266-500)),"yyyy-mm-dd"),"")))</f>
        <v/>
      </c>
      <c r="F264" s="54">
        <f>IF(_calc!$E$266="","",IF(_calc!$E$266&lt;=500,TRIM(IF(LEN(IF(LEN(INDEX('Dealer pipeline'!$A$4:$A$503,_calc!$E$266))=0,"",INDEX('Dealer pipeline'!$A$4:$A$503,_calc!$E$266)))=0,"","Customer: "&amp;IF(LEN(INDEX('Dealer pipeline'!$A$4:$A$503,_calc!$E$266))=0,"",INDEX('Dealer pipeline'!$A$4:$A$503,_calc!$E$266))&amp;". ")&amp;IF(LEN(IF(LEN(INDEX('Dealer pipeline'!$B$4:$B$503,_calc!$E$266))=0,"",INDEX('Dealer pipeline'!$B$4:$B$503,_calc!$E$266)))=0,"","Contact: "&amp;IF(LEN(INDEX('Dealer pipeline'!$B$4:$B$503,_calc!$E$266))=0,"",INDEX('Dealer pipeline'!$B$4:$B$503,_calc!$E$266))&amp;". ")&amp;IF(LEN(IF(LEN(INDEX('Dealer pipeline'!$D$4:$D$503,_calc!$E$266))=0,"",INDEX('Dealer pipeline'!$D$4:$D$503,_calc!$E$266)))=0,"","Serial: "&amp;IF(LEN(INDEX('Dealer pipeline'!$D$4:$D$503,_calc!$E$266))=0,"",INDEX('Dealer pipeline'!$D$4:$D$503,_calc!$E$266))&amp;". ")&amp;IF(LEN(IF(ISNUMBER(INDEX('Dealer pipeline'!$J$4:$J$503,_calc!$E$266)),TEXT(INDEX('Dealer pipeline'!$J$4:$J$503,_calc!$E$266),"yyyy-mm-dd"),""))=0,"","Parts end: "&amp;IF(ISNUMBER(INDEX('Dealer pipeline'!$J$4:$J$503,_calc!$E$266)),TEXT(INDEX('Dealer pipeline'!$J$4:$J$503,_calc!$E$266),"yyyy-mm-dd"),"")&amp;". ")&amp;IF(LEN(IF(ISNUMBER(INDEX('Dealer pipeline'!$L$4:$L$503,_calc!$E$266)),TEXT(INDEX('Dealer pipeline'!$L$4:$L$503,_calc!$E$266),"yyyy-mm-dd"),""))=0,"","Labor end: "&amp;IF(ISNUMBER(INDEX('Dealer pipeline'!$L$4:$L$503,_calc!$E$266)),TEXT(INDEX('Dealer pipeline'!$L$4:$L$503,_calc!$E$266),"yyyy-mm-dd"),"")&amp;". ")&amp;IF(LEN(IF(LEN(INDEX('Dealer pipeline'!$Q$4:$Q$503,_calc!$E$266))=0,"",INDEX('Dealer pipeline'!$Q$4:$Q$503,_calc!$E$266)))=0,"","Status: "&amp;IF(LEN(INDEX('Dealer pipeline'!$Q$4:$Q$503,_calc!$E$266))=0,"",INDEX('Dealer pipeline'!$Q$4:$Q$503,_calc!$E$266))&amp;". ")&amp;IF(LEN(IF(LEN(INDEX('Dealer pipeline'!$P$4:$P$503,_calc!$E$266))=0,"",INDEX('Dealer pipeline'!$P$4:$P$503,_calc!$E$266)))=0,"","Last touch: "&amp;IF(LEN(INDEX('Dealer pipeline'!$P$4:$P$503,_calc!$E$266))=0,"",INDEX('Dealer pipeline'!$P$4:$P$503,_calc!$E$266))&amp;". ")&amp;IF(LEN(IF(LEN(INDEX('Dealer pipeline'!$R$4:$R$503,_calc!$E$266))=0,"",INDEX('Dealer pipeline'!$R$4:$R$503,_calc!$E$266)))=0,"","Owner: "&amp;IF(LEN(INDEX('Dealer pipeline'!$R$4:$R$503,_calc!$E$266))=0,"",INDEX('Dealer pipeline'!$R$4:$R$503,_calc!$E$266))&amp;". ")&amp;IF(LEN(IF(LEN(INDEX('Dealer pipeline'!$S$4:$S$503,_calc!$E$266))=0,"",INDEX('Dealer pipeline'!$S$4:$S$503,_calc!$E$266)))=0,"","Backup: "&amp;IF(LEN(INDEX('Dealer pipeline'!$S$4:$S$503,_calc!$E$266))=0,"",INDEX('Dealer pipeline'!$S$4:$S$503,_calc!$E$266))&amp;". ")&amp;IF(LEN(IF(LEN(INDEX('Dealer pipeline'!$T$4:$T$503,_calc!$E$266))=0,"",INDEX('Dealer pipeline'!$T$4:$T$503,_calc!$E$266)))=0,"",IF(LEN(INDEX('Dealer pipeline'!$T$4:$T$503,_calc!$E$266))=0,"",INDEX('Dealer pipeline'!$T$4:$T$503,_calc!$E$266)))),TRIM(IF(LEN(IF(LEN(INDEX('My equipment'!$C$4:$C$503,(_calc!$E$266-500)))=0,"",INDEX('My equipment'!$C$4:$C$503,(_calc!$E$266-500))))=0,"","Model: "&amp;IF(LEN(INDEX('My equipment'!$C$4:$C$503,(_calc!$E$266-500)))=0,"",INDEX('My equipment'!$C$4:$C$503,(_calc!$E$266-500)))&amp;". ")&amp;IF(LEN(IF(LEN(INDEX('My equipment'!$D$4:$D$503,(_calc!$E$266-500)))=0,"",INDEX('My equipment'!$D$4:$D$503,(_calc!$E$266-500))))=0,"","Serial: "&amp;IF(LEN(INDEX('My equipment'!$D$4:$D$503,(_calc!$E$266-500)))=0,"",INDEX('My equipment'!$D$4:$D$503,(_calc!$E$266-500)))&amp;". ")&amp;IF(LEN(IF(ISNUMBER(INDEX('My equipment'!$J$4:$J$503,(_calc!$E$266-500))),TEXT(INDEX('My equipment'!$J$4:$J$503,(_calc!$E$266-500)),"yyyy-mm-dd"),""))=0,"","Parts end: "&amp;IF(ISNUMBER(INDEX('My equipment'!$J$4:$J$503,(_calc!$E$266-500))),TEXT(INDEX('My equipment'!$J$4:$J$503,(_calc!$E$266-500)),"yyyy-mm-dd"),"")&amp;". ")&amp;IF(LEN(IF(ISNUMBER(INDEX('My equipment'!$L$4:$L$503,(_calc!$E$266-500))),TEXT(INDEX('My equipment'!$L$4:$L$503,(_calc!$E$266-500)),"yyyy-mm-dd"),""))=0,"","Labor end: "&amp;IF(ISNUMBER(INDEX('My equipment'!$L$4:$L$503,(_calc!$E$266-500))),TEXT(INDEX('My equipment'!$L$4:$L$503,(_calc!$E$266-500)),"yyyy-mm-dd"),"")&amp;". ")&amp;IF(LEN(IF(ISNUMBER(INDEX('My equipment'!$P$4:$P$503,(_calc!$E$266-500))),TEXT(INDEX('My equipment'!$P$4:$P$503,(_calc!$E$266-500)),"yyyy-mm-dd"),""))=0,"","Check by: "&amp;IF(ISNUMBER(INDEX('My equipment'!$P$4:$P$503,(_calc!$E$266-500))),TEXT(INDEX('My equipment'!$P$4:$P$503,(_calc!$E$266-500)),"yyyy-mm-dd"),"")&amp;". ")&amp;IF(LEN(IF(LEN(INDEX('My equipment'!$Q$4:$Q$503,(_calc!$E$266-500)))=0,"",INDEX('My equipment'!$Q$4:$Q$503,(_calc!$E$266-500))))=0,"","Claim status: "&amp;IF(LEN(INDEX('My equipment'!$Q$4:$Q$503,(_calc!$E$266-500)))=0,"",INDEX('My equipment'!$Q$4:$Q$503,(_calc!$E$266-500)))&amp;". ")&amp;IF(LEN(IF(LEN(INDEX('My equipment'!$R$4:$R$503,(_calc!$E$266-500)))=0,"",INDEX('My equipment'!$R$4:$R$503,(_calc!$E$266-500))))=0,"","Claims contact: "&amp;IF(LEN(INDEX('My equipment'!$R$4:$R$503,(_calc!$E$266-500)))=0,"",INDEX('My equipment'!$R$4:$R$503,(_calc!$E$266-500)))&amp;". ")&amp;IF(LEN(IF(LEN(INDEX('My equipment'!$S$4:$S$503,(_calc!$E$266-500)))=0,"",INDEX('My equipment'!$S$4:$S$503,(_calc!$E$266-500))))=0,"","Claims email: "&amp;IF(LEN(INDEX('My equipment'!$S$4:$S$503,(_calc!$E$266-500)))=0,"",INDEX('My equipment'!$S$4:$S$503,(_calc!$E$266-500)))&amp;". ")&amp;IF(LEN(IF(LEN(INDEX('My equipment'!$U$4:$U$503,(_calc!$E$266-500)))=0,"",INDEX('My equipment'!$U$4:$U$503,(_calc!$E$266-500))))=0,"","Registered: "&amp;IF(LEN(INDEX('My equipment'!$U$4:$U$503,(_calc!$E$266-500)))=0,"",INDEX('My equipment'!$U$4:$U$503,(_calc!$E$266-500)))&amp;". ")&amp;IF(LEN(IF(LEN(INDEX('My equipment'!$V$4:$V$503,(_calc!$E$266-500)))=0,"",INDEX('My equipment'!$V$4:$V$503,(_calc!$E$266-500))))=0,"","Proof on file: "&amp;IF(LEN(INDEX('My equipment'!$V$4:$V$503,(_calc!$E$266-500)))=0,"",INDEX('My equipment'!$V$4:$V$503,(_calc!$E$266-500)))&amp;". ")&amp;IF(LEN(IF(LEN(INDEX('My equipment'!$W$4:$W$503,(_calc!$E$266-500)))=0,"",INDEX('My equipment'!$W$4:$W$503,(_calc!$E$266-500))))=0,"","Claim ref: "&amp;IF(LEN(INDEX('My equipment'!$W$4:$W$503,(_calc!$E$266-500)))=0,"",INDEX('My equipment'!$W$4:$W$503,(_calc!$E$266-500)))&amp;". ")&amp;IF(LEN(IF(LEN(INDEX('My equipment'!$Y$4:$Y$503,(_calc!$E$266-500)))=0,"",INDEX('My equipment'!$Y$4:$Y$503,(_calc!$E$266-500))))=0,"",IF(LEN(INDEX('My equipment'!$Y$4:$Y$503,(_calc!$E$266-500)))=0,"",INDEX('My equipment'!$Y$4:$Y$503,(_calc!$E$266-500)))))))</f>
        <v/>
      </c>
      <c r="G264" s="54">
        <f>IF(_calc!$E$266="","",IF(_calc!$E$266&lt;=500,"",IF(LEN(INDEX('My equipment'!$X$4:$X$503,(_calc!$E$266-500)))=0,"",INDEX('My equipment'!$X$4:$X$503,(_calc!$E$266-500)))))</f>
        <v/>
      </c>
      <c r="K264" s="54">
        <f>IF(_calc!$E$266="","",IF(_calc!$E$266&lt;=500,"",IF(LEN(INDEX('My equipment'!$T$4:$T$503,(_calc!$E$266-500)))=0,"",INDEX('My equipment'!$T$4:$T$503,(_calc!$E$266-500)))))</f>
        <v/>
      </c>
    </row>
    <row r="265">
      <c r="A265" s="54">
        <f>IF(_calc!$E$267="","",IF(_calc!$E$267&lt;=500,"Warranty – "&amp;IF(LEN(INDEX('Dealer pipeline'!$C$4:$C$503,_calc!$E$267))=0,"",INDEX('Dealer pipeline'!$C$4:$C$503,_calc!$E$267))&amp;" – "&amp;IF(LEN(INDEX('Dealer pipeline'!$D$4:$D$503,_calc!$E$267))=0,"",INDEX('Dealer pipeline'!$D$4:$D$503,_calc!$E$267))&amp;" – "&amp;IF(LEN(INDEX('Dealer pipeline'!$A$4:$A$503,_calc!$E$267))=0,"",INDEX('Dealer pipeline'!$A$4:$A$503,_calc!$E$267)),"Warranty – "&amp;IF(LEN(INDEX('My equipment'!$A$4:$A$503,(_calc!$E$267-500)))=0,"",INDEX('My equipment'!$A$4:$A$503,(_calc!$E$267-500)))&amp;" – "&amp;IF(LEN(INDEX('My equipment'!$D$4:$D$503,(_calc!$E$267-500)))=0,"",INDEX('My equipment'!$D$4:$D$503,(_calc!$E$267-500)))))</f>
        <v/>
      </c>
      <c r="B265" s="54">
        <f>IF(_calc!$E$267="","",IF(_calc!$E$267&lt;=500,IF(ISNUMBER(INDEX('Dealer pipeline'!$M$4:$M$503,_calc!$E$267)),TEXT(INDEX('Dealer pipeline'!$M$4:$M$503,_calc!$E$267),"yyyy-mm-dd"),""),IF(ISNUMBER(INDEX('My equipment'!$M$4:$M$503,(_calc!$E$267-500))),TEXT(INDEX('My equipment'!$M$4:$M$503,(_calc!$E$267-500)),"yyyy-mm-dd"),"")))</f>
        <v/>
      </c>
      <c r="C265" s="54">
        <f>IF(_calc!$E$267="","",IF(_calc!$E$267&lt;=500,"Warranty","Warranty"))</f>
        <v/>
      </c>
      <c r="D265" s="54">
        <f>IF(_calc!$E$267="","",IF(_calc!$E$267&lt;=500,IF(ISNUMBER(INDEX('Dealer pipeline'!$H$4:$H$503,_calc!$E$267)),TEXT(INDEX('Dealer pipeline'!$H$4:$H$503,_calc!$E$267),"yyyy-mm-dd"),""),IF(ISNUMBER(INDEX('My equipment'!$H$4:$H$503,(_calc!$E$267-500))),TEXT(INDEX('My equipment'!$H$4:$H$503,(_calc!$E$267-500)),"yyyy-mm-dd"),"")))</f>
        <v/>
      </c>
      <c r="F265" s="54">
        <f>IF(_calc!$E$267="","",IF(_calc!$E$267&lt;=500,TRIM(IF(LEN(IF(LEN(INDEX('Dealer pipeline'!$A$4:$A$503,_calc!$E$267))=0,"",INDEX('Dealer pipeline'!$A$4:$A$503,_calc!$E$267)))=0,"","Customer: "&amp;IF(LEN(INDEX('Dealer pipeline'!$A$4:$A$503,_calc!$E$267))=0,"",INDEX('Dealer pipeline'!$A$4:$A$503,_calc!$E$267))&amp;". ")&amp;IF(LEN(IF(LEN(INDEX('Dealer pipeline'!$B$4:$B$503,_calc!$E$267))=0,"",INDEX('Dealer pipeline'!$B$4:$B$503,_calc!$E$267)))=0,"","Contact: "&amp;IF(LEN(INDEX('Dealer pipeline'!$B$4:$B$503,_calc!$E$267))=0,"",INDEX('Dealer pipeline'!$B$4:$B$503,_calc!$E$267))&amp;". ")&amp;IF(LEN(IF(LEN(INDEX('Dealer pipeline'!$D$4:$D$503,_calc!$E$267))=0,"",INDEX('Dealer pipeline'!$D$4:$D$503,_calc!$E$267)))=0,"","Serial: "&amp;IF(LEN(INDEX('Dealer pipeline'!$D$4:$D$503,_calc!$E$267))=0,"",INDEX('Dealer pipeline'!$D$4:$D$503,_calc!$E$267))&amp;". ")&amp;IF(LEN(IF(ISNUMBER(INDEX('Dealer pipeline'!$J$4:$J$503,_calc!$E$267)),TEXT(INDEX('Dealer pipeline'!$J$4:$J$503,_calc!$E$267),"yyyy-mm-dd"),""))=0,"","Parts end: "&amp;IF(ISNUMBER(INDEX('Dealer pipeline'!$J$4:$J$503,_calc!$E$267)),TEXT(INDEX('Dealer pipeline'!$J$4:$J$503,_calc!$E$267),"yyyy-mm-dd"),"")&amp;". ")&amp;IF(LEN(IF(ISNUMBER(INDEX('Dealer pipeline'!$L$4:$L$503,_calc!$E$267)),TEXT(INDEX('Dealer pipeline'!$L$4:$L$503,_calc!$E$267),"yyyy-mm-dd"),""))=0,"","Labor end: "&amp;IF(ISNUMBER(INDEX('Dealer pipeline'!$L$4:$L$503,_calc!$E$267)),TEXT(INDEX('Dealer pipeline'!$L$4:$L$503,_calc!$E$267),"yyyy-mm-dd"),"")&amp;". ")&amp;IF(LEN(IF(LEN(INDEX('Dealer pipeline'!$Q$4:$Q$503,_calc!$E$267))=0,"",INDEX('Dealer pipeline'!$Q$4:$Q$503,_calc!$E$267)))=0,"","Status: "&amp;IF(LEN(INDEX('Dealer pipeline'!$Q$4:$Q$503,_calc!$E$267))=0,"",INDEX('Dealer pipeline'!$Q$4:$Q$503,_calc!$E$267))&amp;". ")&amp;IF(LEN(IF(LEN(INDEX('Dealer pipeline'!$P$4:$P$503,_calc!$E$267))=0,"",INDEX('Dealer pipeline'!$P$4:$P$503,_calc!$E$267)))=0,"","Last touch: "&amp;IF(LEN(INDEX('Dealer pipeline'!$P$4:$P$503,_calc!$E$267))=0,"",INDEX('Dealer pipeline'!$P$4:$P$503,_calc!$E$267))&amp;". ")&amp;IF(LEN(IF(LEN(INDEX('Dealer pipeline'!$R$4:$R$503,_calc!$E$267))=0,"",INDEX('Dealer pipeline'!$R$4:$R$503,_calc!$E$267)))=0,"","Owner: "&amp;IF(LEN(INDEX('Dealer pipeline'!$R$4:$R$503,_calc!$E$267))=0,"",INDEX('Dealer pipeline'!$R$4:$R$503,_calc!$E$267))&amp;". ")&amp;IF(LEN(IF(LEN(INDEX('Dealer pipeline'!$S$4:$S$503,_calc!$E$267))=0,"",INDEX('Dealer pipeline'!$S$4:$S$503,_calc!$E$267)))=0,"","Backup: "&amp;IF(LEN(INDEX('Dealer pipeline'!$S$4:$S$503,_calc!$E$267))=0,"",INDEX('Dealer pipeline'!$S$4:$S$503,_calc!$E$267))&amp;". ")&amp;IF(LEN(IF(LEN(INDEX('Dealer pipeline'!$T$4:$T$503,_calc!$E$267))=0,"",INDEX('Dealer pipeline'!$T$4:$T$503,_calc!$E$267)))=0,"",IF(LEN(INDEX('Dealer pipeline'!$T$4:$T$503,_calc!$E$267))=0,"",INDEX('Dealer pipeline'!$T$4:$T$503,_calc!$E$267)))),TRIM(IF(LEN(IF(LEN(INDEX('My equipment'!$C$4:$C$503,(_calc!$E$267-500)))=0,"",INDEX('My equipment'!$C$4:$C$503,(_calc!$E$267-500))))=0,"","Model: "&amp;IF(LEN(INDEX('My equipment'!$C$4:$C$503,(_calc!$E$267-500)))=0,"",INDEX('My equipment'!$C$4:$C$503,(_calc!$E$267-500)))&amp;". ")&amp;IF(LEN(IF(LEN(INDEX('My equipment'!$D$4:$D$503,(_calc!$E$267-500)))=0,"",INDEX('My equipment'!$D$4:$D$503,(_calc!$E$267-500))))=0,"","Serial: "&amp;IF(LEN(INDEX('My equipment'!$D$4:$D$503,(_calc!$E$267-500)))=0,"",INDEX('My equipment'!$D$4:$D$503,(_calc!$E$267-500)))&amp;". ")&amp;IF(LEN(IF(ISNUMBER(INDEX('My equipment'!$J$4:$J$503,(_calc!$E$267-500))),TEXT(INDEX('My equipment'!$J$4:$J$503,(_calc!$E$267-500)),"yyyy-mm-dd"),""))=0,"","Parts end: "&amp;IF(ISNUMBER(INDEX('My equipment'!$J$4:$J$503,(_calc!$E$267-500))),TEXT(INDEX('My equipment'!$J$4:$J$503,(_calc!$E$267-500)),"yyyy-mm-dd"),"")&amp;". ")&amp;IF(LEN(IF(ISNUMBER(INDEX('My equipment'!$L$4:$L$503,(_calc!$E$267-500))),TEXT(INDEX('My equipment'!$L$4:$L$503,(_calc!$E$267-500)),"yyyy-mm-dd"),""))=0,"","Labor end: "&amp;IF(ISNUMBER(INDEX('My equipment'!$L$4:$L$503,(_calc!$E$267-500))),TEXT(INDEX('My equipment'!$L$4:$L$503,(_calc!$E$267-500)),"yyyy-mm-dd"),"")&amp;". ")&amp;IF(LEN(IF(ISNUMBER(INDEX('My equipment'!$P$4:$P$503,(_calc!$E$267-500))),TEXT(INDEX('My equipment'!$P$4:$P$503,(_calc!$E$267-500)),"yyyy-mm-dd"),""))=0,"","Check by: "&amp;IF(ISNUMBER(INDEX('My equipment'!$P$4:$P$503,(_calc!$E$267-500))),TEXT(INDEX('My equipment'!$P$4:$P$503,(_calc!$E$267-500)),"yyyy-mm-dd"),"")&amp;". ")&amp;IF(LEN(IF(LEN(INDEX('My equipment'!$Q$4:$Q$503,(_calc!$E$267-500)))=0,"",INDEX('My equipment'!$Q$4:$Q$503,(_calc!$E$267-500))))=0,"","Claim status: "&amp;IF(LEN(INDEX('My equipment'!$Q$4:$Q$503,(_calc!$E$267-500)))=0,"",INDEX('My equipment'!$Q$4:$Q$503,(_calc!$E$267-500)))&amp;". ")&amp;IF(LEN(IF(LEN(INDEX('My equipment'!$R$4:$R$503,(_calc!$E$267-500)))=0,"",INDEX('My equipment'!$R$4:$R$503,(_calc!$E$267-500))))=0,"","Claims contact: "&amp;IF(LEN(INDEX('My equipment'!$R$4:$R$503,(_calc!$E$267-500)))=0,"",INDEX('My equipment'!$R$4:$R$503,(_calc!$E$267-500)))&amp;". ")&amp;IF(LEN(IF(LEN(INDEX('My equipment'!$S$4:$S$503,(_calc!$E$267-500)))=0,"",INDEX('My equipment'!$S$4:$S$503,(_calc!$E$267-500))))=0,"","Claims email: "&amp;IF(LEN(INDEX('My equipment'!$S$4:$S$503,(_calc!$E$267-500)))=0,"",INDEX('My equipment'!$S$4:$S$503,(_calc!$E$267-500)))&amp;". ")&amp;IF(LEN(IF(LEN(INDEX('My equipment'!$U$4:$U$503,(_calc!$E$267-500)))=0,"",INDEX('My equipment'!$U$4:$U$503,(_calc!$E$267-500))))=0,"","Registered: "&amp;IF(LEN(INDEX('My equipment'!$U$4:$U$503,(_calc!$E$267-500)))=0,"",INDEX('My equipment'!$U$4:$U$503,(_calc!$E$267-500)))&amp;". ")&amp;IF(LEN(IF(LEN(INDEX('My equipment'!$V$4:$V$503,(_calc!$E$267-500)))=0,"",INDEX('My equipment'!$V$4:$V$503,(_calc!$E$267-500))))=0,"","Proof on file: "&amp;IF(LEN(INDEX('My equipment'!$V$4:$V$503,(_calc!$E$267-500)))=0,"",INDEX('My equipment'!$V$4:$V$503,(_calc!$E$267-500)))&amp;". ")&amp;IF(LEN(IF(LEN(INDEX('My equipment'!$W$4:$W$503,(_calc!$E$267-500)))=0,"",INDEX('My equipment'!$W$4:$W$503,(_calc!$E$267-500))))=0,"","Claim ref: "&amp;IF(LEN(INDEX('My equipment'!$W$4:$W$503,(_calc!$E$267-500)))=0,"",INDEX('My equipment'!$W$4:$W$503,(_calc!$E$267-500)))&amp;". ")&amp;IF(LEN(IF(LEN(INDEX('My equipment'!$Y$4:$Y$503,(_calc!$E$267-500)))=0,"",INDEX('My equipment'!$Y$4:$Y$503,(_calc!$E$267-500))))=0,"",IF(LEN(INDEX('My equipment'!$Y$4:$Y$503,(_calc!$E$267-500)))=0,"",INDEX('My equipment'!$Y$4:$Y$503,(_calc!$E$267-500)))))))</f>
        <v/>
      </c>
      <c r="G265" s="54">
        <f>IF(_calc!$E$267="","",IF(_calc!$E$267&lt;=500,"",IF(LEN(INDEX('My equipment'!$X$4:$X$503,(_calc!$E$267-500)))=0,"",INDEX('My equipment'!$X$4:$X$503,(_calc!$E$267-500)))))</f>
        <v/>
      </c>
      <c r="K265" s="54">
        <f>IF(_calc!$E$267="","",IF(_calc!$E$267&lt;=500,"",IF(LEN(INDEX('My equipment'!$T$4:$T$503,(_calc!$E$267-500)))=0,"",INDEX('My equipment'!$T$4:$T$503,(_calc!$E$267-500)))))</f>
        <v/>
      </c>
    </row>
    <row r="266">
      <c r="A266" s="54">
        <f>IF(_calc!$E$268="","",IF(_calc!$E$268&lt;=500,"Warranty – "&amp;IF(LEN(INDEX('Dealer pipeline'!$C$4:$C$503,_calc!$E$268))=0,"",INDEX('Dealer pipeline'!$C$4:$C$503,_calc!$E$268))&amp;" – "&amp;IF(LEN(INDEX('Dealer pipeline'!$D$4:$D$503,_calc!$E$268))=0,"",INDEX('Dealer pipeline'!$D$4:$D$503,_calc!$E$268))&amp;" – "&amp;IF(LEN(INDEX('Dealer pipeline'!$A$4:$A$503,_calc!$E$268))=0,"",INDEX('Dealer pipeline'!$A$4:$A$503,_calc!$E$268)),"Warranty – "&amp;IF(LEN(INDEX('My equipment'!$A$4:$A$503,(_calc!$E$268-500)))=0,"",INDEX('My equipment'!$A$4:$A$503,(_calc!$E$268-500)))&amp;" – "&amp;IF(LEN(INDEX('My equipment'!$D$4:$D$503,(_calc!$E$268-500)))=0,"",INDEX('My equipment'!$D$4:$D$503,(_calc!$E$268-500)))))</f>
        <v/>
      </c>
      <c r="B266" s="54">
        <f>IF(_calc!$E$268="","",IF(_calc!$E$268&lt;=500,IF(ISNUMBER(INDEX('Dealer pipeline'!$M$4:$M$503,_calc!$E$268)),TEXT(INDEX('Dealer pipeline'!$M$4:$M$503,_calc!$E$268),"yyyy-mm-dd"),""),IF(ISNUMBER(INDEX('My equipment'!$M$4:$M$503,(_calc!$E$268-500))),TEXT(INDEX('My equipment'!$M$4:$M$503,(_calc!$E$268-500)),"yyyy-mm-dd"),"")))</f>
        <v/>
      </c>
      <c r="C266" s="54">
        <f>IF(_calc!$E$268="","",IF(_calc!$E$268&lt;=500,"Warranty","Warranty"))</f>
        <v/>
      </c>
      <c r="D266" s="54">
        <f>IF(_calc!$E$268="","",IF(_calc!$E$268&lt;=500,IF(ISNUMBER(INDEX('Dealer pipeline'!$H$4:$H$503,_calc!$E$268)),TEXT(INDEX('Dealer pipeline'!$H$4:$H$503,_calc!$E$268),"yyyy-mm-dd"),""),IF(ISNUMBER(INDEX('My equipment'!$H$4:$H$503,(_calc!$E$268-500))),TEXT(INDEX('My equipment'!$H$4:$H$503,(_calc!$E$268-500)),"yyyy-mm-dd"),"")))</f>
        <v/>
      </c>
      <c r="F266" s="54">
        <f>IF(_calc!$E$268="","",IF(_calc!$E$268&lt;=500,TRIM(IF(LEN(IF(LEN(INDEX('Dealer pipeline'!$A$4:$A$503,_calc!$E$268))=0,"",INDEX('Dealer pipeline'!$A$4:$A$503,_calc!$E$268)))=0,"","Customer: "&amp;IF(LEN(INDEX('Dealer pipeline'!$A$4:$A$503,_calc!$E$268))=0,"",INDEX('Dealer pipeline'!$A$4:$A$503,_calc!$E$268))&amp;". ")&amp;IF(LEN(IF(LEN(INDEX('Dealer pipeline'!$B$4:$B$503,_calc!$E$268))=0,"",INDEX('Dealer pipeline'!$B$4:$B$503,_calc!$E$268)))=0,"","Contact: "&amp;IF(LEN(INDEX('Dealer pipeline'!$B$4:$B$503,_calc!$E$268))=0,"",INDEX('Dealer pipeline'!$B$4:$B$503,_calc!$E$268))&amp;". ")&amp;IF(LEN(IF(LEN(INDEX('Dealer pipeline'!$D$4:$D$503,_calc!$E$268))=0,"",INDEX('Dealer pipeline'!$D$4:$D$503,_calc!$E$268)))=0,"","Serial: "&amp;IF(LEN(INDEX('Dealer pipeline'!$D$4:$D$503,_calc!$E$268))=0,"",INDEX('Dealer pipeline'!$D$4:$D$503,_calc!$E$268))&amp;". ")&amp;IF(LEN(IF(ISNUMBER(INDEX('Dealer pipeline'!$J$4:$J$503,_calc!$E$268)),TEXT(INDEX('Dealer pipeline'!$J$4:$J$503,_calc!$E$268),"yyyy-mm-dd"),""))=0,"","Parts end: "&amp;IF(ISNUMBER(INDEX('Dealer pipeline'!$J$4:$J$503,_calc!$E$268)),TEXT(INDEX('Dealer pipeline'!$J$4:$J$503,_calc!$E$268),"yyyy-mm-dd"),"")&amp;". ")&amp;IF(LEN(IF(ISNUMBER(INDEX('Dealer pipeline'!$L$4:$L$503,_calc!$E$268)),TEXT(INDEX('Dealer pipeline'!$L$4:$L$503,_calc!$E$268),"yyyy-mm-dd"),""))=0,"","Labor end: "&amp;IF(ISNUMBER(INDEX('Dealer pipeline'!$L$4:$L$503,_calc!$E$268)),TEXT(INDEX('Dealer pipeline'!$L$4:$L$503,_calc!$E$268),"yyyy-mm-dd"),"")&amp;". ")&amp;IF(LEN(IF(LEN(INDEX('Dealer pipeline'!$Q$4:$Q$503,_calc!$E$268))=0,"",INDEX('Dealer pipeline'!$Q$4:$Q$503,_calc!$E$268)))=0,"","Status: "&amp;IF(LEN(INDEX('Dealer pipeline'!$Q$4:$Q$503,_calc!$E$268))=0,"",INDEX('Dealer pipeline'!$Q$4:$Q$503,_calc!$E$268))&amp;". ")&amp;IF(LEN(IF(LEN(INDEX('Dealer pipeline'!$P$4:$P$503,_calc!$E$268))=0,"",INDEX('Dealer pipeline'!$P$4:$P$503,_calc!$E$268)))=0,"","Last touch: "&amp;IF(LEN(INDEX('Dealer pipeline'!$P$4:$P$503,_calc!$E$268))=0,"",INDEX('Dealer pipeline'!$P$4:$P$503,_calc!$E$268))&amp;". ")&amp;IF(LEN(IF(LEN(INDEX('Dealer pipeline'!$R$4:$R$503,_calc!$E$268))=0,"",INDEX('Dealer pipeline'!$R$4:$R$503,_calc!$E$268)))=0,"","Owner: "&amp;IF(LEN(INDEX('Dealer pipeline'!$R$4:$R$503,_calc!$E$268))=0,"",INDEX('Dealer pipeline'!$R$4:$R$503,_calc!$E$268))&amp;". ")&amp;IF(LEN(IF(LEN(INDEX('Dealer pipeline'!$S$4:$S$503,_calc!$E$268))=0,"",INDEX('Dealer pipeline'!$S$4:$S$503,_calc!$E$268)))=0,"","Backup: "&amp;IF(LEN(INDEX('Dealer pipeline'!$S$4:$S$503,_calc!$E$268))=0,"",INDEX('Dealer pipeline'!$S$4:$S$503,_calc!$E$268))&amp;". ")&amp;IF(LEN(IF(LEN(INDEX('Dealer pipeline'!$T$4:$T$503,_calc!$E$268))=0,"",INDEX('Dealer pipeline'!$T$4:$T$503,_calc!$E$268)))=0,"",IF(LEN(INDEX('Dealer pipeline'!$T$4:$T$503,_calc!$E$268))=0,"",INDEX('Dealer pipeline'!$T$4:$T$503,_calc!$E$268)))),TRIM(IF(LEN(IF(LEN(INDEX('My equipment'!$C$4:$C$503,(_calc!$E$268-500)))=0,"",INDEX('My equipment'!$C$4:$C$503,(_calc!$E$268-500))))=0,"","Model: "&amp;IF(LEN(INDEX('My equipment'!$C$4:$C$503,(_calc!$E$268-500)))=0,"",INDEX('My equipment'!$C$4:$C$503,(_calc!$E$268-500)))&amp;". ")&amp;IF(LEN(IF(LEN(INDEX('My equipment'!$D$4:$D$503,(_calc!$E$268-500)))=0,"",INDEX('My equipment'!$D$4:$D$503,(_calc!$E$268-500))))=0,"","Serial: "&amp;IF(LEN(INDEX('My equipment'!$D$4:$D$503,(_calc!$E$268-500)))=0,"",INDEX('My equipment'!$D$4:$D$503,(_calc!$E$268-500)))&amp;". ")&amp;IF(LEN(IF(ISNUMBER(INDEX('My equipment'!$J$4:$J$503,(_calc!$E$268-500))),TEXT(INDEX('My equipment'!$J$4:$J$503,(_calc!$E$268-500)),"yyyy-mm-dd"),""))=0,"","Parts end: "&amp;IF(ISNUMBER(INDEX('My equipment'!$J$4:$J$503,(_calc!$E$268-500))),TEXT(INDEX('My equipment'!$J$4:$J$503,(_calc!$E$268-500)),"yyyy-mm-dd"),"")&amp;". ")&amp;IF(LEN(IF(ISNUMBER(INDEX('My equipment'!$L$4:$L$503,(_calc!$E$268-500))),TEXT(INDEX('My equipment'!$L$4:$L$503,(_calc!$E$268-500)),"yyyy-mm-dd"),""))=0,"","Labor end: "&amp;IF(ISNUMBER(INDEX('My equipment'!$L$4:$L$503,(_calc!$E$268-500))),TEXT(INDEX('My equipment'!$L$4:$L$503,(_calc!$E$268-500)),"yyyy-mm-dd"),"")&amp;". ")&amp;IF(LEN(IF(ISNUMBER(INDEX('My equipment'!$P$4:$P$503,(_calc!$E$268-500))),TEXT(INDEX('My equipment'!$P$4:$P$503,(_calc!$E$268-500)),"yyyy-mm-dd"),""))=0,"","Check by: "&amp;IF(ISNUMBER(INDEX('My equipment'!$P$4:$P$503,(_calc!$E$268-500))),TEXT(INDEX('My equipment'!$P$4:$P$503,(_calc!$E$268-500)),"yyyy-mm-dd"),"")&amp;". ")&amp;IF(LEN(IF(LEN(INDEX('My equipment'!$Q$4:$Q$503,(_calc!$E$268-500)))=0,"",INDEX('My equipment'!$Q$4:$Q$503,(_calc!$E$268-500))))=0,"","Claim status: "&amp;IF(LEN(INDEX('My equipment'!$Q$4:$Q$503,(_calc!$E$268-500)))=0,"",INDEX('My equipment'!$Q$4:$Q$503,(_calc!$E$268-500)))&amp;". ")&amp;IF(LEN(IF(LEN(INDEX('My equipment'!$R$4:$R$503,(_calc!$E$268-500)))=0,"",INDEX('My equipment'!$R$4:$R$503,(_calc!$E$268-500))))=0,"","Claims contact: "&amp;IF(LEN(INDEX('My equipment'!$R$4:$R$503,(_calc!$E$268-500)))=0,"",INDEX('My equipment'!$R$4:$R$503,(_calc!$E$268-500)))&amp;". ")&amp;IF(LEN(IF(LEN(INDEX('My equipment'!$S$4:$S$503,(_calc!$E$268-500)))=0,"",INDEX('My equipment'!$S$4:$S$503,(_calc!$E$268-500))))=0,"","Claims email: "&amp;IF(LEN(INDEX('My equipment'!$S$4:$S$503,(_calc!$E$268-500)))=0,"",INDEX('My equipment'!$S$4:$S$503,(_calc!$E$268-500)))&amp;". ")&amp;IF(LEN(IF(LEN(INDEX('My equipment'!$U$4:$U$503,(_calc!$E$268-500)))=0,"",INDEX('My equipment'!$U$4:$U$503,(_calc!$E$268-500))))=0,"","Registered: "&amp;IF(LEN(INDEX('My equipment'!$U$4:$U$503,(_calc!$E$268-500)))=0,"",INDEX('My equipment'!$U$4:$U$503,(_calc!$E$268-500)))&amp;". ")&amp;IF(LEN(IF(LEN(INDEX('My equipment'!$V$4:$V$503,(_calc!$E$268-500)))=0,"",INDEX('My equipment'!$V$4:$V$503,(_calc!$E$268-500))))=0,"","Proof on file: "&amp;IF(LEN(INDEX('My equipment'!$V$4:$V$503,(_calc!$E$268-500)))=0,"",INDEX('My equipment'!$V$4:$V$503,(_calc!$E$268-500)))&amp;". ")&amp;IF(LEN(IF(LEN(INDEX('My equipment'!$W$4:$W$503,(_calc!$E$268-500)))=0,"",INDEX('My equipment'!$W$4:$W$503,(_calc!$E$268-500))))=0,"","Claim ref: "&amp;IF(LEN(INDEX('My equipment'!$W$4:$W$503,(_calc!$E$268-500)))=0,"",INDEX('My equipment'!$W$4:$W$503,(_calc!$E$268-500)))&amp;". ")&amp;IF(LEN(IF(LEN(INDEX('My equipment'!$Y$4:$Y$503,(_calc!$E$268-500)))=0,"",INDEX('My equipment'!$Y$4:$Y$503,(_calc!$E$268-500))))=0,"",IF(LEN(INDEX('My equipment'!$Y$4:$Y$503,(_calc!$E$268-500)))=0,"",INDEX('My equipment'!$Y$4:$Y$503,(_calc!$E$268-500)))))))</f>
        <v/>
      </c>
      <c r="G266" s="54">
        <f>IF(_calc!$E$268="","",IF(_calc!$E$268&lt;=500,"",IF(LEN(INDEX('My equipment'!$X$4:$X$503,(_calc!$E$268-500)))=0,"",INDEX('My equipment'!$X$4:$X$503,(_calc!$E$268-500)))))</f>
        <v/>
      </c>
      <c r="K266" s="54">
        <f>IF(_calc!$E$268="","",IF(_calc!$E$268&lt;=500,"",IF(LEN(INDEX('My equipment'!$T$4:$T$503,(_calc!$E$268-500)))=0,"",INDEX('My equipment'!$T$4:$T$503,(_calc!$E$268-500)))))</f>
        <v/>
      </c>
    </row>
    <row r="267">
      <c r="A267" s="54">
        <f>IF(_calc!$E$269="","",IF(_calc!$E$269&lt;=500,"Warranty – "&amp;IF(LEN(INDEX('Dealer pipeline'!$C$4:$C$503,_calc!$E$269))=0,"",INDEX('Dealer pipeline'!$C$4:$C$503,_calc!$E$269))&amp;" – "&amp;IF(LEN(INDEX('Dealer pipeline'!$D$4:$D$503,_calc!$E$269))=0,"",INDEX('Dealer pipeline'!$D$4:$D$503,_calc!$E$269))&amp;" – "&amp;IF(LEN(INDEX('Dealer pipeline'!$A$4:$A$503,_calc!$E$269))=0,"",INDEX('Dealer pipeline'!$A$4:$A$503,_calc!$E$269)),"Warranty – "&amp;IF(LEN(INDEX('My equipment'!$A$4:$A$503,(_calc!$E$269-500)))=0,"",INDEX('My equipment'!$A$4:$A$503,(_calc!$E$269-500)))&amp;" – "&amp;IF(LEN(INDEX('My equipment'!$D$4:$D$503,(_calc!$E$269-500)))=0,"",INDEX('My equipment'!$D$4:$D$503,(_calc!$E$269-500)))))</f>
        <v/>
      </c>
      <c r="B267" s="54">
        <f>IF(_calc!$E$269="","",IF(_calc!$E$269&lt;=500,IF(ISNUMBER(INDEX('Dealer pipeline'!$M$4:$M$503,_calc!$E$269)),TEXT(INDEX('Dealer pipeline'!$M$4:$M$503,_calc!$E$269),"yyyy-mm-dd"),""),IF(ISNUMBER(INDEX('My equipment'!$M$4:$M$503,(_calc!$E$269-500))),TEXT(INDEX('My equipment'!$M$4:$M$503,(_calc!$E$269-500)),"yyyy-mm-dd"),"")))</f>
        <v/>
      </c>
      <c r="C267" s="54">
        <f>IF(_calc!$E$269="","",IF(_calc!$E$269&lt;=500,"Warranty","Warranty"))</f>
        <v/>
      </c>
      <c r="D267" s="54">
        <f>IF(_calc!$E$269="","",IF(_calc!$E$269&lt;=500,IF(ISNUMBER(INDEX('Dealer pipeline'!$H$4:$H$503,_calc!$E$269)),TEXT(INDEX('Dealer pipeline'!$H$4:$H$503,_calc!$E$269),"yyyy-mm-dd"),""),IF(ISNUMBER(INDEX('My equipment'!$H$4:$H$503,(_calc!$E$269-500))),TEXT(INDEX('My equipment'!$H$4:$H$503,(_calc!$E$269-500)),"yyyy-mm-dd"),"")))</f>
        <v/>
      </c>
      <c r="F267" s="54">
        <f>IF(_calc!$E$269="","",IF(_calc!$E$269&lt;=500,TRIM(IF(LEN(IF(LEN(INDEX('Dealer pipeline'!$A$4:$A$503,_calc!$E$269))=0,"",INDEX('Dealer pipeline'!$A$4:$A$503,_calc!$E$269)))=0,"","Customer: "&amp;IF(LEN(INDEX('Dealer pipeline'!$A$4:$A$503,_calc!$E$269))=0,"",INDEX('Dealer pipeline'!$A$4:$A$503,_calc!$E$269))&amp;". ")&amp;IF(LEN(IF(LEN(INDEX('Dealer pipeline'!$B$4:$B$503,_calc!$E$269))=0,"",INDEX('Dealer pipeline'!$B$4:$B$503,_calc!$E$269)))=0,"","Contact: "&amp;IF(LEN(INDEX('Dealer pipeline'!$B$4:$B$503,_calc!$E$269))=0,"",INDEX('Dealer pipeline'!$B$4:$B$503,_calc!$E$269))&amp;". ")&amp;IF(LEN(IF(LEN(INDEX('Dealer pipeline'!$D$4:$D$503,_calc!$E$269))=0,"",INDEX('Dealer pipeline'!$D$4:$D$503,_calc!$E$269)))=0,"","Serial: "&amp;IF(LEN(INDEX('Dealer pipeline'!$D$4:$D$503,_calc!$E$269))=0,"",INDEX('Dealer pipeline'!$D$4:$D$503,_calc!$E$269))&amp;". ")&amp;IF(LEN(IF(ISNUMBER(INDEX('Dealer pipeline'!$J$4:$J$503,_calc!$E$269)),TEXT(INDEX('Dealer pipeline'!$J$4:$J$503,_calc!$E$269),"yyyy-mm-dd"),""))=0,"","Parts end: "&amp;IF(ISNUMBER(INDEX('Dealer pipeline'!$J$4:$J$503,_calc!$E$269)),TEXT(INDEX('Dealer pipeline'!$J$4:$J$503,_calc!$E$269),"yyyy-mm-dd"),"")&amp;". ")&amp;IF(LEN(IF(ISNUMBER(INDEX('Dealer pipeline'!$L$4:$L$503,_calc!$E$269)),TEXT(INDEX('Dealer pipeline'!$L$4:$L$503,_calc!$E$269),"yyyy-mm-dd"),""))=0,"","Labor end: "&amp;IF(ISNUMBER(INDEX('Dealer pipeline'!$L$4:$L$503,_calc!$E$269)),TEXT(INDEX('Dealer pipeline'!$L$4:$L$503,_calc!$E$269),"yyyy-mm-dd"),"")&amp;". ")&amp;IF(LEN(IF(LEN(INDEX('Dealer pipeline'!$Q$4:$Q$503,_calc!$E$269))=0,"",INDEX('Dealer pipeline'!$Q$4:$Q$503,_calc!$E$269)))=0,"","Status: "&amp;IF(LEN(INDEX('Dealer pipeline'!$Q$4:$Q$503,_calc!$E$269))=0,"",INDEX('Dealer pipeline'!$Q$4:$Q$503,_calc!$E$269))&amp;". ")&amp;IF(LEN(IF(LEN(INDEX('Dealer pipeline'!$P$4:$P$503,_calc!$E$269))=0,"",INDEX('Dealer pipeline'!$P$4:$P$503,_calc!$E$269)))=0,"","Last touch: "&amp;IF(LEN(INDEX('Dealer pipeline'!$P$4:$P$503,_calc!$E$269))=0,"",INDEX('Dealer pipeline'!$P$4:$P$503,_calc!$E$269))&amp;". ")&amp;IF(LEN(IF(LEN(INDEX('Dealer pipeline'!$R$4:$R$503,_calc!$E$269))=0,"",INDEX('Dealer pipeline'!$R$4:$R$503,_calc!$E$269)))=0,"","Owner: "&amp;IF(LEN(INDEX('Dealer pipeline'!$R$4:$R$503,_calc!$E$269))=0,"",INDEX('Dealer pipeline'!$R$4:$R$503,_calc!$E$269))&amp;". ")&amp;IF(LEN(IF(LEN(INDEX('Dealer pipeline'!$S$4:$S$503,_calc!$E$269))=0,"",INDEX('Dealer pipeline'!$S$4:$S$503,_calc!$E$269)))=0,"","Backup: "&amp;IF(LEN(INDEX('Dealer pipeline'!$S$4:$S$503,_calc!$E$269))=0,"",INDEX('Dealer pipeline'!$S$4:$S$503,_calc!$E$269))&amp;". ")&amp;IF(LEN(IF(LEN(INDEX('Dealer pipeline'!$T$4:$T$503,_calc!$E$269))=0,"",INDEX('Dealer pipeline'!$T$4:$T$503,_calc!$E$269)))=0,"",IF(LEN(INDEX('Dealer pipeline'!$T$4:$T$503,_calc!$E$269))=0,"",INDEX('Dealer pipeline'!$T$4:$T$503,_calc!$E$269)))),TRIM(IF(LEN(IF(LEN(INDEX('My equipment'!$C$4:$C$503,(_calc!$E$269-500)))=0,"",INDEX('My equipment'!$C$4:$C$503,(_calc!$E$269-500))))=0,"","Model: "&amp;IF(LEN(INDEX('My equipment'!$C$4:$C$503,(_calc!$E$269-500)))=0,"",INDEX('My equipment'!$C$4:$C$503,(_calc!$E$269-500)))&amp;". ")&amp;IF(LEN(IF(LEN(INDEX('My equipment'!$D$4:$D$503,(_calc!$E$269-500)))=0,"",INDEX('My equipment'!$D$4:$D$503,(_calc!$E$269-500))))=0,"","Serial: "&amp;IF(LEN(INDEX('My equipment'!$D$4:$D$503,(_calc!$E$269-500)))=0,"",INDEX('My equipment'!$D$4:$D$503,(_calc!$E$269-500)))&amp;". ")&amp;IF(LEN(IF(ISNUMBER(INDEX('My equipment'!$J$4:$J$503,(_calc!$E$269-500))),TEXT(INDEX('My equipment'!$J$4:$J$503,(_calc!$E$269-500)),"yyyy-mm-dd"),""))=0,"","Parts end: "&amp;IF(ISNUMBER(INDEX('My equipment'!$J$4:$J$503,(_calc!$E$269-500))),TEXT(INDEX('My equipment'!$J$4:$J$503,(_calc!$E$269-500)),"yyyy-mm-dd"),"")&amp;". ")&amp;IF(LEN(IF(ISNUMBER(INDEX('My equipment'!$L$4:$L$503,(_calc!$E$269-500))),TEXT(INDEX('My equipment'!$L$4:$L$503,(_calc!$E$269-500)),"yyyy-mm-dd"),""))=0,"","Labor end: "&amp;IF(ISNUMBER(INDEX('My equipment'!$L$4:$L$503,(_calc!$E$269-500))),TEXT(INDEX('My equipment'!$L$4:$L$503,(_calc!$E$269-500)),"yyyy-mm-dd"),"")&amp;". ")&amp;IF(LEN(IF(ISNUMBER(INDEX('My equipment'!$P$4:$P$503,(_calc!$E$269-500))),TEXT(INDEX('My equipment'!$P$4:$P$503,(_calc!$E$269-500)),"yyyy-mm-dd"),""))=0,"","Check by: "&amp;IF(ISNUMBER(INDEX('My equipment'!$P$4:$P$503,(_calc!$E$269-500))),TEXT(INDEX('My equipment'!$P$4:$P$503,(_calc!$E$269-500)),"yyyy-mm-dd"),"")&amp;". ")&amp;IF(LEN(IF(LEN(INDEX('My equipment'!$Q$4:$Q$503,(_calc!$E$269-500)))=0,"",INDEX('My equipment'!$Q$4:$Q$503,(_calc!$E$269-500))))=0,"","Claim status: "&amp;IF(LEN(INDEX('My equipment'!$Q$4:$Q$503,(_calc!$E$269-500)))=0,"",INDEX('My equipment'!$Q$4:$Q$503,(_calc!$E$269-500)))&amp;". ")&amp;IF(LEN(IF(LEN(INDEX('My equipment'!$R$4:$R$503,(_calc!$E$269-500)))=0,"",INDEX('My equipment'!$R$4:$R$503,(_calc!$E$269-500))))=0,"","Claims contact: "&amp;IF(LEN(INDEX('My equipment'!$R$4:$R$503,(_calc!$E$269-500)))=0,"",INDEX('My equipment'!$R$4:$R$503,(_calc!$E$269-500)))&amp;". ")&amp;IF(LEN(IF(LEN(INDEX('My equipment'!$S$4:$S$503,(_calc!$E$269-500)))=0,"",INDEX('My equipment'!$S$4:$S$503,(_calc!$E$269-500))))=0,"","Claims email: "&amp;IF(LEN(INDEX('My equipment'!$S$4:$S$503,(_calc!$E$269-500)))=0,"",INDEX('My equipment'!$S$4:$S$503,(_calc!$E$269-500)))&amp;". ")&amp;IF(LEN(IF(LEN(INDEX('My equipment'!$U$4:$U$503,(_calc!$E$269-500)))=0,"",INDEX('My equipment'!$U$4:$U$503,(_calc!$E$269-500))))=0,"","Registered: "&amp;IF(LEN(INDEX('My equipment'!$U$4:$U$503,(_calc!$E$269-500)))=0,"",INDEX('My equipment'!$U$4:$U$503,(_calc!$E$269-500)))&amp;". ")&amp;IF(LEN(IF(LEN(INDEX('My equipment'!$V$4:$V$503,(_calc!$E$269-500)))=0,"",INDEX('My equipment'!$V$4:$V$503,(_calc!$E$269-500))))=0,"","Proof on file: "&amp;IF(LEN(INDEX('My equipment'!$V$4:$V$503,(_calc!$E$269-500)))=0,"",INDEX('My equipment'!$V$4:$V$503,(_calc!$E$269-500)))&amp;". ")&amp;IF(LEN(IF(LEN(INDEX('My equipment'!$W$4:$W$503,(_calc!$E$269-500)))=0,"",INDEX('My equipment'!$W$4:$W$503,(_calc!$E$269-500))))=0,"","Claim ref: "&amp;IF(LEN(INDEX('My equipment'!$W$4:$W$503,(_calc!$E$269-500)))=0,"",INDEX('My equipment'!$W$4:$W$503,(_calc!$E$269-500)))&amp;". ")&amp;IF(LEN(IF(LEN(INDEX('My equipment'!$Y$4:$Y$503,(_calc!$E$269-500)))=0,"",INDEX('My equipment'!$Y$4:$Y$503,(_calc!$E$269-500))))=0,"",IF(LEN(INDEX('My equipment'!$Y$4:$Y$503,(_calc!$E$269-500)))=0,"",INDEX('My equipment'!$Y$4:$Y$503,(_calc!$E$269-500)))))))</f>
        <v/>
      </c>
      <c r="G267" s="54">
        <f>IF(_calc!$E$269="","",IF(_calc!$E$269&lt;=500,"",IF(LEN(INDEX('My equipment'!$X$4:$X$503,(_calc!$E$269-500)))=0,"",INDEX('My equipment'!$X$4:$X$503,(_calc!$E$269-500)))))</f>
        <v/>
      </c>
      <c r="K267" s="54">
        <f>IF(_calc!$E$269="","",IF(_calc!$E$269&lt;=500,"",IF(LEN(INDEX('My equipment'!$T$4:$T$503,(_calc!$E$269-500)))=0,"",INDEX('My equipment'!$T$4:$T$503,(_calc!$E$269-500)))))</f>
        <v/>
      </c>
    </row>
    <row r="268">
      <c r="A268" s="54">
        <f>IF(_calc!$E$270="","",IF(_calc!$E$270&lt;=500,"Warranty – "&amp;IF(LEN(INDEX('Dealer pipeline'!$C$4:$C$503,_calc!$E$270))=0,"",INDEX('Dealer pipeline'!$C$4:$C$503,_calc!$E$270))&amp;" – "&amp;IF(LEN(INDEX('Dealer pipeline'!$D$4:$D$503,_calc!$E$270))=0,"",INDEX('Dealer pipeline'!$D$4:$D$503,_calc!$E$270))&amp;" – "&amp;IF(LEN(INDEX('Dealer pipeline'!$A$4:$A$503,_calc!$E$270))=0,"",INDEX('Dealer pipeline'!$A$4:$A$503,_calc!$E$270)),"Warranty – "&amp;IF(LEN(INDEX('My equipment'!$A$4:$A$503,(_calc!$E$270-500)))=0,"",INDEX('My equipment'!$A$4:$A$503,(_calc!$E$270-500)))&amp;" – "&amp;IF(LEN(INDEX('My equipment'!$D$4:$D$503,(_calc!$E$270-500)))=0,"",INDEX('My equipment'!$D$4:$D$503,(_calc!$E$270-500)))))</f>
        <v/>
      </c>
      <c r="B268" s="54">
        <f>IF(_calc!$E$270="","",IF(_calc!$E$270&lt;=500,IF(ISNUMBER(INDEX('Dealer pipeline'!$M$4:$M$503,_calc!$E$270)),TEXT(INDEX('Dealer pipeline'!$M$4:$M$503,_calc!$E$270),"yyyy-mm-dd"),""),IF(ISNUMBER(INDEX('My equipment'!$M$4:$M$503,(_calc!$E$270-500))),TEXT(INDEX('My equipment'!$M$4:$M$503,(_calc!$E$270-500)),"yyyy-mm-dd"),"")))</f>
        <v/>
      </c>
      <c r="C268" s="54">
        <f>IF(_calc!$E$270="","",IF(_calc!$E$270&lt;=500,"Warranty","Warranty"))</f>
        <v/>
      </c>
      <c r="D268" s="54">
        <f>IF(_calc!$E$270="","",IF(_calc!$E$270&lt;=500,IF(ISNUMBER(INDEX('Dealer pipeline'!$H$4:$H$503,_calc!$E$270)),TEXT(INDEX('Dealer pipeline'!$H$4:$H$503,_calc!$E$270),"yyyy-mm-dd"),""),IF(ISNUMBER(INDEX('My equipment'!$H$4:$H$503,(_calc!$E$270-500))),TEXT(INDEX('My equipment'!$H$4:$H$503,(_calc!$E$270-500)),"yyyy-mm-dd"),"")))</f>
        <v/>
      </c>
      <c r="F268" s="54">
        <f>IF(_calc!$E$270="","",IF(_calc!$E$270&lt;=500,TRIM(IF(LEN(IF(LEN(INDEX('Dealer pipeline'!$A$4:$A$503,_calc!$E$270))=0,"",INDEX('Dealer pipeline'!$A$4:$A$503,_calc!$E$270)))=0,"","Customer: "&amp;IF(LEN(INDEX('Dealer pipeline'!$A$4:$A$503,_calc!$E$270))=0,"",INDEX('Dealer pipeline'!$A$4:$A$503,_calc!$E$270))&amp;". ")&amp;IF(LEN(IF(LEN(INDEX('Dealer pipeline'!$B$4:$B$503,_calc!$E$270))=0,"",INDEX('Dealer pipeline'!$B$4:$B$503,_calc!$E$270)))=0,"","Contact: "&amp;IF(LEN(INDEX('Dealer pipeline'!$B$4:$B$503,_calc!$E$270))=0,"",INDEX('Dealer pipeline'!$B$4:$B$503,_calc!$E$270))&amp;". ")&amp;IF(LEN(IF(LEN(INDEX('Dealer pipeline'!$D$4:$D$503,_calc!$E$270))=0,"",INDEX('Dealer pipeline'!$D$4:$D$503,_calc!$E$270)))=0,"","Serial: "&amp;IF(LEN(INDEX('Dealer pipeline'!$D$4:$D$503,_calc!$E$270))=0,"",INDEX('Dealer pipeline'!$D$4:$D$503,_calc!$E$270))&amp;". ")&amp;IF(LEN(IF(ISNUMBER(INDEX('Dealer pipeline'!$J$4:$J$503,_calc!$E$270)),TEXT(INDEX('Dealer pipeline'!$J$4:$J$503,_calc!$E$270),"yyyy-mm-dd"),""))=0,"","Parts end: "&amp;IF(ISNUMBER(INDEX('Dealer pipeline'!$J$4:$J$503,_calc!$E$270)),TEXT(INDEX('Dealer pipeline'!$J$4:$J$503,_calc!$E$270),"yyyy-mm-dd"),"")&amp;". ")&amp;IF(LEN(IF(ISNUMBER(INDEX('Dealer pipeline'!$L$4:$L$503,_calc!$E$270)),TEXT(INDEX('Dealer pipeline'!$L$4:$L$503,_calc!$E$270),"yyyy-mm-dd"),""))=0,"","Labor end: "&amp;IF(ISNUMBER(INDEX('Dealer pipeline'!$L$4:$L$503,_calc!$E$270)),TEXT(INDEX('Dealer pipeline'!$L$4:$L$503,_calc!$E$270),"yyyy-mm-dd"),"")&amp;". ")&amp;IF(LEN(IF(LEN(INDEX('Dealer pipeline'!$Q$4:$Q$503,_calc!$E$270))=0,"",INDEX('Dealer pipeline'!$Q$4:$Q$503,_calc!$E$270)))=0,"","Status: "&amp;IF(LEN(INDEX('Dealer pipeline'!$Q$4:$Q$503,_calc!$E$270))=0,"",INDEX('Dealer pipeline'!$Q$4:$Q$503,_calc!$E$270))&amp;". ")&amp;IF(LEN(IF(LEN(INDEX('Dealer pipeline'!$P$4:$P$503,_calc!$E$270))=0,"",INDEX('Dealer pipeline'!$P$4:$P$503,_calc!$E$270)))=0,"","Last touch: "&amp;IF(LEN(INDEX('Dealer pipeline'!$P$4:$P$503,_calc!$E$270))=0,"",INDEX('Dealer pipeline'!$P$4:$P$503,_calc!$E$270))&amp;". ")&amp;IF(LEN(IF(LEN(INDEX('Dealer pipeline'!$R$4:$R$503,_calc!$E$270))=0,"",INDEX('Dealer pipeline'!$R$4:$R$503,_calc!$E$270)))=0,"","Owner: "&amp;IF(LEN(INDEX('Dealer pipeline'!$R$4:$R$503,_calc!$E$270))=0,"",INDEX('Dealer pipeline'!$R$4:$R$503,_calc!$E$270))&amp;". ")&amp;IF(LEN(IF(LEN(INDEX('Dealer pipeline'!$S$4:$S$503,_calc!$E$270))=0,"",INDEX('Dealer pipeline'!$S$4:$S$503,_calc!$E$270)))=0,"","Backup: "&amp;IF(LEN(INDEX('Dealer pipeline'!$S$4:$S$503,_calc!$E$270))=0,"",INDEX('Dealer pipeline'!$S$4:$S$503,_calc!$E$270))&amp;". ")&amp;IF(LEN(IF(LEN(INDEX('Dealer pipeline'!$T$4:$T$503,_calc!$E$270))=0,"",INDEX('Dealer pipeline'!$T$4:$T$503,_calc!$E$270)))=0,"",IF(LEN(INDEX('Dealer pipeline'!$T$4:$T$503,_calc!$E$270))=0,"",INDEX('Dealer pipeline'!$T$4:$T$503,_calc!$E$270)))),TRIM(IF(LEN(IF(LEN(INDEX('My equipment'!$C$4:$C$503,(_calc!$E$270-500)))=0,"",INDEX('My equipment'!$C$4:$C$503,(_calc!$E$270-500))))=0,"","Model: "&amp;IF(LEN(INDEX('My equipment'!$C$4:$C$503,(_calc!$E$270-500)))=0,"",INDEX('My equipment'!$C$4:$C$503,(_calc!$E$270-500)))&amp;". ")&amp;IF(LEN(IF(LEN(INDEX('My equipment'!$D$4:$D$503,(_calc!$E$270-500)))=0,"",INDEX('My equipment'!$D$4:$D$503,(_calc!$E$270-500))))=0,"","Serial: "&amp;IF(LEN(INDEX('My equipment'!$D$4:$D$503,(_calc!$E$270-500)))=0,"",INDEX('My equipment'!$D$4:$D$503,(_calc!$E$270-500)))&amp;". ")&amp;IF(LEN(IF(ISNUMBER(INDEX('My equipment'!$J$4:$J$503,(_calc!$E$270-500))),TEXT(INDEX('My equipment'!$J$4:$J$503,(_calc!$E$270-500)),"yyyy-mm-dd"),""))=0,"","Parts end: "&amp;IF(ISNUMBER(INDEX('My equipment'!$J$4:$J$503,(_calc!$E$270-500))),TEXT(INDEX('My equipment'!$J$4:$J$503,(_calc!$E$270-500)),"yyyy-mm-dd"),"")&amp;". ")&amp;IF(LEN(IF(ISNUMBER(INDEX('My equipment'!$L$4:$L$503,(_calc!$E$270-500))),TEXT(INDEX('My equipment'!$L$4:$L$503,(_calc!$E$270-500)),"yyyy-mm-dd"),""))=0,"","Labor end: "&amp;IF(ISNUMBER(INDEX('My equipment'!$L$4:$L$503,(_calc!$E$270-500))),TEXT(INDEX('My equipment'!$L$4:$L$503,(_calc!$E$270-500)),"yyyy-mm-dd"),"")&amp;". ")&amp;IF(LEN(IF(ISNUMBER(INDEX('My equipment'!$P$4:$P$503,(_calc!$E$270-500))),TEXT(INDEX('My equipment'!$P$4:$P$503,(_calc!$E$270-500)),"yyyy-mm-dd"),""))=0,"","Check by: "&amp;IF(ISNUMBER(INDEX('My equipment'!$P$4:$P$503,(_calc!$E$270-500))),TEXT(INDEX('My equipment'!$P$4:$P$503,(_calc!$E$270-500)),"yyyy-mm-dd"),"")&amp;". ")&amp;IF(LEN(IF(LEN(INDEX('My equipment'!$Q$4:$Q$503,(_calc!$E$270-500)))=0,"",INDEX('My equipment'!$Q$4:$Q$503,(_calc!$E$270-500))))=0,"","Claim status: "&amp;IF(LEN(INDEX('My equipment'!$Q$4:$Q$503,(_calc!$E$270-500)))=0,"",INDEX('My equipment'!$Q$4:$Q$503,(_calc!$E$270-500)))&amp;". ")&amp;IF(LEN(IF(LEN(INDEX('My equipment'!$R$4:$R$503,(_calc!$E$270-500)))=0,"",INDEX('My equipment'!$R$4:$R$503,(_calc!$E$270-500))))=0,"","Claims contact: "&amp;IF(LEN(INDEX('My equipment'!$R$4:$R$503,(_calc!$E$270-500)))=0,"",INDEX('My equipment'!$R$4:$R$503,(_calc!$E$270-500)))&amp;". ")&amp;IF(LEN(IF(LEN(INDEX('My equipment'!$S$4:$S$503,(_calc!$E$270-500)))=0,"",INDEX('My equipment'!$S$4:$S$503,(_calc!$E$270-500))))=0,"","Claims email: "&amp;IF(LEN(INDEX('My equipment'!$S$4:$S$503,(_calc!$E$270-500)))=0,"",INDEX('My equipment'!$S$4:$S$503,(_calc!$E$270-500)))&amp;". ")&amp;IF(LEN(IF(LEN(INDEX('My equipment'!$U$4:$U$503,(_calc!$E$270-500)))=0,"",INDEX('My equipment'!$U$4:$U$503,(_calc!$E$270-500))))=0,"","Registered: "&amp;IF(LEN(INDEX('My equipment'!$U$4:$U$503,(_calc!$E$270-500)))=0,"",INDEX('My equipment'!$U$4:$U$503,(_calc!$E$270-500)))&amp;". ")&amp;IF(LEN(IF(LEN(INDEX('My equipment'!$V$4:$V$503,(_calc!$E$270-500)))=0,"",INDEX('My equipment'!$V$4:$V$503,(_calc!$E$270-500))))=0,"","Proof on file: "&amp;IF(LEN(INDEX('My equipment'!$V$4:$V$503,(_calc!$E$270-500)))=0,"",INDEX('My equipment'!$V$4:$V$503,(_calc!$E$270-500)))&amp;". ")&amp;IF(LEN(IF(LEN(INDEX('My equipment'!$W$4:$W$503,(_calc!$E$270-500)))=0,"",INDEX('My equipment'!$W$4:$W$503,(_calc!$E$270-500))))=0,"","Claim ref: "&amp;IF(LEN(INDEX('My equipment'!$W$4:$W$503,(_calc!$E$270-500)))=0,"",INDEX('My equipment'!$W$4:$W$503,(_calc!$E$270-500)))&amp;". ")&amp;IF(LEN(IF(LEN(INDEX('My equipment'!$Y$4:$Y$503,(_calc!$E$270-500)))=0,"",INDEX('My equipment'!$Y$4:$Y$503,(_calc!$E$270-500))))=0,"",IF(LEN(INDEX('My equipment'!$Y$4:$Y$503,(_calc!$E$270-500)))=0,"",INDEX('My equipment'!$Y$4:$Y$503,(_calc!$E$270-500)))))))</f>
        <v/>
      </c>
      <c r="G268" s="54">
        <f>IF(_calc!$E$270="","",IF(_calc!$E$270&lt;=500,"",IF(LEN(INDEX('My equipment'!$X$4:$X$503,(_calc!$E$270-500)))=0,"",INDEX('My equipment'!$X$4:$X$503,(_calc!$E$270-500)))))</f>
        <v/>
      </c>
      <c r="K268" s="54">
        <f>IF(_calc!$E$270="","",IF(_calc!$E$270&lt;=500,"",IF(LEN(INDEX('My equipment'!$T$4:$T$503,(_calc!$E$270-500)))=0,"",INDEX('My equipment'!$T$4:$T$503,(_calc!$E$270-500)))))</f>
        <v/>
      </c>
    </row>
    <row r="269">
      <c r="A269" s="54">
        <f>IF(_calc!$E$271="","",IF(_calc!$E$271&lt;=500,"Warranty – "&amp;IF(LEN(INDEX('Dealer pipeline'!$C$4:$C$503,_calc!$E$271))=0,"",INDEX('Dealer pipeline'!$C$4:$C$503,_calc!$E$271))&amp;" – "&amp;IF(LEN(INDEX('Dealer pipeline'!$D$4:$D$503,_calc!$E$271))=0,"",INDEX('Dealer pipeline'!$D$4:$D$503,_calc!$E$271))&amp;" – "&amp;IF(LEN(INDEX('Dealer pipeline'!$A$4:$A$503,_calc!$E$271))=0,"",INDEX('Dealer pipeline'!$A$4:$A$503,_calc!$E$271)),"Warranty – "&amp;IF(LEN(INDEX('My equipment'!$A$4:$A$503,(_calc!$E$271-500)))=0,"",INDEX('My equipment'!$A$4:$A$503,(_calc!$E$271-500)))&amp;" – "&amp;IF(LEN(INDEX('My equipment'!$D$4:$D$503,(_calc!$E$271-500)))=0,"",INDEX('My equipment'!$D$4:$D$503,(_calc!$E$271-500)))))</f>
        <v/>
      </c>
      <c r="B269" s="54">
        <f>IF(_calc!$E$271="","",IF(_calc!$E$271&lt;=500,IF(ISNUMBER(INDEX('Dealer pipeline'!$M$4:$M$503,_calc!$E$271)),TEXT(INDEX('Dealer pipeline'!$M$4:$M$503,_calc!$E$271),"yyyy-mm-dd"),""),IF(ISNUMBER(INDEX('My equipment'!$M$4:$M$503,(_calc!$E$271-500))),TEXT(INDEX('My equipment'!$M$4:$M$503,(_calc!$E$271-500)),"yyyy-mm-dd"),"")))</f>
        <v/>
      </c>
      <c r="C269" s="54">
        <f>IF(_calc!$E$271="","",IF(_calc!$E$271&lt;=500,"Warranty","Warranty"))</f>
        <v/>
      </c>
      <c r="D269" s="54">
        <f>IF(_calc!$E$271="","",IF(_calc!$E$271&lt;=500,IF(ISNUMBER(INDEX('Dealer pipeline'!$H$4:$H$503,_calc!$E$271)),TEXT(INDEX('Dealer pipeline'!$H$4:$H$503,_calc!$E$271),"yyyy-mm-dd"),""),IF(ISNUMBER(INDEX('My equipment'!$H$4:$H$503,(_calc!$E$271-500))),TEXT(INDEX('My equipment'!$H$4:$H$503,(_calc!$E$271-500)),"yyyy-mm-dd"),"")))</f>
        <v/>
      </c>
      <c r="F269" s="54">
        <f>IF(_calc!$E$271="","",IF(_calc!$E$271&lt;=500,TRIM(IF(LEN(IF(LEN(INDEX('Dealer pipeline'!$A$4:$A$503,_calc!$E$271))=0,"",INDEX('Dealer pipeline'!$A$4:$A$503,_calc!$E$271)))=0,"","Customer: "&amp;IF(LEN(INDEX('Dealer pipeline'!$A$4:$A$503,_calc!$E$271))=0,"",INDEX('Dealer pipeline'!$A$4:$A$503,_calc!$E$271))&amp;". ")&amp;IF(LEN(IF(LEN(INDEX('Dealer pipeline'!$B$4:$B$503,_calc!$E$271))=0,"",INDEX('Dealer pipeline'!$B$4:$B$503,_calc!$E$271)))=0,"","Contact: "&amp;IF(LEN(INDEX('Dealer pipeline'!$B$4:$B$503,_calc!$E$271))=0,"",INDEX('Dealer pipeline'!$B$4:$B$503,_calc!$E$271))&amp;". ")&amp;IF(LEN(IF(LEN(INDEX('Dealer pipeline'!$D$4:$D$503,_calc!$E$271))=0,"",INDEX('Dealer pipeline'!$D$4:$D$503,_calc!$E$271)))=0,"","Serial: "&amp;IF(LEN(INDEX('Dealer pipeline'!$D$4:$D$503,_calc!$E$271))=0,"",INDEX('Dealer pipeline'!$D$4:$D$503,_calc!$E$271))&amp;". ")&amp;IF(LEN(IF(ISNUMBER(INDEX('Dealer pipeline'!$J$4:$J$503,_calc!$E$271)),TEXT(INDEX('Dealer pipeline'!$J$4:$J$503,_calc!$E$271),"yyyy-mm-dd"),""))=0,"","Parts end: "&amp;IF(ISNUMBER(INDEX('Dealer pipeline'!$J$4:$J$503,_calc!$E$271)),TEXT(INDEX('Dealer pipeline'!$J$4:$J$503,_calc!$E$271),"yyyy-mm-dd"),"")&amp;". ")&amp;IF(LEN(IF(ISNUMBER(INDEX('Dealer pipeline'!$L$4:$L$503,_calc!$E$271)),TEXT(INDEX('Dealer pipeline'!$L$4:$L$503,_calc!$E$271),"yyyy-mm-dd"),""))=0,"","Labor end: "&amp;IF(ISNUMBER(INDEX('Dealer pipeline'!$L$4:$L$503,_calc!$E$271)),TEXT(INDEX('Dealer pipeline'!$L$4:$L$503,_calc!$E$271),"yyyy-mm-dd"),"")&amp;". ")&amp;IF(LEN(IF(LEN(INDEX('Dealer pipeline'!$Q$4:$Q$503,_calc!$E$271))=0,"",INDEX('Dealer pipeline'!$Q$4:$Q$503,_calc!$E$271)))=0,"","Status: "&amp;IF(LEN(INDEX('Dealer pipeline'!$Q$4:$Q$503,_calc!$E$271))=0,"",INDEX('Dealer pipeline'!$Q$4:$Q$503,_calc!$E$271))&amp;". ")&amp;IF(LEN(IF(LEN(INDEX('Dealer pipeline'!$P$4:$P$503,_calc!$E$271))=0,"",INDEX('Dealer pipeline'!$P$4:$P$503,_calc!$E$271)))=0,"","Last touch: "&amp;IF(LEN(INDEX('Dealer pipeline'!$P$4:$P$503,_calc!$E$271))=0,"",INDEX('Dealer pipeline'!$P$4:$P$503,_calc!$E$271))&amp;". ")&amp;IF(LEN(IF(LEN(INDEX('Dealer pipeline'!$R$4:$R$503,_calc!$E$271))=0,"",INDEX('Dealer pipeline'!$R$4:$R$503,_calc!$E$271)))=0,"","Owner: "&amp;IF(LEN(INDEX('Dealer pipeline'!$R$4:$R$503,_calc!$E$271))=0,"",INDEX('Dealer pipeline'!$R$4:$R$503,_calc!$E$271))&amp;". ")&amp;IF(LEN(IF(LEN(INDEX('Dealer pipeline'!$S$4:$S$503,_calc!$E$271))=0,"",INDEX('Dealer pipeline'!$S$4:$S$503,_calc!$E$271)))=0,"","Backup: "&amp;IF(LEN(INDEX('Dealer pipeline'!$S$4:$S$503,_calc!$E$271))=0,"",INDEX('Dealer pipeline'!$S$4:$S$503,_calc!$E$271))&amp;". ")&amp;IF(LEN(IF(LEN(INDEX('Dealer pipeline'!$T$4:$T$503,_calc!$E$271))=0,"",INDEX('Dealer pipeline'!$T$4:$T$503,_calc!$E$271)))=0,"",IF(LEN(INDEX('Dealer pipeline'!$T$4:$T$503,_calc!$E$271))=0,"",INDEX('Dealer pipeline'!$T$4:$T$503,_calc!$E$271)))),TRIM(IF(LEN(IF(LEN(INDEX('My equipment'!$C$4:$C$503,(_calc!$E$271-500)))=0,"",INDEX('My equipment'!$C$4:$C$503,(_calc!$E$271-500))))=0,"","Model: "&amp;IF(LEN(INDEX('My equipment'!$C$4:$C$503,(_calc!$E$271-500)))=0,"",INDEX('My equipment'!$C$4:$C$503,(_calc!$E$271-500)))&amp;". ")&amp;IF(LEN(IF(LEN(INDEX('My equipment'!$D$4:$D$503,(_calc!$E$271-500)))=0,"",INDEX('My equipment'!$D$4:$D$503,(_calc!$E$271-500))))=0,"","Serial: "&amp;IF(LEN(INDEX('My equipment'!$D$4:$D$503,(_calc!$E$271-500)))=0,"",INDEX('My equipment'!$D$4:$D$503,(_calc!$E$271-500)))&amp;". ")&amp;IF(LEN(IF(ISNUMBER(INDEX('My equipment'!$J$4:$J$503,(_calc!$E$271-500))),TEXT(INDEX('My equipment'!$J$4:$J$503,(_calc!$E$271-500)),"yyyy-mm-dd"),""))=0,"","Parts end: "&amp;IF(ISNUMBER(INDEX('My equipment'!$J$4:$J$503,(_calc!$E$271-500))),TEXT(INDEX('My equipment'!$J$4:$J$503,(_calc!$E$271-500)),"yyyy-mm-dd"),"")&amp;". ")&amp;IF(LEN(IF(ISNUMBER(INDEX('My equipment'!$L$4:$L$503,(_calc!$E$271-500))),TEXT(INDEX('My equipment'!$L$4:$L$503,(_calc!$E$271-500)),"yyyy-mm-dd"),""))=0,"","Labor end: "&amp;IF(ISNUMBER(INDEX('My equipment'!$L$4:$L$503,(_calc!$E$271-500))),TEXT(INDEX('My equipment'!$L$4:$L$503,(_calc!$E$271-500)),"yyyy-mm-dd"),"")&amp;". ")&amp;IF(LEN(IF(ISNUMBER(INDEX('My equipment'!$P$4:$P$503,(_calc!$E$271-500))),TEXT(INDEX('My equipment'!$P$4:$P$503,(_calc!$E$271-500)),"yyyy-mm-dd"),""))=0,"","Check by: "&amp;IF(ISNUMBER(INDEX('My equipment'!$P$4:$P$503,(_calc!$E$271-500))),TEXT(INDEX('My equipment'!$P$4:$P$503,(_calc!$E$271-500)),"yyyy-mm-dd"),"")&amp;". ")&amp;IF(LEN(IF(LEN(INDEX('My equipment'!$Q$4:$Q$503,(_calc!$E$271-500)))=0,"",INDEX('My equipment'!$Q$4:$Q$503,(_calc!$E$271-500))))=0,"","Claim status: "&amp;IF(LEN(INDEX('My equipment'!$Q$4:$Q$503,(_calc!$E$271-500)))=0,"",INDEX('My equipment'!$Q$4:$Q$503,(_calc!$E$271-500)))&amp;". ")&amp;IF(LEN(IF(LEN(INDEX('My equipment'!$R$4:$R$503,(_calc!$E$271-500)))=0,"",INDEX('My equipment'!$R$4:$R$503,(_calc!$E$271-500))))=0,"","Claims contact: "&amp;IF(LEN(INDEX('My equipment'!$R$4:$R$503,(_calc!$E$271-500)))=0,"",INDEX('My equipment'!$R$4:$R$503,(_calc!$E$271-500)))&amp;". ")&amp;IF(LEN(IF(LEN(INDEX('My equipment'!$S$4:$S$503,(_calc!$E$271-500)))=0,"",INDEX('My equipment'!$S$4:$S$503,(_calc!$E$271-500))))=0,"","Claims email: "&amp;IF(LEN(INDEX('My equipment'!$S$4:$S$503,(_calc!$E$271-500)))=0,"",INDEX('My equipment'!$S$4:$S$503,(_calc!$E$271-500)))&amp;". ")&amp;IF(LEN(IF(LEN(INDEX('My equipment'!$U$4:$U$503,(_calc!$E$271-500)))=0,"",INDEX('My equipment'!$U$4:$U$503,(_calc!$E$271-500))))=0,"","Registered: "&amp;IF(LEN(INDEX('My equipment'!$U$4:$U$503,(_calc!$E$271-500)))=0,"",INDEX('My equipment'!$U$4:$U$503,(_calc!$E$271-500)))&amp;". ")&amp;IF(LEN(IF(LEN(INDEX('My equipment'!$V$4:$V$503,(_calc!$E$271-500)))=0,"",INDEX('My equipment'!$V$4:$V$503,(_calc!$E$271-500))))=0,"","Proof on file: "&amp;IF(LEN(INDEX('My equipment'!$V$4:$V$503,(_calc!$E$271-500)))=0,"",INDEX('My equipment'!$V$4:$V$503,(_calc!$E$271-500)))&amp;". ")&amp;IF(LEN(IF(LEN(INDEX('My equipment'!$W$4:$W$503,(_calc!$E$271-500)))=0,"",INDEX('My equipment'!$W$4:$W$503,(_calc!$E$271-500))))=0,"","Claim ref: "&amp;IF(LEN(INDEX('My equipment'!$W$4:$W$503,(_calc!$E$271-500)))=0,"",INDEX('My equipment'!$W$4:$W$503,(_calc!$E$271-500)))&amp;". ")&amp;IF(LEN(IF(LEN(INDEX('My equipment'!$Y$4:$Y$503,(_calc!$E$271-500)))=0,"",INDEX('My equipment'!$Y$4:$Y$503,(_calc!$E$271-500))))=0,"",IF(LEN(INDEX('My equipment'!$Y$4:$Y$503,(_calc!$E$271-500)))=0,"",INDEX('My equipment'!$Y$4:$Y$503,(_calc!$E$271-500)))))))</f>
        <v/>
      </c>
      <c r="G269" s="54">
        <f>IF(_calc!$E$271="","",IF(_calc!$E$271&lt;=500,"",IF(LEN(INDEX('My equipment'!$X$4:$X$503,(_calc!$E$271-500)))=0,"",INDEX('My equipment'!$X$4:$X$503,(_calc!$E$271-500)))))</f>
        <v/>
      </c>
      <c r="K269" s="54">
        <f>IF(_calc!$E$271="","",IF(_calc!$E$271&lt;=500,"",IF(LEN(INDEX('My equipment'!$T$4:$T$503,(_calc!$E$271-500)))=0,"",INDEX('My equipment'!$T$4:$T$503,(_calc!$E$271-500)))))</f>
        <v/>
      </c>
    </row>
    <row r="270">
      <c r="A270" s="54">
        <f>IF(_calc!$E$272="","",IF(_calc!$E$272&lt;=500,"Warranty – "&amp;IF(LEN(INDEX('Dealer pipeline'!$C$4:$C$503,_calc!$E$272))=0,"",INDEX('Dealer pipeline'!$C$4:$C$503,_calc!$E$272))&amp;" – "&amp;IF(LEN(INDEX('Dealer pipeline'!$D$4:$D$503,_calc!$E$272))=0,"",INDEX('Dealer pipeline'!$D$4:$D$503,_calc!$E$272))&amp;" – "&amp;IF(LEN(INDEX('Dealer pipeline'!$A$4:$A$503,_calc!$E$272))=0,"",INDEX('Dealer pipeline'!$A$4:$A$503,_calc!$E$272)),"Warranty – "&amp;IF(LEN(INDEX('My equipment'!$A$4:$A$503,(_calc!$E$272-500)))=0,"",INDEX('My equipment'!$A$4:$A$503,(_calc!$E$272-500)))&amp;" – "&amp;IF(LEN(INDEX('My equipment'!$D$4:$D$503,(_calc!$E$272-500)))=0,"",INDEX('My equipment'!$D$4:$D$503,(_calc!$E$272-500)))))</f>
        <v/>
      </c>
      <c r="B270" s="54">
        <f>IF(_calc!$E$272="","",IF(_calc!$E$272&lt;=500,IF(ISNUMBER(INDEX('Dealer pipeline'!$M$4:$M$503,_calc!$E$272)),TEXT(INDEX('Dealer pipeline'!$M$4:$M$503,_calc!$E$272),"yyyy-mm-dd"),""),IF(ISNUMBER(INDEX('My equipment'!$M$4:$M$503,(_calc!$E$272-500))),TEXT(INDEX('My equipment'!$M$4:$M$503,(_calc!$E$272-500)),"yyyy-mm-dd"),"")))</f>
        <v/>
      </c>
      <c r="C270" s="54">
        <f>IF(_calc!$E$272="","",IF(_calc!$E$272&lt;=500,"Warranty","Warranty"))</f>
        <v/>
      </c>
      <c r="D270" s="54">
        <f>IF(_calc!$E$272="","",IF(_calc!$E$272&lt;=500,IF(ISNUMBER(INDEX('Dealer pipeline'!$H$4:$H$503,_calc!$E$272)),TEXT(INDEX('Dealer pipeline'!$H$4:$H$503,_calc!$E$272),"yyyy-mm-dd"),""),IF(ISNUMBER(INDEX('My equipment'!$H$4:$H$503,(_calc!$E$272-500))),TEXT(INDEX('My equipment'!$H$4:$H$503,(_calc!$E$272-500)),"yyyy-mm-dd"),"")))</f>
        <v/>
      </c>
      <c r="F270" s="54">
        <f>IF(_calc!$E$272="","",IF(_calc!$E$272&lt;=500,TRIM(IF(LEN(IF(LEN(INDEX('Dealer pipeline'!$A$4:$A$503,_calc!$E$272))=0,"",INDEX('Dealer pipeline'!$A$4:$A$503,_calc!$E$272)))=0,"","Customer: "&amp;IF(LEN(INDEX('Dealer pipeline'!$A$4:$A$503,_calc!$E$272))=0,"",INDEX('Dealer pipeline'!$A$4:$A$503,_calc!$E$272))&amp;". ")&amp;IF(LEN(IF(LEN(INDEX('Dealer pipeline'!$B$4:$B$503,_calc!$E$272))=0,"",INDEX('Dealer pipeline'!$B$4:$B$503,_calc!$E$272)))=0,"","Contact: "&amp;IF(LEN(INDEX('Dealer pipeline'!$B$4:$B$503,_calc!$E$272))=0,"",INDEX('Dealer pipeline'!$B$4:$B$503,_calc!$E$272))&amp;". ")&amp;IF(LEN(IF(LEN(INDEX('Dealer pipeline'!$D$4:$D$503,_calc!$E$272))=0,"",INDEX('Dealer pipeline'!$D$4:$D$503,_calc!$E$272)))=0,"","Serial: "&amp;IF(LEN(INDEX('Dealer pipeline'!$D$4:$D$503,_calc!$E$272))=0,"",INDEX('Dealer pipeline'!$D$4:$D$503,_calc!$E$272))&amp;". ")&amp;IF(LEN(IF(ISNUMBER(INDEX('Dealer pipeline'!$J$4:$J$503,_calc!$E$272)),TEXT(INDEX('Dealer pipeline'!$J$4:$J$503,_calc!$E$272),"yyyy-mm-dd"),""))=0,"","Parts end: "&amp;IF(ISNUMBER(INDEX('Dealer pipeline'!$J$4:$J$503,_calc!$E$272)),TEXT(INDEX('Dealer pipeline'!$J$4:$J$503,_calc!$E$272),"yyyy-mm-dd"),"")&amp;". ")&amp;IF(LEN(IF(ISNUMBER(INDEX('Dealer pipeline'!$L$4:$L$503,_calc!$E$272)),TEXT(INDEX('Dealer pipeline'!$L$4:$L$503,_calc!$E$272),"yyyy-mm-dd"),""))=0,"","Labor end: "&amp;IF(ISNUMBER(INDEX('Dealer pipeline'!$L$4:$L$503,_calc!$E$272)),TEXT(INDEX('Dealer pipeline'!$L$4:$L$503,_calc!$E$272),"yyyy-mm-dd"),"")&amp;". ")&amp;IF(LEN(IF(LEN(INDEX('Dealer pipeline'!$Q$4:$Q$503,_calc!$E$272))=0,"",INDEX('Dealer pipeline'!$Q$4:$Q$503,_calc!$E$272)))=0,"","Status: "&amp;IF(LEN(INDEX('Dealer pipeline'!$Q$4:$Q$503,_calc!$E$272))=0,"",INDEX('Dealer pipeline'!$Q$4:$Q$503,_calc!$E$272))&amp;". ")&amp;IF(LEN(IF(LEN(INDEX('Dealer pipeline'!$P$4:$P$503,_calc!$E$272))=0,"",INDEX('Dealer pipeline'!$P$4:$P$503,_calc!$E$272)))=0,"","Last touch: "&amp;IF(LEN(INDEX('Dealer pipeline'!$P$4:$P$503,_calc!$E$272))=0,"",INDEX('Dealer pipeline'!$P$4:$P$503,_calc!$E$272))&amp;". ")&amp;IF(LEN(IF(LEN(INDEX('Dealer pipeline'!$R$4:$R$503,_calc!$E$272))=0,"",INDEX('Dealer pipeline'!$R$4:$R$503,_calc!$E$272)))=0,"","Owner: "&amp;IF(LEN(INDEX('Dealer pipeline'!$R$4:$R$503,_calc!$E$272))=0,"",INDEX('Dealer pipeline'!$R$4:$R$503,_calc!$E$272))&amp;". ")&amp;IF(LEN(IF(LEN(INDEX('Dealer pipeline'!$S$4:$S$503,_calc!$E$272))=0,"",INDEX('Dealer pipeline'!$S$4:$S$503,_calc!$E$272)))=0,"","Backup: "&amp;IF(LEN(INDEX('Dealer pipeline'!$S$4:$S$503,_calc!$E$272))=0,"",INDEX('Dealer pipeline'!$S$4:$S$503,_calc!$E$272))&amp;". ")&amp;IF(LEN(IF(LEN(INDEX('Dealer pipeline'!$T$4:$T$503,_calc!$E$272))=0,"",INDEX('Dealer pipeline'!$T$4:$T$503,_calc!$E$272)))=0,"",IF(LEN(INDEX('Dealer pipeline'!$T$4:$T$503,_calc!$E$272))=0,"",INDEX('Dealer pipeline'!$T$4:$T$503,_calc!$E$272)))),TRIM(IF(LEN(IF(LEN(INDEX('My equipment'!$C$4:$C$503,(_calc!$E$272-500)))=0,"",INDEX('My equipment'!$C$4:$C$503,(_calc!$E$272-500))))=0,"","Model: "&amp;IF(LEN(INDEX('My equipment'!$C$4:$C$503,(_calc!$E$272-500)))=0,"",INDEX('My equipment'!$C$4:$C$503,(_calc!$E$272-500)))&amp;". ")&amp;IF(LEN(IF(LEN(INDEX('My equipment'!$D$4:$D$503,(_calc!$E$272-500)))=0,"",INDEX('My equipment'!$D$4:$D$503,(_calc!$E$272-500))))=0,"","Serial: "&amp;IF(LEN(INDEX('My equipment'!$D$4:$D$503,(_calc!$E$272-500)))=0,"",INDEX('My equipment'!$D$4:$D$503,(_calc!$E$272-500)))&amp;". ")&amp;IF(LEN(IF(ISNUMBER(INDEX('My equipment'!$J$4:$J$503,(_calc!$E$272-500))),TEXT(INDEX('My equipment'!$J$4:$J$503,(_calc!$E$272-500)),"yyyy-mm-dd"),""))=0,"","Parts end: "&amp;IF(ISNUMBER(INDEX('My equipment'!$J$4:$J$503,(_calc!$E$272-500))),TEXT(INDEX('My equipment'!$J$4:$J$503,(_calc!$E$272-500)),"yyyy-mm-dd"),"")&amp;". ")&amp;IF(LEN(IF(ISNUMBER(INDEX('My equipment'!$L$4:$L$503,(_calc!$E$272-500))),TEXT(INDEX('My equipment'!$L$4:$L$503,(_calc!$E$272-500)),"yyyy-mm-dd"),""))=0,"","Labor end: "&amp;IF(ISNUMBER(INDEX('My equipment'!$L$4:$L$503,(_calc!$E$272-500))),TEXT(INDEX('My equipment'!$L$4:$L$503,(_calc!$E$272-500)),"yyyy-mm-dd"),"")&amp;". ")&amp;IF(LEN(IF(ISNUMBER(INDEX('My equipment'!$P$4:$P$503,(_calc!$E$272-500))),TEXT(INDEX('My equipment'!$P$4:$P$503,(_calc!$E$272-500)),"yyyy-mm-dd"),""))=0,"","Check by: "&amp;IF(ISNUMBER(INDEX('My equipment'!$P$4:$P$503,(_calc!$E$272-500))),TEXT(INDEX('My equipment'!$P$4:$P$503,(_calc!$E$272-500)),"yyyy-mm-dd"),"")&amp;". ")&amp;IF(LEN(IF(LEN(INDEX('My equipment'!$Q$4:$Q$503,(_calc!$E$272-500)))=0,"",INDEX('My equipment'!$Q$4:$Q$503,(_calc!$E$272-500))))=0,"","Claim status: "&amp;IF(LEN(INDEX('My equipment'!$Q$4:$Q$503,(_calc!$E$272-500)))=0,"",INDEX('My equipment'!$Q$4:$Q$503,(_calc!$E$272-500)))&amp;". ")&amp;IF(LEN(IF(LEN(INDEX('My equipment'!$R$4:$R$503,(_calc!$E$272-500)))=0,"",INDEX('My equipment'!$R$4:$R$503,(_calc!$E$272-500))))=0,"","Claims contact: "&amp;IF(LEN(INDEX('My equipment'!$R$4:$R$503,(_calc!$E$272-500)))=0,"",INDEX('My equipment'!$R$4:$R$503,(_calc!$E$272-500)))&amp;". ")&amp;IF(LEN(IF(LEN(INDEX('My equipment'!$S$4:$S$503,(_calc!$E$272-500)))=0,"",INDEX('My equipment'!$S$4:$S$503,(_calc!$E$272-500))))=0,"","Claims email: "&amp;IF(LEN(INDEX('My equipment'!$S$4:$S$503,(_calc!$E$272-500)))=0,"",INDEX('My equipment'!$S$4:$S$503,(_calc!$E$272-500)))&amp;". ")&amp;IF(LEN(IF(LEN(INDEX('My equipment'!$U$4:$U$503,(_calc!$E$272-500)))=0,"",INDEX('My equipment'!$U$4:$U$503,(_calc!$E$272-500))))=0,"","Registered: "&amp;IF(LEN(INDEX('My equipment'!$U$4:$U$503,(_calc!$E$272-500)))=0,"",INDEX('My equipment'!$U$4:$U$503,(_calc!$E$272-500)))&amp;". ")&amp;IF(LEN(IF(LEN(INDEX('My equipment'!$V$4:$V$503,(_calc!$E$272-500)))=0,"",INDEX('My equipment'!$V$4:$V$503,(_calc!$E$272-500))))=0,"","Proof on file: "&amp;IF(LEN(INDEX('My equipment'!$V$4:$V$503,(_calc!$E$272-500)))=0,"",INDEX('My equipment'!$V$4:$V$503,(_calc!$E$272-500)))&amp;". ")&amp;IF(LEN(IF(LEN(INDEX('My equipment'!$W$4:$W$503,(_calc!$E$272-500)))=0,"",INDEX('My equipment'!$W$4:$W$503,(_calc!$E$272-500))))=0,"","Claim ref: "&amp;IF(LEN(INDEX('My equipment'!$W$4:$W$503,(_calc!$E$272-500)))=0,"",INDEX('My equipment'!$W$4:$W$503,(_calc!$E$272-500)))&amp;". ")&amp;IF(LEN(IF(LEN(INDEX('My equipment'!$Y$4:$Y$503,(_calc!$E$272-500)))=0,"",INDEX('My equipment'!$Y$4:$Y$503,(_calc!$E$272-500))))=0,"",IF(LEN(INDEX('My equipment'!$Y$4:$Y$503,(_calc!$E$272-500)))=0,"",INDEX('My equipment'!$Y$4:$Y$503,(_calc!$E$272-500)))))))</f>
        <v/>
      </c>
      <c r="G270" s="54">
        <f>IF(_calc!$E$272="","",IF(_calc!$E$272&lt;=500,"",IF(LEN(INDEX('My equipment'!$X$4:$X$503,(_calc!$E$272-500)))=0,"",INDEX('My equipment'!$X$4:$X$503,(_calc!$E$272-500)))))</f>
        <v/>
      </c>
      <c r="K270" s="54">
        <f>IF(_calc!$E$272="","",IF(_calc!$E$272&lt;=500,"",IF(LEN(INDEX('My equipment'!$T$4:$T$503,(_calc!$E$272-500)))=0,"",INDEX('My equipment'!$T$4:$T$503,(_calc!$E$272-500)))))</f>
        <v/>
      </c>
    </row>
    <row r="271">
      <c r="A271" s="54">
        <f>IF(_calc!$E$273="","",IF(_calc!$E$273&lt;=500,"Warranty – "&amp;IF(LEN(INDEX('Dealer pipeline'!$C$4:$C$503,_calc!$E$273))=0,"",INDEX('Dealer pipeline'!$C$4:$C$503,_calc!$E$273))&amp;" – "&amp;IF(LEN(INDEX('Dealer pipeline'!$D$4:$D$503,_calc!$E$273))=0,"",INDEX('Dealer pipeline'!$D$4:$D$503,_calc!$E$273))&amp;" – "&amp;IF(LEN(INDEX('Dealer pipeline'!$A$4:$A$503,_calc!$E$273))=0,"",INDEX('Dealer pipeline'!$A$4:$A$503,_calc!$E$273)),"Warranty – "&amp;IF(LEN(INDEX('My equipment'!$A$4:$A$503,(_calc!$E$273-500)))=0,"",INDEX('My equipment'!$A$4:$A$503,(_calc!$E$273-500)))&amp;" – "&amp;IF(LEN(INDEX('My equipment'!$D$4:$D$503,(_calc!$E$273-500)))=0,"",INDEX('My equipment'!$D$4:$D$503,(_calc!$E$273-500)))))</f>
        <v/>
      </c>
      <c r="B271" s="54">
        <f>IF(_calc!$E$273="","",IF(_calc!$E$273&lt;=500,IF(ISNUMBER(INDEX('Dealer pipeline'!$M$4:$M$503,_calc!$E$273)),TEXT(INDEX('Dealer pipeline'!$M$4:$M$503,_calc!$E$273),"yyyy-mm-dd"),""),IF(ISNUMBER(INDEX('My equipment'!$M$4:$M$503,(_calc!$E$273-500))),TEXT(INDEX('My equipment'!$M$4:$M$503,(_calc!$E$273-500)),"yyyy-mm-dd"),"")))</f>
        <v/>
      </c>
      <c r="C271" s="54">
        <f>IF(_calc!$E$273="","",IF(_calc!$E$273&lt;=500,"Warranty","Warranty"))</f>
        <v/>
      </c>
      <c r="D271" s="54">
        <f>IF(_calc!$E$273="","",IF(_calc!$E$273&lt;=500,IF(ISNUMBER(INDEX('Dealer pipeline'!$H$4:$H$503,_calc!$E$273)),TEXT(INDEX('Dealer pipeline'!$H$4:$H$503,_calc!$E$273),"yyyy-mm-dd"),""),IF(ISNUMBER(INDEX('My equipment'!$H$4:$H$503,(_calc!$E$273-500))),TEXT(INDEX('My equipment'!$H$4:$H$503,(_calc!$E$273-500)),"yyyy-mm-dd"),"")))</f>
        <v/>
      </c>
      <c r="F271" s="54">
        <f>IF(_calc!$E$273="","",IF(_calc!$E$273&lt;=500,TRIM(IF(LEN(IF(LEN(INDEX('Dealer pipeline'!$A$4:$A$503,_calc!$E$273))=0,"",INDEX('Dealer pipeline'!$A$4:$A$503,_calc!$E$273)))=0,"","Customer: "&amp;IF(LEN(INDEX('Dealer pipeline'!$A$4:$A$503,_calc!$E$273))=0,"",INDEX('Dealer pipeline'!$A$4:$A$503,_calc!$E$273))&amp;". ")&amp;IF(LEN(IF(LEN(INDEX('Dealer pipeline'!$B$4:$B$503,_calc!$E$273))=0,"",INDEX('Dealer pipeline'!$B$4:$B$503,_calc!$E$273)))=0,"","Contact: "&amp;IF(LEN(INDEX('Dealer pipeline'!$B$4:$B$503,_calc!$E$273))=0,"",INDEX('Dealer pipeline'!$B$4:$B$503,_calc!$E$273))&amp;". ")&amp;IF(LEN(IF(LEN(INDEX('Dealer pipeline'!$D$4:$D$503,_calc!$E$273))=0,"",INDEX('Dealer pipeline'!$D$4:$D$503,_calc!$E$273)))=0,"","Serial: "&amp;IF(LEN(INDEX('Dealer pipeline'!$D$4:$D$503,_calc!$E$273))=0,"",INDEX('Dealer pipeline'!$D$4:$D$503,_calc!$E$273))&amp;". ")&amp;IF(LEN(IF(ISNUMBER(INDEX('Dealer pipeline'!$J$4:$J$503,_calc!$E$273)),TEXT(INDEX('Dealer pipeline'!$J$4:$J$503,_calc!$E$273),"yyyy-mm-dd"),""))=0,"","Parts end: "&amp;IF(ISNUMBER(INDEX('Dealer pipeline'!$J$4:$J$503,_calc!$E$273)),TEXT(INDEX('Dealer pipeline'!$J$4:$J$503,_calc!$E$273),"yyyy-mm-dd"),"")&amp;". ")&amp;IF(LEN(IF(ISNUMBER(INDEX('Dealer pipeline'!$L$4:$L$503,_calc!$E$273)),TEXT(INDEX('Dealer pipeline'!$L$4:$L$503,_calc!$E$273),"yyyy-mm-dd"),""))=0,"","Labor end: "&amp;IF(ISNUMBER(INDEX('Dealer pipeline'!$L$4:$L$503,_calc!$E$273)),TEXT(INDEX('Dealer pipeline'!$L$4:$L$503,_calc!$E$273),"yyyy-mm-dd"),"")&amp;". ")&amp;IF(LEN(IF(LEN(INDEX('Dealer pipeline'!$Q$4:$Q$503,_calc!$E$273))=0,"",INDEX('Dealer pipeline'!$Q$4:$Q$503,_calc!$E$273)))=0,"","Status: "&amp;IF(LEN(INDEX('Dealer pipeline'!$Q$4:$Q$503,_calc!$E$273))=0,"",INDEX('Dealer pipeline'!$Q$4:$Q$503,_calc!$E$273))&amp;". ")&amp;IF(LEN(IF(LEN(INDEX('Dealer pipeline'!$P$4:$P$503,_calc!$E$273))=0,"",INDEX('Dealer pipeline'!$P$4:$P$503,_calc!$E$273)))=0,"","Last touch: "&amp;IF(LEN(INDEX('Dealer pipeline'!$P$4:$P$503,_calc!$E$273))=0,"",INDEX('Dealer pipeline'!$P$4:$P$503,_calc!$E$273))&amp;". ")&amp;IF(LEN(IF(LEN(INDEX('Dealer pipeline'!$R$4:$R$503,_calc!$E$273))=0,"",INDEX('Dealer pipeline'!$R$4:$R$503,_calc!$E$273)))=0,"","Owner: "&amp;IF(LEN(INDEX('Dealer pipeline'!$R$4:$R$503,_calc!$E$273))=0,"",INDEX('Dealer pipeline'!$R$4:$R$503,_calc!$E$273))&amp;". ")&amp;IF(LEN(IF(LEN(INDEX('Dealer pipeline'!$S$4:$S$503,_calc!$E$273))=0,"",INDEX('Dealer pipeline'!$S$4:$S$503,_calc!$E$273)))=0,"","Backup: "&amp;IF(LEN(INDEX('Dealer pipeline'!$S$4:$S$503,_calc!$E$273))=0,"",INDEX('Dealer pipeline'!$S$4:$S$503,_calc!$E$273))&amp;". ")&amp;IF(LEN(IF(LEN(INDEX('Dealer pipeline'!$T$4:$T$503,_calc!$E$273))=0,"",INDEX('Dealer pipeline'!$T$4:$T$503,_calc!$E$273)))=0,"",IF(LEN(INDEX('Dealer pipeline'!$T$4:$T$503,_calc!$E$273))=0,"",INDEX('Dealer pipeline'!$T$4:$T$503,_calc!$E$273)))),TRIM(IF(LEN(IF(LEN(INDEX('My equipment'!$C$4:$C$503,(_calc!$E$273-500)))=0,"",INDEX('My equipment'!$C$4:$C$503,(_calc!$E$273-500))))=0,"","Model: "&amp;IF(LEN(INDEX('My equipment'!$C$4:$C$503,(_calc!$E$273-500)))=0,"",INDEX('My equipment'!$C$4:$C$503,(_calc!$E$273-500)))&amp;". ")&amp;IF(LEN(IF(LEN(INDEX('My equipment'!$D$4:$D$503,(_calc!$E$273-500)))=0,"",INDEX('My equipment'!$D$4:$D$503,(_calc!$E$273-500))))=0,"","Serial: "&amp;IF(LEN(INDEX('My equipment'!$D$4:$D$503,(_calc!$E$273-500)))=0,"",INDEX('My equipment'!$D$4:$D$503,(_calc!$E$273-500)))&amp;". ")&amp;IF(LEN(IF(ISNUMBER(INDEX('My equipment'!$J$4:$J$503,(_calc!$E$273-500))),TEXT(INDEX('My equipment'!$J$4:$J$503,(_calc!$E$273-500)),"yyyy-mm-dd"),""))=0,"","Parts end: "&amp;IF(ISNUMBER(INDEX('My equipment'!$J$4:$J$503,(_calc!$E$273-500))),TEXT(INDEX('My equipment'!$J$4:$J$503,(_calc!$E$273-500)),"yyyy-mm-dd"),"")&amp;". ")&amp;IF(LEN(IF(ISNUMBER(INDEX('My equipment'!$L$4:$L$503,(_calc!$E$273-500))),TEXT(INDEX('My equipment'!$L$4:$L$503,(_calc!$E$273-500)),"yyyy-mm-dd"),""))=0,"","Labor end: "&amp;IF(ISNUMBER(INDEX('My equipment'!$L$4:$L$503,(_calc!$E$273-500))),TEXT(INDEX('My equipment'!$L$4:$L$503,(_calc!$E$273-500)),"yyyy-mm-dd"),"")&amp;". ")&amp;IF(LEN(IF(ISNUMBER(INDEX('My equipment'!$P$4:$P$503,(_calc!$E$273-500))),TEXT(INDEX('My equipment'!$P$4:$P$503,(_calc!$E$273-500)),"yyyy-mm-dd"),""))=0,"","Check by: "&amp;IF(ISNUMBER(INDEX('My equipment'!$P$4:$P$503,(_calc!$E$273-500))),TEXT(INDEX('My equipment'!$P$4:$P$503,(_calc!$E$273-500)),"yyyy-mm-dd"),"")&amp;". ")&amp;IF(LEN(IF(LEN(INDEX('My equipment'!$Q$4:$Q$503,(_calc!$E$273-500)))=0,"",INDEX('My equipment'!$Q$4:$Q$503,(_calc!$E$273-500))))=0,"","Claim status: "&amp;IF(LEN(INDEX('My equipment'!$Q$4:$Q$503,(_calc!$E$273-500)))=0,"",INDEX('My equipment'!$Q$4:$Q$503,(_calc!$E$273-500)))&amp;". ")&amp;IF(LEN(IF(LEN(INDEX('My equipment'!$R$4:$R$503,(_calc!$E$273-500)))=0,"",INDEX('My equipment'!$R$4:$R$503,(_calc!$E$273-500))))=0,"","Claims contact: "&amp;IF(LEN(INDEX('My equipment'!$R$4:$R$503,(_calc!$E$273-500)))=0,"",INDEX('My equipment'!$R$4:$R$503,(_calc!$E$273-500)))&amp;". ")&amp;IF(LEN(IF(LEN(INDEX('My equipment'!$S$4:$S$503,(_calc!$E$273-500)))=0,"",INDEX('My equipment'!$S$4:$S$503,(_calc!$E$273-500))))=0,"","Claims email: "&amp;IF(LEN(INDEX('My equipment'!$S$4:$S$503,(_calc!$E$273-500)))=0,"",INDEX('My equipment'!$S$4:$S$503,(_calc!$E$273-500)))&amp;". ")&amp;IF(LEN(IF(LEN(INDEX('My equipment'!$U$4:$U$503,(_calc!$E$273-500)))=0,"",INDEX('My equipment'!$U$4:$U$503,(_calc!$E$273-500))))=0,"","Registered: "&amp;IF(LEN(INDEX('My equipment'!$U$4:$U$503,(_calc!$E$273-500)))=0,"",INDEX('My equipment'!$U$4:$U$503,(_calc!$E$273-500)))&amp;". ")&amp;IF(LEN(IF(LEN(INDEX('My equipment'!$V$4:$V$503,(_calc!$E$273-500)))=0,"",INDEX('My equipment'!$V$4:$V$503,(_calc!$E$273-500))))=0,"","Proof on file: "&amp;IF(LEN(INDEX('My equipment'!$V$4:$V$503,(_calc!$E$273-500)))=0,"",INDEX('My equipment'!$V$4:$V$503,(_calc!$E$273-500)))&amp;". ")&amp;IF(LEN(IF(LEN(INDEX('My equipment'!$W$4:$W$503,(_calc!$E$273-500)))=0,"",INDEX('My equipment'!$W$4:$W$503,(_calc!$E$273-500))))=0,"","Claim ref: "&amp;IF(LEN(INDEX('My equipment'!$W$4:$W$503,(_calc!$E$273-500)))=0,"",INDEX('My equipment'!$W$4:$W$503,(_calc!$E$273-500)))&amp;". ")&amp;IF(LEN(IF(LEN(INDEX('My equipment'!$Y$4:$Y$503,(_calc!$E$273-500)))=0,"",INDEX('My equipment'!$Y$4:$Y$503,(_calc!$E$273-500))))=0,"",IF(LEN(INDEX('My equipment'!$Y$4:$Y$503,(_calc!$E$273-500)))=0,"",INDEX('My equipment'!$Y$4:$Y$503,(_calc!$E$273-500)))))))</f>
        <v/>
      </c>
      <c r="G271" s="54">
        <f>IF(_calc!$E$273="","",IF(_calc!$E$273&lt;=500,"",IF(LEN(INDEX('My equipment'!$X$4:$X$503,(_calc!$E$273-500)))=0,"",INDEX('My equipment'!$X$4:$X$503,(_calc!$E$273-500)))))</f>
        <v/>
      </c>
      <c r="K271" s="54">
        <f>IF(_calc!$E$273="","",IF(_calc!$E$273&lt;=500,"",IF(LEN(INDEX('My equipment'!$T$4:$T$503,(_calc!$E$273-500)))=0,"",INDEX('My equipment'!$T$4:$T$503,(_calc!$E$273-500)))))</f>
        <v/>
      </c>
    </row>
    <row r="272">
      <c r="A272" s="54">
        <f>IF(_calc!$E$274="","",IF(_calc!$E$274&lt;=500,"Warranty – "&amp;IF(LEN(INDEX('Dealer pipeline'!$C$4:$C$503,_calc!$E$274))=0,"",INDEX('Dealer pipeline'!$C$4:$C$503,_calc!$E$274))&amp;" – "&amp;IF(LEN(INDEX('Dealer pipeline'!$D$4:$D$503,_calc!$E$274))=0,"",INDEX('Dealer pipeline'!$D$4:$D$503,_calc!$E$274))&amp;" – "&amp;IF(LEN(INDEX('Dealer pipeline'!$A$4:$A$503,_calc!$E$274))=0,"",INDEX('Dealer pipeline'!$A$4:$A$503,_calc!$E$274)),"Warranty – "&amp;IF(LEN(INDEX('My equipment'!$A$4:$A$503,(_calc!$E$274-500)))=0,"",INDEX('My equipment'!$A$4:$A$503,(_calc!$E$274-500)))&amp;" – "&amp;IF(LEN(INDEX('My equipment'!$D$4:$D$503,(_calc!$E$274-500)))=0,"",INDEX('My equipment'!$D$4:$D$503,(_calc!$E$274-500)))))</f>
        <v/>
      </c>
      <c r="B272" s="54">
        <f>IF(_calc!$E$274="","",IF(_calc!$E$274&lt;=500,IF(ISNUMBER(INDEX('Dealer pipeline'!$M$4:$M$503,_calc!$E$274)),TEXT(INDEX('Dealer pipeline'!$M$4:$M$503,_calc!$E$274),"yyyy-mm-dd"),""),IF(ISNUMBER(INDEX('My equipment'!$M$4:$M$503,(_calc!$E$274-500))),TEXT(INDEX('My equipment'!$M$4:$M$503,(_calc!$E$274-500)),"yyyy-mm-dd"),"")))</f>
        <v/>
      </c>
      <c r="C272" s="54">
        <f>IF(_calc!$E$274="","",IF(_calc!$E$274&lt;=500,"Warranty","Warranty"))</f>
        <v/>
      </c>
      <c r="D272" s="54">
        <f>IF(_calc!$E$274="","",IF(_calc!$E$274&lt;=500,IF(ISNUMBER(INDEX('Dealer pipeline'!$H$4:$H$503,_calc!$E$274)),TEXT(INDEX('Dealer pipeline'!$H$4:$H$503,_calc!$E$274),"yyyy-mm-dd"),""),IF(ISNUMBER(INDEX('My equipment'!$H$4:$H$503,(_calc!$E$274-500))),TEXT(INDEX('My equipment'!$H$4:$H$503,(_calc!$E$274-500)),"yyyy-mm-dd"),"")))</f>
        <v/>
      </c>
      <c r="F272" s="54">
        <f>IF(_calc!$E$274="","",IF(_calc!$E$274&lt;=500,TRIM(IF(LEN(IF(LEN(INDEX('Dealer pipeline'!$A$4:$A$503,_calc!$E$274))=0,"",INDEX('Dealer pipeline'!$A$4:$A$503,_calc!$E$274)))=0,"","Customer: "&amp;IF(LEN(INDEX('Dealer pipeline'!$A$4:$A$503,_calc!$E$274))=0,"",INDEX('Dealer pipeline'!$A$4:$A$503,_calc!$E$274))&amp;". ")&amp;IF(LEN(IF(LEN(INDEX('Dealer pipeline'!$B$4:$B$503,_calc!$E$274))=0,"",INDEX('Dealer pipeline'!$B$4:$B$503,_calc!$E$274)))=0,"","Contact: "&amp;IF(LEN(INDEX('Dealer pipeline'!$B$4:$B$503,_calc!$E$274))=0,"",INDEX('Dealer pipeline'!$B$4:$B$503,_calc!$E$274))&amp;". ")&amp;IF(LEN(IF(LEN(INDEX('Dealer pipeline'!$D$4:$D$503,_calc!$E$274))=0,"",INDEX('Dealer pipeline'!$D$4:$D$503,_calc!$E$274)))=0,"","Serial: "&amp;IF(LEN(INDEX('Dealer pipeline'!$D$4:$D$503,_calc!$E$274))=0,"",INDEX('Dealer pipeline'!$D$4:$D$503,_calc!$E$274))&amp;". ")&amp;IF(LEN(IF(ISNUMBER(INDEX('Dealer pipeline'!$J$4:$J$503,_calc!$E$274)),TEXT(INDEX('Dealer pipeline'!$J$4:$J$503,_calc!$E$274),"yyyy-mm-dd"),""))=0,"","Parts end: "&amp;IF(ISNUMBER(INDEX('Dealer pipeline'!$J$4:$J$503,_calc!$E$274)),TEXT(INDEX('Dealer pipeline'!$J$4:$J$503,_calc!$E$274),"yyyy-mm-dd"),"")&amp;". ")&amp;IF(LEN(IF(ISNUMBER(INDEX('Dealer pipeline'!$L$4:$L$503,_calc!$E$274)),TEXT(INDEX('Dealer pipeline'!$L$4:$L$503,_calc!$E$274),"yyyy-mm-dd"),""))=0,"","Labor end: "&amp;IF(ISNUMBER(INDEX('Dealer pipeline'!$L$4:$L$503,_calc!$E$274)),TEXT(INDEX('Dealer pipeline'!$L$4:$L$503,_calc!$E$274),"yyyy-mm-dd"),"")&amp;". ")&amp;IF(LEN(IF(LEN(INDEX('Dealer pipeline'!$Q$4:$Q$503,_calc!$E$274))=0,"",INDEX('Dealer pipeline'!$Q$4:$Q$503,_calc!$E$274)))=0,"","Status: "&amp;IF(LEN(INDEX('Dealer pipeline'!$Q$4:$Q$503,_calc!$E$274))=0,"",INDEX('Dealer pipeline'!$Q$4:$Q$503,_calc!$E$274))&amp;". ")&amp;IF(LEN(IF(LEN(INDEX('Dealer pipeline'!$P$4:$P$503,_calc!$E$274))=0,"",INDEX('Dealer pipeline'!$P$4:$P$503,_calc!$E$274)))=0,"","Last touch: "&amp;IF(LEN(INDEX('Dealer pipeline'!$P$4:$P$503,_calc!$E$274))=0,"",INDEX('Dealer pipeline'!$P$4:$P$503,_calc!$E$274))&amp;". ")&amp;IF(LEN(IF(LEN(INDEX('Dealer pipeline'!$R$4:$R$503,_calc!$E$274))=0,"",INDEX('Dealer pipeline'!$R$4:$R$503,_calc!$E$274)))=0,"","Owner: "&amp;IF(LEN(INDEX('Dealer pipeline'!$R$4:$R$503,_calc!$E$274))=0,"",INDEX('Dealer pipeline'!$R$4:$R$503,_calc!$E$274))&amp;". ")&amp;IF(LEN(IF(LEN(INDEX('Dealer pipeline'!$S$4:$S$503,_calc!$E$274))=0,"",INDEX('Dealer pipeline'!$S$4:$S$503,_calc!$E$274)))=0,"","Backup: "&amp;IF(LEN(INDEX('Dealer pipeline'!$S$4:$S$503,_calc!$E$274))=0,"",INDEX('Dealer pipeline'!$S$4:$S$503,_calc!$E$274))&amp;". ")&amp;IF(LEN(IF(LEN(INDEX('Dealer pipeline'!$T$4:$T$503,_calc!$E$274))=0,"",INDEX('Dealer pipeline'!$T$4:$T$503,_calc!$E$274)))=0,"",IF(LEN(INDEX('Dealer pipeline'!$T$4:$T$503,_calc!$E$274))=0,"",INDEX('Dealer pipeline'!$T$4:$T$503,_calc!$E$274)))),TRIM(IF(LEN(IF(LEN(INDEX('My equipment'!$C$4:$C$503,(_calc!$E$274-500)))=0,"",INDEX('My equipment'!$C$4:$C$503,(_calc!$E$274-500))))=0,"","Model: "&amp;IF(LEN(INDEX('My equipment'!$C$4:$C$503,(_calc!$E$274-500)))=0,"",INDEX('My equipment'!$C$4:$C$503,(_calc!$E$274-500)))&amp;". ")&amp;IF(LEN(IF(LEN(INDEX('My equipment'!$D$4:$D$503,(_calc!$E$274-500)))=0,"",INDEX('My equipment'!$D$4:$D$503,(_calc!$E$274-500))))=0,"","Serial: "&amp;IF(LEN(INDEX('My equipment'!$D$4:$D$503,(_calc!$E$274-500)))=0,"",INDEX('My equipment'!$D$4:$D$503,(_calc!$E$274-500)))&amp;". ")&amp;IF(LEN(IF(ISNUMBER(INDEX('My equipment'!$J$4:$J$503,(_calc!$E$274-500))),TEXT(INDEX('My equipment'!$J$4:$J$503,(_calc!$E$274-500)),"yyyy-mm-dd"),""))=0,"","Parts end: "&amp;IF(ISNUMBER(INDEX('My equipment'!$J$4:$J$503,(_calc!$E$274-500))),TEXT(INDEX('My equipment'!$J$4:$J$503,(_calc!$E$274-500)),"yyyy-mm-dd"),"")&amp;". ")&amp;IF(LEN(IF(ISNUMBER(INDEX('My equipment'!$L$4:$L$503,(_calc!$E$274-500))),TEXT(INDEX('My equipment'!$L$4:$L$503,(_calc!$E$274-500)),"yyyy-mm-dd"),""))=0,"","Labor end: "&amp;IF(ISNUMBER(INDEX('My equipment'!$L$4:$L$503,(_calc!$E$274-500))),TEXT(INDEX('My equipment'!$L$4:$L$503,(_calc!$E$274-500)),"yyyy-mm-dd"),"")&amp;". ")&amp;IF(LEN(IF(ISNUMBER(INDEX('My equipment'!$P$4:$P$503,(_calc!$E$274-500))),TEXT(INDEX('My equipment'!$P$4:$P$503,(_calc!$E$274-500)),"yyyy-mm-dd"),""))=0,"","Check by: "&amp;IF(ISNUMBER(INDEX('My equipment'!$P$4:$P$503,(_calc!$E$274-500))),TEXT(INDEX('My equipment'!$P$4:$P$503,(_calc!$E$274-500)),"yyyy-mm-dd"),"")&amp;". ")&amp;IF(LEN(IF(LEN(INDEX('My equipment'!$Q$4:$Q$503,(_calc!$E$274-500)))=0,"",INDEX('My equipment'!$Q$4:$Q$503,(_calc!$E$274-500))))=0,"","Claim status: "&amp;IF(LEN(INDEX('My equipment'!$Q$4:$Q$503,(_calc!$E$274-500)))=0,"",INDEX('My equipment'!$Q$4:$Q$503,(_calc!$E$274-500)))&amp;". ")&amp;IF(LEN(IF(LEN(INDEX('My equipment'!$R$4:$R$503,(_calc!$E$274-500)))=0,"",INDEX('My equipment'!$R$4:$R$503,(_calc!$E$274-500))))=0,"","Claims contact: "&amp;IF(LEN(INDEX('My equipment'!$R$4:$R$503,(_calc!$E$274-500)))=0,"",INDEX('My equipment'!$R$4:$R$503,(_calc!$E$274-500)))&amp;". ")&amp;IF(LEN(IF(LEN(INDEX('My equipment'!$S$4:$S$503,(_calc!$E$274-500)))=0,"",INDEX('My equipment'!$S$4:$S$503,(_calc!$E$274-500))))=0,"","Claims email: "&amp;IF(LEN(INDEX('My equipment'!$S$4:$S$503,(_calc!$E$274-500)))=0,"",INDEX('My equipment'!$S$4:$S$503,(_calc!$E$274-500)))&amp;". ")&amp;IF(LEN(IF(LEN(INDEX('My equipment'!$U$4:$U$503,(_calc!$E$274-500)))=0,"",INDEX('My equipment'!$U$4:$U$503,(_calc!$E$274-500))))=0,"","Registered: "&amp;IF(LEN(INDEX('My equipment'!$U$4:$U$503,(_calc!$E$274-500)))=0,"",INDEX('My equipment'!$U$4:$U$503,(_calc!$E$274-500)))&amp;". ")&amp;IF(LEN(IF(LEN(INDEX('My equipment'!$V$4:$V$503,(_calc!$E$274-500)))=0,"",INDEX('My equipment'!$V$4:$V$503,(_calc!$E$274-500))))=0,"","Proof on file: "&amp;IF(LEN(INDEX('My equipment'!$V$4:$V$503,(_calc!$E$274-500)))=0,"",INDEX('My equipment'!$V$4:$V$503,(_calc!$E$274-500)))&amp;". ")&amp;IF(LEN(IF(LEN(INDEX('My equipment'!$W$4:$W$503,(_calc!$E$274-500)))=0,"",INDEX('My equipment'!$W$4:$W$503,(_calc!$E$274-500))))=0,"","Claim ref: "&amp;IF(LEN(INDEX('My equipment'!$W$4:$W$503,(_calc!$E$274-500)))=0,"",INDEX('My equipment'!$W$4:$W$503,(_calc!$E$274-500)))&amp;". ")&amp;IF(LEN(IF(LEN(INDEX('My equipment'!$Y$4:$Y$503,(_calc!$E$274-500)))=0,"",INDEX('My equipment'!$Y$4:$Y$503,(_calc!$E$274-500))))=0,"",IF(LEN(INDEX('My equipment'!$Y$4:$Y$503,(_calc!$E$274-500)))=0,"",INDEX('My equipment'!$Y$4:$Y$503,(_calc!$E$274-500)))))))</f>
        <v/>
      </c>
      <c r="G272" s="54">
        <f>IF(_calc!$E$274="","",IF(_calc!$E$274&lt;=500,"",IF(LEN(INDEX('My equipment'!$X$4:$X$503,(_calc!$E$274-500)))=0,"",INDEX('My equipment'!$X$4:$X$503,(_calc!$E$274-500)))))</f>
        <v/>
      </c>
      <c r="K272" s="54">
        <f>IF(_calc!$E$274="","",IF(_calc!$E$274&lt;=500,"",IF(LEN(INDEX('My equipment'!$T$4:$T$503,(_calc!$E$274-500)))=0,"",INDEX('My equipment'!$T$4:$T$503,(_calc!$E$274-500)))))</f>
        <v/>
      </c>
    </row>
    <row r="273">
      <c r="A273" s="54">
        <f>IF(_calc!$E$275="","",IF(_calc!$E$275&lt;=500,"Warranty – "&amp;IF(LEN(INDEX('Dealer pipeline'!$C$4:$C$503,_calc!$E$275))=0,"",INDEX('Dealer pipeline'!$C$4:$C$503,_calc!$E$275))&amp;" – "&amp;IF(LEN(INDEX('Dealer pipeline'!$D$4:$D$503,_calc!$E$275))=0,"",INDEX('Dealer pipeline'!$D$4:$D$503,_calc!$E$275))&amp;" – "&amp;IF(LEN(INDEX('Dealer pipeline'!$A$4:$A$503,_calc!$E$275))=0,"",INDEX('Dealer pipeline'!$A$4:$A$503,_calc!$E$275)),"Warranty – "&amp;IF(LEN(INDEX('My equipment'!$A$4:$A$503,(_calc!$E$275-500)))=0,"",INDEX('My equipment'!$A$4:$A$503,(_calc!$E$275-500)))&amp;" – "&amp;IF(LEN(INDEX('My equipment'!$D$4:$D$503,(_calc!$E$275-500)))=0,"",INDEX('My equipment'!$D$4:$D$503,(_calc!$E$275-500)))))</f>
        <v/>
      </c>
      <c r="B273" s="54">
        <f>IF(_calc!$E$275="","",IF(_calc!$E$275&lt;=500,IF(ISNUMBER(INDEX('Dealer pipeline'!$M$4:$M$503,_calc!$E$275)),TEXT(INDEX('Dealer pipeline'!$M$4:$M$503,_calc!$E$275),"yyyy-mm-dd"),""),IF(ISNUMBER(INDEX('My equipment'!$M$4:$M$503,(_calc!$E$275-500))),TEXT(INDEX('My equipment'!$M$4:$M$503,(_calc!$E$275-500)),"yyyy-mm-dd"),"")))</f>
        <v/>
      </c>
      <c r="C273" s="54">
        <f>IF(_calc!$E$275="","",IF(_calc!$E$275&lt;=500,"Warranty","Warranty"))</f>
        <v/>
      </c>
      <c r="D273" s="54">
        <f>IF(_calc!$E$275="","",IF(_calc!$E$275&lt;=500,IF(ISNUMBER(INDEX('Dealer pipeline'!$H$4:$H$503,_calc!$E$275)),TEXT(INDEX('Dealer pipeline'!$H$4:$H$503,_calc!$E$275),"yyyy-mm-dd"),""),IF(ISNUMBER(INDEX('My equipment'!$H$4:$H$503,(_calc!$E$275-500))),TEXT(INDEX('My equipment'!$H$4:$H$503,(_calc!$E$275-500)),"yyyy-mm-dd"),"")))</f>
        <v/>
      </c>
      <c r="F273" s="54">
        <f>IF(_calc!$E$275="","",IF(_calc!$E$275&lt;=500,TRIM(IF(LEN(IF(LEN(INDEX('Dealer pipeline'!$A$4:$A$503,_calc!$E$275))=0,"",INDEX('Dealer pipeline'!$A$4:$A$503,_calc!$E$275)))=0,"","Customer: "&amp;IF(LEN(INDEX('Dealer pipeline'!$A$4:$A$503,_calc!$E$275))=0,"",INDEX('Dealer pipeline'!$A$4:$A$503,_calc!$E$275))&amp;". ")&amp;IF(LEN(IF(LEN(INDEX('Dealer pipeline'!$B$4:$B$503,_calc!$E$275))=0,"",INDEX('Dealer pipeline'!$B$4:$B$503,_calc!$E$275)))=0,"","Contact: "&amp;IF(LEN(INDEX('Dealer pipeline'!$B$4:$B$503,_calc!$E$275))=0,"",INDEX('Dealer pipeline'!$B$4:$B$503,_calc!$E$275))&amp;". ")&amp;IF(LEN(IF(LEN(INDEX('Dealer pipeline'!$D$4:$D$503,_calc!$E$275))=0,"",INDEX('Dealer pipeline'!$D$4:$D$503,_calc!$E$275)))=0,"","Serial: "&amp;IF(LEN(INDEX('Dealer pipeline'!$D$4:$D$503,_calc!$E$275))=0,"",INDEX('Dealer pipeline'!$D$4:$D$503,_calc!$E$275))&amp;". ")&amp;IF(LEN(IF(ISNUMBER(INDEX('Dealer pipeline'!$J$4:$J$503,_calc!$E$275)),TEXT(INDEX('Dealer pipeline'!$J$4:$J$503,_calc!$E$275),"yyyy-mm-dd"),""))=0,"","Parts end: "&amp;IF(ISNUMBER(INDEX('Dealer pipeline'!$J$4:$J$503,_calc!$E$275)),TEXT(INDEX('Dealer pipeline'!$J$4:$J$503,_calc!$E$275),"yyyy-mm-dd"),"")&amp;". ")&amp;IF(LEN(IF(ISNUMBER(INDEX('Dealer pipeline'!$L$4:$L$503,_calc!$E$275)),TEXT(INDEX('Dealer pipeline'!$L$4:$L$503,_calc!$E$275),"yyyy-mm-dd"),""))=0,"","Labor end: "&amp;IF(ISNUMBER(INDEX('Dealer pipeline'!$L$4:$L$503,_calc!$E$275)),TEXT(INDEX('Dealer pipeline'!$L$4:$L$503,_calc!$E$275),"yyyy-mm-dd"),"")&amp;". ")&amp;IF(LEN(IF(LEN(INDEX('Dealer pipeline'!$Q$4:$Q$503,_calc!$E$275))=0,"",INDEX('Dealer pipeline'!$Q$4:$Q$503,_calc!$E$275)))=0,"","Status: "&amp;IF(LEN(INDEX('Dealer pipeline'!$Q$4:$Q$503,_calc!$E$275))=0,"",INDEX('Dealer pipeline'!$Q$4:$Q$503,_calc!$E$275))&amp;". ")&amp;IF(LEN(IF(LEN(INDEX('Dealer pipeline'!$P$4:$P$503,_calc!$E$275))=0,"",INDEX('Dealer pipeline'!$P$4:$P$503,_calc!$E$275)))=0,"","Last touch: "&amp;IF(LEN(INDEX('Dealer pipeline'!$P$4:$P$503,_calc!$E$275))=0,"",INDEX('Dealer pipeline'!$P$4:$P$503,_calc!$E$275))&amp;". ")&amp;IF(LEN(IF(LEN(INDEX('Dealer pipeline'!$R$4:$R$503,_calc!$E$275))=0,"",INDEX('Dealer pipeline'!$R$4:$R$503,_calc!$E$275)))=0,"","Owner: "&amp;IF(LEN(INDEX('Dealer pipeline'!$R$4:$R$503,_calc!$E$275))=0,"",INDEX('Dealer pipeline'!$R$4:$R$503,_calc!$E$275))&amp;". ")&amp;IF(LEN(IF(LEN(INDEX('Dealer pipeline'!$S$4:$S$503,_calc!$E$275))=0,"",INDEX('Dealer pipeline'!$S$4:$S$503,_calc!$E$275)))=0,"","Backup: "&amp;IF(LEN(INDEX('Dealer pipeline'!$S$4:$S$503,_calc!$E$275))=0,"",INDEX('Dealer pipeline'!$S$4:$S$503,_calc!$E$275))&amp;". ")&amp;IF(LEN(IF(LEN(INDEX('Dealer pipeline'!$T$4:$T$503,_calc!$E$275))=0,"",INDEX('Dealer pipeline'!$T$4:$T$503,_calc!$E$275)))=0,"",IF(LEN(INDEX('Dealer pipeline'!$T$4:$T$503,_calc!$E$275))=0,"",INDEX('Dealer pipeline'!$T$4:$T$503,_calc!$E$275)))),TRIM(IF(LEN(IF(LEN(INDEX('My equipment'!$C$4:$C$503,(_calc!$E$275-500)))=0,"",INDEX('My equipment'!$C$4:$C$503,(_calc!$E$275-500))))=0,"","Model: "&amp;IF(LEN(INDEX('My equipment'!$C$4:$C$503,(_calc!$E$275-500)))=0,"",INDEX('My equipment'!$C$4:$C$503,(_calc!$E$275-500)))&amp;". ")&amp;IF(LEN(IF(LEN(INDEX('My equipment'!$D$4:$D$503,(_calc!$E$275-500)))=0,"",INDEX('My equipment'!$D$4:$D$503,(_calc!$E$275-500))))=0,"","Serial: "&amp;IF(LEN(INDEX('My equipment'!$D$4:$D$503,(_calc!$E$275-500)))=0,"",INDEX('My equipment'!$D$4:$D$503,(_calc!$E$275-500)))&amp;". ")&amp;IF(LEN(IF(ISNUMBER(INDEX('My equipment'!$J$4:$J$503,(_calc!$E$275-500))),TEXT(INDEX('My equipment'!$J$4:$J$503,(_calc!$E$275-500)),"yyyy-mm-dd"),""))=0,"","Parts end: "&amp;IF(ISNUMBER(INDEX('My equipment'!$J$4:$J$503,(_calc!$E$275-500))),TEXT(INDEX('My equipment'!$J$4:$J$503,(_calc!$E$275-500)),"yyyy-mm-dd"),"")&amp;". ")&amp;IF(LEN(IF(ISNUMBER(INDEX('My equipment'!$L$4:$L$503,(_calc!$E$275-500))),TEXT(INDEX('My equipment'!$L$4:$L$503,(_calc!$E$275-500)),"yyyy-mm-dd"),""))=0,"","Labor end: "&amp;IF(ISNUMBER(INDEX('My equipment'!$L$4:$L$503,(_calc!$E$275-500))),TEXT(INDEX('My equipment'!$L$4:$L$503,(_calc!$E$275-500)),"yyyy-mm-dd"),"")&amp;". ")&amp;IF(LEN(IF(ISNUMBER(INDEX('My equipment'!$P$4:$P$503,(_calc!$E$275-500))),TEXT(INDEX('My equipment'!$P$4:$P$503,(_calc!$E$275-500)),"yyyy-mm-dd"),""))=0,"","Check by: "&amp;IF(ISNUMBER(INDEX('My equipment'!$P$4:$P$503,(_calc!$E$275-500))),TEXT(INDEX('My equipment'!$P$4:$P$503,(_calc!$E$275-500)),"yyyy-mm-dd"),"")&amp;". ")&amp;IF(LEN(IF(LEN(INDEX('My equipment'!$Q$4:$Q$503,(_calc!$E$275-500)))=0,"",INDEX('My equipment'!$Q$4:$Q$503,(_calc!$E$275-500))))=0,"","Claim status: "&amp;IF(LEN(INDEX('My equipment'!$Q$4:$Q$503,(_calc!$E$275-500)))=0,"",INDEX('My equipment'!$Q$4:$Q$503,(_calc!$E$275-500)))&amp;". ")&amp;IF(LEN(IF(LEN(INDEX('My equipment'!$R$4:$R$503,(_calc!$E$275-500)))=0,"",INDEX('My equipment'!$R$4:$R$503,(_calc!$E$275-500))))=0,"","Claims contact: "&amp;IF(LEN(INDEX('My equipment'!$R$4:$R$503,(_calc!$E$275-500)))=0,"",INDEX('My equipment'!$R$4:$R$503,(_calc!$E$275-500)))&amp;". ")&amp;IF(LEN(IF(LEN(INDEX('My equipment'!$S$4:$S$503,(_calc!$E$275-500)))=0,"",INDEX('My equipment'!$S$4:$S$503,(_calc!$E$275-500))))=0,"","Claims email: "&amp;IF(LEN(INDEX('My equipment'!$S$4:$S$503,(_calc!$E$275-500)))=0,"",INDEX('My equipment'!$S$4:$S$503,(_calc!$E$275-500)))&amp;". ")&amp;IF(LEN(IF(LEN(INDEX('My equipment'!$U$4:$U$503,(_calc!$E$275-500)))=0,"",INDEX('My equipment'!$U$4:$U$503,(_calc!$E$275-500))))=0,"","Registered: "&amp;IF(LEN(INDEX('My equipment'!$U$4:$U$503,(_calc!$E$275-500)))=0,"",INDEX('My equipment'!$U$4:$U$503,(_calc!$E$275-500)))&amp;". ")&amp;IF(LEN(IF(LEN(INDEX('My equipment'!$V$4:$V$503,(_calc!$E$275-500)))=0,"",INDEX('My equipment'!$V$4:$V$503,(_calc!$E$275-500))))=0,"","Proof on file: "&amp;IF(LEN(INDEX('My equipment'!$V$4:$V$503,(_calc!$E$275-500)))=0,"",INDEX('My equipment'!$V$4:$V$503,(_calc!$E$275-500)))&amp;". ")&amp;IF(LEN(IF(LEN(INDEX('My equipment'!$W$4:$W$503,(_calc!$E$275-500)))=0,"",INDEX('My equipment'!$W$4:$W$503,(_calc!$E$275-500))))=0,"","Claim ref: "&amp;IF(LEN(INDEX('My equipment'!$W$4:$W$503,(_calc!$E$275-500)))=0,"",INDEX('My equipment'!$W$4:$W$503,(_calc!$E$275-500)))&amp;". ")&amp;IF(LEN(IF(LEN(INDEX('My equipment'!$Y$4:$Y$503,(_calc!$E$275-500)))=0,"",INDEX('My equipment'!$Y$4:$Y$503,(_calc!$E$275-500))))=0,"",IF(LEN(INDEX('My equipment'!$Y$4:$Y$503,(_calc!$E$275-500)))=0,"",INDEX('My equipment'!$Y$4:$Y$503,(_calc!$E$275-500)))))))</f>
        <v/>
      </c>
      <c r="G273" s="54">
        <f>IF(_calc!$E$275="","",IF(_calc!$E$275&lt;=500,"",IF(LEN(INDEX('My equipment'!$X$4:$X$503,(_calc!$E$275-500)))=0,"",INDEX('My equipment'!$X$4:$X$503,(_calc!$E$275-500)))))</f>
        <v/>
      </c>
      <c r="K273" s="54">
        <f>IF(_calc!$E$275="","",IF(_calc!$E$275&lt;=500,"",IF(LEN(INDEX('My equipment'!$T$4:$T$503,(_calc!$E$275-500)))=0,"",INDEX('My equipment'!$T$4:$T$503,(_calc!$E$275-500)))))</f>
        <v/>
      </c>
    </row>
    <row r="274">
      <c r="A274" s="54">
        <f>IF(_calc!$E$276="","",IF(_calc!$E$276&lt;=500,"Warranty – "&amp;IF(LEN(INDEX('Dealer pipeline'!$C$4:$C$503,_calc!$E$276))=0,"",INDEX('Dealer pipeline'!$C$4:$C$503,_calc!$E$276))&amp;" – "&amp;IF(LEN(INDEX('Dealer pipeline'!$D$4:$D$503,_calc!$E$276))=0,"",INDEX('Dealer pipeline'!$D$4:$D$503,_calc!$E$276))&amp;" – "&amp;IF(LEN(INDEX('Dealer pipeline'!$A$4:$A$503,_calc!$E$276))=0,"",INDEX('Dealer pipeline'!$A$4:$A$503,_calc!$E$276)),"Warranty – "&amp;IF(LEN(INDEX('My equipment'!$A$4:$A$503,(_calc!$E$276-500)))=0,"",INDEX('My equipment'!$A$4:$A$503,(_calc!$E$276-500)))&amp;" – "&amp;IF(LEN(INDEX('My equipment'!$D$4:$D$503,(_calc!$E$276-500)))=0,"",INDEX('My equipment'!$D$4:$D$503,(_calc!$E$276-500)))))</f>
        <v/>
      </c>
      <c r="B274" s="54">
        <f>IF(_calc!$E$276="","",IF(_calc!$E$276&lt;=500,IF(ISNUMBER(INDEX('Dealer pipeline'!$M$4:$M$503,_calc!$E$276)),TEXT(INDEX('Dealer pipeline'!$M$4:$M$503,_calc!$E$276),"yyyy-mm-dd"),""),IF(ISNUMBER(INDEX('My equipment'!$M$4:$M$503,(_calc!$E$276-500))),TEXT(INDEX('My equipment'!$M$4:$M$503,(_calc!$E$276-500)),"yyyy-mm-dd"),"")))</f>
        <v/>
      </c>
      <c r="C274" s="54">
        <f>IF(_calc!$E$276="","",IF(_calc!$E$276&lt;=500,"Warranty","Warranty"))</f>
        <v/>
      </c>
      <c r="D274" s="54">
        <f>IF(_calc!$E$276="","",IF(_calc!$E$276&lt;=500,IF(ISNUMBER(INDEX('Dealer pipeline'!$H$4:$H$503,_calc!$E$276)),TEXT(INDEX('Dealer pipeline'!$H$4:$H$503,_calc!$E$276),"yyyy-mm-dd"),""),IF(ISNUMBER(INDEX('My equipment'!$H$4:$H$503,(_calc!$E$276-500))),TEXT(INDEX('My equipment'!$H$4:$H$503,(_calc!$E$276-500)),"yyyy-mm-dd"),"")))</f>
        <v/>
      </c>
      <c r="F274" s="54">
        <f>IF(_calc!$E$276="","",IF(_calc!$E$276&lt;=500,TRIM(IF(LEN(IF(LEN(INDEX('Dealer pipeline'!$A$4:$A$503,_calc!$E$276))=0,"",INDEX('Dealer pipeline'!$A$4:$A$503,_calc!$E$276)))=0,"","Customer: "&amp;IF(LEN(INDEX('Dealer pipeline'!$A$4:$A$503,_calc!$E$276))=0,"",INDEX('Dealer pipeline'!$A$4:$A$503,_calc!$E$276))&amp;". ")&amp;IF(LEN(IF(LEN(INDEX('Dealer pipeline'!$B$4:$B$503,_calc!$E$276))=0,"",INDEX('Dealer pipeline'!$B$4:$B$503,_calc!$E$276)))=0,"","Contact: "&amp;IF(LEN(INDEX('Dealer pipeline'!$B$4:$B$503,_calc!$E$276))=0,"",INDEX('Dealer pipeline'!$B$4:$B$503,_calc!$E$276))&amp;". ")&amp;IF(LEN(IF(LEN(INDEX('Dealer pipeline'!$D$4:$D$503,_calc!$E$276))=0,"",INDEX('Dealer pipeline'!$D$4:$D$503,_calc!$E$276)))=0,"","Serial: "&amp;IF(LEN(INDEX('Dealer pipeline'!$D$4:$D$503,_calc!$E$276))=0,"",INDEX('Dealer pipeline'!$D$4:$D$503,_calc!$E$276))&amp;". ")&amp;IF(LEN(IF(ISNUMBER(INDEX('Dealer pipeline'!$J$4:$J$503,_calc!$E$276)),TEXT(INDEX('Dealer pipeline'!$J$4:$J$503,_calc!$E$276),"yyyy-mm-dd"),""))=0,"","Parts end: "&amp;IF(ISNUMBER(INDEX('Dealer pipeline'!$J$4:$J$503,_calc!$E$276)),TEXT(INDEX('Dealer pipeline'!$J$4:$J$503,_calc!$E$276),"yyyy-mm-dd"),"")&amp;". ")&amp;IF(LEN(IF(ISNUMBER(INDEX('Dealer pipeline'!$L$4:$L$503,_calc!$E$276)),TEXT(INDEX('Dealer pipeline'!$L$4:$L$503,_calc!$E$276),"yyyy-mm-dd"),""))=0,"","Labor end: "&amp;IF(ISNUMBER(INDEX('Dealer pipeline'!$L$4:$L$503,_calc!$E$276)),TEXT(INDEX('Dealer pipeline'!$L$4:$L$503,_calc!$E$276),"yyyy-mm-dd"),"")&amp;". ")&amp;IF(LEN(IF(LEN(INDEX('Dealer pipeline'!$Q$4:$Q$503,_calc!$E$276))=0,"",INDEX('Dealer pipeline'!$Q$4:$Q$503,_calc!$E$276)))=0,"","Status: "&amp;IF(LEN(INDEX('Dealer pipeline'!$Q$4:$Q$503,_calc!$E$276))=0,"",INDEX('Dealer pipeline'!$Q$4:$Q$503,_calc!$E$276))&amp;". ")&amp;IF(LEN(IF(LEN(INDEX('Dealer pipeline'!$P$4:$P$503,_calc!$E$276))=0,"",INDEX('Dealer pipeline'!$P$4:$P$503,_calc!$E$276)))=0,"","Last touch: "&amp;IF(LEN(INDEX('Dealer pipeline'!$P$4:$P$503,_calc!$E$276))=0,"",INDEX('Dealer pipeline'!$P$4:$P$503,_calc!$E$276))&amp;". ")&amp;IF(LEN(IF(LEN(INDEX('Dealer pipeline'!$R$4:$R$503,_calc!$E$276))=0,"",INDEX('Dealer pipeline'!$R$4:$R$503,_calc!$E$276)))=0,"","Owner: "&amp;IF(LEN(INDEX('Dealer pipeline'!$R$4:$R$503,_calc!$E$276))=0,"",INDEX('Dealer pipeline'!$R$4:$R$503,_calc!$E$276))&amp;". ")&amp;IF(LEN(IF(LEN(INDEX('Dealer pipeline'!$S$4:$S$503,_calc!$E$276))=0,"",INDEX('Dealer pipeline'!$S$4:$S$503,_calc!$E$276)))=0,"","Backup: "&amp;IF(LEN(INDEX('Dealer pipeline'!$S$4:$S$503,_calc!$E$276))=0,"",INDEX('Dealer pipeline'!$S$4:$S$503,_calc!$E$276))&amp;". ")&amp;IF(LEN(IF(LEN(INDEX('Dealer pipeline'!$T$4:$T$503,_calc!$E$276))=0,"",INDEX('Dealer pipeline'!$T$4:$T$503,_calc!$E$276)))=0,"",IF(LEN(INDEX('Dealer pipeline'!$T$4:$T$503,_calc!$E$276))=0,"",INDEX('Dealer pipeline'!$T$4:$T$503,_calc!$E$276)))),TRIM(IF(LEN(IF(LEN(INDEX('My equipment'!$C$4:$C$503,(_calc!$E$276-500)))=0,"",INDEX('My equipment'!$C$4:$C$503,(_calc!$E$276-500))))=0,"","Model: "&amp;IF(LEN(INDEX('My equipment'!$C$4:$C$503,(_calc!$E$276-500)))=0,"",INDEX('My equipment'!$C$4:$C$503,(_calc!$E$276-500)))&amp;". ")&amp;IF(LEN(IF(LEN(INDEX('My equipment'!$D$4:$D$503,(_calc!$E$276-500)))=0,"",INDEX('My equipment'!$D$4:$D$503,(_calc!$E$276-500))))=0,"","Serial: "&amp;IF(LEN(INDEX('My equipment'!$D$4:$D$503,(_calc!$E$276-500)))=0,"",INDEX('My equipment'!$D$4:$D$503,(_calc!$E$276-500)))&amp;". ")&amp;IF(LEN(IF(ISNUMBER(INDEX('My equipment'!$J$4:$J$503,(_calc!$E$276-500))),TEXT(INDEX('My equipment'!$J$4:$J$503,(_calc!$E$276-500)),"yyyy-mm-dd"),""))=0,"","Parts end: "&amp;IF(ISNUMBER(INDEX('My equipment'!$J$4:$J$503,(_calc!$E$276-500))),TEXT(INDEX('My equipment'!$J$4:$J$503,(_calc!$E$276-500)),"yyyy-mm-dd"),"")&amp;". ")&amp;IF(LEN(IF(ISNUMBER(INDEX('My equipment'!$L$4:$L$503,(_calc!$E$276-500))),TEXT(INDEX('My equipment'!$L$4:$L$503,(_calc!$E$276-500)),"yyyy-mm-dd"),""))=0,"","Labor end: "&amp;IF(ISNUMBER(INDEX('My equipment'!$L$4:$L$503,(_calc!$E$276-500))),TEXT(INDEX('My equipment'!$L$4:$L$503,(_calc!$E$276-500)),"yyyy-mm-dd"),"")&amp;". ")&amp;IF(LEN(IF(ISNUMBER(INDEX('My equipment'!$P$4:$P$503,(_calc!$E$276-500))),TEXT(INDEX('My equipment'!$P$4:$P$503,(_calc!$E$276-500)),"yyyy-mm-dd"),""))=0,"","Check by: "&amp;IF(ISNUMBER(INDEX('My equipment'!$P$4:$P$503,(_calc!$E$276-500))),TEXT(INDEX('My equipment'!$P$4:$P$503,(_calc!$E$276-500)),"yyyy-mm-dd"),"")&amp;". ")&amp;IF(LEN(IF(LEN(INDEX('My equipment'!$Q$4:$Q$503,(_calc!$E$276-500)))=0,"",INDEX('My equipment'!$Q$4:$Q$503,(_calc!$E$276-500))))=0,"","Claim status: "&amp;IF(LEN(INDEX('My equipment'!$Q$4:$Q$503,(_calc!$E$276-500)))=0,"",INDEX('My equipment'!$Q$4:$Q$503,(_calc!$E$276-500)))&amp;". ")&amp;IF(LEN(IF(LEN(INDEX('My equipment'!$R$4:$R$503,(_calc!$E$276-500)))=0,"",INDEX('My equipment'!$R$4:$R$503,(_calc!$E$276-500))))=0,"","Claims contact: "&amp;IF(LEN(INDEX('My equipment'!$R$4:$R$503,(_calc!$E$276-500)))=0,"",INDEX('My equipment'!$R$4:$R$503,(_calc!$E$276-500)))&amp;". ")&amp;IF(LEN(IF(LEN(INDEX('My equipment'!$S$4:$S$503,(_calc!$E$276-500)))=0,"",INDEX('My equipment'!$S$4:$S$503,(_calc!$E$276-500))))=0,"","Claims email: "&amp;IF(LEN(INDEX('My equipment'!$S$4:$S$503,(_calc!$E$276-500)))=0,"",INDEX('My equipment'!$S$4:$S$503,(_calc!$E$276-500)))&amp;". ")&amp;IF(LEN(IF(LEN(INDEX('My equipment'!$U$4:$U$503,(_calc!$E$276-500)))=0,"",INDEX('My equipment'!$U$4:$U$503,(_calc!$E$276-500))))=0,"","Registered: "&amp;IF(LEN(INDEX('My equipment'!$U$4:$U$503,(_calc!$E$276-500)))=0,"",INDEX('My equipment'!$U$4:$U$503,(_calc!$E$276-500)))&amp;". ")&amp;IF(LEN(IF(LEN(INDEX('My equipment'!$V$4:$V$503,(_calc!$E$276-500)))=0,"",INDEX('My equipment'!$V$4:$V$503,(_calc!$E$276-500))))=0,"","Proof on file: "&amp;IF(LEN(INDEX('My equipment'!$V$4:$V$503,(_calc!$E$276-500)))=0,"",INDEX('My equipment'!$V$4:$V$503,(_calc!$E$276-500)))&amp;". ")&amp;IF(LEN(IF(LEN(INDEX('My equipment'!$W$4:$W$503,(_calc!$E$276-500)))=0,"",INDEX('My equipment'!$W$4:$W$503,(_calc!$E$276-500))))=0,"","Claim ref: "&amp;IF(LEN(INDEX('My equipment'!$W$4:$W$503,(_calc!$E$276-500)))=0,"",INDEX('My equipment'!$W$4:$W$503,(_calc!$E$276-500)))&amp;". ")&amp;IF(LEN(IF(LEN(INDEX('My equipment'!$Y$4:$Y$503,(_calc!$E$276-500)))=0,"",INDEX('My equipment'!$Y$4:$Y$503,(_calc!$E$276-500))))=0,"",IF(LEN(INDEX('My equipment'!$Y$4:$Y$503,(_calc!$E$276-500)))=0,"",INDEX('My equipment'!$Y$4:$Y$503,(_calc!$E$276-500)))))))</f>
        <v/>
      </c>
      <c r="G274" s="54">
        <f>IF(_calc!$E$276="","",IF(_calc!$E$276&lt;=500,"",IF(LEN(INDEX('My equipment'!$X$4:$X$503,(_calc!$E$276-500)))=0,"",INDEX('My equipment'!$X$4:$X$503,(_calc!$E$276-500)))))</f>
        <v/>
      </c>
      <c r="K274" s="54">
        <f>IF(_calc!$E$276="","",IF(_calc!$E$276&lt;=500,"",IF(LEN(INDEX('My equipment'!$T$4:$T$503,(_calc!$E$276-500)))=0,"",INDEX('My equipment'!$T$4:$T$503,(_calc!$E$276-500)))))</f>
        <v/>
      </c>
    </row>
    <row r="275">
      <c r="A275" s="54">
        <f>IF(_calc!$E$277="","",IF(_calc!$E$277&lt;=500,"Warranty – "&amp;IF(LEN(INDEX('Dealer pipeline'!$C$4:$C$503,_calc!$E$277))=0,"",INDEX('Dealer pipeline'!$C$4:$C$503,_calc!$E$277))&amp;" – "&amp;IF(LEN(INDEX('Dealer pipeline'!$D$4:$D$503,_calc!$E$277))=0,"",INDEX('Dealer pipeline'!$D$4:$D$503,_calc!$E$277))&amp;" – "&amp;IF(LEN(INDEX('Dealer pipeline'!$A$4:$A$503,_calc!$E$277))=0,"",INDEX('Dealer pipeline'!$A$4:$A$503,_calc!$E$277)),"Warranty – "&amp;IF(LEN(INDEX('My equipment'!$A$4:$A$503,(_calc!$E$277-500)))=0,"",INDEX('My equipment'!$A$4:$A$503,(_calc!$E$277-500)))&amp;" – "&amp;IF(LEN(INDEX('My equipment'!$D$4:$D$503,(_calc!$E$277-500)))=0,"",INDEX('My equipment'!$D$4:$D$503,(_calc!$E$277-500)))))</f>
        <v/>
      </c>
      <c r="B275" s="54">
        <f>IF(_calc!$E$277="","",IF(_calc!$E$277&lt;=500,IF(ISNUMBER(INDEX('Dealer pipeline'!$M$4:$M$503,_calc!$E$277)),TEXT(INDEX('Dealer pipeline'!$M$4:$M$503,_calc!$E$277),"yyyy-mm-dd"),""),IF(ISNUMBER(INDEX('My equipment'!$M$4:$M$503,(_calc!$E$277-500))),TEXT(INDEX('My equipment'!$M$4:$M$503,(_calc!$E$277-500)),"yyyy-mm-dd"),"")))</f>
        <v/>
      </c>
      <c r="C275" s="54">
        <f>IF(_calc!$E$277="","",IF(_calc!$E$277&lt;=500,"Warranty","Warranty"))</f>
        <v/>
      </c>
      <c r="D275" s="54">
        <f>IF(_calc!$E$277="","",IF(_calc!$E$277&lt;=500,IF(ISNUMBER(INDEX('Dealer pipeline'!$H$4:$H$503,_calc!$E$277)),TEXT(INDEX('Dealer pipeline'!$H$4:$H$503,_calc!$E$277),"yyyy-mm-dd"),""),IF(ISNUMBER(INDEX('My equipment'!$H$4:$H$503,(_calc!$E$277-500))),TEXT(INDEX('My equipment'!$H$4:$H$503,(_calc!$E$277-500)),"yyyy-mm-dd"),"")))</f>
        <v/>
      </c>
      <c r="F275" s="54">
        <f>IF(_calc!$E$277="","",IF(_calc!$E$277&lt;=500,TRIM(IF(LEN(IF(LEN(INDEX('Dealer pipeline'!$A$4:$A$503,_calc!$E$277))=0,"",INDEX('Dealer pipeline'!$A$4:$A$503,_calc!$E$277)))=0,"","Customer: "&amp;IF(LEN(INDEX('Dealer pipeline'!$A$4:$A$503,_calc!$E$277))=0,"",INDEX('Dealer pipeline'!$A$4:$A$503,_calc!$E$277))&amp;". ")&amp;IF(LEN(IF(LEN(INDEX('Dealer pipeline'!$B$4:$B$503,_calc!$E$277))=0,"",INDEX('Dealer pipeline'!$B$4:$B$503,_calc!$E$277)))=0,"","Contact: "&amp;IF(LEN(INDEX('Dealer pipeline'!$B$4:$B$503,_calc!$E$277))=0,"",INDEX('Dealer pipeline'!$B$4:$B$503,_calc!$E$277))&amp;". ")&amp;IF(LEN(IF(LEN(INDEX('Dealer pipeline'!$D$4:$D$503,_calc!$E$277))=0,"",INDEX('Dealer pipeline'!$D$4:$D$503,_calc!$E$277)))=0,"","Serial: "&amp;IF(LEN(INDEX('Dealer pipeline'!$D$4:$D$503,_calc!$E$277))=0,"",INDEX('Dealer pipeline'!$D$4:$D$503,_calc!$E$277))&amp;". ")&amp;IF(LEN(IF(ISNUMBER(INDEX('Dealer pipeline'!$J$4:$J$503,_calc!$E$277)),TEXT(INDEX('Dealer pipeline'!$J$4:$J$503,_calc!$E$277),"yyyy-mm-dd"),""))=0,"","Parts end: "&amp;IF(ISNUMBER(INDEX('Dealer pipeline'!$J$4:$J$503,_calc!$E$277)),TEXT(INDEX('Dealer pipeline'!$J$4:$J$503,_calc!$E$277),"yyyy-mm-dd"),"")&amp;". ")&amp;IF(LEN(IF(ISNUMBER(INDEX('Dealer pipeline'!$L$4:$L$503,_calc!$E$277)),TEXT(INDEX('Dealer pipeline'!$L$4:$L$503,_calc!$E$277),"yyyy-mm-dd"),""))=0,"","Labor end: "&amp;IF(ISNUMBER(INDEX('Dealer pipeline'!$L$4:$L$503,_calc!$E$277)),TEXT(INDEX('Dealer pipeline'!$L$4:$L$503,_calc!$E$277),"yyyy-mm-dd"),"")&amp;". ")&amp;IF(LEN(IF(LEN(INDEX('Dealer pipeline'!$Q$4:$Q$503,_calc!$E$277))=0,"",INDEX('Dealer pipeline'!$Q$4:$Q$503,_calc!$E$277)))=0,"","Status: "&amp;IF(LEN(INDEX('Dealer pipeline'!$Q$4:$Q$503,_calc!$E$277))=0,"",INDEX('Dealer pipeline'!$Q$4:$Q$503,_calc!$E$277))&amp;". ")&amp;IF(LEN(IF(LEN(INDEX('Dealer pipeline'!$P$4:$P$503,_calc!$E$277))=0,"",INDEX('Dealer pipeline'!$P$4:$P$503,_calc!$E$277)))=0,"","Last touch: "&amp;IF(LEN(INDEX('Dealer pipeline'!$P$4:$P$503,_calc!$E$277))=0,"",INDEX('Dealer pipeline'!$P$4:$P$503,_calc!$E$277))&amp;". ")&amp;IF(LEN(IF(LEN(INDEX('Dealer pipeline'!$R$4:$R$503,_calc!$E$277))=0,"",INDEX('Dealer pipeline'!$R$4:$R$503,_calc!$E$277)))=0,"","Owner: "&amp;IF(LEN(INDEX('Dealer pipeline'!$R$4:$R$503,_calc!$E$277))=0,"",INDEX('Dealer pipeline'!$R$4:$R$503,_calc!$E$277))&amp;". ")&amp;IF(LEN(IF(LEN(INDEX('Dealer pipeline'!$S$4:$S$503,_calc!$E$277))=0,"",INDEX('Dealer pipeline'!$S$4:$S$503,_calc!$E$277)))=0,"","Backup: "&amp;IF(LEN(INDEX('Dealer pipeline'!$S$4:$S$503,_calc!$E$277))=0,"",INDEX('Dealer pipeline'!$S$4:$S$503,_calc!$E$277))&amp;". ")&amp;IF(LEN(IF(LEN(INDEX('Dealer pipeline'!$T$4:$T$503,_calc!$E$277))=0,"",INDEX('Dealer pipeline'!$T$4:$T$503,_calc!$E$277)))=0,"",IF(LEN(INDEX('Dealer pipeline'!$T$4:$T$503,_calc!$E$277))=0,"",INDEX('Dealer pipeline'!$T$4:$T$503,_calc!$E$277)))),TRIM(IF(LEN(IF(LEN(INDEX('My equipment'!$C$4:$C$503,(_calc!$E$277-500)))=0,"",INDEX('My equipment'!$C$4:$C$503,(_calc!$E$277-500))))=0,"","Model: "&amp;IF(LEN(INDEX('My equipment'!$C$4:$C$503,(_calc!$E$277-500)))=0,"",INDEX('My equipment'!$C$4:$C$503,(_calc!$E$277-500)))&amp;". ")&amp;IF(LEN(IF(LEN(INDEX('My equipment'!$D$4:$D$503,(_calc!$E$277-500)))=0,"",INDEX('My equipment'!$D$4:$D$503,(_calc!$E$277-500))))=0,"","Serial: "&amp;IF(LEN(INDEX('My equipment'!$D$4:$D$503,(_calc!$E$277-500)))=0,"",INDEX('My equipment'!$D$4:$D$503,(_calc!$E$277-500)))&amp;". ")&amp;IF(LEN(IF(ISNUMBER(INDEX('My equipment'!$J$4:$J$503,(_calc!$E$277-500))),TEXT(INDEX('My equipment'!$J$4:$J$503,(_calc!$E$277-500)),"yyyy-mm-dd"),""))=0,"","Parts end: "&amp;IF(ISNUMBER(INDEX('My equipment'!$J$4:$J$503,(_calc!$E$277-500))),TEXT(INDEX('My equipment'!$J$4:$J$503,(_calc!$E$277-500)),"yyyy-mm-dd"),"")&amp;". ")&amp;IF(LEN(IF(ISNUMBER(INDEX('My equipment'!$L$4:$L$503,(_calc!$E$277-500))),TEXT(INDEX('My equipment'!$L$4:$L$503,(_calc!$E$277-500)),"yyyy-mm-dd"),""))=0,"","Labor end: "&amp;IF(ISNUMBER(INDEX('My equipment'!$L$4:$L$503,(_calc!$E$277-500))),TEXT(INDEX('My equipment'!$L$4:$L$503,(_calc!$E$277-500)),"yyyy-mm-dd"),"")&amp;". ")&amp;IF(LEN(IF(ISNUMBER(INDEX('My equipment'!$P$4:$P$503,(_calc!$E$277-500))),TEXT(INDEX('My equipment'!$P$4:$P$503,(_calc!$E$277-500)),"yyyy-mm-dd"),""))=0,"","Check by: "&amp;IF(ISNUMBER(INDEX('My equipment'!$P$4:$P$503,(_calc!$E$277-500))),TEXT(INDEX('My equipment'!$P$4:$P$503,(_calc!$E$277-500)),"yyyy-mm-dd"),"")&amp;". ")&amp;IF(LEN(IF(LEN(INDEX('My equipment'!$Q$4:$Q$503,(_calc!$E$277-500)))=0,"",INDEX('My equipment'!$Q$4:$Q$503,(_calc!$E$277-500))))=0,"","Claim status: "&amp;IF(LEN(INDEX('My equipment'!$Q$4:$Q$503,(_calc!$E$277-500)))=0,"",INDEX('My equipment'!$Q$4:$Q$503,(_calc!$E$277-500)))&amp;". ")&amp;IF(LEN(IF(LEN(INDEX('My equipment'!$R$4:$R$503,(_calc!$E$277-500)))=0,"",INDEX('My equipment'!$R$4:$R$503,(_calc!$E$277-500))))=0,"","Claims contact: "&amp;IF(LEN(INDEX('My equipment'!$R$4:$R$503,(_calc!$E$277-500)))=0,"",INDEX('My equipment'!$R$4:$R$503,(_calc!$E$277-500)))&amp;". ")&amp;IF(LEN(IF(LEN(INDEX('My equipment'!$S$4:$S$503,(_calc!$E$277-500)))=0,"",INDEX('My equipment'!$S$4:$S$503,(_calc!$E$277-500))))=0,"","Claims email: "&amp;IF(LEN(INDEX('My equipment'!$S$4:$S$503,(_calc!$E$277-500)))=0,"",INDEX('My equipment'!$S$4:$S$503,(_calc!$E$277-500)))&amp;". ")&amp;IF(LEN(IF(LEN(INDEX('My equipment'!$U$4:$U$503,(_calc!$E$277-500)))=0,"",INDEX('My equipment'!$U$4:$U$503,(_calc!$E$277-500))))=0,"","Registered: "&amp;IF(LEN(INDEX('My equipment'!$U$4:$U$503,(_calc!$E$277-500)))=0,"",INDEX('My equipment'!$U$4:$U$503,(_calc!$E$277-500)))&amp;". ")&amp;IF(LEN(IF(LEN(INDEX('My equipment'!$V$4:$V$503,(_calc!$E$277-500)))=0,"",INDEX('My equipment'!$V$4:$V$503,(_calc!$E$277-500))))=0,"","Proof on file: "&amp;IF(LEN(INDEX('My equipment'!$V$4:$V$503,(_calc!$E$277-500)))=0,"",INDEX('My equipment'!$V$4:$V$503,(_calc!$E$277-500)))&amp;". ")&amp;IF(LEN(IF(LEN(INDEX('My equipment'!$W$4:$W$503,(_calc!$E$277-500)))=0,"",INDEX('My equipment'!$W$4:$W$503,(_calc!$E$277-500))))=0,"","Claim ref: "&amp;IF(LEN(INDEX('My equipment'!$W$4:$W$503,(_calc!$E$277-500)))=0,"",INDEX('My equipment'!$W$4:$W$503,(_calc!$E$277-500)))&amp;". ")&amp;IF(LEN(IF(LEN(INDEX('My equipment'!$Y$4:$Y$503,(_calc!$E$277-500)))=0,"",INDEX('My equipment'!$Y$4:$Y$503,(_calc!$E$277-500))))=0,"",IF(LEN(INDEX('My equipment'!$Y$4:$Y$503,(_calc!$E$277-500)))=0,"",INDEX('My equipment'!$Y$4:$Y$503,(_calc!$E$277-500)))))))</f>
        <v/>
      </c>
      <c r="G275" s="54">
        <f>IF(_calc!$E$277="","",IF(_calc!$E$277&lt;=500,"",IF(LEN(INDEX('My equipment'!$X$4:$X$503,(_calc!$E$277-500)))=0,"",INDEX('My equipment'!$X$4:$X$503,(_calc!$E$277-500)))))</f>
        <v/>
      </c>
      <c r="K275" s="54">
        <f>IF(_calc!$E$277="","",IF(_calc!$E$277&lt;=500,"",IF(LEN(INDEX('My equipment'!$T$4:$T$503,(_calc!$E$277-500)))=0,"",INDEX('My equipment'!$T$4:$T$503,(_calc!$E$277-500)))))</f>
        <v/>
      </c>
    </row>
    <row r="276">
      <c r="A276" s="54">
        <f>IF(_calc!$E$278="","",IF(_calc!$E$278&lt;=500,"Warranty – "&amp;IF(LEN(INDEX('Dealer pipeline'!$C$4:$C$503,_calc!$E$278))=0,"",INDEX('Dealer pipeline'!$C$4:$C$503,_calc!$E$278))&amp;" – "&amp;IF(LEN(INDEX('Dealer pipeline'!$D$4:$D$503,_calc!$E$278))=0,"",INDEX('Dealer pipeline'!$D$4:$D$503,_calc!$E$278))&amp;" – "&amp;IF(LEN(INDEX('Dealer pipeline'!$A$4:$A$503,_calc!$E$278))=0,"",INDEX('Dealer pipeline'!$A$4:$A$503,_calc!$E$278)),"Warranty – "&amp;IF(LEN(INDEX('My equipment'!$A$4:$A$503,(_calc!$E$278-500)))=0,"",INDEX('My equipment'!$A$4:$A$503,(_calc!$E$278-500)))&amp;" – "&amp;IF(LEN(INDEX('My equipment'!$D$4:$D$503,(_calc!$E$278-500)))=0,"",INDEX('My equipment'!$D$4:$D$503,(_calc!$E$278-500)))))</f>
        <v/>
      </c>
      <c r="B276" s="54">
        <f>IF(_calc!$E$278="","",IF(_calc!$E$278&lt;=500,IF(ISNUMBER(INDEX('Dealer pipeline'!$M$4:$M$503,_calc!$E$278)),TEXT(INDEX('Dealer pipeline'!$M$4:$M$503,_calc!$E$278),"yyyy-mm-dd"),""),IF(ISNUMBER(INDEX('My equipment'!$M$4:$M$503,(_calc!$E$278-500))),TEXT(INDEX('My equipment'!$M$4:$M$503,(_calc!$E$278-500)),"yyyy-mm-dd"),"")))</f>
        <v/>
      </c>
      <c r="C276" s="54">
        <f>IF(_calc!$E$278="","",IF(_calc!$E$278&lt;=500,"Warranty","Warranty"))</f>
        <v/>
      </c>
      <c r="D276" s="54">
        <f>IF(_calc!$E$278="","",IF(_calc!$E$278&lt;=500,IF(ISNUMBER(INDEX('Dealer pipeline'!$H$4:$H$503,_calc!$E$278)),TEXT(INDEX('Dealer pipeline'!$H$4:$H$503,_calc!$E$278),"yyyy-mm-dd"),""),IF(ISNUMBER(INDEX('My equipment'!$H$4:$H$503,(_calc!$E$278-500))),TEXT(INDEX('My equipment'!$H$4:$H$503,(_calc!$E$278-500)),"yyyy-mm-dd"),"")))</f>
        <v/>
      </c>
      <c r="F276" s="54">
        <f>IF(_calc!$E$278="","",IF(_calc!$E$278&lt;=500,TRIM(IF(LEN(IF(LEN(INDEX('Dealer pipeline'!$A$4:$A$503,_calc!$E$278))=0,"",INDEX('Dealer pipeline'!$A$4:$A$503,_calc!$E$278)))=0,"","Customer: "&amp;IF(LEN(INDEX('Dealer pipeline'!$A$4:$A$503,_calc!$E$278))=0,"",INDEX('Dealer pipeline'!$A$4:$A$503,_calc!$E$278))&amp;". ")&amp;IF(LEN(IF(LEN(INDEX('Dealer pipeline'!$B$4:$B$503,_calc!$E$278))=0,"",INDEX('Dealer pipeline'!$B$4:$B$503,_calc!$E$278)))=0,"","Contact: "&amp;IF(LEN(INDEX('Dealer pipeline'!$B$4:$B$503,_calc!$E$278))=0,"",INDEX('Dealer pipeline'!$B$4:$B$503,_calc!$E$278))&amp;". ")&amp;IF(LEN(IF(LEN(INDEX('Dealer pipeline'!$D$4:$D$503,_calc!$E$278))=0,"",INDEX('Dealer pipeline'!$D$4:$D$503,_calc!$E$278)))=0,"","Serial: "&amp;IF(LEN(INDEX('Dealer pipeline'!$D$4:$D$503,_calc!$E$278))=0,"",INDEX('Dealer pipeline'!$D$4:$D$503,_calc!$E$278))&amp;". ")&amp;IF(LEN(IF(ISNUMBER(INDEX('Dealer pipeline'!$J$4:$J$503,_calc!$E$278)),TEXT(INDEX('Dealer pipeline'!$J$4:$J$503,_calc!$E$278),"yyyy-mm-dd"),""))=0,"","Parts end: "&amp;IF(ISNUMBER(INDEX('Dealer pipeline'!$J$4:$J$503,_calc!$E$278)),TEXT(INDEX('Dealer pipeline'!$J$4:$J$503,_calc!$E$278),"yyyy-mm-dd"),"")&amp;". ")&amp;IF(LEN(IF(ISNUMBER(INDEX('Dealer pipeline'!$L$4:$L$503,_calc!$E$278)),TEXT(INDEX('Dealer pipeline'!$L$4:$L$503,_calc!$E$278),"yyyy-mm-dd"),""))=0,"","Labor end: "&amp;IF(ISNUMBER(INDEX('Dealer pipeline'!$L$4:$L$503,_calc!$E$278)),TEXT(INDEX('Dealer pipeline'!$L$4:$L$503,_calc!$E$278),"yyyy-mm-dd"),"")&amp;". ")&amp;IF(LEN(IF(LEN(INDEX('Dealer pipeline'!$Q$4:$Q$503,_calc!$E$278))=0,"",INDEX('Dealer pipeline'!$Q$4:$Q$503,_calc!$E$278)))=0,"","Status: "&amp;IF(LEN(INDEX('Dealer pipeline'!$Q$4:$Q$503,_calc!$E$278))=0,"",INDEX('Dealer pipeline'!$Q$4:$Q$503,_calc!$E$278))&amp;". ")&amp;IF(LEN(IF(LEN(INDEX('Dealer pipeline'!$P$4:$P$503,_calc!$E$278))=0,"",INDEX('Dealer pipeline'!$P$4:$P$503,_calc!$E$278)))=0,"","Last touch: "&amp;IF(LEN(INDEX('Dealer pipeline'!$P$4:$P$503,_calc!$E$278))=0,"",INDEX('Dealer pipeline'!$P$4:$P$503,_calc!$E$278))&amp;". ")&amp;IF(LEN(IF(LEN(INDEX('Dealer pipeline'!$R$4:$R$503,_calc!$E$278))=0,"",INDEX('Dealer pipeline'!$R$4:$R$503,_calc!$E$278)))=0,"","Owner: "&amp;IF(LEN(INDEX('Dealer pipeline'!$R$4:$R$503,_calc!$E$278))=0,"",INDEX('Dealer pipeline'!$R$4:$R$503,_calc!$E$278))&amp;". ")&amp;IF(LEN(IF(LEN(INDEX('Dealer pipeline'!$S$4:$S$503,_calc!$E$278))=0,"",INDEX('Dealer pipeline'!$S$4:$S$503,_calc!$E$278)))=0,"","Backup: "&amp;IF(LEN(INDEX('Dealer pipeline'!$S$4:$S$503,_calc!$E$278))=0,"",INDEX('Dealer pipeline'!$S$4:$S$503,_calc!$E$278))&amp;". ")&amp;IF(LEN(IF(LEN(INDEX('Dealer pipeline'!$T$4:$T$503,_calc!$E$278))=0,"",INDEX('Dealer pipeline'!$T$4:$T$503,_calc!$E$278)))=0,"",IF(LEN(INDEX('Dealer pipeline'!$T$4:$T$503,_calc!$E$278))=0,"",INDEX('Dealer pipeline'!$T$4:$T$503,_calc!$E$278)))),TRIM(IF(LEN(IF(LEN(INDEX('My equipment'!$C$4:$C$503,(_calc!$E$278-500)))=0,"",INDEX('My equipment'!$C$4:$C$503,(_calc!$E$278-500))))=0,"","Model: "&amp;IF(LEN(INDEX('My equipment'!$C$4:$C$503,(_calc!$E$278-500)))=0,"",INDEX('My equipment'!$C$4:$C$503,(_calc!$E$278-500)))&amp;". ")&amp;IF(LEN(IF(LEN(INDEX('My equipment'!$D$4:$D$503,(_calc!$E$278-500)))=0,"",INDEX('My equipment'!$D$4:$D$503,(_calc!$E$278-500))))=0,"","Serial: "&amp;IF(LEN(INDEX('My equipment'!$D$4:$D$503,(_calc!$E$278-500)))=0,"",INDEX('My equipment'!$D$4:$D$503,(_calc!$E$278-500)))&amp;". ")&amp;IF(LEN(IF(ISNUMBER(INDEX('My equipment'!$J$4:$J$503,(_calc!$E$278-500))),TEXT(INDEX('My equipment'!$J$4:$J$503,(_calc!$E$278-500)),"yyyy-mm-dd"),""))=0,"","Parts end: "&amp;IF(ISNUMBER(INDEX('My equipment'!$J$4:$J$503,(_calc!$E$278-500))),TEXT(INDEX('My equipment'!$J$4:$J$503,(_calc!$E$278-500)),"yyyy-mm-dd"),"")&amp;". ")&amp;IF(LEN(IF(ISNUMBER(INDEX('My equipment'!$L$4:$L$503,(_calc!$E$278-500))),TEXT(INDEX('My equipment'!$L$4:$L$503,(_calc!$E$278-500)),"yyyy-mm-dd"),""))=0,"","Labor end: "&amp;IF(ISNUMBER(INDEX('My equipment'!$L$4:$L$503,(_calc!$E$278-500))),TEXT(INDEX('My equipment'!$L$4:$L$503,(_calc!$E$278-500)),"yyyy-mm-dd"),"")&amp;". ")&amp;IF(LEN(IF(ISNUMBER(INDEX('My equipment'!$P$4:$P$503,(_calc!$E$278-500))),TEXT(INDEX('My equipment'!$P$4:$P$503,(_calc!$E$278-500)),"yyyy-mm-dd"),""))=0,"","Check by: "&amp;IF(ISNUMBER(INDEX('My equipment'!$P$4:$P$503,(_calc!$E$278-500))),TEXT(INDEX('My equipment'!$P$4:$P$503,(_calc!$E$278-500)),"yyyy-mm-dd"),"")&amp;". ")&amp;IF(LEN(IF(LEN(INDEX('My equipment'!$Q$4:$Q$503,(_calc!$E$278-500)))=0,"",INDEX('My equipment'!$Q$4:$Q$503,(_calc!$E$278-500))))=0,"","Claim status: "&amp;IF(LEN(INDEX('My equipment'!$Q$4:$Q$503,(_calc!$E$278-500)))=0,"",INDEX('My equipment'!$Q$4:$Q$503,(_calc!$E$278-500)))&amp;". ")&amp;IF(LEN(IF(LEN(INDEX('My equipment'!$R$4:$R$503,(_calc!$E$278-500)))=0,"",INDEX('My equipment'!$R$4:$R$503,(_calc!$E$278-500))))=0,"","Claims contact: "&amp;IF(LEN(INDEX('My equipment'!$R$4:$R$503,(_calc!$E$278-500)))=0,"",INDEX('My equipment'!$R$4:$R$503,(_calc!$E$278-500)))&amp;". ")&amp;IF(LEN(IF(LEN(INDEX('My equipment'!$S$4:$S$503,(_calc!$E$278-500)))=0,"",INDEX('My equipment'!$S$4:$S$503,(_calc!$E$278-500))))=0,"","Claims email: "&amp;IF(LEN(INDEX('My equipment'!$S$4:$S$503,(_calc!$E$278-500)))=0,"",INDEX('My equipment'!$S$4:$S$503,(_calc!$E$278-500)))&amp;". ")&amp;IF(LEN(IF(LEN(INDEX('My equipment'!$U$4:$U$503,(_calc!$E$278-500)))=0,"",INDEX('My equipment'!$U$4:$U$503,(_calc!$E$278-500))))=0,"","Registered: "&amp;IF(LEN(INDEX('My equipment'!$U$4:$U$503,(_calc!$E$278-500)))=0,"",INDEX('My equipment'!$U$4:$U$503,(_calc!$E$278-500)))&amp;". ")&amp;IF(LEN(IF(LEN(INDEX('My equipment'!$V$4:$V$503,(_calc!$E$278-500)))=0,"",INDEX('My equipment'!$V$4:$V$503,(_calc!$E$278-500))))=0,"","Proof on file: "&amp;IF(LEN(INDEX('My equipment'!$V$4:$V$503,(_calc!$E$278-500)))=0,"",INDEX('My equipment'!$V$4:$V$503,(_calc!$E$278-500)))&amp;". ")&amp;IF(LEN(IF(LEN(INDEX('My equipment'!$W$4:$W$503,(_calc!$E$278-500)))=0,"",INDEX('My equipment'!$W$4:$W$503,(_calc!$E$278-500))))=0,"","Claim ref: "&amp;IF(LEN(INDEX('My equipment'!$W$4:$W$503,(_calc!$E$278-500)))=0,"",INDEX('My equipment'!$W$4:$W$503,(_calc!$E$278-500)))&amp;". ")&amp;IF(LEN(IF(LEN(INDEX('My equipment'!$Y$4:$Y$503,(_calc!$E$278-500)))=0,"",INDEX('My equipment'!$Y$4:$Y$503,(_calc!$E$278-500))))=0,"",IF(LEN(INDEX('My equipment'!$Y$4:$Y$503,(_calc!$E$278-500)))=0,"",INDEX('My equipment'!$Y$4:$Y$503,(_calc!$E$278-500)))))))</f>
        <v/>
      </c>
      <c r="G276" s="54">
        <f>IF(_calc!$E$278="","",IF(_calc!$E$278&lt;=500,"",IF(LEN(INDEX('My equipment'!$X$4:$X$503,(_calc!$E$278-500)))=0,"",INDEX('My equipment'!$X$4:$X$503,(_calc!$E$278-500)))))</f>
        <v/>
      </c>
      <c r="K276" s="54">
        <f>IF(_calc!$E$278="","",IF(_calc!$E$278&lt;=500,"",IF(LEN(INDEX('My equipment'!$T$4:$T$503,(_calc!$E$278-500)))=0,"",INDEX('My equipment'!$T$4:$T$503,(_calc!$E$278-500)))))</f>
        <v/>
      </c>
    </row>
    <row r="277">
      <c r="A277" s="54">
        <f>IF(_calc!$E$279="","",IF(_calc!$E$279&lt;=500,"Warranty – "&amp;IF(LEN(INDEX('Dealer pipeline'!$C$4:$C$503,_calc!$E$279))=0,"",INDEX('Dealer pipeline'!$C$4:$C$503,_calc!$E$279))&amp;" – "&amp;IF(LEN(INDEX('Dealer pipeline'!$D$4:$D$503,_calc!$E$279))=0,"",INDEX('Dealer pipeline'!$D$4:$D$503,_calc!$E$279))&amp;" – "&amp;IF(LEN(INDEX('Dealer pipeline'!$A$4:$A$503,_calc!$E$279))=0,"",INDEX('Dealer pipeline'!$A$4:$A$503,_calc!$E$279)),"Warranty – "&amp;IF(LEN(INDEX('My equipment'!$A$4:$A$503,(_calc!$E$279-500)))=0,"",INDEX('My equipment'!$A$4:$A$503,(_calc!$E$279-500)))&amp;" – "&amp;IF(LEN(INDEX('My equipment'!$D$4:$D$503,(_calc!$E$279-500)))=0,"",INDEX('My equipment'!$D$4:$D$503,(_calc!$E$279-500)))))</f>
        <v/>
      </c>
      <c r="B277" s="54">
        <f>IF(_calc!$E$279="","",IF(_calc!$E$279&lt;=500,IF(ISNUMBER(INDEX('Dealer pipeline'!$M$4:$M$503,_calc!$E$279)),TEXT(INDEX('Dealer pipeline'!$M$4:$M$503,_calc!$E$279),"yyyy-mm-dd"),""),IF(ISNUMBER(INDEX('My equipment'!$M$4:$M$503,(_calc!$E$279-500))),TEXT(INDEX('My equipment'!$M$4:$M$503,(_calc!$E$279-500)),"yyyy-mm-dd"),"")))</f>
        <v/>
      </c>
      <c r="C277" s="54">
        <f>IF(_calc!$E$279="","",IF(_calc!$E$279&lt;=500,"Warranty","Warranty"))</f>
        <v/>
      </c>
      <c r="D277" s="54">
        <f>IF(_calc!$E$279="","",IF(_calc!$E$279&lt;=500,IF(ISNUMBER(INDEX('Dealer pipeline'!$H$4:$H$503,_calc!$E$279)),TEXT(INDEX('Dealer pipeline'!$H$4:$H$503,_calc!$E$279),"yyyy-mm-dd"),""),IF(ISNUMBER(INDEX('My equipment'!$H$4:$H$503,(_calc!$E$279-500))),TEXT(INDEX('My equipment'!$H$4:$H$503,(_calc!$E$279-500)),"yyyy-mm-dd"),"")))</f>
        <v/>
      </c>
      <c r="F277" s="54">
        <f>IF(_calc!$E$279="","",IF(_calc!$E$279&lt;=500,TRIM(IF(LEN(IF(LEN(INDEX('Dealer pipeline'!$A$4:$A$503,_calc!$E$279))=0,"",INDEX('Dealer pipeline'!$A$4:$A$503,_calc!$E$279)))=0,"","Customer: "&amp;IF(LEN(INDEX('Dealer pipeline'!$A$4:$A$503,_calc!$E$279))=0,"",INDEX('Dealer pipeline'!$A$4:$A$503,_calc!$E$279))&amp;". ")&amp;IF(LEN(IF(LEN(INDEX('Dealer pipeline'!$B$4:$B$503,_calc!$E$279))=0,"",INDEX('Dealer pipeline'!$B$4:$B$503,_calc!$E$279)))=0,"","Contact: "&amp;IF(LEN(INDEX('Dealer pipeline'!$B$4:$B$503,_calc!$E$279))=0,"",INDEX('Dealer pipeline'!$B$4:$B$503,_calc!$E$279))&amp;". ")&amp;IF(LEN(IF(LEN(INDEX('Dealer pipeline'!$D$4:$D$503,_calc!$E$279))=0,"",INDEX('Dealer pipeline'!$D$4:$D$503,_calc!$E$279)))=0,"","Serial: "&amp;IF(LEN(INDEX('Dealer pipeline'!$D$4:$D$503,_calc!$E$279))=0,"",INDEX('Dealer pipeline'!$D$4:$D$503,_calc!$E$279))&amp;". ")&amp;IF(LEN(IF(ISNUMBER(INDEX('Dealer pipeline'!$J$4:$J$503,_calc!$E$279)),TEXT(INDEX('Dealer pipeline'!$J$4:$J$503,_calc!$E$279),"yyyy-mm-dd"),""))=0,"","Parts end: "&amp;IF(ISNUMBER(INDEX('Dealer pipeline'!$J$4:$J$503,_calc!$E$279)),TEXT(INDEX('Dealer pipeline'!$J$4:$J$503,_calc!$E$279),"yyyy-mm-dd"),"")&amp;". ")&amp;IF(LEN(IF(ISNUMBER(INDEX('Dealer pipeline'!$L$4:$L$503,_calc!$E$279)),TEXT(INDEX('Dealer pipeline'!$L$4:$L$503,_calc!$E$279),"yyyy-mm-dd"),""))=0,"","Labor end: "&amp;IF(ISNUMBER(INDEX('Dealer pipeline'!$L$4:$L$503,_calc!$E$279)),TEXT(INDEX('Dealer pipeline'!$L$4:$L$503,_calc!$E$279),"yyyy-mm-dd"),"")&amp;". ")&amp;IF(LEN(IF(LEN(INDEX('Dealer pipeline'!$Q$4:$Q$503,_calc!$E$279))=0,"",INDEX('Dealer pipeline'!$Q$4:$Q$503,_calc!$E$279)))=0,"","Status: "&amp;IF(LEN(INDEX('Dealer pipeline'!$Q$4:$Q$503,_calc!$E$279))=0,"",INDEX('Dealer pipeline'!$Q$4:$Q$503,_calc!$E$279))&amp;". ")&amp;IF(LEN(IF(LEN(INDEX('Dealer pipeline'!$P$4:$P$503,_calc!$E$279))=0,"",INDEX('Dealer pipeline'!$P$4:$P$503,_calc!$E$279)))=0,"","Last touch: "&amp;IF(LEN(INDEX('Dealer pipeline'!$P$4:$P$503,_calc!$E$279))=0,"",INDEX('Dealer pipeline'!$P$4:$P$503,_calc!$E$279))&amp;". ")&amp;IF(LEN(IF(LEN(INDEX('Dealer pipeline'!$R$4:$R$503,_calc!$E$279))=0,"",INDEX('Dealer pipeline'!$R$4:$R$503,_calc!$E$279)))=0,"","Owner: "&amp;IF(LEN(INDEX('Dealer pipeline'!$R$4:$R$503,_calc!$E$279))=0,"",INDEX('Dealer pipeline'!$R$4:$R$503,_calc!$E$279))&amp;". ")&amp;IF(LEN(IF(LEN(INDEX('Dealer pipeline'!$S$4:$S$503,_calc!$E$279))=0,"",INDEX('Dealer pipeline'!$S$4:$S$503,_calc!$E$279)))=0,"","Backup: "&amp;IF(LEN(INDEX('Dealer pipeline'!$S$4:$S$503,_calc!$E$279))=0,"",INDEX('Dealer pipeline'!$S$4:$S$503,_calc!$E$279))&amp;". ")&amp;IF(LEN(IF(LEN(INDEX('Dealer pipeline'!$T$4:$T$503,_calc!$E$279))=0,"",INDEX('Dealer pipeline'!$T$4:$T$503,_calc!$E$279)))=0,"",IF(LEN(INDEX('Dealer pipeline'!$T$4:$T$503,_calc!$E$279))=0,"",INDEX('Dealer pipeline'!$T$4:$T$503,_calc!$E$279)))),TRIM(IF(LEN(IF(LEN(INDEX('My equipment'!$C$4:$C$503,(_calc!$E$279-500)))=0,"",INDEX('My equipment'!$C$4:$C$503,(_calc!$E$279-500))))=0,"","Model: "&amp;IF(LEN(INDEX('My equipment'!$C$4:$C$503,(_calc!$E$279-500)))=0,"",INDEX('My equipment'!$C$4:$C$503,(_calc!$E$279-500)))&amp;". ")&amp;IF(LEN(IF(LEN(INDEX('My equipment'!$D$4:$D$503,(_calc!$E$279-500)))=0,"",INDEX('My equipment'!$D$4:$D$503,(_calc!$E$279-500))))=0,"","Serial: "&amp;IF(LEN(INDEX('My equipment'!$D$4:$D$503,(_calc!$E$279-500)))=0,"",INDEX('My equipment'!$D$4:$D$503,(_calc!$E$279-500)))&amp;". ")&amp;IF(LEN(IF(ISNUMBER(INDEX('My equipment'!$J$4:$J$503,(_calc!$E$279-500))),TEXT(INDEX('My equipment'!$J$4:$J$503,(_calc!$E$279-500)),"yyyy-mm-dd"),""))=0,"","Parts end: "&amp;IF(ISNUMBER(INDEX('My equipment'!$J$4:$J$503,(_calc!$E$279-500))),TEXT(INDEX('My equipment'!$J$4:$J$503,(_calc!$E$279-500)),"yyyy-mm-dd"),"")&amp;". ")&amp;IF(LEN(IF(ISNUMBER(INDEX('My equipment'!$L$4:$L$503,(_calc!$E$279-500))),TEXT(INDEX('My equipment'!$L$4:$L$503,(_calc!$E$279-500)),"yyyy-mm-dd"),""))=0,"","Labor end: "&amp;IF(ISNUMBER(INDEX('My equipment'!$L$4:$L$503,(_calc!$E$279-500))),TEXT(INDEX('My equipment'!$L$4:$L$503,(_calc!$E$279-500)),"yyyy-mm-dd"),"")&amp;". ")&amp;IF(LEN(IF(ISNUMBER(INDEX('My equipment'!$P$4:$P$503,(_calc!$E$279-500))),TEXT(INDEX('My equipment'!$P$4:$P$503,(_calc!$E$279-500)),"yyyy-mm-dd"),""))=0,"","Check by: "&amp;IF(ISNUMBER(INDEX('My equipment'!$P$4:$P$503,(_calc!$E$279-500))),TEXT(INDEX('My equipment'!$P$4:$P$503,(_calc!$E$279-500)),"yyyy-mm-dd"),"")&amp;". ")&amp;IF(LEN(IF(LEN(INDEX('My equipment'!$Q$4:$Q$503,(_calc!$E$279-500)))=0,"",INDEX('My equipment'!$Q$4:$Q$503,(_calc!$E$279-500))))=0,"","Claim status: "&amp;IF(LEN(INDEX('My equipment'!$Q$4:$Q$503,(_calc!$E$279-500)))=0,"",INDEX('My equipment'!$Q$4:$Q$503,(_calc!$E$279-500)))&amp;". ")&amp;IF(LEN(IF(LEN(INDEX('My equipment'!$R$4:$R$503,(_calc!$E$279-500)))=0,"",INDEX('My equipment'!$R$4:$R$503,(_calc!$E$279-500))))=0,"","Claims contact: "&amp;IF(LEN(INDEX('My equipment'!$R$4:$R$503,(_calc!$E$279-500)))=0,"",INDEX('My equipment'!$R$4:$R$503,(_calc!$E$279-500)))&amp;". ")&amp;IF(LEN(IF(LEN(INDEX('My equipment'!$S$4:$S$503,(_calc!$E$279-500)))=0,"",INDEX('My equipment'!$S$4:$S$503,(_calc!$E$279-500))))=0,"","Claims email: "&amp;IF(LEN(INDEX('My equipment'!$S$4:$S$503,(_calc!$E$279-500)))=0,"",INDEX('My equipment'!$S$4:$S$503,(_calc!$E$279-500)))&amp;". ")&amp;IF(LEN(IF(LEN(INDEX('My equipment'!$U$4:$U$503,(_calc!$E$279-500)))=0,"",INDEX('My equipment'!$U$4:$U$503,(_calc!$E$279-500))))=0,"","Registered: "&amp;IF(LEN(INDEX('My equipment'!$U$4:$U$503,(_calc!$E$279-500)))=0,"",INDEX('My equipment'!$U$4:$U$503,(_calc!$E$279-500)))&amp;". ")&amp;IF(LEN(IF(LEN(INDEX('My equipment'!$V$4:$V$503,(_calc!$E$279-500)))=0,"",INDEX('My equipment'!$V$4:$V$503,(_calc!$E$279-500))))=0,"","Proof on file: "&amp;IF(LEN(INDEX('My equipment'!$V$4:$V$503,(_calc!$E$279-500)))=0,"",INDEX('My equipment'!$V$4:$V$503,(_calc!$E$279-500)))&amp;". ")&amp;IF(LEN(IF(LEN(INDEX('My equipment'!$W$4:$W$503,(_calc!$E$279-500)))=0,"",INDEX('My equipment'!$W$4:$W$503,(_calc!$E$279-500))))=0,"","Claim ref: "&amp;IF(LEN(INDEX('My equipment'!$W$4:$W$503,(_calc!$E$279-500)))=0,"",INDEX('My equipment'!$W$4:$W$503,(_calc!$E$279-500)))&amp;". ")&amp;IF(LEN(IF(LEN(INDEX('My equipment'!$Y$4:$Y$503,(_calc!$E$279-500)))=0,"",INDEX('My equipment'!$Y$4:$Y$503,(_calc!$E$279-500))))=0,"",IF(LEN(INDEX('My equipment'!$Y$4:$Y$503,(_calc!$E$279-500)))=0,"",INDEX('My equipment'!$Y$4:$Y$503,(_calc!$E$279-500)))))))</f>
        <v/>
      </c>
      <c r="G277" s="54">
        <f>IF(_calc!$E$279="","",IF(_calc!$E$279&lt;=500,"",IF(LEN(INDEX('My equipment'!$X$4:$X$503,(_calc!$E$279-500)))=0,"",INDEX('My equipment'!$X$4:$X$503,(_calc!$E$279-500)))))</f>
        <v/>
      </c>
      <c r="K277" s="54">
        <f>IF(_calc!$E$279="","",IF(_calc!$E$279&lt;=500,"",IF(LEN(INDEX('My equipment'!$T$4:$T$503,(_calc!$E$279-500)))=0,"",INDEX('My equipment'!$T$4:$T$503,(_calc!$E$279-500)))))</f>
        <v/>
      </c>
    </row>
    <row r="278">
      <c r="A278" s="54">
        <f>IF(_calc!$E$280="","",IF(_calc!$E$280&lt;=500,"Warranty – "&amp;IF(LEN(INDEX('Dealer pipeline'!$C$4:$C$503,_calc!$E$280))=0,"",INDEX('Dealer pipeline'!$C$4:$C$503,_calc!$E$280))&amp;" – "&amp;IF(LEN(INDEX('Dealer pipeline'!$D$4:$D$503,_calc!$E$280))=0,"",INDEX('Dealer pipeline'!$D$4:$D$503,_calc!$E$280))&amp;" – "&amp;IF(LEN(INDEX('Dealer pipeline'!$A$4:$A$503,_calc!$E$280))=0,"",INDEX('Dealer pipeline'!$A$4:$A$503,_calc!$E$280)),"Warranty – "&amp;IF(LEN(INDEX('My equipment'!$A$4:$A$503,(_calc!$E$280-500)))=0,"",INDEX('My equipment'!$A$4:$A$503,(_calc!$E$280-500)))&amp;" – "&amp;IF(LEN(INDEX('My equipment'!$D$4:$D$503,(_calc!$E$280-500)))=0,"",INDEX('My equipment'!$D$4:$D$503,(_calc!$E$280-500)))))</f>
        <v/>
      </c>
      <c r="B278" s="54">
        <f>IF(_calc!$E$280="","",IF(_calc!$E$280&lt;=500,IF(ISNUMBER(INDEX('Dealer pipeline'!$M$4:$M$503,_calc!$E$280)),TEXT(INDEX('Dealer pipeline'!$M$4:$M$503,_calc!$E$280),"yyyy-mm-dd"),""),IF(ISNUMBER(INDEX('My equipment'!$M$4:$M$503,(_calc!$E$280-500))),TEXT(INDEX('My equipment'!$M$4:$M$503,(_calc!$E$280-500)),"yyyy-mm-dd"),"")))</f>
        <v/>
      </c>
      <c r="C278" s="54">
        <f>IF(_calc!$E$280="","",IF(_calc!$E$280&lt;=500,"Warranty","Warranty"))</f>
        <v/>
      </c>
      <c r="D278" s="54">
        <f>IF(_calc!$E$280="","",IF(_calc!$E$280&lt;=500,IF(ISNUMBER(INDEX('Dealer pipeline'!$H$4:$H$503,_calc!$E$280)),TEXT(INDEX('Dealer pipeline'!$H$4:$H$503,_calc!$E$280),"yyyy-mm-dd"),""),IF(ISNUMBER(INDEX('My equipment'!$H$4:$H$503,(_calc!$E$280-500))),TEXT(INDEX('My equipment'!$H$4:$H$503,(_calc!$E$280-500)),"yyyy-mm-dd"),"")))</f>
        <v/>
      </c>
      <c r="F278" s="54">
        <f>IF(_calc!$E$280="","",IF(_calc!$E$280&lt;=500,TRIM(IF(LEN(IF(LEN(INDEX('Dealer pipeline'!$A$4:$A$503,_calc!$E$280))=0,"",INDEX('Dealer pipeline'!$A$4:$A$503,_calc!$E$280)))=0,"","Customer: "&amp;IF(LEN(INDEX('Dealer pipeline'!$A$4:$A$503,_calc!$E$280))=0,"",INDEX('Dealer pipeline'!$A$4:$A$503,_calc!$E$280))&amp;". ")&amp;IF(LEN(IF(LEN(INDEX('Dealer pipeline'!$B$4:$B$503,_calc!$E$280))=0,"",INDEX('Dealer pipeline'!$B$4:$B$503,_calc!$E$280)))=0,"","Contact: "&amp;IF(LEN(INDEX('Dealer pipeline'!$B$4:$B$503,_calc!$E$280))=0,"",INDEX('Dealer pipeline'!$B$4:$B$503,_calc!$E$280))&amp;". ")&amp;IF(LEN(IF(LEN(INDEX('Dealer pipeline'!$D$4:$D$503,_calc!$E$280))=0,"",INDEX('Dealer pipeline'!$D$4:$D$503,_calc!$E$280)))=0,"","Serial: "&amp;IF(LEN(INDEX('Dealer pipeline'!$D$4:$D$503,_calc!$E$280))=0,"",INDEX('Dealer pipeline'!$D$4:$D$503,_calc!$E$280))&amp;". ")&amp;IF(LEN(IF(ISNUMBER(INDEX('Dealer pipeline'!$J$4:$J$503,_calc!$E$280)),TEXT(INDEX('Dealer pipeline'!$J$4:$J$503,_calc!$E$280),"yyyy-mm-dd"),""))=0,"","Parts end: "&amp;IF(ISNUMBER(INDEX('Dealer pipeline'!$J$4:$J$503,_calc!$E$280)),TEXT(INDEX('Dealer pipeline'!$J$4:$J$503,_calc!$E$280),"yyyy-mm-dd"),"")&amp;". ")&amp;IF(LEN(IF(ISNUMBER(INDEX('Dealer pipeline'!$L$4:$L$503,_calc!$E$280)),TEXT(INDEX('Dealer pipeline'!$L$4:$L$503,_calc!$E$280),"yyyy-mm-dd"),""))=0,"","Labor end: "&amp;IF(ISNUMBER(INDEX('Dealer pipeline'!$L$4:$L$503,_calc!$E$280)),TEXT(INDEX('Dealer pipeline'!$L$4:$L$503,_calc!$E$280),"yyyy-mm-dd"),"")&amp;". ")&amp;IF(LEN(IF(LEN(INDEX('Dealer pipeline'!$Q$4:$Q$503,_calc!$E$280))=0,"",INDEX('Dealer pipeline'!$Q$4:$Q$503,_calc!$E$280)))=0,"","Status: "&amp;IF(LEN(INDEX('Dealer pipeline'!$Q$4:$Q$503,_calc!$E$280))=0,"",INDEX('Dealer pipeline'!$Q$4:$Q$503,_calc!$E$280))&amp;". ")&amp;IF(LEN(IF(LEN(INDEX('Dealer pipeline'!$P$4:$P$503,_calc!$E$280))=0,"",INDEX('Dealer pipeline'!$P$4:$P$503,_calc!$E$280)))=0,"","Last touch: "&amp;IF(LEN(INDEX('Dealer pipeline'!$P$4:$P$503,_calc!$E$280))=0,"",INDEX('Dealer pipeline'!$P$4:$P$503,_calc!$E$280))&amp;". ")&amp;IF(LEN(IF(LEN(INDEX('Dealer pipeline'!$R$4:$R$503,_calc!$E$280))=0,"",INDEX('Dealer pipeline'!$R$4:$R$503,_calc!$E$280)))=0,"","Owner: "&amp;IF(LEN(INDEX('Dealer pipeline'!$R$4:$R$503,_calc!$E$280))=0,"",INDEX('Dealer pipeline'!$R$4:$R$503,_calc!$E$280))&amp;". ")&amp;IF(LEN(IF(LEN(INDEX('Dealer pipeline'!$S$4:$S$503,_calc!$E$280))=0,"",INDEX('Dealer pipeline'!$S$4:$S$503,_calc!$E$280)))=0,"","Backup: "&amp;IF(LEN(INDEX('Dealer pipeline'!$S$4:$S$503,_calc!$E$280))=0,"",INDEX('Dealer pipeline'!$S$4:$S$503,_calc!$E$280))&amp;". ")&amp;IF(LEN(IF(LEN(INDEX('Dealer pipeline'!$T$4:$T$503,_calc!$E$280))=0,"",INDEX('Dealer pipeline'!$T$4:$T$503,_calc!$E$280)))=0,"",IF(LEN(INDEX('Dealer pipeline'!$T$4:$T$503,_calc!$E$280))=0,"",INDEX('Dealer pipeline'!$T$4:$T$503,_calc!$E$280)))),TRIM(IF(LEN(IF(LEN(INDEX('My equipment'!$C$4:$C$503,(_calc!$E$280-500)))=0,"",INDEX('My equipment'!$C$4:$C$503,(_calc!$E$280-500))))=0,"","Model: "&amp;IF(LEN(INDEX('My equipment'!$C$4:$C$503,(_calc!$E$280-500)))=0,"",INDEX('My equipment'!$C$4:$C$503,(_calc!$E$280-500)))&amp;". ")&amp;IF(LEN(IF(LEN(INDEX('My equipment'!$D$4:$D$503,(_calc!$E$280-500)))=0,"",INDEX('My equipment'!$D$4:$D$503,(_calc!$E$280-500))))=0,"","Serial: "&amp;IF(LEN(INDEX('My equipment'!$D$4:$D$503,(_calc!$E$280-500)))=0,"",INDEX('My equipment'!$D$4:$D$503,(_calc!$E$280-500)))&amp;". ")&amp;IF(LEN(IF(ISNUMBER(INDEX('My equipment'!$J$4:$J$503,(_calc!$E$280-500))),TEXT(INDEX('My equipment'!$J$4:$J$503,(_calc!$E$280-500)),"yyyy-mm-dd"),""))=0,"","Parts end: "&amp;IF(ISNUMBER(INDEX('My equipment'!$J$4:$J$503,(_calc!$E$280-500))),TEXT(INDEX('My equipment'!$J$4:$J$503,(_calc!$E$280-500)),"yyyy-mm-dd"),"")&amp;". ")&amp;IF(LEN(IF(ISNUMBER(INDEX('My equipment'!$L$4:$L$503,(_calc!$E$280-500))),TEXT(INDEX('My equipment'!$L$4:$L$503,(_calc!$E$280-500)),"yyyy-mm-dd"),""))=0,"","Labor end: "&amp;IF(ISNUMBER(INDEX('My equipment'!$L$4:$L$503,(_calc!$E$280-500))),TEXT(INDEX('My equipment'!$L$4:$L$503,(_calc!$E$280-500)),"yyyy-mm-dd"),"")&amp;". ")&amp;IF(LEN(IF(ISNUMBER(INDEX('My equipment'!$P$4:$P$503,(_calc!$E$280-500))),TEXT(INDEX('My equipment'!$P$4:$P$503,(_calc!$E$280-500)),"yyyy-mm-dd"),""))=0,"","Check by: "&amp;IF(ISNUMBER(INDEX('My equipment'!$P$4:$P$503,(_calc!$E$280-500))),TEXT(INDEX('My equipment'!$P$4:$P$503,(_calc!$E$280-500)),"yyyy-mm-dd"),"")&amp;". ")&amp;IF(LEN(IF(LEN(INDEX('My equipment'!$Q$4:$Q$503,(_calc!$E$280-500)))=0,"",INDEX('My equipment'!$Q$4:$Q$503,(_calc!$E$280-500))))=0,"","Claim status: "&amp;IF(LEN(INDEX('My equipment'!$Q$4:$Q$503,(_calc!$E$280-500)))=0,"",INDEX('My equipment'!$Q$4:$Q$503,(_calc!$E$280-500)))&amp;". ")&amp;IF(LEN(IF(LEN(INDEX('My equipment'!$R$4:$R$503,(_calc!$E$280-500)))=0,"",INDEX('My equipment'!$R$4:$R$503,(_calc!$E$280-500))))=0,"","Claims contact: "&amp;IF(LEN(INDEX('My equipment'!$R$4:$R$503,(_calc!$E$280-500)))=0,"",INDEX('My equipment'!$R$4:$R$503,(_calc!$E$280-500)))&amp;". ")&amp;IF(LEN(IF(LEN(INDEX('My equipment'!$S$4:$S$503,(_calc!$E$280-500)))=0,"",INDEX('My equipment'!$S$4:$S$503,(_calc!$E$280-500))))=0,"","Claims email: "&amp;IF(LEN(INDEX('My equipment'!$S$4:$S$503,(_calc!$E$280-500)))=0,"",INDEX('My equipment'!$S$4:$S$503,(_calc!$E$280-500)))&amp;". ")&amp;IF(LEN(IF(LEN(INDEX('My equipment'!$U$4:$U$503,(_calc!$E$280-500)))=0,"",INDEX('My equipment'!$U$4:$U$503,(_calc!$E$280-500))))=0,"","Registered: "&amp;IF(LEN(INDEX('My equipment'!$U$4:$U$503,(_calc!$E$280-500)))=0,"",INDEX('My equipment'!$U$4:$U$503,(_calc!$E$280-500)))&amp;". ")&amp;IF(LEN(IF(LEN(INDEX('My equipment'!$V$4:$V$503,(_calc!$E$280-500)))=0,"",INDEX('My equipment'!$V$4:$V$503,(_calc!$E$280-500))))=0,"","Proof on file: "&amp;IF(LEN(INDEX('My equipment'!$V$4:$V$503,(_calc!$E$280-500)))=0,"",INDEX('My equipment'!$V$4:$V$503,(_calc!$E$280-500)))&amp;". ")&amp;IF(LEN(IF(LEN(INDEX('My equipment'!$W$4:$W$503,(_calc!$E$280-500)))=0,"",INDEX('My equipment'!$W$4:$W$503,(_calc!$E$280-500))))=0,"","Claim ref: "&amp;IF(LEN(INDEX('My equipment'!$W$4:$W$503,(_calc!$E$280-500)))=0,"",INDEX('My equipment'!$W$4:$W$503,(_calc!$E$280-500)))&amp;". ")&amp;IF(LEN(IF(LEN(INDEX('My equipment'!$Y$4:$Y$503,(_calc!$E$280-500)))=0,"",INDEX('My equipment'!$Y$4:$Y$503,(_calc!$E$280-500))))=0,"",IF(LEN(INDEX('My equipment'!$Y$4:$Y$503,(_calc!$E$280-500)))=0,"",INDEX('My equipment'!$Y$4:$Y$503,(_calc!$E$280-500)))))))</f>
        <v/>
      </c>
      <c r="G278" s="54">
        <f>IF(_calc!$E$280="","",IF(_calc!$E$280&lt;=500,"",IF(LEN(INDEX('My equipment'!$X$4:$X$503,(_calc!$E$280-500)))=0,"",INDEX('My equipment'!$X$4:$X$503,(_calc!$E$280-500)))))</f>
        <v/>
      </c>
      <c r="K278" s="54">
        <f>IF(_calc!$E$280="","",IF(_calc!$E$280&lt;=500,"",IF(LEN(INDEX('My equipment'!$T$4:$T$503,(_calc!$E$280-500)))=0,"",INDEX('My equipment'!$T$4:$T$503,(_calc!$E$280-500)))))</f>
        <v/>
      </c>
    </row>
    <row r="279">
      <c r="A279" s="54">
        <f>IF(_calc!$E$281="","",IF(_calc!$E$281&lt;=500,"Warranty – "&amp;IF(LEN(INDEX('Dealer pipeline'!$C$4:$C$503,_calc!$E$281))=0,"",INDEX('Dealer pipeline'!$C$4:$C$503,_calc!$E$281))&amp;" – "&amp;IF(LEN(INDEX('Dealer pipeline'!$D$4:$D$503,_calc!$E$281))=0,"",INDEX('Dealer pipeline'!$D$4:$D$503,_calc!$E$281))&amp;" – "&amp;IF(LEN(INDEX('Dealer pipeline'!$A$4:$A$503,_calc!$E$281))=0,"",INDEX('Dealer pipeline'!$A$4:$A$503,_calc!$E$281)),"Warranty – "&amp;IF(LEN(INDEX('My equipment'!$A$4:$A$503,(_calc!$E$281-500)))=0,"",INDEX('My equipment'!$A$4:$A$503,(_calc!$E$281-500)))&amp;" – "&amp;IF(LEN(INDEX('My equipment'!$D$4:$D$503,(_calc!$E$281-500)))=0,"",INDEX('My equipment'!$D$4:$D$503,(_calc!$E$281-500)))))</f>
        <v/>
      </c>
      <c r="B279" s="54">
        <f>IF(_calc!$E$281="","",IF(_calc!$E$281&lt;=500,IF(ISNUMBER(INDEX('Dealer pipeline'!$M$4:$M$503,_calc!$E$281)),TEXT(INDEX('Dealer pipeline'!$M$4:$M$503,_calc!$E$281),"yyyy-mm-dd"),""),IF(ISNUMBER(INDEX('My equipment'!$M$4:$M$503,(_calc!$E$281-500))),TEXT(INDEX('My equipment'!$M$4:$M$503,(_calc!$E$281-500)),"yyyy-mm-dd"),"")))</f>
        <v/>
      </c>
      <c r="C279" s="54">
        <f>IF(_calc!$E$281="","",IF(_calc!$E$281&lt;=500,"Warranty","Warranty"))</f>
        <v/>
      </c>
      <c r="D279" s="54">
        <f>IF(_calc!$E$281="","",IF(_calc!$E$281&lt;=500,IF(ISNUMBER(INDEX('Dealer pipeline'!$H$4:$H$503,_calc!$E$281)),TEXT(INDEX('Dealer pipeline'!$H$4:$H$503,_calc!$E$281),"yyyy-mm-dd"),""),IF(ISNUMBER(INDEX('My equipment'!$H$4:$H$503,(_calc!$E$281-500))),TEXT(INDEX('My equipment'!$H$4:$H$503,(_calc!$E$281-500)),"yyyy-mm-dd"),"")))</f>
        <v/>
      </c>
      <c r="F279" s="54">
        <f>IF(_calc!$E$281="","",IF(_calc!$E$281&lt;=500,TRIM(IF(LEN(IF(LEN(INDEX('Dealer pipeline'!$A$4:$A$503,_calc!$E$281))=0,"",INDEX('Dealer pipeline'!$A$4:$A$503,_calc!$E$281)))=0,"","Customer: "&amp;IF(LEN(INDEX('Dealer pipeline'!$A$4:$A$503,_calc!$E$281))=0,"",INDEX('Dealer pipeline'!$A$4:$A$503,_calc!$E$281))&amp;". ")&amp;IF(LEN(IF(LEN(INDEX('Dealer pipeline'!$B$4:$B$503,_calc!$E$281))=0,"",INDEX('Dealer pipeline'!$B$4:$B$503,_calc!$E$281)))=0,"","Contact: "&amp;IF(LEN(INDEX('Dealer pipeline'!$B$4:$B$503,_calc!$E$281))=0,"",INDEX('Dealer pipeline'!$B$4:$B$503,_calc!$E$281))&amp;". ")&amp;IF(LEN(IF(LEN(INDEX('Dealer pipeline'!$D$4:$D$503,_calc!$E$281))=0,"",INDEX('Dealer pipeline'!$D$4:$D$503,_calc!$E$281)))=0,"","Serial: "&amp;IF(LEN(INDEX('Dealer pipeline'!$D$4:$D$503,_calc!$E$281))=0,"",INDEX('Dealer pipeline'!$D$4:$D$503,_calc!$E$281))&amp;". ")&amp;IF(LEN(IF(ISNUMBER(INDEX('Dealer pipeline'!$J$4:$J$503,_calc!$E$281)),TEXT(INDEX('Dealer pipeline'!$J$4:$J$503,_calc!$E$281),"yyyy-mm-dd"),""))=0,"","Parts end: "&amp;IF(ISNUMBER(INDEX('Dealer pipeline'!$J$4:$J$503,_calc!$E$281)),TEXT(INDEX('Dealer pipeline'!$J$4:$J$503,_calc!$E$281),"yyyy-mm-dd"),"")&amp;". ")&amp;IF(LEN(IF(ISNUMBER(INDEX('Dealer pipeline'!$L$4:$L$503,_calc!$E$281)),TEXT(INDEX('Dealer pipeline'!$L$4:$L$503,_calc!$E$281),"yyyy-mm-dd"),""))=0,"","Labor end: "&amp;IF(ISNUMBER(INDEX('Dealer pipeline'!$L$4:$L$503,_calc!$E$281)),TEXT(INDEX('Dealer pipeline'!$L$4:$L$503,_calc!$E$281),"yyyy-mm-dd"),"")&amp;". ")&amp;IF(LEN(IF(LEN(INDEX('Dealer pipeline'!$Q$4:$Q$503,_calc!$E$281))=0,"",INDEX('Dealer pipeline'!$Q$4:$Q$503,_calc!$E$281)))=0,"","Status: "&amp;IF(LEN(INDEX('Dealer pipeline'!$Q$4:$Q$503,_calc!$E$281))=0,"",INDEX('Dealer pipeline'!$Q$4:$Q$503,_calc!$E$281))&amp;". ")&amp;IF(LEN(IF(LEN(INDEX('Dealer pipeline'!$P$4:$P$503,_calc!$E$281))=0,"",INDEX('Dealer pipeline'!$P$4:$P$503,_calc!$E$281)))=0,"","Last touch: "&amp;IF(LEN(INDEX('Dealer pipeline'!$P$4:$P$503,_calc!$E$281))=0,"",INDEX('Dealer pipeline'!$P$4:$P$503,_calc!$E$281))&amp;". ")&amp;IF(LEN(IF(LEN(INDEX('Dealer pipeline'!$R$4:$R$503,_calc!$E$281))=0,"",INDEX('Dealer pipeline'!$R$4:$R$503,_calc!$E$281)))=0,"","Owner: "&amp;IF(LEN(INDEX('Dealer pipeline'!$R$4:$R$503,_calc!$E$281))=0,"",INDEX('Dealer pipeline'!$R$4:$R$503,_calc!$E$281))&amp;". ")&amp;IF(LEN(IF(LEN(INDEX('Dealer pipeline'!$S$4:$S$503,_calc!$E$281))=0,"",INDEX('Dealer pipeline'!$S$4:$S$503,_calc!$E$281)))=0,"","Backup: "&amp;IF(LEN(INDEX('Dealer pipeline'!$S$4:$S$503,_calc!$E$281))=0,"",INDEX('Dealer pipeline'!$S$4:$S$503,_calc!$E$281))&amp;". ")&amp;IF(LEN(IF(LEN(INDEX('Dealer pipeline'!$T$4:$T$503,_calc!$E$281))=0,"",INDEX('Dealer pipeline'!$T$4:$T$503,_calc!$E$281)))=0,"",IF(LEN(INDEX('Dealer pipeline'!$T$4:$T$503,_calc!$E$281))=0,"",INDEX('Dealer pipeline'!$T$4:$T$503,_calc!$E$281)))),TRIM(IF(LEN(IF(LEN(INDEX('My equipment'!$C$4:$C$503,(_calc!$E$281-500)))=0,"",INDEX('My equipment'!$C$4:$C$503,(_calc!$E$281-500))))=0,"","Model: "&amp;IF(LEN(INDEX('My equipment'!$C$4:$C$503,(_calc!$E$281-500)))=0,"",INDEX('My equipment'!$C$4:$C$503,(_calc!$E$281-500)))&amp;". ")&amp;IF(LEN(IF(LEN(INDEX('My equipment'!$D$4:$D$503,(_calc!$E$281-500)))=0,"",INDEX('My equipment'!$D$4:$D$503,(_calc!$E$281-500))))=0,"","Serial: "&amp;IF(LEN(INDEX('My equipment'!$D$4:$D$503,(_calc!$E$281-500)))=0,"",INDEX('My equipment'!$D$4:$D$503,(_calc!$E$281-500)))&amp;". ")&amp;IF(LEN(IF(ISNUMBER(INDEX('My equipment'!$J$4:$J$503,(_calc!$E$281-500))),TEXT(INDEX('My equipment'!$J$4:$J$503,(_calc!$E$281-500)),"yyyy-mm-dd"),""))=0,"","Parts end: "&amp;IF(ISNUMBER(INDEX('My equipment'!$J$4:$J$503,(_calc!$E$281-500))),TEXT(INDEX('My equipment'!$J$4:$J$503,(_calc!$E$281-500)),"yyyy-mm-dd"),"")&amp;". ")&amp;IF(LEN(IF(ISNUMBER(INDEX('My equipment'!$L$4:$L$503,(_calc!$E$281-500))),TEXT(INDEX('My equipment'!$L$4:$L$503,(_calc!$E$281-500)),"yyyy-mm-dd"),""))=0,"","Labor end: "&amp;IF(ISNUMBER(INDEX('My equipment'!$L$4:$L$503,(_calc!$E$281-500))),TEXT(INDEX('My equipment'!$L$4:$L$503,(_calc!$E$281-500)),"yyyy-mm-dd"),"")&amp;". ")&amp;IF(LEN(IF(ISNUMBER(INDEX('My equipment'!$P$4:$P$503,(_calc!$E$281-500))),TEXT(INDEX('My equipment'!$P$4:$P$503,(_calc!$E$281-500)),"yyyy-mm-dd"),""))=0,"","Check by: "&amp;IF(ISNUMBER(INDEX('My equipment'!$P$4:$P$503,(_calc!$E$281-500))),TEXT(INDEX('My equipment'!$P$4:$P$503,(_calc!$E$281-500)),"yyyy-mm-dd"),"")&amp;". ")&amp;IF(LEN(IF(LEN(INDEX('My equipment'!$Q$4:$Q$503,(_calc!$E$281-500)))=0,"",INDEX('My equipment'!$Q$4:$Q$503,(_calc!$E$281-500))))=0,"","Claim status: "&amp;IF(LEN(INDEX('My equipment'!$Q$4:$Q$503,(_calc!$E$281-500)))=0,"",INDEX('My equipment'!$Q$4:$Q$503,(_calc!$E$281-500)))&amp;". ")&amp;IF(LEN(IF(LEN(INDEX('My equipment'!$R$4:$R$503,(_calc!$E$281-500)))=0,"",INDEX('My equipment'!$R$4:$R$503,(_calc!$E$281-500))))=0,"","Claims contact: "&amp;IF(LEN(INDEX('My equipment'!$R$4:$R$503,(_calc!$E$281-500)))=0,"",INDEX('My equipment'!$R$4:$R$503,(_calc!$E$281-500)))&amp;". ")&amp;IF(LEN(IF(LEN(INDEX('My equipment'!$S$4:$S$503,(_calc!$E$281-500)))=0,"",INDEX('My equipment'!$S$4:$S$503,(_calc!$E$281-500))))=0,"","Claims email: "&amp;IF(LEN(INDEX('My equipment'!$S$4:$S$503,(_calc!$E$281-500)))=0,"",INDEX('My equipment'!$S$4:$S$503,(_calc!$E$281-500)))&amp;". ")&amp;IF(LEN(IF(LEN(INDEX('My equipment'!$U$4:$U$503,(_calc!$E$281-500)))=0,"",INDEX('My equipment'!$U$4:$U$503,(_calc!$E$281-500))))=0,"","Registered: "&amp;IF(LEN(INDEX('My equipment'!$U$4:$U$503,(_calc!$E$281-500)))=0,"",INDEX('My equipment'!$U$4:$U$503,(_calc!$E$281-500)))&amp;". ")&amp;IF(LEN(IF(LEN(INDEX('My equipment'!$V$4:$V$503,(_calc!$E$281-500)))=0,"",INDEX('My equipment'!$V$4:$V$503,(_calc!$E$281-500))))=0,"","Proof on file: "&amp;IF(LEN(INDEX('My equipment'!$V$4:$V$503,(_calc!$E$281-500)))=0,"",INDEX('My equipment'!$V$4:$V$503,(_calc!$E$281-500)))&amp;". ")&amp;IF(LEN(IF(LEN(INDEX('My equipment'!$W$4:$W$503,(_calc!$E$281-500)))=0,"",INDEX('My equipment'!$W$4:$W$503,(_calc!$E$281-500))))=0,"","Claim ref: "&amp;IF(LEN(INDEX('My equipment'!$W$4:$W$503,(_calc!$E$281-500)))=0,"",INDEX('My equipment'!$W$4:$W$503,(_calc!$E$281-500)))&amp;". ")&amp;IF(LEN(IF(LEN(INDEX('My equipment'!$Y$4:$Y$503,(_calc!$E$281-500)))=0,"",INDEX('My equipment'!$Y$4:$Y$503,(_calc!$E$281-500))))=0,"",IF(LEN(INDEX('My equipment'!$Y$4:$Y$503,(_calc!$E$281-500)))=0,"",INDEX('My equipment'!$Y$4:$Y$503,(_calc!$E$281-500)))))))</f>
        <v/>
      </c>
      <c r="G279" s="54">
        <f>IF(_calc!$E$281="","",IF(_calc!$E$281&lt;=500,"",IF(LEN(INDEX('My equipment'!$X$4:$X$503,(_calc!$E$281-500)))=0,"",INDEX('My equipment'!$X$4:$X$503,(_calc!$E$281-500)))))</f>
        <v/>
      </c>
      <c r="K279" s="54">
        <f>IF(_calc!$E$281="","",IF(_calc!$E$281&lt;=500,"",IF(LEN(INDEX('My equipment'!$T$4:$T$503,(_calc!$E$281-500)))=0,"",INDEX('My equipment'!$T$4:$T$503,(_calc!$E$281-500)))))</f>
        <v/>
      </c>
    </row>
    <row r="280">
      <c r="A280" s="54">
        <f>IF(_calc!$E$282="","",IF(_calc!$E$282&lt;=500,"Warranty – "&amp;IF(LEN(INDEX('Dealer pipeline'!$C$4:$C$503,_calc!$E$282))=0,"",INDEX('Dealer pipeline'!$C$4:$C$503,_calc!$E$282))&amp;" – "&amp;IF(LEN(INDEX('Dealer pipeline'!$D$4:$D$503,_calc!$E$282))=0,"",INDEX('Dealer pipeline'!$D$4:$D$503,_calc!$E$282))&amp;" – "&amp;IF(LEN(INDEX('Dealer pipeline'!$A$4:$A$503,_calc!$E$282))=0,"",INDEX('Dealer pipeline'!$A$4:$A$503,_calc!$E$282)),"Warranty – "&amp;IF(LEN(INDEX('My equipment'!$A$4:$A$503,(_calc!$E$282-500)))=0,"",INDEX('My equipment'!$A$4:$A$503,(_calc!$E$282-500)))&amp;" – "&amp;IF(LEN(INDEX('My equipment'!$D$4:$D$503,(_calc!$E$282-500)))=0,"",INDEX('My equipment'!$D$4:$D$503,(_calc!$E$282-500)))))</f>
        <v/>
      </c>
      <c r="B280" s="54">
        <f>IF(_calc!$E$282="","",IF(_calc!$E$282&lt;=500,IF(ISNUMBER(INDEX('Dealer pipeline'!$M$4:$M$503,_calc!$E$282)),TEXT(INDEX('Dealer pipeline'!$M$4:$M$503,_calc!$E$282),"yyyy-mm-dd"),""),IF(ISNUMBER(INDEX('My equipment'!$M$4:$M$503,(_calc!$E$282-500))),TEXT(INDEX('My equipment'!$M$4:$M$503,(_calc!$E$282-500)),"yyyy-mm-dd"),"")))</f>
        <v/>
      </c>
      <c r="C280" s="54">
        <f>IF(_calc!$E$282="","",IF(_calc!$E$282&lt;=500,"Warranty","Warranty"))</f>
        <v/>
      </c>
      <c r="D280" s="54">
        <f>IF(_calc!$E$282="","",IF(_calc!$E$282&lt;=500,IF(ISNUMBER(INDEX('Dealer pipeline'!$H$4:$H$503,_calc!$E$282)),TEXT(INDEX('Dealer pipeline'!$H$4:$H$503,_calc!$E$282),"yyyy-mm-dd"),""),IF(ISNUMBER(INDEX('My equipment'!$H$4:$H$503,(_calc!$E$282-500))),TEXT(INDEX('My equipment'!$H$4:$H$503,(_calc!$E$282-500)),"yyyy-mm-dd"),"")))</f>
        <v/>
      </c>
      <c r="F280" s="54">
        <f>IF(_calc!$E$282="","",IF(_calc!$E$282&lt;=500,TRIM(IF(LEN(IF(LEN(INDEX('Dealer pipeline'!$A$4:$A$503,_calc!$E$282))=0,"",INDEX('Dealer pipeline'!$A$4:$A$503,_calc!$E$282)))=0,"","Customer: "&amp;IF(LEN(INDEX('Dealer pipeline'!$A$4:$A$503,_calc!$E$282))=0,"",INDEX('Dealer pipeline'!$A$4:$A$503,_calc!$E$282))&amp;". ")&amp;IF(LEN(IF(LEN(INDEX('Dealer pipeline'!$B$4:$B$503,_calc!$E$282))=0,"",INDEX('Dealer pipeline'!$B$4:$B$503,_calc!$E$282)))=0,"","Contact: "&amp;IF(LEN(INDEX('Dealer pipeline'!$B$4:$B$503,_calc!$E$282))=0,"",INDEX('Dealer pipeline'!$B$4:$B$503,_calc!$E$282))&amp;". ")&amp;IF(LEN(IF(LEN(INDEX('Dealer pipeline'!$D$4:$D$503,_calc!$E$282))=0,"",INDEX('Dealer pipeline'!$D$4:$D$503,_calc!$E$282)))=0,"","Serial: "&amp;IF(LEN(INDEX('Dealer pipeline'!$D$4:$D$503,_calc!$E$282))=0,"",INDEX('Dealer pipeline'!$D$4:$D$503,_calc!$E$282))&amp;". ")&amp;IF(LEN(IF(ISNUMBER(INDEX('Dealer pipeline'!$J$4:$J$503,_calc!$E$282)),TEXT(INDEX('Dealer pipeline'!$J$4:$J$503,_calc!$E$282),"yyyy-mm-dd"),""))=0,"","Parts end: "&amp;IF(ISNUMBER(INDEX('Dealer pipeline'!$J$4:$J$503,_calc!$E$282)),TEXT(INDEX('Dealer pipeline'!$J$4:$J$503,_calc!$E$282),"yyyy-mm-dd"),"")&amp;". ")&amp;IF(LEN(IF(ISNUMBER(INDEX('Dealer pipeline'!$L$4:$L$503,_calc!$E$282)),TEXT(INDEX('Dealer pipeline'!$L$4:$L$503,_calc!$E$282),"yyyy-mm-dd"),""))=0,"","Labor end: "&amp;IF(ISNUMBER(INDEX('Dealer pipeline'!$L$4:$L$503,_calc!$E$282)),TEXT(INDEX('Dealer pipeline'!$L$4:$L$503,_calc!$E$282),"yyyy-mm-dd"),"")&amp;". ")&amp;IF(LEN(IF(LEN(INDEX('Dealer pipeline'!$Q$4:$Q$503,_calc!$E$282))=0,"",INDEX('Dealer pipeline'!$Q$4:$Q$503,_calc!$E$282)))=0,"","Status: "&amp;IF(LEN(INDEX('Dealer pipeline'!$Q$4:$Q$503,_calc!$E$282))=0,"",INDEX('Dealer pipeline'!$Q$4:$Q$503,_calc!$E$282))&amp;". ")&amp;IF(LEN(IF(LEN(INDEX('Dealer pipeline'!$P$4:$P$503,_calc!$E$282))=0,"",INDEX('Dealer pipeline'!$P$4:$P$503,_calc!$E$282)))=0,"","Last touch: "&amp;IF(LEN(INDEX('Dealer pipeline'!$P$4:$P$503,_calc!$E$282))=0,"",INDEX('Dealer pipeline'!$P$4:$P$503,_calc!$E$282))&amp;". ")&amp;IF(LEN(IF(LEN(INDEX('Dealer pipeline'!$R$4:$R$503,_calc!$E$282))=0,"",INDEX('Dealer pipeline'!$R$4:$R$503,_calc!$E$282)))=0,"","Owner: "&amp;IF(LEN(INDEX('Dealer pipeline'!$R$4:$R$503,_calc!$E$282))=0,"",INDEX('Dealer pipeline'!$R$4:$R$503,_calc!$E$282))&amp;". ")&amp;IF(LEN(IF(LEN(INDEX('Dealer pipeline'!$S$4:$S$503,_calc!$E$282))=0,"",INDEX('Dealer pipeline'!$S$4:$S$503,_calc!$E$282)))=0,"","Backup: "&amp;IF(LEN(INDEX('Dealer pipeline'!$S$4:$S$503,_calc!$E$282))=0,"",INDEX('Dealer pipeline'!$S$4:$S$503,_calc!$E$282))&amp;". ")&amp;IF(LEN(IF(LEN(INDEX('Dealer pipeline'!$T$4:$T$503,_calc!$E$282))=0,"",INDEX('Dealer pipeline'!$T$4:$T$503,_calc!$E$282)))=0,"",IF(LEN(INDEX('Dealer pipeline'!$T$4:$T$503,_calc!$E$282))=0,"",INDEX('Dealer pipeline'!$T$4:$T$503,_calc!$E$282)))),TRIM(IF(LEN(IF(LEN(INDEX('My equipment'!$C$4:$C$503,(_calc!$E$282-500)))=0,"",INDEX('My equipment'!$C$4:$C$503,(_calc!$E$282-500))))=0,"","Model: "&amp;IF(LEN(INDEX('My equipment'!$C$4:$C$503,(_calc!$E$282-500)))=0,"",INDEX('My equipment'!$C$4:$C$503,(_calc!$E$282-500)))&amp;". ")&amp;IF(LEN(IF(LEN(INDEX('My equipment'!$D$4:$D$503,(_calc!$E$282-500)))=0,"",INDEX('My equipment'!$D$4:$D$503,(_calc!$E$282-500))))=0,"","Serial: "&amp;IF(LEN(INDEX('My equipment'!$D$4:$D$503,(_calc!$E$282-500)))=0,"",INDEX('My equipment'!$D$4:$D$503,(_calc!$E$282-500)))&amp;". ")&amp;IF(LEN(IF(ISNUMBER(INDEX('My equipment'!$J$4:$J$503,(_calc!$E$282-500))),TEXT(INDEX('My equipment'!$J$4:$J$503,(_calc!$E$282-500)),"yyyy-mm-dd"),""))=0,"","Parts end: "&amp;IF(ISNUMBER(INDEX('My equipment'!$J$4:$J$503,(_calc!$E$282-500))),TEXT(INDEX('My equipment'!$J$4:$J$503,(_calc!$E$282-500)),"yyyy-mm-dd"),"")&amp;". ")&amp;IF(LEN(IF(ISNUMBER(INDEX('My equipment'!$L$4:$L$503,(_calc!$E$282-500))),TEXT(INDEX('My equipment'!$L$4:$L$503,(_calc!$E$282-500)),"yyyy-mm-dd"),""))=0,"","Labor end: "&amp;IF(ISNUMBER(INDEX('My equipment'!$L$4:$L$503,(_calc!$E$282-500))),TEXT(INDEX('My equipment'!$L$4:$L$503,(_calc!$E$282-500)),"yyyy-mm-dd"),"")&amp;". ")&amp;IF(LEN(IF(ISNUMBER(INDEX('My equipment'!$P$4:$P$503,(_calc!$E$282-500))),TEXT(INDEX('My equipment'!$P$4:$P$503,(_calc!$E$282-500)),"yyyy-mm-dd"),""))=0,"","Check by: "&amp;IF(ISNUMBER(INDEX('My equipment'!$P$4:$P$503,(_calc!$E$282-500))),TEXT(INDEX('My equipment'!$P$4:$P$503,(_calc!$E$282-500)),"yyyy-mm-dd"),"")&amp;". ")&amp;IF(LEN(IF(LEN(INDEX('My equipment'!$Q$4:$Q$503,(_calc!$E$282-500)))=0,"",INDEX('My equipment'!$Q$4:$Q$503,(_calc!$E$282-500))))=0,"","Claim status: "&amp;IF(LEN(INDEX('My equipment'!$Q$4:$Q$503,(_calc!$E$282-500)))=0,"",INDEX('My equipment'!$Q$4:$Q$503,(_calc!$E$282-500)))&amp;". ")&amp;IF(LEN(IF(LEN(INDEX('My equipment'!$R$4:$R$503,(_calc!$E$282-500)))=0,"",INDEX('My equipment'!$R$4:$R$503,(_calc!$E$282-500))))=0,"","Claims contact: "&amp;IF(LEN(INDEX('My equipment'!$R$4:$R$503,(_calc!$E$282-500)))=0,"",INDEX('My equipment'!$R$4:$R$503,(_calc!$E$282-500)))&amp;". ")&amp;IF(LEN(IF(LEN(INDEX('My equipment'!$S$4:$S$503,(_calc!$E$282-500)))=0,"",INDEX('My equipment'!$S$4:$S$503,(_calc!$E$282-500))))=0,"","Claims email: "&amp;IF(LEN(INDEX('My equipment'!$S$4:$S$503,(_calc!$E$282-500)))=0,"",INDEX('My equipment'!$S$4:$S$503,(_calc!$E$282-500)))&amp;". ")&amp;IF(LEN(IF(LEN(INDEX('My equipment'!$U$4:$U$503,(_calc!$E$282-500)))=0,"",INDEX('My equipment'!$U$4:$U$503,(_calc!$E$282-500))))=0,"","Registered: "&amp;IF(LEN(INDEX('My equipment'!$U$4:$U$503,(_calc!$E$282-500)))=0,"",INDEX('My equipment'!$U$4:$U$503,(_calc!$E$282-500)))&amp;". ")&amp;IF(LEN(IF(LEN(INDEX('My equipment'!$V$4:$V$503,(_calc!$E$282-500)))=0,"",INDEX('My equipment'!$V$4:$V$503,(_calc!$E$282-500))))=0,"","Proof on file: "&amp;IF(LEN(INDEX('My equipment'!$V$4:$V$503,(_calc!$E$282-500)))=0,"",INDEX('My equipment'!$V$4:$V$503,(_calc!$E$282-500)))&amp;". ")&amp;IF(LEN(IF(LEN(INDEX('My equipment'!$W$4:$W$503,(_calc!$E$282-500)))=0,"",INDEX('My equipment'!$W$4:$W$503,(_calc!$E$282-500))))=0,"","Claim ref: "&amp;IF(LEN(INDEX('My equipment'!$W$4:$W$503,(_calc!$E$282-500)))=0,"",INDEX('My equipment'!$W$4:$W$503,(_calc!$E$282-500)))&amp;". ")&amp;IF(LEN(IF(LEN(INDEX('My equipment'!$Y$4:$Y$503,(_calc!$E$282-500)))=0,"",INDEX('My equipment'!$Y$4:$Y$503,(_calc!$E$282-500))))=0,"",IF(LEN(INDEX('My equipment'!$Y$4:$Y$503,(_calc!$E$282-500)))=0,"",INDEX('My equipment'!$Y$4:$Y$503,(_calc!$E$282-500)))))))</f>
        <v/>
      </c>
      <c r="G280" s="54">
        <f>IF(_calc!$E$282="","",IF(_calc!$E$282&lt;=500,"",IF(LEN(INDEX('My equipment'!$X$4:$X$503,(_calc!$E$282-500)))=0,"",INDEX('My equipment'!$X$4:$X$503,(_calc!$E$282-500)))))</f>
        <v/>
      </c>
      <c r="K280" s="54">
        <f>IF(_calc!$E$282="","",IF(_calc!$E$282&lt;=500,"",IF(LEN(INDEX('My equipment'!$T$4:$T$503,(_calc!$E$282-500)))=0,"",INDEX('My equipment'!$T$4:$T$503,(_calc!$E$282-500)))))</f>
        <v/>
      </c>
    </row>
    <row r="281">
      <c r="A281" s="54">
        <f>IF(_calc!$E$283="","",IF(_calc!$E$283&lt;=500,"Warranty – "&amp;IF(LEN(INDEX('Dealer pipeline'!$C$4:$C$503,_calc!$E$283))=0,"",INDEX('Dealer pipeline'!$C$4:$C$503,_calc!$E$283))&amp;" – "&amp;IF(LEN(INDEX('Dealer pipeline'!$D$4:$D$503,_calc!$E$283))=0,"",INDEX('Dealer pipeline'!$D$4:$D$503,_calc!$E$283))&amp;" – "&amp;IF(LEN(INDEX('Dealer pipeline'!$A$4:$A$503,_calc!$E$283))=0,"",INDEX('Dealer pipeline'!$A$4:$A$503,_calc!$E$283)),"Warranty – "&amp;IF(LEN(INDEX('My equipment'!$A$4:$A$503,(_calc!$E$283-500)))=0,"",INDEX('My equipment'!$A$4:$A$503,(_calc!$E$283-500)))&amp;" – "&amp;IF(LEN(INDEX('My equipment'!$D$4:$D$503,(_calc!$E$283-500)))=0,"",INDEX('My equipment'!$D$4:$D$503,(_calc!$E$283-500)))))</f>
        <v/>
      </c>
      <c r="B281" s="54">
        <f>IF(_calc!$E$283="","",IF(_calc!$E$283&lt;=500,IF(ISNUMBER(INDEX('Dealer pipeline'!$M$4:$M$503,_calc!$E$283)),TEXT(INDEX('Dealer pipeline'!$M$4:$M$503,_calc!$E$283),"yyyy-mm-dd"),""),IF(ISNUMBER(INDEX('My equipment'!$M$4:$M$503,(_calc!$E$283-500))),TEXT(INDEX('My equipment'!$M$4:$M$503,(_calc!$E$283-500)),"yyyy-mm-dd"),"")))</f>
        <v/>
      </c>
      <c r="C281" s="54">
        <f>IF(_calc!$E$283="","",IF(_calc!$E$283&lt;=500,"Warranty","Warranty"))</f>
        <v/>
      </c>
      <c r="D281" s="54">
        <f>IF(_calc!$E$283="","",IF(_calc!$E$283&lt;=500,IF(ISNUMBER(INDEX('Dealer pipeline'!$H$4:$H$503,_calc!$E$283)),TEXT(INDEX('Dealer pipeline'!$H$4:$H$503,_calc!$E$283),"yyyy-mm-dd"),""),IF(ISNUMBER(INDEX('My equipment'!$H$4:$H$503,(_calc!$E$283-500))),TEXT(INDEX('My equipment'!$H$4:$H$503,(_calc!$E$283-500)),"yyyy-mm-dd"),"")))</f>
        <v/>
      </c>
      <c r="F281" s="54">
        <f>IF(_calc!$E$283="","",IF(_calc!$E$283&lt;=500,TRIM(IF(LEN(IF(LEN(INDEX('Dealer pipeline'!$A$4:$A$503,_calc!$E$283))=0,"",INDEX('Dealer pipeline'!$A$4:$A$503,_calc!$E$283)))=0,"","Customer: "&amp;IF(LEN(INDEX('Dealer pipeline'!$A$4:$A$503,_calc!$E$283))=0,"",INDEX('Dealer pipeline'!$A$4:$A$503,_calc!$E$283))&amp;". ")&amp;IF(LEN(IF(LEN(INDEX('Dealer pipeline'!$B$4:$B$503,_calc!$E$283))=0,"",INDEX('Dealer pipeline'!$B$4:$B$503,_calc!$E$283)))=0,"","Contact: "&amp;IF(LEN(INDEX('Dealer pipeline'!$B$4:$B$503,_calc!$E$283))=0,"",INDEX('Dealer pipeline'!$B$4:$B$503,_calc!$E$283))&amp;". ")&amp;IF(LEN(IF(LEN(INDEX('Dealer pipeline'!$D$4:$D$503,_calc!$E$283))=0,"",INDEX('Dealer pipeline'!$D$4:$D$503,_calc!$E$283)))=0,"","Serial: "&amp;IF(LEN(INDEX('Dealer pipeline'!$D$4:$D$503,_calc!$E$283))=0,"",INDEX('Dealer pipeline'!$D$4:$D$503,_calc!$E$283))&amp;". ")&amp;IF(LEN(IF(ISNUMBER(INDEX('Dealer pipeline'!$J$4:$J$503,_calc!$E$283)),TEXT(INDEX('Dealer pipeline'!$J$4:$J$503,_calc!$E$283),"yyyy-mm-dd"),""))=0,"","Parts end: "&amp;IF(ISNUMBER(INDEX('Dealer pipeline'!$J$4:$J$503,_calc!$E$283)),TEXT(INDEX('Dealer pipeline'!$J$4:$J$503,_calc!$E$283),"yyyy-mm-dd"),"")&amp;". ")&amp;IF(LEN(IF(ISNUMBER(INDEX('Dealer pipeline'!$L$4:$L$503,_calc!$E$283)),TEXT(INDEX('Dealer pipeline'!$L$4:$L$503,_calc!$E$283),"yyyy-mm-dd"),""))=0,"","Labor end: "&amp;IF(ISNUMBER(INDEX('Dealer pipeline'!$L$4:$L$503,_calc!$E$283)),TEXT(INDEX('Dealer pipeline'!$L$4:$L$503,_calc!$E$283),"yyyy-mm-dd"),"")&amp;". ")&amp;IF(LEN(IF(LEN(INDEX('Dealer pipeline'!$Q$4:$Q$503,_calc!$E$283))=0,"",INDEX('Dealer pipeline'!$Q$4:$Q$503,_calc!$E$283)))=0,"","Status: "&amp;IF(LEN(INDEX('Dealer pipeline'!$Q$4:$Q$503,_calc!$E$283))=0,"",INDEX('Dealer pipeline'!$Q$4:$Q$503,_calc!$E$283))&amp;". ")&amp;IF(LEN(IF(LEN(INDEX('Dealer pipeline'!$P$4:$P$503,_calc!$E$283))=0,"",INDEX('Dealer pipeline'!$P$4:$P$503,_calc!$E$283)))=0,"","Last touch: "&amp;IF(LEN(INDEX('Dealer pipeline'!$P$4:$P$503,_calc!$E$283))=0,"",INDEX('Dealer pipeline'!$P$4:$P$503,_calc!$E$283))&amp;". ")&amp;IF(LEN(IF(LEN(INDEX('Dealer pipeline'!$R$4:$R$503,_calc!$E$283))=0,"",INDEX('Dealer pipeline'!$R$4:$R$503,_calc!$E$283)))=0,"","Owner: "&amp;IF(LEN(INDEX('Dealer pipeline'!$R$4:$R$503,_calc!$E$283))=0,"",INDEX('Dealer pipeline'!$R$4:$R$503,_calc!$E$283))&amp;". ")&amp;IF(LEN(IF(LEN(INDEX('Dealer pipeline'!$S$4:$S$503,_calc!$E$283))=0,"",INDEX('Dealer pipeline'!$S$4:$S$503,_calc!$E$283)))=0,"","Backup: "&amp;IF(LEN(INDEX('Dealer pipeline'!$S$4:$S$503,_calc!$E$283))=0,"",INDEX('Dealer pipeline'!$S$4:$S$503,_calc!$E$283))&amp;". ")&amp;IF(LEN(IF(LEN(INDEX('Dealer pipeline'!$T$4:$T$503,_calc!$E$283))=0,"",INDEX('Dealer pipeline'!$T$4:$T$503,_calc!$E$283)))=0,"",IF(LEN(INDEX('Dealer pipeline'!$T$4:$T$503,_calc!$E$283))=0,"",INDEX('Dealer pipeline'!$T$4:$T$503,_calc!$E$283)))),TRIM(IF(LEN(IF(LEN(INDEX('My equipment'!$C$4:$C$503,(_calc!$E$283-500)))=0,"",INDEX('My equipment'!$C$4:$C$503,(_calc!$E$283-500))))=0,"","Model: "&amp;IF(LEN(INDEX('My equipment'!$C$4:$C$503,(_calc!$E$283-500)))=0,"",INDEX('My equipment'!$C$4:$C$503,(_calc!$E$283-500)))&amp;". ")&amp;IF(LEN(IF(LEN(INDEX('My equipment'!$D$4:$D$503,(_calc!$E$283-500)))=0,"",INDEX('My equipment'!$D$4:$D$503,(_calc!$E$283-500))))=0,"","Serial: "&amp;IF(LEN(INDEX('My equipment'!$D$4:$D$503,(_calc!$E$283-500)))=0,"",INDEX('My equipment'!$D$4:$D$503,(_calc!$E$283-500)))&amp;". ")&amp;IF(LEN(IF(ISNUMBER(INDEX('My equipment'!$J$4:$J$503,(_calc!$E$283-500))),TEXT(INDEX('My equipment'!$J$4:$J$503,(_calc!$E$283-500)),"yyyy-mm-dd"),""))=0,"","Parts end: "&amp;IF(ISNUMBER(INDEX('My equipment'!$J$4:$J$503,(_calc!$E$283-500))),TEXT(INDEX('My equipment'!$J$4:$J$503,(_calc!$E$283-500)),"yyyy-mm-dd"),"")&amp;". ")&amp;IF(LEN(IF(ISNUMBER(INDEX('My equipment'!$L$4:$L$503,(_calc!$E$283-500))),TEXT(INDEX('My equipment'!$L$4:$L$503,(_calc!$E$283-500)),"yyyy-mm-dd"),""))=0,"","Labor end: "&amp;IF(ISNUMBER(INDEX('My equipment'!$L$4:$L$503,(_calc!$E$283-500))),TEXT(INDEX('My equipment'!$L$4:$L$503,(_calc!$E$283-500)),"yyyy-mm-dd"),"")&amp;". ")&amp;IF(LEN(IF(ISNUMBER(INDEX('My equipment'!$P$4:$P$503,(_calc!$E$283-500))),TEXT(INDEX('My equipment'!$P$4:$P$503,(_calc!$E$283-500)),"yyyy-mm-dd"),""))=0,"","Check by: "&amp;IF(ISNUMBER(INDEX('My equipment'!$P$4:$P$503,(_calc!$E$283-500))),TEXT(INDEX('My equipment'!$P$4:$P$503,(_calc!$E$283-500)),"yyyy-mm-dd"),"")&amp;". ")&amp;IF(LEN(IF(LEN(INDEX('My equipment'!$Q$4:$Q$503,(_calc!$E$283-500)))=0,"",INDEX('My equipment'!$Q$4:$Q$503,(_calc!$E$283-500))))=0,"","Claim status: "&amp;IF(LEN(INDEX('My equipment'!$Q$4:$Q$503,(_calc!$E$283-500)))=0,"",INDEX('My equipment'!$Q$4:$Q$503,(_calc!$E$283-500)))&amp;". ")&amp;IF(LEN(IF(LEN(INDEX('My equipment'!$R$4:$R$503,(_calc!$E$283-500)))=0,"",INDEX('My equipment'!$R$4:$R$503,(_calc!$E$283-500))))=0,"","Claims contact: "&amp;IF(LEN(INDEX('My equipment'!$R$4:$R$503,(_calc!$E$283-500)))=0,"",INDEX('My equipment'!$R$4:$R$503,(_calc!$E$283-500)))&amp;". ")&amp;IF(LEN(IF(LEN(INDEX('My equipment'!$S$4:$S$503,(_calc!$E$283-500)))=0,"",INDEX('My equipment'!$S$4:$S$503,(_calc!$E$283-500))))=0,"","Claims email: "&amp;IF(LEN(INDEX('My equipment'!$S$4:$S$503,(_calc!$E$283-500)))=0,"",INDEX('My equipment'!$S$4:$S$503,(_calc!$E$283-500)))&amp;". ")&amp;IF(LEN(IF(LEN(INDEX('My equipment'!$U$4:$U$503,(_calc!$E$283-500)))=0,"",INDEX('My equipment'!$U$4:$U$503,(_calc!$E$283-500))))=0,"","Registered: "&amp;IF(LEN(INDEX('My equipment'!$U$4:$U$503,(_calc!$E$283-500)))=0,"",INDEX('My equipment'!$U$4:$U$503,(_calc!$E$283-500)))&amp;". ")&amp;IF(LEN(IF(LEN(INDEX('My equipment'!$V$4:$V$503,(_calc!$E$283-500)))=0,"",INDEX('My equipment'!$V$4:$V$503,(_calc!$E$283-500))))=0,"","Proof on file: "&amp;IF(LEN(INDEX('My equipment'!$V$4:$V$503,(_calc!$E$283-500)))=0,"",INDEX('My equipment'!$V$4:$V$503,(_calc!$E$283-500)))&amp;". ")&amp;IF(LEN(IF(LEN(INDEX('My equipment'!$W$4:$W$503,(_calc!$E$283-500)))=0,"",INDEX('My equipment'!$W$4:$W$503,(_calc!$E$283-500))))=0,"","Claim ref: "&amp;IF(LEN(INDEX('My equipment'!$W$4:$W$503,(_calc!$E$283-500)))=0,"",INDEX('My equipment'!$W$4:$W$503,(_calc!$E$283-500)))&amp;". ")&amp;IF(LEN(IF(LEN(INDEX('My equipment'!$Y$4:$Y$503,(_calc!$E$283-500)))=0,"",INDEX('My equipment'!$Y$4:$Y$503,(_calc!$E$283-500))))=0,"",IF(LEN(INDEX('My equipment'!$Y$4:$Y$503,(_calc!$E$283-500)))=0,"",INDEX('My equipment'!$Y$4:$Y$503,(_calc!$E$283-500)))))))</f>
        <v/>
      </c>
      <c r="G281" s="54">
        <f>IF(_calc!$E$283="","",IF(_calc!$E$283&lt;=500,"",IF(LEN(INDEX('My equipment'!$X$4:$X$503,(_calc!$E$283-500)))=0,"",INDEX('My equipment'!$X$4:$X$503,(_calc!$E$283-500)))))</f>
        <v/>
      </c>
      <c r="K281" s="54">
        <f>IF(_calc!$E$283="","",IF(_calc!$E$283&lt;=500,"",IF(LEN(INDEX('My equipment'!$T$4:$T$503,(_calc!$E$283-500)))=0,"",INDEX('My equipment'!$T$4:$T$503,(_calc!$E$283-500)))))</f>
        <v/>
      </c>
    </row>
    <row r="282">
      <c r="A282" s="54">
        <f>IF(_calc!$E$284="","",IF(_calc!$E$284&lt;=500,"Warranty – "&amp;IF(LEN(INDEX('Dealer pipeline'!$C$4:$C$503,_calc!$E$284))=0,"",INDEX('Dealer pipeline'!$C$4:$C$503,_calc!$E$284))&amp;" – "&amp;IF(LEN(INDEX('Dealer pipeline'!$D$4:$D$503,_calc!$E$284))=0,"",INDEX('Dealer pipeline'!$D$4:$D$503,_calc!$E$284))&amp;" – "&amp;IF(LEN(INDEX('Dealer pipeline'!$A$4:$A$503,_calc!$E$284))=0,"",INDEX('Dealer pipeline'!$A$4:$A$503,_calc!$E$284)),"Warranty – "&amp;IF(LEN(INDEX('My equipment'!$A$4:$A$503,(_calc!$E$284-500)))=0,"",INDEX('My equipment'!$A$4:$A$503,(_calc!$E$284-500)))&amp;" – "&amp;IF(LEN(INDEX('My equipment'!$D$4:$D$503,(_calc!$E$284-500)))=0,"",INDEX('My equipment'!$D$4:$D$503,(_calc!$E$284-500)))))</f>
        <v/>
      </c>
      <c r="B282" s="54">
        <f>IF(_calc!$E$284="","",IF(_calc!$E$284&lt;=500,IF(ISNUMBER(INDEX('Dealer pipeline'!$M$4:$M$503,_calc!$E$284)),TEXT(INDEX('Dealer pipeline'!$M$4:$M$503,_calc!$E$284),"yyyy-mm-dd"),""),IF(ISNUMBER(INDEX('My equipment'!$M$4:$M$503,(_calc!$E$284-500))),TEXT(INDEX('My equipment'!$M$4:$M$503,(_calc!$E$284-500)),"yyyy-mm-dd"),"")))</f>
        <v/>
      </c>
      <c r="C282" s="54">
        <f>IF(_calc!$E$284="","",IF(_calc!$E$284&lt;=500,"Warranty","Warranty"))</f>
        <v/>
      </c>
      <c r="D282" s="54">
        <f>IF(_calc!$E$284="","",IF(_calc!$E$284&lt;=500,IF(ISNUMBER(INDEX('Dealer pipeline'!$H$4:$H$503,_calc!$E$284)),TEXT(INDEX('Dealer pipeline'!$H$4:$H$503,_calc!$E$284),"yyyy-mm-dd"),""),IF(ISNUMBER(INDEX('My equipment'!$H$4:$H$503,(_calc!$E$284-500))),TEXT(INDEX('My equipment'!$H$4:$H$503,(_calc!$E$284-500)),"yyyy-mm-dd"),"")))</f>
        <v/>
      </c>
      <c r="F282" s="54">
        <f>IF(_calc!$E$284="","",IF(_calc!$E$284&lt;=500,TRIM(IF(LEN(IF(LEN(INDEX('Dealer pipeline'!$A$4:$A$503,_calc!$E$284))=0,"",INDEX('Dealer pipeline'!$A$4:$A$503,_calc!$E$284)))=0,"","Customer: "&amp;IF(LEN(INDEX('Dealer pipeline'!$A$4:$A$503,_calc!$E$284))=0,"",INDEX('Dealer pipeline'!$A$4:$A$503,_calc!$E$284))&amp;". ")&amp;IF(LEN(IF(LEN(INDEX('Dealer pipeline'!$B$4:$B$503,_calc!$E$284))=0,"",INDEX('Dealer pipeline'!$B$4:$B$503,_calc!$E$284)))=0,"","Contact: "&amp;IF(LEN(INDEX('Dealer pipeline'!$B$4:$B$503,_calc!$E$284))=0,"",INDEX('Dealer pipeline'!$B$4:$B$503,_calc!$E$284))&amp;". ")&amp;IF(LEN(IF(LEN(INDEX('Dealer pipeline'!$D$4:$D$503,_calc!$E$284))=0,"",INDEX('Dealer pipeline'!$D$4:$D$503,_calc!$E$284)))=0,"","Serial: "&amp;IF(LEN(INDEX('Dealer pipeline'!$D$4:$D$503,_calc!$E$284))=0,"",INDEX('Dealer pipeline'!$D$4:$D$503,_calc!$E$284))&amp;". ")&amp;IF(LEN(IF(ISNUMBER(INDEX('Dealer pipeline'!$J$4:$J$503,_calc!$E$284)),TEXT(INDEX('Dealer pipeline'!$J$4:$J$503,_calc!$E$284),"yyyy-mm-dd"),""))=0,"","Parts end: "&amp;IF(ISNUMBER(INDEX('Dealer pipeline'!$J$4:$J$503,_calc!$E$284)),TEXT(INDEX('Dealer pipeline'!$J$4:$J$503,_calc!$E$284),"yyyy-mm-dd"),"")&amp;". ")&amp;IF(LEN(IF(ISNUMBER(INDEX('Dealer pipeline'!$L$4:$L$503,_calc!$E$284)),TEXT(INDEX('Dealer pipeline'!$L$4:$L$503,_calc!$E$284),"yyyy-mm-dd"),""))=0,"","Labor end: "&amp;IF(ISNUMBER(INDEX('Dealer pipeline'!$L$4:$L$503,_calc!$E$284)),TEXT(INDEX('Dealer pipeline'!$L$4:$L$503,_calc!$E$284),"yyyy-mm-dd"),"")&amp;". ")&amp;IF(LEN(IF(LEN(INDEX('Dealer pipeline'!$Q$4:$Q$503,_calc!$E$284))=0,"",INDEX('Dealer pipeline'!$Q$4:$Q$503,_calc!$E$284)))=0,"","Status: "&amp;IF(LEN(INDEX('Dealer pipeline'!$Q$4:$Q$503,_calc!$E$284))=0,"",INDEX('Dealer pipeline'!$Q$4:$Q$503,_calc!$E$284))&amp;". ")&amp;IF(LEN(IF(LEN(INDEX('Dealer pipeline'!$P$4:$P$503,_calc!$E$284))=0,"",INDEX('Dealer pipeline'!$P$4:$P$503,_calc!$E$284)))=0,"","Last touch: "&amp;IF(LEN(INDEX('Dealer pipeline'!$P$4:$P$503,_calc!$E$284))=0,"",INDEX('Dealer pipeline'!$P$4:$P$503,_calc!$E$284))&amp;". ")&amp;IF(LEN(IF(LEN(INDEX('Dealer pipeline'!$R$4:$R$503,_calc!$E$284))=0,"",INDEX('Dealer pipeline'!$R$4:$R$503,_calc!$E$284)))=0,"","Owner: "&amp;IF(LEN(INDEX('Dealer pipeline'!$R$4:$R$503,_calc!$E$284))=0,"",INDEX('Dealer pipeline'!$R$4:$R$503,_calc!$E$284))&amp;". ")&amp;IF(LEN(IF(LEN(INDEX('Dealer pipeline'!$S$4:$S$503,_calc!$E$284))=0,"",INDEX('Dealer pipeline'!$S$4:$S$503,_calc!$E$284)))=0,"","Backup: "&amp;IF(LEN(INDEX('Dealer pipeline'!$S$4:$S$503,_calc!$E$284))=0,"",INDEX('Dealer pipeline'!$S$4:$S$503,_calc!$E$284))&amp;". ")&amp;IF(LEN(IF(LEN(INDEX('Dealer pipeline'!$T$4:$T$503,_calc!$E$284))=0,"",INDEX('Dealer pipeline'!$T$4:$T$503,_calc!$E$284)))=0,"",IF(LEN(INDEX('Dealer pipeline'!$T$4:$T$503,_calc!$E$284))=0,"",INDEX('Dealer pipeline'!$T$4:$T$503,_calc!$E$284)))),TRIM(IF(LEN(IF(LEN(INDEX('My equipment'!$C$4:$C$503,(_calc!$E$284-500)))=0,"",INDEX('My equipment'!$C$4:$C$503,(_calc!$E$284-500))))=0,"","Model: "&amp;IF(LEN(INDEX('My equipment'!$C$4:$C$503,(_calc!$E$284-500)))=0,"",INDEX('My equipment'!$C$4:$C$503,(_calc!$E$284-500)))&amp;". ")&amp;IF(LEN(IF(LEN(INDEX('My equipment'!$D$4:$D$503,(_calc!$E$284-500)))=0,"",INDEX('My equipment'!$D$4:$D$503,(_calc!$E$284-500))))=0,"","Serial: "&amp;IF(LEN(INDEX('My equipment'!$D$4:$D$503,(_calc!$E$284-500)))=0,"",INDEX('My equipment'!$D$4:$D$503,(_calc!$E$284-500)))&amp;". ")&amp;IF(LEN(IF(ISNUMBER(INDEX('My equipment'!$J$4:$J$503,(_calc!$E$284-500))),TEXT(INDEX('My equipment'!$J$4:$J$503,(_calc!$E$284-500)),"yyyy-mm-dd"),""))=0,"","Parts end: "&amp;IF(ISNUMBER(INDEX('My equipment'!$J$4:$J$503,(_calc!$E$284-500))),TEXT(INDEX('My equipment'!$J$4:$J$503,(_calc!$E$284-500)),"yyyy-mm-dd"),"")&amp;". ")&amp;IF(LEN(IF(ISNUMBER(INDEX('My equipment'!$L$4:$L$503,(_calc!$E$284-500))),TEXT(INDEX('My equipment'!$L$4:$L$503,(_calc!$E$284-500)),"yyyy-mm-dd"),""))=0,"","Labor end: "&amp;IF(ISNUMBER(INDEX('My equipment'!$L$4:$L$503,(_calc!$E$284-500))),TEXT(INDEX('My equipment'!$L$4:$L$503,(_calc!$E$284-500)),"yyyy-mm-dd"),"")&amp;". ")&amp;IF(LEN(IF(ISNUMBER(INDEX('My equipment'!$P$4:$P$503,(_calc!$E$284-500))),TEXT(INDEX('My equipment'!$P$4:$P$503,(_calc!$E$284-500)),"yyyy-mm-dd"),""))=0,"","Check by: "&amp;IF(ISNUMBER(INDEX('My equipment'!$P$4:$P$503,(_calc!$E$284-500))),TEXT(INDEX('My equipment'!$P$4:$P$503,(_calc!$E$284-500)),"yyyy-mm-dd"),"")&amp;". ")&amp;IF(LEN(IF(LEN(INDEX('My equipment'!$Q$4:$Q$503,(_calc!$E$284-500)))=0,"",INDEX('My equipment'!$Q$4:$Q$503,(_calc!$E$284-500))))=0,"","Claim status: "&amp;IF(LEN(INDEX('My equipment'!$Q$4:$Q$503,(_calc!$E$284-500)))=0,"",INDEX('My equipment'!$Q$4:$Q$503,(_calc!$E$284-500)))&amp;". ")&amp;IF(LEN(IF(LEN(INDEX('My equipment'!$R$4:$R$503,(_calc!$E$284-500)))=0,"",INDEX('My equipment'!$R$4:$R$503,(_calc!$E$284-500))))=0,"","Claims contact: "&amp;IF(LEN(INDEX('My equipment'!$R$4:$R$503,(_calc!$E$284-500)))=0,"",INDEX('My equipment'!$R$4:$R$503,(_calc!$E$284-500)))&amp;". ")&amp;IF(LEN(IF(LEN(INDEX('My equipment'!$S$4:$S$503,(_calc!$E$284-500)))=0,"",INDEX('My equipment'!$S$4:$S$503,(_calc!$E$284-500))))=0,"","Claims email: "&amp;IF(LEN(INDEX('My equipment'!$S$4:$S$503,(_calc!$E$284-500)))=0,"",INDEX('My equipment'!$S$4:$S$503,(_calc!$E$284-500)))&amp;". ")&amp;IF(LEN(IF(LEN(INDEX('My equipment'!$U$4:$U$503,(_calc!$E$284-500)))=0,"",INDEX('My equipment'!$U$4:$U$503,(_calc!$E$284-500))))=0,"","Registered: "&amp;IF(LEN(INDEX('My equipment'!$U$4:$U$503,(_calc!$E$284-500)))=0,"",INDEX('My equipment'!$U$4:$U$503,(_calc!$E$284-500)))&amp;". ")&amp;IF(LEN(IF(LEN(INDEX('My equipment'!$V$4:$V$503,(_calc!$E$284-500)))=0,"",INDEX('My equipment'!$V$4:$V$503,(_calc!$E$284-500))))=0,"","Proof on file: "&amp;IF(LEN(INDEX('My equipment'!$V$4:$V$503,(_calc!$E$284-500)))=0,"",INDEX('My equipment'!$V$4:$V$503,(_calc!$E$284-500)))&amp;". ")&amp;IF(LEN(IF(LEN(INDEX('My equipment'!$W$4:$W$503,(_calc!$E$284-500)))=0,"",INDEX('My equipment'!$W$4:$W$503,(_calc!$E$284-500))))=0,"","Claim ref: "&amp;IF(LEN(INDEX('My equipment'!$W$4:$W$503,(_calc!$E$284-500)))=0,"",INDEX('My equipment'!$W$4:$W$503,(_calc!$E$284-500)))&amp;". ")&amp;IF(LEN(IF(LEN(INDEX('My equipment'!$Y$4:$Y$503,(_calc!$E$284-500)))=0,"",INDEX('My equipment'!$Y$4:$Y$503,(_calc!$E$284-500))))=0,"",IF(LEN(INDEX('My equipment'!$Y$4:$Y$503,(_calc!$E$284-500)))=0,"",INDEX('My equipment'!$Y$4:$Y$503,(_calc!$E$284-500)))))))</f>
        <v/>
      </c>
      <c r="G282" s="54">
        <f>IF(_calc!$E$284="","",IF(_calc!$E$284&lt;=500,"",IF(LEN(INDEX('My equipment'!$X$4:$X$503,(_calc!$E$284-500)))=0,"",INDEX('My equipment'!$X$4:$X$503,(_calc!$E$284-500)))))</f>
        <v/>
      </c>
      <c r="K282" s="54">
        <f>IF(_calc!$E$284="","",IF(_calc!$E$284&lt;=500,"",IF(LEN(INDEX('My equipment'!$T$4:$T$503,(_calc!$E$284-500)))=0,"",INDEX('My equipment'!$T$4:$T$503,(_calc!$E$284-500)))))</f>
        <v/>
      </c>
    </row>
    <row r="283">
      <c r="A283" s="54">
        <f>IF(_calc!$E$285="","",IF(_calc!$E$285&lt;=500,"Warranty – "&amp;IF(LEN(INDEX('Dealer pipeline'!$C$4:$C$503,_calc!$E$285))=0,"",INDEX('Dealer pipeline'!$C$4:$C$503,_calc!$E$285))&amp;" – "&amp;IF(LEN(INDEX('Dealer pipeline'!$D$4:$D$503,_calc!$E$285))=0,"",INDEX('Dealer pipeline'!$D$4:$D$503,_calc!$E$285))&amp;" – "&amp;IF(LEN(INDEX('Dealer pipeline'!$A$4:$A$503,_calc!$E$285))=0,"",INDEX('Dealer pipeline'!$A$4:$A$503,_calc!$E$285)),"Warranty – "&amp;IF(LEN(INDEX('My equipment'!$A$4:$A$503,(_calc!$E$285-500)))=0,"",INDEX('My equipment'!$A$4:$A$503,(_calc!$E$285-500)))&amp;" – "&amp;IF(LEN(INDEX('My equipment'!$D$4:$D$503,(_calc!$E$285-500)))=0,"",INDEX('My equipment'!$D$4:$D$503,(_calc!$E$285-500)))))</f>
        <v/>
      </c>
      <c r="B283" s="54">
        <f>IF(_calc!$E$285="","",IF(_calc!$E$285&lt;=500,IF(ISNUMBER(INDEX('Dealer pipeline'!$M$4:$M$503,_calc!$E$285)),TEXT(INDEX('Dealer pipeline'!$M$4:$M$503,_calc!$E$285),"yyyy-mm-dd"),""),IF(ISNUMBER(INDEX('My equipment'!$M$4:$M$503,(_calc!$E$285-500))),TEXT(INDEX('My equipment'!$M$4:$M$503,(_calc!$E$285-500)),"yyyy-mm-dd"),"")))</f>
        <v/>
      </c>
      <c r="C283" s="54">
        <f>IF(_calc!$E$285="","",IF(_calc!$E$285&lt;=500,"Warranty","Warranty"))</f>
        <v/>
      </c>
      <c r="D283" s="54">
        <f>IF(_calc!$E$285="","",IF(_calc!$E$285&lt;=500,IF(ISNUMBER(INDEX('Dealer pipeline'!$H$4:$H$503,_calc!$E$285)),TEXT(INDEX('Dealer pipeline'!$H$4:$H$503,_calc!$E$285),"yyyy-mm-dd"),""),IF(ISNUMBER(INDEX('My equipment'!$H$4:$H$503,(_calc!$E$285-500))),TEXT(INDEX('My equipment'!$H$4:$H$503,(_calc!$E$285-500)),"yyyy-mm-dd"),"")))</f>
        <v/>
      </c>
      <c r="F283" s="54">
        <f>IF(_calc!$E$285="","",IF(_calc!$E$285&lt;=500,TRIM(IF(LEN(IF(LEN(INDEX('Dealer pipeline'!$A$4:$A$503,_calc!$E$285))=0,"",INDEX('Dealer pipeline'!$A$4:$A$503,_calc!$E$285)))=0,"","Customer: "&amp;IF(LEN(INDEX('Dealer pipeline'!$A$4:$A$503,_calc!$E$285))=0,"",INDEX('Dealer pipeline'!$A$4:$A$503,_calc!$E$285))&amp;". ")&amp;IF(LEN(IF(LEN(INDEX('Dealer pipeline'!$B$4:$B$503,_calc!$E$285))=0,"",INDEX('Dealer pipeline'!$B$4:$B$503,_calc!$E$285)))=0,"","Contact: "&amp;IF(LEN(INDEX('Dealer pipeline'!$B$4:$B$503,_calc!$E$285))=0,"",INDEX('Dealer pipeline'!$B$4:$B$503,_calc!$E$285))&amp;". ")&amp;IF(LEN(IF(LEN(INDEX('Dealer pipeline'!$D$4:$D$503,_calc!$E$285))=0,"",INDEX('Dealer pipeline'!$D$4:$D$503,_calc!$E$285)))=0,"","Serial: "&amp;IF(LEN(INDEX('Dealer pipeline'!$D$4:$D$503,_calc!$E$285))=0,"",INDEX('Dealer pipeline'!$D$4:$D$503,_calc!$E$285))&amp;". ")&amp;IF(LEN(IF(ISNUMBER(INDEX('Dealer pipeline'!$J$4:$J$503,_calc!$E$285)),TEXT(INDEX('Dealer pipeline'!$J$4:$J$503,_calc!$E$285),"yyyy-mm-dd"),""))=0,"","Parts end: "&amp;IF(ISNUMBER(INDEX('Dealer pipeline'!$J$4:$J$503,_calc!$E$285)),TEXT(INDEX('Dealer pipeline'!$J$4:$J$503,_calc!$E$285),"yyyy-mm-dd"),"")&amp;". ")&amp;IF(LEN(IF(ISNUMBER(INDEX('Dealer pipeline'!$L$4:$L$503,_calc!$E$285)),TEXT(INDEX('Dealer pipeline'!$L$4:$L$503,_calc!$E$285),"yyyy-mm-dd"),""))=0,"","Labor end: "&amp;IF(ISNUMBER(INDEX('Dealer pipeline'!$L$4:$L$503,_calc!$E$285)),TEXT(INDEX('Dealer pipeline'!$L$4:$L$503,_calc!$E$285),"yyyy-mm-dd"),"")&amp;". ")&amp;IF(LEN(IF(LEN(INDEX('Dealer pipeline'!$Q$4:$Q$503,_calc!$E$285))=0,"",INDEX('Dealer pipeline'!$Q$4:$Q$503,_calc!$E$285)))=0,"","Status: "&amp;IF(LEN(INDEX('Dealer pipeline'!$Q$4:$Q$503,_calc!$E$285))=0,"",INDEX('Dealer pipeline'!$Q$4:$Q$503,_calc!$E$285))&amp;". ")&amp;IF(LEN(IF(LEN(INDEX('Dealer pipeline'!$P$4:$P$503,_calc!$E$285))=0,"",INDEX('Dealer pipeline'!$P$4:$P$503,_calc!$E$285)))=0,"","Last touch: "&amp;IF(LEN(INDEX('Dealer pipeline'!$P$4:$P$503,_calc!$E$285))=0,"",INDEX('Dealer pipeline'!$P$4:$P$503,_calc!$E$285))&amp;". ")&amp;IF(LEN(IF(LEN(INDEX('Dealer pipeline'!$R$4:$R$503,_calc!$E$285))=0,"",INDEX('Dealer pipeline'!$R$4:$R$503,_calc!$E$285)))=0,"","Owner: "&amp;IF(LEN(INDEX('Dealer pipeline'!$R$4:$R$503,_calc!$E$285))=0,"",INDEX('Dealer pipeline'!$R$4:$R$503,_calc!$E$285))&amp;". ")&amp;IF(LEN(IF(LEN(INDEX('Dealer pipeline'!$S$4:$S$503,_calc!$E$285))=0,"",INDEX('Dealer pipeline'!$S$4:$S$503,_calc!$E$285)))=0,"","Backup: "&amp;IF(LEN(INDEX('Dealer pipeline'!$S$4:$S$503,_calc!$E$285))=0,"",INDEX('Dealer pipeline'!$S$4:$S$503,_calc!$E$285))&amp;". ")&amp;IF(LEN(IF(LEN(INDEX('Dealer pipeline'!$T$4:$T$503,_calc!$E$285))=0,"",INDEX('Dealer pipeline'!$T$4:$T$503,_calc!$E$285)))=0,"",IF(LEN(INDEX('Dealer pipeline'!$T$4:$T$503,_calc!$E$285))=0,"",INDEX('Dealer pipeline'!$T$4:$T$503,_calc!$E$285)))),TRIM(IF(LEN(IF(LEN(INDEX('My equipment'!$C$4:$C$503,(_calc!$E$285-500)))=0,"",INDEX('My equipment'!$C$4:$C$503,(_calc!$E$285-500))))=0,"","Model: "&amp;IF(LEN(INDEX('My equipment'!$C$4:$C$503,(_calc!$E$285-500)))=0,"",INDEX('My equipment'!$C$4:$C$503,(_calc!$E$285-500)))&amp;". ")&amp;IF(LEN(IF(LEN(INDEX('My equipment'!$D$4:$D$503,(_calc!$E$285-500)))=0,"",INDEX('My equipment'!$D$4:$D$503,(_calc!$E$285-500))))=0,"","Serial: "&amp;IF(LEN(INDEX('My equipment'!$D$4:$D$503,(_calc!$E$285-500)))=0,"",INDEX('My equipment'!$D$4:$D$503,(_calc!$E$285-500)))&amp;". ")&amp;IF(LEN(IF(ISNUMBER(INDEX('My equipment'!$J$4:$J$503,(_calc!$E$285-500))),TEXT(INDEX('My equipment'!$J$4:$J$503,(_calc!$E$285-500)),"yyyy-mm-dd"),""))=0,"","Parts end: "&amp;IF(ISNUMBER(INDEX('My equipment'!$J$4:$J$503,(_calc!$E$285-500))),TEXT(INDEX('My equipment'!$J$4:$J$503,(_calc!$E$285-500)),"yyyy-mm-dd"),"")&amp;". ")&amp;IF(LEN(IF(ISNUMBER(INDEX('My equipment'!$L$4:$L$503,(_calc!$E$285-500))),TEXT(INDEX('My equipment'!$L$4:$L$503,(_calc!$E$285-500)),"yyyy-mm-dd"),""))=0,"","Labor end: "&amp;IF(ISNUMBER(INDEX('My equipment'!$L$4:$L$503,(_calc!$E$285-500))),TEXT(INDEX('My equipment'!$L$4:$L$503,(_calc!$E$285-500)),"yyyy-mm-dd"),"")&amp;". ")&amp;IF(LEN(IF(ISNUMBER(INDEX('My equipment'!$P$4:$P$503,(_calc!$E$285-500))),TEXT(INDEX('My equipment'!$P$4:$P$503,(_calc!$E$285-500)),"yyyy-mm-dd"),""))=0,"","Check by: "&amp;IF(ISNUMBER(INDEX('My equipment'!$P$4:$P$503,(_calc!$E$285-500))),TEXT(INDEX('My equipment'!$P$4:$P$503,(_calc!$E$285-500)),"yyyy-mm-dd"),"")&amp;". ")&amp;IF(LEN(IF(LEN(INDEX('My equipment'!$Q$4:$Q$503,(_calc!$E$285-500)))=0,"",INDEX('My equipment'!$Q$4:$Q$503,(_calc!$E$285-500))))=0,"","Claim status: "&amp;IF(LEN(INDEX('My equipment'!$Q$4:$Q$503,(_calc!$E$285-500)))=0,"",INDEX('My equipment'!$Q$4:$Q$503,(_calc!$E$285-500)))&amp;". ")&amp;IF(LEN(IF(LEN(INDEX('My equipment'!$R$4:$R$503,(_calc!$E$285-500)))=0,"",INDEX('My equipment'!$R$4:$R$503,(_calc!$E$285-500))))=0,"","Claims contact: "&amp;IF(LEN(INDEX('My equipment'!$R$4:$R$503,(_calc!$E$285-500)))=0,"",INDEX('My equipment'!$R$4:$R$503,(_calc!$E$285-500)))&amp;". ")&amp;IF(LEN(IF(LEN(INDEX('My equipment'!$S$4:$S$503,(_calc!$E$285-500)))=0,"",INDEX('My equipment'!$S$4:$S$503,(_calc!$E$285-500))))=0,"","Claims email: "&amp;IF(LEN(INDEX('My equipment'!$S$4:$S$503,(_calc!$E$285-500)))=0,"",INDEX('My equipment'!$S$4:$S$503,(_calc!$E$285-500)))&amp;". ")&amp;IF(LEN(IF(LEN(INDEX('My equipment'!$U$4:$U$503,(_calc!$E$285-500)))=0,"",INDEX('My equipment'!$U$4:$U$503,(_calc!$E$285-500))))=0,"","Registered: "&amp;IF(LEN(INDEX('My equipment'!$U$4:$U$503,(_calc!$E$285-500)))=0,"",INDEX('My equipment'!$U$4:$U$503,(_calc!$E$285-500)))&amp;". ")&amp;IF(LEN(IF(LEN(INDEX('My equipment'!$V$4:$V$503,(_calc!$E$285-500)))=0,"",INDEX('My equipment'!$V$4:$V$503,(_calc!$E$285-500))))=0,"","Proof on file: "&amp;IF(LEN(INDEX('My equipment'!$V$4:$V$503,(_calc!$E$285-500)))=0,"",INDEX('My equipment'!$V$4:$V$503,(_calc!$E$285-500)))&amp;". ")&amp;IF(LEN(IF(LEN(INDEX('My equipment'!$W$4:$W$503,(_calc!$E$285-500)))=0,"",INDEX('My equipment'!$W$4:$W$503,(_calc!$E$285-500))))=0,"","Claim ref: "&amp;IF(LEN(INDEX('My equipment'!$W$4:$W$503,(_calc!$E$285-500)))=0,"",INDEX('My equipment'!$W$4:$W$503,(_calc!$E$285-500)))&amp;". ")&amp;IF(LEN(IF(LEN(INDEX('My equipment'!$Y$4:$Y$503,(_calc!$E$285-500)))=0,"",INDEX('My equipment'!$Y$4:$Y$503,(_calc!$E$285-500))))=0,"",IF(LEN(INDEX('My equipment'!$Y$4:$Y$503,(_calc!$E$285-500)))=0,"",INDEX('My equipment'!$Y$4:$Y$503,(_calc!$E$285-500)))))))</f>
        <v/>
      </c>
      <c r="G283" s="54">
        <f>IF(_calc!$E$285="","",IF(_calc!$E$285&lt;=500,"",IF(LEN(INDEX('My equipment'!$X$4:$X$503,(_calc!$E$285-500)))=0,"",INDEX('My equipment'!$X$4:$X$503,(_calc!$E$285-500)))))</f>
        <v/>
      </c>
      <c r="K283" s="54">
        <f>IF(_calc!$E$285="","",IF(_calc!$E$285&lt;=500,"",IF(LEN(INDEX('My equipment'!$T$4:$T$503,(_calc!$E$285-500)))=0,"",INDEX('My equipment'!$T$4:$T$503,(_calc!$E$285-500)))))</f>
        <v/>
      </c>
    </row>
    <row r="284">
      <c r="A284" s="54">
        <f>IF(_calc!$E$286="","",IF(_calc!$E$286&lt;=500,"Warranty – "&amp;IF(LEN(INDEX('Dealer pipeline'!$C$4:$C$503,_calc!$E$286))=0,"",INDEX('Dealer pipeline'!$C$4:$C$503,_calc!$E$286))&amp;" – "&amp;IF(LEN(INDEX('Dealer pipeline'!$D$4:$D$503,_calc!$E$286))=0,"",INDEX('Dealer pipeline'!$D$4:$D$503,_calc!$E$286))&amp;" – "&amp;IF(LEN(INDEX('Dealer pipeline'!$A$4:$A$503,_calc!$E$286))=0,"",INDEX('Dealer pipeline'!$A$4:$A$503,_calc!$E$286)),"Warranty – "&amp;IF(LEN(INDEX('My equipment'!$A$4:$A$503,(_calc!$E$286-500)))=0,"",INDEX('My equipment'!$A$4:$A$503,(_calc!$E$286-500)))&amp;" – "&amp;IF(LEN(INDEX('My equipment'!$D$4:$D$503,(_calc!$E$286-500)))=0,"",INDEX('My equipment'!$D$4:$D$503,(_calc!$E$286-500)))))</f>
        <v/>
      </c>
      <c r="B284" s="54">
        <f>IF(_calc!$E$286="","",IF(_calc!$E$286&lt;=500,IF(ISNUMBER(INDEX('Dealer pipeline'!$M$4:$M$503,_calc!$E$286)),TEXT(INDEX('Dealer pipeline'!$M$4:$M$503,_calc!$E$286),"yyyy-mm-dd"),""),IF(ISNUMBER(INDEX('My equipment'!$M$4:$M$503,(_calc!$E$286-500))),TEXT(INDEX('My equipment'!$M$4:$M$503,(_calc!$E$286-500)),"yyyy-mm-dd"),"")))</f>
        <v/>
      </c>
      <c r="C284" s="54">
        <f>IF(_calc!$E$286="","",IF(_calc!$E$286&lt;=500,"Warranty","Warranty"))</f>
        <v/>
      </c>
      <c r="D284" s="54">
        <f>IF(_calc!$E$286="","",IF(_calc!$E$286&lt;=500,IF(ISNUMBER(INDEX('Dealer pipeline'!$H$4:$H$503,_calc!$E$286)),TEXT(INDEX('Dealer pipeline'!$H$4:$H$503,_calc!$E$286),"yyyy-mm-dd"),""),IF(ISNUMBER(INDEX('My equipment'!$H$4:$H$503,(_calc!$E$286-500))),TEXT(INDEX('My equipment'!$H$4:$H$503,(_calc!$E$286-500)),"yyyy-mm-dd"),"")))</f>
        <v/>
      </c>
      <c r="F284" s="54">
        <f>IF(_calc!$E$286="","",IF(_calc!$E$286&lt;=500,TRIM(IF(LEN(IF(LEN(INDEX('Dealer pipeline'!$A$4:$A$503,_calc!$E$286))=0,"",INDEX('Dealer pipeline'!$A$4:$A$503,_calc!$E$286)))=0,"","Customer: "&amp;IF(LEN(INDEX('Dealer pipeline'!$A$4:$A$503,_calc!$E$286))=0,"",INDEX('Dealer pipeline'!$A$4:$A$503,_calc!$E$286))&amp;". ")&amp;IF(LEN(IF(LEN(INDEX('Dealer pipeline'!$B$4:$B$503,_calc!$E$286))=0,"",INDEX('Dealer pipeline'!$B$4:$B$503,_calc!$E$286)))=0,"","Contact: "&amp;IF(LEN(INDEX('Dealer pipeline'!$B$4:$B$503,_calc!$E$286))=0,"",INDEX('Dealer pipeline'!$B$4:$B$503,_calc!$E$286))&amp;". ")&amp;IF(LEN(IF(LEN(INDEX('Dealer pipeline'!$D$4:$D$503,_calc!$E$286))=0,"",INDEX('Dealer pipeline'!$D$4:$D$503,_calc!$E$286)))=0,"","Serial: "&amp;IF(LEN(INDEX('Dealer pipeline'!$D$4:$D$503,_calc!$E$286))=0,"",INDEX('Dealer pipeline'!$D$4:$D$503,_calc!$E$286))&amp;". ")&amp;IF(LEN(IF(ISNUMBER(INDEX('Dealer pipeline'!$J$4:$J$503,_calc!$E$286)),TEXT(INDEX('Dealer pipeline'!$J$4:$J$503,_calc!$E$286),"yyyy-mm-dd"),""))=0,"","Parts end: "&amp;IF(ISNUMBER(INDEX('Dealer pipeline'!$J$4:$J$503,_calc!$E$286)),TEXT(INDEX('Dealer pipeline'!$J$4:$J$503,_calc!$E$286),"yyyy-mm-dd"),"")&amp;". ")&amp;IF(LEN(IF(ISNUMBER(INDEX('Dealer pipeline'!$L$4:$L$503,_calc!$E$286)),TEXT(INDEX('Dealer pipeline'!$L$4:$L$503,_calc!$E$286),"yyyy-mm-dd"),""))=0,"","Labor end: "&amp;IF(ISNUMBER(INDEX('Dealer pipeline'!$L$4:$L$503,_calc!$E$286)),TEXT(INDEX('Dealer pipeline'!$L$4:$L$503,_calc!$E$286),"yyyy-mm-dd"),"")&amp;". ")&amp;IF(LEN(IF(LEN(INDEX('Dealer pipeline'!$Q$4:$Q$503,_calc!$E$286))=0,"",INDEX('Dealer pipeline'!$Q$4:$Q$503,_calc!$E$286)))=0,"","Status: "&amp;IF(LEN(INDEX('Dealer pipeline'!$Q$4:$Q$503,_calc!$E$286))=0,"",INDEX('Dealer pipeline'!$Q$4:$Q$503,_calc!$E$286))&amp;". ")&amp;IF(LEN(IF(LEN(INDEX('Dealer pipeline'!$P$4:$P$503,_calc!$E$286))=0,"",INDEX('Dealer pipeline'!$P$4:$P$503,_calc!$E$286)))=0,"","Last touch: "&amp;IF(LEN(INDEX('Dealer pipeline'!$P$4:$P$503,_calc!$E$286))=0,"",INDEX('Dealer pipeline'!$P$4:$P$503,_calc!$E$286))&amp;". ")&amp;IF(LEN(IF(LEN(INDEX('Dealer pipeline'!$R$4:$R$503,_calc!$E$286))=0,"",INDEX('Dealer pipeline'!$R$4:$R$503,_calc!$E$286)))=0,"","Owner: "&amp;IF(LEN(INDEX('Dealer pipeline'!$R$4:$R$503,_calc!$E$286))=0,"",INDEX('Dealer pipeline'!$R$4:$R$503,_calc!$E$286))&amp;". ")&amp;IF(LEN(IF(LEN(INDEX('Dealer pipeline'!$S$4:$S$503,_calc!$E$286))=0,"",INDEX('Dealer pipeline'!$S$4:$S$503,_calc!$E$286)))=0,"","Backup: "&amp;IF(LEN(INDEX('Dealer pipeline'!$S$4:$S$503,_calc!$E$286))=0,"",INDEX('Dealer pipeline'!$S$4:$S$503,_calc!$E$286))&amp;". ")&amp;IF(LEN(IF(LEN(INDEX('Dealer pipeline'!$T$4:$T$503,_calc!$E$286))=0,"",INDEX('Dealer pipeline'!$T$4:$T$503,_calc!$E$286)))=0,"",IF(LEN(INDEX('Dealer pipeline'!$T$4:$T$503,_calc!$E$286))=0,"",INDEX('Dealer pipeline'!$T$4:$T$503,_calc!$E$286)))),TRIM(IF(LEN(IF(LEN(INDEX('My equipment'!$C$4:$C$503,(_calc!$E$286-500)))=0,"",INDEX('My equipment'!$C$4:$C$503,(_calc!$E$286-500))))=0,"","Model: "&amp;IF(LEN(INDEX('My equipment'!$C$4:$C$503,(_calc!$E$286-500)))=0,"",INDEX('My equipment'!$C$4:$C$503,(_calc!$E$286-500)))&amp;". ")&amp;IF(LEN(IF(LEN(INDEX('My equipment'!$D$4:$D$503,(_calc!$E$286-500)))=0,"",INDEX('My equipment'!$D$4:$D$503,(_calc!$E$286-500))))=0,"","Serial: "&amp;IF(LEN(INDEX('My equipment'!$D$4:$D$503,(_calc!$E$286-500)))=0,"",INDEX('My equipment'!$D$4:$D$503,(_calc!$E$286-500)))&amp;". ")&amp;IF(LEN(IF(ISNUMBER(INDEX('My equipment'!$J$4:$J$503,(_calc!$E$286-500))),TEXT(INDEX('My equipment'!$J$4:$J$503,(_calc!$E$286-500)),"yyyy-mm-dd"),""))=0,"","Parts end: "&amp;IF(ISNUMBER(INDEX('My equipment'!$J$4:$J$503,(_calc!$E$286-500))),TEXT(INDEX('My equipment'!$J$4:$J$503,(_calc!$E$286-500)),"yyyy-mm-dd"),"")&amp;". ")&amp;IF(LEN(IF(ISNUMBER(INDEX('My equipment'!$L$4:$L$503,(_calc!$E$286-500))),TEXT(INDEX('My equipment'!$L$4:$L$503,(_calc!$E$286-500)),"yyyy-mm-dd"),""))=0,"","Labor end: "&amp;IF(ISNUMBER(INDEX('My equipment'!$L$4:$L$503,(_calc!$E$286-500))),TEXT(INDEX('My equipment'!$L$4:$L$503,(_calc!$E$286-500)),"yyyy-mm-dd"),"")&amp;". ")&amp;IF(LEN(IF(ISNUMBER(INDEX('My equipment'!$P$4:$P$503,(_calc!$E$286-500))),TEXT(INDEX('My equipment'!$P$4:$P$503,(_calc!$E$286-500)),"yyyy-mm-dd"),""))=0,"","Check by: "&amp;IF(ISNUMBER(INDEX('My equipment'!$P$4:$P$503,(_calc!$E$286-500))),TEXT(INDEX('My equipment'!$P$4:$P$503,(_calc!$E$286-500)),"yyyy-mm-dd"),"")&amp;". ")&amp;IF(LEN(IF(LEN(INDEX('My equipment'!$Q$4:$Q$503,(_calc!$E$286-500)))=0,"",INDEX('My equipment'!$Q$4:$Q$503,(_calc!$E$286-500))))=0,"","Claim status: "&amp;IF(LEN(INDEX('My equipment'!$Q$4:$Q$503,(_calc!$E$286-500)))=0,"",INDEX('My equipment'!$Q$4:$Q$503,(_calc!$E$286-500)))&amp;". ")&amp;IF(LEN(IF(LEN(INDEX('My equipment'!$R$4:$R$503,(_calc!$E$286-500)))=0,"",INDEX('My equipment'!$R$4:$R$503,(_calc!$E$286-500))))=0,"","Claims contact: "&amp;IF(LEN(INDEX('My equipment'!$R$4:$R$503,(_calc!$E$286-500)))=0,"",INDEX('My equipment'!$R$4:$R$503,(_calc!$E$286-500)))&amp;". ")&amp;IF(LEN(IF(LEN(INDEX('My equipment'!$S$4:$S$503,(_calc!$E$286-500)))=0,"",INDEX('My equipment'!$S$4:$S$503,(_calc!$E$286-500))))=0,"","Claims email: "&amp;IF(LEN(INDEX('My equipment'!$S$4:$S$503,(_calc!$E$286-500)))=0,"",INDEX('My equipment'!$S$4:$S$503,(_calc!$E$286-500)))&amp;". ")&amp;IF(LEN(IF(LEN(INDEX('My equipment'!$U$4:$U$503,(_calc!$E$286-500)))=0,"",INDEX('My equipment'!$U$4:$U$503,(_calc!$E$286-500))))=0,"","Registered: "&amp;IF(LEN(INDEX('My equipment'!$U$4:$U$503,(_calc!$E$286-500)))=0,"",INDEX('My equipment'!$U$4:$U$503,(_calc!$E$286-500)))&amp;". ")&amp;IF(LEN(IF(LEN(INDEX('My equipment'!$V$4:$V$503,(_calc!$E$286-500)))=0,"",INDEX('My equipment'!$V$4:$V$503,(_calc!$E$286-500))))=0,"","Proof on file: "&amp;IF(LEN(INDEX('My equipment'!$V$4:$V$503,(_calc!$E$286-500)))=0,"",INDEX('My equipment'!$V$4:$V$503,(_calc!$E$286-500)))&amp;". ")&amp;IF(LEN(IF(LEN(INDEX('My equipment'!$W$4:$W$503,(_calc!$E$286-500)))=0,"",INDEX('My equipment'!$W$4:$W$503,(_calc!$E$286-500))))=0,"","Claim ref: "&amp;IF(LEN(INDEX('My equipment'!$W$4:$W$503,(_calc!$E$286-500)))=0,"",INDEX('My equipment'!$W$4:$W$503,(_calc!$E$286-500)))&amp;". ")&amp;IF(LEN(IF(LEN(INDEX('My equipment'!$Y$4:$Y$503,(_calc!$E$286-500)))=0,"",INDEX('My equipment'!$Y$4:$Y$503,(_calc!$E$286-500))))=0,"",IF(LEN(INDEX('My equipment'!$Y$4:$Y$503,(_calc!$E$286-500)))=0,"",INDEX('My equipment'!$Y$4:$Y$503,(_calc!$E$286-500)))))))</f>
        <v/>
      </c>
      <c r="G284" s="54">
        <f>IF(_calc!$E$286="","",IF(_calc!$E$286&lt;=500,"",IF(LEN(INDEX('My equipment'!$X$4:$X$503,(_calc!$E$286-500)))=0,"",INDEX('My equipment'!$X$4:$X$503,(_calc!$E$286-500)))))</f>
        <v/>
      </c>
      <c r="K284" s="54">
        <f>IF(_calc!$E$286="","",IF(_calc!$E$286&lt;=500,"",IF(LEN(INDEX('My equipment'!$T$4:$T$503,(_calc!$E$286-500)))=0,"",INDEX('My equipment'!$T$4:$T$503,(_calc!$E$286-500)))))</f>
        <v/>
      </c>
    </row>
    <row r="285">
      <c r="A285" s="54">
        <f>IF(_calc!$E$287="","",IF(_calc!$E$287&lt;=500,"Warranty – "&amp;IF(LEN(INDEX('Dealer pipeline'!$C$4:$C$503,_calc!$E$287))=0,"",INDEX('Dealer pipeline'!$C$4:$C$503,_calc!$E$287))&amp;" – "&amp;IF(LEN(INDEX('Dealer pipeline'!$D$4:$D$503,_calc!$E$287))=0,"",INDEX('Dealer pipeline'!$D$4:$D$503,_calc!$E$287))&amp;" – "&amp;IF(LEN(INDEX('Dealer pipeline'!$A$4:$A$503,_calc!$E$287))=0,"",INDEX('Dealer pipeline'!$A$4:$A$503,_calc!$E$287)),"Warranty – "&amp;IF(LEN(INDEX('My equipment'!$A$4:$A$503,(_calc!$E$287-500)))=0,"",INDEX('My equipment'!$A$4:$A$503,(_calc!$E$287-500)))&amp;" – "&amp;IF(LEN(INDEX('My equipment'!$D$4:$D$503,(_calc!$E$287-500)))=0,"",INDEX('My equipment'!$D$4:$D$503,(_calc!$E$287-500)))))</f>
        <v/>
      </c>
      <c r="B285" s="54">
        <f>IF(_calc!$E$287="","",IF(_calc!$E$287&lt;=500,IF(ISNUMBER(INDEX('Dealer pipeline'!$M$4:$M$503,_calc!$E$287)),TEXT(INDEX('Dealer pipeline'!$M$4:$M$503,_calc!$E$287),"yyyy-mm-dd"),""),IF(ISNUMBER(INDEX('My equipment'!$M$4:$M$503,(_calc!$E$287-500))),TEXT(INDEX('My equipment'!$M$4:$M$503,(_calc!$E$287-500)),"yyyy-mm-dd"),"")))</f>
        <v/>
      </c>
      <c r="C285" s="54">
        <f>IF(_calc!$E$287="","",IF(_calc!$E$287&lt;=500,"Warranty","Warranty"))</f>
        <v/>
      </c>
      <c r="D285" s="54">
        <f>IF(_calc!$E$287="","",IF(_calc!$E$287&lt;=500,IF(ISNUMBER(INDEX('Dealer pipeline'!$H$4:$H$503,_calc!$E$287)),TEXT(INDEX('Dealer pipeline'!$H$4:$H$503,_calc!$E$287),"yyyy-mm-dd"),""),IF(ISNUMBER(INDEX('My equipment'!$H$4:$H$503,(_calc!$E$287-500))),TEXT(INDEX('My equipment'!$H$4:$H$503,(_calc!$E$287-500)),"yyyy-mm-dd"),"")))</f>
        <v/>
      </c>
      <c r="F285" s="54">
        <f>IF(_calc!$E$287="","",IF(_calc!$E$287&lt;=500,TRIM(IF(LEN(IF(LEN(INDEX('Dealer pipeline'!$A$4:$A$503,_calc!$E$287))=0,"",INDEX('Dealer pipeline'!$A$4:$A$503,_calc!$E$287)))=0,"","Customer: "&amp;IF(LEN(INDEX('Dealer pipeline'!$A$4:$A$503,_calc!$E$287))=0,"",INDEX('Dealer pipeline'!$A$4:$A$503,_calc!$E$287))&amp;". ")&amp;IF(LEN(IF(LEN(INDEX('Dealer pipeline'!$B$4:$B$503,_calc!$E$287))=0,"",INDEX('Dealer pipeline'!$B$4:$B$503,_calc!$E$287)))=0,"","Contact: "&amp;IF(LEN(INDEX('Dealer pipeline'!$B$4:$B$503,_calc!$E$287))=0,"",INDEX('Dealer pipeline'!$B$4:$B$503,_calc!$E$287))&amp;". ")&amp;IF(LEN(IF(LEN(INDEX('Dealer pipeline'!$D$4:$D$503,_calc!$E$287))=0,"",INDEX('Dealer pipeline'!$D$4:$D$503,_calc!$E$287)))=0,"","Serial: "&amp;IF(LEN(INDEX('Dealer pipeline'!$D$4:$D$503,_calc!$E$287))=0,"",INDEX('Dealer pipeline'!$D$4:$D$503,_calc!$E$287))&amp;". ")&amp;IF(LEN(IF(ISNUMBER(INDEX('Dealer pipeline'!$J$4:$J$503,_calc!$E$287)),TEXT(INDEX('Dealer pipeline'!$J$4:$J$503,_calc!$E$287),"yyyy-mm-dd"),""))=0,"","Parts end: "&amp;IF(ISNUMBER(INDEX('Dealer pipeline'!$J$4:$J$503,_calc!$E$287)),TEXT(INDEX('Dealer pipeline'!$J$4:$J$503,_calc!$E$287),"yyyy-mm-dd"),"")&amp;". ")&amp;IF(LEN(IF(ISNUMBER(INDEX('Dealer pipeline'!$L$4:$L$503,_calc!$E$287)),TEXT(INDEX('Dealer pipeline'!$L$4:$L$503,_calc!$E$287),"yyyy-mm-dd"),""))=0,"","Labor end: "&amp;IF(ISNUMBER(INDEX('Dealer pipeline'!$L$4:$L$503,_calc!$E$287)),TEXT(INDEX('Dealer pipeline'!$L$4:$L$503,_calc!$E$287),"yyyy-mm-dd"),"")&amp;". ")&amp;IF(LEN(IF(LEN(INDEX('Dealer pipeline'!$Q$4:$Q$503,_calc!$E$287))=0,"",INDEX('Dealer pipeline'!$Q$4:$Q$503,_calc!$E$287)))=0,"","Status: "&amp;IF(LEN(INDEX('Dealer pipeline'!$Q$4:$Q$503,_calc!$E$287))=0,"",INDEX('Dealer pipeline'!$Q$4:$Q$503,_calc!$E$287))&amp;". ")&amp;IF(LEN(IF(LEN(INDEX('Dealer pipeline'!$P$4:$P$503,_calc!$E$287))=0,"",INDEX('Dealer pipeline'!$P$4:$P$503,_calc!$E$287)))=0,"","Last touch: "&amp;IF(LEN(INDEX('Dealer pipeline'!$P$4:$P$503,_calc!$E$287))=0,"",INDEX('Dealer pipeline'!$P$4:$P$503,_calc!$E$287))&amp;". ")&amp;IF(LEN(IF(LEN(INDEX('Dealer pipeline'!$R$4:$R$503,_calc!$E$287))=0,"",INDEX('Dealer pipeline'!$R$4:$R$503,_calc!$E$287)))=0,"","Owner: "&amp;IF(LEN(INDEX('Dealer pipeline'!$R$4:$R$503,_calc!$E$287))=0,"",INDEX('Dealer pipeline'!$R$4:$R$503,_calc!$E$287))&amp;". ")&amp;IF(LEN(IF(LEN(INDEX('Dealer pipeline'!$S$4:$S$503,_calc!$E$287))=0,"",INDEX('Dealer pipeline'!$S$4:$S$503,_calc!$E$287)))=0,"","Backup: "&amp;IF(LEN(INDEX('Dealer pipeline'!$S$4:$S$503,_calc!$E$287))=0,"",INDEX('Dealer pipeline'!$S$4:$S$503,_calc!$E$287))&amp;". ")&amp;IF(LEN(IF(LEN(INDEX('Dealer pipeline'!$T$4:$T$503,_calc!$E$287))=0,"",INDEX('Dealer pipeline'!$T$4:$T$503,_calc!$E$287)))=0,"",IF(LEN(INDEX('Dealer pipeline'!$T$4:$T$503,_calc!$E$287))=0,"",INDEX('Dealer pipeline'!$T$4:$T$503,_calc!$E$287)))),TRIM(IF(LEN(IF(LEN(INDEX('My equipment'!$C$4:$C$503,(_calc!$E$287-500)))=0,"",INDEX('My equipment'!$C$4:$C$503,(_calc!$E$287-500))))=0,"","Model: "&amp;IF(LEN(INDEX('My equipment'!$C$4:$C$503,(_calc!$E$287-500)))=0,"",INDEX('My equipment'!$C$4:$C$503,(_calc!$E$287-500)))&amp;". ")&amp;IF(LEN(IF(LEN(INDEX('My equipment'!$D$4:$D$503,(_calc!$E$287-500)))=0,"",INDEX('My equipment'!$D$4:$D$503,(_calc!$E$287-500))))=0,"","Serial: "&amp;IF(LEN(INDEX('My equipment'!$D$4:$D$503,(_calc!$E$287-500)))=0,"",INDEX('My equipment'!$D$4:$D$503,(_calc!$E$287-500)))&amp;". ")&amp;IF(LEN(IF(ISNUMBER(INDEX('My equipment'!$J$4:$J$503,(_calc!$E$287-500))),TEXT(INDEX('My equipment'!$J$4:$J$503,(_calc!$E$287-500)),"yyyy-mm-dd"),""))=0,"","Parts end: "&amp;IF(ISNUMBER(INDEX('My equipment'!$J$4:$J$503,(_calc!$E$287-500))),TEXT(INDEX('My equipment'!$J$4:$J$503,(_calc!$E$287-500)),"yyyy-mm-dd"),"")&amp;". ")&amp;IF(LEN(IF(ISNUMBER(INDEX('My equipment'!$L$4:$L$503,(_calc!$E$287-500))),TEXT(INDEX('My equipment'!$L$4:$L$503,(_calc!$E$287-500)),"yyyy-mm-dd"),""))=0,"","Labor end: "&amp;IF(ISNUMBER(INDEX('My equipment'!$L$4:$L$503,(_calc!$E$287-500))),TEXT(INDEX('My equipment'!$L$4:$L$503,(_calc!$E$287-500)),"yyyy-mm-dd"),"")&amp;". ")&amp;IF(LEN(IF(ISNUMBER(INDEX('My equipment'!$P$4:$P$503,(_calc!$E$287-500))),TEXT(INDEX('My equipment'!$P$4:$P$503,(_calc!$E$287-500)),"yyyy-mm-dd"),""))=0,"","Check by: "&amp;IF(ISNUMBER(INDEX('My equipment'!$P$4:$P$503,(_calc!$E$287-500))),TEXT(INDEX('My equipment'!$P$4:$P$503,(_calc!$E$287-500)),"yyyy-mm-dd"),"")&amp;". ")&amp;IF(LEN(IF(LEN(INDEX('My equipment'!$Q$4:$Q$503,(_calc!$E$287-500)))=0,"",INDEX('My equipment'!$Q$4:$Q$503,(_calc!$E$287-500))))=0,"","Claim status: "&amp;IF(LEN(INDEX('My equipment'!$Q$4:$Q$503,(_calc!$E$287-500)))=0,"",INDEX('My equipment'!$Q$4:$Q$503,(_calc!$E$287-500)))&amp;". ")&amp;IF(LEN(IF(LEN(INDEX('My equipment'!$R$4:$R$503,(_calc!$E$287-500)))=0,"",INDEX('My equipment'!$R$4:$R$503,(_calc!$E$287-500))))=0,"","Claims contact: "&amp;IF(LEN(INDEX('My equipment'!$R$4:$R$503,(_calc!$E$287-500)))=0,"",INDEX('My equipment'!$R$4:$R$503,(_calc!$E$287-500)))&amp;". ")&amp;IF(LEN(IF(LEN(INDEX('My equipment'!$S$4:$S$503,(_calc!$E$287-500)))=0,"",INDEX('My equipment'!$S$4:$S$503,(_calc!$E$287-500))))=0,"","Claims email: "&amp;IF(LEN(INDEX('My equipment'!$S$4:$S$503,(_calc!$E$287-500)))=0,"",INDEX('My equipment'!$S$4:$S$503,(_calc!$E$287-500)))&amp;". ")&amp;IF(LEN(IF(LEN(INDEX('My equipment'!$U$4:$U$503,(_calc!$E$287-500)))=0,"",INDEX('My equipment'!$U$4:$U$503,(_calc!$E$287-500))))=0,"","Registered: "&amp;IF(LEN(INDEX('My equipment'!$U$4:$U$503,(_calc!$E$287-500)))=0,"",INDEX('My equipment'!$U$4:$U$503,(_calc!$E$287-500)))&amp;". ")&amp;IF(LEN(IF(LEN(INDEX('My equipment'!$V$4:$V$503,(_calc!$E$287-500)))=0,"",INDEX('My equipment'!$V$4:$V$503,(_calc!$E$287-500))))=0,"","Proof on file: "&amp;IF(LEN(INDEX('My equipment'!$V$4:$V$503,(_calc!$E$287-500)))=0,"",INDEX('My equipment'!$V$4:$V$503,(_calc!$E$287-500)))&amp;". ")&amp;IF(LEN(IF(LEN(INDEX('My equipment'!$W$4:$W$503,(_calc!$E$287-500)))=0,"",INDEX('My equipment'!$W$4:$W$503,(_calc!$E$287-500))))=0,"","Claim ref: "&amp;IF(LEN(INDEX('My equipment'!$W$4:$W$503,(_calc!$E$287-500)))=0,"",INDEX('My equipment'!$W$4:$W$503,(_calc!$E$287-500)))&amp;". ")&amp;IF(LEN(IF(LEN(INDEX('My equipment'!$Y$4:$Y$503,(_calc!$E$287-500)))=0,"",INDEX('My equipment'!$Y$4:$Y$503,(_calc!$E$287-500))))=0,"",IF(LEN(INDEX('My equipment'!$Y$4:$Y$503,(_calc!$E$287-500)))=0,"",INDEX('My equipment'!$Y$4:$Y$503,(_calc!$E$287-500)))))))</f>
        <v/>
      </c>
      <c r="G285" s="54">
        <f>IF(_calc!$E$287="","",IF(_calc!$E$287&lt;=500,"",IF(LEN(INDEX('My equipment'!$X$4:$X$503,(_calc!$E$287-500)))=0,"",INDEX('My equipment'!$X$4:$X$503,(_calc!$E$287-500)))))</f>
        <v/>
      </c>
      <c r="K285" s="54">
        <f>IF(_calc!$E$287="","",IF(_calc!$E$287&lt;=500,"",IF(LEN(INDEX('My equipment'!$T$4:$T$503,(_calc!$E$287-500)))=0,"",INDEX('My equipment'!$T$4:$T$503,(_calc!$E$287-500)))))</f>
        <v/>
      </c>
    </row>
    <row r="286">
      <c r="A286" s="54">
        <f>IF(_calc!$E$288="","",IF(_calc!$E$288&lt;=500,"Warranty – "&amp;IF(LEN(INDEX('Dealer pipeline'!$C$4:$C$503,_calc!$E$288))=0,"",INDEX('Dealer pipeline'!$C$4:$C$503,_calc!$E$288))&amp;" – "&amp;IF(LEN(INDEX('Dealer pipeline'!$D$4:$D$503,_calc!$E$288))=0,"",INDEX('Dealer pipeline'!$D$4:$D$503,_calc!$E$288))&amp;" – "&amp;IF(LEN(INDEX('Dealer pipeline'!$A$4:$A$503,_calc!$E$288))=0,"",INDEX('Dealer pipeline'!$A$4:$A$503,_calc!$E$288)),"Warranty – "&amp;IF(LEN(INDEX('My equipment'!$A$4:$A$503,(_calc!$E$288-500)))=0,"",INDEX('My equipment'!$A$4:$A$503,(_calc!$E$288-500)))&amp;" – "&amp;IF(LEN(INDEX('My equipment'!$D$4:$D$503,(_calc!$E$288-500)))=0,"",INDEX('My equipment'!$D$4:$D$503,(_calc!$E$288-500)))))</f>
        <v/>
      </c>
      <c r="B286" s="54">
        <f>IF(_calc!$E$288="","",IF(_calc!$E$288&lt;=500,IF(ISNUMBER(INDEX('Dealer pipeline'!$M$4:$M$503,_calc!$E$288)),TEXT(INDEX('Dealer pipeline'!$M$4:$M$503,_calc!$E$288),"yyyy-mm-dd"),""),IF(ISNUMBER(INDEX('My equipment'!$M$4:$M$503,(_calc!$E$288-500))),TEXT(INDEX('My equipment'!$M$4:$M$503,(_calc!$E$288-500)),"yyyy-mm-dd"),"")))</f>
        <v/>
      </c>
      <c r="C286" s="54">
        <f>IF(_calc!$E$288="","",IF(_calc!$E$288&lt;=500,"Warranty","Warranty"))</f>
        <v/>
      </c>
      <c r="D286" s="54">
        <f>IF(_calc!$E$288="","",IF(_calc!$E$288&lt;=500,IF(ISNUMBER(INDEX('Dealer pipeline'!$H$4:$H$503,_calc!$E$288)),TEXT(INDEX('Dealer pipeline'!$H$4:$H$503,_calc!$E$288),"yyyy-mm-dd"),""),IF(ISNUMBER(INDEX('My equipment'!$H$4:$H$503,(_calc!$E$288-500))),TEXT(INDEX('My equipment'!$H$4:$H$503,(_calc!$E$288-500)),"yyyy-mm-dd"),"")))</f>
        <v/>
      </c>
      <c r="F286" s="54">
        <f>IF(_calc!$E$288="","",IF(_calc!$E$288&lt;=500,TRIM(IF(LEN(IF(LEN(INDEX('Dealer pipeline'!$A$4:$A$503,_calc!$E$288))=0,"",INDEX('Dealer pipeline'!$A$4:$A$503,_calc!$E$288)))=0,"","Customer: "&amp;IF(LEN(INDEX('Dealer pipeline'!$A$4:$A$503,_calc!$E$288))=0,"",INDEX('Dealer pipeline'!$A$4:$A$503,_calc!$E$288))&amp;". ")&amp;IF(LEN(IF(LEN(INDEX('Dealer pipeline'!$B$4:$B$503,_calc!$E$288))=0,"",INDEX('Dealer pipeline'!$B$4:$B$503,_calc!$E$288)))=0,"","Contact: "&amp;IF(LEN(INDEX('Dealer pipeline'!$B$4:$B$503,_calc!$E$288))=0,"",INDEX('Dealer pipeline'!$B$4:$B$503,_calc!$E$288))&amp;". ")&amp;IF(LEN(IF(LEN(INDEX('Dealer pipeline'!$D$4:$D$503,_calc!$E$288))=0,"",INDEX('Dealer pipeline'!$D$4:$D$503,_calc!$E$288)))=0,"","Serial: "&amp;IF(LEN(INDEX('Dealer pipeline'!$D$4:$D$503,_calc!$E$288))=0,"",INDEX('Dealer pipeline'!$D$4:$D$503,_calc!$E$288))&amp;". ")&amp;IF(LEN(IF(ISNUMBER(INDEX('Dealer pipeline'!$J$4:$J$503,_calc!$E$288)),TEXT(INDEX('Dealer pipeline'!$J$4:$J$503,_calc!$E$288),"yyyy-mm-dd"),""))=0,"","Parts end: "&amp;IF(ISNUMBER(INDEX('Dealer pipeline'!$J$4:$J$503,_calc!$E$288)),TEXT(INDEX('Dealer pipeline'!$J$4:$J$503,_calc!$E$288),"yyyy-mm-dd"),"")&amp;". ")&amp;IF(LEN(IF(ISNUMBER(INDEX('Dealer pipeline'!$L$4:$L$503,_calc!$E$288)),TEXT(INDEX('Dealer pipeline'!$L$4:$L$503,_calc!$E$288),"yyyy-mm-dd"),""))=0,"","Labor end: "&amp;IF(ISNUMBER(INDEX('Dealer pipeline'!$L$4:$L$503,_calc!$E$288)),TEXT(INDEX('Dealer pipeline'!$L$4:$L$503,_calc!$E$288),"yyyy-mm-dd"),"")&amp;". ")&amp;IF(LEN(IF(LEN(INDEX('Dealer pipeline'!$Q$4:$Q$503,_calc!$E$288))=0,"",INDEX('Dealer pipeline'!$Q$4:$Q$503,_calc!$E$288)))=0,"","Status: "&amp;IF(LEN(INDEX('Dealer pipeline'!$Q$4:$Q$503,_calc!$E$288))=0,"",INDEX('Dealer pipeline'!$Q$4:$Q$503,_calc!$E$288))&amp;". ")&amp;IF(LEN(IF(LEN(INDEX('Dealer pipeline'!$P$4:$P$503,_calc!$E$288))=0,"",INDEX('Dealer pipeline'!$P$4:$P$503,_calc!$E$288)))=0,"","Last touch: "&amp;IF(LEN(INDEX('Dealer pipeline'!$P$4:$P$503,_calc!$E$288))=0,"",INDEX('Dealer pipeline'!$P$4:$P$503,_calc!$E$288))&amp;". ")&amp;IF(LEN(IF(LEN(INDEX('Dealer pipeline'!$R$4:$R$503,_calc!$E$288))=0,"",INDEX('Dealer pipeline'!$R$4:$R$503,_calc!$E$288)))=0,"","Owner: "&amp;IF(LEN(INDEX('Dealer pipeline'!$R$4:$R$503,_calc!$E$288))=0,"",INDEX('Dealer pipeline'!$R$4:$R$503,_calc!$E$288))&amp;". ")&amp;IF(LEN(IF(LEN(INDEX('Dealer pipeline'!$S$4:$S$503,_calc!$E$288))=0,"",INDEX('Dealer pipeline'!$S$4:$S$503,_calc!$E$288)))=0,"","Backup: "&amp;IF(LEN(INDEX('Dealer pipeline'!$S$4:$S$503,_calc!$E$288))=0,"",INDEX('Dealer pipeline'!$S$4:$S$503,_calc!$E$288))&amp;". ")&amp;IF(LEN(IF(LEN(INDEX('Dealer pipeline'!$T$4:$T$503,_calc!$E$288))=0,"",INDEX('Dealer pipeline'!$T$4:$T$503,_calc!$E$288)))=0,"",IF(LEN(INDEX('Dealer pipeline'!$T$4:$T$503,_calc!$E$288))=0,"",INDEX('Dealer pipeline'!$T$4:$T$503,_calc!$E$288)))),TRIM(IF(LEN(IF(LEN(INDEX('My equipment'!$C$4:$C$503,(_calc!$E$288-500)))=0,"",INDEX('My equipment'!$C$4:$C$503,(_calc!$E$288-500))))=0,"","Model: "&amp;IF(LEN(INDEX('My equipment'!$C$4:$C$503,(_calc!$E$288-500)))=0,"",INDEX('My equipment'!$C$4:$C$503,(_calc!$E$288-500)))&amp;". ")&amp;IF(LEN(IF(LEN(INDEX('My equipment'!$D$4:$D$503,(_calc!$E$288-500)))=0,"",INDEX('My equipment'!$D$4:$D$503,(_calc!$E$288-500))))=0,"","Serial: "&amp;IF(LEN(INDEX('My equipment'!$D$4:$D$503,(_calc!$E$288-500)))=0,"",INDEX('My equipment'!$D$4:$D$503,(_calc!$E$288-500)))&amp;". ")&amp;IF(LEN(IF(ISNUMBER(INDEX('My equipment'!$J$4:$J$503,(_calc!$E$288-500))),TEXT(INDEX('My equipment'!$J$4:$J$503,(_calc!$E$288-500)),"yyyy-mm-dd"),""))=0,"","Parts end: "&amp;IF(ISNUMBER(INDEX('My equipment'!$J$4:$J$503,(_calc!$E$288-500))),TEXT(INDEX('My equipment'!$J$4:$J$503,(_calc!$E$288-500)),"yyyy-mm-dd"),"")&amp;". ")&amp;IF(LEN(IF(ISNUMBER(INDEX('My equipment'!$L$4:$L$503,(_calc!$E$288-500))),TEXT(INDEX('My equipment'!$L$4:$L$503,(_calc!$E$288-500)),"yyyy-mm-dd"),""))=0,"","Labor end: "&amp;IF(ISNUMBER(INDEX('My equipment'!$L$4:$L$503,(_calc!$E$288-500))),TEXT(INDEX('My equipment'!$L$4:$L$503,(_calc!$E$288-500)),"yyyy-mm-dd"),"")&amp;". ")&amp;IF(LEN(IF(ISNUMBER(INDEX('My equipment'!$P$4:$P$503,(_calc!$E$288-500))),TEXT(INDEX('My equipment'!$P$4:$P$503,(_calc!$E$288-500)),"yyyy-mm-dd"),""))=0,"","Check by: "&amp;IF(ISNUMBER(INDEX('My equipment'!$P$4:$P$503,(_calc!$E$288-500))),TEXT(INDEX('My equipment'!$P$4:$P$503,(_calc!$E$288-500)),"yyyy-mm-dd"),"")&amp;". ")&amp;IF(LEN(IF(LEN(INDEX('My equipment'!$Q$4:$Q$503,(_calc!$E$288-500)))=0,"",INDEX('My equipment'!$Q$4:$Q$503,(_calc!$E$288-500))))=0,"","Claim status: "&amp;IF(LEN(INDEX('My equipment'!$Q$4:$Q$503,(_calc!$E$288-500)))=0,"",INDEX('My equipment'!$Q$4:$Q$503,(_calc!$E$288-500)))&amp;". ")&amp;IF(LEN(IF(LEN(INDEX('My equipment'!$R$4:$R$503,(_calc!$E$288-500)))=0,"",INDEX('My equipment'!$R$4:$R$503,(_calc!$E$288-500))))=0,"","Claims contact: "&amp;IF(LEN(INDEX('My equipment'!$R$4:$R$503,(_calc!$E$288-500)))=0,"",INDEX('My equipment'!$R$4:$R$503,(_calc!$E$288-500)))&amp;". ")&amp;IF(LEN(IF(LEN(INDEX('My equipment'!$S$4:$S$503,(_calc!$E$288-500)))=0,"",INDEX('My equipment'!$S$4:$S$503,(_calc!$E$288-500))))=0,"","Claims email: "&amp;IF(LEN(INDEX('My equipment'!$S$4:$S$503,(_calc!$E$288-500)))=0,"",INDEX('My equipment'!$S$4:$S$503,(_calc!$E$288-500)))&amp;". ")&amp;IF(LEN(IF(LEN(INDEX('My equipment'!$U$4:$U$503,(_calc!$E$288-500)))=0,"",INDEX('My equipment'!$U$4:$U$503,(_calc!$E$288-500))))=0,"","Registered: "&amp;IF(LEN(INDEX('My equipment'!$U$4:$U$503,(_calc!$E$288-500)))=0,"",INDEX('My equipment'!$U$4:$U$503,(_calc!$E$288-500)))&amp;". ")&amp;IF(LEN(IF(LEN(INDEX('My equipment'!$V$4:$V$503,(_calc!$E$288-500)))=0,"",INDEX('My equipment'!$V$4:$V$503,(_calc!$E$288-500))))=0,"","Proof on file: "&amp;IF(LEN(INDEX('My equipment'!$V$4:$V$503,(_calc!$E$288-500)))=0,"",INDEX('My equipment'!$V$4:$V$503,(_calc!$E$288-500)))&amp;". ")&amp;IF(LEN(IF(LEN(INDEX('My equipment'!$W$4:$W$503,(_calc!$E$288-500)))=0,"",INDEX('My equipment'!$W$4:$W$503,(_calc!$E$288-500))))=0,"","Claim ref: "&amp;IF(LEN(INDEX('My equipment'!$W$4:$W$503,(_calc!$E$288-500)))=0,"",INDEX('My equipment'!$W$4:$W$503,(_calc!$E$288-500)))&amp;". ")&amp;IF(LEN(IF(LEN(INDEX('My equipment'!$Y$4:$Y$503,(_calc!$E$288-500)))=0,"",INDEX('My equipment'!$Y$4:$Y$503,(_calc!$E$288-500))))=0,"",IF(LEN(INDEX('My equipment'!$Y$4:$Y$503,(_calc!$E$288-500)))=0,"",INDEX('My equipment'!$Y$4:$Y$503,(_calc!$E$288-500)))))))</f>
        <v/>
      </c>
      <c r="G286" s="54">
        <f>IF(_calc!$E$288="","",IF(_calc!$E$288&lt;=500,"",IF(LEN(INDEX('My equipment'!$X$4:$X$503,(_calc!$E$288-500)))=0,"",INDEX('My equipment'!$X$4:$X$503,(_calc!$E$288-500)))))</f>
        <v/>
      </c>
      <c r="K286" s="54">
        <f>IF(_calc!$E$288="","",IF(_calc!$E$288&lt;=500,"",IF(LEN(INDEX('My equipment'!$T$4:$T$503,(_calc!$E$288-500)))=0,"",INDEX('My equipment'!$T$4:$T$503,(_calc!$E$288-500)))))</f>
        <v/>
      </c>
    </row>
    <row r="287">
      <c r="A287" s="54">
        <f>IF(_calc!$E$289="","",IF(_calc!$E$289&lt;=500,"Warranty – "&amp;IF(LEN(INDEX('Dealer pipeline'!$C$4:$C$503,_calc!$E$289))=0,"",INDEX('Dealer pipeline'!$C$4:$C$503,_calc!$E$289))&amp;" – "&amp;IF(LEN(INDEX('Dealer pipeline'!$D$4:$D$503,_calc!$E$289))=0,"",INDEX('Dealer pipeline'!$D$4:$D$503,_calc!$E$289))&amp;" – "&amp;IF(LEN(INDEX('Dealer pipeline'!$A$4:$A$503,_calc!$E$289))=0,"",INDEX('Dealer pipeline'!$A$4:$A$503,_calc!$E$289)),"Warranty – "&amp;IF(LEN(INDEX('My equipment'!$A$4:$A$503,(_calc!$E$289-500)))=0,"",INDEX('My equipment'!$A$4:$A$503,(_calc!$E$289-500)))&amp;" – "&amp;IF(LEN(INDEX('My equipment'!$D$4:$D$503,(_calc!$E$289-500)))=0,"",INDEX('My equipment'!$D$4:$D$503,(_calc!$E$289-500)))))</f>
        <v/>
      </c>
      <c r="B287" s="54">
        <f>IF(_calc!$E$289="","",IF(_calc!$E$289&lt;=500,IF(ISNUMBER(INDEX('Dealer pipeline'!$M$4:$M$503,_calc!$E$289)),TEXT(INDEX('Dealer pipeline'!$M$4:$M$503,_calc!$E$289),"yyyy-mm-dd"),""),IF(ISNUMBER(INDEX('My equipment'!$M$4:$M$503,(_calc!$E$289-500))),TEXT(INDEX('My equipment'!$M$4:$M$503,(_calc!$E$289-500)),"yyyy-mm-dd"),"")))</f>
        <v/>
      </c>
      <c r="C287" s="54">
        <f>IF(_calc!$E$289="","",IF(_calc!$E$289&lt;=500,"Warranty","Warranty"))</f>
        <v/>
      </c>
      <c r="D287" s="54">
        <f>IF(_calc!$E$289="","",IF(_calc!$E$289&lt;=500,IF(ISNUMBER(INDEX('Dealer pipeline'!$H$4:$H$503,_calc!$E$289)),TEXT(INDEX('Dealer pipeline'!$H$4:$H$503,_calc!$E$289),"yyyy-mm-dd"),""),IF(ISNUMBER(INDEX('My equipment'!$H$4:$H$503,(_calc!$E$289-500))),TEXT(INDEX('My equipment'!$H$4:$H$503,(_calc!$E$289-500)),"yyyy-mm-dd"),"")))</f>
        <v/>
      </c>
      <c r="F287" s="54">
        <f>IF(_calc!$E$289="","",IF(_calc!$E$289&lt;=500,TRIM(IF(LEN(IF(LEN(INDEX('Dealer pipeline'!$A$4:$A$503,_calc!$E$289))=0,"",INDEX('Dealer pipeline'!$A$4:$A$503,_calc!$E$289)))=0,"","Customer: "&amp;IF(LEN(INDEX('Dealer pipeline'!$A$4:$A$503,_calc!$E$289))=0,"",INDEX('Dealer pipeline'!$A$4:$A$503,_calc!$E$289))&amp;". ")&amp;IF(LEN(IF(LEN(INDEX('Dealer pipeline'!$B$4:$B$503,_calc!$E$289))=0,"",INDEX('Dealer pipeline'!$B$4:$B$503,_calc!$E$289)))=0,"","Contact: "&amp;IF(LEN(INDEX('Dealer pipeline'!$B$4:$B$503,_calc!$E$289))=0,"",INDEX('Dealer pipeline'!$B$4:$B$503,_calc!$E$289))&amp;". ")&amp;IF(LEN(IF(LEN(INDEX('Dealer pipeline'!$D$4:$D$503,_calc!$E$289))=0,"",INDEX('Dealer pipeline'!$D$4:$D$503,_calc!$E$289)))=0,"","Serial: "&amp;IF(LEN(INDEX('Dealer pipeline'!$D$4:$D$503,_calc!$E$289))=0,"",INDEX('Dealer pipeline'!$D$4:$D$503,_calc!$E$289))&amp;". ")&amp;IF(LEN(IF(ISNUMBER(INDEX('Dealer pipeline'!$J$4:$J$503,_calc!$E$289)),TEXT(INDEX('Dealer pipeline'!$J$4:$J$503,_calc!$E$289),"yyyy-mm-dd"),""))=0,"","Parts end: "&amp;IF(ISNUMBER(INDEX('Dealer pipeline'!$J$4:$J$503,_calc!$E$289)),TEXT(INDEX('Dealer pipeline'!$J$4:$J$503,_calc!$E$289),"yyyy-mm-dd"),"")&amp;". ")&amp;IF(LEN(IF(ISNUMBER(INDEX('Dealer pipeline'!$L$4:$L$503,_calc!$E$289)),TEXT(INDEX('Dealer pipeline'!$L$4:$L$503,_calc!$E$289),"yyyy-mm-dd"),""))=0,"","Labor end: "&amp;IF(ISNUMBER(INDEX('Dealer pipeline'!$L$4:$L$503,_calc!$E$289)),TEXT(INDEX('Dealer pipeline'!$L$4:$L$503,_calc!$E$289),"yyyy-mm-dd"),"")&amp;". ")&amp;IF(LEN(IF(LEN(INDEX('Dealer pipeline'!$Q$4:$Q$503,_calc!$E$289))=0,"",INDEX('Dealer pipeline'!$Q$4:$Q$503,_calc!$E$289)))=0,"","Status: "&amp;IF(LEN(INDEX('Dealer pipeline'!$Q$4:$Q$503,_calc!$E$289))=0,"",INDEX('Dealer pipeline'!$Q$4:$Q$503,_calc!$E$289))&amp;". ")&amp;IF(LEN(IF(LEN(INDEX('Dealer pipeline'!$P$4:$P$503,_calc!$E$289))=0,"",INDEX('Dealer pipeline'!$P$4:$P$503,_calc!$E$289)))=0,"","Last touch: "&amp;IF(LEN(INDEX('Dealer pipeline'!$P$4:$P$503,_calc!$E$289))=0,"",INDEX('Dealer pipeline'!$P$4:$P$503,_calc!$E$289))&amp;". ")&amp;IF(LEN(IF(LEN(INDEX('Dealer pipeline'!$R$4:$R$503,_calc!$E$289))=0,"",INDEX('Dealer pipeline'!$R$4:$R$503,_calc!$E$289)))=0,"","Owner: "&amp;IF(LEN(INDEX('Dealer pipeline'!$R$4:$R$503,_calc!$E$289))=0,"",INDEX('Dealer pipeline'!$R$4:$R$503,_calc!$E$289))&amp;". ")&amp;IF(LEN(IF(LEN(INDEX('Dealer pipeline'!$S$4:$S$503,_calc!$E$289))=0,"",INDEX('Dealer pipeline'!$S$4:$S$503,_calc!$E$289)))=0,"","Backup: "&amp;IF(LEN(INDEX('Dealer pipeline'!$S$4:$S$503,_calc!$E$289))=0,"",INDEX('Dealer pipeline'!$S$4:$S$503,_calc!$E$289))&amp;". ")&amp;IF(LEN(IF(LEN(INDEX('Dealer pipeline'!$T$4:$T$503,_calc!$E$289))=0,"",INDEX('Dealer pipeline'!$T$4:$T$503,_calc!$E$289)))=0,"",IF(LEN(INDEX('Dealer pipeline'!$T$4:$T$503,_calc!$E$289))=0,"",INDEX('Dealer pipeline'!$T$4:$T$503,_calc!$E$289)))),TRIM(IF(LEN(IF(LEN(INDEX('My equipment'!$C$4:$C$503,(_calc!$E$289-500)))=0,"",INDEX('My equipment'!$C$4:$C$503,(_calc!$E$289-500))))=0,"","Model: "&amp;IF(LEN(INDEX('My equipment'!$C$4:$C$503,(_calc!$E$289-500)))=0,"",INDEX('My equipment'!$C$4:$C$503,(_calc!$E$289-500)))&amp;". ")&amp;IF(LEN(IF(LEN(INDEX('My equipment'!$D$4:$D$503,(_calc!$E$289-500)))=0,"",INDEX('My equipment'!$D$4:$D$503,(_calc!$E$289-500))))=0,"","Serial: "&amp;IF(LEN(INDEX('My equipment'!$D$4:$D$503,(_calc!$E$289-500)))=0,"",INDEX('My equipment'!$D$4:$D$503,(_calc!$E$289-500)))&amp;". ")&amp;IF(LEN(IF(ISNUMBER(INDEX('My equipment'!$J$4:$J$503,(_calc!$E$289-500))),TEXT(INDEX('My equipment'!$J$4:$J$503,(_calc!$E$289-500)),"yyyy-mm-dd"),""))=0,"","Parts end: "&amp;IF(ISNUMBER(INDEX('My equipment'!$J$4:$J$503,(_calc!$E$289-500))),TEXT(INDEX('My equipment'!$J$4:$J$503,(_calc!$E$289-500)),"yyyy-mm-dd"),"")&amp;". ")&amp;IF(LEN(IF(ISNUMBER(INDEX('My equipment'!$L$4:$L$503,(_calc!$E$289-500))),TEXT(INDEX('My equipment'!$L$4:$L$503,(_calc!$E$289-500)),"yyyy-mm-dd"),""))=0,"","Labor end: "&amp;IF(ISNUMBER(INDEX('My equipment'!$L$4:$L$503,(_calc!$E$289-500))),TEXT(INDEX('My equipment'!$L$4:$L$503,(_calc!$E$289-500)),"yyyy-mm-dd"),"")&amp;". ")&amp;IF(LEN(IF(ISNUMBER(INDEX('My equipment'!$P$4:$P$503,(_calc!$E$289-500))),TEXT(INDEX('My equipment'!$P$4:$P$503,(_calc!$E$289-500)),"yyyy-mm-dd"),""))=0,"","Check by: "&amp;IF(ISNUMBER(INDEX('My equipment'!$P$4:$P$503,(_calc!$E$289-500))),TEXT(INDEX('My equipment'!$P$4:$P$503,(_calc!$E$289-500)),"yyyy-mm-dd"),"")&amp;". ")&amp;IF(LEN(IF(LEN(INDEX('My equipment'!$Q$4:$Q$503,(_calc!$E$289-500)))=0,"",INDEX('My equipment'!$Q$4:$Q$503,(_calc!$E$289-500))))=0,"","Claim status: "&amp;IF(LEN(INDEX('My equipment'!$Q$4:$Q$503,(_calc!$E$289-500)))=0,"",INDEX('My equipment'!$Q$4:$Q$503,(_calc!$E$289-500)))&amp;". ")&amp;IF(LEN(IF(LEN(INDEX('My equipment'!$R$4:$R$503,(_calc!$E$289-500)))=0,"",INDEX('My equipment'!$R$4:$R$503,(_calc!$E$289-500))))=0,"","Claims contact: "&amp;IF(LEN(INDEX('My equipment'!$R$4:$R$503,(_calc!$E$289-500)))=0,"",INDEX('My equipment'!$R$4:$R$503,(_calc!$E$289-500)))&amp;". ")&amp;IF(LEN(IF(LEN(INDEX('My equipment'!$S$4:$S$503,(_calc!$E$289-500)))=0,"",INDEX('My equipment'!$S$4:$S$503,(_calc!$E$289-500))))=0,"","Claims email: "&amp;IF(LEN(INDEX('My equipment'!$S$4:$S$503,(_calc!$E$289-500)))=0,"",INDEX('My equipment'!$S$4:$S$503,(_calc!$E$289-500)))&amp;". ")&amp;IF(LEN(IF(LEN(INDEX('My equipment'!$U$4:$U$503,(_calc!$E$289-500)))=0,"",INDEX('My equipment'!$U$4:$U$503,(_calc!$E$289-500))))=0,"","Registered: "&amp;IF(LEN(INDEX('My equipment'!$U$4:$U$503,(_calc!$E$289-500)))=0,"",INDEX('My equipment'!$U$4:$U$503,(_calc!$E$289-500)))&amp;". ")&amp;IF(LEN(IF(LEN(INDEX('My equipment'!$V$4:$V$503,(_calc!$E$289-500)))=0,"",INDEX('My equipment'!$V$4:$V$503,(_calc!$E$289-500))))=0,"","Proof on file: "&amp;IF(LEN(INDEX('My equipment'!$V$4:$V$503,(_calc!$E$289-500)))=0,"",INDEX('My equipment'!$V$4:$V$503,(_calc!$E$289-500)))&amp;". ")&amp;IF(LEN(IF(LEN(INDEX('My equipment'!$W$4:$W$503,(_calc!$E$289-500)))=0,"",INDEX('My equipment'!$W$4:$W$503,(_calc!$E$289-500))))=0,"","Claim ref: "&amp;IF(LEN(INDEX('My equipment'!$W$4:$W$503,(_calc!$E$289-500)))=0,"",INDEX('My equipment'!$W$4:$W$503,(_calc!$E$289-500)))&amp;". ")&amp;IF(LEN(IF(LEN(INDEX('My equipment'!$Y$4:$Y$503,(_calc!$E$289-500)))=0,"",INDEX('My equipment'!$Y$4:$Y$503,(_calc!$E$289-500))))=0,"",IF(LEN(INDEX('My equipment'!$Y$4:$Y$503,(_calc!$E$289-500)))=0,"",INDEX('My equipment'!$Y$4:$Y$503,(_calc!$E$289-500)))))))</f>
        <v/>
      </c>
      <c r="G287" s="54">
        <f>IF(_calc!$E$289="","",IF(_calc!$E$289&lt;=500,"",IF(LEN(INDEX('My equipment'!$X$4:$X$503,(_calc!$E$289-500)))=0,"",INDEX('My equipment'!$X$4:$X$503,(_calc!$E$289-500)))))</f>
        <v/>
      </c>
      <c r="K287" s="54">
        <f>IF(_calc!$E$289="","",IF(_calc!$E$289&lt;=500,"",IF(LEN(INDEX('My equipment'!$T$4:$T$503,(_calc!$E$289-500)))=0,"",INDEX('My equipment'!$T$4:$T$503,(_calc!$E$289-500)))))</f>
        <v/>
      </c>
    </row>
    <row r="288">
      <c r="A288" s="54">
        <f>IF(_calc!$E$290="","",IF(_calc!$E$290&lt;=500,"Warranty – "&amp;IF(LEN(INDEX('Dealer pipeline'!$C$4:$C$503,_calc!$E$290))=0,"",INDEX('Dealer pipeline'!$C$4:$C$503,_calc!$E$290))&amp;" – "&amp;IF(LEN(INDEX('Dealer pipeline'!$D$4:$D$503,_calc!$E$290))=0,"",INDEX('Dealer pipeline'!$D$4:$D$503,_calc!$E$290))&amp;" – "&amp;IF(LEN(INDEX('Dealer pipeline'!$A$4:$A$503,_calc!$E$290))=0,"",INDEX('Dealer pipeline'!$A$4:$A$503,_calc!$E$290)),"Warranty – "&amp;IF(LEN(INDEX('My equipment'!$A$4:$A$503,(_calc!$E$290-500)))=0,"",INDEX('My equipment'!$A$4:$A$503,(_calc!$E$290-500)))&amp;" – "&amp;IF(LEN(INDEX('My equipment'!$D$4:$D$503,(_calc!$E$290-500)))=0,"",INDEX('My equipment'!$D$4:$D$503,(_calc!$E$290-500)))))</f>
        <v/>
      </c>
      <c r="B288" s="54">
        <f>IF(_calc!$E$290="","",IF(_calc!$E$290&lt;=500,IF(ISNUMBER(INDEX('Dealer pipeline'!$M$4:$M$503,_calc!$E$290)),TEXT(INDEX('Dealer pipeline'!$M$4:$M$503,_calc!$E$290),"yyyy-mm-dd"),""),IF(ISNUMBER(INDEX('My equipment'!$M$4:$M$503,(_calc!$E$290-500))),TEXT(INDEX('My equipment'!$M$4:$M$503,(_calc!$E$290-500)),"yyyy-mm-dd"),"")))</f>
        <v/>
      </c>
      <c r="C288" s="54">
        <f>IF(_calc!$E$290="","",IF(_calc!$E$290&lt;=500,"Warranty","Warranty"))</f>
        <v/>
      </c>
      <c r="D288" s="54">
        <f>IF(_calc!$E$290="","",IF(_calc!$E$290&lt;=500,IF(ISNUMBER(INDEX('Dealer pipeline'!$H$4:$H$503,_calc!$E$290)),TEXT(INDEX('Dealer pipeline'!$H$4:$H$503,_calc!$E$290),"yyyy-mm-dd"),""),IF(ISNUMBER(INDEX('My equipment'!$H$4:$H$503,(_calc!$E$290-500))),TEXT(INDEX('My equipment'!$H$4:$H$503,(_calc!$E$290-500)),"yyyy-mm-dd"),"")))</f>
        <v/>
      </c>
      <c r="F288" s="54">
        <f>IF(_calc!$E$290="","",IF(_calc!$E$290&lt;=500,TRIM(IF(LEN(IF(LEN(INDEX('Dealer pipeline'!$A$4:$A$503,_calc!$E$290))=0,"",INDEX('Dealer pipeline'!$A$4:$A$503,_calc!$E$290)))=0,"","Customer: "&amp;IF(LEN(INDEX('Dealer pipeline'!$A$4:$A$503,_calc!$E$290))=0,"",INDEX('Dealer pipeline'!$A$4:$A$503,_calc!$E$290))&amp;". ")&amp;IF(LEN(IF(LEN(INDEX('Dealer pipeline'!$B$4:$B$503,_calc!$E$290))=0,"",INDEX('Dealer pipeline'!$B$4:$B$503,_calc!$E$290)))=0,"","Contact: "&amp;IF(LEN(INDEX('Dealer pipeline'!$B$4:$B$503,_calc!$E$290))=0,"",INDEX('Dealer pipeline'!$B$4:$B$503,_calc!$E$290))&amp;". ")&amp;IF(LEN(IF(LEN(INDEX('Dealer pipeline'!$D$4:$D$503,_calc!$E$290))=0,"",INDEX('Dealer pipeline'!$D$4:$D$503,_calc!$E$290)))=0,"","Serial: "&amp;IF(LEN(INDEX('Dealer pipeline'!$D$4:$D$503,_calc!$E$290))=0,"",INDEX('Dealer pipeline'!$D$4:$D$503,_calc!$E$290))&amp;". ")&amp;IF(LEN(IF(ISNUMBER(INDEX('Dealer pipeline'!$J$4:$J$503,_calc!$E$290)),TEXT(INDEX('Dealer pipeline'!$J$4:$J$503,_calc!$E$290),"yyyy-mm-dd"),""))=0,"","Parts end: "&amp;IF(ISNUMBER(INDEX('Dealer pipeline'!$J$4:$J$503,_calc!$E$290)),TEXT(INDEX('Dealer pipeline'!$J$4:$J$503,_calc!$E$290),"yyyy-mm-dd"),"")&amp;". ")&amp;IF(LEN(IF(ISNUMBER(INDEX('Dealer pipeline'!$L$4:$L$503,_calc!$E$290)),TEXT(INDEX('Dealer pipeline'!$L$4:$L$503,_calc!$E$290),"yyyy-mm-dd"),""))=0,"","Labor end: "&amp;IF(ISNUMBER(INDEX('Dealer pipeline'!$L$4:$L$503,_calc!$E$290)),TEXT(INDEX('Dealer pipeline'!$L$4:$L$503,_calc!$E$290),"yyyy-mm-dd"),"")&amp;". ")&amp;IF(LEN(IF(LEN(INDEX('Dealer pipeline'!$Q$4:$Q$503,_calc!$E$290))=0,"",INDEX('Dealer pipeline'!$Q$4:$Q$503,_calc!$E$290)))=0,"","Status: "&amp;IF(LEN(INDEX('Dealer pipeline'!$Q$4:$Q$503,_calc!$E$290))=0,"",INDEX('Dealer pipeline'!$Q$4:$Q$503,_calc!$E$290))&amp;". ")&amp;IF(LEN(IF(LEN(INDEX('Dealer pipeline'!$P$4:$P$503,_calc!$E$290))=0,"",INDEX('Dealer pipeline'!$P$4:$P$503,_calc!$E$290)))=0,"","Last touch: "&amp;IF(LEN(INDEX('Dealer pipeline'!$P$4:$P$503,_calc!$E$290))=0,"",INDEX('Dealer pipeline'!$P$4:$P$503,_calc!$E$290))&amp;". ")&amp;IF(LEN(IF(LEN(INDEX('Dealer pipeline'!$R$4:$R$503,_calc!$E$290))=0,"",INDEX('Dealer pipeline'!$R$4:$R$503,_calc!$E$290)))=0,"","Owner: "&amp;IF(LEN(INDEX('Dealer pipeline'!$R$4:$R$503,_calc!$E$290))=0,"",INDEX('Dealer pipeline'!$R$4:$R$503,_calc!$E$290))&amp;". ")&amp;IF(LEN(IF(LEN(INDEX('Dealer pipeline'!$S$4:$S$503,_calc!$E$290))=0,"",INDEX('Dealer pipeline'!$S$4:$S$503,_calc!$E$290)))=0,"","Backup: "&amp;IF(LEN(INDEX('Dealer pipeline'!$S$4:$S$503,_calc!$E$290))=0,"",INDEX('Dealer pipeline'!$S$4:$S$503,_calc!$E$290))&amp;". ")&amp;IF(LEN(IF(LEN(INDEX('Dealer pipeline'!$T$4:$T$503,_calc!$E$290))=0,"",INDEX('Dealer pipeline'!$T$4:$T$503,_calc!$E$290)))=0,"",IF(LEN(INDEX('Dealer pipeline'!$T$4:$T$503,_calc!$E$290))=0,"",INDEX('Dealer pipeline'!$T$4:$T$503,_calc!$E$290)))),TRIM(IF(LEN(IF(LEN(INDEX('My equipment'!$C$4:$C$503,(_calc!$E$290-500)))=0,"",INDEX('My equipment'!$C$4:$C$503,(_calc!$E$290-500))))=0,"","Model: "&amp;IF(LEN(INDEX('My equipment'!$C$4:$C$503,(_calc!$E$290-500)))=0,"",INDEX('My equipment'!$C$4:$C$503,(_calc!$E$290-500)))&amp;". ")&amp;IF(LEN(IF(LEN(INDEX('My equipment'!$D$4:$D$503,(_calc!$E$290-500)))=0,"",INDEX('My equipment'!$D$4:$D$503,(_calc!$E$290-500))))=0,"","Serial: "&amp;IF(LEN(INDEX('My equipment'!$D$4:$D$503,(_calc!$E$290-500)))=0,"",INDEX('My equipment'!$D$4:$D$503,(_calc!$E$290-500)))&amp;". ")&amp;IF(LEN(IF(ISNUMBER(INDEX('My equipment'!$J$4:$J$503,(_calc!$E$290-500))),TEXT(INDEX('My equipment'!$J$4:$J$503,(_calc!$E$290-500)),"yyyy-mm-dd"),""))=0,"","Parts end: "&amp;IF(ISNUMBER(INDEX('My equipment'!$J$4:$J$503,(_calc!$E$290-500))),TEXT(INDEX('My equipment'!$J$4:$J$503,(_calc!$E$290-500)),"yyyy-mm-dd"),"")&amp;". ")&amp;IF(LEN(IF(ISNUMBER(INDEX('My equipment'!$L$4:$L$503,(_calc!$E$290-500))),TEXT(INDEX('My equipment'!$L$4:$L$503,(_calc!$E$290-500)),"yyyy-mm-dd"),""))=0,"","Labor end: "&amp;IF(ISNUMBER(INDEX('My equipment'!$L$4:$L$503,(_calc!$E$290-500))),TEXT(INDEX('My equipment'!$L$4:$L$503,(_calc!$E$290-500)),"yyyy-mm-dd"),"")&amp;". ")&amp;IF(LEN(IF(ISNUMBER(INDEX('My equipment'!$P$4:$P$503,(_calc!$E$290-500))),TEXT(INDEX('My equipment'!$P$4:$P$503,(_calc!$E$290-500)),"yyyy-mm-dd"),""))=0,"","Check by: "&amp;IF(ISNUMBER(INDEX('My equipment'!$P$4:$P$503,(_calc!$E$290-500))),TEXT(INDEX('My equipment'!$P$4:$P$503,(_calc!$E$290-500)),"yyyy-mm-dd"),"")&amp;". ")&amp;IF(LEN(IF(LEN(INDEX('My equipment'!$Q$4:$Q$503,(_calc!$E$290-500)))=0,"",INDEX('My equipment'!$Q$4:$Q$503,(_calc!$E$290-500))))=0,"","Claim status: "&amp;IF(LEN(INDEX('My equipment'!$Q$4:$Q$503,(_calc!$E$290-500)))=0,"",INDEX('My equipment'!$Q$4:$Q$503,(_calc!$E$290-500)))&amp;". ")&amp;IF(LEN(IF(LEN(INDEX('My equipment'!$R$4:$R$503,(_calc!$E$290-500)))=0,"",INDEX('My equipment'!$R$4:$R$503,(_calc!$E$290-500))))=0,"","Claims contact: "&amp;IF(LEN(INDEX('My equipment'!$R$4:$R$503,(_calc!$E$290-500)))=0,"",INDEX('My equipment'!$R$4:$R$503,(_calc!$E$290-500)))&amp;". ")&amp;IF(LEN(IF(LEN(INDEX('My equipment'!$S$4:$S$503,(_calc!$E$290-500)))=0,"",INDEX('My equipment'!$S$4:$S$503,(_calc!$E$290-500))))=0,"","Claims email: "&amp;IF(LEN(INDEX('My equipment'!$S$4:$S$503,(_calc!$E$290-500)))=0,"",INDEX('My equipment'!$S$4:$S$503,(_calc!$E$290-500)))&amp;". ")&amp;IF(LEN(IF(LEN(INDEX('My equipment'!$U$4:$U$503,(_calc!$E$290-500)))=0,"",INDEX('My equipment'!$U$4:$U$503,(_calc!$E$290-500))))=0,"","Registered: "&amp;IF(LEN(INDEX('My equipment'!$U$4:$U$503,(_calc!$E$290-500)))=0,"",INDEX('My equipment'!$U$4:$U$503,(_calc!$E$290-500)))&amp;". ")&amp;IF(LEN(IF(LEN(INDEX('My equipment'!$V$4:$V$503,(_calc!$E$290-500)))=0,"",INDEX('My equipment'!$V$4:$V$503,(_calc!$E$290-500))))=0,"","Proof on file: "&amp;IF(LEN(INDEX('My equipment'!$V$4:$V$503,(_calc!$E$290-500)))=0,"",INDEX('My equipment'!$V$4:$V$503,(_calc!$E$290-500)))&amp;". ")&amp;IF(LEN(IF(LEN(INDEX('My equipment'!$W$4:$W$503,(_calc!$E$290-500)))=0,"",INDEX('My equipment'!$W$4:$W$503,(_calc!$E$290-500))))=0,"","Claim ref: "&amp;IF(LEN(INDEX('My equipment'!$W$4:$W$503,(_calc!$E$290-500)))=0,"",INDEX('My equipment'!$W$4:$W$503,(_calc!$E$290-500)))&amp;". ")&amp;IF(LEN(IF(LEN(INDEX('My equipment'!$Y$4:$Y$503,(_calc!$E$290-500)))=0,"",INDEX('My equipment'!$Y$4:$Y$503,(_calc!$E$290-500))))=0,"",IF(LEN(INDEX('My equipment'!$Y$4:$Y$503,(_calc!$E$290-500)))=0,"",INDEX('My equipment'!$Y$4:$Y$503,(_calc!$E$290-500)))))))</f>
        <v/>
      </c>
      <c r="G288" s="54">
        <f>IF(_calc!$E$290="","",IF(_calc!$E$290&lt;=500,"",IF(LEN(INDEX('My equipment'!$X$4:$X$503,(_calc!$E$290-500)))=0,"",INDEX('My equipment'!$X$4:$X$503,(_calc!$E$290-500)))))</f>
        <v/>
      </c>
      <c r="K288" s="54">
        <f>IF(_calc!$E$290="","",IF(_calc!$E$290&lt;=500,"",IF(LEN(INDEX('My equipment'!$T$4:$T$503,(_calc!$E$290-500)))=0,"",INDEX('My equipment'!$T$4:$T$503,(_calc!$E$290-500)))))</f>
        <v/>
      </c>
    </row>
    <row r="289">
      <c r="A289" s="54">
        <f>IF(_calc!$E$291="","",IF(_calc!$E$291&lt;=500,"Warranty – "&amp;IF(LEN(INDEX('Dealer pipeline'!$C$4:$C$503,_calc!$E$291))=0,"",INDEX('Dealer pipeline'!$C$4:$C$503,_calc!$E$291))&amp;" – "&amp;IF(LEN(INDEX('Dealer pipeline'!$D$4:$D$503,_calc!$E$291))=0,"",INDEX('Dealer pipeline'!$D$4:$D$503,_calc!$E$291))&amp;" – "&amp;IF(LEN(INDEX('Dealer pipeline'!$A$4:$A$503,_calc!$E$291))=0,"",INDEX('Dealer pipeline'!$A$4:$A$503,_calc!$E$291)),"Warranty – "&amp;IF(LEN(INDEX('My equipment'!$A$4:$A$503,(_calc!$E$291-500)))=0,"",INDEX('My equipment'!$A$4:$A$503,(_calc!$E$291-500)))&amp;" – "&amp;IF(LEN(INDEX('My equipment'!$D$4:$D$503,(_calc!$E$291-500)))=0,"",INDEX('My equipment'!$D$4:$D$503,(_calc!$E$291-500)))))</f>
        <v/>
      </c>
      <c r="B289" s="54">
        <f>IF(_calc!$E$291="","",IF(_calc!$E$291&lt;=500,IF(ISNUMBER(INDEX('Dealer pipeline'!$M$4:$M$503,_calc!$E$291)),TEXT(INDEX('Dealer pipeline'!$M$4:$M$503,_calc!$E$291),"yyyy-mm-dd"),""),IF(ISNUMBER(INDEX('My equipment'!$M$4:$M$503,(_calc!$E$291-500))),TEXT(INDEX('My equipment'!$M$4:$M$503,(_calc!$E$291-500)),"yyyy-mm-dd"),"")))</f>
        <v/>
      </c>
      <c r="C289" s="54">
        <f>IF(_calc!$E$291="","",IF(_calc!$E$291&lt;=500,"Warranty","Warranty"))</f>
        <v/>
      </c>
      <c r="D289" s="54">
        <f>IF(_calc!$E$291="","",IF(_calc!$E$291&lt;=500,IF(ISNUMBER(INDEX('Dealer pipeline'!$H$4:$H$503,_calc!$E$291)),TEXT(INDEX('Dealer pipeline'!$H$4:$H$503,_calc!$E$291),"yyyy-mm-dd"),""),IF(ISNUMBER(INDEX('My equipment'!$H$4:$H$503,(_calc!$E$291-500))),TEXT(INDEX('My equipment'!$H$4:$H$503,(_calc!$E$291-500)),"yyyy-mm-dd"),"")))</f>
        <v/>
      </c>
      <c r="F289" s="54">
        <f>IF(_calc!$E$291="","",IF(_calc!$E$291&lt;=500,TRIM(IF(LEN(IF(LEN(INDEX('Dealer pipeline'!$A$4:$A$503,_calc!$E$291))=0,"",INDEX('Dealer pipeline'!$A$4:$A$503,_calc!$E$291)))=0,"","Customer: "&amp;IF(LEN(INDEX('Dealer pipeline'!$A$4:$A$503,_calc!$E$291))=0,"",INDEX('Dealer pipeline'!$A$4:$A$503,_calc!$E$291))&amp;". ")&amp;IF(LEN(IF(LEN(INDEX('Dealer pipeline'!$B$4:$B$503,_calc!$E$291))=0,"",INDEX('Dealer pipeline'!$B$4:$B$503,_calc!$E$291)))=0,"","Contact: "&amp;IF(LEN(INDEX('Dealer pipeline'!$B$4:$B$503,_calc!$E$291))=0,"",INDEX('Dealer pipeline'!$B$4:$B$503,_calc!$E$291))&amp;". ")&amp;IF(LEN(IF(LEN(INDEX('Dealer pipeline'!$D$4:$D$503,_calc!$E$291))=0,"",INDEX('Dealer pipeline'!$D$4:$D$503,_calc!$E$291)))=0,"","Serial: "&amp;IF(LEN(INDEX('Dealer pipeline'!$D$4:$D$503,_calc!$E$291))=0,"",INDEX('Dealer pipeline'!$D$4:$D$503,_calc!$E$291))&amp;". ")&amp;IF(LEN(IF(ISNUMBER(INDEX('Dealer pipeline'!$J$4:$J$503,_calc!$E$291)),TEXT(INDEX('Dealer pipeline'!$J$4:$J$503,_calc!$E$291),"yyyy-mm-dd"),""))=0,"","Parts end: "&amp;IF(ISNUMBER(INDEX('Dealer pipeline'!$J$4:$J$503,_calc!$E$291)),TEXT(INDEX('Dealer pipeline'!$J$4:$J$503,_calc!$E$291),"yyyy-mm-dd"),"")&amp;". ")&amp;IF(LEN(IF(ISNUMBER(INDEX('Dealer pipeline'!$L$4:$L$503,_calc!$E$291)),TEXT(INDEX('Dealer pipeline'!$L$4:$L$503,_calc!$E$291),"yyyy-mm-dd"),""))=0,"","Labor end: "&amp;IF(ISNUMBER(INDEX('Dealer pipeline'!$L$4:$L$503,_calc!$E$291)),TEXT(INDEX('Dealer pipeline'!$L$4:$L$503,_calc!$E$291),"yyyy-mm-dd"),"")&amp;". ")&amp;IF(LEN(IF(LEN(INDEX('Dealer pipeline'!$Q$4:$Q$503,_calc!$E$291))=0,"",INDEX('Dealer pipeline'!$Q$4:$Q$503,_calc!$E$291)))=0,"","Status: "&amp;IF(LEN(INDEX('Dealer pipeline'!$Q$4:$Q$503,_calc!$E$291))=0,"",INDEX('Dealer pipeline'!$Q$4:$Q$503,_calc!$E$291))&amp;". ")&amp;IF(LEN(IF(LEN(INDEX('Dealer pipeline'!$P$4:$P$503,_calc!$E$291))=0,"",INDEX('Dealer pipeline'!$P$4:$P$503,_calc!$E$291)))=0,"","Last touch: "&amp;IF(LEN(INDEX('Dealer pipeline'!$P$4:$P$503,_calc!$E$291))=0,"",INDEX('Dealer pipeline'!$P$4:$P$503,_calc!$E$291))&amp;". ")&amp;IF(LEN(IF(LEN(INDEX('Dealer pipeline'!$R$4:$R$503,_calc!$E$291))=0,"",INDEX('Dealer pipeline'!$R$4:$R$503,_calc!$E$291)))=0,"","Owner: "&amp;IF(LEN(INDEX('Dealer pipeline'!$R$4:$R$503,_calc!$E$291))=0,"",INDEX('Dealer pipeline'!$R$4:$R$503,_calc!$E$291))&amp;". ")&amp;IF(LEN(IF(LEN(INDEX('Dealer pipeline'!$S$4:$S$503,_calc!$E$291))=0,"",INDEX('Dealer pipeline'!$S$4:$S$503,_calc!$E$291)))=0,"","Backup: "&amp;IF(LEN(INDEX('Dealer pipeline'!$S$4:$S$503,_calc!$E$291))=0,"",INDEX('Dealer pipeline'!$S$4:$S$503,_calc!$E$291))&amp;". ")&amp;IF(LEN(IF(LEN(INDEX('Dealer pipeline'!$T$4:$T$503,_calc!$E$291))=0,"",INDEX('Dealer pipeline'!$T$4:$T$503,_calc!$E$291)))=0,"",IF(LEN(INDEX('Dealer pipeline'!$T$4:$T$503,_calc!$E$291))=0,"",INDEX('Dealer pipeline'!$T$4:$T$503,_calc!$E$291)))),TRIM(IF(LEN(IF(LEN(INDEX('My equipment'!$C$4:$C$503,(_calc!$E$291-500)))=0,"",INDEX('My equipment'!$C$4:$C$503,(_calc!$E$291-500))))=0,"","Model: "&amp;IF(LEN(INDEX('My equipment'!$C$4:$C$503,(_calc!$E$291-500)))=0,"",INDEX('My equipment'!$C$4:$C$503,(_calc!$E$291-500)))&amp;". ")&amp;IF(LEN(IF(LEN(INDEX('My equipment'!$D$4:$D$503,(_calc!$E$291-500)))=0,"",INDEX('My equipment'!$D$4:$D$503,(_calc!$E$291-500))))=0,"","Serial: "&amp;IF(LEN(INDEX('My equipment'!$D$4:$D$503,(_calc!$E$291-500)))=0,"",INDEX('My equipment'!$D$4:$D$503,(_calc!$E$291-500)))&amp;". ")&amp;IF(LEN(IF(ISNUMBER(INDEX('My equipment'!$J$4:$J$503,(_calc!$E$291-500))),TEXT(INDEX('My equipment'!$J$4:$J$503,(_calc!$E$291-500)),"yyyy-mm-dd"),""))=0,"","Parts end: "&amp;IF(ISNUMBER(INDEX('My equipment'!$J$4:$J$503,(_calc!$E$291-500))),TEXT(INDEX('My equipment'!$J$4:$J$503,(_calc!$E$291-500)),"yyyy-mm-dd"),"")&amp;". ")&amp;IF(LEN(IF(ISNUMBER(INDEX('My equipment'!$L$4:$L$503,(_calc!$E$291-500))),TEXT(INDEX('My equipment'!$L$4:$L$503,(_calc!$E$291-500)),"yyyy-mm-dd"),""))=0,"","Labor end: "&amp;IF(ISNUMBER(INDEX('My equipment'!$L$4:$L$503,(_calc!$E$291-500))),TEXT(INDEX('My equipment'!$L$4:$L$503,(_calc!$E$291-500)),"yyyy-mm-dd"),"")&amp;". ")&amp;IF(LEN(IF(ISNUMBER(INDEX('My equipment'!$P$4:$P$503,(_calc!$E$291-500))),TEXT(INDEX('My equipment'!$P$4:$P$503,(_calc!$E$291-500)),"yyyy-mm-dd"),""))=0,"","Check by: "&amp;IF(ISNUMBER(INDEX('My equipment'!$P$4:$P$503,(_calc!$E$291-500))),TEXT(INDEX('My equipment'!$P$4:$P$503,(_calc!$E$291-500)),"yyyy-mm-dd"),"")&amp;". ")&amp;IF(LEN(IF(LEN(INDEX('My equipment'!$Q$4:$Q$503,(_calc!$E$291-500)))=0,"",INDEX('My equipment'!$Q$4:$Q$503,(_calc!$E$291-500))))=0,"","Claim status: "&amp;IF(LEN(INDEX('My equipment'!$Q$4:$Q$503,(_calc!$E$291-500)))=0,"",INDEX('My equipment'!$Q$4:$Q$503,(_calc!$E$291-500)))&amp;". ")&amp;IF(LEN(IF(LEN(INDEX('My equipment'!$R$4:$R$503,(_calc!$E$291-500)))=0,"",INDEX('My equipment'!$R$4:$R$503,(_calc!$E$291-500))))=0,"","Claims contact: "&amp;IF(LEN(INDEX('My equipment'!$R$4:$R$503,(_calc!$E$291-500)))=0,"",INDEX('My equipment'!$R$4:$R$503,(_calc!$E$291-500)))&amp;". ")&amp;IF(LEN(IF(LEN(INDEX('My equipment'!$S$4:$S$503,(_calc!$E$291-500)))=0,"",INDEX('My equipment'!$S$4:$S$503,(_calc!$E$291-500))))=0,"","Claims email: "&amp;IF(LEN(INDEX('My equipment'!$S$4:$S$503,(_calc!$E$291-500)))=0,"",INDEX('My equipment'!$S$4:$S$503,(_calc!$E$291-500)))&amp;". ")&amp;IF(LEN(IF(LEN(INDEX('My equipment'!$U$4:$U$503,(_calc!$E$291-500)))=0,"",INDEX('My equipment'!$U$4:$U$503,(_calc!$E$291-500))))=0,"","Registered: "&amp;IF(LEN(INDEX('My equipment'!$U$4:$U$503,(_calc!$E$291-500)))=0,"",INDEX('My equipment'!$U$4:$U$503,(_calc!$E$291-500)))&amp;". ")&amp;IF(LEN(IF(LEN(INDEX('My equipment'!$V$4:$V$503,(_calc!$E$291-500)))=0,"",INDEX('My equipment'!$V$4:$V$503,(_calc!$E$291-500))))=0,"","Proof on file: "&amp;IF(LEN(INDEX('My equipment'!$V$4:$V$503,(_calc!$E$291-500)))=0,"",INDEX('My equipment'!$V$4:$V$503,(_calc!$E$291-500)))&amp;". ")&amp;IF(LEN(IF(LEN(INDEX('My equipment'!$W$4:$W$503,(_calc!$E$291-500)))=0,"",INDEX('My equipment'!$W$4:$W$503,(_calc!$E$291-500))))=0,"","Claim ref: "&amp;IF(LEN(INDEX('My equipment'!$W$4:$W$503,(_calc!$E$291-500)))=0,"",INDEX('My equipment'!$W$4:$W$503,(_calc!$E$291-500)))&amp;". ")&amp;IF(LEN(IF(LEN(INDEX('My equipment'!$Y$4:$Y$503,(_calc!$E$291-500)))=0,"",INDEX('My equipment'!$Y$4:$Y$503,(_calc!$E$291-500))))=0,"",IF(LEN(INDEX('My equipment'!$Y$4:$Y$503,(_calc!$E$291-500)))=0,"",INDEX('My equipment'!$Y$4:$Y$503,(_calc!$E$291-500)))))))</f>
        <v/>
      </c>
      <c r="G289" s="54">
        <f>IF(_calc!$E$291="","",IF(_calc!$E$291&lt;=500,"",IF(LEN(INDEX('My equipment'!$X$4:$X$503,(_calc!$E$291-500)))=0,"",INDEX('My equipment'!$X$4:$X$503,(_calc!$E$291-500)))))</f>
        <v/>
      </c>
      <c r="K289" s="54">
        <f>IF(_calc!$E$291="","",IF(_calc!$E$291&lt;=500,"",IF(LEN(INDEX('My equipment'!$T$4:$T$503,(_calc!$E$291-500)))=0,"",INDEX('My equipment'!$T$4:$T$503,(_calc!$E$291-500)))))</f>
        <v/>
      </c>
    </row>
    <row r="290">
      <c r="A290" s="54">
        <f>IF(_calc!$E$292="","",IF(_calc!$E$292&lt;=500,"Warranty – "&amp;IF(LEN(INDEX('Dealer pipeline'!$C$4:$C$503,_calc!$E$292))=0,"",INDEX('Dealer pipeline'!$C$4:$C$503,_calc!$E$292))&amp;" – "&amp;IF(LEN(INDEX('Dealer pipeline'!$D$4:$D$503,_calc!$E$292))=0,"",INDEX('Dealer pipeline'!$D$4:$D$503,_calc!$E$292))&amp;" – "&amp;IF(LEN(INDEX('Dealer pipeline'!$A$4:$A$503,_calc!$E$292))=0,"",INDEX('Dealer pipeline'!$A$4:$A$503,_calc!$E$292)),"Warranty – "&amp;IF(LEN(INDEX('My equipment'!$A$4:$A$503,(_calc!$E$292-500)))=0,"",INDEX('My equipment'!$A$4:$A$503,(_calc!$E$292-500)))&amp;" – "&amp;IF(LEN(INDEX('My equipment'!$D$4:$D$503,(_calc!$E$292-500)))=0,"",INDEX('My equipment'!$D$4:$D$503,(_calc!$E$292-500)))))</f>
        <v/>
      </c>
      <c r="B290" s="54">
        <f>IF(_calc!$E$292="","",IF(_calc!$E$292&lt;=500,IF(ISNUMBER(INDEX('Dealer pipeline'!$M$4:$M$503,_calc!$E$292)),TEXT(INDEX('Dealer pipeline'!$M$4:$M$503,_calc!$E$292),"yyyy-mm-dd"),""),IF(ISNUMBER(INDEX('My equipment'!$M$4:$M$503,(_calc!$E$292-500))),TEXT(INDEX('My equipment'!$M$4:$M$503,(_calc!$E$292-500)),"yyyy-mm-dd"),"")))</f>
        <v/>
      </c>
      <c r="C290" s="54">
        <f>IF(_calc!$E$292="","",IF(_calc!$E$292&lt;=500,"Warranty","Warranty"))</f>
        <v/>
      </c>
      <c r="D290" s="54">
        <f>IF(_calc!$E$292="","",IF(_calc!$E$292&lt;=500,IF(ISNUMBER(INDEX('Dealer pipeline'!$H$4:$H$503,_calc!$E$292)),TEXT(INDEX('Dealer pipeline'!$H$4:$H$503,_calc!$E$292),"yyyy-mm-dd"),""),IF(ISNUMBER(INDEX('My equipment'!$H$4:$H$503,(_calc!$E$292-500))),TEXT(INDEX('My equipment'!$H$4:$H$503,(_calc!$E$292-500)),"yyyy-mm-dd"),"")))</f>
        <v/>
      </c>
      <c r="F290" s="54">
        <f>IF(_calc!$E$292="","",IF(_calc!$E$292&lt;=500,TRIM(IF(LEN(IF(LEN(INDEX('Dealer pipeline'!$A$4:$A$503,_calc!$E$292))=0,"",INDEX('Dealer pipeline'!$A$4:$A$503,_calc!$E$292)))=0,"","Customer: "&amp;IF(LEN(INDEX('Dealer pipeline'!$A$4:$A$503,_calc!$E$292))=0,"",INDEX('Dealer pipeline'!$A$4:$A$503,_calc!$E$292))&amp;". ")&amp;IF(LEN(IF(LEN(INDEX('Dealer pipeline'!$B$4:$B$503,_calc!$E$292))=0,"",INDEX('Dealer pipeline'!$B$4:$B$503,_calc!$E$292)))=0,"","Contact: "&amp;IF(LEN(INDEX('Dealer pipeline'!$B$4:$B$503,_calc!$E$292))=0,"",INDEX('Dealer pipeline'!$B$4:$B$503,_calc!$E$292))&amp;". ")&amp;IF(LEN(IF(LEN(INDEX('Dealer pipeline'!$D$4:$D$503,_calc!$E$292))=0,"",INDEX('Dealer pipeline'!$D$4:$D$503,_calc!$E$292)))=0,"","Serial: "&amp;IF(LEN(INDEX('Dealer pipeline'!$D$4:$D$503,_calc!$E$292))=0,"",INDEX('Dealer pipeline'!$D$4:$D$503,_calc!$E$292))&amp;". ")&amp;IF(LEN(IF(ISNUMBER(INDEX('Dealer pipeline'!$J$4:$J$503,_calc!$E$292)),TEXT(INDEX('Dealer pipeline'!$J$4:$J$503,_calc!$E$292),"yyyy-mm-dd"),""))=0,"","Parts end: "&amp;IF(ISNUMBER(INDEX('Dealer pipeline'!$J$4:$J$503,_calc!$E$292)),TEXT(INDEX('Dealer pipeline'!$J$4:$J$503,_calc!$E$292),"yyyy-mm-dd"),"")&amp;". ")&amp;IF(LEN(IF(ISNUMBER(INDEX('Dealer pipeline'!$L$4:$L$503,_calc!$E$292)),TEXT(INDEX('Dealer pipeline'!$L$4:$L$503,_calc!$E$292),"yyyy-mm-dd"),""))=0,"","Labor end: "&amp;IF(ISNUMBER(INDEX('Dealer pipeline'!$L$4:$L$503,_calc!$E$292)),TEXT(INDEX('Dealer pipeline'!$L$4:$L$503,_calc!$E$292),"yyyy-mm-dd"),"")&amp;". ")&amp;IF(LEN(IF(LEN(INDEX('Dealer pipeline'!$Q$4:$Q$503,_calc!$E$292))=0,"",INDEX('Dealer pipeline'!$Q$4:$Q$503,_calc!$E$292)))=0,"","Status: "&amp;IF(LEN(INDEX('Dealer pipeline'!$Q$4:$Q$503,_calc!$E$292))=0,"",INDEX('Dealer pipeline'!$Q$4:$Q$503,_calc!$E$292))&amp;". ")&amp;IF(LEN(IF(LEN(INDEX('Dealer pipeline'!$P$4:$P$503,_calc!$E$292))=0,"",INDEX('Dealer pipeline'!$P$4:$P$503,_calc!$E$292)))=0,"","Last touch: "&amp;IF(LEN(INDEX('Dealer pipeline'!$P$4:$P$503,_calc!$E$292))=0,"",INDEX('Dealer pipeline'!$P$4:$P$503,_calc!$E$292))&amp;". ")&amp;IF(LEN(IF(LEN(INDEX('Dealer pipeline'!$R$4:$R$503,_calc!$E$292))=0,"",INDEX('Dealer pipeline'!$R$4:$R$503,_calc!$E$292)))=0,"","Owner: "&amp;IF(LEN(INDEX('Dealer pipeline'!$R$4:$R$503,_calc!$E$292))=0,"",INDEX('Dealer pipeline'!$R$4:$R$503,_calc!$E$292))&amp;". ")&amp;IF(LEN(IF(LEN(INDEX('Dealer pipeline'!$S$4:$S$503,_calc!$E$292))=0,"",INDEX('Dealer pipeline'!$S$4:$S$503,_calc!$E$292)))=0,"","Backup: "&amp;IF(LEN(INDEX('Dealer pipeline'!$S$4:$S$503,_calc!$E$292))=0,"",INDEX('Dealer pipeline'!$S$4:$S$503,_calc!$E$292))&amp;". ")&amp;IF(LEN(IF(LEN(INDEX('Dealer pipeline'!$T$4:$T$503,_calc!$E$292))=0,"",INDEX('Dealer pipeline'!$T$4:$T$503,_calc!$E$292)))=0,"",IF(LEN(INDEX('Dealer pipeline'!$T$4:$T$503,_calc!$E$292))=0,"",INDEX('Dealer pipeline'!$T$4:$T$503,_calc!$E$292)))),TRIM(IF(LEN(IF(LEN(INDEX('My equipment'!$C$4:$C$503,(_calc!$E$292-500)))=0,"",INDEX('My equipment'!$C$4:$C$503,(_calc!$E$292-500))))=0,"","Model: "&amp;IF(LEN(INDEX('My equipment'!$C$4:$C$503,(_calc!$E$292-500)))=0,"",INDEX('My equipment'!$C$4:$C$503,(_calc!$E$292-500)))&amp;". ")&amp;IF(LEN(IF(LEN(INDEX('My equipment'!$D$4:$D$503,(_calc!$E$292-500)))=0,"",INDEX('My equipment'!$D$4:$D$503,(_calc!$E$292-500))))=0,"","Serial: "&amp;IF(LEN(INDEX('My equipment'!$D$4:$D$503,(_calc!$E$292-500)))=0,"",INDEX('My equipment'!$D$4:$D$503,(_calc!$E$292-500)))&amp;". ")&amp;IF(LEN(IF(ISNUMBER(INDEX('My equipment'!$J$4:$J$503,(_calc!$E$292-500))),TEXT(INDEX('My equipment'!$J$4:$J$503,(_calc!$E$292-500)),"yyyy-mm-dd"),""))=0,"","Parts end: "&amp;IF(ISNUMBER(INDEX('My equipment'!$J$4:$J$503,(_calc!$E$292-500))),TEXT(INDEX('My equipment'!$J$4:$J$503,(_calc!$E$292-500)),"yyyy-mm-dd"),"")&amp;". ")&amp;IF(LEN(IF(ISNUMBER(INDEX('My equipment'!$L$4:$L$503,(_calc!$E$292-500))),TEXT(INDEX('My equipment'!$L$4:$L$503,(_calc!$E$292-500)),"yyyy-mm-dd"),""))=0,"","Labor end: "&amp;IF(ISNUMBER(INDEX('My equipment'!$L$4:$L$503,(_calc!$E$292-500))),TEXT(INDEX('My equipment'!$L$4:$L$503,(_calc!$E$292-500)),"yyyy-mm-dd"),"")&amp;". ")&amp;IF(LEN(IF(ISNUMBER(INDEX('My equipment'!$P$4:$P$503,(_calc!$E$292-500))),TEXT(INDEX('My equipment'!$P$4:$P$503,(_calc!$E$292-500)),"yyyy-mm-dd"),""))=0,"","Check by: "&amp;IF(ISNUMBER(INDEX('My equipment'!$P$4:$P$503,(_calc!$E$292-500))),TEXT(INDEX('My equipment'!$P$4:$P$503,(_calc!$E$292-500)),"yyyy-mm-dd"),"")&amp;". ")&amp;IF(LEN(IF(LEN(INDEX('My equipment'!$Q$4:$Q$503,(_calc!$E$292-500)))=0,"",INDEX('My equipment'!$Q$4:$Q$503,(_calc!$E$292-500))))=0,"","Claim status: "&amp;IF(LEN(INDEX('My equipment'!$Q$4:$Q$503,(_calc!$E$292-500)))=0,"",INDEX('My equipment'!$Q$4:$Q$503,(_calc!$E$292-500)))&amp;". ")&amp;IF(LEN(IF(LEN(INDEX('My equipment'!$R$4:$R$503,(_calc!$E$292-500)))=0,"",INDEX('My equipment'!$R$4:$R$503,(_calc!$E$292-500))))=0,"","Claims contact: "&amp;IF(LEN(INDEX('My equipment'!$R$4:$R$503,(_calc!$E$292-500)))=0,"",INDEX('My equipment'!$R$4:$R$503,(_calc!$E$292-500)))&amp;". ")&amp;IF(LEN(IF(LEN(INDEX('My equipment'!$S$4:$S$503,(_calc!$E$292-500)))=0,"",INDEX('My equipment'!$S$4:$S$503,(_calc!$E$292-500))))=0,"","Claims email: "&amp;IF(LEN(INDEX('My equipment'!$S$4:$S$503,(_calc!$E$292-500)))=0,"",INDEX('My equipment'!$S$4:$S$503,(_calc!$E$292-500)))&amp;". ")&amp;IF(LEN(IF(LEN(INDEX('My equipment'!$U$4:$U$503,(_calc!$E$292-500)))=0,"",INDEX('My equipment'!$U$4:$U$503,(_calc!$E$292-500))))=0,"","Registered: "&amp;IF(LEN(INDEX('My equipment'!$U$4:$U$503,(_calc!$E$292-500)))=0,"",INDEX('My equipment'!$U$4:$U$503,(_calc!$E$292-500)))&amp;". ")&amp;IF(LEN(IF(LEN(INDEX('My equipment'!$V$4:$V$503,(_calc!$E$292-500)))=0,"",INDEX('My equipment'!$V$4:$V$503,(_calc!$E$292-500))))=0,"","Proof on file: "&amp;IF(LEN(INDEX('My equipment'!$V$4:$V$503,(_calc!$E$292-500)))=0,"",INDEX('My equipment'!$V$4:$V$503,(_calc!$E$292-500)))&amp;". ")&amp;IF(LEN(IF(LEN(INDEX('My equipment'!$W$4:$W$503,(_calc!$E$292-500)))=0,"",INDEX('My equipment'!$W$4:$W$503,(_calc!$E$292-500))))=0,"","Claim ref: "&amp;IF(LEN(INDEX('My equipment'!$W$4:$W$503,(_calc!$E$292-500)))=0,"",INDEX('My equipment'!$W$4:$W$503,(_calc!$E$292-500)))&amp;". ")&amp;IF(LEN(IF(LEN(INDEX('My equipment'!$Y$4:$Y$503,(_calc!$E$292-500)))=0,"",INDEX('My equipment'!$Y$4:$Y$503,(_calc!$E$292-500))))=0,"",IF(LEN(INDEX('My equipment'!$Y$4:$Y$503,(_calc!$E$292-500)))=0,"",INDEX('My equipment'!$Y$4:$Y$503,(_calc!$E$292-500)))))))</f>
        <v/>
      </c>
      <c r="G290" s="54">
        <f>IF(_calc!$E$292="","",IF(_calc!$E$292&lt;=500,"",IF(LEN(INDEX('My equipment'!$X$4:$X$503,(_calc!$E$292-500)))=0,"",INDEX('My equipment'!$X$4:$X$503,(_calc!$E$292-500)))))</f>
        <v/>
      </c>
      <c r="K290" s="54">
        <f>IF(_calc!$E$292="","",IF(_calc!$E$292&lt;=500,"",IF(LEN(INDEX('My equipment'!$T$4:$T$503,(_calc!$E$292-500)))=0,"",INDEX('My equipment'!$T$4:$T$503,(_calc!$E$292-500)))))</f>
        <v/>
      </c>
    </row>
    <row r="291">
      <c r="A291" s="54">
        <f>IF(_calc!$E$293="","",IF(_calc!$E$293&lt;=500,"Warranty – "&amp;IF(LEN(INDEX('Dealer pipeline'!$C$4:$C$503,_calc!$E$293))=0,"",INDEX('Dealer pipeline'!$C$4:$C$503,_calc!$E$293))&amp;" – "&amp;IF(LEN(INDEX('Dealer pipeline'!$D$4:$D$503,_calc!$E$293))=0,"",INDEX('Dealer pipeline'!$D$4:$D$503,_calc!$E$293))&amp;" – "&amp;IF(LEN(INDEX('Dealer pipeline'!$A$4:$A$503,_calc!$E$293))=0,"",INDEX('Dealer pipeline'!$A$4:$A$503,_calc!$E$293)),"Warranty – "&amp;IF(LEN(INDEX('My equipment'!$A$4:$A$503,(_calc!$E$293-500)))=0,"",INDEX('My equipment'!$A$4:$A$503,(_calc!$E$293-500)))&amp;" – "&amp;IF(LEN(INDEX('My equipment'!$D$4:$D$503,(_calc!$E$293-500)))=0,"",INDEX('My equipment'!$D$4:$D$503,(_calc!$E$293-500)))))</f>
        <v/>
      </c>
      <c r="B291" s="54">
        <f>IF(_calc!$E$293="","",IF(_calc!$E$293&lt;=500,IF(ISNUMBER(INDEX('Dealer pipeline'!$M$4:$M$503,_calc!$E$293)),TEXT(INDEX('Dealer pipeline'!$M$4:$M$503,_calc!$E$293),"yyyy-mm-dd"),""),IF(ISNUMBER(INDEX('My equipment'!$M$4:$M$503,(_calc!$E$293-500))),TEXT(INDEX('My equipment'!$M$4:$M$503,(_calc!$E$293-500)),"yyyy-mm-dd"),"")))</f>
        <v/>
      </c>
      <c r="C291" s="54">
        <f>IF(_calc!$E$293="","",IF(_calc!$E$293&lt;=500,"Warranty","Warranty"))</f>
        <v/>
      </c>
      <c r="D291" s="54">
        <f>IF(_calc!$E$293="","",IF(_calc!$E$293&lt;=500,IF(ISNUMBER(INDEX('Dealer pipeline'!$H$4:$H$503,_calc!$E$293)),TEXT(INDEX('Dealer pipeline'!$H$4:$H$503,_calc!$E$293),"yyyy-mm-dd"),""),IF(ISNUMBER(INDEX('My equipment'!$H$4:$H$503,(_calc!$E$293-500))),TEXT(INDEX('My equipment'!$H$4:$H$503,(_calc!$E$293-500)),"yyyy-mm-dd"),"")))</f>
        <v/>
      </c>
      <c r="F291" s="54">
        <f>IF(_calc!$E$293="","",IF(_calc!$E$293&lt;=500,TRIM(IF(LEN(IF(LEN(INDEX('Dealer pipeline'!$A$4:$A$503,_calc!$E$293))=0,"",INDEX('Dealer pipeline'!$A$4:$A$503,_calc!$E$293)))=0,"","Customer: "&amp;IF(LEN(INDEX('Dealer pipeline'!$A$4:$A$503,_calc!$E$293))=0,"",INDEX('Dealer pipeline'!$A$4:$A$503,_calc!$E$293))&amp;". ")&amp;IF(LEN(IF(LEN(INDEX('Dealer pipeline'!$B$4:$B$503,_calc!$E$293))=0,"",INDEX('Dealer pipeline'!$B$4:$B$503,_calc!$E$293)))=0,"","Contact: "&amp;IF(LEN(INDEX('Dealer pipeline'!$B$4:$B$503,_calc!$E$293))=0,"",INDEX('Dealer pipeline'!$B$4:$B$503,_calc!$E$293))&amp;". ")&amp;IF(LEN(IF(LEN(INDEX('Dealer pipeline'!$D$4:$D$503,_calc!$E$293))=0,"",INDEX('Dealer pipeline'!$D$4:$D$503,_calc!$E$293)))=0,"","Serial: "&amp;IF(LEN(INDEX('Dealer pipeline'!$D$4:$D$503,_calc!$E$293))=0,"",INDEX('Dealer pipeline'!$D$4:$D$503,_calc!$E$293))&amp;". ")&amp;IF(LEN(IF(ISNUMBER(INDEX('Dealer pipeline'!$J$4:$J$503,_calc!$E$293)),TEXT(INDEX('Dealer pipeline'!$J$4:$J$503,_calc!$E$293),"yyyy-mm-dd"),""))=0,"","Parts end: "&amp;IF(ISNUMBER(INDEX('Dealer pipeline'!$J$4:$J$503,_calc!$E$293)),TEXT(INDEX('Dealer pipeline'!$J$4:$J$503,_calc!$E$293),"yyyy-mm-dd"),"")&amp;". ")&amp;IF(LEN(IF(ISNUMBER(INDEX('Dealer pipeline'!$L$4:$L$503,_calc!$E$293)),TEXT(INDEX('Dealer pipeline'!$L$4:$L$503,_calc!$E$293),"yyyy-mm-dd"),""))=0,"","Labor end: "&amp;IF(ISNUMBER(INDEX('Dealer pipeline'!$L$4:$L$503,_calc!$E$293)),TEXT(INDEX('Dealer pipeline'!$L$4:$L$503,_calc!$E$293),"yyyy-mm-dd"),"")&amp;". ")&amp;IF(LEN(IF(LEN(INDEX('Dealer pipeline'!$Q$4:$Q$503,_calc!$E$293))=0,"",INDEX('Dealer pipeline'!$Q$4:$Q$503,_calc!$E$293)))=0,"","Status: "&amp;IF(LEN(INDEX('Dealer pipeline'!$Q$4:$Q$503,_calc!$E$293))=0,"",INDEX('Dealer pipeline'!$Q$4:$Q$503,_calc!$E$293))&amp;". ")&amp;IF(LEN(IF(LEN(INDEX('Dealer pipeline'!$P$4:$P$503,_calc!$E$293))=0,"",INDEX('Dealer pipeline'!$P$4:$P$503,_calc!$E$293)))=0,"","Last touch: "&amp;IF(LEN(INDEX('Dealer pipeline'!$P$4:$P$503,_calc!$E$293))=0,"",INDEX('Dealer pipeline'!$P$4:$P$503,_calc!$E$293))&amp;". ")&amp;IF(LEN(IF(LEN(INDEX('Dealer pipeline'!$R$4:$R$503,_calc!$E$293))=0,"",INDEX('Dealer pipeline'!$R$4:$R$503,_calc!$E$293)))=0,"","Owner: "&amp;IF(LEN(INDEX('Dealer pipeline'!$R$4:$R$503,_calc!$E$293))=0,"",INDEX('Dealer pipeline'!$R$4:$R$503,_calc!$E$293))&amp;". ")&amp;IF(LEN(IF(LEN(INDEX('Dealer pipeline'!$S$4:$S$503,_calc!$E$293))=0,"",INDEX('Dealer pipeline'!$S$4:$S$503,_calc!$E$293)))=0,"","Backup: "&amp;IF(LEN(INDEX('Dealer pipeline'!$S$4:$S$503,_calc!$E$293))=0,"",INDEX('Dealer pipeline'!$S$4:$S$503,_calc!$E$293))&amp;". ")&amp;IF(LEN(IF(LEN(INDEX('Dealer pipeline'!$T$4:$T$503,_calc!$E$293))=0,"",INDEX('Dealer pipeline'!$T$4:$T$503,_calc!$E$293)))=0,"",IF(LEN(INDEX('Dealer pipeline'!$T$4:$T$503,_calc!$E$293))=0,"",INDEX('Dealer pipeline'!$T$4:$T$503,_calc!$E$293)))),TRIM(IF(LEN(IF(LEN(INDEX('My equipment'!$C$4:$C$503,(_calc!$E$293-500)))=0,"",INDEX('My equipment'!$C$4:$C$503,(_calc!$E$293-500))))=0,"","Model: "&amp;IF(LEN(INDEX('My equipment'!$C$4:$C$503,(_calc!$E$293-500)))=0,"",INDEX('My equipment'!$C$4:$C$503,(_calc!$E$293-500)))&amp;". ")&amp;IF(LEN(IF(LEN(INDEX('My equipment'!$D$4:$D$503,(_calc!$E$293-500)))=0,"",INDEX('My equipment'!$D$4:$D$503,(_calc!$E$293-500))))=0,"","Serial: "&amp;IF(LEN(INDEX('My equipment'!$D$4:$D$503,(_calc!$E$293-500)))=0,"",INDEX('My equipment'!$D$4:$D$503,(_calc!$E$293-500)))&amp;". ")&amp;IF(LEN(IF(ISNUMBER(INDEX('My equipment'!$J$4:$J$503,(_calc!$E$293-500))),TEXT(INDEX('My equipment'!$J$4:$J$503,(_calc!$E$293-500)),"yyyy-mm-dd"),""))=0,"","Parts end: "&amp;IF(ISNUMBER(INDEX('My equipment'!$J$4:$J$503,(_calc!$E$293-500))),TEXT(INDEX('My equipment'!$J$4:$J$503,(_calc!$E$293-500)),"yyyy-mm-dd"),"")&amp;". ")&amp;IF(LEN(IF(ISNUMBER(INDEX('My equipment'!$L$4:$L$503,(_calc!$E$293-500))),TEXT(INDEX('My equipment'!$L$4:$L$503,(_calc!$E$293-500)),"yyyy-mm-dd"),""))=0,"","Labor end: "&amp;IF(ISNUMBER(INDEX('My equipment'!$L$4:$L$503,(_calc!$E$293-500))),TEXT(INDEX('My equipment'!$L$4:$L$503,(_calc!$E$293-500)),"yyyy-mm-dd"),"")&amp;". ")&amp;IF(LEN(IF(ISNUMBER(INDEX('My equipment'!$P$4:$P$503,(_calc!$E$293-500))),TEXT(INDEX('My equipment'!$P$4:$P$503,(_calc!$E$293-500)),"yyyy-mm-dd"),""))=0,"","Check by: "&amp;IF(ISNUMBER(INDEX('My equipment'!$P$4:$P$503,(_calc!$E$293-500))),TEXT(INDEX('My equipment'!$P$4:$P$503,(_calc!$E$293-500)),"yyyy-mm-dd"),"")&amp;". ")&amp;IF(LEN(IF(LEN(INDEX('My equipment'!$Q$4:$Q$503,(_calc!$E$293-500)))=0,"",INDEX('My equipment'!$Q$4:$Q$503,(_calc!$E$293-500))))=0,"","Claim status: "&amp;IF(LEN(INDEX('My equipment'!$Q$4:$Q$503,(_calc!$E$293-500)))=0,"",INDEX('My equipment'!$Q$4:$Q$503,(_calc!$E$293-500)))&amp;". ")&amp;IF(LEN(IF(LEN(INDEX('My equipment'!$R$4:$R$503,(_calc!$E$293-500)))=0,"",INDEX('My equipment'!$R$4:$R$503,(_calc!$E$293-500))))=0,"","Claims contact: "&amp;IF(LEN(INDEX('My equipment'!$R$4:$R$503,(_calc!$E$293-500)))=0,"",INDEX('My equipment'!$R$4:$R$503,(_calc!$E$293-500)))&amp;". ")&amp;IF(LEN(IF(LEN(INDEX('My equipment'!$S$4:$S$503,(_calc!$E$293-500)))=0,"",INDEX('My equipment'!$S$4:$S$503,(_calc!$E$293-500))))=0,"","Claims email: "&amp;IF(LEN(INDEX('My equipment'!$S$4:$S$503,(_calc!$E$293-500)))=0,"",INDEX('My equipment'!$S$4:$S$503,(_calc!$E$293-500)))&amp;". ")&amp;IF(LEN(IF(LEN(INDEX('My equipment'!$U$4:$U$503,(_calc!$E$293-500)))=0,"",INDEX('My equipment'!$U$4:$U$503,(_calc!$E$293-500))))=0,"","Registered: "&amp;IF(LEN(INDEX('My equipment'!$U$4:$U$503,(_calc!$E$293-500)))=0,"",INDEX('My equipment'!$U$4:$U$503,(_calc!$E$293-500)))&amp;". ")&amp;IF(LEN(IF(LEN(INDEX('My equipment'!$V$4:$V$503,(_calc!$E$293-500)))=0,"",INDEX('My equipment'!$V$4:$V$503,(_calc!$E$293-500))))=0,"","Proof on file: "&amp;IF(LEN(INDEX('My equipment'!$V$4:$V$503,(_calc!$E$293-500)))=0,"",INDEX('My equipment'!$V$4:$V$503,(_calc!$E$293-500)))&amp;". ")&amp;IF(LEN(IF(LEN(INDEX('My equipment'!$W$4:$W$503,(_calc!$E$293-500)))=0,"",INDEX('My equipment'!$W$4:$W$503,(_calc!$E$293-500))))=0,"","Claim ref: "&amp;IF(LEN(INDEX('My equipment'!$W$4:$W$503,(_calc!$E$293-500)))=0,"",INDEX('My equipment'!$W$4:$W$503,(_calc!$E$293-500)))&amp;". ")&amp;IF(LEN(IF(LEN(INDEX('My equipment'!$Y$4:$Y$503,(_calc!$E$293-500)))=0,"",INDEX('My equipment'!$Y$4:$Y$503,(_calc!$E$293-500))))=0,"",IF(LEN(INDEX('My equipment'!$Y$4:$Y$503,(_calc!$E$293-500)))=0,"",INDEX('My equipment'!$Y$4:$Y$503,(_calc!$E$293-500)))))))</f>
        <v/>
      </c>
      <c r="G291" s="54">
        <f>IF(_calc!$E$293="","",IF(_calc!$E$293&lt;=500,"",IF(LEN(INDEX('My equipment'!$X$4:$X$503,(_calc!$E$293-500)))=0,"",INDEX('My equipment'!$X$4:$X$503,(_calc!$E$293-500)))))</f>
        <v/>
      </c>
      <c r="K291" s="54">
        <f>IF(_calc!$E$293="","",IF(_calc!$E$293&lt;=500,"",IF(LEN(INDEX('My equipment'!$T$4:$T$503,(_calc!$E$293-500)))=0,"",INDEX('My equipment'!$T$4:$T$503,(_calc!$E$293-500)))))</f>
        <v/>
      </c>
    </row>
    <row r="292">
      <c r="A292" s="54">
        <f>IF(_calc!$E$294="","",IF(_calc!$E$294&lt;=500,"Warranty – "&amp;IF(LEN(INDEX('Dealer pipeline'!$C$4:$C$503,_calc!$E$294))=0,"",INDEX('Dealer pipeline'!$C$4:$C$503,_calc!$E$294))&amp;" – "&amp;IF(LEN(INDEX('Dealer pipeline'!$D$4:$D$503,_calc!$E$294))=0,"",INDEX('Dealer pipeline'!$D$4:$D$503,_calc!$E$294))&amp;" – "&amp;IF(LEN(INDEX('Dealer pipeline'!$A$4:$A$503,_calc!$E$294))=0,"",INDEX('Dealer pipeline'!$A$4:$A$503,_calc!$E$294)),"Warranty – "&amp;IF(LEN(INDEX('My equipment'!$A$4:$A$503,(_calc!$E$294-500)))=0,"",INDEX('My equipment'!$A$4:$A$503,(_calc!$E$294-500)))&amp;" – "&amp;IF(LEN(INDEX('My equipment'!$D$4:$D$503,(_calc!$E$294-500)))=0,"",INDEX('My equipment'!$D$4:$D$503,(_calc!$E$294-500)))))</f>
        <v/>
      </c>
      <c r="B292" s="54">
        <f>IF(_calc!$E$294="","",IF(_calc!$E$294&lt;=500,IF(ISNUMBER(INDEX('Dealer pipeline'!$M$4:$M$503,_calc!$E$294)),TEXT(INDEX('Dealer pipeline'!$M$4:$M$503,_calc!$E$294),"yyyy-mm-dd"),""),IF(ISNUMBER(INDEX('My equipment'!$M$4:$M$503,(_calc!$E$294-500))),TEXT(INDEX('My equipment'!$M$4:$M$503,(_calc!$E$294-500)),"yyyy-mm-dd"),"")))</f>
        <v/>
      </c>
      <c r="C292" s="54">
        <f>IF(_calc!$E$294="","",IF(_calc!$E$294&lt;=500,"Warranty","Warranty"))</f>
        <v/>
      </c>
      <c r="D292" s="54">
        <f>IF(_calc!$E$294="","",IF(_calc!$E$294&lt;=500,IF(ISNUMBER(INDEX('Dealer pipeline'!$H$4:$H$503,_calc!$E$294)),TEXT(INDEX('Dealer pipeline'!$H$4:$H$503,_calc!$E$294),"yyyy-mm-dd"),""),IF(ISNUMBER(INDEX('My equipment'!$H$4:$H$503,(_calc!$E$294-500))),TEXT(INDEX('My equipment'!$H$4:$H$503,(_calc!$E$294-500)),"yyyy-mm-dd"),"")))</f>
        <v/>
      </c>
      <c r="F292" s="54">
        <f>IF(_calc!$E$294="","",IF(_calc!$E$294&lt;=500,TRIM(IF(LEN(IF(LEN(INDEX('Dealer pipeline'!$A$4:$A$503,_calc!$E$294))=0,"",INDEX('Dealer pipeline'!$A$4:$A$503,_calc!$E$294)))=0,"","Customer: "&amp;IF(LEN(INDEX('Dealer pipeline'!$A$4:$A$503,_calc!$E$294))=0,"",INDEX('Dealer pipeline'!$A$4:$A$503,_calc!$E$294))&amp;". ")&amp;IF(LEN(IF(LEN(INDEX('Dealer pipeline'!$B$4:$B$503,_calc!$E$294))=0,"",INDEX('Dealer pipeline'!$B$4:$B$503,_calc!$E$294)))=0,"","Contact: "&amp;IF(LEN(INDEX('Dealer pipeline'!$B$4:$B$503,_calc!$E$294))=0,"",INDEX('Dealer pipeline'!$B$4:$B$503,_calc!$E$294))&amp;". ")&amp;IF(LEN(IF(LEN(INDEX('Dealer pipeline'!$D$4:$D$503,_calc!$E$294))=0,"",INDEX('Dealer pipeline'!$D$4:$D$503,_calc!$E$294)))=0,"","Serial: "&amp;IF(LEN(INDEX('Dealer pipeline'!$D$4:$D$503,_calc!$E$294))=0,"",INDEX('Dealer pipeline'!$D$4:$D$503,_calc!$E$294))&amp;". ")&amp;IF(LEN(IF(ISNUMBER(INDEX('Dealer pipeline'!$J$4:$J$503,_calc!$E$294)),TEXT(INDEX('Dealer pipeline'!$J$4:$J$503,_calc!$E$294),"yyyy-mm-dd"),""))=0,"","Parts end: "&amp;IF(ISNUMBER(INDEX('Dealer pipeline'!$J$4:$J$503,_calc!$E$294)),TEXT(INDEX('Dealer pipeline'!$J$4:$J$503,_calc!$E$294),"yyyy-mm-dd"),"")&amp;". ")&amp;IF(LEN(IF(ISNUMBER(INDEX('Dealer pipeline'!$L$4:$L$503,_calc!$E$294)),TEXT(INDEX('Dealer pipeline'!$L$4:$L$503,_calc!$E$294),"yyyy-mm-dd"),""))=0,"","Labor end: "&amp;IF(ISNUMBER(INDEX('Dealer pipeline'!$L$4:$L$503,_calc!$E$294)),TEXT(INDEX('Dealer pipeline'!$L$4:$L$503,_calc!$E$294),"yyyy-mm-dd"),"")&amp;". ")&amp;IF(LEN(IF(LEN(INDEX('Dealer pipeline'!$Q$4:$Q$503,_calc!$E$294))=0,"",INDEX('Dealer pipeline'!$Q$4:$Q$503,_calc!$E$294)))=0,"","Status: "&amp;IF(LEN(INDEX('Dealer pipeline'!$Q$4:$Q$503,_calc!$E$294))=0,"",INDEX('Dealer pipeline'!$Q$4:$Q$503,_calc!$E$294))&amp;". ")&amp;IF(LEN(IF(LEN(INDEX('Dealer pipeline'!$P$4:$P$503,_calc!$E$294))=0,"",INDEX('Dealer pipeline'!$P$4:$P$503,_calc!$E$294)))=0,"","Last touch: "&amp;IF(LEN(INDEX('Dealer pipeline'!$P$4:$P$503,_calc!$E$294))=0,"",INDEX('Dealer pipeline'!$P$4:$P$503,_calc!$E$294))&amp;". ")&amp;IF(LEN(IF(LEN(INDEX('Dealer pipeline'!$R$4:$R$503,_calc!$E$294))=0,"",INDEX('Dealer pipeline'!$R$4:$R$503,_calc!$E$294)))=0,"","Owner: "&amp;IF(LEN(INDEX('Dealer pipeline'!$R$4:$R$503,_calc!$E$294))=0,"",INDEX('Dealer pipeline'!$R$4:$R$503,_calc!$E$294))&amp;". ")&amp;IF(LEN(IF(LEN(INDEX('Dealer pipeline'!$S$4:$S$503,_calc!$E$294))=0,"",INDEX('Dealer pipeline'!$S$4:$S$503,_calc!$E$294)))=0,"","Backup: "&amp;IF(LEN(INDEX('Dealer pipeline'!$S$4:$S$503,_calc!$E$294))=0,"",INDEX('Dealer pipeline'!$S$4:$S$503,_calc!$E$294))&amp;". ")&amp;IF(LEN(IF(LEN(INDEX('Dealer pipeline'!$T$4:$T$503,_calc!$E$294))=0,"",INDEX('Dealer pipeline'!$T$4:$T$503,_calc!$E$294)))=0,"",IF(LEN(INDEX('Dealer pipeline'!$T$4:$T$503,_calc!$E$294))=0,"",INDEX('Dealer pipeline'!$T$4:$T$503,_calc!$E$294)))),TRIM(IF(LEN(IF(LEN(INDEX('My equipment'!$C$4:$C$503,(_calc!$E$294-500)))=0,"",INDEX('My equipment'!$C$4:$C$503,(_calc!$E$294-500))))=0,"","Model: "&amp;IF(LEN(INDEX('My equipment'!$C$4:$C$503,(_calc!$E$294-500)))=0,"",INDEX('My equipment'!$C$4:$C$503,(_calc!$E$294-500)))&amp;". ")&amp;IF(LEN(IF(LEN(INDEX('My equipment'!$D$4:$D$503,(_calc!$E$294-500)))=0,"",INDEX('My equipment'!$D$4:$D$503,(_calc!$E$294-500))))=0,"","Serial: "&amp;IF(LEN(INDEX('My equipment'!$D$4:$D$503,(_calc!$E$294-500)))=0,"",INDEX('My equipment'!$D$4:$D$503,(_calc!$E$294-500)))&amp;". ")&amp;IF(LEN(IF(ISNUMBER(INDEX('My equipment'!$J$4:$J$503,(_calc!$E$294-500))),TEXT(INDEX('My equipment'!$J$4:$J$503,(_calc!$E$294-500)),"yyyy-mm-dd"),""))=0,"","Parts end: "&amp;IF(ISNUMBER(INDEX('My equipment'!$J$4:$J$503,(_calc!$E$294-500))),TEXT(INDEX('My equipment'!$J$4:$J$503,(_calc!$E$294-500)),"yyyy-mm-dd"),"")&amp;". ")&amp;IF(LEN(IF(ISNUMBER(INDEX('My equipment'!$L$4:$L$503,(_calc!$E$294-500))),TEXT(INDEX('My equipment'!$L$4:$L$503,(_calc!$E$294-500)),"yyyy-mm-dd"),""))=0,"","Labor end: "&amp;IF(ISNUMBER(INDEX('My equipment'!$L$4:$L$503,(_calc!$E$294-500))),TEXT(INDEX('My equipment'!$L$4:$L$503,(_calc!$E$294-500)),"yyyy-mm-dd"),"")&amp;". ")&amp;IF(LEN(IF(ISNUMBER(INDEX('My equipment'!$P$4:$P$503,(_calc!$E$294-500))),TEXT(INDEX('My equipment'!$P$4:$P$503,(_calc!$E$294-500)),"yyyy-mm-dd"),""))=0,"","Check by: "&amp;IF(ISNUMBER(INDEX('My equipment'!$P$4:$P$503,(_calc!$E$294-500))),TEXT(INDEX('My equipment'!$P$4:$P$503,(_calc!$E$294-500)),"yyyy-mm-dd"),"")&amp;". ")&amp;IF(LEN(IF(LEN(INDEX('My equipment'!$Q$4:$Q$503,(_calc!$E$294-500)))=0,"",INDEX('My equipment'!$Q$4:$Q$503,(_calc!$E$294-500))))=0,"","Claim status: "&amp;IF(LEN(INDEX('My equipment'!$Q$4:$Q$503,(_calc!$E$294-500)))=0,"",INDEX('My equipment'!$Q$4:$Q$503,(_calc!$E$294-500)))&amp;". ")&amp;IF(LEN(IF(LEN(INDEX('My equipment'!$R$4:$R$503,(_calc!$E$294-500)))=0,"",INDEX('My equipment'!$R$4:$R$503,(_calc!$E$294-500))))=0,"","Claims contact: "&amp;IF(LEN(INDEX('My equipment'!$R$4:$R$503,(_calc!$E$294-500)))=0,"",INDEX('My equipment'!$R$4:$R$503,(_calc!$E$294-500)))&amp;". ")&amp;IF(LEN(IF(LEN(INDEX('My equipment'!$S$4:$S$503,(_calc!$E$294-500)))=0,"",INDEX('My equipment'!$S$4:$S$503,(_calc!$E$294-500))))=0,"","Claims email: "&amp;IF(LEN(INDEX('My equipment'!$S$4:$S$503,(_calc!$E$294-500)))=0,"",INDEX('My equipment'!$S$4:$S$503,(_calc!$E$294-500)))&amp;". ")&amp;IF(LEN(IF(LEN(INDEX('My equipment'!$U$4:$U$503,(_calc!$E$294-500)))=0,"",INDEX('My equipment'!$U$4:$U$503,(_calc!$E$294-500))))=0,"","Registered: "&amp;IF(LEN(INDEX('My equipment'!$U$4:$U$503,(_calc!$E$294-500)))=0,"",INDEX('My equipment'!$U$4:$U$503,(_calc!$E$294-500)))&amp;". ")&amp;IF(LEN(IF(LEN(INDEX('My equipment'!$V$4:$V$503,(_calc!$E$294-500)))=0,"",INDEX('My equipment'!$V$4:$V$503,(_calc!$E$294-500))))=0,"","Proof on file: "&amp;IF(LEN(INDEX('My equipment'!$V$4:$V$503,(_calc!$E$294-500)))=0,"",INDEX('My equipment'!$V$4:$V$503,(_calc!$E$294-500)))&amp;". ")&amp;IF(LEN(IF(LEN(INDEX('My equipment'!$W$4:$W$503,(_calc!$E$294-500)))=0,"",INDEX('My equipment'!$W$4:$W$503,(_calc!$E$294-500))))=0,"","Claim ref: "&amp;IF(LEN(INDEX('My equipment'!$W$4:$W$503,(_calc!$E$294-500)))=0,"",INDEX('My equipment'!$W$4:$W$503,(_calc!$E$294-500)))&amp;". ")&amp;IF(LEN(IF(LEN(INDEX('My equipment'!$Y$4:$Y$503,(_calc!$E$294-500)))=0,"",INDEX('My equipment'!$Y$4:$Y$503,(_calc!$E$294-500))))=0,"",IF(LEN(INDEX('My equipment'!$Y$4:$Y$503,(_calc!$E$294-500)))=0,"",INDEX('My equipment'!$Y$4:$Y$503,(_calc!$E$294-500)))))))</f>
        <v/>
      </c>
      <c r="G292" s="54">
        <f>IF(_calc!$E$294="","",IF(_calc!$E$294&lt;=500,"",IF(LEN(INDEX('My equipment'!$X$4:$X$503,(_calc!$E$294-500)))=0,"",INDEX('My equipment'!$X$4:$X$503,(_calc!$E$294-500)))))</f>
        <v/>
      </c>
      <c r="K292" s="54">
        <f>IF(_calc!$E$294="","",IF(_calc!$E$294&lt;=500,"",IF(LEN(INDEX('My equipment'!$T$4:$T$503,(_calc!$E$294-500)))=0,"",INDEX('My equipment'!$T$4:$T$503,(_calc!$E$294-500)))))</f>
        <v/>
      </c>
    </row>
    <row r="293">
      <c r="A293" s="54">
        <f>IF(_calc!$E$295="","",IF(_calc!$E$295&lt;=500,"Warranty – "&amp;IF(LEN(INDEX('Dealer pipeline'!$C$4:$C$503,_calc!$E$295))=0,"",INDEX('Dealer pipeline'!$C$4:$C$503,_calc!$E$295))&amp;" – "&amp;IF(LEN(INDEX('Dealer pipeline'!$D$4:$D$503,_calc!$E$295))=0,"",INDEX('Dealer pipeline'!$D$4:$D$503,_calc!$E$295))&amp;" – "&amp;IF(LEN(INDEX('Dealer pipeline'!$A$4:$A$503,_calc!$E$295))=0,"",INDEX('Dealer pipeline'!$A$4:$A$503,_calc!$E$295)),"Warranty – "&amp;IF(LEN(INDEX('My equipment'!$A$4:$A$503,(_calc!$E$295-500)))=0,"",INDEX('My equipment'!$A$4:$A$503,(_calc!$E$295-500)))&amp;" – "&amp;IF(LEN(INDEX('My equipment'!$D$4:$D$503,(_calc!$E$295-500)))=0,"",INDEX('My equipment'!$D$4:$D$503,(_calc!$E$295-500)))))</f>
        <v/>
      </c>
      <c r="B293" s="54">
        <f>IF(_calc!$E$295="","",IF(_calc!$E$295&lt;=500,IF(ISNUMBER(INDEX('Dealer pipeline'!$M$4:$M$503,_calc!$E$295)),TEXT(INDEX('Dealer pipeline'!$M$4:$M$503,_calc!$E$295),"yyyy-mm-dd"),""),IF(ISNUMBER(INDEX('My equipment'!$M$4:$M$503,(_calc!$E$295-500))),TEXT(INDEX('My equipment'!$M$4:$M$503,(_calc!$E$295-500)),"yyyy-mm-dd"),"")))</f>
        <v/>
      </c>
      <c r="C293" s="54">
        <f>IF(_calc!$E$295="","",IF(_calc!$E$295&lt;=500,"Warranty","Warranty"))</f>
        <v/>
      </c>
      <c r="D293" s="54">
        <f>IF(_calc!$E$295="","",IF(_calc!$E$295&lt;=500,IF(ISNUMBER(INDEX('Dealer pipeline'!$H$4:$H$503,_calc!$E$295)),TEXT(INDEX('Dealer pipeline'!$H$4:$H$503,_calc!$E$295),"yyyy-mm-dd"),""),IF(ISNUMBER(INDEX('My equipment'!$H$4:$H$503,(_calc!$E$295-500))),TEXT(INDEX('My equipment'!$H$4:$H$503,(_calc!$E$295-500)),"yyyy-mm-dd"),"")))</f>
        <v/>
      </c>
      <c r="F293" s="54">
        <f>IF(_calc!$E$295="","",IF(_calc!$E$295&lt;=500,TRIM(IF(LEN(IF(LEN(INDEX('Dealer pipeline'!$A$4:$A$503,_calc!$E$295))=0,"",INDEX('Dealer pipeline'!$A$4:$A$503,_calc!$E$295)))=0,"","Customer: "&amp;IF(LEN(INDEX('Dealer pipeline'!$A$4:$A$503,_calc!$E$295))=0,"",INDEX('Dealer pipeline'!$A$4:$A$503,_calc!$E$295))&amp;". ")&amp;IF(LEN(IF(LEN(INDEX('Dealer pipeline'!$B$4:$B$503,_calc!$E$295))=0,"",INDEX('Dealer pipeline'!$B$4:$B$503,_calc!$E$295)))=0,"","Contact: "&amp;IF(LEN(INDEX('Dealer pipeline'!$B$4:$B$503,_calc!$E$295))=0,"",INDEX('Dealer pipeline'!$B$4:$B$503,_calc!$E$295))&amp;". ")&amp;IF(LEN(IF(LEN(INDEX('Dealer pipeline'!$D$4:$D$503,_calc!$E$295))=0,"",INDEX('Dealer pipeline'!$D$4:$D$503,_calc!$E$295)))=0,"","Serial: "&amp;IF(LEN(INDEX('Dealer pipeline'!$D$4:$D$503,_calc!$E$295))=0,"",INDEX('Dealer pipeline'!$D$4:$D$503,_calc!$E$295))&amp;". ")&amp;IF(LEN(IF(ISNUMBER(INDEX('Dealer pipeline'!$J$4:$J$503,_calc!$E$295)),TEXT(INDEX('Dealer pipeline'!$J$4:$J$503,_calc!$E$295),"yyyy-mm-dd"),""))=0,"","Parts end: "&amp;IF(ISNUMBER(INDEX('Dealer pipeline'!$J$4:$J$503,_calc!$E$295)),TEXT(INDEX('Dealer pipeline'!$J$4:$J$503,_calc!$E$295),"yyyy-mm-dd"),"")&amp;". ")&amp;IF(LEN(IF(ISNUMBER(INDEX('Dealer pipeline'!$L$4:$L$503,_calc!$E$295)),TEXT(INDEX('Dealer pipeline'!$L$4:$L$503,_calc!$E$295),"yyyy-mm-dd"),""))=0,"","Labor end: "&amp;IF(ISNUMBER(INDEX('Dealer pipeline'!$L$4:$L$503,_calc!$E$295)),TEXT(INDEX('Dealer pipeline'!$L$4:$L$503,_calc!$E$295),"yyyy-mm-dd"),"")&amp;". ")&amp;IF(LEN(IF(LEN(INDEX('Dealer pipeline'!$Q$4:$Q$503,_calc!$E$295))=0,"",INDEX('Dealer pipeline'!$Q$4:$Q$503,_calc!$E$295)))=0,"","Status: "&amp;IF(LEN(INDEX('Dealer pipeline'!$Q$4:$Q$503,_calc!$E$295))=0,"",INDEX('Dealer pipeline'!$Q$4:$Q$503,_calc!$E$295))&amp;". ")&amp;IF(LEN(IF(LEN(INDEX('Dealer pipeline'!$P$4:$P$503,_calc!$E$295))=0,"",INDEX('Dealer pipeline'!$P$4:$P$503,_calc!$E$295)))=0,"","Last touch: "&amp;IF(LEN(INDEX('Dealer pipeline'!$P$4:$P$503,_calc!$E$295))=0,"",INDEX('Dealer pipeline'!$P$4:$P$503,_calc!$E$295))&amp;". ")&amp;IF(LEN(IF(LEN(INDEX('Dealer pipeline'!$R$4:$R$503,_calc!$E$295))=0,"",INDEX('Dealer pipeline'!$R$4:$R$503,_calc!$E$295)))=0,"","Owner: "&amp;IF(LEN(INDEX('Dealer pipeline'!$R$4:$R$503,_calc!$E$295))=0,"",INDEX('Dealer pipeline'!$R$4:$R$503,_calc!$E$295))&amp;". ")&amp;IF(LEN(IF(LEN(INDEX('Dealer pipeline'!$S$4:$S$503,_calc!$E$295))=0,"",INDEX('Dealer pipeline'!$S$4:$S$503,_calc!$E$295)))=0,"","Backup: "&amp;IF(LEN(INDEX('Dealer pipeline'!$S$4:$S$503,_calc!$E$295))=0,"",INDEX('Dealer pipeline'!$S$4:$S$503,_calc!$E$295))&amp;". ")&amp;IF(LEN(IF(LEN(INDEX('Dealer pipeline'!$T$4:$T$503,_calc!$E$295))=0,"",INDEX('Dealer pipeline'!$T$4:$T$503,_calc!$E$295)))=0,"",IF(LEN(INDEX('Dealer pipeline'!$T$4:$T$503,_calc!$E$295))=0,"",INDEX('Dealer pipeline'!$T$4:$T$503,_calc!$E$295)))),TRIM(IF(LEN(IF(LEN(INDEX('My equipment'!$C$4:$C$503,(_calc!$E$295-500)))=0,"",INDEX('My equipment'!$C$4:$C$503,(_calc!$E$295-500))))=0,"","Model: "&amp;IF(LEN(INDEX('My equipment'!$C$4:$C$503,(_calc!$E$295-500)))=0,"",INDEX('My equipment'!$C$4:$C$503,(_calc!$E$295-500)))&amp;". ")&amp;IF(LEN(IF(LEN(INDEX('My equipment'!$D$4:$D$503,(_calc!$E$295-500)))=0,"",INDEX('My equipment'!$D$4:$D$503,(_calc!$E$295-500))))=0,"","Serial: "&amp;IF(LEN(INDEX('My equipment'!$D$4:$D$503,(_calc!$E$295-500)))=0,"",INDEX('My equipment'!$D$4:$D$503,(_calc!$E$295-500)))&amp;". ")&amp;IF(LEN(IF(ISNUMBER(INDEX('My equipment'!$J$4:$J$503,(_calc!$E$295-500))),TEXT(INDEX('My equipment'!$J$4:$J$503,(_calc!$E$295-500)),"yyyy-mm-dd"),""))=0,"","Parts end: "&amp;IF(ISNUMBER(INDEX('My equipment'!$J$4:$J$503,(_calc!$E$295-500))),TEXT(INDEX('My equipment'!$J$4:$J$503,(_calc!$E$295-500)),"yyyy-mm-dd"),"")&amp;". ")&amp;IF(LEN(IF(ISNUMBER(INDEX('My equipment'!$L$4:$L$503,(_calc!$E$295-500))),TEXT(INDEX('My equipment'!$L$4:$L$503,(_calc!$E$295-500)),"yyyy-mm-dd"),""))=0,"","Labor end: "&amp;IF(ISNUMBER(INDEX('My equipment'!$L$4:$L$503,(_calc!$E$295-500))),TEXT(INDEX('My equipment'!$L$4:$L$503,(_calc!$E$295-500)),"yyyy-mm-dd"),"")&amp;". ")&amp;IF(LEN(IF(ISNUMBER(INDEX('My equipment'!$P$4:$P$503,(_calc!$E$295-500))),TEXT(INDEX('My equipment'!$P$4:$P$503,(_calc!$E$295-500)),"yyyy-mm-dd"),""))=0,"","Check by: "&amp;IF(ISNUMBER(INDEX('My equipment'!$P$4:$P$503,(_calc!$E$295-500))),TEXT(INDEX('My equipment'!$P$4:$P$503,(_calc!$E$295-500)),"yyyy-mm-dd"),"")&amp;". ")&amp;IF(LEN(IF(LEN(INDEX('My equipment'!$Q$4:$Q$503,(_calc!$E$295-500)))=0,"",INDEX('My equipment'!$Q$4:$Q$503,(_calc!$E$295-500))))=0,"","Claim status: "&amp;IF(LEN(INDEX('My equipment'!$Q$4:$Q$503,(_calc!$E$295-500)))=0,"",INDEX('My equipment'!$Q$4:$Q$503,(_calc!$E$295-500)))&amp;". ")&amp;IF(LEN(IF(LEN(INDEX('My equipment'!$R$4:$R$503,(_calc!$E$295-500)))=0,"",INDEX('My equipment'!$R$4:$R$503,(_calc!$E$295-500))))=0,"","Claims contact: "&amp;IF(LEN(INDEX('My equipment'!$R$4:$R$503,(_calc!$E$295-500)))=0,"",INDEX('My equipment'!$R$4:$R$503,(_calc!$E$295-500)))&amp;". ")&amp;IF(LEN(IF(LEN(INDEX('My equipment'!$S$4:$S$503,(_calc!$E$295-500)))=0,"",INDEX('My equipment'!$S$4:$S$503,(_calc!$E$295-500))))=0,"","Claims email: "&amp;IF(LEN(INDEX('My equipment'!$S$4:$S$503,(_calc!$E$295-500)))=0,"",INDEX('My equipment'!$S$4:$S$503,(_calc!$E$295-500)))&amp;". ")&amp;IF(LEN(IF(LEN(INDEX('My equipment'!$U$4:$U$503,(_calc!$E$295-500)))=0,"",INDEX('My equipment'!$U$4:$U$503,(_calc!$E$295-500))))=0,"","Registered: "&amp;IF(LEN(INDEX('My equipment'!$U$4:$U$503,(_calc!$E$295-500)))=0,"",INDEX('My equipment'!$U$4:$U$503,(_calc!$E$295-500)))&amp;". ")&amp;IF(LEN(IF(LEN(INDEX('My equipment'!$V$4:$V$503,(_calc!$E$295-500)))=0,"",INDEX('My equipment'!$V$4:$V$503,(_calc!$E$295-500))))=0,"","Proof on file: "&amp;IF(LEN(INDEX('My equipment'!$V$4:$V$503,(_calc!$E$295-500)))=0,"",INDEX('My equipment'!$V$4:$V$503,(_calc!$E$295-500)))&amp;". ")&amp;IF(LEN(IF(LEN(INDEX('My equipment'!$W$4:$W$503,(_calc!$E$295-500)))=0,"",INDEX('My equipment'!$W$4:$W$503,(_calc!$E$295-500))))=0,"","Claim ref: "&amp;IF(LEN(INDEX('My equipment'!$W$4:$W$503,(_calc!$E$295-500)))=0,"",INDEX('My equipment'!$W$4:$W$503,(_calc!$E$295-500)))&amp;". ")&amp;IF(LEN(IF(LEN(INDEX('My equipment'!$Y$4:$Y$503,(_calc!$E$295-500)))=0,"",INDEX('My equipment'!$Y$4:$Y$503,(_calc!$E$295-500))))=0,"",IF(LEN(INDEX('My equipment'!$Y$4:$Y$503,(_calc!$E$295-500)))=0,"",INDEX('My equipment'!$Y$4:$Y$503,(_calc!$E$295-500)))))))</f>
        <v/>
      </c>
      <c r="G293" s="54">
        <f>IF(_calc!$E$295="","",IF(_calc!$E$295&lt;=500,"",IF(LEN(INDEX('My equipment'!$X$4:$X$503,(_calc!$E$295-500)))=0,"",INDEX('My equipment'!$X$4:$X$503,(_calc!$E$295-500)))))</f>
        <v/>
      </c>
      <c r="K293" s="54">
        <f>IF(_calc!$E$295="","",IF(_calc!$E$295&lt;=500,"",IF(LEN(INDEX('My equipment'!$T$4:$T$503,(_calc!$E$295-500)))=0,"",INDEX('My equipment'!$T$4:$T$503,(_calc!$E$295-500)))))</f>
        <v/>
      </c>
    </row>
    <row r="294">
      <c r="A294" s="54">
        <f>IF(_calc!$E$296="","",IF(_calc!$E$296&lt;=500,"Warranty – "&amp;IF(LEN(INDEX('Dealer pipeline'!$C$4:$C$503,_calc!$E$296))=0,"",INDEX('Dealer pipeline'!$C$4:$C$503,_calc!$E$296))&amp;" – "&amp;IF(LEN(INDEX('Dealer pipeline'!$D$4:$D$503,_calc!$E$296))=0,"",INDEX('Dealer pipeline'!$D$4:$D$503,_calc!$E$296))&amp;" – "&amp;IF(LEN(INDEX('Dealer pipeline'!$A$4:$A$503,_calc!$E$296))=0,"",INDEX('Dealer pipeline'!$A$4:$A$503,_calc!$E$296)),"Warranty – "&amp;IF(LEN(INDEX('My equipment'!$A$4:$A$503,(_calc!$E$296-500)))=0,"",INDEX('My equipment'!$A$4:$A$503,(_calc!$E$296-500)))&amp;" – "&amp;IF(LEN(INDEX('My equipment'!$D$4:$D$503,(_calc!$E$296-500)))=0,"",INDEX('My equipment'!$D$4:$D$503,(_calc!$E$296-500)))))</f>
        <v/>
      </c>
      <c r="B294" s="54">
        <f>IF(_calc!$E$296="","",IF(_calc!$E$296&lt;=500,IF(ISNUMBER(INDEX('Dealer pipeline'!$M$4:$M$503,_calc!$E$296)),TEXT(INDEX('Dealer pipeline'!$M$4:$M$503,_calc!$E$296),"yyyy-mm-dd"),""),IF(ISNUMBER(INDEX('My equipment'!$M$4:$M$503,(_calc!$E$296-500))),TEXT(INDEX('My equipment'!$M$4:$M$503,(_calc!$E$296-500)),"yyyy-mm-dd"),"")))</f>
        <v/>
      </c>
      <c r="C294" s="54">
        <f>IF(_calc!$E$296="","",IF(_calc!$E$296&lt;=500,"Warranty","Warranty"))</f>
        <v/>
      </c>
      <c r="D294" s="54">
        <f>IF(_calc!$E$296="","",IF(_calc!$E$296&lt;=500,IF(ISNUMBER(INDEX('Dealer pipeline'!$H$4:$H$503,_calc!$E$296)),TEXT(INDEX('Dealer pipeline'!$H$4:$H$503,_calc!$E$296),"yyyy-mm-dd"),""),IF(ISNUMBER(INDEX('My equipment'!$H$4:$H$503,(_calc!$E$296-500))),TEXT(INDEX('My equipment'!$H$4:$H$503,(_calc!$E$296-500)),"yyyy-mm-dd"),"")))</f>
        <v/>
      </c>
      <c r="F294" s="54">
        <f>IF(_calc!$E$296="","",IF(_calc!$E$296&lt;=500,TRIM(IF(LEN(IF(LEN(INDEX('Dealer pipeline'!$A$4:$A$503,_calc!$E$296))=0,"",INDEX('Dealer pipeline'!$A$4:$A$503,_calc!$E$296)))=0,"","Customer: "&amp;IF(LEN(INDEX('Dealer pipeline'!$A$4:$A$503,_calc!$E$296))=0,"",INDEX('Dealer pipeline'!$A$4:$A$503,_calc!$E$296))&amp;". ")&amp;IF(LEN(IF(LEN(INDEX('Dealer pipeline'!$B$4:$B$503,_calc!$E$296))=0,"",INDEX('Dealer pipeline'!$B$4:$B$503,_calc!$E$296)))=0,"","Contact: "&amp;IF(LEN(INDEX('Dealer pipeline'!$B$4:$B$503,_calc!$E$296))=0,"",INDEX('Dealer pipeline'!$B$4:$B$503,_calc!$E$296))&amp;". ")&amp;IF(LEN(IF(LEN(INDEX('Dealer pipeline'!$D$4:$D$503,_calc!$E$296))=0,"",INDEX('Dealer pipeline'!$D$4:$D$503,_calc!$E$296)))=0,"","Serial: "&amp;IF(LEN(INDEX('Dealer pipeline'!$D$4:$D$503,_calc!$E$296))=0,"",INDEX('Dealer pipeline'!$D$4:$D$503,_calc!$E$296))&amp;". ")&amp;IF(LEN(IF(ISNUMBER(INDEX('Dealer pipeline'!$J$4:$J$503,_calc!$E$296)),TEXT(INDEX('Dealer pipeline'!$J$4:$J$503,_calc!$E$296),"yyyy-mm-dd"),""))=0,"","Parts end: "&amp;IF(ISNUMBER(INDEX('Dealer pipeline'!$J$4:$J$503,_calc!$E$296)),TEXT(INDEX('Dealer pipeline'!$J$4:$J$503,_calc!$E$296),"yyyy-mm-dd"),"")&amp;". ")&amp;IF(LEN(IF(ISNUMBER(INDEX('Dealer pipeline'!$L$4:$L$503,_calc!$E$296)),TEXT(INDEX('Dealer pipeline'!$L$4:$L$503,_calc!$E$296),"yyyy-mm-dd"),""))=0,"","Labor end: "&amp;IF(ISNUMBER(INDEX('Dealer pipeline'!$L$4:$L$503,_calc!$E$296)),TEXT(INDEX('Dealer pipeline'!$L$4:$L$503,_calc!$E$296),"yyyy-mm-dd"),"")&amp;". ")&amp;IF(LEN(IF(LEN(INDEX('Dealer pipeline'!$Q$4:$Q$503,_calc!$E$296))=0,"",INDEX('Dealer pipeline'!$Q$4:$Q$503,_calc!$E$296)))=0,"","Status: "&amp;IF(LEN(INDEX('Dealer pipeline'!$Q$4:$Q$503,_calc!$E$296))=0,"",INDEX('Dealer pipeline'!$Q$4:$Q$503,_calc!$E$296))&amp;". ")&amp;IF(LEN(IF(LEN(INDEX('Dealer pipeline'!$P$4:$P$503,_calc!$E$296))=0,"",INDEX('Dealer pipeline'!$P$4:$P$503,_calc!$E$296)))=0,"","Last touch: "&amp;IF(LEN(INDEX('Dealer pipeline'!$P$4:$P$503,_calc!$E$296))=0,"",INDEX('Dealer pipeline'!$P$4:$P$503,_calc!$E$296))&amp;". ")&amp;IF(LEN(IF(LEN(INDEX('Dealer pipeline'!$R$4:$R$503,_calc!$E$296))=0,"",INDEX('Dealer pipeline'!$R$4:$R$503,_calc!$E$296)))=0,"","Owner: "&amp;IF(LEN(INDEX('Dealer pipeline'!$R$4:$R$503,_calc!$E$296))=0,"",INDEX('Dealer pipeline'!$R$4:$R$503,_calc!$E$296))&amp;". ")&amp;IF(LEN(IF(LEN(INDEX('Dealer pipeline'!$S$4:$S$503,_calc!$E$296))=0,"",INDEX('Dealer pipeline'!$S$4:$S$503,_calc!$E$296)))=0,"","Backup: "&amp;IF(LEN(INDEX('Dealer pipeline'!$S$4:$S$503,_calc!$E$296))=0,"",INDEX('Dealer pipeline'!$S$4:$S$503,_calc!$E$296))&amp;". ")&amp;IF(LEN(IF(LEN(INDEX('Dealer pipeline'!$T$4:$T$503,_calc!$E$296))=0,"",INDEX('Dealer pipeline'!$T$4:$T$503,_calc!$E$296)))=0,"",IF(LEN(INDEX('Dealer pipeline'!$T$4:$T$503,_calc!$E$296))=0,"",INDEX('Dealer pipeline'!$T$4:$T$503,_calc!$E$296)))),TRIM(IF(LEN(IF(LEN(INDEX('My equipment'!$C$4:$C$503,(_calc!$E$296-500)))=0,"",INDEX('My equipment'!$C$4:$C$503,(_calc!$E$296-500))))=0,"","Model: "&amp;IF(LEN(INDEX('My equipment'!$C$4:$C$503,(_calc!$E$296-500)))=0,"",INDEX('My equipment'!$C$4:$C$503,(_calc!$E$296-500)))&amp;". ")&amp;IF(LEN(IF(LEN(INDEX('My equipment'!$D$4:$D$503,(_calc!$E$296-500)))=0,"",INDEX('My equipment'!$D$4:$D$503,(_calc!$E$296-500))))=0,"","Serial: "&amp;IF(LEN(INDEX('My equipment'!$D$4:$D$503,(_calc!$E$296-500)))=0,"",INDEX('My equipment'!$D$4:$D$503,(_calc!$E$296-500)))&amp;". ")&amp;IF(LEN(IF(ISNUMBER(INDEX('My equipment'!$J$4:$J$503,(_calc!$E$296-500))),TEXT(INDEX('My equipment'!$J$4:$J$503,(_calc!$E$296-500)),"yyyy-mm-dd"),""))=0,"","Parts end: "&amp;IF(ISNUMBER(INDEX('My equipment'!$J$4:$J$503,(_calc!$E$296-500))),TEXT(INDEX('My equipment'!$J$4:$J$503,(_calc!$E$296-500)),"yyyy-mm-dd"),"")&amp;". ")&amp;IF(LEN(IF(ISNUMBER(INDEX('My equipment'!$L$4:$L$503,(_calc!$E$296-500))),TEXT(INDEX('My equipment'!$L$4:$L$503,(_calc!$E$296-500)),"yyyy-mm-dd"),""))=0,"","Labor end: "&amp;IF(ISNUMBER(INDEX('My equipment'!$L$4:$L$503,(_calc!$E$296-500))),TEXT(INDEX('My equipment'!$L$4:$L$503,(_calc!$E$296-500)),"yyyy-mm-dd"),"")&amp;". ")&amp;IF(LEN(IF(ISNUMBER(INDEX('My equipment'!$P$4:$P$503,(_calc!$E$296-500))),TEXT(INDEX('My equipment'!$P$4:$P$503,(_calc!$E$296-500)),"yyyy-mm-dd"),""))=0,"","Check by: "&amp;IF(ISNUMBER(INDEX('My equipment'!$P$4:$P$503,(_calc!$E$296-500))),TEXT(INDEX('My equipment'!$P$4:$P$503,(_calc!$E$296-500)),"yyyy-mm-dd"),"")&amp;". ")&amp;IF(LEN(IF(LEN(INDEX('My equipment'!$Q$4:$Q$503,(_calc!$E$296-500)))=0,"",INDEX('My equipment'!$Q$4:$Q$503,(_calc!$E$296-500))))=0,"","Claim status: "&amp;IF(LEN(INDEX('My equipment'!$Q$4:$Q$503,(_calc!$E$296-500)))=0,"",INDEX('My equipment'!$Q$4:$Q$503,(_calc!$E$296-500)))&amp;". ")&amp;IF(LEN(IF(LEN(INDEX('My equipment'!$R$4:$R$503,(_calc!$E$296-500)))=0,"",INDEX('My equipment'!$R$4:$R$503,(_calc!$E$296-500))))=0,"","Claims contact: "&amp;IF(LEN(INDEX('My equipment'!$R$4:$R$503,(_calc!$E$296-500)))=0,"",INDEX('My equipment'!$R$4:$R$503,(_calc!$E$296-500)))&amp;". ")&amp;IF(LEN(IF(LEN(INDEX('My equipment'!$S$4:$S$503,(_calc!$E$296-500)))=0,"",INDEX('My equipment'!$S$4:$S$503,(_calc!$E$296-500))))=0,"","Claims email: "&amp;IF(LEN(INDEX('My equipment'!$S$4:$S$503,(_calc!$E$296-500)))=0,"",INDEX('My equipment'!$S$4:$S$503,(_calc!$E$296-500)))&amp;". ")&amp;IF(LEN(IF(LEN(INDEX('My equipment'!$U$4:$U$503,(_calc!$E$296-500)))=0,"",INDEX('My equipment'!$U$4:$U$503,(_calc!$E$296-500))))=0,"","Registered: "&amp;IF(LEN(INDEX('My equipment'!$U$4:$U$503,(_calc!$E$296-500)))=0,"",INDEX('My equipment'!$U$4:$U$503,(_calc!$E$296-500)))&amp;". ")&amp;IF(LEN(IF(LEN(INDEX('My equipment'!$V$4:$V$503,(_calc!$E$296-500)))=0,"",INDEX('My equipment'!$V$4:$V$503,(_calc!$E$296-500))))=0,"","Proof on file: "&amp;IF(LEN(INDEX('My equipment'!$V$4:$V$503,(_calc!$E$296-500)))=0,"",INDEX('My equipment'!$V$4:$V$503,(_calc!$E$296-500)))&amp;". ")&amp;IF(LEN(IF(LEN(INDEX('My equipment'!$W$4:$W$503,(_calc!$E$296-500)))=0,"",INDEX('My equipment'!$W$4:$W$503,(_calc!$E$296-500))))=0,"","Claim ref: "&amp;IF(LEN(INDEX('My equipment'!$W$4:$W$503,(_calc!$E$296-500)))=0,"",INDEX('My equipment'!$W$4:$W$503,(_calc!$E$296-500)))&amp;". ")&amp;IF(LEN(IF(LEN(INDEX('My equipment'!$Y$4:$Y$503,(_calc!$E$296-500)))=0,"",INDEX('My equipment'!$Y$4:$Y$503,(_calc!$E$296-500))))=0,"",IF(LEN(INDEX('My equipment'!$Y$4:$Y$503,(_calc!$E$296-500)))=0,"",INDEX('My equipment'!$Y$4:$Y$503,(_calc!$E$296-500)))))))</f>
        <v/>
      </c>
      <c r="G294" s="54">
        <f>IF(_calc!$E$296="","",IF(_calc!$E$296&lt;=500,"",IF(LEN(INDEX('My equipment'!$X$4:$X$503,(_calc!$E$296-500)))=0,"",INDEX('My equipment'!$X$4:$X$503,(_calc!$E$296-500)))))</f>
        <v/>
      </c>
      <c r="K294" s="54">
        <f>IF(_calc!$E$296="","",IF(_calc!$E$296&lt;=500,"",IF(LEN(INDEX('My equipment'!$T$4:$T$503,(_calc!$E$296-500)))=0,"",INDEX('My equipment'!$T$4:$T$503,(_calc!$E$296-500)))))</f>
        <v/>
      </c>
    </row>
    <row r="295">
      <c r="A295" s="54">
        <f>IF(_calc!$E$297="","",IF(_calc!$E$297&lt;=500,"Warranty – "&amp;IF(LEN(INDEX('Dealer pipeline'!$C$4:$C$503,_calc!$E$297))=0,"",INDEX('Dealer pipeline'!$C$4:$C$503,_calc!$E$297))&amp;" – "&amp;IF(LEN(INDEX('Dealer pipeline'!$D$4:$D$503,_calc!$E$297))=0,"",INDEX('Dealer pipeline'!$D$4:$D$503,_calc!$E$297))&amp;" – "&amp;IF(LEN(INDEX('Dealer pipeline'!$A$4:$A$503,_calc!$E$297))=0,"",INDEX('Dealer pipeline'!$A$4:$A$503,_calc!$E$297)),"Warranty – "&amp;IF(LEN(INDEX('My equipment'!$A$4:$A$503,(_calc!$E$297-500)))=0,"",INDEX('My equipment'!$A$4:$A$503,(_calc!$E$297-500)))&amp;" – "&amp;IF(LEN(INDEX('My equipment'!$D$4:$D$503,(_calc!$E$297-500)))=0,"",INDEX('My equipment'!$D$4:$D$503,(_calc!$E$297-500)))))</f>
        <v/>
      </c>
      <c r="B295" s="54">
        <f>IF(_calc!$E$297="","",IF(_calc!$E$297&lt;=500,IF(ISNUMBER(INDEX('Dealer pipeline'!$M$4:$M$503,_calc!$E$297)),TEXT(INDEX('Dealer pipeline'!$M$4:$M$503,_calc!$E$297),"yyyy-mm-dd"),""),IF(ISNUMBER(INDEX('My equipment'!$M$4:$M$503,(_calc!$E$297-500))),TEXT(INDEX('My equipment'!$M$4:$M$503,(_calc!$E$297-500)),"yyyy-mm-dd"),"")))</f>
        <v/>
      </c>
      <c r="C295" s="54">
        <f>IF(_calc!$E$297="","",IF(_calc!$E$297&lt;=500,"Warranty","Warranty"))</f>
        <v/>
      </c>
      <c r="D295" s="54">
        <f>IF(_calc!$E$297="","",IF(_calc!$E$297&lt;=500,IF(ISNUMBER(INDEX('Dealer pipeline'!$H$4:$H$503,_calc!$E$297)),TEXT(INDEX('Dealer pipeline'!$H$4:$H$503,_calc!$E$297),"yyyy-mm-dd"),""),IF(ISNUMBER(INDEX('My equipment'!$H$4:$H$503,(_calc!$E$297-500))),TEXT(INDEX('My equipment'!$H$4:$H$503,(_calc!$E$297-500)),"yyyy-mm-dd"),"")))</f>
        <v/>
      </c>
      <c r="F295" s="54">
        <f>IF(_calc!$E$297="","",IF(_calc!$E$297&lt;=500,TRIM(IF(LEN(IF(LEN(INDEX('Dealer pipeline'!$A$4:$A$503,_calc!$E$297))=0,"",INDEX('Dealer pipeline'!$A$4:$A$503,_calc!$E$297)))=0,"","Customer: "&amp;IF(LEN(INDEX('Dealer pipeline'!$A$4:$A$503,_calc!$E$297))=0,"",INDEX('Dealer pipeline'!$A$4:$A$503,_calc!$E$297))&amp;". ")&amp;IF(LEN(IF(LEN(INDEX('Dealer pipeline'!$B$4:$B$503,_calc!$E$297))=0,"",INDEX('Dealer pipeline'!$B$4:$B$503,_calc!$E$297)))=0,"","Contact: "&amp;IF(LEN(INDEX('Dealer pipeline'!$B$4:$B$503,_calc!$E$297))=0,"",INDEX('Dealer pipeline'!$B$4:$B$503,_calc!$E$297))&amp;". ")&amp;IF(LEN(IF(LEN(INDEX('Dealer pipeline'!$D$4:$D$503,_calc!$E$297))=0,"",INDEX('Dealer pipeline'!$D$4:$D$503,_calc!$E$297)))=0,"","Serial: "&amp;IF(LEN(INDEX('Dealer pipeline'!$D$4:$D$503,_calc!$E$297))=0,"",INDEX('Dealer pipeline'!$D$4:$D$503,_calc!$E$297))&amp;". ")&amp;IF(LEN(IF(ISNUMBER(INDEX('Dealer pipeline'!$J$4:$J$503,_calc!$E$297)),TEXT(INDEX('Dealer pipeline'!$J$4:$J$503,_calc!$E$297),"yyyy-mm-dd"),""))=0,"","Parts end: "&amp;IF(ISNUMBER(INDEX('Dealer pipeline'!$J$4:$J$503,_calc!$E$297)),TEXT(INDEX('Dealer pipeline'!$J$4:$J$503,_calc!$E$297),"yyyy-mm-dd"),"")&amp;". ")&amp;IF(LEN(IF(ISNUMBER(INDEX('Dealer pipeline'!$L$4:$L$503,_calc!$E$297)),TEXT(INDEX('Dealer pipeline'!$L$4:$L$503,_calc!$E$297),"yyyy-mm-dd"),""))=0,"","Labor end: "&amp;IF(ISNUMBER(INDEX('Dealer pipeline'!$L$4:$L$503,_calc!$E$297)),TEXT(INDEX('Dealer pipeline'!$L$4:$L$503,_calc!$E$297),"yyyy-mm-dd"),"")&amp;". ")&amp;IF(LEN(IF(LEN(INDEX('Dealer pipeline'!$Q$4:$Q$503,_calc!$E$297))=0,"",INDEX('Dealer pipeline'!$Q$4:$Q$503,_calc!$E$297)))=0,"","Status: "&amp;IF(LEN(INDEX('Dealer pipeline'!$Q$4:$Q$503,_calc!$E$297))=0,"",INDEX('Dealer pipeline'!$Q$4:$Q$503,_calc!$E$297))&amp;". ")&amp;IF(LEN(IF(LEN(INDEX('Dealer pipeline'!$P$4:$P$503,_calc!$E$297))=0,"",INDEX('Dealer pipeline'!$P$4:$P$503,_calc!$E$297)))=0,"","Last touch: "&amp;IF(LEN(INDEX('Dealer pipeline'!$P$4:$P$503,_calc!$E$297))=0,"",INDEX('Dealer pipeline'!$P$4:$P$503,_calc!$E$297))&amp;". ")&amp;IF(LEN(IF(LEN(INDEX('Dealer pipeline'!$R$4:$R$503,_calc!$E$297))=0,"",INDEX('Dealer pipeline'!$R$4:$R$503,_calc!$E$297)))=0,"","Owner: "&amp;IF(LEN(INDEX('Dealer pipeline'!$R$4:$R$503,_calc!$E$297))=0,"",INDEX('Dealer pipeline'!$R$4:$R$503,_calc!$E$297))&amp;". ")&amp;IF(LEN(IF(LEN(INDEX('Dealer pipeline'!$S$4:$S$503,_calc!$E$297))=0,"",INDEX('Dealer pipeline'!$S$4:$S$503,_calc!$E$297)))=0,"","Backup: "&amp;IF(LEN(INDEX('Dealer pipeline'!$S$4:$S$503,_calc!$E$297))=0,"",INDEX('Dealer pipeline'!$S$4:$S$503,_calc!$E$297))&amp;". ")&amp;IF(LEN(IF(LEN(INDEX('Dealer pipeline'!$T$4:$T$503,_calc!$E$297))=0,"",INDEX('Dealer pipeline'!$T$4:$T$503,_calc!$E$297)))=0,"",IF(LEN(INDEX('Dealer pipeline'!$T$4:$T$503,_calc!$E$297))=0,"",INDEX('Dealer pipeline'!$T$4:$T$503,_calc!$E$297)))),TRIM(IF(LEN(IF(LEN(INDEX('My equipment'!$C$4:$C$503,(_calc!$E$297-500)))=0,"",INDEX('My equipment'!$C$4:$C$503,(_calc!$E$297-500))))=0,"","Model: "&amp;IF(LEN(INDEX('My equipment'!$C$4:$C$503,(_calc!$E$297-500)))=0,"",INDEX('My equipment'!$C$4:$C$503,(_calc!$E$297-500)))&amp;". ")&amp;IF(LEN(IF(LEN(INDEX('My equipment'!$D$4:$D$503,(_calc!$E$297-500)))=0,"",INDEX('My equipment'!$D$4:$D$503,(_calc!$E$297-500))))=0,"","Serial: "&amp;IF(LEN(INDEX('My equipment'!$D$4:$D$503,(_calc!$E$297-500)))=0,"",INDEX('My equipment'!$D$4:$D$503,(_calc!$E$297-500)))&amp;". ")&amp;IF(LEN(IF(ISNUMBER(INDEX('My equipment'!$J$4:$J$503,(_calc!$E$297-500))),TEXT(INDEX('My equipment'!$J$4:$J$503,(_calc!$E$297-500)),"yyyy-mm-dd"),""))=0,"","Parts end: "&amp;IF(ISNUMBER(INDEX('My equipment'!$J$4:$J$503,(_calc!$E$297-500))),TEXT(INDEX('My equipment'!$J$4:$J$503,(_calc!$E$297-500)),"yyyy-mm-dd"),"")&amp;". ")&amp;IF(LEN(IF(ISNUMBER(INDEX('My equipment'!$L$4:$L$503,(_calc!$E$297-500))),TEXT(INDEX('My equipment'!$L$4:$L$503,(_calc!$E$297-500)),"yyyy-mm-dd"),""))=0,"","Labor end: "&amp;IF(ISNUMBER(INDEX('My equipment'!$L$4:$L$503,(_calc!$E$297-500))),TEXT(INDEX('My equipment'!$L$4:$L$503,(_calc!$E$297-500)),"yyyy-mm-dd"),"")&amp;". ")&amp;IF(LEN(IF(ISNUMBER(INDEX('My equipment'!$P$4:$P$503,(_calc!$E$297-500))),TEXT(INDEX('My equipment'!$P$4:$P$503,(_calc!$E$297-500)),"yyyy-mm-dd"),""))=0,"","Check by: "&amp;IF(ISNUMBER(INDEX('My equipment'!$P$4:$P$503,(_calc!$E$297-500))),TEXT(INDEX('My equipment'!$P$4:$P$503,(_calc!$E$297-500)),"yyyy-mm-dd"),"")&amp;". ")&amp;IF(LEN(IF(LEN(INDEX('My equipment'!$Q$4:$Q$503,(_calc!$E$297-500)))=0,"",INDEX('My equipment'!$Q$4:$Q$503,(_calc!$E$297-500))))=0,"","Claim status: "&amp;IF(LEN(INDEX('My equipment'!$Q$4:$Q$503,(_calc!$E$297-500)))=0,"",INDEX('My equipment'!$Q$4:$Q$503,(_calc!$E$297-500)))&amp;". ")&amp;IF(LEN(IF(LEN(INDEX('My equipment'!$R$4:$R$503,(_calc!$E$297-500)))=0,"",INDEX('My equipment'!$R$4:$R$503,(_calc!$E$297-500))))=0,"","Claims contact: "&amp;IF(LEN(INDEX('My equipment'!$R$4:$R$503,(_calc!$E$297-500)))=0,"",INDEX('My equipment'!$R$4:$R$503,(_calc!$E$297-500)))&amp;". ")&amp;IF(LEN(IF(LEN(INDEX('My equipment'!$S$4:$S$503,(_calc!$E$297-500)))=0,"",INDEX('My equipment'!$S$4:$S$503,(_calc!$E$297-500))))=0,"","Claims email: "&amp;IF(LEN(INDEX('My equipment'!$S$4:$S$503,(_calc!$E$297-500)))=0,"",INDEX('My equipment'!$S$4:$S$503,(_calc!$E$297-500)))&amp;". ")&amp;IF(LEN(IF(LEN(INDEX('My equipment'!$U$4:$U$503,(_calc!$E$297-500)))=0,"",INDEX('My equipment'!$U$4:$U$503,(_calc!$E$297-500))))=0,"","Registered: "&amp;IF(LEN(INDEX('My equipment'!$U$4:$U$503,(_calc!$E$297-500)))=0,"",INDEX('My equipment'!$U$4:$U$503,(_calc!$E$297-500)))&amp;". ")&amp;IF(LEN(IF(LEN(INDEX('My equipment'!$V$4:$V$503,(_calc!$E$297-500)))=0,"",INDEX('My equipment'!$V$4:$V$503,(_calc!$E$297-500))))=0,"","Proof on file: "&amp;IF(LEN(INDEX('My equipment'!$V$4:$V$503,(_calc!$E$297-500)))=0,"",INDEX('My equipment'!$V$4:$V$503,(_calc!$E$297-500)))&amp;". ")&amp;IF(LEN(IF(LEN(INDEX('My equipment'!$W$4:$W$503,(_calc!$E$297-500)))=0,"",INDEX('My equipment'!$W$4:$W$503,(_calc!$E$297-500))))=0,"","Claim ref: "&amp;IF(LEN(INDEX('My equipment'!$W$4:$W$503,(_calc!$E$297-500)))=0,"",INDEX('My equipment'!$W$4:$W$503,(_calc!$E$297-500)))&amp;". ")&amp;IF(LEN(IF(LEN(INDEX('My equipment'!$Y$4:$Y$503,(_calc!$E$297-500)))=0,"",INDEX('My equipment'!$Y$4:$Y$503,(_calc!$E$297-500))))=0,"",IF(LEN(INDEX('My equipment'!$Y$4:$Y$503,(_calc!$E$297-500)))=0,"",INDEX('My equipment'!$Y$4:$Y$503,(_calc!$E$297-500)))))))</f>
        <v/>
      </c>
      <c r="G295" s="54">
        <f>IF(_calc!$E$297="","",IF(_calc!$E$297&lt;=500,"",IF(LEN(INDEX('My equipment'!$X$4:$X$503,(_calc!$E$297-500)))=0,"",INDEX('My equipment'!$X$4:$X$503,(_calc!$E$297-500)))))</f>
        <v/>
      </c>
      <c r="K295" s="54">
        <f>IF(_calc!$E$297="","",IF(_calc!$E$297&lt;=500,"",IF(LEN(INDEX('My equipment'!$T$4:$T$503,(_calc!$E$297-500)))=0,"",INDEX('My equipment'!$T$4:$T$503,(_calc!$E$297-500)))))</f>
        <v/>
      </c>
    </row>
    <row r="296">
      <c r="A296" s="54">
        <f>IF(_calc!$E$298="","",IF(_calc!$E$298&lt;=500,"Warranty – "&amp;IF(LEN(INDEX('Dealer pipeline'!$C$4:$C$503,_calc!$E$298))=0,"",INDEX('Dealer pipeline'!$C$4:$C$503,_calc!$E$298))&amp;" – "&amp;IF(LEN(INDEX('Dealer pipeline'!$D$4:$D$503,_calc!$E$298))=0,"",INDEX('Dealer pipeline'!$D$4:$D$503,_calc!$E$298))&amp;" – "&amp;IF(LEN(INDEX('Dealer pipeline'!$A$4:$A$503,_calc!$E$298))=0,"",INDEX('Dealer pipeline'!$A$4:$A$503,_calc!$E$298)),"Warranty – "&amp;IF(LEN(INDEX('My equipment'!$A$4:$A$503,(_calc!$E$298-500)))=0,"",INDEX('My equipment'!$A$4:$A$503,(_calc!$E$298-500)))&amp;" – "&amp;IF(LEN(INDEX('My equipment'!$D$4:$D$503,(_calc!$E$298-500)))=0,"",INDEX('My equipment'!$D$4:$D$503,(_calc!$E$298-500)))))</f>
        <v/>
      </c>
      <c r="B296" s="54">
        <f>IF(_calc!$E$298="","",IF(_calc!$E$298&lt;=500,IF(ISNUMBER(INDEX('Dealer pipeline'!$M$4:$M$503,_calc!$E$298)),TEXT(INDEX('Dealer pipeline'!$M$4:$M$503,_calc!$E$298),"yyyy-mm-dd"),""),IF(ISNUMBER(INDEX('My equipment'!$M$4:$M$503,(_calc!$E$298-500))),TEXT(INDEX('My equipment'!$M$4:$M$503,(_calc!$E$298-500)),"yyyy-mm-dd"),"")))</f>
        <v/>
      </c>
      <c r="C296" s="54">
        <f>IF(_calc!$E$298="","",IF(_calc!$E$298&lt;=500,"Warranty","Warranty"))</f>
        <v/>
      </c>
      <c r="D296" s="54">
        <f>IF(_calc!$E$298="","",IF(_calc!$E$298&lt;=500,IF(ISNUMBER(INDEX('Dealer pipeline'!$H$4:$H$503,_calc!$E$298)),TEXT(INDEX('Dealer pipeline'!$H$4:$H$503,_calc!$E$298),"yyyy-mm-dd"),""),IF(ISNUMBER(INDEX('My equipment'!$H$4:$H$503,(_calc!$E$298-500))),TEXT(INDEX('My equipment'!$H$4:$H$503,(_calc!$E$298-500)),"yyyy-mm-dd"),"")))</f>
        <v/>
      </c>
      <c r="F296" s="54">
        <f>IF(_calc!$E$298="","",IF(_calc!$E$298&lt;=500,TRIM(IF(LEN(IF(LEN(INDEX('Dealer pipeline'!$A$4:$A$503,_calc!$E$298))=0,"",INDEX('Dealer pipeline'!$A$4:$A$503,_calc!$E$298)))=0,"","Customer: "&amp;IF(LEN(INDEX('Dealer pipeline'!$A$4:$A$503,_calc!$E$298))=0,"",INDEX('Dealer pipeline'!$A$4:$A$503,_calc!$E$298))&amp;". ")&amp;IF(LEN(IF(LEN(INDEX('Dealer pipeline'!$B$4:$B$503,_calc!$E$298))=0,"",INDEX('Dealer pipeline'!$B$4:$B$503,_calc!$E$298)))=0,"","Contact: "&amp;IF(LEN(INDEX('Dealer pipeline'!$B$4:$B$503,_calc!$E$298))=0,"",INDEX('Dealer pipeline'!$B$4:$B$503,_calc!$E$298))&amp;". ")&amp;IF(LEN(IF(LEN(INDEX('Dealer pipeline'!$D$4:$D$503,_calc!$E$298))=0,"",INDEX('Dealer pipeline'!$D$4:$D$503,_calc!$E$298)))=0,"","Serial: "&amp;IF(LEN(INDEX('Dealer pipeline'!$D$4:$D$503,_calc!$E$298))=0,"",INDEX('Dealer pipeline'!$D$4:$D$503,_calc!$E$298))&amp;". ")&amp;IF(LEN(IF(ISNUMBER(INDEX('Dealer pipeline'!$J$4:$J$503,_calc!$E$298)),TEXT(INDEX('Dealer pipeline'!$J$4:$J$503,_calc!$E$298),"yyyy-mm-dd"),""))=0,"","Parts end: "&amp;IF(ISNUMBER(INDEX('Dealer pipeline'!$J$4:$J$503,_calc!$E$298)),TEXT(INDEX('Dealer pipeline'!$J$4:$J$503,_calc!$E$298),"yyyy-mm-dd"),"")&amp;". ")&amp;IF(LEN(IF(ISNUMBER(INDEX('Dealer pipeline'!$L$4:$L$503,_calc!$E$298)),TEXT(INDEX('Dealer pipeline'!$L$4:$L$503,_calc!$E$298),"yyyy-mm-dd"),""))=0,"","Labor end: "&amp;IF(ISNUMBER(INDEX('Dealer pipeline'!$L$4:$L$503,_calc!$E$298)),TEXT(INDEX('Dealer pipeline'!$L$4:$L$503,_calc!$E$298),"yyyy-mm-dd"),"")&amp;". ")&amp;IF(LEN(IF(LEN(INDEX('Dealer pipeline'!$Q$4:$Q$503,_calc!$E$298))=0,"",INDEX('Dealer pipeline'!$Q$4:$Q$503,_calc!$E$298)))=0,"","Status: "&amp;IF(LEN(INDEX('Dealer pipeline'!$Q$4:$Q$503,_calc!$E$298))=0,"",INDEX('Dealer pipeline'!$Q$4:$Q$503,_calc!$E$298))&amp;". ")&amp;IF(LEN(IF(LEN(INDEX('Dealer pipeline'!$P$4:$P$503,_calc!$E$298))=0,"",INDEX('Dealer pipeline'!$P$4:$P$503,_calc!$E$298)))=0,"","Last touch: "&amp;IF(LEN(INDEX('Dealer pipeline'!$P$4:$P$503,_calc!$E$298))=0,"",INDEX('Dealer pipeline'!$P$4:$P$503,_calc!$E$298))&amp;". ")&amp;IF(LEN(IF(LEN(INDEX('Dealer pipeline'!$R$4:$R$503,_calc!$E$298))=0,"",INDEX('Dealer pipeline'!$R$4:$R$503,_calc!$E$298)))=0,"","Owner: "&amp;IF(LEN(INDEX('Dealer pipeline'!$R$4:$R$503,_calc!$E$298))=0,"",INDEX('Dealer pipeline'!$R$4:$R$503,_calc!$E$298))&amp;". ")&amp;IF(LEN(IF(LEN(INDEX('Dealer pipeline'!$S$4:$S$503,_calc!$E$298))=0,"",INDEX('Dealer pipeline'!$S$4:$S$503,_calc!$E$298)))=0,"","Backup: "&amp;IF(LEN(INDEX('Dealer pipeline'!$S$4:$S$503,_calc!$E$298))=0,"",INDEX('Dealer pipeline'!$S$4:$S$503,_calc!$E$298))&amp;". ")&amp;IF(LEN(IF(LEN(INDEX('Dealer pipeline'!$T$4:$T$503,_calc!$E$298))=0,"",INDEX('Dealer pipeline'!$T$4:$T$503,_calc!$E$298)))=0,"",IF(LEN(INDEX('Dealer pipeline'!$T$4:$T$503,_calc!$E$298))=0,"",INDEX('Dealer pipeline'!$T$4:$T$503,_calc!$E$298)))),TRIM(IF(LEN(IF(LEN(INDEX('My equipment'!$C$4:$C$503,(_calc!$E$298-500)))=0,"",INDEX('My equipment'!$C$4:$C$503,(_calc!$E$298-500))))=0,"","Model: "&amp;IF(LEN(INDEX('My equipment'!$C$4:$C$503,(_calc!$E$298-500)))=0,"",INDEX('My equipment'!$C$4:$C$503,(_calc!$E$298-500)))&amp;". ")&amp;IF(LEN(IF(LEN(INDEX('My equipment'!$D$4:$D$503,(_calc!$E$298-500)))=0,"",INDEX('My equipment'!$D$4:$D$503,(_calc!$E$298-500))))=0,"","Serial: "&amp;IF(LEN(INDEX('My equipment'!$D$4:$D$503,(_calc!$E$298-500)))=0,"",INDEX('My equipment'!$D$4:$D$503,(_calc!$E$298-500)))&amp;". ")&amp;IF(LEN(IF(ISNUMBER(INDEX('My equipment'!$J$4:$J$503,(_calc!$E$298-500))),TEXT(INDEX('My equipment'!$J$4:$J$503,(_calc!$E$298-500)),"yyyy-mm-dd"),""))=0,"","Parts end: "&amp;IF(ISNUMBER(INDEX('My equipment'!$J$4:$J$503,(_calc!$E$298-500))),TEXT(INDEX('My equipment'!$J$4:$J$503,(_calc!$E$298-500)),"yyyy-mm-dd"),"")&amp;". ")&amp;IF(LEN(IF(ISNUMBER(INDEX('My equipment'!$L$4:$L$503,(_calc!$E$298-500))),TEXT(INDEX('My equipment'!$L$4:$L$503,(_calc!$E$298-500)),"yyyy-mm-dd"),""))=0,"","Labor end: "&amp;IF(ISNUMBER(INDEX('My equipment'!$L$4:$L$503,(_calc!$E$298-500))),TEXT(INDEX('My equipment'!$L$4:$L$503,(_calc!$E$298-500)),"yyyy-mm-dd"),"")&amp;". ")&amp;IF(LEN(IF(ISNUMBER(INDEX('My equipment'!$P$4:$P$503,(_calc!$E$298-500))),TEXT(INDEX('My equipment'!$P$4:$P$503,(_calc!$E$298-500)),"yyyy-mm-dd"),""))=0,"","Check by: "&amp;IF(ISNUMBER(INDEX('My equipment'!$P$4:$P$503,(_calc!$E$298-500))),TEXT(INDEX('My equipment'!$P$4:$P$503,(_calc!$E$298-500)),"yyyy-mm-dd"),"")&amp;". ")&amp;IF(LEN(IF(LEN(INDEX('My equipment'!$Q$4:$Q$503,(_calc!$E$298-500)))=0,"",INDEX('My equipment'!$Q$4:$Q$503,(_calc!$E$298-500))))=0,"","Claim status: "&amp;IF(LEN(INDEX('My equipment'!$Q$4:$Q$503,(_calc!$E$298-500)))=0,"",INDEX('My equipment'!$Q$4:$Q$503,(_calc!$E$298-500)))&amp;". ")&amp;IF(LEN(IF(LEN(INDEX('My equipment'!$R$4:$R$503,(_calc!$E$298-500)))=0,"",INDEX('My equipment'!$R$4:$R$503,(_calc!$E$298-500))))=0,"","Claims contact: "&amp;IF(LEN(INDEX('My equipment'!$R$4:$R$503,(_calc!$E$298-500)))=0,"",INDEX('My equipment'!$R$4:$R$503,(_calc!$E$298-500)))&amp;". ")&amp;IF(LEN(IF(LEN(INDEX('My equipment'!$S$4:$S$503,(_calc!$E$298-500)))=0,"",INDEX('My equipment'!$S$4:$S$503,(_calc!$E$298-500))))=0,"","Claims email: "&amp;IF(LEN(INDEX('My equipment'!$S$4:$S$503,(_calc!$E$298-500)))=0,"",INDEX('My equipment'!$S$4:$S$503,(_calc!$E$298-500)))&amp;". ")&amp;IF(LEN(IF(LEN(INDEX('My equipment'!$U$4:$U$503,(_calc!$E$298-500)))=0,"",INDEX('My equipment'!$U$4:$U$503,(_calc!$E$298-500))))=0,"","Registered: "&amp;IF(LEN(INDEX('My equipment'!$U$4:$U$503,(_calc!$E$298-500)))=0,"",INDEX('My equipment'!$U$4:$U$503,(_calc!$E$298-500)))&amp;". ")&amp;IF(LEN(IF(LEN(INDEX('My equipment'!$V$4:$V$503,(_calc!$E$298-500)))=0,"",INDEX('My equipment'!$V$4:$V$503,(_calc!$E$298-500))))=0,"","Proof on file: "&amp;IF(LEN(INDEX('My equipment'!$V$4:$V$503,(_calc!$E$298-500)))=0,"",INDEX('My equipment'!$V$4:$V$503,(_calc!$E$298-500)))&amp;". ")&amp;IF(LEN(IF(LEN(INDEX('My equipment'!$W$4:$W$503,(_calc!$E$298-500)))=0,"",INDEX('My equipment'!$W$4:$W$503,(_calc!$E$298-500))))=0,"","Claim ref: "&amp;IF(LEN(INDEX('My equipment'!$W$4:$W$503,(_calc!$E$298-500)))=0,"",INDEX('My equipment'!$W$4:$W$503,(_calc!$E$298-500)))&amp;". ")&amp;IF(LEN(IF(LEN(INDEX('My equipment'!$Y$4:$Y$503,(_calc!$E$298-500)))=0,"",INDEX('My equipment'!$Y$4:$Y$503,(_calc!$E$298-500))))=0,"",IF(LEN(INDEX('My equipment'!$Y$4:$Y$503,(_calc!$E$298-500)))=0,"",INDEX('My equipment'!$Y$4:$Y$503,(_calc!$E$298-500)))))))</f>
        <v/>
      </c>
      <c r="G296" s="54">
        <f>IF(_calc!$E$298="","",IF(_calc!$E$298&lt;=500,"",IF(LEN(INDEX('My equipment'!$X$4:$X$503,(_calc!$E$298-500)))=0,"",INDEX('My equipment'!$X$4:$X$503,(_calc!$E$298-500)))))</f>
        <v/>
      </c>
      <c r="K296" s="54">
        <f>IF(_calc!$E$298="","",IF(_calc!$E$298&lt;=500,"",IF(LEN(INDEX('My equipment'!$T$4:$T$503,(_calc!$E$298-500)))=0,"",INDEX('My equipment'!$T$4:$T$503,(_calc!$E$298-500)))))</f>
        <v/>
      </c>
    </row>
    <row r="297">
      <c r="A297" s="54">
        <f>IF(_calc!$E$299="","",IF(_calc!$E$299&lt;=500,"Warranty – "&amp;IF(LEN(INDEX('Dealer pipeline'!$C$4:$C$503,_calc!$E$299))=0,"",INDEX('Dealer pipeline'!$C$4:$C$503,_calc!$E$299))&amp;" – "&amp;IF(LEN(INDEX('Dealer pipeline'!$D$4:$D$503,_calc!$E$299))=0,"",INDEX('Dealer pipeline'!$D$4:$D$503,_calc!$E$299))&amp;" – "&amp;IF(LEN(INDEX('Dealer pipeline'!$A$4:$A$503,_calc!$E$299))=0,"",INDEX('Dealer pipeline'!$A$4:$A$503,_calc!$E$299)),"Warranty – "&amp;IF(LEN(INDEX('My equipment'!$A$4:$A$503,(_calc!$E$299-500)))=0,"",INDEX('My equipment'!$A$4:$A$503,(_calc!$E$299-500)))&amp;" – "&amp;IF(LEN(INDEX('My equipment'!$D$4:$D$503,(_calc!$E$299-500)))=0,"",INDEX('My equipment'!$D$4:$D$503,(_calc!$E$299-500)))))</f>
        <v/>
      </c>
      <c r="B297" s="54">
        <f>IF(_calc!$E$299="","",IF(_calc!$E$299&lt;=500,IF(ISNUMBER(INDEX('Dealer pipeline'!$M$4:$M$503,_calc!$E$299)),TEXT(INDEX('Dealer pipeline'!$M$4:$M$503,_calc!$E$299),"yyyy-mm-dd"),""),IF(ISNUMBER(INDEX('My equipment'!$M$4:$M$503,(_calc!$E$299-500))),TEXT(INDEX('My equipment'!$M$4:$M$503,(_calc!$E$299-500)),"yyyy-mm-dd"),"")))</f>
        <v/>
      </c>
      <c r="C297" s="54">
        <f>IF(_calc!$E$299="","",IF(_calc!$E$299&lt;=500,"Warranty","Warranty"))</f>
        <v/>
      </c>
      <c r="D297" s="54">
        <f>IF(_calc!$E$299="","",IF(_calc!$E$299&lt;=500,IF(ISNUMBER(INDEX('Dealer pipeline'!$H$4:$H$503,_calc!$E$299)),TEXT(INDEX('Dealer pipeline'!$H$4:$H$503,_calc!$E$299),"yyyy-mm-dd"),""),IF(ISNUMBER(INDEX('My equipment'!$H$4:$H$503,(_calc!$E$299-500))),TEXT(INDEX('My equipment'!$H$4:$H$503,(_calc!$E$299-500)),"yyyy-mm-dd"),"")))</f>
        <v/>
      </c>
      <c r="F297" s="54">
        <f>IF(_calc!$E$299="","",IF(_calc!$E$299&lt;=500,TRIM(IF(LEN(IF(LEN(INDEX('Dealer pipeline'!$A$4:$A$503,_calc!$E$299))=0,"",INDEX('Dealer pipeline'!$A$4:$A$503,_calc!$E$299)))=0,"","Customer: "&amp;IF(LEN(INDEX('Dealer pipeline'!$A$4:$A$503,_calc!$E$299))=0,"",INDEX('Dealer pipeline'!$A$4:$A$503,_calc!$E$299))&amp;". ")&amp;IF(LEN(IF(LEN(INDEX('Dealer pipeline'!$B$4:$B$503,_calc!$E$299))=0,"",INDEX('Dealer pipeline'!$B$4:$B$503,_calc!$E$299)))=0,"","Contact: "&amp;IF(LEN(INDEX('Dealer pipeline'!$B$4:$B$503,_calc!$E$299))=0,"",INDEX('Dealer pipeline'!$B$4:$B$503,_calc!$E$299))&amp;". ")&amp;IF(LEN(IF(LEN(INDEX('Dealer pipeline'!$D$4:$D$503,_calc!$E$299))=0,"",INDEX('Dealer pipeline'!$D$4:$D$503,_calc!$E$299)))=0,"","Serial: "&amp;IF(LEN(INDEX('Dealer pipeline'!$D$4:$D$503,_calc!$E$299))=0,"",INDEX('Dealer pipeline'!$D$4:$D$503,_calc!$E$299))&amp;". ")&amp;IF(LEN(IF(ISNUMBER(INDEX('Dealer pipeline'!$J$4:$J$503,_calc!$E$299)),TEXT(INDEX('Dealer pipeline'!$J$4:$J$503,_calc!$E$299),"yyyy-mm-dd"),""))=0,"","Parts end: "&amp;IF(ISNUMBER(INDEX('Dealer pipeline'!$J$4:$J$503,_calc!$E$299)),TEXT(INDEX('Dealer pipeline'!$J$4:$J$503,_calc!$E$299),"yyyy-mm-dd"),"")&amp;". ")&amp;IF(LEN(IF(ISNUMBER(INDEX('Dealer pipeline'!$L$4:$L$503,_calc!$E$299)),TEXT(INDEX('Dealer pipeline'!$L$4:$L$503,_calc!$E$299),"yyyy-mm-dd"),""))=0,"","Labor end: "&amp;IF(ISNUMBER(INDEX('Dealer pipeline'!$L$4:$L$503,_calc!$E$299)),TEXT(INDEX('Dealer pipeline'!$L$4:$L$503,_calc!$E$299),"yyyy-mm-dd"),"")&amp;". ")&amp;IF(LEN(IF(LEN(INDEX('Dealer pipeline'!$Q$4:$Q$503,_calc!$E$299))=0,"",INDEX('Dealer pipeline'!$Q$4:$Q$503,_calc!$E$299)))=0,"","Status: "&amp;IF(LEN(INDEX('Dealer pipeline'!$Q$4:$Q$503,_calc!$E$299))=0,"",INDEX('Dealer pipeline'!$Q$4:$Q$503,_calc!$E$299))&amp;". ")&amp;IF(LEN(IF(LEN(INDEX('Dealer pipeline'!$P$4:$P$503,_calc!$E$299))=0,"",INDEX('Dealer pipeline'!$P$4:$P$503,_calc!$E$299)))=0,"","Last touch: "&amp;IF(LEN(INDEX('Dealer pipeline'!$P$4:$P$503,_calc!$E$299))=0,"",INDEX('Dealer pipeline'!$P$4:$P$503,_calc!$E$299))&amp;". ")&amp;IF(LEN(IF(LEN(INDEX('Dealer pipeline'!$R$4:$R$503,_calc!$E$299))=0,"",INDEX('Dealer pipeline'!$R$4:$R$503,_calc!$E$299)))=0,"","Owner: "&amp;IF(LEN(INDEX('Dealer pipeline'!$R$4:$R$503,_calc!$E$299))=0,"",INDEX('Dealer pipeline'!$R$4:$R$503,_calc!$E$299))&amp;". ")&amp;IF(LEN(IF(LEN(INDEX('Dealer pipeline'!$S$4:$S$503,_calc!$E$299))=0,"",INDEX('Dealer pipeline'!$S$4:$S$503,_calc!$E$299)))=0,"","Backup: "&amp;IF(LEN(INDEX('Dealer pipeline'!$S$4:$S$503,_calc!$E$299))=0,"",INDEX('Dealer pipeline'!$S$4:$S$503,_calc!$E$299))&amp;". ")&amp;IF(LEN(IF(LEN(INDEX('Dealer pipeline'!$T$4:$T$503,_calc!$E$299))=0,"",INDEX('Dealer pipeline'!$T$4:$T$503,_calc!$E$299)))=0,"",IF(LEN(INDEX('Dealer pipeline'!$T$4:$T$503,_calc!$E$299))=0,"",INDEX('Dealer pipeline'!$T$4:$T$503,_calc!$E$299)))),TRIM(IF(LEN(IF(LEN(INDEX('My equipment'!$C$4:$C$503,(_calc!$E$299-500)))=0,"",INDEX('My equipment'!$C$4:$C$503,(_calc!$E$299-500))))=0,"","Model: "&amp;IF(LEN(INDEX('My equipment'!$C$4:$C$503,(_calc!$E$299-500)))=0,"",INDEX('My equipment'!$C$4:$C$503,(_calc!$E$299-500)))&amp;". ")&amp;IF(LEN(IF(LEN(INDEX('My equipment'!$D$4:$D$503,(_calc!$E$299-500)))=0,"",INDEX('My equipment'!$D$4:$D$503,(_calc!$E$299-500))))=0,"","Serial: "&amp;IF(LEN(INDEX('My equipment'!$D$4:$D$503,(_calc!$E$299-500)))=0,"",INDEX('My equipment'!$D$4:$D$503,(_calc!$E$299-500)))&amp;". ")&amp;IF(LEN(IF(ISNUMBER(INDEX('My equipment'!$J$4:$J$503,(_calc!$E$299-500))),TEXT(INDEX('My equipment'!$J$4:$J$503,(_calc!$E$299-500)),"yyyy-mm-dd"),""))=0,"","Parts end: "&amp;IF(ISNUMBER(INDEX('My equipment'!$J$4:$J$503,(_calc!$E$299-500))),TEXT(INDEX('My equipment'!$J$4:$J$503,(_calc!$E$299-500)),"yyyy-mm-dd"),"")&amp;". ")&amp;IF(LEN(IF(ISNUMBER(INDEX('My equipment'!$L$4:$L$503,(_calc!$E$299-500))),TEXT(INDEX('My equipment'!$L$4:$L$503,(_calc!$E$299-500)),"yyyy-mm-dd"),""))=0,"","Labor end: "&amp;IF(ISNUMBER(INDEX('My equipment'!$L$4:$L$503,(_calc!$E$299-500))),TEXT(INDEX('My equipment'!$L$4:$L$503,(_calc!$E$299-500)),"yyyy-mm-dd"),"")&amp;". ")&amp;IF(LEN(IF(ISNUMBER(INDEX('My equipment'!$P$4:$P$503,(_calc!$E$299-500))),TEXT(INDEX('My equipment'!$P$4:$P$503,(_calc!$E$299-500)),"yyyy-mm-dd"),""))=0,"","Check by: "&amp;IF(ISNUMBER(INDEX('My equipment'!$P$4:$P$503,(_calc!$E$299-500))),TEXT(INDEX('My equipment'!$P$4:$P$503,(_calc!$E$299-500)),"yyyy-mm-dd"),"")&amp;". ")&amp;IF(LEN(IF(LEN(INDEX('My equipment'!$Q$4:$Q$503,(_calc!$E$299-500)))=0,"",INDEX('My equipment'!$Q$4:$Q$503,(_calc!$E$299-500))))=0,"","Claim status: "&amp;IF(LEN(INDEX('My equipment'!$Q$4:$Q$503,(_calc!$E$299-500)))=0,"",INDEX('My equipment'!$Q$4:$Q$503,(_calc!$E$299-500)))&amp;". ")&amp;IF(LEN(IF(LEN(INDEX('My equipment'!$R$4:$R$503,(_calc!$E$299-500)))=0,"",INDEX('My equipment'!$R$4:$R$503,(_calc!$E$299-500))))=0,"","Claims contact: "&amp;IF(LEN(INDEX('My equipment'!$R$4:$R$503,(_calc!$E$299-500)))=0,"",INDEX('My equipment'!$R$4:$R$503,(_calc!$E$299-500)))&amp;". ")&amp;IF(LEN(IF(LEN(INDEX('My equipment'!$S$4:$S$503,(_calc!$E$299-500)))=0,"",INDEX('My equipment'!$S$4:$S$503,(_calc!$E$299-500))))=0,"","Claims email: "&amp;IF(LEN(INDEX('My equipment'!$S$4:$S$503,(_calc!$E$299-500)))=0,"",INDEX('My equipment'!$S$4:$S$503,(_calc!$E$299-500)))&amp;". ")&amp;IF(LEN(IF(LEN(INDEX('My equipment'!$U$4:$U$503,(_calc!$E$299-500)))=0,"",INDEX('My equipment'!$U$4:$U$503,(_calc!$E$299-500))))=0,"","Registered: "&amp;IF(LEN(INDEX('My equipment'!$U$4:$U$503,(_calc!$E$299-500)))=0,"",INDEX('My equipment'!$U$4:$U$503,(_calc!$E$299-500)))&amp;". ")&amp;IF(LEN(IF(LEN(INDEX('My equipment'!$V$4:$V$503,(_calc!$E$299-500)))=0,"",INDEX('My equipment'!$V$4:$V$503,(_calc!$E$299-500))))=0,"","Proof on file: "&amp;IF(LEN(INDEX('My equipment'!$V$4:$V$503,(_calc!$E$299-500)))=0,"",INDEX('My equipment'!$V$4:$V$503,(_calc!$E$299-500)))&amp;". ")&amp;IF(LEN(IF(LEN(INDEX('My equipment'!$W$4:$W$503,(_calc!$E$299-500)))=0,"",INDEX('My equipment'!$W$4:$W$503,(_calc!$E$299-500))))=0,"","Claim ref: "&amp;IF(LEN(INDEX('My equipment'!$W$4:$W$503,(_calc!$E$299-500)))=0,"",INDEX('My equipment'!$W$4:$W$503,(_calc!$E$299-500)))&amp;". ")&amp;IF(LEN(IF(LEN(INDEX('My equipment'!$Y$4:$Y$503,(_calc!$E$299-500)))=0,"",INDEX('My equipment'!$Y$4:$Y$503,(_calc!$E$299-500))))=0,"",IF(LEN(INDEX('My equipment'!$Y$4:$Y$503,(_calc!$E$299-500)))=0,"",INDEX('My equipment'!$Y$4:$Y$503,(_calc!$E$299-500)))))))</f>
        <v/>
      </c>
      <c r="G297" s="54">
        <f>IF(_calc!$E$299="","",IF(_calc!$E$299&lt;=500,"",IF(LEN(INDEX('My equipment'!$X$4:$X$503,(_calc!$E$299-500)))=0,"",INDEX('My equipment'!$X$4:$X$503,(_calc!$E$299-500)))))</f>
        <v/>
      </c>
      <c r="K297" s="54">
        <f>IF(_calc!$E$299="","",IF(_calc!$E$299&lt;=500,"",IF(LEN(INDEX('My equipment'!$T$4:$T$503,(_calc!$E$299-500)))=0,"",INDEX('My equipment'!$T$4:$T$503,(_calc!$E$299-500)))))</f>
        <v/>
      </c>
    </row>
    <row r="298">
      <c r="A298" s="54">
        <f>IF(_calc!$E$300="","",IF(_calc!$E$300&lt;=500,"Warranty – "&amp;IF(LEN(INDEX('Dealer pipeline'!$C$4:$C$503,_calc!$E$300))=0,"",INDEX('Dealer pipeline'!$C$4:$C$503,_calc!$E$300))&amp;" – "&amp;IF(LEN(INDEX('Dealer pipeline'!$D$4:$D$503,_calc!$E$300))=0,"",INDEX('Dealer pipeline'!$D$4:$D$503,_calc!$E$300))&amp;" – "&amp;IF(LEN(INDEX('Dealer pipeline'!$A$4:$A$503,_calc!$E$300))=0,"",INDEX('Dealer pipeline'!$A$4:$A$503,_calc!$E$300)),"Warranty – "&amp;IF(LEN(INDEX('My equipment'!$A$4:$A$503,(_calc!$E$300-500)))=0,"",INDEX('My equipment'!$A$4:$A$503,(_calc!$E$300-500)))&amp;" – "&amp;IF(LEN(INDEX('My equipment'!$D$4:$D$503,(_calc!$E$300-500)))=0,"",INDEX('My equipment'!$D$4:$D$503,(_calc!$E$300-500)))))</f>
        <v/>
      </c>
      <c r="B298" s="54">
        <f>IF(_calc!$E$300="","",IF(_calc!$E$300&lt;=500,IF(ISNUMBER(INDEX('Dealer pipeline'!$M$4:$M$503,_calc!$E$300)),TEXT(INDEX('Dealer pipeline'!$M$4:$M$503,_calc!$E$300),"yyyy-mm-dd"),""),IF(ISNUMBER(INDEX('My equipment'!$M$4:$M$503,(_calc!$E$300-500))),TEXT(INDEX('My equipment'!$M$4:$M$503,(_calc!$E$300-500)),"yyyy-mm-dd"),"")))</f>
        <v/>
      </c>
      <c r="C298" s="54">
        <f>IF(_calc!$E$300="","",IF(_calc!$E$300&lt;=500,"Warranty","Warranty"))</f>
        <v/>
      </c>
      <c r="D298" s="54">
        <f>IF(_calc!$E$300="","",IF(_calc!$E$300&lt;=500,IF(ISNUMBER(INDEX('Dealer pipeline'!$H$4:$H$503,_calc!$E$300)),TEXT(INDEX('Dealer pipeline'!$H$4:$H$503,_calc!$E$300),"yyyy-mm-dd"),""),IF(ISNUMBER(INDEX('My equipment'!$H$4:$H$503,(_calc!$E$300-500))),TEXT(INDEX('My equipment'!$H$4:$H$503,(_calc!$E$300-500)),"yyyy-mm-dd"),"")))</f>
        <v/>
      </c>
      <c r="F298" s="54">
        <f>IF(_calc!$E$300="","",IF(_calc!$E$300&lt;=500,TRIM(IF(LEN(IF(LEN(INDEX('Dealer pipeline'!$A$4:$A$503,_calc!$E$300))=0,"",INDEX('Dealer pipeline'!$A$4:$A$503,_calc!$E$300)))=0,"","Customer: "&amp;IF(LEN(INDEX('Dealer pipeline'!$A$4:$A$503,_calc!$E$300))=0,"",INDEX('Dealer pipeline'!$A$4:$A$503,_calc!$E$300))&amp;". ")&amp;IF(LEN(IF(LEN(INDEX('Dealer pipeline'!$B$4:$B$503,_calc!$E$300))=0,"",INDEX('Dealer pipeline'!$B$4:$B$503,_calc!$E$300)))=0,"","Contact: "&amp;IF(LEN(INDEX('Dealer pipeline'!$B$4:$B$503,_calc!$E$300))=0,"",INDEX('Dealer pipeline'!$B$4:$B$503,_calc!$E$300))&amp;". ")&amp;IF(LEN(IF(LEN(INDEX('Dealer pipeline'!$D$4:$D$503,_calc!$E$300))=0,"",INDEX('Dealer pipeline'!$D$4:$D$503,_calc!$E$300)))=0,"","Serial: "&amp;IF(LEN(INDEX('Dealer pipeline'!$D$4:$D$503,_calc!$E$300))=0,"",INDEX('Dealer pipeline'!$D$4:$D$503,_calc!$E$300))&amp;". ")&amp;IF(LEN(IF(ISNUMBER(INDEX('Dealer pipeline'!$J$4:$J$503,_calc!$E$300)),TEXT(INDEX('Dealer pipeline'!$J$4:$J$503,_calc!$E$300),"yyyy-mm-dd"),""))=0,"","Parts end: "&amp;IF(ISNUMBER(INDEX('Dealer pipeline'!$J$4:$J$503,_calc!$E$300)),TEXT(INDEX('Dealer pipeline'!$J$4:$J$503,_calc!$E$300),"yyyy-mm-dd"),"")&amp;". ")&amp;IF(LEN(IF(ISNUMBER(INDEX('Dealer pipeline'!$L$4:$L$503,_calc!$E$300)),TEXT(INDEX('Dealer pipeline'!$L$4:$L$503,_calc!$E$300),"yyyy-mm-dd"),""))=0,"","Labor end: "&amp;IF(ISNUMBER(INDEX('Dealer pipeline'!$L$4:$L$503,_calc!$E$300)),TEXT(INDEX('Dealer pipeline'!$L$4:$L$503,_calc!$E$300),"yyyy-mm-dd"),"")&amp;". ")&amp;IF(LEN(IF(LEN(INDEX('Dealer pipeline'!$Q$4:$Q$503,_calc!$E$300))=0,"",INDEX('Dealer pipeline'!$Q$4:$Q$503,_calc!$E$300)))=0,"","Status: "&amp;IF(LEN(INDEX('Dealer pipeline'!$Q$4:$Q$503,_calc!$E$300))=0,"",INDEX('Dealer pipeline'!$Q$4:$Q$503,_calc!$E$300))&amp;". ")&amp;IF(LEN(IF(LEN(INDEX('Dealer pipeline'!$P$4:$P$503,_calc!$E$300))=0,"",INDEX('Dealer pipeline'!$P$4:$P$503,_calc!$E$300)))=0,"","Last touch: "&amp;IF(LEN(INDEX('Dealer pipeline'!$P$4:$P$503,_calc!$E$300))=0,"",INDEX('Dealer pipeline'!$P$4:$P$503,_calc!$E$300))&amp;". ")&amp;IF(LEN(IF(LEN(INDEX('Dealer pipeline'!$R$4:$R$503,_calc!$E$300))=0,"",INDEX('Dealer pipeline'!$R$4:$R$503,_calc!$E$300)))=0,"","Owner: "&amp;IF(LEN(INDEX('Dealer pipeline'!$R$4:$R$503,_calc!$E$300))=0,"",INDEX('Dealer pipeline'!$R$4:$R$503,_calc!$E$300))&amp;". ")&amp;IF(LEN(IF(LEN(INDEX('Dealer pipeline'!$S$4:$S$503,_calc!$E$300))=0,"",INDEX('Dealer pipeline'!$S$4:$S$503,_calc!$E$300)))=0,"","Backup: "&amp;IF(LEN(INDEX('Dealer pipeline'!$S$4:$S$503,_calc!$E$300))=0,"",INDEX('Dealer pipeline'!$S$4:$S$503,_calc!$E$300))&amp;". ")&amp;IF(LEN(IF(LEN(INDEX('Dealer pipeline'!$T$4:$T$503,_calc!$E$300))=0,"",INDEX('Dealer pipeline'!$T$4:$T$503,_calc!$E$300)))=0,"",IF(LEN(INDEX('Dealer pipeline'!$T$4:$T$503,_calc!$E$300))=0,"",INDEX('Dealer pipeline'!$T$4:$T$503,_calc!$E$300)))),TRIM(IF(LEN(IF(LEN(INDEX('My equipment'!$C$4:$C$503,(_calc!$E$300-500)))=0,"",INDEX('My equipment'!$C$4:$C$503,(_calc!$E$300-500))))=0,"","Model: "&amp;IF(LEN(INDEX('My equipment'!$C$4:$C$503,(_calc!$E$300-500)))=0,"",INDEX('My equipment'!$C$4:$C$503,(_calc!$E$300-500)))&amp;". ")&amp;IF(LEN(IF(LEN(INDEX('My equipment'!$D$4:$D$503,(_calc!$E$300-500)))=0,"",INDEX('My equipment'!$D$4:$D$503,(_calc!$E$300-500))))=0,"","Serial: "&amp;IF(LEN(INDEX('My equipment'!$D$4:$D$503,(_calc!$E$300-500)))=0,"",INDEX('My equipment'!$D$4:$D$503,(_calc!$E$300-500)))&amp;". ")&amp;IF(LEN(IF(ISNUMBER(INDEX('My equipment'!$J$4:$J$503,(_calc!$E$300-500))),TEXT(INDEX('My equipment'!$J$4:$J$503,(_calc!$E$300-500)),"yyyy-mm-dd"),""))=0,"","Parts end: "&amp;IF(ISNUMBER(INDEX('My equipment'!$J$4:$J$503,(_calc!$E$300-500))),TEXT(INDEX('My equipment'!$J$4:$J$503,(_calc!$E$300-500)),"yyyy-mm-dd"),"")&amp;". ")&amp;IF(LEN(IF(ISNUMBER(INDEX('My equipment'!$L$4:$L$503,(_calc!$E$300-500))),TEXT(INDEX('My equipment'!$L$4:$L$503,(_calc!$E$300-500)),"yyyy-mm-dd"),""))=0,"","Labor end: "&amp;IF(ISNUMBER(INDEX('My equipment'!$L$4:$L$503,(_calc!$E$300-500))),TEXT(INDEX('My equipment'!$L$4:$L$503,(_calc!$E$300-500)),"yyyy-mm-dd"),"")&amp;". ")&amp;IF(LEN(IF(ISNUMBER(INDEX('My equipment'!$P$4:$P$503,(_calc!$E$300-500))),TEXT(INDEX('My equipment'!$P$4:$P$503,(_calc!$E$300-500)),"yyyy-mm-dd"),""))=0,"","Check by: "&amp;IF(ISNUMBER(INDEX('My equipment'!$P$4:$P$503,(_calc!$E$300-500))),TEXT(INDEX('My equipment'!$P$4:$P$503,(_calc!$E$300-500)),"yyyy-mm-dd"),"")&amp;". ")&amp;IF(LEN(IF(LEN(INDEX('My equipment'!$Q$4:$Q$503,(_calc!$E$300-500)))=0,"",INDEX('My equipment'!$Q$4:$Q$503,(_calc!$E$300-500))))=0,"","Claim status: "&amp;IF(LEN(INDEX('My equipment'!$Q$4:$Q$503,(_calc!$E$300-500)))=0,"",INDEX('My equipment'!$Q$4:$Q$503,(_calc!$E$300-500)))&amp;". ")&amp;IF(LEN(IF(LEN(INDEX('My equipment'!$R$4:$R$503,(_calc!$E$300-500)))=0,"",INDEX('My equipment'!$R$4:$R$503,(_calc!$E$300-500))))=0,"","Claims contact: "&amp;IF(LEN(INDEX('My equipment'!$R$4:$R$503,(_calc!$E$300-500)))=0,"",INDEX('My equipment'!$R$4:$R$503,(_calc!$E$300-500)))&amp;". ")&amp;IF(LEN(IF(LEN(INDEX('My equipment'!$S$4:$S$503,(_calc!$E$300-500)))=0,"",INDEX('My equipment'!$S$4:$S$503,(_calc!$E$300-500))))=0,"","Claims email: "&amp;IF(LEN(INDEX('My equipment'!$S$4:$S$503,(_calc!$E$300-500)))=0,"",INDEX('My equipment'!$S$4:$S$503,(_calc!$E$300-500)))&amp;". ")&amp;IF(LEN(IF(LEN(INDEX('My equipment'!$U$4:$U$503,(_calc!$E$300-500)))=0,"",INDEX('My equipment'!$U$4:$U$503,(_calc!$E$300-500))))=0,"","Registered: "&amp;IF(LEN(INDEX('My equipment'!$U$4:$U$503,(_calc!$E$300-500)))=0,"",INDEX('My equipment'!$U$4:$U$503,(_calc!$E$300-500)))&amp;". ")&amp;IF(LEN(IF(LEN(INDEX('My equipment'!$V$4:$V$503,(_calc!$E$300-500)))=0,"",INDEX('My equipment'!$V$4:$V$503,(_calc!$E$300-500))))=0,"","Proof on file: "&amp;IF(LEN(INDEX('My equipment'!$V$4:$V$503,(_calc!$E$300-500)))=0,"",INDEX('My equipment'!$V$4:$V$503,(_calc!$E$300-500)))&amp;". ")&amp;IF(LEN(IF(LEN(INDEX('My equipment'!$W$4:$W$503,(_calc!$E$300-500)))=0,"",INDEX('My equipment'!$W$4:$W$503,(_calc!$E$300-500))))=0,"","Claim ref: "&amp;IF(LEN(INDEX('My equipment'!$W$4:$W$503,(_calc!$E$300-500)))=0,"",INDEX('My equipment'!$W$4:$W$503,(_calc!$E$300-500)))&amp;". ")&amp;IF(LEN(IF(LEN(INDEX('My equipment'!$Y$4:$Y$503,(_calc!$E$300-500)))=0,"",INDEX('My equipment'!$Y$4:$Y$503,(_calc!$E$300-500))))=0,"",IF(LEN(INDEX('My equipment'!$Y$4:$Y$503,(_calc!$E$300-500)))=0,"",INDEX('My equipment'!$Y$4:$Y$503,(_calc!$E$300-500)))))))</f>
        <v/>
      </c>
      <c r="G298" s="54">
        <f>IF(_calc!$E$300="","",IF(_calc!$E$300&lt;=500,"",IF(LEN(INDEX('My equipment'!$X$4:$X$503,(_calc!$E$300-500)))=0,"",INDEX('My equipment'!$X$4:$X$503,(_calc!$E$300-500)))))</f>
        <v/>
      </c>
      <c r="K298" s="54">
        <f>IF(_calc!$E$300="","",IF(_calc!$E$300&lt;=500,"",IF(LEN(INDEX('My equipment'!$T$4:$T$503,(_calc!$E$300-500)))=0,"",INDEX('My equipment'!$T$4:$T$503,(_calc!$E$300-500)))))</f>
        <v/>
      </c>
    </row>
    <row r="299">
      <c r="A299" s="54">
        <f>IF(_calc!$E$301="","",IF(_calc!$E$301&lt;=500,"Warranty – "&amp;IF(LEN(INDEX('Dealer pipeline'!$C$4:$C$503,_calc!$E$301))=0,"",INDEX('Dealer pipeline'!$C$4:$C$503,_calc!$E$301))&amp;" – "&amp;IF(LEN(INDEX('Dealer pipeline'!$D$4:$D$503,_calc!$E$301))=0,"",INDEX('Dealer pipeline'!$D$4:$D$503,_calc!$E$301))&amp;" – "&amp;IF(LEN(INDEX('Dealer pipeline'!$A$4:$A$503,_calc!$E$301))=0,"",INDEX('Dealer pipeline'!$A$4:$A$503,_calc!$E$301)),"Warranty – "&amp;IF(LEN(INDEX('My equipment'!$A$4:$A$503,(_calc!$E$301-500)))=0,"",INDEX('My equipment'!$A$4:$A$503,(_calc!$E$301-500)))&amp;" – "&amp;IF(LEN(INDEX('My equipment'!$D$4:$D$503,(_calc!$E$301-500)))=0,"",INDEX('My equipment'!$D$4:$D$503,(_calc!$E$301-500)))))</f>
        <v/>
      </c>
      <c r="B299" s="54">
        <f>IF(_calc!$E$301="","",IF(_calc!$E$301&lt;=500,IF(ISNUMBER(INDEX('Dealer pipeline'!$M$4:$M$503,_calc!$E$301)),TEXT(INDEX('Dealer pipeline'!$M$4:$M$503,_calc!$E$301),"yyyy-mm-dd"),""),IF(ISNUMBER(INDEX('My equipment'!$M$4:$M$503,(_calc!$E$301-500))),TEXT(INDEX('My equipment'!$M$4:$M$503,(_calc!$E$301-500)),"yyyy-mm-dd"),"")))</f>
        <v/>
      </c>
      <c r="C299" s="54">
        <f>IF(_calc!$E$301="","",IF(_calc!$E$301&lt;=500,"Warranty","Warranty"))</f>
        <v/>
      </c>
      <c r="D299" s="54">
        <f>IF(_calc!$E$301="","",IF(_calc!$E$301&lt;=500,IF(ISNUMBER(INDEX('Dealer pipeline'!$H$4:$H$503,_calc!$E$301)),TEXT(INDEX('Dealer pipeline'!$H$4:$H$503,_calc!$E$301),"yyyy-mm-dd"),""),IF(ISNUMBER(INDEX('My equipment'!$H$4:$H$503,(_calc!$E$301-500))),TEXT(INDEX('My equipment'!$H$4:$H$503,(_calc!$E$301-500)),"yyyy-mm-dd"),"")))</f>
        <v/>
      </c>
      <c r="F299" s="54">
        <f>IF(_calc!$E$301="","",IF(_calc!$E$301&lt;=500,TRIM(IF(LEN(IF(LEN(INDEX('Dealer pipeline'!$A$4:$A$503,_calc!$E$301))=0,"",INDEX('Dealer pipeline'!$A$4:$A$503,_calc!$E$301)))=0,"","Customer: "&amp;IF(LEN(INDEX('Dealer pipeline'!$A$4:$A$503,_calc!$E$301))=0,"",INDEX('Dealer pipeline'!$A$4:$A$503,_calc!$E$301))&amp;". ")&amp;IF(LEN(IF(LEN(INDEX('Dealer pipeline'!$B$4:$B$503,_calc!$E$301))=0,"",INDEX('Dealer pipeline'!$B$4:$B$503,_calc!$E$301)))=0,"","Contact: "&amp;IF(LEN(INDEX('Dealer pipeline'!$B$4:$B$503,_calc!$E$301))=0,"",INDEX('Dealer pipeline'!$B$4:$B$503,_calc!$E$301))&amp;". ")&amp;IF(LEN(IF(LEN(INDEX('Dealer pipeline'!$D$4:$D$503,_calc!$E$301))=0,"",INDEX('Dealer pipeline'!$D$4:$D$503,_calc!$E$301)))=0,"","Serial: "&amp;IF(LEN(INDEX('Dealer pipeline'!$D$4:$D$503,_calc!$E$301))=0,"",INDEX('Dealer pipeline'!$D$4:$D$503,_calc!$E$301))&amp;". ")&amp;IF(LEN(IF(ISNUMBER(INDEX('Dealer pipeline'!$J$4:$J$503,_calc!$E$301)),TEXT(INDEX('Dealer pipeline'!$J$4:$J$503,_calc!$E$301),"yyyy-mm-dd"),""))=0,"","Parts end: "&amp;IF(ISNUMBER(INDEX('Dealer pipeline'!$J$4:$J$503,_calc!$E$301)),TEXT(INDEX('Dealer pipeline'!$J$4:$J$503,_calc!$E$301),"yyyy-mm-dd"),"")&amp;". ")&amp;IF(LEN(IF(ISNUMBER(INDEX('Dealer pipeline'!$L$4:$L$503,_calc!$E$301)),TEXT(INDEX('Dealer pipeline'!$L$4:$L$503,_calc!$E$301),"yyyy-mm-dd"),""))=0,"","Labor end: "&amp;IF(ISNUMBER(INDEX('Dealer pipeline'!$L$4:$L$503,_calc!$E$301)),TEXT(INDEX('Dealer pipeline'!$L$4:$L$503,_calc!$E$301),"yyyy-mm-dd"),"")&amp;". ")&amp;IF(LEN(IF(LEN(INDEX('Dealer pipeline'!$Q$4:$Q$503,_calc!$E$301))=0,"",INDEX('Dealer pipeline'!$Q$4:$Q$503,_calc!$E$301)))=0,"","Status: "&amp;IF(LEN(INDEX('Dealer pipeline'!$Q$4:$Q$503,_calc!$E$301))=0,"",INDEX('Dealer pipeline'!$Q$4:$Q$503,_calc!$E$301))&amp;". ")&amp;IF(LEN(IF(LEN(INDEX('Dealer pipeline'!$P$4:$P$503,_calc!$E$301))=0,"",INDEX('Dealer pipeline'!$P$4:$P$503,_calc!$E$301)))=0,"","Last touch: "&amp;IF(LEN(INDEX('Dealer pipeline'!$P$4:$P$503,_calc!$E$301))=0,"",INDEX('Dealer pipeline'!$P$4:$P$503,_calc!$E$301))&amp;". ")&amp;IF(LEN(IF(LEN(INDEX('Dealer pipeline'!$R$4:$R$503,_calc!$E$301))=0,"",INDEX('Dealer pipeline'!$R$4:$R$503,_calc!$E$301)))=0,"","Owner: "&amp;IF(LEN(INDEX('Dealer pipeline'!$R$4:$R$503,_calc!$E$301))=0,"",INDEX('Dealer pipeline'!$R$4:$R$503,_calc!$E$301))&amp;". ")&amp;IF(LEN(IF(LEN(INDEX('Dealer pipeline'!$S$4:$S$503,_calc!$E$301))=0,"",INDEX('Dealer pipeline'!$S$4:$S$503,_calc!$E$301)))=0,"","Backup: "&amp;IF(LEN(INDEX('Dealer pipeline'!$S$4:$S$503,_calc!$E$301))=0,"",INDEX('Dealer pipeline'!$S$4:$S$503,_calc!$E$301))&amp;". ")&amp;IF(LEN(IF(LEN(INDEX('Dealer pipeline'!$T$4:$T$503,_calc!$E$301))=0,"",INDEX('Dealer pipeline'!$T$4:$T$503,_calc!$E$301)))=0,"",IF(LEN(INDEX('Dealer pipeline'!$T$4:$T$503,_calc!$E$301))=0,"",INDEX('Dealer pipeline'!$T$4:$T$503,_calc!$E$301)))),TRIM(IF(LEN(IF(LEN(INDEX('My equipment'!$C$4:$C$503,(_calc!$E$301-500)))=0,"",INDEX('My equipment'!$C$4:$C$503,(_calc!$E$301-500))))=0,"","Model: "&amp;IF(LEN(INDEX('My equipment'!$C$4:$C$503,(_calc!$E$301-500)))=0,"",INDEX('My equipment'!$C$4:$C$503,(_calc!$E$301-500)))&amp;". ")&amp;IF(LEN(IF(LEN(INDEX('My equipment'!$D$4:$D$503,(_calc!$E$301-500)))=0,"",INDEX('My equipment'!$D$4:$D$503,(_calc!$E$301-500))))=0,"","Serial: "&amp;IF(LEN(INDEX('My equipment'!$D$4:$D$503,(_calc!$E$301-500)))=0,"",INDEX('My equipment'!$D$4:$D$503,(_calc!$E$301-500)))&amp;". ")&amp;IF(LEN(IF(ISNUMBER(INDEX('My equipment'!$J$4:$J$503,(_calc!$E$301-500))),TEXT(INDEX('My equipment'!$J$4:$J$503,(_calc!$E$301-500)),"yyyy-mm-dd"),""))=0,"","Parts end: "&amp;IF(ISNUMBER(INDEX('My equipment'!$J$4:$J$503,(_calc!$E$301-500))),TEXT(INDEX('My equipment'!$J$4:$J$503,(_calc!$E$301-500)),"yyyy-mm-dd"),"")&amp;". ")&amp;IF(LEN(IF(ISNUMBER(INDEX('My equipment'!$L$4:$L$503,(_calc!$E$301-500))),TEXT(INDEX('My equipment'!$L$4:$L$503,(_calc!$E$301-500)),"yyyy-mm-dd"),""))=0,"","Labor end: "&amp;IF(ISNUMBER(INDEX('My equipment'!$L$4:$L$503,(_calc!$E$301-500))),TEXT(INDEX('My equipment'!$L$4:$L$503,(_calc!$E$301-500)),"yyyy-mm-dd"),"")&amp;". ")&amp;IF(LEN(IF(ISNUMBER(INDEX('My equipment'!$P$4:$P$503,(_calc!$E$301-500))),TEXT(INDEX('My equipment'!$P$4:$P$503,(_calc!$E$301-500)),"yyyy-mm-dd"),""))=0,"","Check by: "&amp;IF(ISNUMBER(INDEX('My equipment'!$P$4:$P$503,(_calc!$E$301-500))),TEXT(INDEX('My equipment'!$P$4:$P$503,(_calc!$E$301-500)),"yyyy-mm-dd"),"")&amp;". ")&amp;IF(LEN(IF(LEN(INDEX('My equipment'!$Q$4:$Q$503,(_calc!$E$301-500)))=0,"",INDEX('My equipment'!$Q$4:$Q$503,(_calc!$E$301-500))))=0,"","Claim status: "&amp;IF(LEN(INDEX('My equipment'!$Q$4:$Q$503,(_calc!$E$301-500)))=0,"",INDEX('My equipment'!$Q$4:$Q$503,(_calc!$E$301-500)))&amp;". ")&amp;IF(LEN(IF(LEN(INDEX('My equipment'!$R$4:$R$503,(_calc!$E$301-500)))=0,"",INDEX('My equipment'!$R$4:$R$503,(_calc!$E$301-500))))=0,"","Claims contact: "&amp;IF(LEN(INDEX('My equipment'!$R$4:$R$503,(_calc!$E$301-500)))=0,"",INDEX('My equipment'!$R$4:$R$503,(_calc!$E$301-500)))&amp;". ")&amp;IF(LEN(IF(LEN(INDEX('My equipment'!$S$4:$S$503,(_calc!$E$301-500)))=0,"",INDEX('My equipment'!$S$4:$S$503,(_calc!$E$301-500))))=0,"","Claims email: "&amp;IF(LEN(INDEX('My equipment'!$S$4:$S$503,(_calc!$E$301-500)))=0,"",INDEX('My equipment'!$S$4:$S$503,(_calc!$E$301-500)))&amp;". ")&amp;IF(LEN(IF(LEN(INDEX('My equipment'!$U$4:$U$503,(_calc!$E$301-500)))=0,"",INDEX('My equipment'!$U$4:$U$503,(_calc!$E$301-500))))=0,"","Registered: "&amp;IF(LEN(INDEX('My equipment'!$U$4:$U$503,(_calc!$E$301-500)))=0,"",INDEX('My equipment'!$U$4:$U$503,(_calc!$E$301-500)))&amp;". ")&amp;IF(LEN(IF(LEN(INDEX('My equipment'!$V$4:$V$503,(_calc!$E$301-500)))=0,"",INDEX('My equipment'!$V$4:$V$503,(_calc!$E$301-500))))=0,"","Proof on file: "&amp;IF(LEN(INDEX('My equipment'!$V$4:$V$503,(_calc!$E$301-500)))=0,"",INDEX('My equipment'!$V$4:$V$503,(_calc!$E$301-500)))&amp;". ")&amp;IF(LEN(IF(LEN(INDEX('My equipment'!$W$4:$W$503,(_calc!$E$301-500)))=0,"",INDEX('My equipment'!$W$4:$W$503,(_calc!$E$301-500))))=0,"","Claim ref: "&amp;IF(LEN(INDEX('My equipment'!$W$4:$W$503,(_calc!$E$301-500)))=0,"",INDEX('My equipment'!$W$4:$W$503,(_calc!$E$301-500)))&amp;". ")&amp;IF(LEN(IF(LEN(INDEX('My equipment'!$Y$4:$Y$503,(_calc!$E$301-500)))=0,"",INDEX('My equipment'!$Y$4:$Y$503,(_calc!$E$301-500))))=0,"",IF(LEN(INDEX('My equipment'!$Y$4:$Y$503,(_calc!$E$301-500)))=0,"",INDEX('My equipment'!$Y$4:$Y$503,(_calc!$E$301-500)))))))</f>
        <v/>
      </c>
      <c r="G299" s="54">
        <f>IF(_calc!$E$301="","",IF(_calc!$E$301&lt;=500,"",IF(LEN(INDEX('My equipment'!$X$4:$X$503,(_calc!$E$301-500)))=0,"",INDEX('My equipment'!$X$4:$X$503,(_calc!$E$301-500)))))</f>
        <v/>
      </c>
      <c r="K299" s="54">
        <f>IF(_calc!$E$301="","",IF(_calc!$E$301&lt;=500,"",IF(LEN(INDEX('My equipment'!$T$4:$T$503,(_calc!$E$301-500)))=0,"",INDEX('My equipment'!$T$4:$T$503,(_calc!$E$301-500)))))</f>
        <v/>
      </c>
    </row>
    <row r="300">
      <c r="A300" s="54">
        <f>IF(_calc!$E$302="","",IF(_calc!$E$302&lt;=500,"Warranty – "&amp;IF(LEN(INDEX('Dealer pipeline'!$C$4:$C$503,_calc!$E$302))=0,"",INDEX('Dealer pipeline'!$C$4:$C$503,_calc!$E$302))&amp;" – "&amp;IF(LEN(INDEX('Dealer pipeline'!$D$4:$D$503,_calc!$E$302))=0,"",INDEX('Dealer pipeline'!$D$4:$D$503,_calc!$E$302))&amp;" – "&amp;IF(LEN(INDEX('Dealer pipeline'!$A$4:$A$503,_calc!$E$302))=0,"",INDEX('Dealer pipeline'!$A$4:$A$503,_calc!$E$302)),"Warranty – "&amp;IF(LEN(INDEX('My equipment'!$A$4:$A$503,(_calc!$E$302-500)))=0,"",INDEX('My equipment'!$A$4:$A$503,(_calc!$E$302-500)))&amp;" – "&amp;IF(LEN(INDEX('My equipment'!$D$4:$D$503,(_calc!$E$302-500)))=0,"",INDEX('My equipment'!$D$4:$D$503,(_calc!$E$302-500)))))</f>
        <v/>
      </c>
      <c r="B300" s="54">
        <f>IF(_calc!$E$302="","",IF(_calc!$E$302&lt;=500,IF(ISNUMBER(INDEX('Dealer pipeline'!$M$4:$M$503,_calc!$E$302)),TEXT(INDEX('Dealer pipeline'!$M$4:$M$503,_calc!$E$302),"yyyy-mm-dd"),""),IF(ISNUMBER(INDEX('My equipment'!$M$4:$M$503,(_calc!$E$302-500))),TEXT(INDEX('My equipment'!$M$4:$M$503,(_calc!$E$302-500)),"yyyy-mm-dd"),"")))</f>
        <v/>
      </c>
      <c r="C300" s="54">
        <f>IF(_calc!$E$302="","",IF(_calc!$E$302&lt;=500,"Warranty","Warranty"))</f>
        <v/>
      </c>
      <c r="D300" s="54">
        <f>IF(_calc!$E$302="","",IF(_calc!$E$302&lt;=500,IF(ISNUMBER(INDEX('Dealer pipeline'!$H$4:$H$503,_calc!$E$302)),TEXT(INDEX('Dealer pipeline'!$H$4:$H$503,_calc!$E$302),"yyyy-mm-dd"),""),IF(ISNUMBER(INDEX('My equipment'!$H$4:$H$503,(_calc!$E$302-500))),TEXT(INDEX('My equipment'!$H$4:$H$503,(_calc!$E$302-500)),"yyyy-mm-dd"),"")))</f>
        <v/>
      </c>
      <c r="F300" s="54">
        <f>IF(_calc!$E$302="","",IF(_calc!$E$302&lt;=500,TRIM(IF(LEN(IF(LEN(INDEX('Dealer pipeline'!$A$4:$A$503,_calc!$E$302))=0,"",INDEX('Dealer pipeline'!$A$4:$A$503,_calc!$E$302)))=0,"","Customer: "&amp;IF(LEN(INDEX('Dealer pipeline'!$A$4:$A$503,_calc!$E$302))=0,"",INDEX('Dealer pipeline'!$A$4:$A$503,_calc!$E$302))&amp;". ")&amp;IF(LEN(IF(LEN(INDEX('Dealer pipeline'!$B$4:$B$503,_calc!$E$302))=0,"",INDEX('Dealer pipeline'!$B$4:$B$503,_calc!$E$302)))=0,"","Contact: "&amp;IF(LEN(INDEX('Dealer pipeline'!$B$4:$B$503,_calc!$E$302))=0,"",INDEX('Dealer pipeline'!$B$4:$B$503,_calc!$E$302))&amp;". ")&amp;IF(LEN(IF(LEN(INDEX('Dealer pipeline'!$D$4:$D$503,_calc!$E$302))=0,"",INDEX('Dealer pipeline'!$D$4:$D$503,_calc!$E$302)))=0,"","Serial: "&amp;IF(LEN(INDEX('Dealer pipeline'!$D$4:$D$503,_calc!$E$302))=0,"",INDEX('Dealer pipeline'!$D$4:$D$503,_calc!$E$302))&amp;". ")&amp;IF(LEN(IF(ISNUMBER(INDEX('Dealer pipeline'!$J$4:$J$503,_calc!$E$302)),TEXT(INDEX('Dealer pipeline'!$J$4:$J$503,_calc!$E$302),"yyyy-mm-dd"),""))=0,"","Parts end: "&amp;IF(ISNUMBER(INDEX('Dealer pipeline'!$J$4:$J$503,_calc!$E$302)),TEXT(INDEX('Dealer pipeline'!$J$4:$J$503,_calc!$E$302),"yyyy-mm-dd"),"")&amp;". ")&amp;IF(LEN(IF(ISNUMBER(INDEX('Dealer pipeline'!$L$4:$L$503,_calc!$E$302)),TEXT(INDEX('Dealer pipeline'!$L$4:$L$503,_calc!$E$302),"yyyy-mm-dd"),""))=0,"","Labor end: "&amp;IF(ISNUMBER(INDEX('Dealer pipeline'!$L$4:$L$503,_calc!$E$302)),TEXT(INDEX('Dealer pipeline'!$L$4:$L$503,_calc!$E$302),"yyyy-mm-dd"),"")&amp;". ")&amp;IF(LEN(IF(LEN(INDEX('Dealer pipeline'!$Q$4:$Q$503,_calc!$E$302))=0,"",INDEX('Dealer pipeline'!$Q$4:$Q$503,_calc!$E$302)))=0,"","Status: "&amp;IF(LEN(INDEX('Dealer pipeline'!$Q$4:$Q$503,_calc!$E$302))=0,"",INDEX('Dealer pipeline'!$Q$4:$Q$503,_calc!$E$302))&amp;". ")&amp;IF(LEN(IF(LEN(INDEX('Dealer pipeline'!$P$4:$P$503,_calc!$E$302))=0,"",INDEX('Dealer pipeline'!$P$4:$P$503,_calc!$E$302)))=0,"","Last touch: "&amp;IF(LEN(INDEX('Dealer pipeline'!$P$4:$P$503,_calc!$E$302))=0,"",INDEX('Dealer pipeline'!$P$4:$P$503,_calc!$E$302))&amp;". ")&amp;IF(LEN(IF(LEN(INDEX('Dealer pipeline'!$R$4:$R$503,_calc!$E$302))=0,"",INDEX('Dealer pipeline'!$R$4:$R$503,_calc!$E$302)))=0,"","Owner: "&amp;IF(LEN(INDEX('Dealer pipeline'!$R$4:$R$503,_calc!$E$302))=0,"",INDEX('Dealer pipeline'!$R$4:$R$503,_calc!$E$302))&amp;". ")&amp;IF(LEN(IF(LEN(INDEX('Dealer pipeline'!$S$4:$S$503,_calc!$E$302))=0,"",INDEX('Dealer pipeline'!$S$4:$S$503,_calc!$E$302)))=0,"","Backup: "&amp;IF(LEN(INDEX('Dealer pipeline'!$S$4:$S$503,_calc!$E$302))=0,"",INDEX('Dealer pipeline'!$S$4:$S$503,_calc!$E$302))&amp;". ")&amp;IF(LEN(IF(LEN(INDEX('Dealer pipeline'!$T$4:$T$503,_calc!$E$302))=0,"",INDEX('Dealer pipeline'!$T$4:$T$503,_calc!$E$302)))=0,"",IF(LEN(INDEX('Dealer pipeline'!$T$4:$T$503,_calc!$E$302))=0,"",INDEX('Dealer pipeline'!$T$4:$T$503,_calc!$E$302)))),TRIM(IF(LEN(IF(LEN(INDEX('My equipment'!$C$4:$C$503,(_calc!$E$302-500)))=0,"",INDEX('My equipment'!$C$4:$C$503,(_calc!$E$302-500))))=0,"","Model: "&amp;IF(LEN(INDEX('My equipment'!$C$4:$C$503,(_calc!$E$302-500)))=0,"",INDEX('My equipment'!$C$4:$C$503,(_calc!$E$302-500)))&amp;". ")&amp;IF(LEN(IF(LEN(INDEX('My equipment'!$D$4:$D$503,(_calc!$E$302-500)))=0,"",INDEX('My equipment'!$D$4:$D$503,(_calc!$E$302-500))))=0,"","Serial: "&amp;IF(LEN(INDEX('My equipment'!$D$4:$D$503,(_calc!$E$302-500)))=0,"",INDEX('My equipment'!$D$4:$D$503,(_calc!$E$302-500)))&amp;". ")&amp;IF(LEN(IF(ISNUMBER(INDEX('My equipment'!$J$4:$J$503,(_calc!$E$302-500))),TEXT(INDEX('My equipment'!$J$4:$J$503,(_calc!$E$302-500)),"yyyy-mm-dd"),""))=0,"","Parts end: "&amp;IF(ISNUMBER(INDEX('My equipment'!$J$4:$J$503,(_calc!$E$302-500))),TEXT(INDEX('My equipment'!$J$4:$J$503,(_calc!$E$302-500)),"yyyy-mm-dd"),"")&amp;". ")&amp;IF(LEN(IF(ISNUMBER(INDEX('My equipment'!$L$4:$L$503,(_calc!$E$302-500))),TEXT(INDEX('My equipment'!$L$4:$L$503,(_calc!$E$302-500)),"yyyy-mm-dd"),""))=0,"","Labor end: "&amp;IF(ISNUMBER(INDEX('My equipment'!$L$4:$L$503,(_calc!$E$302-500))),TEXT(INDEX('My equipment'!$L$4:$L$503,(_calc!$E$302-500)),"yyyy-mm-dd"),"")&amp;". ")&amp;IF(LEN(IF(ISNUMBER(INDEX('My equipment'!$P$4:$P$503,(_calc!$E$302-500))),TEXT(INDEX('My equipment'!$P$4:$P$503,(_calc!$E$302-500)),"yyyy-mm-dd"),""))=0,"","Check by: "&amp;IF(ISNUMBER(INDEX('My equipment'!$P$4:$P$503,(_calc!$E$302-500))),TEXT(INDEX('My equipment'!$P$4:$P$503,(_calc!$E$302-500)),"yyyy-mm-dd"),"")&amp;". ")&amp;IF(LEN(IF(LEN(INDEX('My equipment'!$Q$4:$Q$503,(_calc!$E$302-500)))=0,"",INDEX('My equipment'!$Q$4:$Q$503,(_calc!$E$302-500))))=0,"","Claim status: "&amp;IF(LEN(INDEX('My equipment'!$Q$4:$Q$503,(_calc!$E$302-500)))=0,"",INDEX('My equipment'!$Q$4:$Q$503,(_calc!$E$302-500)))&amp;". ")&amp;IF(LEN(IF(LEN(INDEX('My equipment'!$R$4:$R$503,(_calc!$E$302-500)))=0,"",INDEX('My equipment'!$R$4:$R$503,(_calc!$E$302-500))))=0,"","Claims contact: "&amp;IF(LEN(INDEX('My equipment'!$R$4:$R$503,(_calc!$E$302-500)))=0,"",INDEX('My equipment'!$R$4:$R$503,(_calc!$E$302-500)))&amp;". ")&amp;IF(LEN(IF(LEN(INDEX('My equipment'!$S$4:$S$503,(_calc!$E$302-500)))=0,"",INDEX('My equipment'!$S$4:$S$503,(_calc!$E$302-500))))=0,"","Claims email: "&amp;IF(LEN(INDEX('My equipment'!$S$4:$S$503,(_calc!$E$302-500)))=0,"",INDEX('My equipment'!$S$4:$S$503,(_calc!$E$302-500)))&amp;". ")&amp;IF(LEN(IF(LEN(INDEX('My equipment'!$U$4:$U$503,(_calc!$E$302-500)))=0,"",INDEX('My equipment'!$U$4:$U$503,(_calc!$E$302-500))))=0,"","Registered: "&amp;IF(LEN(INDEX('My equipment'!$U$4:$U$503,(_calc!$E$302-500)))=0,"",INDEX('My equipment'!$U$4:$U$503,(_calc!$E$302-500)))&amp;". ")&amp;IF(LEN(IF(LEN(INDEX('My equipment'!$V$4:$V$503,(_calc!$E$302-500)))=0,"",INDEX('My equipment'!$V$4:$V$503,(_calc!$E$302-500))))=0,"","Proof on file: "&amp;IF(LEN(INDEX('My equipment'!$V$4:$V$503,(_calc!$E$302-500)))=0,"",INDEX('My equipment'!$V$4:$V$503,(_calc!$E$302-500)))&amp;". ")&amp;IF(LEN(IF(LEN(INDEX('My equipment'!$W$4:$W$503,(_calc!$E$302-500)))=0,"",INDEX('My equipment'!$W$4:$W$503,(_calc!$E$302-500))))=0,"","Claim ref: "&amp;IF(LEN(INDEX('My equipment'!$W$4:$W$503,(_calc!$E$302-500)))=0,"",INDEX('My equipment'!$W$4:$W$503,(_calc!$E$302-500)))&amp;". ")&amp;IF(LEN(IF(LEN(INDEX('My equipment'!$Y$4:$Y$503,(_calc!$E$302-500)))=0,"",INDEX('My equipment'!$Y$4:$Y$503,(_calc!$E$302-500))))=0,"",IF(LEN(INDEX('My equipment'!$Y$4:$Y$503,(_calc!$E$302-500)))=0,"",INDEX('My equipment'!$Y$4:$Y$503,(_calc!$E$302-500)))))))</f>
        <v/>
      </c>
      <c r="G300" s="54">
        <f>IF(_calc!$E$302="","",IF(_calc!$E$302&lt;=500,"",IF(LEN(INDEX('My equipment'!$X$4:$X$503,(_calc!$E$302-500)))=0,"",INDEX('My equipment'!$X$4:$X$503,(_calc!$E$302-500)))))</f>
        <v/>
      </c>
      <c r="K300" s="54">
        <f>IF(_calc!$E$302="","",IF(_calc!$E$302&lt;=500,"",IF(LEN(INDEX('My equipment'!$T$4:$T$503,(_calc!$E$302-500)))=0,"",INDEX('My equipment'!$T$4:$T$503,(_calc!$E$302-500)))))</f>
        <v/>
      </c>
    </row>
    <row r="301">
      <c r="A301" s="54">
        <f>IF(_calc!$E$303="","",IF(_calc!$E$303&lt;=500,"Warranty – "&amp;IF(LEN(INDEX('Dealer pipeline'!$C$4:$C$503,_calc!$E$303))=0,"",INDEX('Dealer pipeline'!$C$4:$C$503,_calc!$E$303))&amp;" – "&amp;IF(LEN(INDEX('Dealer pipeline'!$D$4:$D$503,_calc!$E$303))=0,"",INDEX('Dealer pipeline'!$D$4:$D$503,_calc!$E$303))&amp;" – "&amp;IF(LEN(INDEX('Dealer pipeline'!$A$4:$A$503,_calc!$E$303))=0,"",INDEX('Dealer pipeline'!$A$4:$A$503,_calc!$E$303)),"Warranty – "&amp;IF(LEN(INDEX('My equipment'!$A$4:$A$503,(_calc!$E$303-500)))=0,"",INDEX('My equipment'!$A$4:$A$503,(_calc!$E$303-500)))&amp;" – "&amp;IF(LEN(INDEX('My equipment'!$D$4:$D$503,(_calc!$E$303-500)))=0,"",INDEX('My equipment'!$D$4:$D$503,(_calc!$E$303-500)))))</f>
        <v/>
      </c>
      <c r="B301" s="54">
        <f>IF(_calc!$E$303="","",IF(_calc!$E$303&lt;=500,IF(ISNUMBER(INDEX('Dealer pipeline'!$M$4:$M$503,_calc!$E$303)),TEXT(INDEX('Dealer pipeline'!$M$4:$M$503,_calc!$E$303),"yyyy-mm-dd"),""),IF(ISNUMBER(INDEX('My equipment'!$M$4:$M$503,(_calc!$E$303-500))),TEXT(INDEX('My equipment'!$M$4:$M$503,(_calc!$E$303-500)),"yyyy-mm-dd"),"")))</f>
        <v/>
      </c>
      <c r="C301" s="54">
        <f>IF(_calc!$E$303="","",IF(_calc!$E$303&lt;=500,"Warranty","Warranty"))</f>
        <v/>
      </c>
      <c r="D301" s="54">
        <f>IF(_calc!$E$303="","",IF(_calc!$E$303&lt;=500,IF(ISNUMBER(INDEX('Dealer pipeline'!$H$4:$H$503,_calc!$E$303)),TEXT(INDEX('Dealer pipeline'!$H$4:$H$503,_calc!$E$303),"yyyy-mm-dd"),""),IF(ISNUMBER(INDEX('My equipment'!$H$4:$H$503,(_calc!$E$303-500))),TEXT(INDEX('My equipment'!$H$4:$H$503,(_calc!$E$303-500)),"yyyy-mm-dd"),"")))</f>
        <v/>
      </c>
      <c r="F301" s="54">
        <f>IF(_calc!$E$303="","",IF(_calc!$E$303&lt;=500,TRIM(IF(LEN(IF(LEN(INDEX('Dealer pipeline'!$A$4:$A$503,_calc!$E$303))=0,"",INDEX('Dealer pipeline'!$A$4:$A$503,_calc!$E$303)))=0,"","Customer: "&amp;IF(LEN(INDEX('Dealer pipeline'!$A$4:$A$503,_calc!$E$303))=0,"",INDEX('Dealer pipeline'!$A$4:$A$503,_calc!$E$303))&amp;". ")&amp;IF(LEN(IF(LEN(INDEX('Dealer pipeline'!$B$4:$B$503,_calc!$E$303))=0,"",INDEX('Dealer pipeline'!$B$4:$B$503,_calc!$E$303)))=0,"","Contact: "&amp;IF(LEN(INDEX('Dealer pipeline'!$B$4:$B$503,_calc!$E$303))=0,"",INDEX('Dealer pipeline'!$B$4:$B$503,_calc!$E$303))&amp;". ")&amp;IF(LEN(IF(LEN(INDEX('Dealer pipeline'!$D$4:$D$503,_calc!$E$303))=0,"",INDEX('Dealer pipeline'!$D$4:$D$503,_calc!$E$303)))=0,"","Serial: "&amp;IF(LEN(INDEX('Dealer pipeline'!$D$4:$D$503,_calc!$E$303))=0,"",INDEX('Dealer pipeline'!$D$4:$D$503,_calc!$E$303))&amp;". ")&amp;IF(LEN(IF(ISNUMBER(INDEX('Dealer pipeline'!$J$4:$J$503,_calc!$E$303)),TEXT(INDEX('Dealer pipeline'!$J$4:$J$503,_calc!$E$303),"yyyy-mm-dd"),""))=0,"","Parts end: "&amp;IF(ISNUMBER(INDEX('Dealer pipeline'!$J$4:$J$503,_calc!$E$303)),TEXT(INDEX('Dealer pipeline'!$J$4:$J$503,_calc!$E$303),"yyyy-mm-dd"),"")&amp;". ")&amp;IF(LEN(IF(ISNUMBER(INDEX('Dealer pipeline'!$L$4:$L$503,_calc!$E$303)),TEXT(INDEX('Dealer pipeline'!$L$4:$L$503,_calc!$E$303),"yyyy-mm-dd"),""))=0,"","Labor end: "&amp;IF(ISNUMBER(INDEX('Dealer pipeline'!$L$4:$L$503,_calc!$E$303)),TEXT(INDEX('Dealer pipeline'!$L$4:$L$503,_calc!$E$303),"yyyy-mm-dd"),"")&amp;". ")&amp;IF(LEN(IF(LEN(INDEX('Dealer pipeline'!$Q$4:$Q$503,_calc!$E$303))=0,"",INDEX('Dealer pipeline'!$Q$4:$Q$503,_calc!$E$303)))=0,"","Status: "&amp;IF(LEN(INDEX('Dealer pipeline'!$Q$4:$Q$503,_calc!$E$303))=0,"",INDEX('Dealer pipeline'!$Q$4:$Q$503,_calc!$E$303))&amp;". ")&amp;IF(LEN(IF(LEN(INDEX('Dealer pipeline'!$P$4:$P$503,_calc!$E$303))=0,"",INDEX('Dealer pipeline'!$P$4:$P$503,_calc!$E$303)))=0,"","Last touch: "&amp;IF(LEN(INDEX('Dealer pipeline'!$P$4:$P$503,_calc!$E$303))=0,"",INDEX('Dealer pipeline'!$P$4:$P$503,_calc!$E$303))&amp;". ")&amp;IF(LEN(IF(LEN(INDEX('Dealer pipeline'!$R$4:$R$503,_calc!$E$303))=0,"",INDEX('Dealer pipeline'!$R$4:$R$503,_calc!$E$303)))=0,"","Owner: "&amp;IF(LEN(INDEX('Dealer pipeline'!$R$4:$R$503,_calc!$E$303))=0,"",INDEX('Dealer pipeline'!$R$4:$R$503,_calc!$E$303))&amp;". ")&amp;IF(LEN(IF(LEN(INDEX('Dealer pipeline'!$S$4:$S$503,_calc!$E$303))=0,"",INDEX('Dealer pipeline'!$S$4:$S$503,_calc!$E$303)))=0,"","Backup: "&amp;IF(LEN(INDEX('Dealer pipeline'!$S$4:$S$503,_calc!$E$303))=0,"",INDEX('Dealer pipeline'!$S$4:$S$503,_calc!$E$303))&amp;". ")&amp;IF(LEN(IF(LEN(INDEX('Dealer pipeline'!$T$4:$T$503,_calc!$E$303))=0,"",INDEX('Dealer pipeline'!$T$4:$T$503,_calc!$E$303)))=0,"",IF(LEN(INDEX('Dealer pipeline'!$T$4:$T$503,_calc!$E$303))=0,"",INDEX('Dealer pipeline'!$T$4:$T$503,_calc!$E$303)))),TRIM(IF(LEN(IF(LEN(INDEX('My equipment'!$C$4:$C$503,(_calc!$E$303-500)))=0,"",INDEX('My equipment'!$C$4:$C$503,(_calc!$E$303-500))))=0,"","Model: "&amp;IF(LEN(INDEX('My equipment'!$C$4:$C$503,(_calc!$E$303-500)))=0,"",INDEX('My equipment'!$C$4:$C$503,(_calc!$E$303-500)))&amp;". ")&amp;IF(LEN(IF(LEN(INDEX('My equipment'!$D$4:$D$503,(_calc!$E$303-500)))=0,"",INDEX('My equipment'!$D$4:$D$503,(_calc!$E$303-500))))=0,"","Serial: "&amp;IF(LEN(INDEX('My equipment'!$D$4:$D$503,(_calc!$E$303-500)))=0,"",INDEX('My equipment'!$D$4:$D$503,(_calc!$E$303-500)))&amp;". ")&amp;IF(LEN(IF(ISNUMBER(INDEX('My equipment'!$J$4:$J$503,(_calc!$E$303-500))),TEXT(INDEX('My equipment'!$J$4:$J$503,(_calc!$E$303-500)),"yyyy-mm-dd"),""))=0,"","Parts end: "&amp;IF(ISNUMBER(INDEX('My equipment'!$J$4:$J$503,(_calc!$E$303-500))),TEXT(INDEX('My equipment'!$J$4:$J$503,(_calc!$E$303-500)),"yyyy-mm-dd"),"")&amp;". ")&amp;IF(LEN(IF(ISNUMBER(INDEX('My equipment'!$L$4:$L$503,(_calc!$E$303-500))),TEXT(INDEX('My equipment'!$L$4:$L$503,(_calc!$E$303-500)),"yyyy-mm-dd"),""))=0,"","Labor end: "&amp;IF(ISNUMBER(INDEX('My equipment'!$L$4:$L$503,(_calc!$E$303-500))),TEXT(INDEX('My equipment'!$L$4:$L$503,(_calc!$E$303-500)),"yyyy-mm-dd"),"")&amp;". ")&amp;IF(LEN(IF(ISNUMBER(INDEX('My equipment'!$P$4:$P$503,(_calc!$E$303-500))),TEXT(INDEX('My equipment'!$P$4:$P$503,(_calc!$E$303-500)),"yyyy-mm-dd"),""))=0,"","Check by: "&amp;IF(ISNUMBER(INDEX('My equipment'!$P$4:$P$503,(_calc!$E$303-500))),TEXT(INDEX('My equipment'!$P$4:$P$503,(_calc!$E$303-500)),"yyyy-mm-dd"),"")&amp;". ")&amp;IF(LEN(IF(LEN(INDEX('My equipment'!$Q$4:$Q$503,(_calc!$E$303-500)))=0,"",INDEX('My equipment'!$Q$4:$Q$503,(_calc!$E$303-500))))=0,"","Claim status: "&amp;IF(LEN(INDEX('My equipment'!$Q$4:$Q$503,(_calc!$E$303-500)))=0,"",INDEX('My equipment'!$Q$4:$Q$503,(_calc!$E$303-500)))&amp;". ")&amp;IF(LEN(IF(LEN(INDEX('My equipment'!$R$4:$R$503,(_calc!$E$303-500)))=0,"",INDEX('My equipment'!$R$4:$R$503,(_calc!$E$303-500))))=0,"","Claims contact: "&amp;IF(LEN(INDEX('My equipment'!$R$4:$R$503,(_calc!$E$303-500)))=0,"",INDEX('My equipment'!$R$4:$R$503,(_calc!$E$303-500)))&amp;". ")&amp;IF(LEN(IF(LEN(INDEX('My equipment'!$S$4:$S$503,(_calc!$E$303-500)))=0,"",INDEX('My equipment'!$S$4:$S$503,(_calc!$E$303-500))))=0,"","Claims email: "&amp;IF(LEN(INDEX('My equipment'!$S$4:$S$503,(_calc!$E$303-500)))=0,"",INDEX('My equipment'!$S$4:$S$503,(_calc!$E$303-500)))&amp;". ")&amp;IF(LEN(IF(LEN(INDEX('My equipment'!$U$4:$U$503,(_calc!$E$303-500)))=0,"",INDEX('My equipment'!$U$4:$U$503,(_calc!$E$303-500))))=0,"","Registered: "&amp;IF(LEN(INDEX('My equipment'!$U$4:$U$503,(_calc!$E$303-500)))=0,"",INDEX('My equipment'!$U$4:$U$503,(_calc!$E$303-500)))&amp;". ")&amp;IF(LEN(IF(LEN(INDEX('My equipment'!$V$4:$V$503,(_calc!$E$303-500)))=0,"",INDEX('My equipment'!$V$4:$V$503,(_calc!$E$303-500))))=0,"","Proof on file: "&amp;IF(LEN(INDEX('My equipment'!$V$4:$V$503,(_calc!$E$303-500)))=0,"",INDEX('My equipment'!$V$4:$V$503,(_calc!$E$303-500)))&amp;". ")&amp;IF(LEN(IF(LEN(INDEX('My equipment'!$W$4:$W$503,(_calc!$E$303-500)))=0,"",INDEX('My equipment'!$W$4:$W$503,(_calc!$E$303-500))))=0,"","Claim ref: "&amp;IF(LEN(INDEX('My equipment'!$W$4:$W$503,(_calc!$E$303-500)))=0,"",INDEX('My equipment'!$W$4:$W$503,(_calc!$E$303-500)))&amp;". ")&amp;IF(LEN(IF(LEN(INDEX('My equipment'!$Y$4:$Y$503,(_calc!$E$303-500)))=0,"",INDEX('My equipment'!$Y$4:$Y$503,(_calc!$E$303-500))))=0,"",IF(LEN(INDEX('My equipment'!$Y$4:$Y$503,(_calc!$E$303-500)))=0,"",INDEX('My equipment'!$Y$4:$Y$503,(_calc!$E$303-500)))))))</f>
        <v/>
      </c>
      <c r="G301" s="54">
        <f>IF(_calc!$E$303="","",IF(_calc!$E$303&lt;=500,"",IF(LEN(INDEX('My equipment'!$X$4:$X$503,(_calc!$E$303-500)))=0,"",INDEX('My equipment'!$X$4:$X$503,(_calc!$E$303-500)))))</f>
        <v/>
      </c>
      <c r="K301" s="54">
        <f>IF(_calc!$E$303="","",IF(_calc!$E$303&lt;=500,"",IF(LEN(INDEX('My equipment'!$T$4:$T$503,(_calc!$E$303-500)))=0,"",INDEX('My equipment'!$T$4:$T$503,(_calc!$E$303-500)))))</f>
        <v/>
      </c>
    </row>
    <row r="302">
      <c r="A302" s="54">
        <f>IF(_calc!$E$304="","",IF(_calc!$E$304&lt;=500,"Warranty – "&amp;IF(LEN(INDEX('Dealer pipeline'!$C$4:$C$503,_calc!$E$304))=0,"",INDEX('Dealer pipeline'!$C$4:$C$503,_calc!$E$304))&amp;" – "&amp;IF(LEN(INDEX('Dealer pipeline'!$D$4:$D$503,_calc!$E$304))=0,"",INDEX('Dealer pipeline'!$D$4:$D$503,_calc!$E$304))&amp;" – "&amp;IF(LEN(INDEX('Dealer pipeline'!$A$4:$A$503,_calc!$E$304))=0,"",INDEX('Dealer pipeline'!$A$4:$A$503,_calc!$E$304)),"Warranty – "&amp;IF(LEN(INDEX('My equipment'!$A$4:$A$503,(_calc!$E$304-500)))=0,"",INDEX('My equipment'!$A$4:$A$503,(_calc!$E$304-500)))&amp;" – "&amp;IF(LEN(INDEX('My equipment'!$D$4:$D$503,(_calc!$E$304-500)))=0,"",INDEX('My equipment'!$D$4:$D$503,(_calc!$E$304-500)))))</f>
        <v/>
      </c>
      <c r="B302" s="54">
        <f>IF(_calc!$E$304="","",IF(_calc!$E$304&lt;=500,IF(ISNUMBER(INDEX('Dealer pipeline'!$M$4:$M$503,_calc!$E$304)),TEXT(INDEX('Dealer pipeline'!$M$4:$M$503,_calc!$E$304),"yyyy-mm-dd"),""),IF(ISNUMBER(INDEX('My equipment'!$M$4:$M$503,(_calc!$E$304-500))),TEXT(INDEX('My equipment'!$M$4:$M$503,(_calc!$E$304-500)),"yyyy-mm-dd"),"")))</f>
        <v/>
      </c>
      <c r="C302" s="54">
        <f>IF(_calc!$E$304="","",IF(_calc!$E$304&lt;=500,"Warranty","Warranty"))</f>
        <v/>
      </c>
      <c r="D302" s="54">
        <f>IF(_calc!$E$304="","",IF(_calc!$E$304&lt;=500,IF(ISNUMBER(INDEX('Dealer pipeline'!$H$4:$H$503,_calc!$E$304)),TEXT(INDEX('Dealer pipeline'!$H$4:$H$503,_calc!$E$304),"yyyy-mm-dd"),""),IF(ISNUMBER(INDEX('My equipment'!$H$4:$H$503,(_calc!$E$304-500))),TEXT(INDEX('My equipment'!$H$4:$H$503,(_calc!$E$304-500)),"yyyy-mm-dd"),"")))</f>
        <v/>
      </c>
      <c r="F302" s="54">
        <f>IF(_calc!$E$304="","",IF(_calc!$E$304&lt;=500,TRIM(IF(LEN(IF(LEN(INDEX('Dealer pipeline'!$A$4:$A$503,_calc!$E$304))=0,"",INDEX('Dealer pipeline'!$A$4:$A$503,_calc!$E$304)))=0,"","Customer: "&amp;IF(LEN(INDEX('Dealer pipeline'!$A$4:$A$503,_calc!$E$304))=0,"",INDEX('Dealer pipeline'!$A$4:$A$503,_calc!$E$304))&amp;". ")&amp;IF(LEN(IF(LEN(INDEX('Dealer pipeline'!$B$4:$B$503,_calc!$E$304))=0,"",INDEX('Dealer pipeline'!$B$4:$B$503,_calc!$E$304)))=0,"","Contact: "&amp;IF(LEN(INDEX('Dealer pipeline'!$B$4:$B$503,_calc!$E$304))=0,"",INDEX('Dealer pipeline'!$B$4:$B$503,_calc!$E$304))&amp;". ")&amp;IF(LEN(IF(LEN(INDEX('Dealer pipeline'!$D$4:$D$503,_calc!$E$304))=0,"",INDEX('Dealer pipeline'!$D$4:$D$503,_calc!$E$304)))=0,"","Serial: "&amp;IF(LEN(INDEX('Dealer pipeline'!$D$4:$D$503,_calc!$E$304))=0,"",INDEX('Dealer pipeline'!$D$4:$D$503,_calc!$E$304))&amp;". ")&amp;IF(LEN(IF(ISNUMBER(INDEX('Dealer pipeline'!$J$4:$J$503,_calc!$E$304)),TEXT(INDEX('Dealer pipeline'!$J$4:$J$503,_calc!$E$304),"yyyy-mm-dd"),""))=0,"","Parts end: "&amp;IF(ISNUMBER(INDEX('Dealer pipeline'!$J$4:$J$503,_calc!$E$304)),TEXT(INDEX('Dealer pipeline'!$J$4:$J$503,_calc!$E$304),"yyyy-mm-dd"),"")&amp;". ")&amp;IF(LEN(IF(ISNUMBER(INDEX('Dealer pipeline'!$L$4:$L$503,_calc!$E$304)),TEXT(INDEX('Dealer pipeline'!$L$4:$L$503,_calc!$E$304),"yyyy-mm-dd"),""))=0,"","Labor end: "&amp;IF(ISNUMBER(INDEX('Dealer pipeline'!$L$4:$L$503,_calc!$E$304)),TEXT(INDEX('Dealer pipeline'!$L$4:$L$503,_calc!$E$304),"yyyy-mm-dd"),"")&amp;". ")&amp;IF(LEN(IF(LEN(INDEX('Dealer pipeline'!$Q$4:$Q$503,_calc!$E$304))=0,"",INDEX('Dealer pipeline'!$Q$4:$Q$503,_calc!$E$304)))=0,"","Status: "&amp;IF(LEN(INDEX('Dealer pipeline'!$Q$4:$Q$503,_calc!$E$304))=0,"",INDEX('Dealer pipeline'!$Q$4:$Q$503,_calc!$E$304))&amp;". ")&amp;IF(LEN(IF(LEN(INDEX('Dealer pipeline'!$P$4:$P$503,_calc!$E$304))=0,"",INDEX('Dealer pipeline'!$P$4:$P$503,_calc!$E$304)))=0,"","Last touch: "&amp;IF(LEN(INDEX('Dealer pipeline'!$P$4:$P$503,_calc!$E$304))=0,"",INDEX('Dealer pipeline'!$P$4:$P$503,_calc!$E$304))&amp;". ")&amp;IF(LEN(IF(LEN(INDEX('Dealer pipeline'!$R$4:$R$503,_calc!$E$304))=0,"",INDEX('Dealer pipeline'!$R$4:$R$503,_calc!$E$304)))=0,"","Owner: "&amp;IF(LEN(INDEX('Dealer pipeline'!$R$4:$R$503,_calc!$E$304))=0,"",INDEX('Dealer pipeline'!$R$4:$R$503,_calc!$E$304))&amp;". ")&amp;IF(LEN(IF(LEN(INDEX('Dealer pipeline'!$S$4:$S$503,_calc!$E$304))=0,"",INDEX('Dealer pipeline'!$S$4:$S$503,_calc!$E$304)))=0,"","Backup: "&amp;IF(LEN(INDEX('Dealer pipeline'!$S$4:$S$503,_calc!$E$304))=0,"",INDEX('Dealer pipeline'!$S$4:$S$503,_calc!$E$304))&amp;". ")&amp;IF(LEN(IF(LEN(INDEX('Dealer pipeline'!$T$4:$T$503,_calc!$E$304))=0,"",INDEX('Dealer pipeline'!$T$4:$T$503,_calc!$E$304)))=0,"",IF(LEN(INDEX('Dealer pipeline'!$T$4:$T$503,_calc!$E$304))=0,"",INDEX('Dealer pipeline'!$T$4:$T$503,_calc!$E$304)))),TRIM(IF(LEN(IF(LEN(INDEX('My equipment'!$C$4:$C$503,(_calc!$E$304-500)))=0,"",INDEX('My equipment'!$C$4:$C$503,(_calc!$E$304-500))))=0,"","Model: "&amp;IF(LEN(INDEX('My equipment'!$C$4:$C$503,(_calc!$E$304-500)))=0,"",INDEX('My equipment'!$C$4:$C$503,(_calc!$E$304-500)))&amp;". ")&amp;IF(LEN(IF(LEN(INDEX('My equipment'!$D$4:$D$503,(_calc!$E$304-500)))=0,"",INDEX('My equipment'!$D$4:$D$503,(_calc!$E$304-500))))=0,"","Serial: "&amp;IF(LEN(INDEX('My equipment'!$D$4:$D$503,(_calc!$E$304-500)))=0,"",INDEX('My equipment'!$D$4:$D$503,(_calc!$E$304-500)))&amp;". ")&amp;IF(LEN(IF(ISNUMBER(INDEX('My equipment'!$J$4:$J$503,(_calc!$E$304-500))),TEXT(INDEX('My equipment'!$J$4:$J$503,(_calc!$E$304-500)),"yyyy-mm-dd"),""))=0,"","Parts end: "&amp;IF(ISNUMBER(INDEX('My equipment'!$J$4:$J$503,(_calc!$E$304-500))),TEXT(INDEX('My equipment'!$J$4:$J$503,(_calc!$E$304-500)),"yyyy-mm-dd"),"")&amp;". ")&amp;IF(LEN(IF(ISNUMBER(INDEX('My equipment'!$L$4:$L$503,(_calc!$E$304-500))),TEXT(INDEX('My equipment'!$L$4:$L$503,(_calc!$E$304-500)),"yyyy-mm-dd"),""))=0,"","Labor end: "&amp;IF(ISNUMBER(INDEX('My equipment'!$L$4:$L$503,(_calc!$E$304-500))),TEXT(INDEX('My equipment'!$L$4:$L$503,(_calc!$E$304-500)),"yyyy-mm-dd"),"")&amp;". ")&amp;IF(LEN(IF(ISNUMBER(INDEX('My equipment'!$P$4:$P$503,(_calc!$E$304-500))),TEXT(INDEX('My equipment'!$P$4:$P$503,(_calc!$E$304-500)),"yyyy-mm-dd"),""))=0,"","Check by: "&amp;IF(ISNUMBER(INDEX('My equipment'!$P$4:$P$503,(_calc!$E$304-500))),TEXT(INDEX('My equipment'!$P$4:$P$503,(_calc!$E$304-500)),"yyyy-mm-dd"),"")&amp;". ")&amp;IF(LEN(IF(LEN(INDEX('My equipment'!$Q$4:$Q$503,(_calc!$E$304-500)))=0,"",INDEX('My equipment'!$Q$4:$Q$503,(_calc!$E$304-500))))=0,"","Claim status: "&amp;IF(LEN(INDEX('My equipment'!$Q$4:$Q$503,(_calc!$E$304-500)))=0,"",INDEX('My equipment'!$Q$4:$Q$503,(_calc!$E$304-500)))&amp;". ")&amp;IF(LEN(IF(LEN(INDEX('My equipment'!$R$4:$R$503,(_calc!$E$304-500)))=0,"",INDEX('My equipment'!$R$4:$R$503,(_calc!$E$304-500))))=0,"","Claims contact: "&amp;IF(LEN(INDEX('My equipment'!$R$4:$R$503,(_calc!$E$304-500)))=0,"",INDEX('My equipment'!$R$4:$R$503,(_calc!$E$304-500)))&amp;". ")&amp;IF(LEN(IF(LEN(INDEX('My equipment'!$S$4:$S$503,(_calc!$E$304-500)))=0,"",INDEX('My equipment'!$S$4:$S$503,(_calc!$E$304-500))))=0,"","Claims email: "&amp;IF(LEN(INDEX('My equipment'!$S$4:$S$503,(_calc!$E$304-500)))=0,"",INDEX('My equipment'!$S$4:$S$503,(_calc!$E$304-500)))&amp;". ")&amp;IF(LEN(IF(LEN(INDEX('My equipment'!$U$4:$U$503,(_calc!$E$304-500)))=0,"",INDEX('My equipment'!$U$4:$U$503,(_calc!$E$304-500))))=0,"","Registered: "&amp;IF(LEN(INDEX('My equipment'!$U$4:$U$503,(_calc!$E$304-500)))=0,"",INDEX('My equipment'!$U$4:$U$503,(_calc!$E$304-500)))&amp;". ")&amp;IF(LEN(IF(LEN(INDEX('My equipment'!$V$4:$V$503,(_calc!$E$304-500)))=0,"",INDEX('My equipment'!$V$4:$V$503,(_calc!$E$304-500))))=0,"","Proof on file: "&amp;IF(LEN(INDEX('My equipment'!$V$4:$V$503,(_calc!$E$304-500)))=0,"",INDEX('My equipment'!$V$4:$V$503,(_calc!$E$304-500)))&amp;". ")&amp;IF(LEN(IF(LEN(INDEX('My equipment'!$W$4:$W$503,(_calc!$E$304-500)))=0,"",INDEX('My equipment'!$W$4:$W$503,(_calc!$E$304-500))))=0,"","Claim ref: "&amp;IF(LEN(INDEX('My equipment'!$W$4:$W$503,(_calc!$E$304-500)))=0,"",INDEX('My equipment'!$W$4:$W$503,(_calc!$E$304-500)))&amp;". ")&amp;IF(LEN(IF(LEN(INDEX('My equipment'!$Y$4:$Y$503,(_calc!$E$304-500)))=0,"",INDEX('My equipment'!$Y$4:$Y$503,(_calc!$E$304-500))))=0,"",IF(LEN(INDEX('My equipment'!$Y$4:$Y$503,(_calc!$E$304-500)))=0,"",INDEX('My equipment'!$Y$4:$Y$503,(_calc!$E$304-500)))))))</f>
        <v/>
      </c>
      <c r="G302" s="54">
        <f>IF(_calc!$E$304="","",IF(_calc!$E$304&lt;=500,"",IF(LEN(INDEX('My equipment'!$X$4:$X$503,(_calc!$E$304-500)))=0,"",INDEX('My equipment'!$X$4:$X$503,(_calc!$E$304-500)))))</f>
        <v/>
      </c>
      <c r="K302" s="54">
        <f>IF(_calc!$E$304="","",IF(_calc!$E$304&lt;=500,"",IF(LEN(INDEX('My equipment'!$T$4:$T$503,(_calc!$E$304-500)))=0,"",INDEX('My equipment'!$T$4:$T$503,(_calc!$E$304-500)))))</f>
        <v/>
      </c>
    </row>
    <row r="303">
      <c r="A303" s="54">
        <f>IF(_calc!$E$305="","",IF(_calc!$E$305&lt;=500,"Warranty – "&amp;IF(LEN(INDEX('Dealer pipeline'!$C$4:$C$503,_calc!$E$305))=0,"",INDEX('Dealer pipeline'!$C$4:$C$503,_calc!$E$305))&amp;" – "&amp;IF(LEN(INDEX('Dealer pipeline'!$D$4:$D$503,_calc!$E$305))=0,"",INDEX('Dealer pipeline'!$D$4:$D$503,_calc!$E$305))&amp;" – "&amp;IF(LEN(INDEX('Dealer pipeline'!$A$4:$A$503,_calc!$E$305))=0,"",INDEX('Dealer pipeline'!$A$4:$A$503,_calc!$E$305)),"Warranty – "&amp;IF(LEN(INDEX('My equipment'!$A$4:$A$503,(_calc!$E$305-500)))=0,"",INDEX('My equipment'!$A$4:$A$503,(_calc!$E$305-500)))&amp;" – "&amp;IF(LEN(INDEX('My equipment'!$D$4:$D$503,(_calc!$E$305-500)))=0,"",INDEX('My equipment'!$D$4:$D$503,(_calc!$E$305-500)))))</f>
        <v/>
      </c>
      <c r="B303" s="54">
        <f>IF(_calc!$E$305="","",IF(_calc!$E$305&lt;=500,IF(ISNUMBER(INDEX('Dealer pipeline'!$M$4:$M$503,_calc!$E$305)),TEXT(INDEX('Dealer pipeline'!$M$4:$M$503,_calc!$E$305),"yyyy-mm-dd"),""),IF(ISNUMBER(INDEX('My equipment'!$M$4:$M$503,(_calc!$E$305-500))),TEXT(INDEX('My equipment'!$M$4:$M$503,(_calc!$E$305-500)),"yyyy-mm-dd"),"")))</f>
        <v/>
      </c>
      <c r="C303" s="54">
        <f>IF(_calc!$E$305="","",IF(_calc!$E$305&lt;=500,"Warranty","Warranty"))</f>
        <v/>
      </c>
      <c r="D303" s="54">
        <f>IF(_calc!$E$305="","",IF(_calc!$E$305&lt;=500,IF(ISNUMBER(INDEX('Dealer pipeline'!$H$4:$H$503,_calc!$E$305)),TEXT(INDEX('Dealer pipeline'!$H$4:$H$503,_calc!$E$305),"yyyy-mm-dd"),""),IF(ISNUMBER(INDEX('My equipment'!$H$4:$H$503,(_calc!$E$305-500))),TEXT(INDEX('My equipment'!$H$4:$H$503,(_calc!$E$305-500)),"yyyy-mm-dd"),"")))</f>
        <v/>
      </c>
      <c r="F303" s="54">
        <f>IF(_calc!$E$305="","",IF(_calc!$E$305&lt;=500,TRIM(IF(LEN(IF(LEN(INDEX('Dealer pipeline'!$A$4:$A$503,_calc!$E$305))=0,"",INDEX('Dealer pipeline'!$A$4:$A$503,_calc!$E$305)))=0,"","Customer: "&amp;IF(LEN(INDEX('Dealer pipeline'!$A$4:$A$503,_calc!$E$305))=0,"",INDEX('Dealer pipeline'!$A$4:$A$503,_calc!$E$305))&amp;". ")&amp;IF(LEN(IF(LEN(INDEX('Dealer pipeline'!$B$4:$B$503,_calc!$E$305))=0,"",INDEX('Dealer pipeline'!$B$4:$B$503,_calc!$E$305)))=0,"","Contact: "&amp;IF(LEN(INDEX('Dealer pipeline'!$B$4:$B$503,_calc!$E$305))=0,"",INDEX('Dealer pipeline'!$B$4:$B$503,_calc!$E$305))&amp;". ")&amp;IF(LEN(IF(LEN(INDEX('Dealer pipeline'!$D$4:$D$503,_calc!$E$305))=0,"",INDEX('Dealer pipeline'!$D$4:$D$503,_calc!$E$305)))=0,"","Serial: "&amp;IF(LEN(INDEX('Dealer pipeline'!$D$4:$D$503,_calc!$E$305))=0,"",INDEX('Dealer pipeline'!$D$4:$D$503,_calc!$E$305))&amp;". ")&amp;IF(LEN(IF(ISNUMBER(INDEX('Dealer pipeline'!$J$4:$J$503,_calc!$E$305)),TEXT(INDEX('Dealer pipeline'!$J$4:$J$503,_calc!$E$305),"yyyy-mm-dd"),""))=0,"","Parts end: "&amp;IF(ISNUMBER(INDEX('Dealer pipeline'!$J$4:$J$503,_calc!$E$305)),TEXT(INDEX('Dealer pipeline'!$J$4:$J$503,_calc!$E$305),"yyyy-mm-dd"),"")&amp;". ")&amp;IF(LEN(IF(ISNUMBER(INDEX('Dealer pipeline'!$L$4:$L$503,_calc!$E$305)),TEXT(INDEX('Dealer pipeline'!$L$4:$L$503,_calc!$E$305),"yyyy-mm-dd"),""))=0,"","Labor end: "&amp;IF(ISNUMBER(INDEX('Dealer pipeline'!$L$4:$L$503,_calc!$E$305)),TEXT(INDEX('Dealer pipeline'!$L$4:$L$503,_calc!$E$305),"yyyy-mm-dd"),"")&amp;". ")&amp;IF(LEN(IF(LEN(INDEX('Dealer pipeline'!$Q$4:$Q$503,_calc!$E$305))=0,"",INDEX('Dealer pipeline'!$Q$4:$Q$503,_calc!$E$305)))=0,"","Status: "&amp;IF(LEN(INDEX('Dealer pipeline'!$Q$4:$Q$503,_calc!$E$305))=0,"",INDEX('Dealer pipeline'!$Q$4:$Q$503,_calc!$E$305))&amp;". ")&amp;IF(LEN(IF(LEN(INDEX('Dealer pipeline'!$P$4:$P$503,_calc!$E$305))=0,"",INDEX('Dealer pipeline'!$P$4:$P$503,_calc!$E$305)))=0,"","Last touch: "&amp;IF(LEN(INDEX('Dealer pipeline'!$P$4:$P$503,_calc!$E$305))=0,"",INDEX('Dealer pipeline'!$P$4:$P$503,_calc!$E$305))&amp;". ")&amp;IF(LEN(IF(LEN(INDEX('Dealer pipeline'!$R$4:$R$503,_calc!$E$305))=0,"",INDEX('Dealer pipeline'!$R$4:$R$503,_calc!$E$305)))=0,"","Owner: "&amp;IF(LEN(INDEX('Dealer pipeline'!$R$4:$R$503,_calc!$E$305))=0,"",INDEX('Dealer pipeline'!$R$4:$R$503,_calc!$E$305))&amp;". ")&amp;IF(LEN(IF(LEN(INDEX('Dealer pipeline'!$S$4:$S$503,_calc!$E$305))=0,"",INDEX('Dealer pipeline'!$S$4:$S$503,_calc!$E$305)))=0,"","Backup: "&amp;IF(LEN(INDEX('Dealer pipeline'!$S$4:$S$503,_calc!$E$305))=0,"",INDEX('Dealer pipeline'!$S$4:$S$503,_calc!$E$305))&amp;". ")&amp;IF(LEN(IF(LEN(INDEX('Dealer pipeline'!$T$4:$T$503,_calc!$E$305))=0,"",INDEX('Dealer pipeline'!$T$4:$T$503,_calc!$E$305)))=0,"",IF(LEN(INDEX('Dealer pipeline'!$T$4:$T$503,_calc!$E$305))=0,"",INDEX('Dealer pipeline'!$T$4:$T$503,_calc!$E$305)))),TRIM(IF(LEN(IF(LEN(INDEX('My equipment'!$C$4:$C$503,(_calc!$E$305-500)))=0,"",INDEX('My equipment'!$C$4:$C$503,(_calc!$E$305-500))))=0,"","Model: "&amp;IF(LEN(INDEX('My equipment'!$C$4:$C$503,(_calc!$E$305-500)))=0,"",INDEX('My equipment'!$C$4:$C$503,(_calc!$E$305-500)))&amp;". ")&amp;IF(LEN(IF(LEN(INDEX('My equipment'!$D$4:$D$503,(_calc!$E$305-500)))=0,"",INDEX('My equipment'!$D$4:$D$503,(_calc!$E$305-500))))=0,"","Serial: "&amp;IF(LEN(INDEX('My equipment'!$D$4:$D$503,(_calc!$E$305-500)))=0,"",INDEX('My equipment'!$D$4:$D$503,(_calc!$E$305-500)))&amp;". ")&amp;IF(LEN(IF(ISNUMBER(INDEX('My equipment'!$J$4:$J$503,(_calc!$E$305-500))),TEXT(INDEX('My equipment'!$J$4:$J$503,(_calc!$E$305-500)),"yyyy-mm-dd"),""))=0,"","Parts end: "&amp;IF(ISNUMBER(INDEX('My equipment'!$J$4:$J$503,(_calc!$E$305-500))),TEXT(INDEX('My equipment'!$J$4:$J$503,(_calc!$E$305-500)),"yyyy-mm-dd"),"")&amp;". ")&amp;IF(LEN(IF(ISNUMBER(INDEX('My equipment'!$L$4:$L$503,(_calc!$E$305-500))),TEXT(INDEX('My equipment'!$L$4:$L$503,(_calc!$E$305-500)),"yyyy-mm-dd"),""))=0,"","Labor end: "&amp;IF(ISNUMBER(INDEX('My equipment'!$L$4:$L$503,(_calc!$E$305-500))),TEXT(INDEX('My equipment'!$L$4:$L$503,(_calc!$E$305-500)),"yyyy-mm-dd"),"")&amp;". ")&amp;IF(LEN(IF(ISNUMBER(INDEX('My equipment'!$P$4:$P$503,(_calc!$E$305-500))),TEXT(INDEX('My equipment'!$P$4:$P$503,(_calc!$E$305-500)),"yyyy-mm-dd"),""))=0,"","Check by: "&amp;IF(ISNUMBER(INDEX('My equipment'!$P$4:$P$503,(_calc!$E$305-500))),TEXT(INDEX('My equipment'!$P$4:$P$503,(_calc!$E$305-500)),"yyyy-mm-dd"),"")&amp;". ")&amp;IF(LEN(IF(LEN(INDEX('My equipment'!$Q$4:$Q$503,(_calc!$E$305-500)))=0,"",INDEX('My equipment'!$Q$4:$Q$503,(_calc!$E$305-500))))=0,"","Claim status: "&amp;IF(LEN(INDEX('My equipment'!$Q$4:$Q$503,(_calc!$E$305-500)))=0,"",INDEX('My equipment'!$Q$4:$Q$503,(_calc!$E$305-500)))&amp;". ")&amp;IF(LEN(IF(LEN(INDEX('My equipment'!$R$4:$R$503,(_calc!$E$305-500)))=0,"",INDEX('My equipment'!$R$4:$R$503,(_calc!$E$305-500))))=0,"","Claims contact: "&amp;IF(LEN(INDEX('My equipment'!$R$4:$R$503,(_calc!$E$305-500)))=0,"",INDEX('My equipment'!$R$4:$R$503,(_calc!$E$305-500)))&amp;". ")&amp;IF(LEN(IF(LEN(INDEX('My equipment'!$S$4:$S$503,(_calc!$E$305-500)))=0,"",INDEX('My equipment'!$S$4:$S$503,(_calc!$E$305-500))))=0,"","Claims email: "&amp;IF(LEN(INDEX('My equipment'!$S$4:$S$503,(_calc!$E$305-500)))=0,"",INDEX('My equipment'!$S$4:$S$503,(_calc!$E$305-500)))&amp;". ")&amp;IF(LEN(IF(LEN(INDEX('My equipment'!$U$4:$U$503,(_calc!$E$305-500)))=0,"",INDEX('My equipment'!$U$4:$U$503,(_calc!$E$305-500))))=0,"","Registered: "&amp;IF(LEN(INDEX('My equipment'!$U$4:$U$503,(_calc!$E$305-500)))=0,"",INDEX('My equipment'!$U$4:$U$503,(_calc!$E$305-500)))&amp;". ")&amp;IF(LEN(IF(LEN(INDEX('My equipment'!$V$4:$V$503,(_calc!$E$305-500)))=0,"",INDEX('My equipment'!$V$4:$V$503,(_calc!$E$305-500))))=0,"","Proof on file: "&amp;IF(LEN(INDEX('My equipment'!$V$4:$V$503,(_calc!$E$305-500)))=0,"",INDEX('My equipment'!$V$4:$V$503,(_calc!$E$305-500)))&amp;". ")&amp;IF(LEN(IF(LEN(INDEX('My equipment'!$W$4:$W$503,(_calc!$E$305-500)))=0,"",INDEX('My equipment'!$W$4:$W$503,(_calc!$E$305-500))))=0,"","Claim ref: "&amp;IF(LEN(INDEX('My equipment'!$W$4:$W$503,(_calc!$E$305-500)))=0,"",INDEX('My equipment'!$W$4:$W$503,(_calc!$E$305-500)))&amp;". ")&amp;IF(LEN(IF(LEN(INDEX('My equipment'!$Y$4:$Y$503,(_calc!$E$305-500)))=0,"",INDEX('My equipment'!$Y$4:$Y$503,(_calc!$E$305-500))))=0,"",IF(LEN(INDEX('My equipment'!$Y$4:$Y$503,(_calc!$E$305-500)))=0,"",INDEX('My equipment'!$Y$4:$Y$503,(_calc!$E$305-500)))))))</f>
        <v/>
      </c>
      <c r="G303" s="54">
        <f>IF(_calc!$E$305="","",IF(_calc!$E$305&lt;=500,"",IF(LEN(INDEX('My equipment'!$X$4:$X$503,(_calc!$E$305-500)))=0,"",INDEX('My equipment'!$X$4:$X$503,(_calc!$E$305-500)))))</f>
        <v/>
      </c>
      <c r="K303" s="54">
        <f>IF(_calc!$E$305="","",IF(_calc!$E$305&lt;=500,"",IF(LEN(INDEX('My equipment'!$T$4:$T$503,(_calc!$E$305-500)))=0,"",INDEX('My equipment'!$T$4:$T$503,(_calc!$E$305-500)))))</f>
        <v/>
      </c>
    </row>
    <row r="304">
      <c r="A304" s="54">
        <f>IF(_calc!$E$306="","",IF(_calc!$E$306&lt;=500,"Warranty – "&amp;IF(LEN(INDEX('Dealer pipeline'!$C$4:$C$503,_calc!$E$306))=0,"",INDEX('Dealer pipeline'!$C$4:$C$503,_calc!$E$306))&amp;" – "&amp;IF(LEN(INDEX('Dealer pipeline'!$D$4:$D$503,_calc!$E$306))=0,"",INDEX('Dealer pipeline'!$D$4:$D$503,_calc!$E$306))&amp;" – "&amp;IF(LEN(INDEX('Dealer pipeline'!$A$4:$A$503,_calc!$E$306))=0,"",INDEX('Dealer pipeline'!$A$4:$A$503,_calc!$E$306)),"Warranty – "&amp;IF(LEN(INDEX('My equipment'!$A$4:$A$503,(_calc!$E$306-500)))=0,"",INDEX('My equipment'!$A$4:$A$503,(_calc!$E$306-500)))&amp;" – "&amp;IF(LEN(INDEX('My equipment'!$D$4:$D$503,(_calc!$E$306-500)))=0,"",INDEX('My equipment'!$D$4:$D$503,(_calc!$E$306-500)))))</f>
        <v/>
      </c>
      <c r="B304" s="54">
        <f>IF(_calc!$E$306="","",IF(_calc!$E$306&lt;=500,IF(ISNUMBER(INDEX('Dealer pipeline'!$M$4:$M$503,_calc!$E$306)),TEXT(INDEX('Dealer pipeline'!$M$4:$M$503,_calc!$E$306),"yyyy-mm-dd"),""),IF(ISNUMBER(INDEX('My equipment'!$M$4:$M$503,(_calc!$E$306-500))),TEXT(INDEX('My equipment'!$M$4:$M$503,(_calc!$E$306-500)),"yyyy-mm-dd"),"")))</f>
        <v/>
      </c>
      <c r="C304" s="54">
        <f>IF(_calc!$E$306="","",IF(_calc!$E$306&lt;=500,"Warranty","Warranty"))</f>
        <v/>
      </c>
      <c r="D304" s="54">
        <f>IF(_calc!$E$306="","",IF(_calc!$E$306&lt;=500,IF(ISNUMBER(INDEX('Dealer pipeline'!$H$4:$H$503,_calc!$E$306)),TEXT(INDEX('Dealer pipeline'!$H$4:$H$503,_calc!$E$306),"yyyy-mm-dd"),""),IF(ISNUMBER(INDEX('My equipment'!$H$4:$H$503,(_calc!$E$306-500))),TEXT(INDEX('My equipment'!$H$4:$H$503,(_calc!$E$306-500)),"yyyy-mm-dd"),"")))</f>
        <v/>
      </c>
      <c r="F304" s="54">
        <f>IF(_calc!$E$306="","",IF(_calc!$E$306&lt;=500,TRIM(IF(LEN(IF(LEN(INDEX('Dealer pipeline'!$A$4:$A$503,_calc!$E$306))=0,"",INDEX('Dealer pipeline'!$A$4:$A$503,_calc!$E$306)))=0,"","Customer: "&amp;IF(LEN(INDEX('Dealer pipeline'!$A$4:$A$503,_calc!$E$306))=0,"",INDEX('Dealer pipeline'!$A$4:$A$503,_calc!$E$306))&amp;". ")&amp;IF(LEN(IF(LEN(INDEX('Dealer pipeline'!$B$4:$B$503,_calc!$E$306))=0,"",INDEX('Dealer pipeline'!$B$4:$B$503,_calc!$E$306)))=0,"","Contact: "&amp;IF(LEN(INDEX('Dealer pipeline'!$B$4:$B$503,_calc!$E$306))=0,"",INDEX('Dealer pipeline'!$B$4:$B$503,_calc!$E$306))&amp;". ")&amp;IF(LEN(IF(LEN(INDEX('Dealer pipeline'!$D$4:$D$503,_calc!$E$306))=0,"",INDEX('Dealer pipeline'!$D$4:$D$503,_calc!$E$306)))=0,"","Serial: "&amp;IF(LEN(INDEX('Dealer pipeline'!$D$4:$D$503,_calc!$E$306))=0,"",INDEX('Dealer pipeline'!$D$4:$D$503,_calc!$E$306))&amp;". ")&amp;IF(LEN(IF(ISNUMBER(INDEX('Dealer pipeline'!$J$4:$J$503,_calc!$E$306)),TEXT(INDEX('Dealer pipeline'!$J$4:$J$503,_calc!$E$306),"yyyy-mm-dd"),""))=0,"","Parts end: "&amp;IF(ISNUMBER(INDEX('Dealer pipeline'!$J$4:$J$503,_calc!$E$306)),TEXT(INDEX('Dealer pipeline'!$J$4:$J$503,_calc!$E$306),"yyyy-mm-dd"),"")&amp;". ")&amp;IF(LEN(IF(ISNUMBER(INDEX('Dealer pipeline'!$L$4:$L$503,_calc!$E$306)),TEXT(INDEX('Dealer pipeline'!$L$4:$L$503,_calc!$E$306),"yyyy-mm-dd"),""))=0,"","Labor end: "&amp;IF(ISNUMBER(INDEX('Dealer pipeline'!$L$4:$L$503,_calc!$E$306)),TEXT(INDEX('Dealer pipeline'!$L$4:$L$503,_calc!$E$306),"yyyy-mm-dd"),"")&amp;". ")&amp;IF(LEN(IF(LEN(INDEX('Dealer pipeline'!$Q$4:$Q$503,_calc!$E$306))=0,"",INDEX('Dealer pipeline'!$Q$4:$Q$503,_calc!$E$306)))=0,"","Status: "&amp;IF(LEN(INDEX('Dealer pipeline'!$Q$4:$Q$503,_calc!$E$306))=0,"",INDEX('Dealer pipeline'!$Q$4:$Q$503,_calc!$E$306))&amp;". ")&amp;IF(LEN(IF(LEN(INDEX('Dealer pipeline'!$P$4:$P$503,_calc!$E$306))=0,"",INDEX('Dealer pipeline'!$P$4:$P$503,_calc!$E$306)))=0,"","Last touch: "&amp;IF(LEN(INDEX('Dealer pipeline'!$P$4:$P$503,_calc!$E$306))=0,"",INDEX('Dealer pipeline'!$P$4:$P$503,_calc!$E$306))&amp;". ")&amp;IF(LEN(IF(LEN(INDEX('Dealer pipeline'!$R$4:$R$503,_calc!$E$306))=0,"",INDEX('Dealer pipeline'!$R$4:$R$503,_calc!$E$306)))=0,"","Owner: "&amp;IF(LEN(INDEX('Dealer pipeline'!$R$4:$R$503,_calc!$E$306))=0,"",INDEX('Dealer pipeline'!$R$4:$R$503,_calc!$E$306))&amp;". ")&amp;IF(LEN(IF(LEN(INDEX('Dealer pipeline'!$S$4:$S$503,_calc!$E$306))=0,"",INDEX('Dealer pipeline'!$S$4:$S$503,_calc!$E$306)))=0,"","Backup: "&amp;IF(LEN(INDEX('Dealer pipeline'!$S$4:$S$503,_calc!$E$306))=0,"",INDEX('Dealer pipeline'!$S$4:$S$503,_calc!$E$306))&amp;". ")&amp;IF(LEN(IF(LEN(INDEX('Dealer pipeline'!$T$4:$T$503,_calc!$E$306))=0,"",INDEX('Dealer pipeline'!$T$4:$T$503,_calc!$E$306)))=0,"",IF(LEN(INDEX('Dealer pipeline'!$T$4:$T$503,_calc!$E$306))=0,"",INDEX('Dealer pipeline'!$T$4:$T$503,_calc!$E$306)))),TRIM(IF(LEN(IF(LEN(INDEX('My equipment'!$C$4:$C$503,(_calc!$E$306-500)))=0,"",INDEX('My equipment'!$C$4:$C$503,(_calc!$E$306-500))))=0,"","Model: "&amp;IF(LEN(INDEX('My equipment'!$C$4:$C$503,(_calc!$E$306-500)))=0,"",INDEX('My equipment'!$C$4:$C$503,(_calc!$E$306-500)))&amp;". ")&amp;IF(LEN(IF(LEN(INDEX('My equipment'!$D$4:$D$503,(_calc!$E$306-500)))=0,"",INDEX('My equipment'!$D$4:$D$503,(_calc!$E$306-500))))=0,"","Serial: "&amp;IF(LEN(INDEX('My equipment'!$D$4:$D$503,(_calc!$E$306-500)))=0,"",INDEX('My equipment'!$D$4:$D$503,(_calc!$E$306-500)))&amp;". ")&amp;IF(LEN(IF(ISNUMBER(INDEX('My equipment'!$J$4:$J$503,(_calc!$E$306-500))),TEXT(INDEX('My equipment'!$J$4:$J$503,(_calc!$E$306-500)),"yyyy-mm-dd"),""))=0,"","Parts end: "&amp;IF(ISNUMBER(INDEX('My equipment'!$J$4:$J$503,(_calc!$E$306-500))),TEXT(INDEX('My equipment'!$J$4:$J$503,(_calc!$E$306-500)),"yyyy-mm-dd"),"")&amp;". ")&amp;IF(LEN(IF(ISNUMBER(INDEX('My equipment'!$L$4:$L$503,(_calc!$E$306-500))),TEXT(INDEX('My equipment'!$L$4:$L$503,(_calc!$E$306-500)),"yyyy-mm-dd"),""))=0,"","Labor end: "&amp;IF(ISNUMBER(INDEX('My equipment'!$L$4:$L$503,(_calc!$E$306-500))),TEXT(INDEX('My equipment'!$L$4:$L$503,(_calc!$E$306-500)),"yyyy-mm-dd"),"")&amp;". ")&amp;IF(LEN(IF(ISNUMBER(INDEX('My equipment'!$P$4:$P$503,(_calc!$E$306-500))),TEXT(INDEX('My equipment'!$P$4:$P$503,(_calc!$E$306-500)),"yyyy-mm-dd"),""))=0,"","Check by: "&amp;IF(ISNUMBER(INDEX('My equipment'!$P$4:$P$503,(_calc!$E$306-500))),TEXT(INDEX('My equipment'!$P$4:$P$503,(_calc!$E$306-500)),"yyyy-mm-dd"),"")&amp;". ")&amp;IF(LEN(IF(LEN(INDEX('My equipment'!$Q$4:$Q$503,(_calc!$E$306-500)))=0,"",INDEX('My equipment'!$Q$4:$Q$503,(_calc!$E$306-500))))=0,"","Claim status: "&amp;IF(LEN(INDEX('My equipment'!$Q$4:$Q$503,(_calc!$E$306-500)))=0,"",INDEX('My equipment'!$Q$4:$Q$503,(_calc!$E$306-500)))&amp;". ")&amp;IF(LEN(IF(LEN(INDEX('My equipment'!$R$4:$R$503,(_calc!$E$306-500)))=0,"",INDEX('My equipment'!$R$4:$R$503,(_calc!$E$306-500))))=0,"","Claims contact: "&amp;IF(LEN(INDEX('My equipment'!$R$4:$R$503,(_calc!$E$306-500)))=0,"",INDEX('My equipment'!$R$4:$R$503,(_calc!$E$306-500)))&amp;". ")&amp;IF(LEN(IF(LEN(INDEX('My equipment'!$S$4:$S$503,(_calc!$E$306-500)))=0,"",INDEX('My equipment'!$S$4:$S$503,(_calc!$E$306-500))))=0,"","Claims email: "&amp;IF(LEN(INDEX('My equipment'!$S$4:$S$503,(_calc!$E$306-500)))=0,"",INDEX('My equipment'!$S$4:$S$503,(_calc!$E$306-500)))&amp;". ")&amp;IF(LEN(IF(LEN(INDEX('My equipment'!$U$4:$U$503,(_calc!$E$306-500)))=0,"",INDEX('My equipment'!$U$4:$U$503,(_calc!$E$306-500))))=0,"","Registered: "&amp;IF(LEN(INDEX('My equipment'!$U$4:$U$503,(_calc!$E$306-500)))=0,"",INDEX('My equipment'!$U$4:$U$503,(_calc!$E$306-500)))&amp;". ")&amp;IF(LEN(IF(LEN(INDEX('My equipment'!$V$4:$V$503,(_calc!$E$306-500)))=0,"",INDEX('My equipment'!$V$4:$V$503,(_calc!$E$306-500))))=0,"","Proof on file: "&amp;IF(LEN(INDEX('My equipment'!$V$4:$V$503,(_calc!$E$306-500)))=0,"",INDEX('My equipment'!$V$4:$V$503,(_calc!$E$306-500)))&amp;". ")&amp;IF(LEN(IF(LEN(INDEX('My equipment'!$W$4:$W$503,(_calc!$E$306-500)))=0,"",INDEX('My equipment'!$W$4:$W$503,(_calc!$E$306-500))))=0,"","Claim ref: "&amp;IF(LEN(INDEX('My equipment'!$W$4:$W$503,(_calc!$E$306-500)))=0,"",INDEX('My equipment'!$W$4:$W$503,(_calc!$E$306-500)))&amp;". ")&amp;IF(LEN(IF(LEN(INDEX('My equipment'!$Y$4:$Y$503,(_calc!$E$306-500)))=0,"",INDEX('My equipment'!$Y$4:$Y$503,(_calc!$E$306-500))))=0,"",IF(LEN(INDEX('My equipment'!$Y$4:$Y$503,(_calc!$E$306-500)))=0,"",INDEX('My equipment'!$Y$4:$Y$503,(_calc!$E$306-500)))))))</f>
        <v/>
      </c>
      <c r="G304" s="54">
        <f>IF(_calc!$E$306="","",IF(_calc!$E$306&lt;=500,"",IF(LEN(INDEX('My equipment'!$X$4:$X$503,(_calc!$E$306-500)))=0,"",INDEX('My equipment'!$X$4:$X$503,(_calc!$E$306-500)))))</f>
        <v/>
      </c>
      <c r="K304" s="54">
        <f>IF(_calc!$E$306="","",IF(_calc!$E$306&lt;=500,"",IF(LEN(INDEX('My equipment'!$T$4:$T$503,(_calc!$E$306-500)))=0,"",INDEX('My equipment'!$T$4:$T$503,(_calc!$E$306-500)))))</f>
        <v/>
      </c>
    </row>
    <row r="305">
      <c r="A305" s="54">
        <f>IF(_calc!$E$307="","",IF(_calc!$E$307&lt;=500,"Warranty – "&amp;IF(LEN(INDEX('Dealer pipeline'!$C$4:$C$503,_calc!$E$307))=0,"",INDEX('Dealer pipeline'!$C$4:$C$503,_calc!$E$307))&amp;" – "&amp;IF(LEN(INDEX('Dealer pipeline'!$D$4:$D$503,_calc!$E$307))=0,"",INDEX('Dealer pipeline'!$D$4:$D$503,_calc!$E$307))&amp;" – "&amp;IF(LEN(INDEX('Dealer pipeline'!$A$4:$A$503,_calc!$E$307))=0,"",INDEX('Dealer pipeline'!$A$4:$A$503,_calc!$E$307)),"Warranty – "&amp;IF(LEN(INDEX('My equipment'!$A$4:$A$503,(_calc!$E$307-500)))=0,"",INDEX('My equipment'!$A$4:$A$503,(_calc!$E$307-500)))&amp;" – "&amp;IF(LEN(INDEX('My equipment'!$D$4:$D$503,(_calc!$E$307-500)))=0,"",INDEX('My equipment'!$D$4:$D$503,(_calc!$E$307-500)))))</f>
        <v/>
      </c>
      <c r="B305" s="54">
        <f>IF(_calc!$E$307="","",IF(_calc!$E$307&lt;=500,IF(ISNUMBER(INDEX('Dealer pipeline'!$M$4:$M$503,_calc!$E$307)),TEXT(INDEX('Dealer pipeline'!$M$4:$M$503,_calc!$E$307),"yyyy-mm-dd"),""),IF(ISNUMBER(INDEX('My equipment'!$M$4:$M$503,(_calc!$E$307-500))),TEXT(INDEX('My equipment'!$M$4:$M$503,(_calc!$E$307-500)),"yyyy-mm-dd"),"")))</f>
        <v/>
      </c>
      <c r="C305" s="54">
        <f>IF(_calc!$E$307="","",IF(_calc!$E$307&lt;=500,"Warranty","Warranty"))</f>
        <v/>
      </c>
      <c r="D305" s="54">
        <f>IF(_calc!$E$307="","",IF(_calc!$E$307&lt;=500,IF(ISNUMBER(INDEX('Dealer pipeline'!$H$4:$H$503,_calc!$E$307)),TEXT(INDEX('Dealer pipeline'!$H$4:$H$503,_calc!$E$307),"yyyy-mm-dd"),""),IF(ISNUMBER(INDEX('My equipment'!$H$4:$H$503,(_calc!$E$307-500))),TEXT(INDEX('My equipment'!$H$4:$H$503,(_calc!$E$307-500)),"yyyy-mm-dd"),"")))</f>
        <v/>
      </c>
      <c r="F305" s="54">
        <f>IF(_calc!$E$307="","",IF(_calc!$E$307&lt;=500,TRIM(IF(LEN(IF(LEN(INDEX('Dealer pipeline'!$A$4:$A$503,_calc!$E$307))=0,"",INDEX('Dealer pipeline'!$A$4:$A$503,_calc!$E$307)))=0,"","Customer: "&amp;IF(LEN(INDEX('Dealer pipeline'!$A$4:$A$503,_calc!$E$307))=0,"",INDEX('Dealer pipeline'!$A$4:$A$503,_calc!$E$307))&amp;". ")&amp;IF(LEN(IF(LEN(INDEX('Dealer pipeline'!$B$4:$B$503,_calc!$E$307))=0,"",INDEX('Dealer pipeline'!$B$4:$B$503,_calc!$E$307)))=0,"","Contact: "&amp;IF(LEN(INDEX('Dealer pipeline'!$B$4:$B$503,_calc!$E$307))=0,"",INDEX('Dealer pipeline'!$B$4:$B$503,_calc!$E$307))&amp;". ")&amp;IF(LEN(IF(LEN(INDEX('Dealer pipeline'!$D$4:$D$503,_calc!$E$307))=0,"",INDEX('Dealer pipeline'!$D$4:$D$503,_calc!$E$307)))=0,"","Serial: "&amp;IF(LEN(INDEX('Dealer pipeline'!$D$4:$D$503,_calc!$E$307))=0,"",INDEX('Dealer pipeline'!$D$4:$D$503,_calc!$E$307))&amp;". ")&amp;IF(LEN(IF(ISNUMBER(INDEX('Dealer pipeline'!$J$4:$J$503,_calc!$E$307)),TEXT(INDEX('Dealer pipeline'!$J$4:$J$503,_calc!$E$307),"yyyy-mm-dd"),""))=0,"","Parts end: "&amp;IF(ISNUMBER(INDEX('Dealer pipeline'!$J$4:$J$503,_calc!$E$307)),TEXT(INDEX('Dealer pipeline'!$J$4:$J$503,_calc!$E$307),"yyyy-mm-dd"),"")&amp;". ")&amp;IF(LEN(IF(ISNUMBER(INDEX('Dealer pipeline'!$L$4:$L$503,_calc!$E$307)),TEXT(INDEX('Dealer pipeline'!$L$4:$L$503,_calc!$E$307),"yyyy-mm-dd"),""))=0,"","Labor end: "&amp;IF(ISNUMBER(INDEX('Dealer pipeline'!$L$4:$L$503,_calc!$E$307)),TEXT(INDEX('Dealer pipeline'!$L$4:$L$503,_calc!$E$307),"yyyy-mm-dd"),"")&amp;". ")&amp;IF(LEN(IF(LEN(INDEX('Dealer pipeline'!$Q$4:$Q$503,_calc!$E$307))=0,"",INDEX('Dealer pipeline'!$Q$4:$Q$503,_calc!$E$307)))=0,"","Status: "&amp;IF(LEN(INDEX('Dealer pipeline'!$Q$4:$Q$503,_calc!$E$307))=0,"",INDEX('Dealer pipeline'!$Q$4:$Q$503,_calc!$E$307))&amp;". ")&amp;IF(LEN(IF(LEN(INDEX('Dealer pipeline'!$P$4:$P$503,_calc!$E$307))=0,"",INDEX('Dealer pipeline'!$P$4:$P$503,_calc!$E$307)))=0,"","Last touch: "&amp;IF(LEN(INDEX('Dealer pipeline'!$P$4:$P$503,_calc!$E$307))=0,"",INDEX('Dealer pipeline'!$P$4:$P$503,_calc!$E$307))&amp;". ")&amp;IF(LEN(IF(LEN(INDEX('Dealer pipeline'!$R$4:$R$503,_calc!$E$307))=0,"",INDEX('Dealer pipeline'!$R$4:$R$503,_calc!$E$307)))=0,"","Owner: "&amp;IF(LEN(INDEX('Dealer pipeline'!$R$4:$R$503,_calc!$E$307))=0,"",INDEX('Dealer pipeline'!$R$4:$R$503,_calc!$E$307))&amp;". ")&amp;IF(LEN(IF(LEN(INDEX('Dealer pipeline'!$S$4:$S$503,_calc!$E$307))=0,"",INDEX('Dealer pipeline'!$S$4:$S$503,_calc!$E$307)))=0,"","Backup: "&amp;IF(LEN(INDEX('Dealer pipeline'!$S$4:$S$503,_calc!$E$307))=0,"",INDEX('Dealer pipeline'!$S$4:$S$503,_calc!$E$307))&amp;". ")&amp;IF(LEN(IF(LEN(INDEX('Dealer pipeline'!$T$4:$T$503,_calc!$E$307))=0,"",INDEX('Dealer pipeline'!$T$4:$T$503,_calc!$E$307)))=0,"",IF(LEN(INDEX('Dealer pipeline'!$T$4:$T$503,_calc!$E$307))=0,"",INDEX('Dealer pipeline'!$T$4:$T$503,_calc!$E$307)))),TRIM(IF(LEN(IF(LEN(INDEX('My equipment'!$C$4:$C$503,(_calc!$E$307-500)))=0,"",INDEX('My equipment'!$C$4:$C$503,(_calc!$E$307-500))))=0,"","Model: "&amp;IF(LEN(INDEX('My equipment'!$C$4:$C$503,(_calc!$E$307-500)))=0,"",INDEX('My equipment'!$C$4:$C$503,(_calc!$E$307-500)))&amp;". ")&amp;IF(LEN(IF(LEN(INDEX('My equipment'!$D$4:$D$503,(_calc!$E$307-500)))=0,"",INDEX('My equipment'!$D$4:$D$503,(_calc!$E$307-500))))=0,"","Serial: "&amp;IF(LEN(INDEX('My equipment'!$D$4:$D$503,(_calc!$E$307-500)))=0,"",INDEX('My equipment'!$D$4:$D$503,(_calc!$E$307-500)))&amp;". ")&amp;IF(LEN(IF(ISNUMBER(INDEX('My equipment'!$J$4:$J$503,(_calc!$E$307-500))),TEXT(INDEX('My equipment'!$J$4:$J$503,(_calc!$E$307-500)),"yyyy-mm-dd"),""))=0,"","Parts end: "&amp;IF(ISNUMBER(INDEX('My equipment'!$J$4:$J$503,(_calc!$E$307-500))),TEXT(INDEX('My equipment'!$J$4:$J$503,(_calc!$E$307-500)),"yyyy-mm-dd"),"")&amp;". ")&amp;IF(LEN(IF(ISNUMBER(INDEX('My equipment'!$L$4:$L$503,(_calc!$E$307-500))),TEXT(INDEX('My equipment'!$L$4:$L$503,(_calc!$E$307-500)),"yyyy-mm-dd"),""))=0,"","Labor end: "&amp;IF(ISNUMBER(INDEX('My equipment'!$L$4:$L$503,(_calc!$E$307-500))),TEXT(INDEX('My equipment'!$L$4:$L$503,(_calc!$E$307-500)),"yyyy-mm-dd"),"")&amp;". ")&amp;IF(LEN(IF(ISNUMBER(INDEX('My equipment'!$P$4:$P$503,(_calc!$E$307-500))),TEXT(INDEX('My equipment'!$P$4:$P$503,(_calc!$E$307-500)),"yyyy-mm-dd"),""))=0,"","Check by: "&amp;IF(ISNUMBER(INDEX('My equipment'!$P$4:$P$503,(_calc!$E$307-500))),TEXT(INDEX('My equipment'!$P$4:$P$503,(_calc!$E$307-500)),"yyyy-mm-dd"),"")&amp;". ")&amp;IF(LEN(IF(LEN(INDEX('My equipment'!$Q$4:$Q$503,(_calc!$E$307-500)))=0,"",INDEX('My equipment'!$Q$4:$Q$503,(_calc!$E$307-500))))=0,"","Claim status: "&amp;IF(LEN(INDEX('My equipment'!$Q$4:$Q$503,(_calc!$E$307-500)))=0,"",INDEX('My equipment'!$Q$4:$Q$503,(_calc!$E$307-500)))&amp;". ")&amp;IF(LEN(IF(LEN(INDEX('My equipment'!$R$4:$R$503,(_calc!$E$307-500)))=0,"",INDEX('My equipment'!$R$4:$R$503,(_calc!$E$307-500))))=0,"","Claims contact: "&amp;IF(LEN(INDEX('My equipment'!$R$4:$R$503,(_calc!$E$307-500)))=0,"",INDEX('My equipment'!$R$4:$R$503,(_calc!$E$307-500)))&amp;". ")&amp;IF(LEN(IF(LEN(INDEX('My equipment'!$S$4:$S$503,(_calc!$E$307-500)))=0,"",INDEX('My equipment'!$S$4:$S$503,(_calc!$E$307-500))))=0,"","Claims email: "&amp;IF(LEN(INDEX('My equipment'!$S$4:$S$503,(_calc!$E$307-500)))=0,"",INDEX('My equipment'!$S$4:$S$503,(_calc!$E$307-500)))&amp;". ")&amp;IF(LEN(IF(LEN(INDEX('My equipment'!$U$4:$U$503,(_calc!$E$307-500)))=0,"",INDEX('My equipment'!$U$4:$U$503,(_calc!$E$307-500))))=0,"","Registered: "&amp;IF(LEN(INDEX('My equipment'!$U$4:$U$503,(_calc!$E$307-500)))=0,"",INDEX('My equipment'!$U$4:$U$503,(_calc!$E$307-500)))&amp;". ")&amp;IF(LEN(IF(LEN(INDEX('My equipment'!$V$4:$V$503,(_calc!$E$307-500)))=0,"",INDEX('My equipment'!$V$4:$V$503,(_calc!$E$307-500))))=0,"","Proof on file: "&amp;IF(LEN(INDEX('My equipment'!$V$4:$V$503,(_calc!$E$307-500)))=0,"",INDEX('My equipment'!$V$4:$V$503,(_calc!$E$307-500)))&amp;". ")&amp;IF(LEN(IF(LEN(INDEX('My equipment'!$W$4:$W$503,(_calc!$E$307-500)))=0,"",INDEX('My equipment'!$W$4:$W$503,(_calc!$E$307-500))))=0,"","Claim ref: "&amp;IF(LEN(INDEX('My equipment'!$W$4:$W$503,(_calc!$E$307-500)))=0,"",INDEX('My equipment'!$W$4:$W$503,(_calc!$E$307-500)))&amp;". ")&amp;IF(LEN(IF(LEN(INDEX('My equipment'!$Y$4:$Y$503,(_calc!$E$307-500)))=0,"",INDEX('My equipment'!$Y$4:$Y$503,(_calc!$E$307-500))))=0,"",IF(LEN(INDEX('My equipment'!$Y$4:$Y$503,(_calc!$E$307-500)))=0,"",INDEX('My equipment'!$Y$4:$Y$503,(_calc!$E$307-500)))))))</f>
        <v/>
      </c>
      <c r="G305" s="54">
        <f>IF(_calc!$E$307="","",IF(_calc!$E$307&lt;=500,"",IF(LEN(INDEX('My equipment'!$X$4:$X$503,(_calc!$E$307-500)))=0,"",INDEX('My equipment'!$X$4:$X$503,(_calc!$E$307-500)))))</f>
        <v/>
      </c>
      <c r="K305" s="54">
        <f>IF(_calc!$E$307="","",IF(_calc!$E$307&lt;=500,"",IF(LEN(INDEX('My equipment'!$T$4:$T$503,(_calc!$E$307-500)))=0,"",INDEX('My equipment'!$T$4:$T$503,(_calc!$E$307-500)))))</f>
        <v/>
      </c>
    </row>
    <row r="306">
      <c r="A306" s="54">
        <f>IF(_calc!$E$308="","",IF(_calc!$E$308&lt;=500,"Warranty – "&amp;IF(LEN(INDEX('Dealer pipeline'!$C$4:$C$503,_calc!$E$308))=0,"",INDEX('Dealer pipeline'!$C$4:$C$503,_calc!$E$308))&amp;" – "&amp;IF(LEN(INDEX('Dealer pipeline'!$D$4:$D$503,_calc!$E$308))=0,"",INDEX('Dealer pipeline'!$D$4:$D$503,_calc!$E$308))&amp;" – "&amp;IF(LEN(INDEX('Dealer pipeline'!$A$4:$A$503,_calc!$E$308))=0,"",INDEX('Dealer pipeline'!$A$4:$A$503,_calc!$E$308)),"Warranty – "&amp;IF(LEN(INDEX('My equipment'!$A$4:$A$503,(_calc!$E$308-500)))=0,"",INDEX('My equipment'!$A$4:$A$503,(_calc!$E$308-500)))&amp;" – "&amp;IF(LEN(INDEX('My equipment'!$D$4:$D$503,(_calc!$E$308-500)))=0,"",INDEX('My equipment'!$D$4:$D$503,(_calc!$E$308-500)))))</f>
        <v/>
      </c>
      <c r="B306" s="54">
        <f>IF(_calc!$E$308="","",IF(_calc!$E$308&lt;=500,IF(ISNUMBER(INDEX('Dealer pipeline'!$M$4:$M$503,_calc!$E$308)),TEXT(INDEX('Dealer pipeline'!$M$4:$M$503,_calc!$E$308),"yyyy-mm-dd"),""),IF(ISNUMBER(INDEX('My equipment'!$M$4:$M$503,(_calc!$E$308-500))),TEXT(INDEX('My equipment'!$M$4:$M$503,(_calc!$E$308-500)),"yyyy-mm-dd"),"")))</f>
        <v/>
      </c>
      <c r="C306" s="54">
        <f>IF(_calc!$E$308="","",IF(_calc!$E$308&lt;=500,"Warranty","Warranty"))</f>
        <v/>
      </c>
      <c r="D306" s="54">
        <f>IF(_calc!$E$308="","",IF(_calc!$E$308&lt;=500,IF(ISNUMBER(INDEX('Dealer pipeline'!$H$4:$H$503,_calc!$E$308)),TEXT(INDEX('Dealer pipeline'!$H$4:$H$503,_calc!$E$308),"yyyy-mm-dd"),""),IF(ISNUMBER(INDEX('My equipment'!$H$4:$H$503,(_calc!$E$308-500))),TEXT(INDEX('My equipment'!$H$4:$H$503,(_calc!$E$308-500)),"yyyy-mm-dd"),"")))</f>
        <v/>
      </c>
      <c r="F306" s="54">
        <f>IF(_calc!$E$308="","",IF(_calc!$E$308&lt;=500,TRIM(IF(LEN(IF(LEN(INDEX('Dealer pipeline'!$A$4:$A$503,_calc!$E$308))=0,"",INDEX('Dealer pipeline'!$A$4:$A$503,_calc!$E$308)))=0,"","Customer: "&amp;IF(LEN(INDEX('Dealer pipeline'!$A$4:$A$503,_calc!$E$308))=0,"",INDEX('Dealer pipeline'!$A$4:$A$503,_calc!$E$308))&amp;". ")&amp;IF(LEN(IF(LEN(INDEX('Dealer pipeline'!$B$4:$B$503,_calc!$E$308))=0,"",INDEX('Dealer pipeline'!$B$4:$B$503,_calc!$E$308)))=0,"","Contact: "&amp;IF(LEN(INDEX('Dealer pipeline'!$B$4:$B$503,_calc!$E$308))=0,"",INDEX('Dealer pipeline'!$B$4:$B$503,_calc!$E$308))&amp;". ")&amp;IF(LEN(IF(LEN(INDEX('Dealer pipeline'!$D$4:$D$503,_calc!$E$308))=0,"",INDEX('Dealer pipeline'!$D$4:$D$503,_calc!$E$308)))=0,"","Serial: "&amp;IF(LEN(INDEX('Dealer pipeline'!$D$4:$D$503,_calc!$E$308))=0,"",INDEX('Dealer pipeline'!$D$4:$D$503,_calc!$E$308))&amp;". ")&amp;IF(LEN(IF(ISNUMBER(INDEX('Dealer pipeline'!$J$4:$J$503,_calc!$E$308)),TEXT(INDEX('Dealer pipeline'!$J$4:$J$503,_calc!$E$308),"yyyy-mm-dd"),""))=0,"","Parts end: "&amp;IF(ISNUMBER(INDEX('Dealer pipeline'!$J$4:$J$503,_calc!$E$308)),TEXT(INDEX('Dealer pipeline'!$J$4:$J$503,_calc!$E$308),"yyyy-mm-dd"),"")&amp;". ")&amp;IF(LEN(IF(ISNUMBER(INDEX('Dealer pipeline'!$L$4:$L$503,_calc!$E$308)),TEXT(INDEX('Dealer pipeline'!$L$4:$L$503,_calc!$E$308),"yyyy-mm-dd"),""))=0,"","Labor end: "&amp;IF(ISNUMBER(INDEX('Dealer pipeline'!$L$4:$L$503,_calc!$E$308)),TEXT(INDEX('Dealer pipeline'!$L$4:$L$503,_calc!$E$308),"yyyy-mm-dd"),"")&amp;". ")&amp;IF(LEN(IF(LEN(INDEX('Dealer pipeline'!$Q$4:$Q$503,_calc!$E$308))=0,"",INDEX('Dealer pipeline'!$Q$4:$Q$503,_calc!$E$308)))=0,"","Status: "&amp;IF(LEN(INDEX('Dealer pipeline'!$Q$4:$Q$503,_calc!$E$308))=0,"",INDEX('Dealer pipeline'!$Q$4:$Q$503,_calc!$E$308))&amp;". ")&amp;IF(LEN(IF(LEN(INDEX('Dealer pipeline'!$P$4:$P$503,_calc!$E$308))=0,"",INDEX('Dealer pipeline'!$P$4:$P$503,_calc!$E$308)))=0,"","Last touch: "&amp;IF(LEN(INDEX('Dealer pipeline'!$P$4:$P$503,_calc!$E$308))=0,"",INDEX('Dealer pipeline'!$P$4:$P$503,_calc!$E$308))&amp;". ")&amp;IF(LEN(IF(LEN(INDEX('Dealer pipeline'!$R$4:$R$503,_calc!$E$308))=0,"",INDEX('Dealer pipeline'!$R$4:$R$503,_calc!$E$308)))=0,"","Owner: "&amp;IF(LEN(INDEX('Dealer pipeline'!$R$4:$R$503,_calc!$E$308))=0,"",INDEX('Dealer pipeline'!$R$4:$R$503,_calc!$E$308))&amp;". ")&amp;IF(LEN(IF(LEN(INDEX('Dealer pipeline'!$S$4:$S$503,_calc!$E$308))=0,"",INDEX('Dealer pipeline'!$S$4:$S$503,_calc!$E$308)))=0,"","Backup: "&amp;IF(LEN(INDEX('Dealer pipeline'!$S$4:$S$503,_calc!$E$308))=0,"",INDEX('Dealer pipeline'!$S$4:$S$503,_calc!$E$308))&amp;". ")&amp;IF(LEN(IF(LEN(INDEX('Dealer pipeline'!$T$4:$T$503,_calc!$E$308))=0,"",INDEX('Dealer pipeline'!$T$4:$T$503,_calc!$E$308)))=0,"",IF(LEN(INDEX('Dealer pipeline'!$T$4:$T$503,_calc!$E$308))=0,"",INDEX('Dealer pipeline'!$T$4:$T$503,_calc!$E$308)))),TRIM(IF(LEN(IF(LEN(INDEX('My equipment'!$C$4:$C$503,(_calc!$E$308-500)))=0,"",INDEX('My equipment'!$C$4:$C$503,(_calc!$E$308-500))))=0,"","Model: "&amp;IF(LEN(INDEX('My equipment'!$C$4:$C$503,(_calc!$E$308-500)))=0,"",INDEX('My equipment'!$C$4:$C$503,(_calc!$E$308-500)))&amp;". ")&amp;IF(LEN(IF(LEN(INDEX('My equipment'!$D$4:$D$503,(_calc!$E$308-500)))=0,"",INDEX('My equipment'!$D$4:$D$503,(_calc!$E$308-500))))=0,"","Serial: "&amp;IF(LEN(INDEX('My equipment'!$D$4:$D$503,(_calc!$E$308-500)))=0,"",INDEX('My equipment'!$D$4:$D$503,(_calc!$E$308-500)))&amp;". ")&amp;IF(LEN(IF(ISNUMBER(INDEX('My equipment'!$J$4:$J$503,(_calc!$E$308-500))),TEXT(INDEX('My equipment'!$J$4:$J$503,(_calc!$E$308-500)),"yyyy-mm-dd"),""))=0,"","Parts end: "&amp;IF(ISNUMBER(INDEX('My equipment'!$J$4:$J$503,(_calc!$E$308-500))),TEXT(INDEX('My equipment'!$J$4:$J$503,(_calc!$E$308-500)),"yyyy-mm-dd"),"")&amp;". ")&amp;IF(LEN(IF(ISNUMBER(INDEX('My equipment'!$L$4:$L$503,(_calc!$E$308-500))),TEXT(INDEX('My equipment'!$L$4:$L$503,(_calc!$E$308-500)),"yyyy-mm-dd"),""))=0,"","Labor end: "&amp;IF(ISNUMBER(INDEX('My equipment'!$L$4:$L$503,(_calc!$E$308-500))),TEXT(INDEX('My equipment'!$L$4:$L$503,(_calc!$E$308-500)),"yyyy-mm-dd"),"")&amp;". ")&amp;IF(LEN(IF(ISNUMBER(INDEX('My equipment'!$P$4:$P$503,(_calc!$E$308-500))),TEXT(INDEX('My equipment'!$P$4:$P$503,(_calc!$E$308-500)),"yyyy-mm-dd"),""))=0,"","Check by: "&amp;IF(ISNUMBER(INDEX('My equipment'!$P$4:$P$503,(_calc!$E$308-500))),TEXT(INDEX('My equipment'!$P$4:$P$503,(_calc!$E$308-500)),"yyyy-mm-dd"),"")&amp;". ")&amp;IF(LEN(IF(LEN(INDEX('My equipment'!$Q$4:$Q$503,(_calc!$E$308-500)))=0,"",INDEX('My equipment'!$Q$4:$Q$503,(_calc!$E$308-500))))=0,"","Claim status: "&amp;IF(LEN(INDEX('My equipment'!$Q$4:$Q$503,(_calc!$E$308-500)))=0,"",INDEX('My equipment'!$Q$4:$Q$503,(_calc!$E$308-500)))&amp;". ")&amp;IF(LEN(IF(LEN(INDEX('My equipment'!$R$4:$R$503,(_calc!$E$308-500)))=0,"",INDEX('My equipment'!$R$4:$R$503,(_calc!$E$308-500))))=0,"","Claims contact: "&amp;IF(LEN(INDEX('My equipment'!$R$4:$R$503,(_calc!$E$308-500)))=0,"",INDEX('My equipment'!$R$4:$R$503,(_calc!$E$308-500)))&amp;". ")&amp;IF(LEN(IF(LEN(INDEX('My equipment'!$S$4:$S$503,(_calc!$E$308-500)))=0,"",INDEX('My equipment'!$S$4:$S$503,(_calc!$E$308-500))))=0,"","Claims email: "&amp;IF(LEN(INDEX('My equipment'!$S$4:$S$503,(_calc!$E$308-500)))=0,"",INDEX('My equipment'!$S$4:$S$503,(_calc!$E$308-500)))&amp;". ")&amp;IF(LEN(IF(LEN(INDEX('My equipment'!$U$4:$U$503,(_calc!$E$308-500)))=0,"",INDEX('My equipment'!$U$4:$U$503,(_calc!$E$308-500))))=0,"","Registered: "&amp;IF(LEN(INDEX('My equipment'!$U$4:$U$503,(_calc!$E$308-500)))=0,"",INDEX('My equipment'!$U$4:$U$503,(_calc!$E$308-500)))&amp;". ")&amp;IF(LEN(IF(LEN(INDEX('My equipment'!$V$4:$V$503,(_calc!$E$308-500)))=0,"",INDEX('My equipment'!$V$4:$V$503,(_calc!$E$308-500))))=0,"","Proof on file: "&amp;IF(LEN(INDEX('My equipment'!$V$4:$V$503,(_calc!$E$308-500)))=0,"",INDEX('My equipment'!$V$4:$V$503,(_calc!$E$308-500)))&amp;". ")&amp;IF(LEN(IF(LEN(INDEX('My equipment'!$W$4:$W$503,(_calc!$E$308-500)))=0,"",INDEX('My equipment'!$W$4:$W$503,(_calc!$E$308-500))))=0,"","Claim ref: "&amp;IF(LEN(INDEX('My equipment'!$W$4:$W$503,(_calc!$E$308-500)))=0,"",INDEX('My equipment'!$W$4:$W$503,(_calc!$E$308-500)))&amp;". ")&amp;IF(LEN(IF(LEN(INDEX('My equipment'!$Y$4:$Y$503,(_calc!$E$308-500)))=0,"",INDEX('My equipment'!$Y$4:$Y$503,(_calc!$E$308-500))))=0,"",IF(LEN(INDEX('My equipment'!$Y$4:$Y$503,(_calc!$E$308-500)))=0,"",INDEX('My equipment'!$Y$4:$Y$503,(_calc!$E$308-500)))))))</f>
        <v/>
      </c>
      <c r="G306" s="54">
        <f>IF(_calc!$E$308="","",IF(_calc!$E$308&lt;=500,"",IF(LEN(INDEX('My equipment'!$X$4:$X$503,(_calc!$E$308-500)))=0,"",INDEX('My equipment'!$X$4:$X$503,(_calc!$E$308-500)))))</f>
        <v/>
      </c>
      <c r="K306" s="54">
        <f>IF(_calc!$E$308="","",IF(_calc!$E$308&lt;=500,"",IF(LEN(INDEX('My equipment'!$T$4:$T$503,(_calc!$E$308-500)))=0,"",INDEX('My equipment'!$T$4:$T$503,(_calc!$E$308-500)))))</f>
        <v/>
      </c>
    </row>
    <row r="307">
      <c r="A307" s="54">
        <f>IF(_calc!$E$309="","",IF(_calc!$E$309&lt;=500,"Warranty – "&amp;IF(LEN(INDEX('Dealer pipeline'!$C$4:$C$503,_calc!$E$309))=0,"",INDEX('Dealer pipeline'!$C$4:$C$503,_calc!$E$309))&amp;" – "&amp;IF(LEN(INDEX('Dealer pipeline'!$D$4:$D$503,_calc!$E$309))=0,"",INDEX('Dealer pipeline'!$D$4:$D$503,_calc!$E$309))&amp;" – "&amp;IF(LEN(INDEX('Dealer pipeline'!$A$4:$A$503,_calc!$E$309))=0,"",INDEX('Dealer pipeline'!$A$4:$A$503,_calc!$E$309)),"Warranty – "&amp;IF(LEN(INDEX('My equipment'!$A$4:$A$503,(_calc!$E$309-500)))=0,"",INDEX('My equipment'!$A$4:$A$503,(_calc!$E$309-500)))&amp;" – "&amp;IF(LEN(INDEX('My equipment'!$D$4:$D$503,(_calc!$E$309-500)))=0,"",INDEX('My equipment'!$D$4:$D$503,(_calc!$E$309-500)))))</f>
        <v/>
      </c>
      <c r="B307" s="54">
        <f>IF(_calc!$E$309="","",IF(_calc!$E$309&lt;=500,IF(ISNUMBER(INDEX('Dealer pipeline'!$M$4:$M$503,_calc!$E$309)),TEXT(INDEX('Dealer pipeline'!$M$4:$M$503,_calc!$E$309),"yyyy-mm-dd"),""),IF(ISNUMBER(INDEX('My equipment'!$M$4:$M$503,(_calc!$E$309-500))),TEXT(INDEX('My equipment'!$M$4:$M$503,(_calc!$E$309-500)),"yyyy-mm-dd"),"")))</f>
        <v/>
      </c>
      <c r="C307" s="54">
        <f>IF(_calc!$E$309="","",IF(_calc!$E$309&lt;=500,"Warranty","Warranty"))</f>
        <v/>
      </c>
      <c r="D307" s="54">
        <f>IF(_calc!$E$309="","",IF(_calc!$E$309&lt;=500,IF(ISNUMBER(INDEX('Dealer pipeline'!$H$4:$H$503,_calc!$E$309)),TEXT(INDEX('Dealer pipeline'!$H$4:$H$503,_calc!$E$309),"yyyy-mm-dd"),""),IF(ISNUMBER(INDEX('My equipment'!$H$4:$H$503,(_calc!$E$309-500))),TEXT(INDEX('My equipment'!$H$4:$H$503,(_calc!$E$309-500)),"yyyy-mm-dd"),"")))</f>
        <v/>
      </c>
      <c r="F307" s="54">
        <f>IF(_calc!$E$309="","",IF(_calc!$E$309&lt;=500,TRIM(IF(LEN(IF(LEN(INDEX('Dealer pipeline'!$A$4:$A$503,_calc!$E$309))=0,"",INDEX('Dealer pipeline'!$A$4:$A$503,_calc!$E$309)))=0,"","Customer: "&amp;IF(LEN(INDEX('Dealer pipeline'!$A$4:$A$503,_calc!$E$309))=0,"",INDEX('Dealer pipeline'!$A$4:$A$503,_calc!$E$309))&amp;". ")&amp;IF(LEN(IF(LEN(INDEX('Dealer pipeline'!$B$4:$B$503,_calc!$E$309))=0,"",INDEX('Dealer pipeline'!$B$4:$B$503,_calc!$E$309)))=0,"","Contact: "&amp;IF(LEN(INDEX('Dealer pipeline'!$B$4:$B$503,_calc!$E$309))=0,"",INDEX('Dealer pipeline'!$B$4:$B$503,_calc!$E$309))&amp;". ")&amp;IF(LEN(IF(LEN(INDEX('Dealer pipeline'!$D$4:$D$503,_calc!$E$309))=0,"",INDEX('Dealer pipeline'!$D$4:$D$503,_calc!$E$309)))=0,"","Serial: "&amp;IF(LEN(INDEX('Dealer pipeline'!$D$4:$D$503,_calc!$E$309))=0,"",INDEX('Dealer pipeline'!$D$4:$D$503,_calc!$E$309))&amp;". ")&amp;IF(LEN(IF(ISNUMBER(INDEX('Dealer pipeline'!$J$4:$J$503,_calc!$E$309)),TEXT(INDEX('Dealer pipeline'!$J$4:$J$503,_calc!$E$309),"yyyy-mm-dd"),""))=0,"","Parts end: "&amp;IF(ISNUMBER(INDEX('Dealer pipeline'!$J$4:$J$503,_calc!$E$309)),TEXT(INDEX('Dealer pipeline'!$J$4:$J$503,_calc!$E$309),"yyyy-mm-dd"),"")&amp;". ")&amp;IF(LEN(IF(ISNUMBER(INDEX('Dealer pipeline'!$L$4:$L$503,_calc!$E$309)),TEXT(INDEX('Dealer pipeline'!$L$4:$L$503,_calc!$E$309),"yyyy-mm-dd"),""))=0,"","Labor end: "&amp;IF(ISNUMBER(INDEX('Dealer pipeline'!$L$4:$L$503,_calc!$E$309)),TEXT(INDEX('Dealer pipeline'!$L$4:$L$503,_calc!$E$309),"yyyy-mm-dd"),"")&amp;". ")&amp;IF(LEN(IF(LEN(INDEX('Dealer pipeline'!$Q$4:$Q$503,_calc!$E$309))=0,"",INDEX('Dealer pipeline'!$Q$4:$Q$503,_calc!$E$309)))=0,"","Status: "&amp;IF(LEN(INDEX('Dealer pipeline'!$Q$4:$Q$503,_calc!$E$309))=0,"",INDEX('Dealer pipeline'!$Q$4:$Q$503,_calc!$E$309))&amp;". ")&amp;IF(LEN(IF(LEN(INDEX('Dealer pipeline'!$P$4:$P$503,_calc!$E$309))=0,"",INDEX('Dealer pipeline'!$P$4:$P$503,_calc!$E$309)))=0,"","Last touch: "&amp;IF(LEN(INDEX('Dealer pipeline'!$P$4:$P$503,_calc!$E$309))=0,"",INDEX('Dealer pipeline'!$P$4:$P$503,_calc!$E$309))&amp;". ")&amp;IF(LEN(IF(LEN(INDEX('Dealer pipeline'!$R$4:$R$503,_calc!$E$309))=0,"",INDEX('Dealer pipeline'!$R$4:$R$503,_calc!$E$309)))=0,"","Owner: "&amp;IF(LEN(INDEX('Dealer pipeline'!$R$4:$R$503,_calc!$E$309))=0,"",INDEX('Dealer pipeline'!$R$4:$R$503,_calc!$E$309))&amp;". ")&amp;IF(LEN(IF(LEN(INDEX('Dealer pipeline'!$S$4:$S$503,_calc!$E$309))=0,"",INDEX('Dealer pipeline'!$S$4:$S$503,_calc!$E$309)))=0,"","Backup: "&amp;IF(LEN(INDEX('Dealer pipeline'!$S$4:$S$503,_calc!$E$309))=0,"",INDEX('Dealer pipeline'!$S$4:$S$503,_calc!$E$309))&amp;". ")&amp;IF(LEN(IF(LEN(INDEX('Dealer pipeline'!$T$4:$T$503,_calc!$E$309))=0,"",INDEX('Dealer pipeline'!$T$4:$T$503,_calc!$E$309)))=0,"",IF(LEN(INDEX('Dealer pipeline'!$T$4:$T$503,_calc!$E$309))=0,"",INDEX('Dealer pipeline'!$T$4:$T$503,_calc!$E$309)))),TRIM(IF(LEN(IF(LEN(INDEX('My equipment'!$C$4:$C$503,(_calc!$E$309-500)))=0,"",INDEX('My equipment'!$C$4:$C$503,(_calc!$E$309-500))))=0,"","Model: "&amp;IF(LEN(INDEX('My equipment'!$C$4:$C$503,(_calc!$E$309-500)))=0,"",INDEX('My equipment'!$C$4:$C$503,(_calc!$E$309-500)))&amp;". ")&amp;IF(LEN(IF(LEN(INDEX('My equipment'!$D$4:$D$503,(_calc!$E$309-500)))=0,"",INDEX('My equipment'!$D$4:$D$503,(_calc!$E$309-500))))=0,"","Serial: "&amp;IF(LEN(INDEX('My equipment'!$D$4:$D$503,(_calc!$E$309-500)))=0,"",INDEX('My equipment'!$D$4:$D$503,(_calc!$E$309-500)))&amp;". ")&amp;IF(LEN(IF(ISNUMBER(INDEX('My equipment'!$J$4:$J$503,(_calc!$E$309-500))),TEXT(INDEX('My equipment'!$J$4:$J$503,(_calc!$E$309-500)),"yyyy-mm-dd"),""))=0,"","Parts end: "&amp;IF(ISNUMBER(INDEX('My equipment'!$J$4:$J$503,(_calc!$E$309-500))),TEXT(INDEX('My equipment'!$J$4:$J$503,(_calc!$E$309-500)),"yyyy-mm-dd"),"")&amp;". ")&amp;IF(LEN(IF(ISNUMBER(INDEX('My equipment'!$L$4:$L$503,(_calc!$E$309-500))),TEXT(INDEX('My equipment'!$L$4:$L$503,(_calc!$E$309-500)),"yyyy-mm-dd"),""))=0,"","Labor end: "&amp;IF(ISNUMBER(INDEX('My equipment'!$L$4:$L$503,(_calc!$E$309-500))),TEXT(INDEX('My equipment'!$L$4:$L$503,(_calc!$E$309-500)),"yyyy-mm-dd"),"")&amp;". ")&amp;IF(LEN(IF(ISNUMBER(INDEX('My equipment'!$P$4:$P$503,(_calc!$E$309-500))),TEXT(INDEX('My equipment'!$P$4:$P$503,(_calc!$E$309-500)),"yyyy-mm-dd"),""))=0,"","Check by: "&amp;IF(ISNUMBER(INDEX('My equipment'!$P$4:$P$503,(_calc!$E$309-500))),TEXT(INDEX('My equipment'!$P$4:$P$503,(_calc!$E$309-500)),"yyyy-mm-dd"),"")&amp;". ")&amp;IF(LEN(IF(LEN(INDEX('My equipment'!$Q$4:$Q$503,(_calc!$E$309-500)))=0,"",INDEX('My equipment'!$Q$4:$Q$503,(_calc!$E$309-500))))=0,"","Claim status: "&amp;IF(LEN(INDEX('My equipment'!$Q$4:$Q$503,(_calc!$E$309-500)))=0,"",INDEX('My equipment'!$Q$4:$Q$503,(_calc!$E$309-500)))&amp;". ")&amp;IF(LEN(IF(LEN(INDEX('My equipment'!$R$4:$R$503,(_calc!$E$309-500)))=0,"",INDEX('My equipment'!$R$4:$R$503,(_calc!$E$309-500))))=0,"","Claims contact: "&amp;IF(LEN(INDEX('My equipment'!$R$4:$R$503,(_calc!$E$309-500)))=0,"",INDEX('My equipment'!$R$4:$R$503,(_calc!$E$309-500)))&amp;". ")&amp;IF(LEN(IF(LEN(INDEX('My equipment'!$S$4:$S$503,(_calc!$E$309-500)))=0,"",INDEX('My equipment'!$S$4:$S$503,(_calc!$E$309-500))))=0,"","Claims email: "&amp;IF(LEN(INDEX('My equipment'!$S$4:$S$503,(_calc!$E$309-500)))=0,"",INDEX('My equipment'!$S$4:$S$503,(_calc!$E$309-500)))&amp;". ")&amp;IF(LEN(IF(LEN(INDEX('My equipment'!$U$4:$U$503,(_calc!$E$309-500)))=0,"",INDEX('My equipment'!$U$4:$U$503,(_calc!$E$309-500))))=0,"","Registered: "&amp;IF(LEN(INDEX('My equipment'!$U$4:$U$503,(_calc!$E$309-500)))=0,"",INDEX('My equipment'!$U$4:$U$503,(_calc!$E$309-500)))&amp;". ")&amp;IF(LEN(IF(LEN(INDEX('My equipment'!$V$4:$V$503,(_calc!$E$309-500)))=0,"",INDEX('My equipment'!$V$4:$V$503,(_calc!$E$309-500))))=0,"","Proof on file: "&amp;IF(LEN(INDEX('My equipment'!$V$4:$V$503,(_calc!$E$309-500)))=0,"",INDEX('My equipment'!$V$4:$V$503,(_calc!$E$309-500)))&amp;". ")&amp;IF(LEN(IF(LEN(INDEX('My equipment'!$W$4:$W$503,(_calc!$E$309-500)))=0,"",INDEX('My equipment'!$W$4:$W$503,(_calc!$E$309-500))))=0,"","Claim ref: "&amp;IF(LEN(INDEX('My equipment'!$W$4:$W$503,(_calc!$E$309-500)))=0,"",INDEX('My equipment'!$W$4:$W$503,(_calc!$E$309-500)))&amp;". ")&amp;IF(LEN(IF(LEN(INDEX('My equipment'!$Y$4:$Y$503,(_calc!$E$309-500)))=0,"",INDEX('My equipment'!$Y$4:$Y$503,(_calc!$E$309-500))))=0,"",IF(LEN(INDEX('My equipment'!$Y$4:$Y$503,(_calc!$E$309-500)))=0,"",INDEX('My equipment'!$Y$4:$Y$503,(_calc!$E$309-500)))))))</f>
        <v/>
      </c>
      <c r="G307" s="54">
        <f>IF(_calc!$E$309="","",IF(_calc!$E$309&lt;=500,"",IF(LEN(INDEX('My equipment'!$X$4:$X$503,(_calc!$E$309-500)))=0,"",INDEX('My equipment'!$X$4:$X$503,(_calc!$E$309-500)))))</f>
        <v/>
      </c>
      <c r="K307" s="54">
        <f>IF(_calc!$E$309="","",IF(_calc!$E$309&lt;=500,"",IF(LEN(INDEX('My equipment'!$T$4:$T$503,(_calc!$E$309-500)))=0,"",INDEX('My equipment'!$T$4:$T$503,(_calc!$E$309-500)))))</f>
        <v/>
      </c>
    </row>
    <row r="308">
      <c r="A308" s="54">
        <f>IF(_calc!$E$310="","",IF(_calc!$E$310&lt;=500,"Warranty – "&amp;IF(LEN(INDEX('Dealer pipeline'!$C$4:$C$503,_calc!$E$310))=0,"",INDEX('Dealer pipeline'!$C$4:$C$503,_calc!$E$310))&amp;" – "&amp;IF(LEN(INDEX('Dealer pipeline'!$D$4:$D$503,_calc!$E$310))=0,"",INDEX('Dealer pipeline'!$D$4:$D$503,_calc!$E$310))&amp;" – "&amp;IF(LEN(INDEX('Dealer pipeline'!$A$4:$A$503,_calc!$E$310))=0,"",INDEX('Dealer pipeline'!$A$4:$A$503,_calc!$E$310)),"Warranty – "&amp;IF(LEN(INDEX('My equipment'!$A$4:$A$503,(_calc!$E$310-500)))=0,"",INDEX('My equipment'!$A$4:$A$503,(_calc!$E$310-500)))&amp;" – "&amp;IF(LEN(INDEX('My equipment'!$D$4:$D$503,(_calc!$E$310-500)))=0,"",INDEX('My equipment'!$D$4:$D$503,(_calc!$E$310-500)))))</f>
        <v/>
      </c>
      <c r="B308" s="54">
        <f>IF(_calc!$E$310="","",IF(_calc!$E$310&lt;=500,IF(ISNUMBER(INDEX('Dealer pipeline'!$M$4:$M$503,_calc!$E$310)),TEXT(INDEX('Dealer pipeline'!$M$4:$M$503,_calc!$E$310),"yyyy-mm-dd"),""),IF(ISNUMBER(INDEX('My equipment'!$M$4:$M$503,(_calc!$E$310-500))),TEXT(INDEX('My equipment'!$M$4:$M$503,(_calc!$E$310-500)),"yyyy-mm-dd"),"")))</f>
        <v/>
      </c>
      <c r="C308" s="54">
        <f>IF(_calc!$E$310="","",IF(_calc!$E$310&lt;=500,"Warranty","Warranty"))</f>
        <v/>
      </c>
      <c r="D308" s="54">
        <f>IF(_calc!$E$310="","",IF(_calc!$E$310&lt;=500,IF(ISNUMBER(INDEX('Dealer pipeline'!$H$4:$H$503,_calc!$E$310)),TEXT(INDEX('Dealer pipeline'!$H$4:$H$503,_calc!$E$310),"yyyy-mm-dd"),""),IF(ISNUMBER(INDEX('My equipment'!$H$4:$H$503,(_calc!$E$310-500))),TEXT(INDEX('My equipment'!$H$4:$H$503,(_calc!$E$310-500)),"yyyy-mm-dd"),"")))</f>
        <v/>
      </c>
      <c r="F308" s="54">
        <f>IF(_calc!$E$310="","",IF(_calc!$E$310&lt;=500,TRIM(IF(LEN(IF(LEN(INDEX('Dealer pipeline'!$A$4:$A$503,_calc!$E$310))=0,"",INDEX('Dealer pipeline'!$A$4:$A$503,_calc!$E$310)))=0,"","Customer: "&amp;IF(LEN(INDEX('Dealer pipeline'!$A$4:$A$503,_calc!$E$310))=0,"",INDEX('Dealer pipeline'!$A$4:$A$503,_calc!$E$310))&amp;". ")&amp;IF(LEN(IF(LEN(INDEX('Dealer pipeline'!$B$4:$B$503,_calc!$E$310))=0,"",INDEX('Dealer pipeline'!$B$4:$B$503,_calc!$E$310)))=0,"","Contact: "&amp;IF(LEN(INDEX('Dealer pipeline'!$B$4:$B$503,_calc!$E$310))=0,"",INDEX('Dealer pipeline'!$B$4:$B$503,_calc!$E$310))&amp;". ")&amp;IF(LEN(IF(LEN(INDEX('Dealer pipeline'!$D$4:$D$503,_calc!$E$310))=0,"",INDEX('Dealer pipeline'!$D$4:$D$503,_calc!$E$310)))=0,"","Serial: "&amp;IF(LEN(INDEX('Dealer pipeline'!$D$4:$D$503,_calc!$E$310))=0,"",INDEX('Dealer pipeline'!$D$4:$D$503,_calc!$E$310))&amp;". ")&amp;IF(LEN(IF(ISNUMBER(INDEX('Dealer pipeline'!$J$4:$J$503,_calc!$E$310)),TEXT(INDEX('Dealer pipeline'!$J$4:$J$503,_calc!$E$310),"yyyy-mm-dd"),""))=0,"","Parts end: "&amp;IF(ISNUMBER(INDEX('Dealer pipeline'!$J$4:$J$503,_calc!$E$310)),TEXT(INDEX('Dealer pipeline'!$J$4:$J$503,_calc!$E$310),"yyyy-mm-dd"),"")&amp;". ")&amp;IF(LEN(IF(ISNUMBER(INDEX('Dealer pipeline'!$L$4:$L$503,_calc!$E$310)),TEXT(INDEX('Dealer pipeline'!$L$4:$L$503,_calc!$E$310),"yyyy-mm-dd"),""))=0,"","Labor end: "&amp;IF(ISNUMBER(INDEX('Dealer pipeline'!$L$4:$L$503,_calc!$E$310)),TEXT(INDEX('Dealer pipeline'!$L$4:$L$503,_calc!$E$310),"yyyy-mm-dd"),"")&amp;". ")&amp;IF(LEN(IF(LEN(INDEX('Dealer pipeline'!$Q$4:$Q$503,_calc!$E$310))=0,"",INDEX('Dealer pipeline'!$Q$4:$Q$503,_calc!$E$310)))=0,"","Status: "&amp;IF(LEN(INDEX('Dealer pipeline'!$Q$4:$Q$503,_calc!$E$310))=0,"",INDEX('Dealer pipeline'!$Q$4:$Q$503,_calc!$E$310))&amp;". ")&amp;IF(LEN(IF(LEN(INDEX('Dealer pipeline'!$P$4:$P$503,_calc!$E$310))=0,"",INDEX('Dealer pipeline'!$P$4:$P$503,_calc!$E$310)))=0,"","Last touch: "&amp;IF(LEN(INDEX('Dealer pipeline'!$P$4:$P$503,_calc!$E$310))=0,"",INDEX('Dealer pipeline'!$P$4:$P$503,_calc!$E$310))&amp;". ")&amp;IF(LEN(IF(LEN(INDEX('Dealer pipeline'!$R$4:$R$503,_calc!$E$310))=0,"",INDEX('Dealer pipeline'!$R$4:$R$503,_calc!$E$310)))=0,"","Owner: "&amp;IF(LEN(INDEX('Dealer pipeline'!$R$4:$R$503,_calc!$E$310))=0,"",INDEX('Dealer pipeline'!$R$4:$R$503,_calc!$E$310))&amp;". ")&amp;IF(LEN(IF(LEN(INDEX('Dealer pipeline'!$S$4:$S$503,_calc!$E$310))=0,"",INDEX('Dealer pipeline'!$S$4:$S$503,_calc!$E$310)))=0,"","Backup: "&amp;IF(LEN(INDEX('Dealer pipeline'!$S$4:$S$503,_calc!$E$310))=0,"",INDEX('Dealer pipeline'!$S$4:$S$503,_calc!$E$310))&amp;". ")&amp;IF(LEN(IF(LEN(INDEX('Dealer pipeline'!$T$4:$T$503,_calc!$E$310))=0,"",INDEX('Dealer pipeline'!$T$4:$T$503,_calc!$E$310)))=0,"",IF(LEN(INDEX('Dealer pipeline'!$T$4:$T$503,_calc!$E$310))=0,"",INDEX('Dealer pipeline'!$T$4:$T$503,_calc!$E$310)))),TRIM(IF(LEN(IF(LEN(INDEX('My equipment'!$C$4:$C$503,(_calc!$E$310-500)))=0,"",INDEX('My equipment'!$C$4:$C$503,(_calc!$E$310-500))))=0,"","Model: "&amp;IF(LEN(INDEX('My equipment'!$C$4:$C$503,(_calc!$E$310-500)))=0,"",INDEX('My equipment'!$C$4:$C$503,(_calc!$E$310-500)))&amp;". ")&amp;IF(LEN(IF(LEN(INDEX('My equipment'!$D$4:$D$503,(_calc!$E$310-500)))=0,"",INDEX('My equipment'!$D$4:$D$503,(_calc!$E$310-500))))=0,"","Serial: "&amp;IF(LEN(INDEX('My equipment'!$D$4:$D$503,(_calc!$E$310-500)))=0,"",INDEX('My equipment'!$D$4:$D$503,(_calc!$E$310-500)))&amp;". ")&amp;IF(LEN(IF(ISNUMBER(INDEX('My equipment'!$J$4:$J$503,(_calc!$E$310-500))),TEXT(INDEX('My equipment'!$J$4:$J$503,(_calc!$E$310-500)),"yyyy-mm-dd"),""))=0,"","Parts end: "&amp;IF(ISNUMBER(INDEX('My equipment'!$J$4:$J$503,(_calc!$E$310-500))),TEXT(INDEX('My equipment'!$J$4:$J$503,(_calc!$E$310-500)),"yyyy-mm-dd"),"")&amp;". ")&amp;IF(LEN(IF(ISNUMBER(INDEX('My equipment'!$L$4:$L$503,(_calc!$E$310-500))),TEXT(INDEX('My equipment'!$L$4:$L$503,(_calc!$E$310-500)),"yyyy-mm-dd"),""))=0,"","Labor end: "&amp;IF(ISNUMBER(INDEX('My equipment'!$L$4:$L$503,(_calc!$E$310-500))),TEXT(INDEX('My equipment'!$L$4:$L$503,(_calc!$E$310-500)),"yyyy-mm-dd"),"")&amp;". ")&amp;IF(LEN(IF(ISNUMBER(INDEX('My equipment'!$P$4:$P$503,(_calc!$E$310-500))),TEXT(INDEX('My equipment'!$P$4:$P$503,(_calc!$E$310-500)),"yyyy-mm-dd"),""))=0,"","Check by: "&amp;IF(ISNUMBER(INDEX('My equipment'!$P$4:$P$503,(_calc!$E$310-500))),TEXT(INDEX('My equipment'!$P$4:$P$503,(_calc!$E$310-500)),"yyyy-mm-dd"),"")&amp;". ")&amp;IF(LEN(IF(LEN(INDEX('My equipment'!$Q$4:$Q$503,(_calc!$E$310-500)))=0,"",INDEX('My equipment'!$Q$4:$Q$503,(_calc!$E$310-500))))=0,"","Claim status: "&amp;IF(LEN(INDEX('My equipment'!$Q$4:$Q$503,(_calc!$E$310-500)))=0,"",INDEX('My equipment'!$Q$4:$Q$503,(_calc!$E$310-500)))&amp;". ")&amp;IF(LEN(IF(LEN(INDEX('My equipment'!$R$4:$R$503,(_calc!$E$310-500)))=0,"",INDEX('My equipment'!$R$4:$R$503,(_calc!$E$310-500))))=0,"","Claims contact: "&amp;IF(LEN(INDEX('My equipment'!$R$4:$R$503,(_calc!$E$310-500)))=0,"",INDEX('My equipment'!$R$4:$R$503,(_calc!$E$310-500)))&amp;". ")&amp;IF(LEN(IF(LEN(INDEX('My equipment'!$S$4:$S$503,(_calc!$E$310-500)))=0,"",INDEX('My equipment'!$S$4:$S$503,(_calc!$E$310-500))))=0,"","Claims email: "&amp;IF(LEN(INDEX('My equipment'!$S$4:$S$503,(_calc!$E$310-500)))=0,"",INDEX('My equipment'!$S$4:$S$503,(_calc!$E$310-500)))&amp;". ")&amp;IF(LEN(IF(LEN(INDEX('My equipment'!$U$4:$U$503,(_calc!$E$310-500)))=0,"",INDEX('My equipment'!$U$4:$U$503,(_calc!$E$310-500))))=0,"","Registered: "&amp;IF(LEN(INDEX('My equipment'!$U$4:$U$503,(_calc!$E$310-500)))=0,"",INDEX('My equipment'!$U$4:$U$503,(_calc!$E$310-500)))&amp;". ")&amp;IF(LEN(IF(LEN(INDEX('My equipment'!$V$4:$V$503,(_calc!$E$310-500)))=0,"",INDEX('My equipment'!$V$4:$V$503,(_calc!$E$310-500))))=0,"","Proof on file: "&amp;IF(LEN(INDEX('My equipment'!$V$4:$V$503,(_calc!$E$310-500)))=0,"",INDEX('My equipment'!$V$4:$V$503,(_calc!$E$310-500)))&amp;". ")&amp;IF(LEN(IF(LEN(INDEX('My equipment'!$W$4:$W$503,(_calc!$E$310-500)))=0,"",INDEX('My equipment'!$W$4:$W$503,(_calc!$E$310-500))))=0,"","Claim ref: "&amp;IF(LEN(INDEX('My equipment'!$W$4:$W$503,(_calc!$E$310-500)))=0,"",INDEX('My equipment'!$W$4:$W$503,(_calc!$E$310-500)))&amp;". ")&amp;IF(LEN(IF(LEN(INDEX('My equipment'!$Y$4:$Y$503,(_calc!$E$310-500)))=0,"",INDEX('My equipment'!$Y$4:$Y$503,(_calc!$E$310-500))))=0,"",IF(LEN(INDEX('My equipment'!$Y$4:$Y$503,(_calc!$E$310-500)))=0,"",INDEX('My equipment'!$Y$4:$Y$503,(_calc!$E$310-500)))))))</f>
        <v/>
      </c>
      <c r="G308" s="54">
        <f>IF(_calc!$E$310="","",IF(_calc!$E$310&lt;=500,"",IF(LEN(INDEX('My equipment'!$X$4:$X$503,(_calc!$E$310-500)))=0,"",INDEX('My equipment'!$X$4:$X$503,(_calc!$E$310-500)))))</f>
        <v/>
      </c>
      <c r="K308" s="54">
        <f>IF(_calc!$E$310="","",IF(_calc!$E$310&lt;=500,"",IF(LEN(INDEX('My equipment'!$T$4:$T$503,(_calc!$E$310-500)))=0,"",INDEX('My equipment'!$T$4:$T$503,(_calc!$E$310-500)))))</f>
        <v/>
      </c>
    </row>
    <row r="309">
      <c r="A309" s="54">
        <f>IF(_calc!$E$311="","",IF(_calc!$E$311&lt;=500,"Warranty – "&amp;IF(LEN(INDEX('Dealer pipeline'!$C$4:$C$503,_calc!$E$311))=0,"",INDEX('Dealer pipeline'!$C$4:$C$503,_calc!$E$311))&amp;" – "&amp;IF(LEN(INDEX('Dealer pipeline'!$D$4:$D$503,_calc!$E$311))=0,"",INDEX('Dealer pipeline'!$D$4:$D$503,_calc!$E$311))&amp;" – "&amp;IF(LEN(INDEX('Dealer pipeline'!$A$4:$A$503,_calc!$E$311))=0,"",INDEX('Dealer pipeline'!$A$4:$A$503,_calc!$E$311)),"Warranty – "&amp;IF(LEN(INDEX('My equipment'!$A$4:$A$503,(_calc!$E$311-500)))=0,"",INDEX('My equipment'!$A$4:$A$503,(_calc!$E$311-500)))&amp;" – "&amp;IF(LEN(INDEX('My equipment'!$D$4:$D$503,(_calc!$E$311-500)))=0,"",INDEX('My equipment'!$D$4:$D$503,(_calc!$E$311-500)))))</f>
        <v/>
      </c>
      <c r="B309" s="54">
        <f>IF(_calc!$E$311="","",IF(_calc!$E$311&lt;=500,IF(ISNUMBER(INDEX('Dealer pipeline'!$M$4:$M$503,_calc!$E$311)),TEXT(INDEX('Dealer pipeline'!$M$4:$M$503,_calc!$E$311),"yyyy-mm-dd"),""),IF(ISNUMBER(INDEX('My equipment'!$M$4:$M$503,(_calc!$E$311-500))),TEXT(INDEX('My equipment'!$M$4:$M$503,(_calc!$E$311-500)),"yyyy-mm-dd"),"")))</f>
        <v/>
      </c>
      <c r="C309" s="54">
        <f>IF(_calc!$E$311="","",IF(_calc!$E$311&lt;=500,"Warranty","Warranty"))</f>
        <v/>
      </c>
      <c r="D309" s="54">
        <f>IF(_calc!$E$311="","",IF(_calc!$E$311&lt;=500,IF(ISNUMBER(INDEX('Dealer pipeline'!$H$4:$H$503,_calc!$E$311)),TEXT(INDEX('Dealer pipeline'!$H$4:$H$503,_calc!$E$311),"yyyy-mm-dd"),""),IF(ISNUMBER(INDEX('My equipment'!$H$4:$H$503,(_calc!$E$311-500))),TEXT(INDEX('My equipment'!$H$4:$H$503,(_calc!$E$311-500)),"yyyy-mm-dd"),"")))</f>
        <v/>
      </c>
      <c r="F309" s="54">
        <f>IF(_calc!$E$311="","",IF(_calc!$E$311&lt;=500,TRIM(IF(LEN(IF(LEN(INDEX('Dealer pipeline'!$A$4:$A$503,_calc!$E$311))=0,"",INDEX('Dealer pipeline'!$A$4:$A$503,_calc!$E$311)))=0,"","Customer: "&amp;IF(LEN(INDEX('Dealer pipeline'!$A$4:$A$503,_calc!$E$311))=0,"",INDEX('Dealer pipeline'!$A$4:$A$503,_calc!$E$311))&amp;". ")&amp;IF(LEN(IF(LEN(INDEX('Dealer pipeline'!$B$4:$B$503,_calc!$E$311))=0,"",INDEX('Dealer pipeline'!$B$4:$B$503,_calc!$E$311)))=0,"","Contact: "&amp;IF(LEN(INDEX('Dealer pipeline'!$B$4:$B$503,_calc!$E$311))=0,"",INDEX('Dealer pipeline'!$B$4:$B$503,_calc!$E$311))&amp;". ")&amp;IF(LEN(IF(LEN(INDEX('Dealer pipeline'!$D$4:$D$503,_calc!$E$311))=0,"",INDEX('Dealer pipeline'!$D$4:$D$503,_calc!$E$311)))=0,"","Serial: "&amp;IF(LEN(INDEX('Dealer pipeline'!$D$4:$D$503,_calc!$E$311))=0,"",INDEX('Dealer pipeline'!$D$4:$D$503,_calc!$E$311))&amp;". ")&amp;IF(LEN(IF(ISNUMBER(INDEX('Dealer pipeline'!$J$4:$J$503,_calc!$E$311)),TEXT(INDEX('Dealer pipeline'!$J$4:$J$503,_calc!$E$311),"yyyy-mm-dd"),""))=0,"","Parts end: "&amp;IF(ISNUMBER(INDEX('Dealer pipeline'!$J$4:$J$503,_calc!$E$311)),TEXT(INDEX('Dealer pipeline'!$J$4:$J$503,_calc!$E$311),"yyyy-mm-dd"),"")&amp;". ")&amp;IF(LEN(IF(ISNUMBER(INDEX('Dealer pipeline'!$L$4:$L$503,_calc!$E$311)),TEXT(INDEX('Dealer pipeline'!$L$4:$L$503,_calc!$E$311),"yyyy-mm-dd"),""))=0,"","Labor end: "&amp;IF(ISNUMBER(INDEX('Dealer pipeline'!$L$4:$L$503,_calc!$E$311)),TEXT(INDEX('Dealer pipeline'!$L$4:$L$503,_calc!$E$311),"yyyy-mm-dd"),"")&amp;". ")&amp;IF(LEN(IF(LEN(INDEX('Dealer pipeline'!$Q$4:$Q$503,_calc!$E$311))=0,"",INDEX('Dealer pipeline'!$Q$4:$Q$503,_calc!$E$311)))=0,"","Status: "&amp;IF(LEN(INDEX('Dealer pipeline'!$Q$4:$Q$503,_calc!$E$311))=0,"",INDEX('Dealer pipeline'!$Q$4:$Q$503,_calc!$E$311))&amp;". ")&amp;IF(LEN(IF(LEN(INDEX('Dealer pipeline'!$P$4:$P$503,_calc!$E$311))=0,"",INDEX('Dealer pipeline'!$P$4:$P$503,_calc!$E$311)))=0,"","Last touch: "&amp;IF(LEN(INDEX('Dealer pipeline'!$P$4:$P$503,_calc!$E$311))=0,"",INDEX('Dealer pipeline'!$P$4:$P$503,_calc!$E$311))&amp;". ")&amp;IF(LEN(IF(LEN(INDEX('Dealer pipeline'!$R$4:$R$503,_calc!$E$311))=0,"",INDEX('Dealer pipeline'!$R$4:$R$503,_calc!$E$311)))=0,"","Owner: "&amp;IF(LEN(INDEX('Dealer pipeline'!$R$4:$R$503,_calc!$E$311))=0,"",INDEX('Dealer pipeline'!$R$4:$R$503,_calc!$E$311))&amp;". ")&amp;IF(LEN(IF(LEN(INDEX('Dealer pipeline'!$S$4:$S$503,_calc!$E$311))=0,"",INDEX('Dealer pipeline'!$S$4:$S$503,_calc!$E$311)))=0,"","Backup: "&amp;IF(LEN(INDEX('Dealer pipeline'!$S$4:$S$503,_calc!$E$311))=0,"",INDEX('Dealer pipeline'!$S$4:$S$503,_calc!$E$311))&amp;". ")&amp;IF(LEN(IF(LEN(INDEX('Dealer pipeline'!$T$4:$T$503,_calc!$E$311))=0,"",INDEX('Dealer pipeline'!$T$4:$T$503,_calc!$E$311)))=0,"",IF(LEN(INDEX('Dealer pipeline'!$T$4:$T$503,_calc!$E$311))=0,"",INDEX('Dealer pipeline'!$T$4:$T$503,_calc!$E$311)))),TRIM(IF(LEN(IF(LEN(INDEX('My equipment'!$C$4:$C$503,(_calc!$E$311-500)))=0,"",INDEX('My equipment'!$C$4:$C$503,(_calc!$E$311-500))))=0,"","Model: "&amp;IF(LEN(INDEX('My equipment'!$C$4:$C$503,(_calc!$E$311-500)))=0,"",INDEX('My equipment'!$C$4:$C$503,(_calc!$E$311-500)))&amp;". ")&amp;IF(LEN(IF(LEN(INDEX('My equipment'!$D$4:$D$503,(_calc!$E$311-500)))=0,"",INDEX('My equipment'!$D$4:$D$503,(_calc!$E$311-500))))=0,"","Serial: "&amp;IF(LEN(INDEX('My equipment'!$D$4:$D$503,(_calc!$E$311-500)))=0,"",INDEX('My equipment'!$D$4:$D$503,(_calc!$E$311-500)))&amp;". ")&amp;IF(LEN(IF(ISNUMBER(INDEX('My equipment'!$J$4:$J$503,(_calc!$E$311-500))),TEXT(INDEX('My equipment'!$J$4:$J$503,(_calc!$E$311-500)),"yyyy-mm-dd"),""))=0,"","Parts end: "&amp;IF(ISNUMBER(INDEX('My equipment'!$J$4:$J$503,(_calc!$E$311-500))),TEXT(INDEX('My equipment'!$J$4:$J$503,(_calc!$E$311-500)),"yyyy-mm-dd"),"")&amp;". ")&amp;IF(LEN(IF(ISNUMBER(INDEX('My equipment'!$L$4:$L$503,(_calc!$E$311-500))),TEXT(INDEX('My equipment'!$L$4:$L$503,(_calc!$E$311-500)),"yyyy-mm-dd"),""))=0,"","Labor end: "&amp;IF(ISNUMBER(INDEX('My equipment'!$L$4:$L$503,(_calc!$E$311-500))),TEXT(INDEX('My equipment'!$L$4:$L$503,(_calc!$E$311-500)),"yyyy-mm-dd"),"")&amp;". ")&amp;IF(LEN(IF(ISNUMBER(INDEX('My equipment'!$P$4:$P$503,(_calc!$E$311-500))),TEXT(INDEX('My equipment'!$P$4:$P$503,(_calc!$E$311-500)),"yyyy-mm-dd"),""))=0,"","Check by: "&amp;IF(ISNUMBER(INDEX('My equipment'!$P$4:$P$503,(_calc!$E$311-500))),TEXT(INDEX('My equipment'!$P$4:$P$503,(_calc!$E$311-500)),"yyyy-mm-dd"),"")&amp;". ")&amp;IF(LEN(IF(LEN(INDEX('My equipment'!$Q$4:$Q$503,(_calc!$E$311-500)))=0,"",INDEX('My equipment'!$Q$4:$Q$503,(_calc!$E$311-500))))=0,"","Claim status: "&amp;IF(LEN(INDEX('My equipment'!$Q$4:$Q$503,(_calc!$E$311-500)))=0,"",INDEX('My equipment'!$Q$4:$Q$503,(_calc!$E$311-500)))&amp;". ")&amp;IF(LEN(IF(LEN(INDEX('My equipment'!$R$4:$R$503,(_calc!$E$311-500)))=0,"",INDEX('My equipment'!$R$4:$R$503,(_calc!$E$311-500))))=0,"","Claims contact: "&amp;IF(LEN(INDEX('My equipment'!$R$4:$R$503,(_calc!$E$311-500)))=0,"",INDEX('My equipment'!$R$4:$R$503,(_calc!$E$311-500)))&amp;". ")&amp;IF(LEN(IF(LEN(INDEX('My equipment'!$S$4:$S$503,(_calc!$E$311-500)))=0,"",INDEX('My equipment'!$S$4:$S$503,(_calc!$E$311-500))))=0,"","Claims email: "&amp;IF(LEN(INDEX('My equipment'!$S$4:$S$503,(_calc!$E$311-500)))=0,"",INDEX('My equipment'!$S$4:$S$503,(_calc!$E$311-500)))&amp;". ")&amp;IF(LEN(IF(LEN(INDEX('My equipment'!$U$4:$U$503,(_calc!$E$311-500)))=0,"",INDEX('My equipment'!$U$4:$U$503,(_calc!$E$311-500))))=0,"","Registered: "&amp;IF(LEN(INDEX('My equipment'!$U$4:$U$503,(_calc!$E$311-500)))=0,"",INDEX('My equipment'!$U$4:$U$503,(_calc!$E$311-500)))&amp;". ")&amp;IF(LEN(IF(LEN(INDEX('My equipment'!$V$4:$V$503,(_calc!$E$311-500)))=0,"",INDEX('My equipment'!$V$4:$V$503,(_calc!$E$311-500))))=0,"","Proof on file: "&amp;IF(LEN(INDEX('My equipment'!$V$4:$V$503,(_calc!$E$311-500)))=0,"",INDEX('My equipment'!$V$4:$V$503,(_calc!$E$311-500)))&amp;". ")&amp;IF(LEN(IF(LEN(INDEX('My equipment'!$W$4:$W$503,(_calc!$E$311-500)))=0,"",INDEX('My equipment'!$W$4:$W$503,(_calc!$E$311-500))))=0,"","Claim ref: "&amp;IF(LEN(INDEX('My equipment'!$W$4:$W$503,(_calc!$E$311-500)))=0,"",INDEX('My equipment'!$W$4:$W$503,(_calc!$E$311-500)))&amp;". ")&amp;IF(LEN(IF(LEN(INDEX('My equipment'!$Y$4:$Y$503,(_calc!$E$311-500)))=0,"",INDEX('My equipment'!$Y$4:$Y$503,(_calc!$E$311-500))))=0,"",IF(LEN(INDEX('My equipment'!$Y$4:$Y$503,(_calc!$E$311-500)))=0,"",INDEX('My equipment'!$Y$4:$Y$503,(_calc!$E$311-500)))))))</f>
        <v/>
      </c>
      <c r="G309" s="54">
        <f>IF(_calc!$E$311="","",IF(_calc!$E$311&lt;=500,"",IF(LEN(INDEX('My equipment'!$X$4:$X$503,(_calc!$E$311-500)))=0,"",INDEX('My equipment'!$X$4:$X$503,(_calc!$E$311-500)))))</f>
        <v/>
      </c>
      <c r="K309" s="54">
        <f>IF(_calc!$E$311="","",IF(_calc!$E$311&lt;=500,"",IF(LEN(INDEX('My equipment'!$T$4:$T$503,(_calc!$E$311-500)))=0,"",INDEX('My equipment'!$T$4:$T$503,(_calc!$E$311-500)))))</f>
        <v/>
      </c>
    </row>
    <row r="310">
      <c r="A310" s="54">
        <f>IF(_calc!$E$312="","",IF(_calc!$E$312&lt;=500,"Warranty – "&amp;IF(LEN(INDEX('Dealer pipeline'!$C$4:$C$503,_calc!$E$312))=0,"",INDEX('Dealer pipeline'!$C$4:$C$503,_calc!$E$312))&amp;" – "&amp;IF(LEN(INDEX('Dealer pipeline'!$D$4:$D$503,_calc!$E$312))=0,"",INDEX('Dealer pipeline'!$D$4:$D$503,_calc!$E$312))&amp;" – "&amp;IF(LEN(INDEX('Dealer pipeline'!$A$4:$A$503,_calc!$E$312))=0,"",INDEX('Dealer pipeline'!$A$4:$A$503,_calc!$E$312)),"Warranty – "&amp;IF(LEN(INDEX('My equipment'!$A$4:$A$503,(_calc!$E$312-500)))=0,"",INDEX('My equipment'!$A$4:$A$503,(_calc!$E$312-500)))&amp;" – "&amp;IF(LEN(INDEX('My equipment'!$D$4:$D$503,(_calc!$E$312-500)))=0,"",INDEX('My equipment'!$D$4:$D$503,(_calc!$E$312-500)))))</f>
        <v/>
      </c>
      <c r="B310" s="54">
        <f>IF(_calc!$E$312="","",IF(_calc!$E$312&lt;=500,IF(ISNUMBER(INDEX('Dealer pipeline'!$M$4:$M$503,_calc!$E$312)),TEXT(INDEX('Dealer pipeline'!$M$4:$M$503,_calc!$E$312),"yyyy-mm-dd"),""),IF(ISNUMBER(INDEX('My equipment'!$M$4:$M$503,(_calc!$E$312-500))),TEXT(INDEX('My equipment'!$M$4:$M$503,(_calc!$E$312-500)),"yyyy-mm-dd"),"")))</f>
        <v/>
      </c>
      <c r="C310" s="54">
        <f>IF(_calc!$E$312="","",IF(_calc!$E$312&lt;=500,"Warranty","Warranty"))</f>
        <v/>
      </c>
      <c r="D310" s="54">
        <f>IF(_calc!$E$312="","",IF(_calc!$E$312&lt;=500,IF(ISNUMBER(INDEX('Dealer pipeline'!$H$4:$H$503,_calc!$E$312)),TEXT(INDEX('Dealer pipeline'!$H$4:$H$503,_calc!$E$312),"yyyy-mm-dd"),""),IF(ISNUMBER(INDEX('My equipment'!$H$4:$H$503,(_calc!$E$312-500))),TEXT(INDEX('My equipment'!$H$4:$H$503,(_calc!$E$312-500)),"yyyy-mm-dd"),"")))</f>
        <v/>
      </c>
      <c r="F310" s="54">
        <f>IF(_calc!$E$312="","",IF(_calc!$E$312&lt;=500,TRIM(IF(LEN(IF(LEN(INDEX('Dealer pipeline'!$A$4:$A$503,_calc!$E$312))=0,"",INDEX('Dealer pipeline'!$A$4:$A$503,_calc!$E$312)))=0,"","Customer: "&amp;IF(LEN(INDEX('Dealer pipeline'!$A$4:$A$503,_calc!$E$312))=0,"",INDEX('Dealer pipeline'!$A$4:$A$503,_calc!$E$312))&amp;". ")&amp;IF(LEN(IF(LEN(INDEX('Dealer pipeline'!$B$4:$B$503,_calc!$E$312))=0,"",INDEX('Dealer pipeline'!$B$4:$B$503,_calc!$E$312)))=0,"","Contact: "&amp;IF(LEN(INDEX('Dealer pipeline'!$B$4:$B$503,_calc!$E$312))=0,"",INDEX('Dealer pipeline'!$B$4:$B$503,_calc!$E$312))&amp;". ")&amp;IF(LEN(IF(LEN(INDEX('Dealer pipeline'!$D$4:$D$503,_calc!$E$312))=0,"",INDEX('Dealer pipeline'!$D$4:$D$503,_calc!$E$312)))=0,"","Serial: "&amp;IF(LEN(INDEX('Dealer pipeline'!$D$4:$D$503,_calc!$E$312))=0,"",INDEX('Dealer pipeline'!$D$4:$D$503,_calc!$E$312))&amp;". ")&amp;IF(LEN(IF(ISNUMBER(INDEX('Dealer pipeline'!$J$4:$J$503,_calc!$E$312)),TEXT(INDEX('Dealer pipeline'!$J$4:$J$503,_calc!$E$312),"yyyy-mm-dd"),""))=0,"","Parts end: "&amp;IF(ISNUMBER(INDEX('Dealer pipeline'!$J$4:$J$503,_calc!$E$312)),TEXT(INDEX('Dealer pipeline'!$J$4:$J$503,_calc!$E$312),"yyyy-mm-dd"),"")&amp;". ")&amp;IF(LEN(IF(ISNUMBER(INDEX('Dealer pipeline'!$L$4:$L$503,_calc!$E$312)),TEXT(INDEX('Dealer pipeline'!$L$4:$L$503,_calc!$E$312),"yyyy-mm-dd"),""))=0,"","Labor end: "&amp;IF(ISNUMBER(INDEX('Dealer pipeline'!$L$4:$L$503,_calc!$E$312)),TEXT(INDEX('Dealer pipeline'!$L$4:$L$503,_calc!$E$312),"yyyy-mm-dd"),"")&amp;". ")&amp;IF(LEN(IF(LEN(INDEX('Dealer pipeline'!$Q$4:$Q$503,_calc!$E$312))=0,"",INDEX('Dealer pipeline'!$Q$4:$Q$503,_calc!$E$312)))=0,"","Status: "&amp;IF(LEN(INDEX('Dealer pipeline'!$Q$4:$Q$503,_calc!$E$312))=0,"",INDEX('Dealer pipeline'!$Q$4:$Q$503,_calc!$E$312))&amp;". ")&amp;IF(LEN(IF(LEN(INDEX('Dealer pipeline'!$P$4:$P$503,_calc!$E$312))=0,"",INDEX('Dealer pipeline'!$P$4:$P$503,_calc!$E$312)))=0,"","Last touch: "&amp;IF(LEN(INDEX('Dealer pipeline'!$P$4:$P$503,_calc!$E$312))=0,"",INDEX('Dealer pipeline'!$P$4:$P$503,_calc!$E$312))&amp;". ")&amp;IF(LEN(IF(LEN(INDEX('Dealer pipeline'!$R$4:$R$503,_calc!$E$312))=0,"",INDEX('Dealer pipeline'!$R$4:$R$503,_calc!$E$312)))=0,"","Owner: "&amp;IF(LEN(INDEX('Dealer pipeline'!$R$4:$R$503,_calc!$E$312))=0,"",INDEX('Dealer pipeline'!$R$4:$R$503,_calc!$E$312))&amp;". ")&amp;IF(LEN(IF(LEN(INDEX('Dealer pipeline'!$S$4:$S$503,_calc!$E$312))=0,"",INDEX('Dealer pipeline'!$S$4:$S$503,_calc!$E$312)))=0,"","Backup: "&amp;IF(LEN(INDEX('Dealer pipeline'!$S$4:$S$503,_calc!$E$312))=0,"",INDEX('Dealer pipeline'!$S$4:$S$503,_calc!$E$312))&amp;". ")&amp;IF(LEN(IF(LEN(INDEX('Dealer pipeline'!$T$4:$T$503,_calc!$E$312))=0,"",INDEX('Dealer pipeline'!$T$4:$T$503,_calc!$E$312)))=0,"",IF(LEN(INDEX('Dealer pipeline'!$T$4:$T$503,_calc!$E$312))=0,"",INDEX('Dealer pipeline'!$T$4:$T$503,_calc!$E$312)))),TRIM(IF(LEN(IF(LEN(INDEX('My equipment'!$C$4:$C$503,(_calc!$E$312-500)))=0,"",INDEX('My equipment'!$C$4:$C$503,(_calc!$E$312-500))))=0,"","Model: "&amp;IF(LEN(INDEX('My equipment'!$C$4:$C$503,(_calc!$E$312-500)))=0,"",INDEX('My equipment'!$C$4:$C$503,(_calc!$E$312-500)))&amp;". ")&amp;IF(LEN(IF(LEN(INDEX('My equipment'!$D$4:$D$503,(_calc!$E$312-500)))=0,"",INDEX('My equipment'!$D$4:$D$503,(_calc!$E$312-500))))=0,"","Serial: "&amp;IF(LEN(INDEX('My equipment'!$D$4:$D$503,(_calc!$E$312-500)))=0,"",INDEX('My equipment'!$D$4:$D$503,(_calc!$E$312-500)))&amp;". ")&amp;IF(LEN(IF(ISNUMBER(INDEX('My equipment'!$J$4:$J$503,(_calc!$E$312-500))),TEXT(INDEX('My equipment'!$J$4:$J$503,(_calc!$E$312-500)),"yyyy-mm-dd"),""))=0,"","Parts end: "&amp;IF(ISNUMBER(INDEX('My equipment'!$J$4:$J$503,(_calc!$E$312-500))),TEXT(INDEX('My equipment'!$J$4:$J$503,(_calc!$E$312-500)),"yyyy-mm-dd"),"")&amp;". ")&amp;IF(LEN(IF(ISNUMBER(INDEX('My equipment'!$L$4:$L$503,(_calc!$E$312-500))),TEXT(INDEX('My equipment'!$L$4:$L$503,(_calc!$E$312-500)),"yyyy-mm-dd"),""))=0,"","Labor end: "&amp;IF(ISNUMBER(INDEX('My equipment'!$L$4:$L$503,(_calc!$E$312-500))),TEXT(INDEX('My equipment'!$L$4:$L$503,(_calc!$E$312-500)),"yyyy-mm-dd"),"")&amp;". ")&amp;IF(LEN(IF(ISNUMBER(INDEX('My equipment'!$P$4:$P$503,(_calc!$E$312-500))),TEXT(INDEX('My equipment'!$P$4:$P$503,(_calc!$E$312-500)),"yyyy-mm-dd"),""))=0,"","Check by: "&amp;IF(ISNUMBER(INDEX('My equipment'!$P$4:$P$503,(_calc!$E$312-500))),TEXT(INDEX('My equipment'!$P$4:$P$503,(_calc!$E$312-500)),"yyyy-mm-dd"),"")&amp;". ")&amp;IF(LEN(IF(LEN(INDEX('My equipment'!$Q$4:$Q$503,(_calc!$E$312-500)))=0,"",INDEX('My equipment'!$Q$4:$Q$503,(_calc!$E$312-500))))=0,"","Claim status: "&amp;IF(LEN(INDEX('My equipment'!$Q$4:$Q$503,(_calc!$E$312-500)))=0,"",INDEX('My equipment'!$Q$4:$Q$503,(_calc!$E$312-500)))&amp;". ")&amp;IF(LEN(IF(LEN(INDEX('My equipment'!$R$4:$R$503,(_calc!$E$312-500)))=0,"",INDEX('My equipment'!$R$4:$R$503,(_calc!$E$312-500))))=0,"","Claims contact: "&amp;IF(LEN(INDEX('My equipment'!$R$4:$R$503,(_calc!$E$312-500)))=0,"",INDEX('My equipment'!$R$4:$R$503,(_calc!$E$312-500)))&amp;". ")&amp;IF(LEN(IF(LEN(INDEX('My equipment'!$S$4:$S$503,(_calc!$E$312-500)))=0,"",INDEX('My equipment'!$S$4:$S$503,(_calc!$E$312-500))))=0,"","Claims email: "&amp;IF(LEN(INDEX('My equipment'!$S$4:$S$503,(_calc!$E$312-500)))=0,"",INDEX('My equipment'!$S$4:$S$503,(_calc!$E$312-500)))&amp;". ")&amp;IF(LEN(IF(LEN(INDEX('My equipment'!$U$4:$U$503,(_calc!$E$312-500)))=0,"",INDEX('My equipment'!$U$4:$U$503,(_calc!$E$312-500))))=0,"","Registered: "&amp;IF(LEN(INDEX('My equipment'!$U$4:$U$503,(_calc!$E$312-500)))=0,"",INDEX('My equipment'!$U$4:$U$503,(_calc!$E$312-500)))&amp;". ")&amp;IF(LEN(IF(LEN(INDEX('My equipment'!$V$4:$V$503,(_calc!$E$312-500)))=0,"",INDEX('My equipment'!$V$4:$V$503,(_calc!$E$312-500))))=0,"","Proof on file: "&amp;IF(LEN(INDEX('My equipment'!$V$4:$V$503,(_calc!$E$312-500)))=0,"",INDEX('My equipment'!$V$4:$V$503,(_calc!$E$312-500)))&amp;". ")&amp;IF(LEN(IF(LEN(INDEX('My equipment'!$W$4:$W$503,(_calc!$E$312-500)))=0,"",INDEX('My equipment'!$W$4:$W$503,(_calc!$E$312-500))))=0,"","Claim ref: "&amp;IF(LEN(INDEX('My equipment'!$W$4:$W$503,(_calc!$E$312-500)))=0,"",INDEX('My equipment'!$W$4:$W$503,(_calc!$E$312-500)))&amp;". ")&amp;IF(LEN(IF(LEN(INDEX('My equipment'!$Y$4:$Y$503,(_calc!$E$312-500)))=0,"",INDEX('My equipment'!$Y$4:$Y$503,(_calc!$E$312-500))))=0,"",IF(LEN(INDEX('My equipment'!$Y$4:$Y$503,(_calc!$E$312-500)))=0,"",INDEX('My equipment'!$Y$4:$Y$503,(_calc!$E$312-500)))))))</f>
        <v/>
      </c>
      <c r="G310" s="54">
        <f>IF(_calc!$E$312="","",IF(_calc!$E$312&lt;=500,"",IF(LEN(INDEX('My equipment'!$X$4:$X$503,(_calc!$E$312-500)))=0,"",INDEX('My equipment'!$X$4:$X$503,(_calc!$E$312-500)))))</f>
        <v/>
      </c>
      <c r="K310" s="54">
        <f>IF(_calc!$E$312="","",IF(_calc!$E$312&lt;=500,"",IF(LEN(INDEX('My equipment'!$T$4:$T$503,(_calc!$E$312-500)))=0,"",INDEX('My equipment'!$T$4:$T$503,(_calc!$E$312-500)))))</f>
        <v/>
      </c>
    </row>
    <row r="311">
      <c r="A311" s="54">
        <f>IF(_calc!$E$313="","",IF(_calc!$E$313&lt;=500,"Warranty – "&amp;IF(LEN(INDEX('Dealer pipeline'!$C$4:$C$503,_calc!$E$313))=0,"",INDEX('Dealer pipeline'!$C$4:$C$503,_calc!$E$313))&amp;" – "&amp;IF(LEN(INDEX('Dealer pipeline'!$D$4:$D$503,_calc!$E$313))=0,"",INDEX('Dealer pipeline'!$D$4:$D$503,_calc!$E$313))&amp;" – "&amp;IF(LEN(INDEX('Dealer pipeline'!$A$4:$A$503,_calc!$E$313))=0,"",INDEX('Dealer pipeline'!$A$4:$A$503,_calc!$E$313)),"Warranty – "&amp;IF(LEN(INDEX('My equipment'!$A$4:$A$503,(_calc!$E$313-500)))=0,"",INDEX('My equipment'!$A$4:$A$503,(_calc!$E$313-500)))&amp;" – "&amp;IF(LEN(INDEX('My equipment'!$D$4:$D$503,(_calc!$E$313-500)))=0,"",INDEX('My equipment'!$D$4:$D$503,(_calc!$E$313-500)))))</f>
        <v/>
      </c>
      <c r="B311" s="54">
        <f>IF(_calc!$E$313="","",IF(_calc!$E$313&lt;=500,IF(ISNUMBER(INDEX('Dealer pipeline'!$M$4:$M$503,_calc!$E$313)),TEXT(INDEX('Dealer pipeline'!$M$4:$M$503,_calc!$E$313),"yyyy-mm-dd"),""),IF(ISNUMBER(INDEX('My equipment'!$M$4:$M$503,(_calc!$E$313-500))),TEXT(INDEX('My equipment'!$M$4:$M$503,(_calc!$E$313-500)),"yyyy-mm-dd"),"")))</f>
        <v/>
      </c>
      <c r="C311" s="54">
        <f>IF(_calc!$E$313="","",IF(_calc!$E$313&lt;=500,"Warranty","Warranty"))</f>
        <v/>
      </c>
      <c r="D311" s="54">
        <f>IF(_calc!$E$313="","",IF(_calc!$E$313&lt;=500,IF(ISNUMBER(INDEX('Dealer pipeline'!$H$4:$H$503,_calc!$E$313)),TEXT(INDEX('Dealer pipeline'!$H$4:$H$503,_calc!$E$313),"yyyy-mm-dd"),""),IF(ISNUMBER(INDEX('My equipment'!$H$4:$H$503,(_calc!$E$313-500))),TEXT(INDEX('My equipment'!$H$4:$H$503,(_calc!$E$313-500)),"yyyy-mm-dd"),"")))</f>
        <v/>
      </c>
      <c r="F311" s="54">
        <f>IF(_calc!$E$313="","",IF(_calc!$E$313&lt;=500,TRIM(IF(LEN(IF(LEN(INDEX('Dealer pipeline'!$A$4:$A$503,_calc!$E$313))=0,"",INDEX('Dealer pipeline'!$A$4:$A$503,_calc!$E$313)))=0,"","Customer: "&amp;IF(LEN(INDEX('Dealer pipeline'!$A$4:$A$503,_calc!$E$313))=0,"",INDEX('Dealer pipeline'!$A$4:$A$503,_calc!$E$313))&amp;". ")&amp;IF(LEN(IF(LEN(INDEX('Dealer pipeline'!$B$4:$B$503,_calc!$E$313))=0,"",INDEX('Dealer pipeline'!$B$4:$B$503,_calc!$E$313)))=0,"","Contact: "&amp;IF(LEN(INDEX('Dealer pipeline'!$B$4:$B$503,_calc!$E$313))=0,"",INDEX('Dealer pipeline'!$B$4:$B$503,_calc!$E$313))&amp;". ")&amp;IF(LEN(IF(LEN(INDEX('Dealer pipeline'!$D$4:$D$503,_calc!$E$313))=0,"",INDEX('Dealer pipeline'!$D$4:$D$503,_calc!$E$313)))=0,"","Serial: "&amp;IF(LEN(INDEX('Dealer pipeline'!$D$4:$D$503,_calc!$E$313))=0,"",INDEX('Dealer pipeline'!$D$4:$D$503,_calc!$E$313))&amp;". ")&amp;IF(LEN(IF(ISNUMBER(INDEX('Dealer pipeline'!$J$4:$J$503,_calc!$E$313)),TEXT(INDEX('Dealer pipeline'!$J$4:$J$503,_calc!$E$313),"yyyy-mm-dd"),""))=0,"","Parts end: "&amp;IF(ISNUMBER(INDEX('Dealer pipeline'!$J$4:$J$503,_calc!$E$313)),TEXT(INDEX('Dealer pipeline'!$J$4:$J$503,_calc!$E$313),"yyyy-mm-dd"),"")&amp;". ")&amp;IF(LEN(IF(ISNUMBER(INDEX('Dealer pipeline'!$L$4:$L$503,_calc!$E$313)),TEXT(INDEX('Dealer pipeline'!$L$4:$L$503,_calc!$E$313),"yyyy-mm-dd"),""))=0,"","Labor end: "&amp;IF(ISNUMBER(INDEX('Dealer pipeline'!$L$4:$L$503,_calc!$E$313)),TEXT(INDEX('Dealer pipeline'!$L$4:$L$503,_calc!$E$313),"yyyy-mm-dd"),"")&amp;". ")&amp;IF(LEN(IF(LEN(INDEX('Dealer pipeline'!$Q$4:$Q$503,_calc!$E$313))=0,"",INDEX('Dealer pipeline'!$Q$4:$Q$503,_calc!$E$313)))=0,"","Status: "&amp;IF(LEN(INDEX('Dealer pipeline'!$Q$4:$Q$503,_calc!$E$313))=0,"",INDEX('Dealer pipeline'!$Q$4:$Q$503,_calc!$E$313))&amp;". ")&amp;IF(LEN(IF(LEN(INDEX('Dealer pipeline'!$P$4:$P$503,_calc!$E$313))=0,"",INDEX('Dealer pipeline'!$P$4:$P$503,_calc!$E$313)))=0,"","Last touch: "&amp;IF(LEN(INDEX('Dealer pipeline'!$P$4:$P$503,_calc!$E$313))=0,"",INDEX('Dealer pipeline'!$P$4:$P$503,_calc!$E$313))&amp;". ")&amp;IF(LEN(IF(LEN(INDEX('Dealer pipeline'!$R$4:$R$503,_calc!$E$313))=0,"",INDEX('Dealer pipeline'!$R$4:$R$503,_calc!$E$313)))=0,"","Owner: "&amp;IF(LEN(INDEX('Dealer pipeline'!$R$4:$R$503,_calc!$E$313))=0,"",INDEX('Dealer pipeline'!$R$4:$R$503,_calc!$E$313))&amp;". ")&amp;IF(LEN(IF(LEN(INDEX('Dealer pipeline'!$S$4:$S$503,_calc!$E$313))=0,"",INDEX('Dealer pipeline'!$S$4:$S$503,_calc!$E$313)))=0,"","Backup: "&amp;IF(LEN(INDEX('Dealer pipeline'!$S$4:$S$503,_calc!$E$313))=0,"",INDEX('Dealer pipeline'!$S$4:$S$503,_calc!$E$313))&amp;". ")&amp;IF(LEN(IF(LEN(INDEX('Dealer pipeline'!$T$4:$T$503,_calc!$E$313))=0,"",INDEX('Dealer pipeline'!$T$4:$T$503,_calc!$E$313)))=0,"",IF(LEN(INDEX('Dealer pipeline'!$T$4:$T$503,_calc!$E$313))=0,"",INDEX('Dealer pipeline'!$T$4:$T$503,_calc!$E$313)))),TRIM(IF(LEN(IF(LEN(INDEX('My equipment'!$C$4:$C$503,(_calc!$E$313-500)))=0,"",INDEX('My equipment'!$C$4:$C$503,(_calc!$E$313-500))))=0,"","Model: "&amp;IF(LEN(INDEX('My equipment'!$C$4:$C$503,(_calc!$E$313-500)))=0,"",INDEX('My equipment'!$C$4:$C$503,(_calc!$E$313-500)))&amp;". ")&amp;IF(LEN(IF(LEN(INDEX('My equipment'!$D$4:$D$503,(_calc!$E$313-500)))=0,"",INDEX('My equipment'!$D$4:$D$503,(_calc!$E$313-500))))=0,"","Serial: "&amp;IF(LEN(INDEX('My equipment'!$D$4:$D$503,(_calc!$E$313-500)))=0,"",INDEX('My equipment'!$D$4:$D$503,(_calc!$E$313-500)))&amp;". ")&amp;IF(LEN(IF(ISNUMBER(INDEX('My equipment'!$J$4:$J$503,(_calc!$E$313-500))),TEXT(INDEX('My equipment'!$J$4:$J$503,(_calc!$E$313-500)),"yyyy-mm-dd"),""))=0,"","Parts end: "&amp;IF(ISNUMBER(INDEX('My equipment'!$J$4:$J$503,(_calc!$E$313-500))),TEXT(INDEX('My equipment'!$J$4:$J$503,(_calc!$E$313-500)),"yyyy-mm-dd"),"")&amp;". ")&amp;IF(LEN(IF(ISNUMBER(INDEX('My equipment'!$L$4:$L$503,(_calc!$E$313-500))),TEXT(INDEX('My equipment'!$L$4:$L$503,(_calc!$E$313-500)),"yyyy-mm-dd"),""))=0,"","Labor end: "&amp;IF(ISNUMBER(INDEX('My equipment'!$L$4:$L$503,(_calc!$E$313-500))),TEXT(INDEX('My equipment'!$L$4:$L$503,(_calc!$E$313-500)),"yyyy-mm-dd"),"")&amp;". ")&amp;IF(LEN(IF(ISNUMBER(INDEX('My equipment'!$P$4:$P$503,(_calc!$E$313-500))),TEXT(INDEX('My equipment'!$P$4:$P$503,(_calc!$E$313-500)),"yyyy-mm-dd"),""))=0,"","Check by: "&amp;IF(ISNUMBER(INDEX('My equipment'!$P$4:$P$503,(_calc!$E$313-500))),TEXT(INDEX('My equipment'!$P$4:$P$503,(_calc!$E$313-500)),"yyyy-mm-dd"),"")&amp;". ")&amp;IF(LEN(IF(LEN(INDEX('My equipment'!$Q$4:$Q$503,(_calc!$E$313-500)))=0,"",INDEX('My equipment'!$Q$4:$Q$503,(_calc!$E$313-500))))=0,"","Claim status: "&amp;IF(LEN(INDEX('My equipment'!$Q$4:$Q$503,(_calc!$E$313-500)))=0,"",INDEX('My equipment'!$Q$4:$Q$503,(_calc!$E$313-500)))&amp;". ")&amp;IF(LEN(IF(LEN(INDEX('My equipment'!$R$4:$R$503,(_calc!$E$313-500)))=0,"",INDEX('My equipment'!$R$4:$R$503,(_calc!$E$313-500))))=0,"","Claims contact: "&amp;IF(LEN(INDEX('My equipment'!$R$4:$R$503,(_calc!$E$313-500)))=0,"",INDEX('My equipment'!$R$4:$R$503,(_calc!$E$313-500)))&amp;". ")&amp;IF(LEN(IF(LEN(INDEX('My equipment'!$S$4:$S$503,(_calc!$E$313-500)))=0,"",INDEX('My equipment'!$S$4:$S$503,(_calc!$E$313-500))))=0,"","Claims email: "&amp;IF(LEN(INDEX('My equipment'!$S$4:$S$503,(_calc!$E$313-500)))=0,"",INDEX('My equipment'!$S$4:$S$503,(_calc!$E$313-500)))&amp;". ")&amp;IF(LEN(IF(LEN(INDEX('My equipment'!$U$4:$U$503,(_calc!$E$313-500)))=0,"",INDEX('My equipment'!$U$4:$U$503,(_calc!$E$313-500))))=0,"","Registered: "&amp;IF(LEN(INDEX('My equipment'!$U$4:$U$503,(_calc!$E$313-500)))=0,"",INDEX('My equipment'!$U$4:$U$503,(_calc!$E$313-500)))&amp;". ")&amp;IF(LEN(IF(LEN(INDEX('My equipment'!$V$4:$V$503,(_calc!$E$313-500)))=0,"",INDEX('My equipment'!$V$4:$V$503,(_calc!$E$313-500))))=0,"","Proof on file: "&amp;IF(LEN(INDEX('My equipment'!$V$4:$V$503,(_calc!$E$313-500)))=0,"",INDEX('My equipment'!$V$4:$V$503,(_calc!$E$313-500)))&amp;". ")&amp;IF(LEN(IF(LEN(INDEX('My equipment'!$W$4:$W$503,(_calc!$E$313-500)))=0,"",INDEX('My equipment'!$W$4:$W$503,(_calc!$E$313-500))))=0,"","Claim ref: "&amp;IF(LEN(INDEX('My equipment'!$W$4:$W$503,(_calc!$E$313-500)))=0,"",INDEX('My equipment'!$W$4:$W$503,(_calc!$E$313-500)))&amp;". ")&amp;IF(LEN(IF(LEN(INDEX('My equipment'!$Y$4:$Y$503,(_calc!$E$313-500)))=0,"",INDEX('My equipment'!$Y$4:$Y$503,(_calc!$E$313-500))))=0,"",IF(LEN(INDEX('My equipment'!$Y$4:$Y$503,(_calc!$E$313-500)))=0,"",INDEX('My equipment'!$Y$4:$Y$503,(_calc!$E$313-500)))))))</f>
        <v/>
      </c>
      <c r="G311" s="54">
        <f>IF(_calc!$E$313="","",IF(_calc!$E$313&lt;=500,"",IF(LEN(INDEX('My equipment'!$X$4:$X$503,(_calc!$E$313-500)))=0,"",INDEX('My equipment'!$X$4:$X$503,(_calc!$E$313-500)))))</f>
        <v/>
      </c>
      <c r="K311" s="54">
        <f>IF(_calc!$E$313="","",IF(_calc!$E$313&lt;=500,"",IF(LEN(INDEX('My equipment'!$T$4:$T$503,(_calc!$E$313-500)))=0,"",INDEX('My equipment'!$T$4:$T$503,(_calc!$E$313-500)))))</f>
        <v/>
      </c>
    </row>
    <row r="312">
      <c r="A312" s="54">
        <f>IF(_calc!$E$314="","",IF(_calc!$E$314&lt;=500,"Warranty – "&amp;IF(LEN(INDEX('Dealer pipeline'!$C$4:$C$503,_calc!$E$314))=0,"",INDEX('Dealer pipeline'!$C$4:$C$503,_calc!$E$314))&amp;" – "&amp;IF(LEN(INDEX('Dealer pipeline'!$D$4:$D$503,_calc!$E$314))=0,"",INDEX('Dealer pipeline'!$D$4:$D$503,_calc!$E$314))&amp;" – "&amp;IF(LEN(INDEX('Dealer pipeline'!$A$4:$A$503,_calc!$E$314))=0,"",INDEX('Dealer pipeline'!$A$4:$A$503,_calc!$E$314)),"Warranty – "&amp;IF(LEN(INDEX('My equipment'!$A$4:$A$503,(_calc!$E$314-500)))=0,"",INDEX('My equipment'!$A$4:$A$503,(_calc!$E$314-500)))&amp;" – "&amp;IF(LEN(INDEX('My equipment'!$D$4:$D$503,(_calc!$E$314-500)))=0,"",INDEX('My equipment'!$D$4:$D$503,(_calc!$E$314-500)))))</f>
        <v/>
      </c>
      <c r="B312" s="54">
        <f>IF(_calc!$E$314="","",IF(_calc!$E$314&lt;=500,IF(ISNUMBER(INDEX('Dealer pipeline'!$M$4:$M$503,_calc!$E$314)),TEXT(INDEX('Dealer pipeline'!$M$4:$M$503,_calc!$E$314),"yyyy-mm-dd"),""),IF(ISNUMBER(INDEX('My equipment'!$M$4:$M$503,(_calc!$E$314-500))),TEXT(INDEX('My equipment'!$M$4:$M$503,(_calc!$E$314-500)),"yyyy-mm-dd"),"")))</f>
        <v/>
      </c>
      <c r="C312" s="54">
        <f>IF(_calc!$E$314="","",IF(_calc!$E$314&lt;=500,"Warranty","Warranty"))</f>
        <v/>
      </c>
      <c r="D312" s="54">
        <f>IF(_calc!$E$314="","",IF(_calc!$E$314&lt;=500,IF(ISNUMBER(INDEX('Dealer pipeline'!$H$4:$H$503,_calc!$E$314)),TEXT(INDEX('Dealer pipeline'!$H$4:$H$503,_calc!$E$314),"yyyy-mm-dd"),""),IF(ISNUMBER(INDEX('My equipment'!$H$4:$H$503,(_calc!$E$314-500))),TEXT(INDEX('My equipment'!$H$4:$H$503,(_calc!$E$314-500)),"yyyy-mm-dd"),"")))</f>
        <v/>
      </c>
      <c r="F312" s="54">
        <f>IF(_calc!$E$314="","",IF(_calc!$E$314&lt;=500,TRIM(IF(LEN(IF(LEN(INDEX('Dealer pipeline'!$A$4:$A$503,_calc!$E$314))=0,"",INDEX('Dealer pipeline'!$A$4:$A$503,_calc!$E$314)))=0,"","Customer: "&amp;IF(LEN(INDEX('Dealer pipeline'!$A$4:$A$503,_calc!$E$314))=0,"",INDEX('Dealer pipeline'!$A$4:$A$503,_calc!$E$314))&amp;". ")&amp;IF(LEN(IF(LEN(INDEX('Dealer pipeline'!$B$4:$B$503,_calc!$E$314))=0,"",INDEX('Dealer pipeline'!$B$4:$B$503,_calc!$E$314)))=0,"","Contact: "&amp;IF(LEN(INDEX('Dealer pipeline'!$B$4:$B$503,_calc!$E$314))=0,"",INDEX('Dealer pipeline'!$B$4:$B$503,_calc!$E$314))&amp;". ")&amp;IF(LEN(IF(LEN(INDEX('Dealer pipeline'!$D$4:$D$503,_calc!$E$314))=0,"",INDEX('Dealer pipeline'!$D$4:$D$503,_calc!$E$314)))=0,"","Serial: "&amp;IF(LEN(INDEX('Dealer pipeline'!$D$4:$D$503,_calc!$E$314))=0,"",INDEX('Dealer pipeline'!$D$4:$D$503,_calc!$E$314))&amp;". ")&amp;IF(LEN(IF(ISNUMBER(INDEX('Dealer pipeline'!$J$4:$J$503,_calc!$E$314)),TEXT(INDEX('Dealer pipeline'!$J$4:$J$503,_calc!$E$314),"yyyy-mm-dd"),""))=0,"","Parts end: "&amp;IF(ISNUMBER(INDEX('Dealer pipeline'!$J$4:$J$503,_calc!$E$314)),TEXT(INDEX('Dealer pipeline'!$J$4:$J$503,_calc!$E$314),"yyyy-mm-dd"),"")&amp;". ")&amp;IF(LEN(IF(ISNUMBER(INDEX('Dealer pipeline'!$L$4:$L$503,_calc!$E$314)),TEXT(INDEX('Dealer pipeline'!$L$4:$L$503,_calc!$E$314),"yyyy-mm-dd"),""))=0,"","Labor end: "&amp;IF(ISNUMBER(INDEX('Dealer pipeline'!$L$4:$L$503,_calc!$E$314)),TEXT(INDEX('Dealer pipeline'!$L$4:$L$503,_calc!$E$314),"yyyy-mm-dd"),"")&amp;". ")&amp;IF(LEN(IF(LEN(INDEX('Dealer pipeline'!$Q$4:$Q$503,_calc!$E$314))=0,"",INDEX('Dealer pipeline'!$Q$4:$Q$503,_calc!$E$314)))=0,"","Status: "&amp;IF(LEN(INDEX('Dealer pipeline'!$Q$4:$Q$503,_calc!$E$314))=0,"",INDEX('Dealer pipeline'!$Q$4:$Q$503,_calc!$E$314))&amp;". ")&amp;IF(LEN(IF(LEN(INDEX('Dealer pipeline'!$P$4:$P$503,_calc!$E$314))=0,"",INDEX('Dealer pipeline'!$P$4:$P$503,_calc!$E$314)))=0,"","Last touch: "&amp;IF(LEN(INDEX('Dealer pipeline'!$P$4:$P$503,_calc!$E$314))=0,"",INDEX('Dealer pipeline'!$P$4:$P$503,_calc!$E$314))&amp;". ")&amp;IF(LEN(IF(LEN(INDEX('Dealer pipeline'!$R$4:$R$503,_calc!$E$314))=0,"",INDEX('Dealer pipeline'!$R$4:$R$503,_calc!$E$314)))=0,"","Owner: "&amp;IF(LEN(INDEX('Dealer pipeline'!$R$4:$R$503,_calc!$E$314))=0,"",INDEX('Dealer pipeline'!$R$4:$R$503,_calc!$E$314))&amp;". ")&amp;IF(LEN(IF(LEN(INDEX('Dealer pipeline'!$S$4:$S$503,_calc!$E$314))=0,"",INDEX('Dealer pipeline'!$S$4:$S$503,_calc!$E$314)))=0,"","Backup: "&amp;IF(LEN(INDEX('Dealer pipeline'!$S$4:$S$503,_calc!$E$314))=0,"",INDEX('Dealer pipeline'!$S$4:$S$503,_calc!$E$314))&amp;". ")&amp;IF(LEN(IF(LEN(INDEX('Dealer pipeline'!$T$4:$T$503,_calc!$E$314))=0,"",INDEX('Dealer pipeline'!$T$4:$T$503,_calc!$E$314)))=0,"",IF(LEN(INDEX('Dealer pipeline'!$T$4:$T$503,_calc!$E$314))=0,"",INDEX('Dealer pipeline'!$T$4:$T$503,_calc!$E$314)))),TRIM(IF(LEN(IF(LEN(INDEX('My equipment'!$C$4:$C$503,(_calc!$E$314-500)))=0,"",INDEX('My equipment'!$C$4:$C$503,(_calc!$E$314-500))))=0,"","Model: "&amp;IF(LEN(INDEX('My equipment'!$C$4:$C$503,(_calc!$E$314-500)))=0,"",INDEX('My equipment'!$C$4:$C$503,(_calc!$E$314-500)))&amp;". ")&amp;IF(LEN(IF(LEN(INDEX('My equipment'!$D$4:$D$503,(_calc!$E$314-500)))=0,"",INDEX('My equipment'!$D$4:$D$503,(_calc!$E$314-500))))=0,"","Serial: "&amp;IF(LEN(INDEX('My equipment'!$D$4:$D$503,(_calc!$E$314-500)))=0,"",INDEX('My equipment'!$D$4:$D$503,(_calc!$E$314-500)))&amp;". ")&amp;IF(LEN(IF(ISNUMBER(INDEX('My equipment'!$J$4:$J$503,(_calc!$E$314-500))),TEXT(INDEX('My equipment'!$J$4:$J$503,(_calc!$E$314-500)),"yyyy-mm-dd"),""))=0,"","Parts end: "&amp;IF(ISNUMBER(INDEX('My equipment'!$J$4:$J$503,(_calc!$E$314-500))),TEXT(INDEX('My equipment'!$J$4:$J$503,(_calc!$E$314-500)),"yyyy-mm-dd"),"")&amp;". ")&amp;IF(LEN(IF(ISNUMBER(INDEX('My equipment'!$L$4:$L$503,(_calc!$E$314-500))),TEXT(INDEX('My equipment'!$L$4:$L$503,(_calc!$E$314-500)),"yyyy-mm-dd"),""))=0,"","Labor end: "&amp;IF(ISNUMBER(INDEX('My equipment'!$L$4:$L$503,(_calc!$E$314-500))),TEXT(INDEX('My equipment'!$L$4:$L$503,(_calc!$E$314-500)),"yyyy-mm-dd"),"")&amp;". ")&amp;IF(LEN(IF(ISNUMBER(INDEX('My equipment'!$P$4:$P$503,(_calc!$E$314-500))),TEXT(INDEX('My equipment'!$P$4:$P$503,(_calc!$E$314-500)),"yyyy-mm-dd"),""))=0,"","Check by: "&amp;IF(ISNUMBER(INDEX('My equipment'!$P$4:$P$503,(_calc!$E$314-500))),TEXT(INDEX('My equipment'!$P$4:$P$503,(_calc!$E$314-500)),"yyyy-mm-dd"),"")&amp;". ")&amp;IF(LEN(IF(LEN(INDEX('My equipment'!$Q$4:$Q$503,(_calc!$E$314-500)))=0,"",INDEX('My equipment'!$Q$4:$Q$503,(_calc!$E$314-500))))=0,"","Claim status: "&amp;IF(LEN(INDEX('My equipment'!$Q$4:$Q$503,(_calc!$E$314-500)))=0,"",INDEX('My equipment'!$Q$4:$Q$503,(_calc!$E$314-500)))&amp;". ")&amp;IF(LEN(IF(LEN(INDEX('My equipment'!$R$4:$R$503,(_calc!$E$314-500)))=0,"",INDEX('My equipment'!$R$4:$R$503,(_calc!$E$314-500))))=0,"","Claims contact: "&amp;IF(LEN(INDEX('My equipment'!$R$4:$R$503,(_calc!$E$314-500)))=0,"",INDEX('My equipment'!$R$4:$R$503,(_calc!$E$314-500)))&amp;". ")&amp;IF(LEN(IF(LEN(INDEX('My equipment'!$S$4:$S$503,(_calc!$E$314-500)))=0,"",INDEX('My equipment'!$S$4:$S$503,(_calc!$E$314-500))))=0,"","Claims email: "&amp;IF(LEN(INDEX('My equipment'!$S$4:$S$503,(_calc!$E$314-500)))=0,"",INDEX('My equipment'!$S$4:$S$503,(_calc!$E$314-500)))&amp;". ")&amp;IF(LEN(IF(LEN(INDEX('My equipment'!$U$4:$U$503,(_calc!$E$314-500)))=0,"",INDEX('My equipment'!$U$4:$U$503,(_calc!$E$314-500))))=0,"","Registered: "&amp;IF(LEN(INDEX('My equipment'!$U$4:$U$503,(_calc!$E$314-500)))=0,"",INDEX('My equipment'!$U$4:$U$503,(_calc!$E$314-500)))&amp;". ")&amp;IF(LEN(IF(LEN(INDEX('My equipment'!$V$4:$V$503,(_calc!$E$314-500)))=0,"",INDEX('My equipment'!$V$4:$V$503,(_calc!$E$314-500))))=0,"","Proof on file: "&amp;IF(LEN(INDEX('My equipment'!$V$4:$V$503,(_calc!$E$314-500)))=0,"",INDEX('My equipment'!$V$4:$V$503,(_calc!$E$314-500)))&amp;". ")&amp;IF(LEN(IF(LEN(INDEX('My equipment'!$W$4:$W$503,(_calc!$E$314-500)))=0,"",INDEX('My equipment'!$W$4:$W$503,(_calc!$E$314-500))))=0,"","Claim ref: "&amp;IF(LEN(INDEX('My equipment'!$W$4:$W$503,(_calc!$E$314-500)))=0,"",INDEX('My equipment'!$W$4:$W$503,(_calc!$E$314-500)))&amp;". ")&amp;IF(LEN(IF(LEN(INDEX('My equipment'!$Y$4:$Y$503,(_calc!$E$314-500)))=0,"",INDEX('My equipment'!$Y$4:$Y$503,(_calc!$E$314-500))))=0,"",IF(LEN(INDEX('My equipment'!$Y$4:$Y$503,(_calc!$E$314-500)))=0,"",INDEX('My equipment'!$Y$4:$Y$503,(_calc!$E$314-500)))))))</f>
        <v/>
      </c>
      <c r="G312" s="54">
        <f>IF(_calc!$E$314="","",IF(_calc!$E$314&lt;=500,"",IF(LEN(INDEX('My equipment'!$X$4:$X$503,(_calc!$E$314-500)))=0,"",INDEX('My equipment'!$X$4:$X$503,(_calc!$E$314-500)))))</f>
        <v/>
      </c>
      <c r="K312" s="54">
        <f>IF(_calc!$E$314="","",IF(_calc!$E$314&lt;=500,"",IF(LEN(INDEX('My equipment'!$T$4:$T$503,(_calc!$E$314-500)))=0,"",INDEX('My equipment'!$T$4:$T$503,(_calc!$E$314-500)))))</f>
        <v/>
      </c>
    </row>
    <row r="313">
      <c r="A313" s="54">
        <f>IF(_calc!$E$315="","",IF(_calc!$E$315&lt;=500,"Warranty – "&amp;IF(LEN(INDEX('Dealer pipeline'!$C$4:$C$503,_calc!$E$315))=0,"",INDEX('Dealer pipeline'!$C$4:$C$503,_calc!$E$315))&amp;" – "&amp;IF(LEN(INDEX('Dealer pipeline'!$D$4:$D$503,_calc!$E$315))=0,"",INDEX('Dealer pipeline'!$D$4:$D$503,_calc!$E$315))&amp;" – "&amp;IF(LEN(INDEX('Dealer pipeline'!$A$4:$A$503,_calc!$E$315))=0,"",INDEX('Dealer pipeline'!$A$4:$A$503,_calc!$E$315)),"Warranty – "&amp;IF(LEN(INDEX('My equipment'!$A$4:$A$503,(_calc!$E$315-500)))=0,"",INDEX('My equipment'!$A$4:$A$503,(_calc!$E$315-500)))&amp;" – "&amp;IF(LEN(INDEX('My equipment'!$D$4:$D$503,(_calc!$E$315-500)))=0,"",INDEX('My equipment'!$D$4:$D$503,(_calc!$E$315-500)))))</f>
        <v/>
      </c>
      <c r="B313" s="54">
        <f>IF(_calc!$E$315="","",IF(_calc!$E$315&lt;=500,IF(ISNUMBER(INDEX('Dealer pipeline'!$M$4:$M$503,_calc!$E$315)),TEXT(INDEX('Dealer pipeline'!$M$4:$M$503,_calc!$E$315),"yyyy-mm-dd"),""),IF(ISNUMBER(INDEX('My equipment'!$M$4:$M$503,(_calc!$E$315-500))),TEXT(INDEX('My equipment'!$M$4:$M$503,(_calc!$E$315-500)),"yyyy-mm-dd"),"")))</f>
        <v/>
      </c>
      <c r="C313" s="54">
        <f>IF(_calc!$E$315="","",IF(_calc!$E$315&lt;=500,"Warranty","Warranty"))</f>
        <v/>
      </c>
      <c r="D313" s="54">
        <f>IF(_calc!$E$315="","",IF(_calc!$E$315&lt;=500,IF(ISNUMBER(INDEX('Dealer pipeline'!$H$4:$H$503,_calc!$E$315)),TEXT(INDEX('Dealer pipeline'!$H$4:$H$503,_calc!$E$315),"yyyy-mm-dd"),""),IF(ISNUMBER(INDEX('My equipment'!$H$4:$H$503,(_calc!$E$315-500))),TEXT(INDEX('My equipment'!$H$4:$H$503,(_calc!$E$315-500)),"yyyy-mm-dd"),"")))</f>
        <v/>
      </c>
      <c r="F313" s="54">
        <f>IF(_calc!$E$315="","",IF(_calc!$E$315&lt;=500,TRIM(IF(LEN(IF(LEN(INDEX('Dealer pipeline'!$A$4:$A$503,_calc!$E$315))=0,"",INDEX('Dealer pipeline'!$A$4:$A$503,_calc!$E$315)))=0,"","Customer: "&amp;IF(LEN(INDEX('Dealer pipeline'!$A$4:$A$503,_calc!$E$315))=0,"",INDEX('Dealer pipeline'!$A$4:$A$503,_calc!$E$315))&amp;". ")&amp;IF(LEN(IF(LEN(INDEX('Dealer pipeline'!$B$4:$B$503,_calc!$E$315))=0,"",INDEX('Dealer pipeline'!$B$4:$B$503,_calc!$E$315)))=0,"","Contact: "&amp;IF(LEN(INDEX('Dealer pipeline'!$B$4:$B$503,_calc!$E$315))=0,"",INDEX('Dealer pipeline'!$B$4:$B$503,_calc!$E$315))&amp;". ")&amp;IF(LEN(IF(LEN(INDEX('Dealer pipeline'!$D$4:$D$503,_calc!$E$315))=0,"",INDEX('Dealer pipeline'!$D$4:$D$503,_calc!$E$315)))=0,"","Serial: "&amp;IF(LEN(INDEX('Dealer pipeline'!$D$4:$D$503,_calc!$E$315))=0,"",INDEX('Dealer pipeline'!$D$4:$D$503,_calc!$E$315))&amp;". ")&amp;IF(LEN(IF(ISNUMBER(INDEX('Dealer pipeline'!$J$4:$J$503,_calc!$E$315)),TEXT(INDEX('Dealer pipeline'!$J$4:$J$503,_calc!$E$315),"yyyy-mm-dd"),""))=0,"","Parts end: "&amp;IF(ISNUMBER(INDEX('Dealer pipeline'!$J$4:$J$503,_calc!$E$315)),TEXT(INDEX('Dealer pipeline'!$J$4:$J$503,_calc!$E$315),"yyyy-mm-dd"),"")&amp;". ")&amp;IF(LEN(IF(ISNUMBER(INDEX('Dealer pipeline'!$L$4:$L$503,_calc!$E$315)),TEXT(INDEX('Dealer pipeline'!$L$4:$L$503,_calc!$E$315),"yyyy-mm-dd"),""))=0,"","Labor end: "&amp;IF(ISNUMBER(INDEX('Dealer pipeline'!$L$4:$L$503,_calc!$E$315)),TEXT(INDEX('Dealer pipeline'!$L$4:$L$503,_calc!$E$315),"yyyy-mm-dd"),"")&amp;". ")&amp;IF(LEN(IF(LEN(INDEX('Dealer pipeline'!$Q$4:$Q$503,_calc!$E$315))=0,"",INDEX('Dealer pipeline'!$Q$4:$Q$503,_calc!$E$315)))=0,"","Status: "&amp;IF(LEN(INDEX('Dealer pipeline'!$Q$4:$Q$503,_calc!$E$315))=0,"",INDEX('Dealer pipeline'!$Q$4:$Q$503,_calc!$E$315))&amp;". ")&amp;IF(LEN(IF(LEN(INDEX('Dealer pipeline'!$P$4:$P$503,_calc!$E$315))=0,"",INDEX('Dealer pipeline'!$P$4:$P$503,_calc!$E$315)))=0,"","Last touch: "&amp;IF(LEN(INDEX('Dealer pipeline'!$P$4:$P$503,_calc!$E$315))=0,"",INDEX('Dealer pipeline'!$P$4:$P$503,_calc!$E$315))&amp;". ")&amp;IF(LEN(IF(LEN(INDEX('Dealer pipeline'!$R$4:$R$503,_calc!$E$315))=0,"",INDEX('Dealer pipeline'!$R$4:$R$503,_calc!$E$315)))=0,"","Owner: "&amp;IF(LEN(INDEX('Dealer pipeline'!$R$4:$R$503,_calc!$E$315))=0,"",INDEX('Dealer pipeline'!$R$4:$R$503,_calc!$E$315))&amp;". ")&amp;IF(LEN(IF(LEN(INDEX('Dealer pipeline'!$S$4:$S$503,_calc!$E$315))=0,"",INDEX('Dealer pipeline'!$S$4:$S$503,_calc!$E$315)))=0,"","Backup: "&amp;IF(LEN(INDEX('Dealer pipeline'!$S$4:$S$503,_calc!$E$315))=0,"",INDEX('Dealer pipeline'!$S$4:$S$503,_calc!$E$315))&amp;". ")&amp;IF(LEN(IF(LEN(INDEX('Dealer pipeline'!$T$4:$T$503,_calc!$E$315))=0,"",INDEX('Dealer pipeline'!$T$4:$T$503,_calc!$E$315)))=0,"",IF(LEN(INDEX('Dealer pipeline'!$T$4:$T$503,_calc!$E$315))=0,"",INDEX('Dealer pipeline'!$T$4:$T$503,_calc!$E$315)))),TRIM(IF(LEN(IF(LEN(INDEX('My equipment'!$C$4:$C$503,(_calc!$E$315-500)))=0,"",INDEX('My equipment'!$C$4:$C$503,(_calc!$E$315-500))))=0,"","Model: "&amp;IF(LEN(INDEX('My equipment'!$C$4:$C$503,(_calc!$E$315-500)))=0,"",INDEX('My equipment'!$C$4:$C$503,(_calc!$E$315-500)))&amp;". ")&amp;IF(LEN(IF(LEN(INDEX('My equipment'!$D$4:$D$503,(_calc!$E$315-500)))=0,"",INDEX('My equipment'!$D$4:$D$503,(_calc!$E$315-500))))=0,"","Serial: "&amp;IF(LEN(INDEX('My equipment'!$D$4:$D$503,(_calc!$E$315-500)))=0,"",INDEX('My equipment'!$D$4:$D$503,(_calc!$E$315-500)))&amp;". ")&amp;IF(LEN(IF(ISNUMBER(INDEX('My equipment'!$J$4:$J$503,(_calc!$E$315-500))),TEXT(INDEX('My equipment'!$J$4:$J$503,(_calc!$E$315-500)),"yyyy-mm-dd"),""))=0,"","Parts end: "&amp;IF(ISNUMBER(INDEX('My equipment'!$J$4:$J$503,(_calc!$E$315-500))),TEXT(INDEX('My equipment'!$J$4:$J$503,(_calc!$E$315-500)),"yyyy-mm-dd"),"")&amp;". ")&amp;IF(LEN(IF(ISNUMBER(INDEX('My equipment'!$L$4:$L$503,(_calc!$E$315-500))),TEXT(INDEX('My equipment'!$L$4:$L$503,(_calc!$E$315-500)),"yyyy-mm-dd"),""))=0,"","Labor end: "&amp;IF(ISNUMBER(INDEX('My equipment'!$L$4:$L$503,(_calc!$E$315-500))),TEXT(INDEX('My equipment'!$L$4:$L$503,(_calc!$E$315-500)),"yyyy-mm-dd"),"")&amp;". ")&amp;IF(LEN(IF(ISNUMBER(INDEX('My equipment'!$P$4:$P$503,(_calc!$E$315-500))),TEXT(INDEX('My equipment'!$P$4:$P$503,(_calc!$E$315-500)),"yyyy-mm-dd"),""))=0,"","Check by: "&amp;IF(ISNUMBER(INDEX('My equipment'!$P$4:$P$503,(_calc!$E$315-500))),TEXT(INDEX('My equipment'!$P$4:$P$503,(_calc!$E$315-500)),"yyyy-mm-dd"),"")&amp;". ")&amp;IF(LEN(IF(LEN(INDEX('My equipment'!$Q$4:$Q$503,(_calc!$E$315-500)))=0,"",INDEX('My equipment'!$Q$4:$Q$503,(_calc!$E$315-500))))=0,"","Claim status: "&amp;IF(LEN(INDEX('My equipment'!$Q$4:$Q$503,(_calc!$E$315-500)))=0,"",INDEX('My equipment'!$Q$4:$Q$503,(_calc!$E$315-500)))&amp;". ")&amp;IF(LEN(IF(LEN(INDEX('My equipment'!$R$4:$R$503,(_calc!$E$315-500)))=0,"",INDEX('My equipment'!$R$4:$R$503,(_calc!$E$315-500))))=0,"","Claims contact: "&amp;IF(LEN(INDEX('My equipment'!$R$4:$R$503,(_calc!$E$315-500)))=0,"",INDEX('My equipment'!$R$4:$R$503,(_calc!$E$315-500)))&amp;". ")&amp;IF(LEN(IF(LEN(INDEX('My equipment'!$S$4:$S$503,(_calc!$E$315-500)))=0,"",INDEX('My equipment'!$S$4:$S$503,(_calc!$E$315-500))))=0,"","Claims email: "&amp;IF(LEN(INDEX('My equipment'!$S$4:$S$503,(_calc!$E$315-500)))=0,"",INDEX('My equipment'!$S$4:$S$503,(_calc!$E$315-500)))&amp;". ")&amp;IF(LEN(IF(LEN(INDEX('My equipment'!$U$4:$U$503,(_calc!$E$315-500)))=0,"",INDEX('My equipment'!$U$4:$U$503,(_calc!$E$315-500))))=0,"","Registered: "&amp;IF(LEN(INDEX('My equipment'!$U$4:$U$503,(_calc!$E$315-500)))=0,"",INDEX('My equipment'!$U$4:$U$503,(_calc!$E$315-500)))&amp;". ")&amp;IF(LEN(IF(LEN(INDEX('My equipment'!$V$4:$V$503,(_calc!$E$315-500)))=0,"",INDEX('My equipment'!$V$4:$V$503,(_calc!$E$315-500))))=0,"","Proof on file: "&amp;IF(LEN(INDEX('My equipment'!$V$4:$V$503,(_calc!$E$315-500)))=0,"",INDEX('My equipment'!$V$4:$V$503,(_calc!$E$315-500)))&amp;". ")&amp;IF(LEN(IF(LEN(INDEX('My equipment'!$W$4:$W$503,(_calc!$E$315-500)))=0,"",INDEX('My equipment'!$W$4:$W$503,(_calc!$E$315-500))))=0,"","Claim ref: "&amp;IF(LEN(INDEX('My equipment'!$W$4:$W$503,(_calc!$E$315-500)))=0,"",INDEX('My equipment'!$W$4:$W$503,(_calc!$E$315-500)))&amp;". ")&amp;IF(LEN(IF(LEN(INDEX('My equipment'!$Y$4:$Y$503,(_calc!$E$315-500)))=0,"",INDEX('My equipment'!$Y$4:$Y$503,(_calc!$E$315-500))))=0,"",IF(LEN(INDEX('My equipment'!$Y$4:$Y$503,(_calc!$E$315-500)))=0,"",INDEX('My equipment'!$Y$4:$Y$503,(_calc!$E$315-500)))))))</f>
        <v/>
      </c>
      <c r="G313" s="54">
        <f>IF(_calc!$E$315="","",IF(_calc!$E$315&lt;=500,"",IF(LEN(INDEX('My equipment'!$X$4:$X$503,(_calc!$E$315-500)))=0,"",INDEX('My equipment'!$X$4:$X$503,(_calc!$E$315-500)))))</f>
        <v/>
      </c>
      <c r="K313" s="54">
        <f>IF(_calc!$E$315="","",IF(_calc!$E$315&lt;=500,"",IF(LEN(INDEX('My equipment'!$T$4:$T$503,(_calc!$E$315-500)))=0,"",INDEX('My equipment'!$T$4:$T$503,(_calc!$E$315-500)))))</f>
        <v/>
      </c>
    </row>
    <row r="314">
      <c r="A314" s="54">
        <f>IF(_calc!$E$316="","",IF(_calc!$E$316&lt;=500,"Warranty – "&amp;IF(LEN(INDEX('Dealer pipeline'!$C$4:$C$503,_calc!$E$316))=0,"",INDEX('Dealer pipeline'!$C$4:$C$503,_calc!$E$316))&amp;" – "&amp;IF(LEN(INDEX('Dealer pipeline'!$D$4:$D$503,_calc!$E$316))=0,"",INDEX('Dealer pipeline'!$D$4:$D$503,_calc!$E$316))&amp;" – "&amp;IF(LEN(INDEX('Dealer pipeline'!$A$4:$A$503,_calc!$E$316))=0,"",INDEX('Dealer pipeline'!$A$4:$A$503,_calc!$E$316)),"Warranty – "&amp;IF(LEN(INDEX('My equipment'!$A$4:$A$503,(_calc!$E$316-500)))=0,"",INDEX('My equipment'!$A$4:$A$503,(_calc!$E$316-500)))&amp;" – "&amp;IF(LEN(INDEX('My equipment'!$D$4:$D$503,(_calc!$E$316-500)))=0,"",INDEX('My equipment'!$D$4:$D$503,(_calc!$E$316-500)))))</f>
        <v/>
      </c>
      <c r="B314" s="54">
        <f>IF(_calc!$E$316="","",IF(_calc!$E$316&lt;=500,IF(ISNUMBER(INDEX('Dealer pipeline'!$M$4:$M$503,_calc!$E$316)),TEXT(INDEX('Dealer pipeline'!$M$4:$M$503,_calc!$E$316),"yyyy-mm-dd"),""),IF(ISNUMBER(INDEX('My equipment'!$M$4:$M$503,(_calc!$E$316-500))),TEXT(INDEX('My equipment'!$M$4:$M$503,(_calc!$E$316-500)),"yyyy-mm-dd"),"")))</f>
        <v/>
      </c>
      <c r="C314" s="54">
        <f>IF(_calc!$E$316="","",IF(_calc!$E$316&lt;=500,"Warranty","Warranty"))</f>
        <v/>
      </c>
      <c r="D314" s="54">
        <f>IF(_calc!$E$316="","",IF(_calc!$E$316&lt;=500,IF(ISNUMBER(INDEX('Dealer pipeline'!$H$4:$H$503,_calc!$E$316)),TEXT(INDEX('Dealer pipeline'!$H$4:$H$503,_calc!$E$316),"yyyy-mm-dd"),""),IF(ISNUMBER(INDEX('My equipment'!$H$4:$H$503,(_calc!$E$316-500))),TEXT(INDEX('My equipment'!$H$4:$H$503,(_calc!$E$316-500)),"yyyy-mm-dd"),"")))</f>
        <v/>
      </c>
      <c r="F314" s="54">
        <f>IF(_calc!$E$316="","",IF(_calc!$E$316&lt;=500,TRIM(IF(LEN(IF(LEN(INDEX('Dealer pipeline'!$A$4:$A$503,_calc!$E$316))=0,"",INDEX('Dealer pipeline'!$A$4:$A$503,_calc!$E$316)))=0,"","Customer: "&amp;IF(LEN(INDEX('Dealer pipeline'!$A$4:$A$503,_calc!$E$316))=0,"",INDEX('Dealer pipeline'!$A$4:$A$503,_calc!$E$316))&amp;". ")&amp;IF(LEN(IF(LEN(INDEX('Dealer pipeline'!$B$4:$B$503,_calc!$E$316))=0,"",INDEX('Dealer pipeline'!$B$4:$B$503,_calc!$E$316)))=0,"","Contact: "&amp;IF(LEN(INDEX('Dealer pipeline'!$B$4:$B$503,_calc!$E$316))=0,"",INDEX('Dealer pipeline'!$B$4:$B$503,_calc!$E$316))&amp;". ")&amp;IF(LEN(IF(LEN(INDEX('Dealer pipeline'!$D$4:$D$503,_calc!$E$316))=0,"",INDEX('Dealer pipeline'!$D$4:$D$503,_calc!$E$316)))=0,"","Serial: "&amp;IF(LEN(INDEX('Dealer pipeline'!$D$4:$D$503,_calc!$E$316))=0,"",INDEX('Dealer pipeline'!$D$4:$D$503,_calc!$E$316))&amp;". ")&amp;IF(LEN(IF(ISNUMBER(INDEX('Dealer pipeline'!$J$4:$J$503,_calc!$E$316)),TEXT(INDEX('Dealer pipeline'!$J$4:$J$503,_calc!$E$316),"yyyy-mm-dd"),""))=0,"","Parts end: "&amp;IF(ISNUMBER(INDEX('Dealer pipeline'!$J$4:$J$503,_calc!$E$316)),TEXT(INDEX('Dealer pipeline'!$J$4:$J$503,_calc!$E$316),"yyyy-mm-dd"),"")&amp;". ")&amp;IF(LEN(IF(ISNUMBER(INDEX('Dealer pipeline'!$L$4:$L$503,_calc!$E$316)),TEXT(INDEX('Dealer pipeline'!$L$4:$L$503,_calc!$E$316),"yyyy-mm-dd"),""))=0,"","Labor end: "&amp;IF(ISNUMBER(INDEX('Dealer pipeline'!$L$4:$L$503,_calc!$E$316)),TEXT(INDEX('Dealer pipeline'!$L$4:$L$503,_calc!$E$316),"yyyy-mm-dd"),"")&amp;". ")&amp;IF(LEN(IF(LEN(INDEX('Dealer pipeline'!$Q$4:$Q$503,_calc!$E$316))=0,"",INDEX('Dealer pipeline'!$Q$4:$Q$503,_calc!$E$316)))=0,"","Status: "&amp;IF(LEN(INDEX('Dealer pipeline'!$Q$4:$Q$503,_calc!$E$316))=0,"",INDEX('Dealer pipeline'!$Q$4:$Q$503,_calc!$E$316))&amp;". ")&amp;IF(LEN(IF(LEN(INDEX('Dealer pipeline'!$P$4:$P$503,_calc!$E$316))=0,"",INDEX('Dealer pipeline'!$P$4:$P$503,_calc!$E$316)))=0,"","Last touch: "&amp;IF(LEN(INDEX('Dealer pipeline'!$P$4:$P$503,_calc!$E$316))=0,"",INDEX('Dealer pipeline'!$P$4:$P$503,_calc!$E$316))&amp;". ")&amp;IF(LEN(IF(LEN(INDEX('Dealer pipeline'!$R$4:$R$503,_calc!$E$316))=0,"",INDEX('Dealer pipeline'!$R$4:$R$503,_calc!$E$316)))=0,"","Owner: "&amp;IF(LEN(INDEX('Dealer pipeline'!$R$4:$R$503,_calc!$E$316))=0,"",INDEX('Dealer pipeline'!$R$4:$R$503,_calc!$E$316))&amp;". ")&amp;IF(LEN(IF(LEN(INDEX('Dealer pipeline'!$S$4:$S$503,_calc!$E$316))=0,"",INDEX('Dealer pipeline'!$S$4:$S$503,_calc!$E$316)))=0,"","Backup: "&amp;IF(LEN(INDEX('Dealer pipeline'!$S$4:$S$503,_calc!$E$316))=0,"",INDEX('Dealer pipeline'!$S$4:$S$503,_calc!$E$316))&amp;". ")&amp;IF(LEN(IF(LEN(INDEX('Dealer pipeline'!$T$4:$T$503,_calc!$E$316))=0,"",INDEX('Dealer pipeline'!$T$4:$T$503,_calc!$E$316)))=0,"",IF(LEN(INDEX('Dealer pipeline'!$T$4:$T$503,_calc!$E$316))=0,"",INDEX('Dealer pipeline'!$T$4:$T$503,_calc!$E$316)))),TRIM(IF(LEN(IF(LEN(INDEX('My equipment'!$C$4:$C$503,(_calc!$E$316-500)))=0,"",INDEX('My equipment'!$C$4:$C$503,(_calc!$E$316-500))))=0,"","Model: "&amp;IF(LEN(INDEX('My equipment'!$C$4:$C$503,(_calc!$E$316-500)))=0,"",INDEX('My equipment'!$C$4:$C$503,(_calc!$E$316-500)))&amp;". ")&amp;IF(LEN(IF(LEN(INDEX('My equipment'!$D$4:$D$503,(_calc!$E$316-500)))=0,"",INDEX('My equipment'!$D$4:$D$503,(_calc!$E$316-500))))=0,"","Serial: "&amp;IF(LEN(INDEX('My equipment'!$D$4:$D$503,(_calc!$E$316-500)))=0,"",INDEX('My equipment'!$D$4:$D$503,(_calc!$E$316-500)))&amp;". ")&amp;IF(LEN(IF(ISNUMBER(INDEX('My equipment'!$J$4:$J$503,(_calc!$E$316-500))),TEXT(INDEX('My equipment'!$J$4:$J$503,(_calc!$E$316-500)),"yyyy-mm-dd"),""))=0,"","Parts end: "&amp;IF(ISNUMBER(INDEX('My equipment'!$J$4:$J$503,(_calc!$E$316-500))),TEXT(INDEX('My equipment'!$J$4:$J$503,(_calc!$E$316-500)),"yyyy-mm-dd"),"")&amp;". ")&amp;IF(LEN(IF(ISNUMBER(INDEX('My equipment'!$L$4:$L$503,(_calc!$E$316-500))),TEXT(INDEX('My equipment'!$L$4:$L$503,(_calc!$E$316-500)),"yyyy-mm-dd"),""))=0,"","Labor end: "&amp;IF(ISNUMBER(INDEX('My equipment'!$L$4:$L$503,(_calc!$E$316-500))),TEXT(INDEX('My equipment'!$L$4:$L$503,(_calc!$E$316-500)),"yyyy-mm-dd"),"")&amp;". ")&amp;IF(LEN(IF(ISNUMBER(INDEX('My equipment'!$P$4:$P$503,(_calc!$E$316-500))),TEXT(INDEX('My equipment'!$P$4:$P$503,(_calc!$E$316-500)),"yyyy-mm-dd"),""))=0,"","Check by: "&amp;IF(ISNUMBER(INDEX('My equipment'!$P$4:$P$503,(_calc!$E$316-500))),TEXT(INDEX('My equipment'!$P$4:$P$503,(_calc!$E$316-500)),"yyyy-mm-dd"),"")&amp;". ")&amp;IF(LEN(IF(LEN(INDEX('My equipment'!$Q$4:$Q$503,(_calc!$E$316-500)))=0,"",INDEX('My equipment'!$Q$4:$Q$503,(_calc!$E$316-500))))=0,"","Claim status: "&amp;IF(LEN(INDEX('My equipment'!$Q$4:$Q$503,(_calc!$E$316-500)))=0,"",INDEX('My equipment'!$Q$4:$Q$503,(_calc!$E$316-500)))&amp;". ")&amp;IF(LEN(IF(LEN(INDEX('My equipment'!$R$4:$R$503,(_calc!$E$316-500)))=0,"",INDEX('My equipment'!$R$4:$R$503,(_calc!$E$316-500))))=0,"","Claims contact: "&amp;IF(LEN(INDEX('My equipment'!$R$4:$R$503,(_calc!$E$316-500)))=0,"",INDEX('My equipment'!$R$4:$R$503,(_calc!$E$316-500)))&amp;". ")&amp;IF(LEN(IF(LEN(INDEX('My equipment'!$S$4:$S$503,(_calc!$E$316-500)))=0,"",INDEX('My equipment'!$S$4:$S$503,(_calc!$E$316-500))))=0,"","Claims email: "&amp;IF(LEN(INDEX('My equipment'!$S$4:$S$503,(_calc!$E$316-500)))=0,"",INDEX('My equipment'!$S$4:$S$503,(_calc!$E$316-500)))&amp;". ")&amp;IF(LEN(IF(LEN(INDEX('My equipment'!$U$4:$U$503,(_calc!$E$316-500)))=0,"",INDEX('My equipment'!$U$4:$U$503,(_calc!$E$316-500))))=0,"","Registered: "&amp;IF(LEN(INDEX('My equipment'!$U$4:$U$503,(_calc!$E$316-500)))=0,"",INDEX('My equipment'!$U$4:$U$503,(_calc!$E$316-500)))&amp;". ")&amp;IF(LEN(IF(LEN(INDEX('My equipment'!$V$4:$V$503,(_calc!$E$316-500)))=0,"",INDEX('My equipment'!$V$4:$V$503,(_calc!$E$316-500))))=0,"","Proof on file: "&amp;IF(LEN(INDEX('My equipment'!$V$4:$V$503,(_calc!$E$316-500)))=0,"",INDEX('My equipment'!$V$4:$V$503,(_calc!$E$316-500)))&amp;". ")&amp;IF(LEN(IF(LEN(INDEX('My equipment'!$W$4:$W$503,(_calc!$E$316-500)))=0,"",INDEX('My equipment'!$W$4:$W$503,(_calc!$E$316-500))))=0,"","Claim ref: "&amp;IF(LEN(INDEX('My equipment'!$W$4:$W$503,(_calc!$E$316-500)))=0,"",INDEX('My equipment'!$W$4:$W$503,(_calc!$E$316-500)))&amp;". ")&amp;IF(LEN(IF(LEN(INDEX('My equipment'!$Y$4:$Y$503,(_calc!$E$316-500)))=0,"",INDEX('My equipment'!$Y$4:$Y$503,(_calc!$E$316-500))))=0,"",IF(LEN(INDEX('My equipment'!$Y$4:$Y$503,(_calc!$E$316-500)))=0,"",INDEX('My equipment'!$Y$4:$Y$503,(_calc!$E$316-500)))))))</f>
        <v/>
      </c>
      <c r="G314" s="54">
        <f>IF(_calc!$E$316="","",IF(_calc!$E$316&lt;=500,"",IF(LEN(INDEX('My equipment'!$X$4:$X$503,(_calc!$E$316-500)))=0,"",INDEX('My equipment'!$X$4:$X$503,(_calc!$E$316-500)))))</f>
        <v/>
      </c>
      <c r="K314" s="54">
        <f>IF(_calc!$E$316="","",IF(_calc!$E$316&lt;=500,"",IF(LEN(INDEX('My equipment'!$T$4:$T$503,(_calc!$E$316-500)))=0,"",INDEX('My equipment'!$T$4:$T$503,(_calc!$E$316-500)))))</f>
        <v/>
      </c>
    </row>
    <row r="315">
      <c r="A315" s="54">
        <f>IF(_calc!$E$317="","",IF(_calc!$E$317&lt;=500,"Warranty – "&amp;IF(LEN(INDEX('Dealer pipeline'!$C$4:$C$503,_calc!$E$317))=0,"",INDEX('Dealer pipeline'!$C$4:$C$503,_calc!$E$317))&amp;" – "&amp;IF(LEN(INDEX('Dealer pipeline'!$D$4:$D$503,_calc!$E$317))=0,"",INDEX('Dealer pipeline'!$D$4:$D$503,_calc!$E$317))&amp;" – "&amp;IF(LEN(INDEX('Dealer pipeline'!$A$4:$A$503,_calc!$E$317))=0,"",INDEX('Dealer pipeline'!$A$4:$A$503,_calc!$E$317)),"Warranty – "&amp;IF(LEN(INDEX('My equipment'!$A$4:$A$503,(_calc!$E$317-500)))=0,"",INDEX('My equipment'!$A$4:$A$503,(_calc!$E$317-500)))&amp;" – "&amp;IF(LEN(INDEX('My equipment'!$D$4:$D$503,(_calc!$E$317-500)))=0,"",INDEX('My equipment'!$D$4:$D$503,(_calc!$E$317-500)))))</f>
        <v/>
      </c>
      <c r="B315" s="54">
        <f>IF(_calc!$E$317="","",IF(_calc!$E$317&lt;=500,IF(ISNUMBER(INDEX('Dealer pipeline'!$M$4:$M$503,_calc!$E$317)),TEXT(INDEX('Dealer pipeline'!$M$4:$M$503,_calc!$E$317),"yyyy-mm-dd"),""),IF(ISNUMBER(INDEX('My equipment'!$M$4:$M$503,(_calc!$E$317-500))),TEXT(INDEX('My equipment'!$M$4:$M$503,(_calc!$E$317-500)),"yyyy-mm-dd"),"")))</f>
        <v/>
      </c>
      <c r="C315" s="54">
        <f>IF(_calc!$E$317="","",IF(_calc!$E$317&lt;=500,"Warranty","Warranty"))</f>
        <v/>
      </c>
      <c r="D315" s="54">
        <f>IF(_calc!$E$317="","",IF(_calc!$E$317&lt;=500,IF(ISNUMBER(INDEX('Dealer pipeline'!$H$4:$H$503,_calc!$E$317)),TEXT(INDEX('Dealer pipeline'!$H$4:$H$503,_calc!$E$317),"yyyy-mm-dd"),""),IF(ISNUMBER(INDEX('My equipment'!$H$4:$H$503,(_calc!$E$317-500))),TEXT(INDEX('My equipment'!$H$4:$H$503,(_calc!$E$317-500)),"yyyy-mm-dd"),"")))</f>
        <v/>
      </c>
      <c r="F315" s="54">
        <f>IF(_calc!$E$317="","",IF(_calc!$E$317&lt;=500,TRIM(IF(LEN(IF(LEN(INDEX('Dealer pipeline'!$A$4:$A$503,_calc!$E$317))=0,"",INDEX('Dealer pipeline'!$A$4:$A$503,_calc!$E$317)))=0,"","Customer: "&amp;IF(LEN(INDEX('Dealer pipeline'!$A$4:$A$503,_calc!$E$317))=0,"",INDEX('Dealer pipeline'!$A$4:$A$503,_calc!$E$317))&amp;". ")&amp;IF(LEN(IF(LEN(INDEX('Dealer pipeline'!$B$4:$B$503,_calc!$E$317))=0,"",INDEX('Dealer pipeline'!$B$4:$B$503,_calc!$E$317)))=0,"","Contact: "&amp;IF(LEN(INDEX('Dealer pipeline'!$B$4:$B$503,_calc!$E$317))=0,"",INDEX('Dealer pipeline'!$B$4:$B$503,_calc!$E$317))&amp;". ")&amp;IF(LEN(IF(LEN(INDEX('Dealer pipeline'!$D$4:$D$503,_calc!$E$317))=0,"",INDEX('Dealer pipeline'!$D$4:$D$503,_calc!$E$317)))=0,"","Serial: "&amp;IF(LEN(INDEX('Dealer pipeline'!$D$4:$D$503,_calc!$E$317))=0,"",INDEX('Dealer pipeline'!$D$4:$D$503,_calc!$E$317))&amp;". ")&amp;IF(LEN(IF(ISNUMBER(INDEX('Dealer pipeline'!$J$4:$J$503,_calc!$E$317)),TEXT(INDEX('Dealer pipeline'!$J$4:$J$503,_calc!$E$317),"yyyy-mm-dd"),""))=0,"","Parts end: "&amp;IF(ISNUMBER(INDEX('Dealer pipeline'!$J$4:$J$503,_calc!$E$317)),TEXT(INDEX('Dealer pipeline'!$J$4:$J$503,_calc!$E$317),"yyyy-mm-dd"),"")&amp;". ")&amp;IF(LEN(IF(ISNUMBER(INDEX('Dealer pipeline'!$L$4:$L$503,_calc!$E$317)),TEXT(INDEX('Dealer pipeline'!$L$4:$L$503,_calc!$E$317),"yyyy-mm-dd"),""))=0,"","Labor end: "&amp;IF(ISNUMBER(INDEX('Dealer pipeline'!$L$4:$L$503,_calc!$E$317)),TEXT(INDEX('Dealer pipeline'!$L$4:$L$503,_calc!$E$317),"yyyy-mm-dd"),"")&amp;". ")&amp;IF(LEN(IF(LEN(INDEX('Dealer pipeline'!$Q$4:$Q$503,_calc!$E$317))=0,"",INDEX('Dealer pipeline'!$Q$4:$Q$503,_calc!$E$317)))=0,"","Status: "&amp;IF(LEN(INDEX('Dealer pipeline'!$Q$4:$Q$503,_calc!$E$317))=0,"",INDEX('Dealer pipeline'!$Q$4:$Q$503,_calc!$E$317))&amp;". ")&amp;IF(LEN(IF(LEN(INDEX('Dealer pipeline'!$P$4:$P$503,_calc!$E$317))=0,"",INDEX('Dealer pipeline'!$P$4:$P$503,_calc!$E$317)))=0,"","Last touch: "&amp;IF(LEN(INDEX('Dealer pipeline'!$P$4:$P$503,_calc!$E$317))=0,"",INDEX('Dealer pipeline'!$P$4:$P$503,_calc!$E$317))&amp;". ")&amp;IF(LEN(IF(LEN(INDEX('Dealer pipeline'!$R$4:$R$503,_calc!$E$317))=0,"",INDEX('Dealer pipeline'!$R$4:$R$503,_calc!$E$317)))=0,"","Owner: "&amp;IF(LEN(INDEX('Dealer pipeline'!$R$4:$R$503,_calc!$E$317))=0,"",INDEX('Dealer pipeline'!$R$4:$R$503,_calc!$E$317))&amp;". ")&amp;IF(LEN(IF(LEN(INDEX('Dealer pipeline'!$S$4:$S$503,_calc!$E$317))=0,"",INDEX('Dealer pipeline'!$S$4:$S$503,_calc!$E$317)))=0,"","Backup: "&amp;IF(LEN(INDEX('Dealer pipeline'!$S$4:$S$503,_calc!$E$317))=0,"",INDEX('Dealer pipeline'!$S$4:$S$503,_calc!$E$317))&amp;". ")&amp;IF(LEN(IF(LEN(INDEX('Dealer pipeline'!$T$4:$T$503,_calc!$E$317))=0,"",INDEX('Dealer pipeline'!$T$4:$T$503,_calc!$E$317)))=0,"",IF(LEN(INDEX('Dealer pipeline'!$T$4:$T$503,_calc!$E$317))=0,"",INDEX('Dealer pipeline'!$T$4:$T$503,_calc!$E$317)))),TRIM(IF(LEN(IF(LEN(INDEX('My equipment'!$C$4:$C$503,(_calc!$E$317-500)))=0,"",INDEX('My equipment'!$C$4:$C$503,(_calc!$E$317-500))))=0,"","Model: "&amp;IF(LEN(INDEX('My equipment'!$C$4:$C$503,(_calc!$E$317-500)))=0,"",INDEX('My equipment'!$C$4:$C$503,(_calc!$E$317-500)))&amp;". ")&amp;IF(LEN(IF(LEN(INDEX('My equipment'!$D$4:$D$503,(_calc!$E$317-500)))=0,"",INDEX('My equipment'!$D$4:$D$503,(_calc!$E$317-500))))=0,"","Serial: "&amp;IF(LEN(INDEX('My equipment'!$D$4:$D$503,(_calc!$E$317-500)))=0,"",INDEX('My equipment'!$D$4:$D$503,(_calc!$E$317-500)))&amp;". ")&amp;IF(LEN(IF(ISNUMBER(INDEX('My equipment'!$J$4:$J$503,(_calc!$E$317-500))),TEXT(INDEX('My equipment'!$J$4:$J$503,(_calc!$E$317-500)),"yyyy-mm-dd"),""))=0,"","Parts end: "&amp;IF(ISNUMBER(INDEX('My equipment'!$J$4:$J$503,(_calc!$E$317-500))),TEXT(INDEX('My equipment'!$J$4:$J$503,(_calc!$E$317-500)),"yyyy-mm-dd"),"")&amp;". ")&amp;IF(LEN(IF(ISNUMBER(INDEX('My equipment'!$L$4:$L$503,(_calc!$E$317-500))),TEXT(INDEX('My equipment'!$L$4:$L$503,(_calc!$E$317-500)),"yyyy-mm-dd"),""))=0,"","Labor end: "&amp;IF(ISNUMBER(INDEX('My equipment'!$L$4:$L$503,(_calc!$E$317-500))),TEXT(INDEX('My equipment'!$L$4:$L$503,(_calc!$E$317-500)),"yyyy-mm-dd"),"")&amp;". ")&amp;IF(LEN(IF(ISNUMBER(INDEX('My equipment'!$P$4:$P$503,(_calc!$E$317-500))),TEXT(INDEX('My equipment'!$P$4:$P$503,(_calc!$E$317-500)),"yyyy-mm-dd"),""))=0,"","Check by: "&amp;IF(ISNUMBER(INDEX('My equipment'!$P$4:$P$503,(_calc!$E$317-500))),TEXT(INDEX('My equipment'!$P$4:$P$503,(_calc!$E$317-500)),"yyyy-mm-dd"),"")&amp;". ")&amp;IF(LEN(IF(LEN(INDEX('My equipment'!$Q$4:$Q$503,(_calc!$E$317-500)))=0,"",INDEX('My equipment'!$Q$4:$Q$503,(_calc!$E$317-500))))=0,"","Claim status: "&amp;IF(LEN(INDEX('My equipment'!$Q$4:$Q$503,(_calc!$E$317-500)))=0,"",INDEX('My equipment'!$Q$4:$Q$503,(_calc!$E$317-500)))&amp;". ")&amp;IF(LEN(IF(LEN(INDEX('My equipment'!$R$4:$R$503,(_calc!$E$317-500)))=0,"",INDEX('My equipment'!$R$4:$R$503,(_calc!$E$317-500))))=0,"","Claims contact: "&amp;IF(LEN(INDEX('My equipment'!$R$4:$R$503,(_calc!$E$317-500)))=0,"",INDEX('My equipment'!$R$4:$R$503,(_calc!$E$317-500)))&amp;". ")&amp;IF(LEN(IF(LEN(INDEX('My equipment'!$S$4:$S$503,(_calc!$E$317-500)))=0,"",INDEX('My equipment'!$S$4:$S$503,(_calc!$E$317-500))))=0,"","Claims email: "&amp;IF(LEN(INDEX('My equipment'!$S$4:$S$503,(_calc!$E$317-500)))=0,"",INDEX('My equipment'!$S$4:$S$503,(_calc!$E$317-500)))&amp;". ")&amp;IF(LEN(IF(LEN(INDEX('My equipment'!$U$4:$U$503,(_calc!$E$317-500)))=0,"",INDEX('My equipment'!$U$4:$U$503,(_calc!$E$317-500))))=0,"","Registered: "&amp;IF(LEN(INDEX('My equipment'!$U$4:$U$503,(_calc!$E$317-500)))=0,"",INDEX('My equipment'!$U$4:$U$503,(_calc!$E$317-500)))&amp;". ")&amp;IF(LEN(IF(LEN(INDEX('My equipment'!$V$4:$V$503,(_calc!$E$317-500)))=0,"",INDEX('My equipment'!$V$4:$V$503,(_calc!$E$317-500))))=0,"","Proof on file: "&amp;IF(LEN(INDEX('My equipment'!$V$4:$V$503,(_calc!$E$317-500)))=0,"",INDEX('My equipment'!$V$4:$V$503,(_calc!$E$317-500)))&amp;". ")&amp;IF(LEN(IF(LEN(INDEX('My equipment'!$W$4:$W$503,(_calc!$E$317-500)))=0,"",INDEX('My equipment'!$W$4:$W$503,(_calc!$E$317-500))))=0,"","Claim ref: "&amp;IF(LEN(INDEX('My equipment'!$W$4:$W$503,(_calc!$E$317-500)))=0,"",INDEX('My equipment'!$W$4:$W$503,(_calc!$E$317-500)))&amp;". ")&amp;IF(LEN(IF(LEN(INDEX('My equipment'!$Y$4:$Y$503,(_calc!$E$317-500)))=0,"",INDEX('My equipment'!$Y$4:$Y$503,(_calc!$E$317-500))))=0,"",IF(LEN(INDEX('My equipment'!$Y$4:$Y$503,(_calc!$E$317-500)))=0,"",INDEX('My equipment'!$Y$4:$Y$503,(_calc!$E$317-500)))))))</f>
        <v/>
      </c>
      <c r="G315" s="54">
        <f>IF(_calc!$E$317="","",IF(_calc!$E$317&lt;=500,"",IF(LEN(INDEX('My equipment'!$X$4:$X$503,(_calc!$E$317-500)))=0,"",INDEX('My equipment'!$X$4:$X$503,(_calc!$E$317-500)))))</f>
        <v/>
      </c>
      <c r="K315" s="54">
        <f>IF(_calc!$E$317="","",IF(_calc!$E$317&lt;=500,"",IF(LEN(INDEX('My equipment'!$T$4:$T$503,(_calc!$E$317-500)))=0,"",INDEX('My equipment'!$T$4:$T$503,(_calc!$E$317-500)))))</f>
        <v/>
      </c>
    </row>
    <row r="316">
      <c r="A316" s="54">
        <f>IF(_calc!$E$318="","",IF(_calc!$E$318&lt;=500,"Warranty – "&amp;IF(LEN(INDEX('Dealer pipeline'!$C$4:$C$503,_calc!$E$318))=0,"",INDEX('Dealer pipeline'!$C$4:$C$503,_calc!$E$318))&amp;" – "&amp;IF(LEN(INDEX('Dealer pipeline'!$D$4:$D$503,_calc!$E$318))=0,"",INDEX('Dealer pipeline'!$D$4:$D$503,_calc!$E$318))&amp;" – "&amp;IF(LEN(INDEX('Dealer pipeline'!$A$4:$A$503,_calc!$E$318))=0,"",INDEX('Dealer pipeline'!$A$4:$A$503,_calc!$E$318)),"Warranty – "&amp;IF(LEN(INDEX('My equipment'!$A$4:$A$503,(_calc!$E$318-500)))=0,"",INDEX('My equipment'!$A$4:$A$503,(_calc!$E$318-500)))&amp;" – "&amp;IF(LEN(INDEX('My equipment'!$D$4:$D$503,(_calc!$E$318-500)))=0,"",INDEX('My equipment'!$D$4:$D$503,(_calc!$E$318-500)))))</f>
        <v/>
      </c>
      <c r="B316" s="54">
        <f>IF(_calc!$E$318="","",IF(_calc!$E$318&lt;=500,IF(ISNUMBER(INDEX('Dealer pipeline'!$M$4:$M$503,_calc!$E$318)),TEXT(INDEX('Dealer pipeline'!$M$4:$M$503,_calc!$E$318),"yyyy-mm-dd"),""),IF(ISNUMBER(INDEX('My equipment'!$M$4:$M$503,(_calc!$E$318-500))),TEXT(INDEX('My equipment'!$M$4:$M$503,(_calc!$E$318-500)),"yyyy-mm-dd"),"")))</f>
        <v/>
      </c>
      <c r="C316" s="54">
        <f>IF(_calc!$E$318="","",IF(_calc!$E$318&lt;=500,"Warranty","Warranty"))</f>
        <v/>
      </c>
      <c r="D316" s="54">
        <f>IF(_calc!$E$318="","",IF(_calc!$E$318&lt;=500,IF(ISNUMBER(INDEX('Dealer pipeline'!$H$4:$H$503,_calc!$E$318)),TEXT(INDEX('Dealer pipeline'!$H$4:$H$503,_calc!$E$318),"yyyy-mm-dd"),""),IF(ISNUMBER(INDEX('My equipment'!$H$4:$H$503,(_calc!$E$318-500))),TEXT(INDEX('My equipment'!$H$4:$H$503,(_calc!$E$318-500)),"yyyy-mm-dd"),"")))</f>
        <v/>
      </c>
      <c r="F316" s="54">
        <f>IF(_calc!$E$318="","",IF(_calc!$E$318&lt;=500,TRIM(IF(LEN(IF(LEN(INDEX('Dealer pipeline'!$A$4:$A$503,_calc!$E$318))=0,"",INDEX('Dealer pipeline'!$A$4:$A$503,_calc!$E$318)))=0,"","Customer: "&amp;IF(LEN(INDEX('Dealer pipeline'!$A$4:$A$503,_calc!$E$318))=0,"",INDEX('Dealer pipeline'!$A$4:$A$503,_calc!$E$318))&amp;". ")&amp;IF(LEN(IF(LEN(INDEX('Dealer pipeline'!$B$4:$B$503,_calc!$E$318))=0,"",INDEX('Dealer pipeline'!$B$4:$B$503,_calc!$E$318)))=0,"","Contact: "&amp;IF(LEN(INDEX('Dealer pipeline'!$B$4:$B$503,_calc!$E$318))=0,"",INDEX('Dealer pipeline'!$B$4:$B$503,_calc!$E$318))&amp;". ")&amp;IF(LEN(IF(LEN(INDEX('Dealer pipeline'!$D$4:$D$503,_calc!$E$318))=0,"",INDEX('Dealer pipeline'!$D$4:$D$503,_calc!$E$318)))=0,"","Serial: "&amp;IF(LEN(INDEX('Dealer pipeline'!$D$4:$D$503,_calc!$E$318))=0,"",INDEX('Dealer pipeline'!$D$4:$D$503,_calc!$E$318))&amp;". ")&amp;IF(LEN(IF(ISNUMBER(INDEX('Dealer pipeline'!$J$4:$J$503,_calc!$E$318)),TEXT(INDEX('Dealer pipeline'!$J$4:$J$503,_calc!$E$318),"yyyy-mm-dd"),""))=0,"","Parts end: "&amp;IF(ISNUMBER(INDEX('Dealer pipeline'!$J$4:$J$503,_calc!$E$318)),TEXT(INDEX('Dealer pipeline'!$J$4:$J$503,_calc!$E$318),"yyyy-mm-dd"),"")&amp;". ")&amp;IF(LEN(IF(ISNUMBER(INDEX('Dealer pipeline'!$L$4:$L$503,_calc!$E$318)),TEXT(INDEX('Dealer pipeline'!$L$4:$L$503,_calc!$E$318),"yyyy-mm-dd"),""))=0,"","Labor end: "&amp;IF(ISNUMBER(INDEX('Dealer pipeline'!$L$4:$L$503,_calc!$E$318)),TEXT(INDEX('Dealer pipeline'!$L$4:$L$503,_calc!$E$318),"yyyy-mm-dd"),"")&amp;". ")&amp;IF(LEN(IF(LEN(INDEX('Dealer pipeline'!$Q$4:$Q$503,_calc!$E$318))=0,"",INDEX('Dealer pipeline'!$Q$4:$Q$503,_calc!$E$318)))=0,"","Status: "&amp;IF(LEN(INDEX('Dealer pipeline'!$Q$4:$Q$503,_calc!$E$318))=0,"",INDEX('Dealer pipeline'!$Q$4:$Q$503,_calc!$E$318))&amp;". ")&amp;IF(LEN(IF(LEN(INDEX('Dealer pipeline'!$P$4:$P$503,_calc!$E$318))=0,"",INDEX('Dealer pipeline'!$P$4:$P$503,_calc!$E$318)))=0,"","Last touch: "&amp;IF(LEN(INDEX('Dealer pipeline'!$P$4:$P$503,_calc!$E$318))=0,"",INDEX('Dealer pipeline'!$P$4:$P$503,_calc!$E$318))&amp;". ")&amp;IF(LEN(IF(LEN(INDEX('Dealer pipeline'!$R$4:$R$503,_calc!$E$318))=0,"",INDEX('Dealer pipeline'!$R$4:$R$503,_calc!$E$318)))=0,"","Owner: "&amp;IF(LEN(INDEX('Dealer pipeline'!$R$4:$R$503,_calc!$E$318))=0,"",INDEX('Dealer pipeline'!$R$4:$R$503,_calc!$E$318))&amp;". ")&amp;IF(LEN(IF(LEN(INDEX('Dealer pipeline'!$S$4:$S$503,_calc!$E$318))=0,"",INDEX('Dealer pipeline'!$S$4:$S$503,_calc!$E$318)))=0,"","Backup: "&amp;IF(LEN(INDEX('Dealer pipeline'!$S$4:$S$503,_calc!$E$318))=0,"",INDEX('Dealer pipeline'!$S$4:$S$503,_calc!$E$318))&amp;". ")&amp;IF(LEN(IF(LEN(INDEX('Dealer pipeline'!$T$4:$T$503,_calc!$E$318))=0,"",INDEX('Dealer pipeline'!$T$4:$T$503,_calc!$E$318)))=0,"",IF(LEN(INDEX('Dealer pipeline'!$T$4:$T$503,_calc!$E$318))=0,"",INDEX('Dealer pipeline'!$T$4:$T$503,_calc!$E$318)))),TRIM(IF(LEN(IF(LEN(INDEX('My equipment'!$C$4:$C$503,(_calc!$E$318-500)))=0,"",INDEX('My equipment'!$C$4:$C$503,(_calc!$E$318-500))))=0,"","Model: "&amp;IF(LEN(INDEX('My equipment'!$C$4:$C$503,(_calc!$E$318-500)))=0,"",INDEX('My equipment'!$C$4:$C$503,(_calc!$E$318-500)))&amp;". ")&amp;IF(LEN(IF(LEN(INDEX('My equipment'!$D$4:$D$503,(_calc!$E$318-500)))=0,"",INDEX('My equipment'!$D$4:$D$503,(_calc!$E$318-500))))=0,"","Serial: "&amp;IF(LEN(INDEX('My equipment'!$D$4:$D$503,(_calc!$E$318-500)))=0,"",INDEX('My equipment'!$D$4:$D$503,(_calc!$E$318-500)))&amp;". ")&amp;IF(LEN(IF(ISNUMBER(INDEX('My equipment'!$J$4:$J$503,(_calc!$E$318-500))),TEXT(INDEX('My equipment'!$J$4:$J$503,(_calc!$E$318-500)),"yyyy-mm-dd"),""))=0,"","Parts end: "&amp;IF(ISNUMBER(INDEX('My equipment'!$J$4:$J$503,(_calc!$E$318-500))),TEXT(INDEX('My equipment'!$J$4:$J$503,(_calc!$E$318-500)),"yyyy-mm-dd"),"")&amp;". ")&amp;IF(LEN(IF(ISNUMBER(INDEX('My equipment'!$L$4:$L$503,(_calc!$E$318-500))),TEXT(INDEX('My equipment'!$L$4:$L$503,(_calc!$E$318-500)),"yyyy-mm-dd"),""))=0,"","Labor end: "&amp;IF(ISNUMBER(INDEX('My equipment'!$L$4:$L$503,(_calc!$E$318-500))),TEXT(INDEX('My equipment'!$L$4:$L$503,(_calc!$E$318-500)),"yyyy-mm-dd"),"")&amp;". ")&amp;IF(LEN(IF(ISNUMBER(INDEX('My equipment'!$P$4:$P$503,(_calc!$E$318-500))),TEXT(INDEX('My equipment'!$P$4:$P$503,(_calc!$E$318-500)),"yyyy-mm-dd"),""))=0,"","Check by: "&amp;IF(ISNUMBER(INDEX('My equipment'!$P$4:$P$503,(_calc!$E$318-500))),TEXT(INDEX('My equipment'!$P$4:$P$503,(_calc!$E$318-500)),"yyyy-mm-dd"),"")&amp;". ")&amp;IF(LEN(IF(LEN(INDEX('My equipment'!$Q$4:$Q$503,(_calc!$E$318-500)))=0,"",INDEX('My equipment'!$Q$4:$Q$503,(_calc!$E$318-500))))=0,"","Claim status: "&amp;IF(LEN(INDEX('My equipment'!$Q$4:$Q$503,(_calc!$E$318-500)))=0,"",INDEX('My equipment'!$Q$4:$Q$503,(_calc!$E$318-500)))&amp;". ")&amp;IF(LEN(IF(LEN(INDEX('My equipment'!$R$4:$R$503,(_calc!$E$318-500)))=0,"",INDEX('My equipment'!$R$4:$R$503,(_calc!$E$318-500))))=0,"","Claims contact: "&amp;IF(LEN(INDEX('My equipment'!$R$4:$R$503,(_calc!$E$318-500)))=0,"",INDEX('My equipment'!$R$4:$R$503,(_calc!$E$318-500)))&amp;". ")&amp;IF(LEN(IF(LEN(INDEX('My equipment'!$S$4:$S$503,(_calc!$E$318-500)))=0,"",INDEX('My equipment'!$S$4:$S$503,(_calc!$E$318-500))))=0,"","Claims email: "&amp;IF(LEN(INDEX('My equipment'!$S$4:$S$503,(_calc!$E$318-500)))=0,"",INDEX('My equipment'!$S$4:$S$503,(_calc!$E$318-500)))&amp;". ")&amp;IF(LEN(IF(LEN(INDEX('My equipment'!$U$4:$U$503,(_calc!$E$318-500)))=0,"",INDEX('My equipment'!$U$4:$U$503,(_calc!$E$318-500))))=0,"","Registered: "&amp;IF(LEN(INDEX('My equipment'!$U$4:$U$503,(_calc!$E$318-500)))=0,"",INDEX('My equipment'!$U$4:$U$503,(_calc!$E$318-500)))&amp;". ")&amp;IF(LEN(IF(LEN(INDEX('My equipment'!$V$4:$V$503,(_calc!$E$318-500)))=0,"",INDEX('My equipment'!$V$4:$V$503,(_calc!$E$318-500))))=0,"","Proof on file: "&amp;IF(LEN(INDEX('My equipment'!$V$4:$V$503,(_calc!$E$318-500)))=0,"",INDEX('My equipment'!$V$4:$V$503,(_calc!$E$318-500)))&amp;". ")&amp;IF(LEN(IF(LEN(INDEX('My equipment'!$W$4:$W$503,(_calc!$E$318-500)))=0,"",INDEX('My equipment'!$W$4:$W$503,(_calc!$E$318-500))))=0,"","Claim ref: "&amp;IF(LEN(INDEX('My equipment'!$W$4:$W$503,(_calc!$E$318-500)))=0,"",INDEX('My equipment'!$W$4:$W$503,(_calc!$E$318-500)))&amp;". ")&amp;IF(LEN(IF(LEN(INDEX('My equipment'!$Y$4:$Y$503,(_calc!$E$318-500)))=0,"",INDEX('My equipment'!$Y$4:$Y$503,(_calc!$E$318-500))))=0,"",IF(LEN(INDEX('My equipment'!$Y$4:$Y$503,(_calc!$E$318-500)))=0,"",INDEX('My equipment'!$Y$4:$Y$503,(_calc!$E$318-500)))))))</f>
        <v/>
      </c>
      <c r="G316" s="54">
        <f>IF(_calc!$E$318="","",IF(_calc!$E$318&lt;=500,"",IF(LEN(INDEX('My equipment'!$X$4:$X$503,(_calc!$E$318-500)))=0,"",INDEX('My equipment'!$X$4:$X$503,(_calc!$E$318-500)))))</f>
        <v/>
      </c>
      <c r="K316" s="54">
        <f>IF(_calc!$E$318="","",IF(_calc!$E$318&lt;=500,"",IF(LEN(INDEX('My equipment'!$T$4:$T$503,(_calc!$E$318-500)))=0,"",INDEX('My equipment'!$T$4:$T$503,(_calc!$E$318-500)))))</f>
        <v/>
      </c>
    </row>
    <row r="317">
      <c r="A317" s="54">
        <f>IF(_calc!$E$319="","",IF(_calc!$E$319&lt;=500,"Warranty – "&amp;IF(LEN(INDEX('Dealer pipeline'!$C$4:$C$503,_calc!$E$319))=0,"",INDEX('Dealer pipeline'!$C$4:$C$503,_calc!$E$319))&amp;" – "&amp;IF(LEN(INDEX('Dealer pipeline'!$D$4:$D$503,_calc!$E$319))=0,"",INDEX('Dealer pipeline'!$D$4:$D$503,_calc!$E$319))&amp;" – "&amp;IF(LEN(INDEX('Dealer pipeline'!$A$4:$A$503,_calc!$E$319))=0,"",INDEX('Dealer pipeline'!$A$4:$A$503,_calc!$E$319)),"Warranty – "&amp;IF(LEN(INDEX('My equipment'!$A$4:$A$503,(_calc!$E$319-500)))=0,"",INDEX('My equipment'!$A$4:$A$503,(_calc!$E$319-500)))&amp;" – "&amp;IF(LEN(INDEX('My equipment'!$D$4:$D$503,(_calc!$E$319-500)))=0,"",INDEX('My equipment'!$D$4:$D$503,(_calc!$E$319-500)))))</f>
        <v/>
      </c>
      <c r="B317" s="54">
        <f>IF(_calc!$E$319="","",IF(_calc!$E$319&lt;=500,IF(ISNUMBER(INDEX('Dealer pipeline'!$M$4:$M$503,_calc!$E$319)),TEXT(INDEX('Dealer pipeline'!$M$4:$M$503,_calc!$E$319),"yyyy-mm-dd"),""),IF(ISNUMBER(INDEX('My equipment'!$M$4:$M$503,(_calc!$E$319-500))),TEXT(INDEX('My equipment'!$M$4:$M$503,(_calc!$E$319-500)),"yyyy-mm-dd"),"")))</f>
        <v/>
      </c>
      <c r="C317" s="54">
        <f>IF(_calc!$E$319="","",IF(_calc!$E$319&lt;=500,"Warranty","Warranty"))</f>
        <v/>
      </c>
      <c r="D317" s="54">
        <f>IF(_calc!$E$319="","",IF(_calc!$E$319&lt;=500,IF(ISNUMBER(INDEX('Dealer pipeline'!$H$4:$H$503,_calc!$E$319)),TEXT(INDEX('Dealer pipeline'!$H$4:$H$503,_calc!$E$319),"yyyy-mm-dd"),""),IF(ISNUMBER(INDEX('My equipment'!$H$4:$H$503,(_calc!$E$319-500))),TEXT(INDEX('My equipment'!$H$4:$H$503,(_calc!$E$319-500)),"yyyy-mm-dd"),"")))</f>
        <v/>
      </c>
      <c r="F317" s="54">
        <f>IF(_calc!$E$319="","",IF(_calc!$E$319&lt;=500,TRIM(IF(LEN(IF(LEN(INDEX('Dealer pipeline'!$A$4:$A$503,_calc!$E$319))=0,"",INDEX('Dealer pipeline'!$A$4:$A$503,_calc!$E$319)))=0,"","Customer: "&amp;IF(LEN(INDEX('Dealer pipeline'!$A$4:$A$503,_calc!$E$319))=0,"",INDEX('Dealer pipeline'!$A$4:$A$503,_calc!$E$319))&amp;". ")&amp;IF(LEN(IF(LEN(INDEX('Dealer pipeline'!$B$4:$B$503,_calc!$E$319))=0,"",INDEX('Dealer pipeline'!$B$4:$B$503,_calc!$E$319)))=0,"","Contact: "&amp;IF(LEN(INDEX('Dealer pipeline'!$B$4:$B$503,_calc!$E$319))=0,"",INDEX('Dealer pipeline'!$B$4:$B$503,_calc!$E$319))&amp;". ")&amp;IF(LEN(IF(LEN(INDEX('Dealer pipeline'!$D$4:$D$503,_calc!$E$319))=0,"",INDEX('Dealer pipeline'!$D$4:$D$503,_calc!$E$319)))=0,"","Serial: "&amp;IF(LEN(INDEX('Dealer pipeline'!$D$4:$D$503,_calc!$E$319))=0,"",INDEX('Dealer pipeline'!$D$4:$D$503,_calc!$E$319))&amp;". ")&amp;IF(LEN(IF(ISNUMBER(INDEX('Dealer pipeline'!$J$4:$J$503,_calc!$E$319)),TEXT(INDEX('Dealer pipeline'!$J$4:$J$503,_calc!$E$319),"yyyy-mm-dd"),""))=0,"","Parts end: "&amp;IF(ISNUMBER(INDEX('Dealer pipeline'!$J$4:$J$503,_calc!$E$319)),TEXT(INDEX('Dealer pipeline'!$J$4:$J$503,_calc!$E$319),"yyyy-mm-dd"),"")&amp;". ")&amp;IF(LEN(IF(ISNUMBER(INDEX('Dealer pipeline'!$L$4:$L$503,_calc!$E$319)),TEXT(INDEX('Dealer pipeline'!$L$4:$L$503,_calc!$E$319),"yyyy-mm-dd"),""))=0,"","Labor end: "&amp;IF(ISNUMBER(INDEX('Dealer pipeline'!$L$4:$L$503,_calc!$E$319)),TEXT(INDEX('Dealer pipeline'!$L$4:$L$503,_calc!$E$319),"yyyy-mm-dd"),"")&amp;". ")&amp;IF(LEN(IF(LEN(INDEX('Dealer pipeline'!$Q$4:$Q$503,_calc!$E$319))=0,"",INDEX('Dealer pipeline'!$Q$4:$Q$503,_calc!$E$319)))=0,"","Status: "&amp;IF(LEN(INDEX('Dealer pipeline'!$Q$4:$Q$503,_calc!$E$319))=0,"",INDEX('Dealer pipeline'!$Q$4:$Q$503,_calc!$E$319))&amp;". ")&amp;IF(LEN(IF(LEN(INDEX('Dealer pipeline'!$P$4:$P$503,_calc!$E$319))=0,"",INDEX('Dealer pipeline'!$P$4:$P$503,_calc!$E$319)))=0,"","Last touch: "&amp;IF(LEN(INDEX('Dealer pipeline'!$P$4:$P$503,_calc!$E$319))=0,"",INDEX('Dealer pipeline'!$P$4:$P$503,_calc!$E$319))&amp;". ")&amp;IF(LEN(IF(LEN(INDEX('Dealer pipeline'!$R$4:$R$503,_calc!$E$319))=0,"",INDEX('Dealer pipeline'!$R$4:$R$503,_calc!$E$319)))=0,"","Owner: "&amp;IF(LEN(INDEX('Dealer pipeline'!$R$4:$R$503,_calc!$E$319))=0,"",INDEX('Dealer pipeline'!$R$4:$R$503,_calc!$E$319))&amp;". ")&amp;IF(LEN(IF(LEN(INDEX('Dealer pipeline'!$S$4:$S$503,_calc!$E$319))=0,"",INDEX('Dealer pipeline'!$S$4:$S$503,_calc!$E$319)))=0,"","Backup: "&amp;IF(LEN(INDEX('Dealer pipeline'!$S$4:$S$503,_calc!$E$319))=0,"",INDEX('Dealer pipeline'!$S$4:$S$503,_calc!$E$319))&amp;". ")&amp;IF(LEN(IF(LEN(INDEX('Dealer pipeline'!$T$4:$T$503,_calc!$E$319))=0,"",INDEX('Dealer pipeline'!$T$4:$T$503,_calc!$E$319)))=0,"",IF(LEN(INDEX('Dealer pipeline'!$T$4:$T$503,_calc!$E$319))=0,"",INDEX('Dealer pipeline'!$T$4:$T$503,_calc!$E$319)))),TRIM(IF(LEN(IF(LEN(INDEX('My equipment'!$C$4:$C$503,(_calc!$E$319-500)))=0,"",INDEX('My equipment'!$C$4:$C$503,(_calc!$E$319-500))))=0,"","Model: "&amp;IF(LEN(INDEX('My equipment'!$C$4:$C$503,(_calc!$E$319-500)))=0,"",INDEX('My equipment'!$C$4:$C$503,(_calc!$E$319-500)))&amp;". ")&amp;IF(LEN(IF(LEN(INDEX('My equipment'!$D$4:$D$503,(_calc!$E$319-500)))=0,"",INDEX('My equipment'!$D$4:$D$503,(_calc!$E$319-500))))=0,"","Serial: "&amp;IF(LEN(INDEX('My equipment'!$D$4:$D$503,(_calc!$E$319-500)))=0,"",INDEX('My equipment'!$D$4:$D$503,(_calc!$E$319-500)))&amp;". ")&amp;IF(LEN(IF(ISNUMBER(INDEX('My equipment'!$J$4:$J$503,(_calc!$E$319-500))),TEXT(INDEX('My equipment'!$J$4:$J$503,(_calc!$E$319-500)),"yyyy-mm-dd"),""))=0,"","Parts end: "&amp;IF(ISNUMBER(INDEX('My equipment'!$J$4:$J$503,(_calc!$E$319-500))),TEXT(INDEX('My equipment'!$J$4:$J$503,(_calc!$E$319-500)),"yyyy-mm-dd"),"")&amp;". ")&amp;IF(LEN(IF(ISNUMBER(INDEX('My equipment'!$L$4:$L$503,(_calc!$E$319-500))),TEXT(INDEX('My equipment'!$L$4:$L$503,(_calc!$E$319-500)),"yyyy-mm-dd"),""))=0,"","Labor end: "&amp;IF(ISNUMBER(INDEX('My equipment'!$L$4:$L$503,(_calc!$E$319-500))),TEXT(INDEX('My equipment'!$L$4:$L$503,(_calc!$E$319-500)),"yyyy-mm-dd"),"")&amp;". ")&amp;IF(LEN(IF(ISNUMBER(INDEX('My equipment'!$P$4:$P$503,(_calc!$E$319-500))),TEXT(INDEX('My equipment'!$P$4:$P$503,(_calc!$E$319-500)),"yyyy-mm-dd"),""))=0,"","Check by: "&amp;IF(ISNUMBER(INDEX('My equipment'!$P$4:$P$503,(_calc!$E$319-500))),TEXT(INDEX('My equipment'!$P$4:$P$503,(_calc!$E$319-500)),"yyyy-mm-dd"),"")&amp;". ")&amp;IF(LEN(IF(LEN(INDEX('My equipment'!$Q$4:$Q$503,(_calc!$E$319-500)))=0,"",INDEX('My equipment'!$Q$4:$Q$503,(_calc!$E$319-500))))=0,"","Claim status: "&amp;IF(LEN(INDEX('My equipment'!$Q$4:$Q$503,(_calc!$E$319-500)))=0,"",INDEX('My equipment'!$Q$4:$Q$503,(_calc!$E$319-500)))&amp;". ")&amp;IF(LEN(IF(LEN(INDEX('My equipment'!$R$4:$R$503,(_calc!$E$319-500)))=0,"",INDEX('My equipment'!$R$4:$R$503,(_calc!$E$319-500))))=0,"","Claims contact: "&amp;IF(LEN(INDEX('My equipment'!$R$4:$R$503,(_calc!$E$319-500)))=0,"",INDEX('My equipment'!$R$4:$R$503,(_calc!$E$319-500)))&amp;". ")&amp;IF(LEN(IF(LEN(INDEX('My equipment'!$S$4:$S$503,(_calc!$E$319-500)))=0,"",INDEX('My equipment'!$S$4:$S$503,(_calc!$E$319-500))))=0,"","Claims email: "&amp;IF(LEN(INDEX('My equipment'!$S$4:$S$503,(_calc!$E$319-500)))=0,"",INDEX('My equipment'!$S$4:$S$503,(_calc!$E$319-500)))&amp;". ")&amp;IF(LEN(IF(LEN(INDEX('My equipment'!$U$4:$U$503,(_calc!$E$319-500)))=0,"",INDEX('My equipment'!$U$4:$U$503,(_calc!$E$319-500))))=0,"","Registered: "&amp;IF(LEN(INDEX('My equipment'!$U$4:$U$503,(_calc!$E$319-500)))=0,"",INDEX('My equipment'!$U$4:$U$503,(_calc!$E$319-500)))&amp;". ")&amp;IF(LEN(IF(LEN(INDEX('My equipment'!$V$4:$V$503,(_calc!$E$319-500)))=0,"",INDEX('My equipment'!$V$4:$V$503,(_calc!$E$319-500))))=0,"","Proof on file: "&amp;IF(LEN(INDEX('My equipment'!$V$4:$V$503,(_calc!$E$319-500)))=0,"",INDEX('My equipment'!$V$4:$V$503,(_calc!$E$319-500)))&amp;". ")&amp;IF(LEN(IF(LEN(INDEX('My equipment'!$W$4:$W$503,(_calc!$E$319-500)))=0,"",INDEX('My equipment'!$W$4:$W$503,(_calc!$E$319-500))))=0,"","Claim ref: "&amp;IF(LEN(INDEX('My equipment'!$W$4:$W$503,(_calc!$E$319-500)))=0,"",INDEX('My equipment'!$W$4:$W$503,(_calc!$E$319-500)))&amp;". ")&amp;IF(LEN(IF(LEN(INDEX('My equipment'!$Y$4:$Y$503,(_calc!$E$319-500)))=0,"",INDEX('My equipment'!$Y$4:$Y$503,(_calc!$E$319-500))))=0,"",IF(LEN(INDEX('My equipment'!$Y$4:$Y$503,(_calc!$E$319-500)))=0,"",INDEX('My equipment'!$Y$4:$Y$503,(_calc!$E$319-500)))))))</f>
        <v/>
      </c>
      <c r="G317" s="54">
        <f>IF(_calc!$E$319="","",IF(_calc!$E$319&lt;=500,"",IF(LEN(INDEX('My equipment'!$X$4:$X$503,(_calc!$E$319-500)))=0,"",INDEX('My equipment'!$X$4:$X$503,(_calc!$E$319-500)))))</f>
        <v/>
      </c>
      <c r="K317" s="54">
        <f>IF(_calc!$E$319="","",IF(_calc!$E$319&lt;=500,"",IF(LEN(INDEX('My equipment'!$T$4:$T$503,(_calc!$E$319-500)))=0,"",INDEX('My equipment'!$T$4:$T$503,(_calc!$E$319-500)))))</f>
        <v/>
      </c>
    </row>
    <row r="318">
      <c r="A318" s="54">
        <f>IF(_calc!$E$320="","",IF(_calc!$E$320&lt;=500,"Warranty – "&amp;IF(LEN(INDEX('Dealer pipeline'!$C$4:$C$503,_calc!$E$320))=0,"",INDEX('Dealer pipeline'!$C$4:$C$503,_calc!$E$320))&amp;" – "&amp;IF(LEN(INDEX('Dealer pipeline'!$D$4:$D$503,_calc!$E$320))=0,"",INDEX('Dealer pipeline'!$D$4:$D$503,_calc!$E$320))&amp;" – "&amp;IF(LEN(INDEX('Dealer pipeline'!$A$4:$A$503,_calc!$E$320))=0,"",INDEX('Dealer pipeline'!$A$4:$A$503,_calc!$E$320)),"Warranty – "&amp;IF(LEN(INDEX('My equipment'!$A$4:$A$503,(_calc!$E$320-500)))=0,"",INDEX('My equipment'!$A$4:$A$503,(_calc!$E$320-500)))&amp;" – "&amp;IF(LEN(INDEX('My equipment'!$D$4:$D$503,(_calc!$E$320-500)))=0,"",INDEX('My equipment'!$D$4:$D$503,(_calc!$E$320-500)))))</f>
        <v/>
      </c>
      <c r="B318" s="54">
        <f>IF(_calc!$E$320="","",IF(_calc!$E$320&lt;=500,IF(ISNUMBER(INDEX('Dealer pipeline'!$M$4:$M$503,_calc!$E$320)),TEXT(INDEX('Dealer pipeline'!$M$4:$M$503,_calc!$E$320),"yyyy-mm-dd"),""),IF(ISNUMBER(INDEX('My equipment'!$M$4:$M$503,(_calc!$E$320-500))),TEXT(INDEX('My equipment'!$M$4:$M$503,(_calc!$E$320-500)),"yyyy-mm-dd"),"")))</f>
        <v/>
      </c>
      <c r="C318" s="54">
        <f>IF(_calc!$E$320="","",IF(_calc!$E$320&lt;=500,"Warranty","Warranty"))</f>
        <v/>
      </c>
      <c r="D318" s="54">
        <f>IF(_calc!$E$320="","",IF(_calc!$E$320&lt;=500,IF(ISNUMBER(INDEX('Dealer pipeline'!$H$4:$H$503,_calc!$E$320)),TEXT(INDEX('Dealer pipeline'!$H$4:$H$503,_calc!$E$320),"yyyy-mm-dd"),""),IF(ISNUMBER(INDEX('My equipment'!$H$4:$H$503,(_calc!$E$320-500))),TEXT(INDEX('My equipment'!$H$4:$H$503,(_calc!$E$320-500)),"yyyy-mm-dd"),"")))</f>
        <v/>
      </c>
      <c r="F318" s="54">
        <f>IF(_calc!$E$320="","",IF(_calc!$E$320&lt;=500,TRIM(IF(LEN(IF(LEN(INDEX('Dealer pipeline'!$A$4:$A$503,_calc!$E$320))=0,"",INDEX('Dealer pipeline'!$A$4:$A$503,_calc!$E$320)))=0,"","Customer: "&amp;IF(LEN(INDEX('Dealer pipeline'!$A$4:$A$503,_calc!$E$320))=0,"",INDEX('Dealer pipeline'!$A$4:$A$503,_calc!$E$320))&amp;". ")&amp;IF(LEN(IF(LEN(INDEX('Dealer pipeline'!$B$4:$B$503,_calc!$E$320))=0,"",INDEX('Dealer pipeline'!$B$4:$B$503,_calc!$E$320)))=0,"","Contact: "&amp;IF(LEN(INDEX('Dealer pipeline'!$B$4:$B$503,_calc!$E$320))=0,"",INDEX('Dealer pipeline'!$B$4:$B$503,_calc!$E$320))&amp;". ")&amp;IF(LEN(IF(LEN(INDEX('Dealer pipeline'!$D$4:$D$503,_calc!$E$320))=0,"",INDEX('Dealer pipeline'!$D$4:$D$503,_calc!$E$320)))=0,"","Serial: "&amp;IF(LEN(INDEX('Dealer pipeline'!$D$4:$D$503,_calc!$E$320))=0,"",INDEX('Dealer pipeline'!$D$4:$D$503,_calc!$E$320))&amp;". ")&amp;IF(LEN(IF(ISNUMBER(INDEX('Dealer pipeline'!$J$4:$J$503,_calc!$E$320)),TEXT(INDEX('Dealer pipeline'!$J$4:$J$503,_calc!$E$320),"yyyy-mm-dd"),""))=0,"","Parts end: "&amp;IF(ISNUMBER(INDEX('Dealer pipeline'!$J$4:$J$503,_calc!$E$320)),TEXT(INDEX('Dealer pipeline'!$J$4:$J$503,_calc!$E$320),"yyyy-mm-dd"),"")&amp;". ")&amp;IF(LEN(IF(ISNUMBER(INDEX('Dealer pipeline'!$L$4:$L$503,_calc!$E$320)),TEXT(INDEX('Dealer pipeline'!$L$4:$L$503,_calc!$E$320),"yyyy-mm-dd"),""))=0,"","Labor end: "&amp;IF(ISNUMBER(INDEX('Dealer pipeline'!$L$4:$L$503,_calc!$E$320)),TEXT(INDEX('Dealer pipeline'!$L$4:$L$503,_calc!$E$320),"yyyy-mm-dd"),"")&amp;". ")&amp;IF(LEN(IF(LEN(INDEX('Dealer pipeline'!$Q$4:$Q$503,_calc!$E$320))=0,"",INDEX('Dealer pipeline'!$Q$4:$Q$503,_calc!$E$320)))=0,"","Status: "&amp;IF(LEN(INDEX('Dealer pipeline'!$Q$4:$Q$503,_calc!$E$320))=0,"",INDEX('Dealer pipeline'!$Q$4:$Q$503,_calc!$E$320))&amp;". ")&amp;IF(LEN(IF(LEN(INDEX('Dealer pipeline'!$P$4:$P$503,_calc!$E$320))=0,"",INDEX('Dealer pipeline'!$P$4:$P$503,_calc!$E$320)))=0,"","Last touch: "&amp;IF(LEN(INDEX('Dealer pipeline'!$P$4:$P$503,_calc!$E$320))=0,"",INDEX('Dealer pipeline'!$P$4:$P$503,_calc!$E$320))&amp;". ")&amp;IF(LEN(IF(LEN(INDEX('Dealer pipeline'!$R$4:$R$503,_calc!$E$320))=0,"",INDEX('Dealer pipeline'!$R$4:$R$503,_calc!$E$320)))=0,"","Owner: "&amp;IF(LEN(INDEX('Dealer pipeline'!$R$4:$R$503,_calc!$E$320))=0,"",INDEX('Dealer pipeline'!$R$4:$R$503,_calc!$E$320))&amp;". ")&amp;IF(LEN(IF(LEN(INDEX('Dealer pipeline'!$S$4:$S$503,_calc!$E$320))=0,"",INDEX('Dealer pipeline'!$S$4:$S$503,_calc!$E$320)))=0,"","Backup: "&amp;IF(LEN(INDEX('Dealer pipeline'!$S$4:$S$503,_calc!$E$320))=0,"",INDEX('Dealer pipeline'!$S$4:$S$503,_calc!$E$320))&amp;". ")&amp;IF(LEN(IF(LEN(INDEX('Dealer pipeline'!$T$4:$T$503,_calc!$E$320))=0,"",INDEX('Dealer pipeline'!$T$4:$T$503,_calc!$E$320)))=0,"",IF(LEN(INDEX('Dealer pipeline'!$T$4:$T$503,_calc!$E$320))=0,"",INDEX('Dealer pipeline'!$T$4:$T$503,_calc!$E$320)))),TRIM(IF(LEN(IF(LEN(INDEX('My equipment'!$C$4:$C$503,(_calc!$E$320-500)))=0,"",INDEX('My equipment'!$C$4:$C$503,(_calc!$E$320-500))))=0,"","Model: "&amp;IF(LEN(INDEX('My equipment'!$C$4:$C$503,(_calc!$E$320-500)))=0,"",INDEX('My equipment'!$C$4:$C$503,(_calc!$E$320-500)))&amp;". ")&amp;IF(LEN(IF(LEN(INDEX('My equipment'!$D$4:$D$503,(_calc!$E$320-500)))=0,"",INDEX('My equipment'!$D$4:$D$503,(_calc!$E$320-500))))=0,"","Serial: "&amp;IF(LEN(INDEX('My equipment'!$D$4:$D$503,(_calc!$E$320-500)))=0,"",INDEX('My equipment'!$D$4:$D$503,(_calc!$E$320-500)))&amp;". ")&amp;IF(LEN(IF(ISNUMBER(INDEX('My equipment'!$J$4:$J$503,(_calc!$E$320-500))),TEXT(INDEX('My equipment'!$J$4:$J$503,(_calc!$E$320-500)),"yyyy-mm-dd"),""))=0,"","Parts end: "&amp;IF(ISNUMBER(INDEX('My equipment'!$J$4:$J$503,(_calc!$E$320-500))),TEXT(INDEX('My equipment'!$J$4:$J$503,(_calc!$E$320-500)),"yyyy-mm-dd"),"")&amp;". ")&amp;IF(LEN(IF(ISNUMBER(INDEX('My equipment'!$L$4:$L$503,(_calc!$E$320-500))),TEXT(INDEX('My equipment'!$L$4:$L$503,(_calc!$E$320-500)),"yyyy-mm-dd"),""))=0,"","Labor end: "&amp;IF(ISNUMBER(INDEX('My equipment'!$L$4:$L$503,(_calc!$E$320-500))),TEXT(INDEX('My equipment'!$L$4:$L$503,(_calc!$E$320-500)),"yyyy-mm-dd"),"")&amp;". ")&amp;IF(LEN(IF(ISNUMBER(INDEX('My equipment'!$P$4:$P$503,(_calc!$E$320-500))),TEXT(INDEX('My equipment'!$P$4:$P$503,(_calc!$E$320-500)),"yyyy-mm-dd"),""))=0,"","Check by: "&amp;IF(ISNUMBER(INDEX('My equipment'!$P$4:$P$503,(_calc!$E$320-500))),TEXT(INDEX('My equipment'!$P$4:$P$503,(_calc!$E$320-500)),"yyyy-mm-dd"),"")&amp;". ")&amp;IF(LEN(IF(LEN(INDEX('My equipment'!$Q$4:$Q$503,(_calc!$E$320-500)))=0,"",INDEX('My equipment'!$Q$4:$Q$503,(_calc!$E$320-500))))=0,"","Claim status: "&amp;IF(LEN(INDEX('My equipment'!$Q$4:$Q$503,(_calc!$E$320-500)))=0,"",INDEX('My equipment'!$Q$4:$Q$503,(_calc!$E$320-500)))&amp;". ")&amp;IF(LEN(IF(LEN(INDEX('My equipment'!$R$4:$R$503,(_calc!$E$320-500)))=0,"",INDEX('My equipment'!$R$4:$R$503,(_calc!$E$320-500))))=0,"","Claims contact: "&amp;IF(LEN(INDEX('My equipment'!$R$4:$R$503,(_calc!$E$320-500)))=0,"",INDEX('My equipment'!$R$4:$R$503,(_calc!$E$320-500)))&amp;". ")&amp;IF(LEN(IF(LEN(INDEX('My equipment'!$S$4:$S$503,(_calc!$E$320-500)))=0,"",INDEX('My equipment'!$S$4:$S$503,(_calc!$E$320-500))))=0,"","Claims email: "&amp;IF(LEN(INDEX('My equipment'!$S$4:$S$503,(_calc!$E$320-500)))=0,"",INDEX('My equipment'!$S$4:$S$503,(_calc!$E$320-500)))&amp;". ")&amp;IF(LEN(IF(LEN(INDEX('My equipment'!$U$4:$U$503,(_calc!$E$320-500)))=0,"",INDEX('My equipment'!$U$4:$U$503,(_calc!$E$320-500))))=0,"","Registered: "&amp;IF(LEN(INDEX('My equipment'!$U$4:$U$503,(_calc!$E$320-500)))=0,"",INDEX('My equipment'!$U$4:$U$503,(_calc!$E$320-500)))&amp;". ")&amp;IF(LEN(IF(LEN(INDEX('My equipment'!$V$4:$V$503,(_calc!$E$320-500)))=0,"",INDEX('My equipment'!$V$4:$V$503,(_calc!$E$320-500))))=0,"","Proof on file: "&amp;IF(LEN(INDEX('My equipment'!$V$4:$V$503,(_calc!$E$320-500)))=0,"",INDEX('My equipment'!$V$4:$V$503,(_calc!$E$320-500)))&amp;". ")&amp;IF(LEN(IF(LEN(INDEX('My equipment'!$W$4:$W$503,(_calc!$E$320-500)))=0,"",INDEX('My equipment'!$W$4:$W$503,(_calc!$E$320-500))))=0,"","Claim ref: "&amp;IF(LEN(INDEX('My equipment'!$W$4:$W$503,(_calc!$E$320-500)))=0,"",INDEX('My equipment'!$W$4:$W$503,(_calc!$E$320-500)))&amp;". ")&amp;IF(LEN(IF(LEN(INDEX('My equipment'!$Y$4:$Y$503,(_calc!$E$320-500)))=0,"",INDEX('My equipment'!$Y$4:$Y$503,(_calc!$E$320-500))))=0,"",IF(LEN(INDEX('My equipment'!$Y$4:$Y$503,(_calc!$E$320-500)))=0,"",INDEX('My equipment'!$Y$4:$Y$503,(_calc!$E$320-500)))))))</f>
        <v/>
      </c>
      <c r="G318" s="54">
        <f>IF(_calc!$E$320="","",IF(_calc!$E$320&lt;=500,"",IF(LEN(INDEX('My equipment'!$X$4:$X$503,(_calc!$E$320-500)))=0,"",INDEX('My equipment'!$X$4:$X$503,(_calc!$E$320-500)))))</f>
        <v/>
      </c>
      <c r="K318" s="54">
        <f>IF(_calc!$E$320="","",IF(_calc!$E$320&lt;=500,"",IF(LEN(INDEX('My equipment'!$T$4:$T$503,(_calc!$E$320-500)))=0,"",INDEX('My equipment'!$T$4:$T$503,(_calc!$E$320-500)))))</f>
        <v/>
      </c>
    </row>
    <row r="319">
      <c r="A319" s="54">
        <f>IF(_calc!$E$321="","",IF(_calc!$E$321&lt;=500,"Warranty – "&amp;IF(LEN(INDEX('Dealer pipeline'!$C$4:$C$503,_calc!$E$321))=0,"",INDEX('Dealer pipeline'!$C$4:$C$503,_calc!$E$321))&amp;" – "&amp;IF(LEN(INDEX('Dealer pipeline'!$D$4:$D$503,_calc!$E$321))=0,"",INDEX('Dealer pipeline'!$D$4:$D$503,_calc!$E$321))&amp;" – "&amp;IF(LEN(INDEX('Dealer pipeline'!$A$4:$A$503,_calc!$E$321))=0,"",INDEX('Dealer pipeline'!$A$4:$A$503,_calc!$E$321)),"Warranty – "&amp;IF(LEN(INDEX('My equipment'!$A$4:$A$503,(_calc!$E$321-500)))=0,"",INDEX('My equipment'!$A$4:$A$503,(_calc!$E$321-500)))&amp;" – "&amp;IF(LEN(INDEX('My equipment'!$D$4:$D$503,(_calc!$E$321-500)))=0,"",INDEX('My equipment'!$D$4:$D$503,(_calc!$E$321-500)))))</f>
        <v/>
      </c>
      <c r="B319" s="54">
        <f>IF(_calc!$E$321="","",IF(_calc!$E$321&lt;=500,IF(ISNUMBER(INDEX('Dealer pipeline'!$M$4:$M$503,_calc!$E$321)),TEXT(INDEX('Dealer pipeline'!$M$4:$M$503,_calc!$E$321),"yyyy-mm-dd"),""),IF(ISNUMBER(INDEX('My equipment'!$M$4:$M$503,(_calc!$E$321-500))),TEXT(INDEX('My equipment'!$M$4:$M$503,(_calc!$E$321-500)),"yyyy-mm-dd"),"")))</f>
        <v/>
      </c>
      <c r="C319" s="54">
        <f>IF(_calc!$E$321="","",IF(_calc!$E$321&lt;=500,"Warranty","Warranty"))</f>
        <v/>
      </c>
      <c r="D319" s="54">
        <f>IF(_calc!$E$321="","",IF(_calc!$E$321&lt;=500,IF(ISNUMBER(INDEX('Dealer pipeline'!$H$4:$H$503,_calc!$E$321)),TEXT(INDEX('Dealer pipeline'!$H$4:$H$503,_calc!$E$321),"yyyy-mm-dd"),""),IF(ISNUMBER(INDEX('My equipment'!$H$4:$H$503,(_calc!$E$321-500))),TEXT(INDEX('My equipment'!$H$4:$H$503,(_calc!$E$321-500)),"yyyy-mm-dd"),"")))</f>
        <v/>
      </c>
      <c r="F319" s="54">
        <f>IF(_calc!$E$321="","",IF(_calc!$E$321&lt;=500,TRIM(IF(LEN(IF(LEN(INDEX('Dealer pipeline'!$A$4:$A$503,_calc!$E$321))=0,"",INDEX('Dealer pipeline'!$A$4:$A$503,_calc!$E$321)))=0,"","Customer: "&amp;IF(LEN(INDEX('Dealer pipeline'!$A$4:$A$503,_calc!$E$321))=0,"",INDEX('Dealer pipeline'!$A$4:$A$503,_calc!$E$321))&amp;". ")&amp;IF(LEN(IF(LEN(INDEX('Dealer pipeline'!$B$4:$B$503,_calc!$E$321))=0,"",INDEX('Dealer pipeline'!$B$4:$B$503,_calc!$E$321)))=0,"","Contact: "&amp;IF(LEN(INDEX('Dealer pipeline'!$B$4:$B$503,_calc!$E$321))=0,"",INDEX('Dealer pipeline'!$B$4:$B$503,_calc!$E$321))&amp;". ")&amp;IF(LEN(IF(LEN(INDEX('Dealer pipeline'!$D$4:$D$503,_calc!$E$321))=0,"",INDEX('Dealer pipeline'!$D$4:$D$503,_calc!$E$321)))=0,"","Serial: "&amp;IF(LEN(INDEX('Dealer pipeline'!$D$4:$D$503,_calc!$E$321))=0,"",INDEX('Dealer pipeline'!$D$4:$D$503,_calc!$E$321))&amp;". ")&amp;IF(LEN(IF(ISNUMBER(INDEX('Dealer pipeline'!$J$4:$J$503,_calc!$E$321)),TEXT(INDEX('Dealer pipeline'!$J$4:$J$503,_calc!$E$321),"yyyy-mm-dd"),""))=0,"","Parts end: "&amp;IF(ISNUMBER(INDEX('Dealer pipeline'!$J$4:$J$503,_calc!$E$321)),TEXT(INDEX('Dealer pipeline'!$J$4:$J$503,_calc!$E$321),"yyyy-mm-dd"),"")&amp;". ")&amp;IF(LEN(IF(ISNUMBER(INDEX('Dealer pipeline'!$L$4:$L$503,_calc!$E$321)),TEXT(INDEX('Dealer pipeline'!$L$4:$L$503,_calc!$E$321),"yyyy-mm-dd"),""))=0,"","Labor end: "&amp;IF(ISNUMBER(INDEX('Dealer pipeline'!$L$4:$L$503,_calc!$E$321)),TEXT(INDEX('Dealer pipeline'!$L$4:$L$503,_calc!$E$321),"yyyy-mm-dd"),"")&amp;". ")&amp;IF(LEN(IF(LEN(INDEX('Dealer pipeline'!$Q$4:$Q$503,_calc!$E$321))=0,"",INDEX('Dealer pipeline'!$Q$4:$Q$503,_calc!$E$321)))=0,"","Status: "&amp;IF(LEN(INDEX('Dealer pipeline'!$Q$4:$Q$503,_calc!$E$321))=0,"",INDEX('Dealer pipeline'!$Q$4:$Q$503,_calc!$E$321))&amp;". ")&amp;IF(LEN(IF(LEN(INDEX('Dealer pipeline'!$P$4:$P$503,_calc!$E$321))=0,"",INDEX('Dealer pipeline'!$P$4:$P$503,_calc!$E$321)))=0,"","Last touch: "&amp;IF(LEN(INDEX('Dealer pipeline'!$P$4:$P$503,_calc!$E$321))=0,"",INDEX('Dealer pipeline'!$P$4:$P$503,_calc!$E$321))&amp;". ")&amp;IF(LEN(IF(LEN(INDEX('Dealer pipeline'!$R$4:$R$503,_calc!$E$321))=0,"",INDEX('Dealer pipeline'!$R$4:$R$503,_calc!$E$321)))=0,"","Owner: "&amp;IF(LEN(INDEX('Dealer pipeline'!$R$4:$R$503,_calc!$E$321))=0,"",INDEX('Dealer pipeline'!$R$4:$R$503,_calc!$E$321))&amp;". ")&amp;IF(LEN(IF(LEN(INDEX('Dealer pipeline'!$S$4:$S$503,_calc!$E$321))=0,"",INDEX('Dealer pipeline'!$S$4:$S$503,_calc!$E$321)))=0,"","Backup: "&amp;IF(LEN(INDEX('Dealer pipeline'!$S$4:$S$503,_calc!$E$321))=0,"",INDEX('Dealer pipeline'!$S$4:$S$503,_calc!$E$321))&amp;". ")&amp;IF(LEN(IF(LEN(INDEX('Dealer pipeline'!$T$4:$T$503,_calc!$E$321))=0,"",INDEX('Dealer pipeline'!$T$4:$T$503,_calc!$E$321)))=0,"",IF(LEN(INDEX('Dealer pipeline'!$T$4:$T$503,_calc!$E$321))=0,"",INDEX('Dealer pipeline'!$T$4:$T$503,_calc!$E$321)))),TRIM(IF(LEN(IF(LEN(INDEX('My equipment'!$C$4:$C$503,(_calc!$E$321-500)))=0,"",INDEX('My equipment'!$C$4:$C$503,(_calc!$E$321-500))))=0,"","Model: "&amp;IF(LEN(INDEX('My equipment'!$C$4:$C$503,(_calc!$E$321-500)))=0,"",INDEX('My equipment'!$C$4:$C$503,(_calc!$E$321-500)))&amp;". ")&amp;IF(LEN(IF(LEN(INDEX('My equipment'!$D$4:$D$503,(_calc!$E$321-500)))=0,"",INDEX('My equipment'!$D$4:$D$503,(_calc!$E$321-500))))=0,"","Serial: "&amp;IF(LEN(INDEX('My equipment'!$D$4:$D$503,(_calc!$E$321-500)))=0,"",INDEX('My equipment'!$D$4:$D$503,(_calc!$E$321-500)))&amp;". ")&amp;IF(LEN(IF(ISNUMBER(INDEX('My equipment'!$J$4:$J$503,(_calc!$E$321-500))),TEXT(INDEX('My equipment'!$J$4:$J$503,(_calc!$E$321-500)),"yyyy-mm-dd"),""))=0,"","Parts end: "&amp;IF(ISNUMBER(INDEX('My equipment'!$J$4:$J$503,(_calc!$E$321-500))),TEXT(INDEX('My equipment'!$J$4:$J$503,(_calc!$E$321-500)),"yyyy-mm-dd"),"")&amp;". ")&amp;IF(LEN(IF(ISNUMBER(INDEX('My equipment'!$L$4:$L$503,(_calc!$E$321-500))),TEXT(INDEX('My equipment'!$L$4:$L$503,(_calc!$E$321-500)),"yyyy-mm-dd"),""))=0,"","Labor end: "&amp;IF(ISNUMBER(INDEX('My equipment'!$L$4:$L$503,(_calc!$E$321-500))),TEXT(INDEX('My equipment'!$L$4:$L$503,(_calc!$E$321-500)),"yyyy-mm-dd"),"")&amp;". ")&amp;IF(LEN(IF(ISNUMBER(INDEX('My equipment'!$P$4:$P$503,(_calc!$E$321-500))),TEXT(INDEX('My equipment'!$P$4:$P$503,(_calc!$E$321-500)),"yyyy-mm-dd"),""))=0,"","Check by: "&amp;IF(ISNUMBER(INDEX('My equipment'!$P$4:$P$503,(_calc!$E$321-500))),TEXT(INDEX('My equipment'!$P$4:$P$503,(_calc!$E$321-500)),"yyyy-mm-dd"),"")&amp;". ")&amp;IF(LEN(IF(LEN(INDEX('My equipment'!$Q$4:$Q$503,(_calc!$E$321-500)))=0,"",INDEX('My equipment'!$Q$4:$Q$503,(_calc!$E$321-500))))=0,"","Claim status: "&amp;IF(LEN(INDEX('My equipment'!$Q$4:$Q$503,(_calc!$E$321-500)))=0,"",INDEX('My equipment'!$Q$4:$Q$503,(_calc!$E$321-500)))&amp;". ")&amp;IF(LEN(IF(LEN(INDEX('My equipment'!$R$4:$R$503,(_calc!$E$321-500)))=0,"",INDEX('My equipment'!$R$4:$R$503,(_calc!$E$321-500))))=0,"","Claims contact: "&amp;IF(LEN(INDEX('My equipment'!$R$4:$R$503,(_calc!$E$321-500)))=0,"",INDEX('My equipment'!$R$4:$R$503,(_calc!$E$321-500)))&amp;". ")&amp;IF(LEN(IF(LEN(INDEX('My equipment'!$S$4:$S$503,(_calc!$E$321-500)))=0,"",INDEX('My equipment'!$S$4:$S$503,(_calc!$E$321-500))))=0,"","Claims email: "&amp;IF(LEN(INDEX('My equipment'!$S$4:$S$503,(_calc!$E$321-500)))=0,"",INDEX('My equipment'!$S$4:$S$503,(_calc!$E$321-500)))&amp;". ")&amp;IF(LEN(IF(LEN(INDEX('My equipment'!$U$4:$U$503,(_calc!$E$321-500)))=0,"",INDEX('My equipment'!$U$4:$U$503,(_calc!$E$321-500))))=0,"","Registered: "&amp;IF(LEN(INDEX('My equipment'!$U$4:$U$503,(_calc!$E$321-500)))=0,"",INDEX('My equipment'!$U$4:$U$503,(_calc!$E$321-500)))&amp;". ")&amp;IF(LEN(IF(LEN(INDEX('My equipment'!$V$4:$V$503,(_calc!$E$321-500)))=0,"",INDEX('My equipment'!$V$4:$V$503,(_calc!$E$321-500))))=0,"","Proof on file: "&amp;IF(LEN(INDEX('My equipment'!$V$4:$V$503,(_calc!$E$321-500)))=0,"",INDEX('My equipment'!$V$4:$V$503,(_calc!$E$321-500)))&amp;". ")&amp;IF(LEN(IF(LEN(INDEX('My equipment'!$W$4:$W$503,(_calc!$E$321-500)))=0,"",INDEX('My equipment'!$W$4:$W$503,(_calc!$E$321-500))))=0,"","Claim ref: "&amp;IF(LEN(INDEX('My equipment'!$W$4:$W$503,(_calc!$E$321-500)))=0,"",INDEX('My equipment'!$W$4:$W$503,(_calc!$E$321-500)))&amp;". ")&amp;IF(LEN(IF(LEN(INDEX('My equipment'!$Y$4:$Y$503,(_calc!$E$321-500)))=0,"",INDEX('My equipment'!$Y$4:$Y$503,(_calc!$E$321-500))))=0,"",IF(LEN(INDEX('My equipment'!$Y$4:$Y$503,(_calc!$E$321-500)))=0,"",INDEX('My equipment'!$Y$4:$Y$503,(_calc!$E$321-500)))))))</f>
        <v/>
      </c>
      <c r="G319" s="54">
        <f>IF(_calc!$E$321="","",IF(_calc!$E$321&lt;=500,"",IF(LEN(INDEX('My equipment'!$X$4:$X$503,(_calc!$E$321-500)))=0,"",INDEX('My equipment'!$X$4:$X$503,(_calc!$E$321-500)))))</f>
        <v/>
      </c>
      <c r="K319" s="54">
        <f>IF(_calc!$E$321="","",IF(_calc!$E$321&lt;=500,"",IF(LEN(INDEX('My equipment'!$T$4:$T$503,(_calc!$E$321-500)))=0,"",INDEX('My equipment'!$T$4:$T$503,(_calc!$E$321-500)))))</f>
        <v/>
      </c>
    </row>
    <row r="320">
      <c r="A320" s="54">
        <f>IF(_calc!$E$322="","",IF(_calc!$E$322&lt;=500,"Warranty – "&amp;IF(LEN(INDEX('Dealer pipeline'!$C$4:$C$503,_calc!$E$322))=0,"",INDEX('Dealer pipeline'!$C$4:$C$503,_calc!$E$322))&amp;" – "&amp;IF(LEN(INDEX('Dealer pipeline'!$D$4:$D$503,_calc!$E$322))=0,"",INDEX('Dealer pipeline'!$D$4:$D$503,_calc!$E$322))&amp;" – "&amp;IF(LEN(INDEX('Dealer pipeline'!$A$4:$A$503,_calc!$E$322))=0,"",INDEX('Dealer pipeline'!$A$4:$A$503,_calc!$E$322)),"Warranty – "&amp;IF(LEN(INDEX('My equipment'!$A$4:$A$503,(_calc!$E$322-500)))=0,"",INDEX('My equipment'!$A$4:$A$503,(_calc!$E$322-500)))&amp;" – "&amp;IF(LEN(INDEX('My equipment'!$D$4:$D$503,(_calc!$E$322-500)))=0,"",INDEX('My equipment'!$D$4:$D$503,(_calc!$E$322-500)))))</f>
        <v/>
      </c>
      <c r="B320" s="54">
        <f>IF(_calc!$E$322="","",IF(_calc!$E$322&lt;=500,IF(ISNUMBER(INDEX('Dealer pipeline'!$M$4:$M$503,_calc!$E$322)),TEXT(INDEX('Dealer pipeline'!$M$4:$M$503,_calc!$E$322),"yyyy-mm-dd"),""),IF(ISNUMBER(INDEX('My equipment'!$M$4:$M$503,(_calc!$E$322-500))),TEXT(INDEX('My equipment'!$M$4:$M$503,(_calc!$E$322-500)),"yyyy-mm-dd"),"")))</f>
        <v/>
      </c>
      <c r="C320" s="54">
        <f>IF(_calc!$E$322="","",IF(_calc!$E$322&lt;=500,"Warranty","Warranty"))</f>
        <v/>
      </c>
      <c r="D320" s="54">
        <f>IF(_calc!$E$322="","",IF(_calc!$E$322&lt;=500,IF(ISNUMBER(INDEX('Dealer pipeline'!$H$4:$H$503,_calc!$E$322)),TEXT(INDEX('Dealer pipeline'!$H$4:$H$503,_calc!$E$322),"yyyy-mm-dd"),""),IF(ISNUMBER(INDEX('My equipment'!$H$4:$H$503,(_calc!$E$322-500))),TEXT(INDEX('My equipment'!$H$4:$H$503,(_calc!$E$322-500)),"yyyy-mm-dd"),"")))</f>
        <v/>
      </c>
      <c r="F320" s="54">
        <f>IF(_calc!$E$322="","",IF(_calc!$E$322&lt;=500,TRIM(IF(LEN(IF(LEN(INDEX('Dealer pipeline'!$A$4:$A$503,_calc!$E$322))=0,"",INDEX('Dealer pipeline'!$A$4:$A$503,_calc!$E$322)))=0,"","Customer: "&amp;IF(LEN(INDEX('Dealer pipeline'!$A$4:$A$503,_calc!$E$322))=0,"",INDEX('Dealer pipeline'!$A$4:$A$503,_calc!$E$322))&amp;". ")&amp;IF(LEN(IF(LEN(INDEX('Dealer pipeline'!$B$4:$B$503,_calc!$E$322))=0,"",INDEX('Dealer pipeline'!$B$4:$B$503,_calc!$E$322)))=0,"","Contact: "&amp;IF(LEN(INDEX('Dealer pipeline'!$B$4:$B$503,_calc!$E$322))=0,"",INDEX('Dealer pipeline'!$B$4:$B$503,_calc!$E$322))&amp;". ")&amp;IF(LEN(IF(LEN(INDEX('Dealer pipeline'!$D$4:$D$503,_calc!$E$322))=0,"",INDEX('Dealer pipeline'!$D$4:$D$503,_calc!$E$322)))=0,"","Serial: "&amp;IF(LEN(INDEX('Dealer pipeline'!$D$4:$D$503,_calc!$E$322))=0,"",INDEX('Dealer pipeline'!$D$4:$D$503,_calc!$E$322))&amp;". ")&amp;IF(LEN(IF(ISNUMBER(INDEX('Dealer pipeline'!$J$4:$J$503,_calc!$E$322)),TEXT(INDEX('Dealer pipeline'!$J$4:$J$503,_calc!$E$322),"yyyy-mm-dd"),""))=0,"","Parts end: "&amp;IF(ISNUMBER(INDEX('Dealer pipeline'!$J$4:$J$503,_calc!$E$322)),TEXT(INDEX('Dealer pipeline'!$J$4:$J$503,_calc!$E$322),"yyyy-mm-dd"),"")&amp;". ")&amp;IF(LEN(IF(ISNUMBER(INDEX('Dealer pipeline'!$L$4:$L$503,_calc!$E$322)),TEXT(INDEX('Dealer pipeline'!$L$4:$L$503,_calc!$E$322),"yyyy-mm-dd"),""))=0,"","Labor end: "&amp;IF(ISNUMBER(INDEX('Dealer pipeline'!$L$4:$L$503,_calc!$E$322)),TEXT(INDEX('Dealer pipeline'!$L$4:$L$503,_calc!$E$322),"yyyy-mm-dd"),"")&amp;". ")&amp;IF(LEN(IF(LEN(INDEX('Dealer pipeline'!$Q$4:$Q$503,_calc!$E$322))=0,"",INDEX('Dealer pipeline'!$Q$4:$Q$503,_calc!$E$322)))=0,"","Status: "&amp;IF(LEN(INDEX('Dealer pipeline'!$Q$4:$Q$503,_calc!$E$322))=0,"",INDEX('Dealer pipeline'!$Q$4:$Q$503,_calc!$E$322))&amp;". ")&amp;IF(LEN(IF(LEN(INDEX('Dealer pipeline'!$P$4:$P$503,_calc!$E$322))=0,"",INDEX('Dealer pipeline'!$P$4:$P$503,_calc!$E$322)))=0,"","Last touch: "&amp;IF(LEN(INDEX('Dealer pipeline'!$P$4:$P$503,_calc!$E$322))=0,"",INDEX('Dealer pipeline'!$P$4:$P$503,_calc!$E$322))&amp;". ")&amp;IF(LEN(IF(LEN(INDEX('Dealer pipeline'!$R$4:$R$503,_calc!$E$322))=0,"",INDEX('Dealer pipeline'!$R$4:$R$503,_calc!$E$322)))=0,"","Owner: "&amp;IF(LEN(INDEX('Dealer pipeline'!$R$4:$R$503,_calc!$E$322))=0,"",INDEX('Dealer pipeline'!$R$4:$R$503,_calc!$E$322))&amp;". ")&amp;IF(LEN(IF(LEN(INDEX('Dealer pipeline'!$S$4:$S$503,_calc!$E$322))=0,"",INDEX('Dealer pipeline'!$S$4:$S$503,_calc!$E$322)))=0,"","Backup: "&amp;IF(LEN(INDEX('Dealer pipeline'!$S$4:$S$503,_calc!$E$322))=0,"",INDEX('Dealer pipeline'!$S$4:$S$503,_calc!$E$322))&amp;". ")&amp;IF(LEN(IF(LEN(INDEX('Dealer pipeline'!$T$4:$T$503,_calc!$E$322))=0,"",INDEX('Dealer pipeline'!$T$4:$T$503,_calc!$E$322)))=0,"",IF(LEN(INDEX('Dealer pipeline'!$T$4:$T$503,_calc!$E$322))=0,"",INDEX('Dealer pipeline'!$T$4:$T$503,_calc!$E$322)))),TRIM(IF(LEN(IF(LEN(INDEX('My equipment'!$C$4:$C$503,(_calc!$E$322-500)))=0,"",INDEX('My equipment'!$C$4:$C$503,(_calc!$E$322-500))))=0,"","Model: "&amp;IF(LEN(INDEX('My equipment'!$C$4:$C$503,(_calc!$E$322-500)))=0,"",INDEX('My equipment'!$C$4:$C$503,(_calc!$E$322-500)))&amp;". ")&amp;IF(LEN(IF(LEN(INDEX('My equipment'!$D$4:$D$503,(_calc!$E$322-500)))=0,"",INDEX('My equipment'!$D$4:$D$503,(_calc!$E$322-500))))=0,"","Serial: "&amp;IF(LEN(INDEX('My equipment'!$D$4:$D$503,(_calc!$E$322-500)))=0,"",INDEX('My equipment'!$D$4:$D$503,(_calc!$E$322-500)))&amp;". ")&amp;IF(LEN(IF(ISNUMBER(INDEX('My equipment'!$J$4:$J$503,(_calc!$E$322-500))),TEXT(INDEX('My equipment'!$J$4:$J$503,(_calc!$E$322-500)),"yyyy-mm-dd"),""))=0,"","Parts end: "&amp;IF(ISNUMBER(INDEX('My equipment'!$J$4:$J$503,(_calc!$E$322-500))),TEXT(INDEX('My equipment'!$J$4:$J$503,(_calc!$E$322-500)),"yyyy-mm-dd"),"")&amp;". ")&amp;IF(LEN(IF(ISNUMBER(INDEX('My equipment'!$L$4:$L$503,(_calc!$E$322-500))),TEXT(INDEX('My equipment'!$L$4:$L$503,(_calc!$E$322-500)),"yyyy-mm-dd"),""))=0,"","Labor end: "&amp;IF(ISNUMBER(INDEX('My equipment'!$L$4:$L$503,(_calc!$E$322-500))),TEXT(INDEX('My equipment'!$L$4:$L$503,(_calc!$E$322-500)),"yyyy-mm-dd"),"")&amp;". ")&amp;IF(LEN(IF(ISNUMBER(INDEX('My equipment'!$P$4:$P$503,(_calc!$E$322-500))),TEXT(INDEX('My equipment'!$P$4:$P$503,(_calc!$E$322-500)),"yyyy-mm-dd"),""))=0,"","Check by: "&amp;IF(ISNUMBER(INDEX('My equipment'!$P$4:$P$503,(_calc!$E$322-500))),TEXT(INDEX('My equipment'!$P$4:$P$503,(_calc!$E$322-500)),"yyyy-mm-dd"),"")&amp;". ")&amp;IF(LEN(IF(LEN(INDEX('My equipment'!$Q$4:$Q$503,(_calc!$E$322-500)))=0,"",INDEX('My equipment'!$Q$4:$Q$503,(_calc!$E$322-500))))=0,"","Claim status: "&amp;IF(LEN(INDEX('My equipment'!$Q$4:$Q$503,(_calc!$E$322-500)))=0,"",INDEX('My equipment'!$Q$4:$Q$503,(_calc!$E$322-500)))&amp;". ")&amp;IF(LEN(IF(LEN(INDEX('My equipment'!$R$4:$R$503,(_calc!$E$322-500)))=0,"",INDEX('My equipment'!$R$4:$R$503,(_calc!$E$322-500))))=0,"","Claims contact: "&amp;IF(LEN(INDEX('My equipment'!$R$4:$R$503,(_calc!$E$322-500)))=0,"",INDEX('My equipment'!$R$4:$R$503,(_calc!$E$322-500)))&amp;". ")&amp;IF(LEN(IF(LEN(INDEX('My equipment'!$S$4:$S$503,(_calc!$E$322-500)))=0,"",INDEX('My equipment'!$S$4:$S$503,(_calc!$E$322-500))))=0,"","Claims email: "&amp;IF(LEN(INDEX('My equipment'!$S$4:$S$503,(_calc!$E$322-500)))=0,"",INDEX('My equipment'!$S$4:$S$503,(_calc!$E$322-500)))&amp;". ")&amp;IF(LEN(IF(LEN(INDEX('My equipment'!$U$4:$U$503,(_calc!$E$322-500)))=0,"",INDEX('My equipment'!$U$4:$U$503,(_calc!$E$322-500))))=0,"","Registered: "&amp;IF(LEN(INDEX('My equipment'!$U$4:$U$503,(_calc!$E$322-500)))=0,"",INDEX('My equipment'!$U$4:$U$503,(_calc!$E$322-500)))&amp;". ")&amp;IF(LEN(IF(LEN(INDEX('My equipment'!$V$4:$V$503,(_calc!$E$322-500)))=0,"",INDEX('My equipment'!$V$4:$V$503,(_calc!$E$322-500))))=0,"","Proof on file: "&amp;IF(LEN(INDEX('My equipment'!$V$4:$V$503,(_calc!$E$322-500)))=0,"",INDEX('My equipment'!$V$4:$V$503,(_calc!$E$322-500)))&amp;". ")&amp;IF(LEN(IF(LEN(INDEX('My equipment'!$W$4:$W$503,(_calc!$E$322-500)))=0,"",INDEX('My equipment'!$W$4:$W$503,(_calc!$E$322-500))))=0,"","Claim ref: "&amp;IF(LEN(INDEX('My equipment'!$W$4:$W$503,(_calc!$E$322-500)))=0,"",INDEX('My equipment'!$W$4:$W$503,(_calc!$E$322-500)))&amp;". ")&amp;IF(LEN(IF(LEN(INDEX('My equipment'!$Y$4:$Y$503,(_calc!$E$322-500)))=0,"",INDEX('My equipment'!$Y$4:$Y$503,(_calc!$E$322-500))))=0,"",IF(LEN(INDEX('My equipment'!$Y$4:$Y$503,(_calc!$E$322-500)))=0,"",INDEX('My equipment'!$Y$4:$Y$503,(_calc!$E$322-500)))))))</f>
        <v/>
      </c>
      <c r="G320" s="54">
        <f>IF(_calc!$E$322="","",IF(_calc!$E$322&lt;=500,"",IF(LEN(INDEX('My equipment'!$X$4:$X$503,(_calc!$E$322-500)))=0,"",INDEX('My equipment'!$X$4:$X$503,(_calc!$E$322-500)))))</f>
        <v/>
      </c>
      <c r="K320" s="54">
        <f>IF(_calc!$E$322="","",IF(_calc!$E$322&lt;=500,"",IF(LEN(INDEX('My equipment'!$T$4:$T$503,(_calc!$E$322-500)))=0,"",INDEX('My equipment'!$T$4:$T$503,(_calc!$E$322-500)))))</f>
        <v/>
      </c>
    </row>
    <row r="321">
      <c r="A321" s="54">
        <f>IF(_calc!$E$323="","",IF(_calc!$E$323&lt;=500,"Warranty – "&amp;IF(LEN(INDEX('Dealer pipeline'!$C$4:$C$503,_calc!$E$323))=0,"",INDEX('Dealer pipeline'!$C$4:$C$503,_calc!$E$323))&amp;" – "&amp;IF(LEN(INDEX('Dealer pipeline'!$D$4:$D$503,_calc!$E$323))=0,"",INDEX('Dealer pipeline'!$D$4:$D$503,_calc!$E$323))&amp;" – "&amp;IF(LEN(INDEX('Dealer pipeline'!$A$4:$A$503,_calc!$E$323))=0,"",INDEX('Dealer pipeline'!$A$4:$A$503,_calc!$E$323)),"Warranty – "&amp;IF(LEN(INDEX('My equipment'!$A$4:$A$503,(_calc!$E$323-500)))=0,"",INDEX('My equipment'!$A$4:$A$503,(_calc!$E$323-500)))&amp;" – "&amp;IF(LEN(INDEX('My equipment'!$D$4:$D$503,(_calc!$E$323-500)))=0,"",INDEX('My equipment'!$D$4:$D$503,(_calc!$E$323-500)))))</f>
        <v/>
      </c>
      <c r="B321" s="54">
        <f>IF(_calc!$E$323="","",IF(_calc!$E$323&lt;=500,IF(ISNUMBER(INDEX('Dealer pipeline'!$M$4:$M$503,_calc!$E$323)),TEXT(INDEX('Dealer pipeline'!$M$4:$M$503,_calc!$E$323),"yyyy-mm-dd"),""),IF(ISNUMBER(INDEX('My equipment'!$M$4:$M$503,(_calc!$E$323-500))),TEXT(INDEX('My equipment'!$M$4:$M$503,(_calc!$E$323-500)),"yyyy-mm-dd"),"")))</f>
        <v/>
      </c>
      <c r="C321" s="54">
        <f>IF(_calc!$E$323="","",IF(_calc!$E$323&lt;=500,"Warranty","Warranty"))</f>
        <v/>
      </c>
      <c r="D321" s="54">
        <f>IF(_calc!$E$323="","",IF(_calc!$E$323&lt;=500,IF(ISNUMBER(INDEX('Dealer pipeline'!$H$4:$H$503,_calc!$E$323)),TEXT(INDEX('Dealer pipeline'!$H$4:$H$503,_calc!$E$323),"yyyy-mm-dd"),""),IF(ISNUMBER(INDEX('My equipment'!$H$4:$H$503,(_calc!$E$323-500))),TEXT(INDEX('My equipment'!$H$4:$H$503,(_calc!$E$323-500)),"yyyy-mm-dd"),"")))</f>
        <v/>
      </c>
      <c r="F321" s="54">
        <f>IF(_calc!$E$323="","",IF(_calc!$E$323&lt;=500,TRIM(IF(LEN(IF(LEN(INDEX('Dealer pipeline'!$A$4:$A$503,_calc!$E$323))=0,"",INDEX('Dealer pipeline'!$A$4:$A$503,_calc!$E$323)))=0,"","Customer: "&amp;IF(LEN(INDEX('Dealer pipeline'!$A$4:$A$503,_calc!$E$323))=0,"",INDEX('Dealer pipeline'!$A$4:$A$503,_calc!$E$323))&amp;". ")&amp;IF(LEN(IF(LEN(INDEX('Dealer pipeline'!$B$4:$B$503,_calc!$E$323))=0,"",INDEX('Dealer pipeline'!$B$4:$B$503,_calc!$E$323)))=0,"","Contact: "&amp;IF(LEN(INDEX('Dealer pipeline'!$B$4:$B$503,_calc!$E$323))=0,"",INDEX('Dealer pipeline'!$B$4:$B$503,_calc!$E$323))&amp;". ")&amp;IF(LEN(IF(LEN(INDEX('Dealer pipeline'!$D$4:$D$503,_calc!$E$323))=0,"",INDEX('Dealer pipeline'!$D$4:$D$503,_calc!$E$323)))=0,"","Serial: "&amp;IF(LEN(INDEX('Dealer pipeline'!$D$4:$D$503,_calc!$E$323))=0,"",INDEX('Dealer pipeline'!$D$4:$D$503,_calc!$E$323))&amp;". ")&amp;IF(LEN(IF(ISNUMBER(INDEX('Dealer pipeline'!$J$4:$J$503,_calc!$E$323)),TEXT(INDEX('Dealer pipeline'!$J$4:$J$503,_calc!$E$323),"yyyy-mm-dd"),""))=0,"","Parts end: "&amp;IF(ISNUMBER(INDEX('Dealer pipeline'!$J$4:$J$503,_calc!$E$323)),TEXT(INDEX('Dealer pipeline'!$J$4:$J$503,_calc!$E$323),"yyyy-mm-dd"),"")&amp;". ")&amp;IF(LEN(IF(ISNUMBER(INDEX('Dealer pipeline'!$L$4:$L$503,_calc!$E$323)),TEXT(INDEX('Dealer pipeline'!$L$4:$L$503,_calc!$E$323),"yyyy-mm-dd"),""))=0,"","Labor end: "&amp;IF(ISNUMBER(INDEX('Dealer pipeline'!$L$4:$L$503,_calc!$E$323)),TEXT(INDEX('Dealer pipeline'!$L$4:$L$503,_calc!$E$323),"yyyy-mm-dd"),"")&amp;". ")&amp;IF(LEN(IF(LEN(INDEX('Dealer pipeline'!$Q$4:$Q$503,_calc!$E$323))=0,"",INDEX('Dealer pipeline'!$Q$4:$Q$503,_calc!$E$323)))=0,"","Status: "&amp;IF(LEN(INDEX('Dealer pipeline'!$Q$4:$Q$503,_calc!$E$323))=0,"",INDEX('Dealer pipeline'!$Q$4:$Q$503,_calc!$E$323))&amp;". ")&amp;IF(LEN(IF(LEN(INDEX('Dealer pipeline'!$P$4:$P$503,_calc!$E$323))=0,"",INDEX('Dealer pipeline'!$P$4:$P$503,_calc!$E$323)))=0,"","Last touch: "&amp;IF(LEN(INDEX('Dealer pipeline'!$P$4:$P$503,_calc!$E$323))=0,"",INDEX('Dealer pipeline'!$P$4:$P$503,_calc!$E$323))&amp;". ")&amp;IF(LEN(IF(LEN(INDEX('Dealer pipeline'!$R$4:$R$503,_calc!$E$323))=0,"",INDEX('Dealer pipeline'!$R$4:$R$503,_calc!$E$323)))=0,"","Owner: "&amp;IF(LEN(INDEX('Dealer pipeline'!$R$4:$R$503,_calc!$E$323))=0,"",INDEX('Dealer pipeline'!$R$4:$R$503,_calc!$E$323))&amp;". ")&amp;IF(LEN(IF(LEN(INDEX('Dealer pipeline'!$S$4:$S$503,_calc!$E$323))=0,"",INDEX('Dealer pipeline'!$S$4:$S$503,_calc!$E$323)))=0,"","Backup: "&amp;IF(LEN(INDEX('Dealer pipeline'!$S$4:$S$503,_calc!$E$323))=0,"",INDEX('Dealer pipeline'!$S$4:$S$503,_calc!$E$323))&amp;". ")&amp;IF(LEN(IF(LEN(INDEX('Dealer pipeline'!$T$4:$T$503,_calc!$E$323))=0,"",INDEX('Dealer pipeline'!$T$4:$T$503,_calc!$E$323)))=0,"",IF(LEN(INDEX('Dealer pipeline'!$T$4:$T$503,_calc!$E$323))=0,"",INDEX('Dealer pipeline'!$T$4:$T$503,_calc!$E$323)))),TRIM(IF(LEN(IF(LEN(INDEX('My equipment'!$C$4:$C$503,(_calc!$E$323-500)))=0,"",INDEX('My equipment'!$C$4:$C$503,(_calc!$E$323-500))))=0,"","Model: "&amp;IF(LEN(INDEX('My equipment'!$C$4:$C$503,(_calc!$E$323-500)))=0,"",INDEX('My equipment'!$C$4:$C$503,(_calc!$E$323-500)))&amp;". ")&amp;IF(LEN(IF(LEN(INDEX('My equipment'!$D$4:$D$503,(_calc!$E$323-500)))=0,"",INDEX('My equipment'!$D$4:$D$503,(_calc!$E$323-500))))=0,"","Serial: "&amp;IF(LEN(INDEX('My equipment'!$D$4:$D$503,(_calc!$E$323-500)))=0,"",INDEX('My equipment'!$D$4:$D$503,(_calc!$E$323-500)))&amp;". ")&amp;IF(LEN(IF(ISNUMBER(INDEX('My equipment'!$J$4:$J$503,(_calc!$E$323-500))),TEXT(INDEX('My equipment'!$J$4:$J$503,(_calc!$E$323-500)),"yyyy-mm-dd"),""))=0,"","Parts end: "&amp;IF(ISNUMBER(INDEX('My equipment'!$J$4:$J$503,(_calc!$E$323-500))),TEXT(INDEX('My equipment'!$J$4:$J$503,(_calc!$E$323-500)),"yyyy-mm-dd"),"")&amp;". ")&amp;IF(LEN(IF(ISNUMBER(INDEX('My equipment'!$L$4:$L$503,(_calc!$E$323-500))),TEXT(INDEX('My equipment'!$L$4:$L$503,(_calc!$E$323-500)),"yyyy-mm-dd"),""))=0,"","Labor end: "&amp;IF(ISNUMBER(INDEX('My equipment'!$L$4:$L$503,(_calc!$E$323-500))),TEXT(INDEX('My equipment'!$L$4:$L$503,(_calc!$E$323-500)),"yyyy-mm-dd"),"")&amp;". ")&amp;IF(LEN(IF(ISNUMBER(INDEX('My equipment'!$P$4:$P$503,(_calc!$E$323-500))),TEXT(INDEX('My equipment'!$P$4:$P$503,(_calc!$E$323-500)),"yyyy-mm-dd"),""))=0,"","Check by: "&amp;IF(ISNUMBER(INDEX('My equipment'!$P$4:$P$503,(_calc!$E$323-500))),TEXT(INDEX('My equipment'!$P$4:$P$503,(_calc!$E$323-500)),"yyyy-mm-dd"),"")&amp;". ")&amp;IF(LEN(IF(LEN(INDEX('My equipment'!$Q$4:$Q$503,(_calc!$E$323-500)))=0,"",INDEX('My equipment'!$Q$4:$Q$503,(_calc!$E$323-500))))=0,"","Claim status: "&amp;IF(LEN(INDEX('My equipment'!$Q$4:$Q$503,(_calc!$E$323-500)))=0,"",INDEX('My equipment'!$Q$4:$Q$503,(_calc!$E$323-500)))&amp;". ")&amp;IF(LEN(IF(LEN(INDEX('My equipment'!$R$4:$R$503,(_calc!$E$323-500)))=0,"",INDEX('My equipment'!$R$4:$R$503,(_calc!$E$323-500))))=0,"","Claims contact: "&amp;IF(LEN(INDEX('My equipment'!$R$4:$R$503,(_calc!$E$323-500)))=0,"",INDEX('My equipment'!$R$4:$R$503,(_calc!$E$323-500)))&amp;". ")&amp;IF(LEN(IF(LEN(INDEX('My equipment'!$S$4:$S$503,(_calc!$E$323-500)))=0,"",INDEX('My equipment'!$S$4:$S$503,(_calc!$E$323-500))))=0,"","Claims email: "&amp;IF(LEN(INDEX('My equipment'!$S$4:$S$503,(_calc!$E$323-500)))=0,"",INDEX('My equipment'!$S$4:$S$503,(_calc!$E$323-500)))&amp;". ")&amp;IF(LEN(IF(LEN(INDEX('My equipment'!$U$4:$U$503,(_calc!$E$323-500)))=0,"",INDEX('My equipment'!$U$4:$U$503,(_calc!$E$323-500))))=0,"","Registered: "&amp;IF(LEN(INDEX('My equipment'!$U$4:$U$503,(_calc!$E$323-500)))=0,"",INDEX('My equipment'!$U$4:$U$503,(_calc!$E$323-500)))&amp;". ")&amp;IF(LEN(IF(LEN(INDEX('My equipment'!$V$4:$V$503,(_calc!$E$323-500)))=0,"",INDEX('My equipment'!$V$4:$V$503,(_calc!$E$323-500))))=0,"","Proof on file: "&amp;IF(LEN(INDEX('My equipment'!$V$4:$V$503,(_calc!$E$323-500)))=0,"",INDEX('My equipment'!$V$4:$V$503,(_calc!$E$323-500)))&amp;". ")&amp;IF(LEN(IF(LEN(INDEX('My equipment'!$W$4:$W$503,(_calc!$E$323-500)))=0,"",INDEX('My equipment'!$W$4:$W$503,(_calc!$E$323-500))))=0,"","Claim ref: "&amp;IF(LEN(INDEX('My equipment'!$W$4:$W$503,(_calc!$E$323-500)))=0,"",INDEX('My equipment'!$W$4:$W$503,(_calc!$E$323-500)))&amp;". ")&amp;IF(LEN(IF(LEN(INDEX('My equipment'!$Y$4:$Y$503,(_calc!$E$323-500)))=0,"",INDEX('My equipment'!$Y$4:$Y$503,(_calc!$E$323-500))))=0,"",IF(LEN(INDEX('My equipment'!$Y$4:$Y$503,(_calc!$E$323-500)))=0,"",INDEX('My equipment'!$Y$4:$Y$503,(_calc!$E$323-500)))))))</f>
        <v/>
      </c>
      <c r="G321" s="54">
        <f>IF(_calc!$E$323="","",IF(_calc!$E$323&lt;=500,"",IF(LEN(INDEX('My equipment'!$X$4:$X$503,(_calc!$E$323-500)))=0,"",INDEX('My equipment'!$X$4:$X$503,(_calc!$E$323-500)))))</f>
        <v/>
      </c>
      <c r="K321" s="54">
        <f>IF(_calc!$E$323="","",IF(_calc!$E$323&lt;=500,"",IF(LEN(INDEX('My equipment'!$T$4:$T$503,(_calc!$E$323-500)))=0,"",INDEX('My equipment'!$T$4:$T$503,(_calc!$E$323-500)))))</f>
        <v/>
      </c>
    </row>
    <row r="322">
      <c r="A322" s="54">
        <f>IF(_calc!$E$324="","",IF(_calc!$E$324&lt;=500,"Warranty – "&amp;IF(LEN(INDEX('Dealer pipeline'!$C$4:$C$503,_calc!$E$324))=0,"",INDEX('Dealer pipeline'!$C$4:$C$503,_calc!$E$324))&amp;" – "&amp;IF(LEN(INDEX('Dealer pipeline'!$D$4:$D$503,_calc!$E$324))=0,"",INDEX('Dealer pipeline'!$D$4:$D$503,_calc!$E$324))&amp;" – "&amp;IF(LEN(INDEX('Dealer pipeline'!$A$4:$A$503,_calc!$E$324))=0,"",INDEX('Dealer pipeline'!$A$4:$A$503,_calc!$E$324)),"Warranty – "&amp;IF(LEN(INDEX('My equipment'!$A$4:$A$503,(_calc!$E$324-500)))=0,"",INDEX('My equipment'!$A$4:$A$503,(_calc!$E$324-500)))&amp;" – "&amp;IF(LEN(INDEX('My equipment'!$D$4:$D$503,(_calc!$E$324-500)))=0,"",INDEX('My equipment'!$D$4:$D$503,(_calc!$E$324-500)))))</f>
        <v/>
      </c>
      <c r="B322" s="54">
        <f>IF(_calc!$E$324="","",IF(_calc!$E$324&lt;=500,IF(ISNUMBER(INDEX('Dealer pipeline'!$M$4:$M$503,_calc!$E$324)),TEXT(INDEX('Dealer pipeline'!$M$4:$M$503,_calc!$E$324),"yyyy-mm-dd"),""),IF(ISNUMBER(INDEX('My equipment'!$M$4:$M$503,(_calc!$E$324-500))),TEXT(INDEX('My equipment'!$M$4:$M$503,(_calc!$E$324-500)),"yyyy-mm-dd"),"")))</f>
        <v/>
      </c>
      <c r="C322" s="54">
        <f>IF(_calc!$E$324="","",IF(_calc!$E$324&lt;=500,"Warranty","Warranty"))</f>
        <v/>
      </c>
      <c r="D322" s="54">
        <f>IF(_calc!$E$324="","",IF(_calc!$E$324&lt;=500,IF(ISNUMBER(INDEX('Dealer pipeline'!$H$4:$H$503,_calc!$E$324)),TEXT(INDEX('Dealer pipeline'!$H$4:$H$503,_calc!$E$324),"yyyy-mm-dd"),""),IF(ISNUMBER(INDEX('My equipment'!$H$4:$H$503,(_calc!$E$324-500))),TEXT(INDEX('My equipment'!$H$4:$H$503,(_calc!$E$324-500)),"yyyy-mm-dd"),"")))</f>
        <v/>
      </c>
      <c r="F322" s="54">
        <f>IF(_calc!$E$324="","",IF(_calc!$E$324&lt;=500,TRIM(IF(LEN(IF(LEN(INDEX('Dealer pipeline'!$A$4:$A$503,_calc!$E$324))=0,"",INDEX('Dealer pipeline'!$A$4:$A$503,_calc!$E$324)))=0,"","Customer: "&amp;IF(LEN(INDEX('Dealer pipeline'!$A$4:$A$503,_calc!$E$324))=0,"",INDEX('Dealer pipeline'!$A$4:$A$503,_calc!$E$324))&amp;". ")&amp;IF(LEN(IF(LEN(INDEX('Dealer pipeline'!$B$4:$B$503,_calc!$E$324))=0,"",INDEX('Dealer pipeline'!$B$4:$B$503,_calc!$E$324)))=0,"","Contact: "&amp;IF(LEN(INDEX('Dealer pipeline'!$B$4:$B$503,_calc!$E$324))=0,"",INDEX('Dealer pipeline'!$B$4:$B$503,_calc!$E$324))&amp;". ")&amp;IF(LEN(IF(LEN(INDEX('Dealer pipeline'!$D$4:$D$503,_calc!$E$324))=0,"",INDEX('Dealer pipeline'!$D$4:$D$503,_calc!$E$324)))=0,"","Serial: "&amp;IF(LEN(INDEX('Dealer pipeline'!$D$4:$D$503,_calc!$E$324))=0,"",INDEX('Dealer pipeline'!$D$4:$D$503,_calc!$E$324))&amp;". ")&amp;IF(LEN(IF(ISNUMBER(INDEX('Dealer pipeline'!$J$4:$J$503,_calc!$E$324)),TEXT(INDEX('Dealer pipeline'!$J$4:$J$503,_calc!$E$324),"yyyy-mm-dd"),""))=0,"","Parts end: "&amp;IF(ISNUMBER(INDEX('Dealer pipeline'!$J$4:$J$503,_calc!$E$324)),TEXT(INDEX('Dealer pipeline'!$J$4:$J$503,_calc!$E$324),"yyyy-mm-dd"),"")&amp;". ")&amp;IF(LEN(IF(ISNUMBER(INDEX('Dealer pipeline'!$L$4:$L$503,_calc!$E$324)),TEXT(INDEX('Dealer pipeline'!$L$4:$L$503,_calc!$E$324),"yyyy-mm-dd"),""))=0,"","Labor end: "&amp;IF(ISNUMBER(INDEX('Dealer pipeline'!$L$4:$L$503,_calc!$E$324)),TEXT(INDEX('Dealer pipeline'!$L$4:$L$503,_calc!$E$324),"yyyy-mm-dd"),"")&amp;". ")&amp;IF(LEN(IF(LEN(INDEX('Dealer pipeline'!$Q$4:$Q$503,_calc!$E$324))=0,"",INDEX('Dealer pipeline'!$Q$4:$Q$503,_calc!$E$324)))=0,"","Status: "&amp;IF(LEN(INDEX('Dealer pipeline'!$Q$4:$Q$503,_calc!$E$324))=0,"",INDEX('Dealer pipeline'!$Q$4:$Q$503,_calc!$E$324))&amp;". ")&amp;IF(LEN(IF(LEN(INDEX('Dealer pipeline'!$P$4:$P$503,_calc!$E$324))=0,"",INDEX('Dealer pipeline'!$P$4:$P$503,_calc!$E$324)))=0,"","Last touch: "&amp;IF(LEN(INDEX('Dealer pipeline'!$P$4:$P$503,_calc!$E$324))=0,"",INDEX('Dealer pipeline'!$P$4:$P$503,_calc!$E$324))&amp;". ")&amp;IF(LEN(IF(LEN(INDEX('Dealer pipeline'!$R$4:$R$503,_calc!$E$324))=0,"",INDEX('Dealer pipeline'!$R$4:$R$503,_calc!$E$324)))=0,"","Owner: "&amp;IF(LEN(INDEX('Dealer pipeline'!$R$4:$R$503,_calc!$E$324))=0,"",INDEX('Dealer pipeline'!$R$4:$R$503,_calc!$E$324))&amp;". ")&amp;IF(LEN(IF(LEN(INDEX('Dealer pipeline'!$S$4:$S$503,_calc!$E$324))=0,"",INDEX('Dealer pipeline'!$S$4:$S$503,_calc!$E$324)))=0,"","Backup: "&amp;IF(LEN(INDEX('Dealer pipeline'!$S$4:$S$503,_calc!$E$324))=0,"",INDEX('Dealer pipeline'!$S$4:$S$503,_calc!$E$324))&amp;". ")&amp;IF(LEN(IF(LEN(INDEX('Dealer pipeline'!$T$4:$T$503,_calc!$E$324))=0,"",INDEX('Dealer pipeline'!$T$4:$T$503,_calc!$E$324)))=0,"",IF(LEN(INDEX('Dealer pipeline'!$T$4:$T$503,_calc!$E$324))=0,"",INDEX('Dealer pipeline'!$T$4:$T$503,_calc!$E$324)))),TRIM(IF(LEN(IF(LEN(INDEX('My equipment'!$C$4:$C$503,(_calc!$E$324-500)))=0,"",INDEX('My equipment'!$C$4:$C$503,(_calc!$E$324-500))))=0,"","Model: "&amp;IF(LEN(INDEX('My equipment'!$C$4:$C$503,(_calc!$E$324-500)))=0,"",INDEX('My equipment'!$C$4:$C$503,(_calc!$E$324-500)))&amp;". ")&amp;IF(LEN(IF(LEN(INDEX('My equipment'!$D$4:$D$503,(_calc!$E$324-500)))=0,"",INDEX('My equipment'!$D$4:$D$503,(_calc!$E$324-500))))=0,"","Serial: "&amp;IF(LEN(INDEX('My equipment'!$D$4:$D$503,(_calc!$E$324-500)))=0,"",INDEX('My equipment'!$D$4:$D$503,(_calc!$E$324-500)))&amp;". ")&amp;IF(LEN(IF(ISNUMBER(INDEX('My equipment'!$J$4:$J$503,(_calc!$E$324-500))),TEXT(INDEX('My equipment'!$J$4:$J$503,(_calc!$E$324-500)),"yyyy-mm-dd"),""))=0,"","Parts end: "&amp;IF(ISNUMBER(INDEX('My equipment'!$J$4:$J$503,(_calc!$E$324-500))),TEXT(INDEX('My equipment'!$J$4:$J$503,(_calc!$E$324-500)),"yyyy-mm-dd"),"")&amp;". ")&amp;IF(LEN(IF(ISNUMBER(INDEX('My equipment'!$L$4:$L$503,(_calc!$E$324-500))),TEXT(INDEX('My equipment'!$L$4:$L$503,(_calc!$E$324-500)),"yyyy-mm-dd"),""))=0,"","Labor end: "&amp;IF(ISNUMBER(INDEX('My equipment'!$L$4:$L$503,(_calc!$E$324-500))),TEXT(INDEX('My equipment'!$L$4:$L$503,(_calc!$E$324-500)),"yyyy-mm-dd"),"")&amp;". ")&amp;IF(LEN(IF(ISNUMBER(INDEX('My equipment'!$P$4:$P$503,(_calc!$E$324-500))),TEXT(INDEX('My equipment'!$P$4:$P$503,(_calc!$E$324-500)),"yyyy-mm-dd"),""))=0,"","Check by: "&amp;IF(ISNUMBER(INDEX('My equipment'!$P$4:$P$503,(_calc!$E$324-500))),TEXT(INDEX('My equipment'!$P$4:$P$503,(_calc!$E$324-500)),"yyyy-mm-dd"),"")&amp;". ")&amp;IF(LEN(IF(LEN(INDEX('My equipment'!$Q$4:$Q$503,(_calc!$E$324-500)))=0,"",INDEX('My equipment'!$Q$4:$Q$503,(_calc!$E$324-500))))=0,"","Claim status: "&amp;IF(LEN(INDEX('My equipment'!$Q$4:$Q$503,(_calc!$E$324-500)))=0,"",INDEX('My equipment'!$Q$4:$Q$503,(_calc!$E$324-500)))&amp;". ")&amp;IF(LEN(IF(LEN(INDEX('My equipment'!$R$4:$R$503,(_calc!$E$324-500)))=0,"",INDEX('My equipment'!$R$4:$R$503,(_calc!$E$324-500))))=0,"","Claims contact: "&amp;IF(LEN(INDEX('My equipment'!$R$4:$R$503,(_calc!$E$324-500)))=0,"",INDEX('My equipment'!$R$4:$R$503,(_calc!$E$324-500)))&amp;". ")&amp;IF(LEN(IF(LEN(INDEX('My equipment'!$S$4:$S$503,(_calc!$E$324-500)))=0,"",INDEX('My equipment'!$S$4:$S$503,(_calc!$E$324-500))))=0,"","Claims email: "&amp;IF(LEN(INDEX('My equipment'!$S$4:$S$503,(_calc!$E$324-500)))=0,"",INDEX('My equipment'!$S$4:$S$503,(_calc!$E$324-500)))&amp;". ")&amp;IF(LEN(IF(LEN(INDEX('My equipment'!$U$4:$U$503,(_calc!$E$324-500)))=0,"",INDEX('My equipment'!$U$4:$U$503,(_calc!$E$324-500))))=0,"","Registered: "&amp;IF(LEN(INDEX('My equipment'!$U$4:$U$503,(_calc!$E$324-500)))=0,"",INDEX('My equipment'!$U$4:$U$503,(_calc!$E$324-500)))&amp;". ")&amp;IF(LEN(IF(LEN(INDEX('My equipment'!$V$4:$V$503,(_calc!$E$324-500)))=0,"",INDEX('My equipment'!$V$4:$V$503,(_calc!$E$324-500))))=0,"","Proof on file: "&amp;IF(LEN(INDEX('My equipment'!$V$4:$V$503,(_calc!$E$324-500)))=0,"",INDEX('My equipment'!$V$4:$V$503,(_calc!$E$324-500)))&amp;". ")&amp;IF(LEN(IF(LEN(INDEX('My equipment'!$W$4:$W$503,(_calc!$E$324-500)))=0,"",INDEX('My equipment'!$W$4:$W$503,(_calc!$E$324-500))))=0,"","Claim ref: "&amp;IF(LEN(INDEX('My equipment'!$W$4:$W$503,(_calc!$E$324-500)))=0,"",INDEX('My equipment'!$W$4:$W$503,(_calc!$E$324-500)))&amp;". ")&amp;IF(LEN(IF(LEN(INDEX('My equipment'!$Y$4:$Y$503,(_calc!$E$324-500)))=0,"",INDEX('My equipment'!$Y$4:$Y$503,(_calc!$E$324-500))))=0,"",IF(LEN(INDEX('My equipment'!$Y$4:$Y$503,(_calc!$E$324-500)))=0,"",INDEX('My equipment'!$Y$4:$Y$503,(_calc!$E$324-500)))))))</f>
        <v/>
      </c>
      <c r="G322" s="54">
        <f>IF(_calc!$E$324="","",IF(_calc!$E$324&lt;=500,"",IF(LEN(INDEX('My equipment'!$X$4:$X$503,(_calc!$E$324-500)))=0,"",INDEX('My equipment'!$X$4:$X$503,(_calc!$E$324-500)))))</f>
        <v/>
      </c>
      <c r="K322" s="54">
        <f>IF(_calc!$E$324="","",IF(_calc!$E$324&lt;=500,"",IF(LEN(INDEX('My equipment'!$T$4:$T$503,(_calc!$E$324-500)))=0,"",INDEX('My equipment'!$T$4:$T$503,(_calc!$E$324-500)))))</f>
        <v/>
      </c>
    </row>
    <row r="323">
      <c r="A323" s="54">
        <f>IF(_calc!$E$325="","",IF(_calc!$E$325&lt;=500,"Warranty – "&amp;IF(LEN(INDEX('Dealer pipeline'!$C$4:$C$503,_calc!$E$325))=0,"",INDEX('Dealer pipeline'!$C$4:$C$503,_calc!$E$325))&amp;" – "&amp;IF(LEN(INDEX('Dealer pipeline'!$D$4:$D$503,_calc!$E$325))=0,"",INDEX('Dealer pipeline'!$D$4:$D$503,_calc!$E$325))&amp;" – "&amp;IF(LEN(INDEX('Dealer pipeline'!$A$4:$A$503,_calc!$E$325))=0,"",INDEX('Dealer pipeline'!$A$4:$A$503,_calc!$E$325)),"Warranty – "&amp;IF(LEN(INDEX('My equipment'!$A$4:$A$503,(_calc!$E$325-500)))=0,"",INDEX('My equipment'!$A$4:$A$503,(_calc!$E$325-500)))&amp;" – "&amp;IF(LEN(INDEX('My equipment'!$D$4:$D$503,(_calc!$E$325-500)))=0,"",INDEX('My equipment'!$D$4:$D$503,(_calc!$E$325-500)))))</f>
        <v/>
      </c>
      <c r="B323" s="54">
        <f>IF(_calc!$E$325="","",IF(_calc!$E$325&lt;=500,IF(ISNUMBER(INDEX('Dealer pipeline'!$M$4:$M$503,_calc!$E$325)),TEXT(INDEX('Dealer pipeline'!$M$4:$M$503,_calc!$E$325),"yyyy-mm-dd"),""),IF(ISNUMBER(INDEX('My equipment'!$M$4:$M$503,(_calc!$E$325-500))),TEXT(INDEX('My equipment'!$M$4:$M$503,(_calc!$E$325-500)),"yyyy-mm-dd"),"")))</f>
        <v/>
      </c>
      <c r="C323" s="54">
        <f>IF(_calc!$E$325="","",IF(_calc!$E$325&lt;=500,"Warranty","Warranty"))</f>
        <v/>
      </c>
      <c r="D323" s="54">
        <f>IF(_calc!$E$325="","",IF(_calc!$E$325&lt;=500,IF(ISNUMBER(INDEX('Dealer pipeline'!$H$4:$H$503,_calc!$E$325)),TEXT(INDEX('Dealer pipeline'!$H$4:$H$503,_calc!$E$325),"yyyy-mm-dd"),""),IF(ISNUMBER(INDEX('My equipment'!$H$4:$H$503,(_calc!$E$325-500))),TEXT(INDEX('My equipment'!$H$4:$H$503,(_calc!$E$325-500)),"yyyy-mm-dd"),"")))</f>
        <v/>
      </c>
      <c r="F323" s="54">
        <f>IF(_calc!$E$325="","",IF(_calc!$E$325&lt;=500,TRIM(IF(LEN(IF(LEN(INDEX('Dealer pipeline'!$A$4:$A$503,_calc!$E$325))=0,"",INDEX('Dealer pipeline'!$A$4:$A$503,_calc!$E$325)))=0,"","Customer: "&amp;IF(LEN(INDEX('Dealer pipeline'!$A$4:$A$503,_calc!$E$325))=0,"",INDEX('Dealer pipeline'!$A$4:$A$503,_calc!$E$325))&amp;". ")&amp;IF(LEN(IF(LEN(INDEX('Dealer pipeline'!$B$4:$B$503,_calc!$E$325))=0,"",INDEX('Dealer pipeline'!$B$4:$B$503,_calc!$E$325)))=0,"","Contact: "&amp;IF(LEN(INDEX('Dealer pipeline'!$B$4:$B$503,_calc!$E$325))=0,"",INDEX('Dealer pipeline'!$B$4:$B$503,_calc!$E$325))&amp;". ")&amp;IF(LEN(IF(LEN(INDEX('Dealer pipeline'!$D$4:$D$503,_calc!$E$325))=0,"",INDEX('Dealer pipeline'!$D$4:$D$503,_calc!$E$325)))=0,"","Serial: "&amp;IF(LEN(INDEX('Dealer pipeline'!$D$4:$D$503,_calc!$E$325))=0,"",INDEX('Dealer pipeline'!$D$4:$D$503,_calc!$E$325))&amp;". ")&amp;IF(LEN(IF(ISNUMBER(INDEX('Dealer pipeline'!$J$4:$J$503,_calc!$E$325)),TEXT(INDEX('Dealer pipeline'!$J$4:$J$503,_calc!$E$325),"yyyy-mm-dd"),""))=0,"","Parts end: "&amp;IF(ISNUMBER(INDEX('Dealer pipeline'!$J$4:$J$503,_calc!$E$325)),TEXT(INDEX('Dealer pipeline'!$J$4:$J$503,_calc!$E$325),"yyyy-mm-dd"),"")&amp;". ")&amp;IF(LEN(IF(ISNUMBER(INDEX('Dealer pipeline'!$L$4:$L$503,_calc!$E$325)),TEXT(INDEX('Dealer pipeline'!$L$4:$L$503,_calc!$E$325),"yyyy-mm-dd"),""))=0,"","Labor end: "&amp;IF(ISNUMBER(INDEX('Dealer pipeline'!$L$4:$L$503,_calc!$E$325)),TEXT(INDEX('Dealer pipeline'!$L$4:$L$503,_calc!$E$325),"yyyy-mm-dd"),"")&amp;". ")&amp;IF(LEN(IF(LEN(INDEX('Dealer pipeline'!$Q$4:$Q$503,_calc!$E$325))=0,"",INDEX('Dealer pipeline'!$Q$4:$Q$503,_calc!$E$325)))=0,"","Status: "&amp;IF(LEN(INDEX('Dealer pipeline'!$Q$4:$Q$503,_calc!$E$325))=0,"",INDEX('Dealer pipeline'!$Q$4:$Q$503,_calc!$E$325))&amp;". ")&amp;IF(LEN(IF(LEN(INDEX('Dealer pipeline'!$P$4:$P$503,_calc!$E$325))=0,"",INDEX('Dealer pipeline'!$P$4:$P$503,_calc!$E$325)))=0,"","Last touch: "&amp;IF(LEN(INDEX('Dealer pipeline'!$P$4:$P$503,_calc!$E$325))=0,"",INDEX('Dealer pipeline'!$P$4:$P$503,_calc!$E$325))&amp;". ")&amp;IF(LEN(IF(LEN(INDEX('Dealer pipeline'!$R$4:$R$503,_calc!$E$325))=0,"",INDEX('Dealer pipeline'!$R$4:$R$503,_calc!$E$325)))=0,"","Owner: "&amp;IF(LEN(INDEX('Dealer pipeline'!$R$4:$R$503,_calc!$E$325))=0,"",INDEX('Dealer pipeline'!$R$4:$R$503,_calc!$E$325))&amp;". ")&amp;IF(LEN(IF(LEN(INDEX('Dealer pipeline'!$S$4:$S$503,_calc!$E$325))=0,"",INDEX('Dealer pipeline'!$S$4:$S$503,_calc!$E$325)))=0,"","Backup: "&amp;IF(LEN(INDEX('Dealer pipeline'!$S$4:$S$503,_calc!$E$325))=0,"",INDEX('Dealer pipeline'!$S$4:$S$503,_calc!$E$325))&amp;". ")&amp;IF(LEN(IF(LEN(INDEX('Dealer pipeline'!$T$4:$T$503,_calc!$E$325))=0,"",INDEX('Dealer pipeline'!$T$4:$T$503,_calc!$E$325)))=0,"",IF(LEN(INDEX('Dealer pipeline'!$T$4:$T$503,_calc!$E$325))=0,"",INDEX('Dealer pipeline'!$T$4:$T$503,_calc!$E$325)))),TRIM(IF(LEN(IF(LEN(INDEX('My equipment'!$C$4:$C$503,(_calc!$E$325-500)))=0,"",INDEX('My equipment'!$C$4:$C$503,(_calc!$E$325-500))))=0,"","Model: "&amp;IF(LEN(INDEX('My equipment'!$C$4:$C$503,(_calc!$E$325-500)))=0,"",INDEX('My equipment'!$C$4:$C$503,(_calc!$E$325-500)))&amp;". ")&amp;IF(LEN(IF(LEN(INDEX('My equipment'!$D$4:$D$503,(_calc!$E$325-500)))=0,"",INDEX('My equipment'!$D$4:$D$503,(_calc!$E$325-500))))=0,"","Serial: "&amp;IF(LEN(INDEX('My equipment'!$D$4:$D$503,(_calc!$E$325-500)))=0,"",INDEX('My equipment'!$D$4:$D$503,(_calc!$E$325-500)))&amp;". ")&amp;IF(LEN(IF(ISNUMBER(INDEX('My equipment'!$J$4:$J$503,(_calc!$E$325-500))),TEXT(INDEX('My equipment'!$J$4:$J$503,(_calc!$E$325-500)),"yyyy-mm-dd"),""))=0,"","Parts end: "&amp;IF(ISNUMBER(INDEX('My equipment'!$J$4:$J$503,(_calc!$E$325-500))),TEXT(INDEX('My equipment'!$J$4:$J$503,(_calc!$E$325-500)),"yyyy-mm-dd"),"")&amp;". ")&amp;IF(LEN(IF(ISNUMBER(INDEX('My equipment'!$L$4:$L$503,(_calc!$E$325-500))),TEXT(INDEX('My equipment'!$L$4:$L$503,(_calc!$E$325-500)),"yyyy-mm-dd"),""))=0,"","Labor end: "&amp;IF(ISNUMBER(INDEX('My equipment'!$L$4:$L$503,(_calc!$E$325-500))),TEXT(INDEX('My equipment'!$L$4:$L$503,(_calc!$E$325-500)),"yyyy-mm-dd"),"")&amp;". ")&amp;IF(LEN(IF(ISNUMBER(INDEX('My equipment'!$P$4:$P$503,(_calc!$E$325-500))),TEXT(INDEX('My equipment'!$P$4:$P$503,(_calc!$E$325-500)),"yyyy-mm-dd"),""))=0,"","Check by: "&amp;IF(ISNUMBER(INDEX('My equipment'!$P$4:$P$503,(_calc!$E$325-500))),TEXT(INDEX('My equipment'!$P$4:$P$503,(_calc!$E$325-500)),"yyyy-mm-dd"),"")&amp;". ")&amp;IF(LEN(IF(LEN(INDEX('My equipment'!$Q$4:$Q$503,(_calc!$E$325-500)))=0,"",INDEX('My equipment'!$Q$4:$Q$503,(_calc!$E$325-500))))=0,"","Claim status: "&amp;IF(LEN(INDEX('My equipment'!$Q$4:$Q$503,(_calc!$E$325-500)))=0,"",INDEX('My equipment'!$Q$4:$Q$503,(_calc!$E$325-500)))&amp;". ")&amp;IF(LEN(IF(LEN(INDEX('My equipment'!$R$4:$R$503,(_calc!$E$325-500)))=0,"",INDEX('My equipment'!$R$4:$R$503,(_calc!$E$325-500))))=0,"","Claims contact: "&amp;IF(LEN(INDEX('My equipment'!$R$4:$R$503,(_calc!$E$325-500)))=0,"",INDEX('My equipment'!$R$4:$R$503,(_calc!$E$325-500)))&amp;". ")&amp;IF(LEN(IF(LEN(INDEX('My equipment'!$S$4:$S$503,(_calc!$E$325-500)))=0,"",INDEX('My equipment'!$S$4:$S$503,(_calc!$E$325-500))))=0,"","Claims email: "&amp;IF(LEN(INDEX('My equipment'!$S$4:$S$503,(_calc!$E$325-500)))=0,"",INDEX('My equipment'!$S$4:$S$503,(_calc!$E$325-500)))&amp;". ")&amp;IF(LEN(IF(LEN(INDEX('My equipment'!$U$4:$U$503,(_calc!$E$325-500)))=0,"",INDEX('My equipment'!$U$4:$U$503,(_calc!$E$325-500))))=0,"","Registered: "&amp;IF(LEN(INDEX('My equipment'!$U$4:$U$503,(_calc!$E$325-500)))=0,"",INDEX('My equipment'!$U$4:$U$503,(_calc!$E$325-500)))&amp;". ")&amp;IF(LEN(IF(LEN(INDEX('My equipment'!$V$4:$V$503,(_calc!$E$325-500)))=0,"",INDEX('My equipment'!$V$4:$V$503,(_calc!$E$325-500))))=0,"","Proof on file: "&amp;IF(LEN(INDEX('My equipment'!$V$4:$V$503,(_calc!$E$325-500)))=0,"",INDEX('My equipment'!$V$4:$V$503,(_calc!$E$325-500)))&amp;". ")&amp;IF(LEN(IF(LEN(INDEX('My equipment'!$W$4:$W$503,(_calc!$E$325-500)))=0,"",INDEX('My equipment'!$W$4:$W$503,(_calc!$E$325-500))))=0,"","Claim ref: "&amp;IF(LEN(INDEX('My equipment'!$W$4:$W$503,(_calc!$E$325-500)))=0,"",INDEX('My equipment'!$W$4:$W$503,(_calc!$E$325-500)))&amp;". ")&amp;IF(LEN(IF(LEN(INDEX('My equipment'!$Y$4:$Y$503,(_calc!$E$325-500)))=0,"",INDEX('My equipment'!$Y$4:$Y$503,(_calc!$E$325-500))))=0,"",IF(LEN(INDEX('My equipment'!$Y$4:$Y$503,(_calc!$E$325-500)))=0,"",INDEX('My equipment'!$Y$4:$Y$503,(_calc!$E$325-500)))))))</f>
        <v/>
      </c>
      <c r="G323" s="54">
        <f>IF(_calc!$E$325="","",IF(_calc!$E$325&lt;=500,"",IF(LEN(INDEX('My equipment'!$X$4:$X$503,(_calc!$E$325-500)))=0,"",INDEX('My equipment'!$X$4:$X$503,(_calc!$E$325-500)))))</f>
        <v/>
      </c>
      <c r="K323" s="54">
        <f>IF(_calc!$E$325="","",IF(_calc!$E$325&lt;=500,"",IF(LEN(INDEX('My equipment'!$T$4:$T$503,(_calc!$E$325-500)))=0,"",INDEX('My equipment'!$T$4:$T$503,(_calc!$E$325-500)))))</f>
        <v/>
      </c>
    </row>
    <row r="324">
      <c r="A324" s="54">
        <f>IF(_calc!$E$326="","",IF(_calc!$E$326&lt;=500,"Warranty – "&amp;IF(LEN(INDEX('Dealer pipeline'!$C$4:$C$503,_calc!$E$326))=0,"",INDEX('Dealer pipeline'!$C$4:$C$503,_calc!$E$326))&amp;" – "&amp;IF(LEN(INDEX('Dealer pipeline'!$D$4:$D$503,_calc!$E$326))=0,"",INDEX('Dealer pipeline'!$D$4:$D$503,_calc!$E$326))&amp;" – "&amp;IF(LEN(INDEX('Dealer pipeline'!$A$4:$A$503,_calc!$E$326))=0,"",INDEX('Dealer pipeline'!$A$4:$A$503,_calc!$E$326)),"Warranty – "&amp;IF(LEN(INDEX('My equipment'!$A$4:$A$503,(_calc!$E$326-500)))=0,"",INDEX('My equipment'!$A$4:$A$503,(_calc!$E$326-500)))&amp;" – "&amp;IF(LEN(INDEX('My equipment'!$D$4:$D$503,(_calc!$E$326-500)))=0,"",INDEX('My equipment'!$D$4:$D$503,(_calc!$E$326-500)))))</f>
        <v/>
      </c>
      <c r="B324" s="54">
        <f>IF(_calc!$E$326="","",IF(_calc!$E$326&lt;=500,IF(ISNUMBER(INDEX('Dealer pipeline'!$M$4:$M$503,_calc!$E$326)),TEXT(INDEX('Dealer pipeline'!$M$4:$M$503,_calc!$E$326),"yyyy-mm-dd"),""),IF(ISNUMBER(INDEX('My equipment'!$M$4:$M$503,(_calc!$E$326-500))),TEXT(INDEX('My equipment'!$M$4:$M$503,(_calc!$E$326-500)),"yyyy-mm-dd"),"")))</f>
        <v/>
      </c>
      <c r="C324" s="54">
        <f>IF(_calc!$E$326="","",IF(_calc!$E$326&lt;=500,"Warranty","Warranty"))</f>
        <v/>
      </c>
      <c r="D324" s="54">
        <f>IF(_calc!$E$326="","",IF(_calc!$E$326&lt;=500,IF(ISNUMBER(INDEX('Dealer pipeline'!$H$4:$H$503,_calc!$E$326)),TEXT(INDEX('Dealer pipeline'!$H$4:$H$503,_calc!$E$326),"yyyy-mm-dd"),""),IF(ISNUMBER(INDEX('My equipment'!$H$4:$H$503,(_calc!$E$326-500))),TEXT(INDEX('My equipment'!$H$4:$H$503,(_calc!$E$326-500)),"yyyy-mm-dd"),"")))</f>
        <v/>
      </c>
      <c r="F324" s="54">
        <f>IF(_calc!$E$326="","",IF(_calc!$E$326&lt;=500,TRIM(IF(LEN(IF(LEN(INDEX('Dealer pipeline'!$A$4:$A$503,_calc!$E$326))=0,"",INDEX('Dealer pipeline'!$A$4:$A$503,_calc!$E$326)))=0,"","Customer: "&amp;IF(LEN(INDEX('Dealer pipeline'!$A$4:$A$503,_calc!$E$326))=0,"",INDEX('Dealer pipeline'!$A$4:$A$503,_calc!$E$326))&amp;". ")&amp;IF(LEN(IF(LEN(INDEX('Dealer pipeline'!$B$4:$B$503,_calc!$E$326))=0,"",INDEX('Dealer pipeline'!$B$4:$B$503,_calc!$E$326)))=0,"","Contact: "&amp;IF(LEN(INDEX('Dealer pipeline'!$B$4:$B$503,_calc!$E$326))=0,"",INDEX('Dealer pipeline'!$B$4:$B$503,_calc!$E$326))&amp;". ")&amp;IF(LEN(IF(LEN(INDEX('Dealer pipeline'!$D$4:$D$503,_calc!$E$326))=0,"",INDEX('Dealer pipeline'!$D$4:$D$503,_calc!$E$326)))=0,"","Serial: "&amp;IF(LEN(INDEX('Dealer pipeline'!$D$4:$D$503,_calc!$E$326))=0,"",INDEX('Dealer pipeline'!$D$4:$D$503,_calc!$E$326))&amp;". ")&amp;IF(LEN(IF(ISNUMBER(INDEX('Dealer pipeline'!$J$4:$J$503,_calc!$E$326)),TEXT(INDEX('Dealer pipeline'!$J$4:$J$503,_calc!$E$326),"yyyy-mm-dd"),""))=0,"","Parts end: "&amp;IF(ISNUMBER(INDEX('Dealer pipeline'!$J$4:$J$503,_calc!$E$326)),TEXT(INDEX('Dealer pipeline'!$J$4:$J$503,_calc!$E$326),"yyyy-mm-dd"),"")&amp;". ")&amp;IF(LEN(IF(ISNUMBER(INDEX('Dealer pipeline'!$L$4:$L$503,_calc!$E$326)),TEXT(INDEX('Dealer pipeline'!$L$4:$L$503,_calc!$E$326),"yyyy-mm-dd"),""))=0,"","Labor end: "&amp;IF(ISNUMBER(INDEX('Dealer pipeline'!$L$4:$L$503,_calc!$E$326)),TEXT(INDEX('Dealer pipeline'!$L$4:$L$503,_calc!$E$326),"yyyy-mm-dd"),"")&amp;". ")&amp;IF(LEN(IF(LEN(INDEX('Dealer pipeline'!$Q$4:$Q$503,_calc!$E$326))=0,"",INDEX('Dealer pipeline'!$Q$4:$Q$503,_calc!$E$326)))=0,"","Status: "&amp;IF(LEN(INDEX('Dealer pipeline'!$Q$4:$Q$503,_calc!$E$326))=0,"",INDEX('Dealer pipeline'!$Q$4:$Q$503,_calc!$E$326))&amp;". ")&amp;IF(LEN(IF(LEN(INDEX('Dealer pipeline'!$P$4:$P$503,_calc!$E$326))=0,"",INDEX('Dealer pipeline'!$P$4:$P$503,_calc!$E$326)))=0,"","Last touch: "&amp;IF(LEN(INDEX('Dealer pipeline'!$P$4:$P$503,_calc!$E$326))=0,"",INDEX('Dealer pipeline'!$P$4:$P$503,_calc!$E$326))&amp;". ")&amp;IF(LEN(IF(LEN(INDEX('Dealer pipeline'!$R$4:$R$503,_calc!$E$326))=0,"",INDEX('Dealer pipeline'!$R$4:$R$503,_calc!$E$326)))=0,"","Owner: "&amp;IF(LEN(INDEX('Dealer pipeline'!$R$4:$R$503,_calc!$E$326))=0,"",INDEX('Dealer pipeline'!$R$4:$R$503,_calc!$E$326))&amp;". ")&amp;IF(LEN(IF(LEN(INDEX('Dealer pipeline'!$S$4:$S$503,_calc!$E$326))=0,"",INDEX('Dealer pipeline'!$S$4:$S$503,_calc!$E$326)))=0,"","Backup: "&amp;IF(LEN(INDEX('Dealer pipeline'!$S$4:$S$503,_calc!$E$326))=0,"",INDEX('Dealer pipeline'!$S$4:$S$503,_calc!$E$326))&amp;". ")&amp;IF(LEN(IF(LEN(INDEX('Dealer pipeline'!$T$4:$T$503,_calc!$E$326))=0,"",INDEX('Dealer pipeline'!$T$4:$T$503,_calc!$E$326)))=0,"",IF(LEN(INDEX('Dealer pipeline'!$T$4:$T$503,_calc!$E$326))=0,"",INDEX('Dealer pipeline'!$T$4:$T$503,_calc!$E$326)))),TRIM(IF(LEN(IF(LEN(INDEX('My equipment'!$C$4:$C$503,(_calc!$E$326-500)))=0,"",INDEX('My equipment'!$C$4:$C$503,(_calc!$E$326-500))))=0,"","Model: "&amp;IF(LEN(INDEX('My equipment'!$C$4:$C$503,(_calc!$E$326-500)))=0,"",INDEX('My equipment'!$C$4:$C$503,(_calc!$E$326-500)))&amp;". ")&amp;IF(LEN(IF(LEN(INDEX('My equipment'!$D$4:$D$503,(_calc!$E$326-500)))=0,"",INDEX('My equipment'!$D$4:$D$503,(_calc!$E$326-500))))=0,"","Serial: "&amp;IF(LEN(INDEX('My equipment'!$D$4:$D$503,(_calc!$E$326-500)))=0,"",INDEX('My equipment'!$D$4:$D$503,(_calc!$E$326-500)))&amp;". ")&amp;IF(LEN(IF(ISNUMBER(INDEX('My equipment'!$J$4:$J$503,(_calc!$E$326-500))),TEXT(INDEX('My equipment'!$J$4:$J$503,(_calc!$E$326-500)),"yyyy-mm-dd"),""))=0,"","Parts end: "&amp;IF(ISNUMBER(INDEX('My equipment'!$J$4:$J$503,(_calc!$E$326-500))),TEXT(INDEX('My equipment'!$J$4:$J$503,(_calc!$E$326-500)),"yyyy-mm-dd"),"")&amp;". ")&amp;IF(LEN(IF(ISNUMBER(INDEX('My equipment'!$L$4:$L$503,(_calc!$E$326-500))),TEXT(INDEX('My equipment'!$L$4:$L$503,(_calc!$E$326-500)),"yyyy-mm-dd"),""))=0,"","Labor end: "&amp;IF(ISNUMBER(INDEX('My equipment'!$L$4:$L$503,(_calc!$E$326-500))),TEXT(INDEX('My equipment'!$L$4:$L$503,(_calc!$E$326-500)),"yyyy-mm-dd"),"")&amp;". ")&amp;IF(LEN(IF(ISNUMBER(INDEX('My equipment'!$P$4:$P$503,(_calc!$E$326-500))),TEXT(INDEX('My equipment'!$P$4:$P$503,(_calc!$E$326-500)),"yyyy-mm-dd"),""))=0,"","Check by: "&amp;IF(ISNUMBER(INDEX('My equipment'!$P$4:$P$503,(_calc!$E$326-500))),TEXT(INDEX('My equipment'!$P$4:$P$503,(_calc!$E$326-500)),"yyyy-mm-dd"),"")&amp;". ")&amp;IF(LEN(IF(LEN(INDEX('My equipment'!$Q$4:$Q$503,(_calc!$E$326-500)))=0,"",INDEX('My equipment'!$Q$4:$Q$503,(_calc!$E$326-500))))=0,"","Claim status: "&amp;IF(LEN(INDEX('My equipment'!$Q$4:$Q$503,(_calc!$E$326-500)))=0,"",INDEX('My equipment'!$Q$4:$Q$503,(_calc!$E$326-500)))&amp;". ")&amp;IF(LEN(IF(LEN(INDEX('My equipment'!$R$4:$R$503,(_calc!$E$326-500)))=0,"",INDEX('My equipment'!$R$4:$R$503,(_calc!$E$326-500))))=0,"","Claims contact: "&amp;IF(LEN(INDEX('My equipment'!$R$4:$R$503,(_calc!$E$326-500)))=0,"",INDEX('My equipment'!$R$4:$R$503,(_calc!$E$326-500)))&amp;". ")&amp;IF(LEN(IF(LEN(INDEX('My equipment'!$S$4:$S$503,(_calc!$E$326-500)))=0,"",INDEX('My equipment'!$S$4:$S$503,(_calc!$E$326-500))))=0,"","Claims email: "&amp;IF(LEN(INDEX('My equipment'!$S$4:$S$503,(_calc!$E$326-500)))=0,"",INDEX('My equipment'!$S$4:$S$503,(_calc!$E$326-500)))&amp;". ")&amp;IF(LEN(IF(LEN(INDEX('My equipment'!$U$4:$U$503,(_calc!$E$326-500)))=0,"",INDEX('My equipment'!$U$4:$U$503,(_calc!$E$326-500))))=0,"","Registered: "&amp;IF(LEN(INDEX('My equipment'!$U$4:$U$503,(_calc!$E$326-500)))=0,"",INDEX('My equipment'!$U$4:$U$503,(_calc!$E$326-500)))&amp;". ")&amp;IF(LEN(IF(LEN(INDEX('My equipment'!$V$4:$V$503,(_calc!$E$326-500)))=0,"",INDEX('My equipment'!$V$4:$V$503,(_calc!$E$326-500))))=0,"","Proof on file: "&amp;IF(LEN(INDEX('My equipment'!$V$4:$V$503,(_calc!$E$326-500)))=0,"",INDEX('My equipment'!$V$4:$V$503,(_calc!$E$326-500)))&amp;". ")&amp;IF(LEN(IF(LEN(INDEX('My equipment'!$W$4:$W$503,(_calc!$E$326-500)))=0,"",INDEX('My equipment'!$W$4:$W$503,(_calc!$E$326-500))))=0,"","Claim ref: "&amp;IF(LEN(INDEX('My equipment'!$W$4:$W$503,(_calc!$E$326-500)))=0,"",INDEX('My equipment'!$W$4:$W$503,(_calc!$E$326-500)))&amp;". ")&amp;IF(LEN(IF(LEN(INDEX('My equipment'!$Y$4:$Y$503,(_calc!$E$326-500)))=0,"",INDEX('My equipment'!$Y$4:$Y$503,(_calc!$E$326-500))))=0,"",IF(LEN(INDEX('My equipment'!$Y$4:$Y$503,(_calc!$E$326-500)))=0,"",INDEX('My equipment'!$Y$4:$Y$503,(_calc!$E$326-500)))))))</f>
        <v/>
      </c>
      <c r="G324" s="54">
        <f>IF(_calc!$E$326="","",IF(_calc!$E$326&lt;=500,"",IF(LEN(INDEX('My equipment'!$X$4:$X$503,(_calc!$E$326-500)))=0,"",INDEX('My equipment'!$X$4:$X$503,(_calc!$E$326-500)))))</f>
        <v/>
      </c>
      <c r="K324" s="54">
        <f>IF(_calc!$E$326="","",IF(_calc!$E$326&lt;=500,"",IF(LEN(INDEX('My equipment'!$T$4:$T$503,(_calc!$E$326-500)))=0,"",INDEX('My equipment'!$T$4:$T$503,(_calc!$E$326-500)))))</f>
        <v/>
      </c>
    </row>
    <row r="325">
      <c r="A325" s="54">
        <f>IF(_calc!$E$327="","",IF(_calc!$E$327&lt;=500,"Warranty – "&amp;IF(LEN(INDEX('Dealer pipeline'!$C$4:$C$503,_calc!$E$327))=0,"",INDEX('Dealer pipeline'!$C$4:$C$503,_calc!$E$327))&amp;" – "&amp;IF(LEN(INDEX('Dealer pipeline'!$D$4:$D$503,_calc!$E$327))=0,"",INDEX('Dealer pipeline'!$D$4:$D$503,_calc!$E$327))&amp;" – "&amp;IF(LEN(INDEX('Dealer pipeline'!$A$4:$A$503,_calc!$E$327))=0,"",INDEX('Dealer pipeline'!$A$4:$A$503,_calc!$E$327)),"Warranty – "&amp;IF(LEN(INDEX('My equipment'!$A$4:$A$503,(_calc!$E$327-500)))=0,"",INDEX('My equipment'!$A$4:$A$503,(_calc!$E$327-500)))&amp;" – "&amp;IF(LEN(INDEX('My equipment'!$D$4:$D$503,(_calc!$E$327-500)))=0,"",INDEX('My equipment'!$D$4:$D$503,(_calc!$E$327-500)))))</f>
        <v/>
      </c>
      <c r="B325" s="54">
        <f>IF(_calc!$E$327="","",IF(_calc!$E$327&lt;=500,IF(ISNUMBER(INDEX('Dealer pipeline'!$M$4:$M$503,_calc!$E$327)),TEXT(INDEX('Dealer pipeline'!$M$4:$M$503,_calc!$E$327),"yyyy-mm-dd"),""),IF(ISNUMBER(INDEX('My equipment'!$M$4:$M$503,(_calc!$E$327-500))),TEXT(INDEX('My equipment'!$M$4:$M$503,(_calc!$E$327-500)),"yyyy-mm-dd"),"")))</f>
        <v/>
      </c>
      <c r="C325" s="54">
        <f>IF(_calc!$E$327="","",IF(_calc!$E$327&lt;=500,"Warranty","Warranty"))</f>
        <v/>
      </c>
      <c r="D325" s="54">
        <f>IF(_calc!$E$327="","",IF(_calc!$E$327&lt;=500,IF(ISNUMBER(INDEX('Dealer pipeline'!$H$4:$H$503,_calc!$E$327)),TEXT(INDEX('Dealer pipeline'!$H$4:$H$503,_calc!$E$327),"yyyy-mm-dd"),""),IF(ISNUMBER(INDEX('My equipment'!$H$4:$H$503,(_calc!$E$327-500))),TEXT(INDEX('My equipment'!$H$4:$H$503,(_calc!$E$327-500)),"yyyy-mm-dd"),"")))</f>
        <v/>
      </c>
      <c r="F325" s="54">
        <f>IF(_calc!$E$327="","",IF(_calc!$E$327&lt;=500,TRIM(IF(LEN(IF(LEN(INDEX('Dealer pipeline'!$A$4:$A$503,_calc!$E$327))=0,"",INDEX('Dealer pipeline'!$A$4:$A$503,_calc!$E$327)))=0,"","Customer: "&amp;IF(LEN(INDEX('Dealer pipeline'!$A$4:$A$503,_calc!$E$327))=0,"",INDEX('Dealer pipeline'!$A$4:$A$503,_calc!$E$327))&amp;". ")&amp;IF(LEN(IF(LEN(INDEX('Dealer pipeline'!$B$4:$B$503,_calc!$E$327))=0,"",INDEX('Dealer pipeline'!$B$4:$B$503,_calc!$E$327)))=0,"","Contact: "&amp;IF(LEN(INDEX('Dealer pipeline'!$B$4:$B$503,_calc!$E$327))=0,"",INDEX('Dealer pipeline'!$B$4:$B$503,_calc!$E$327))&amp;". ")&amp;IF(LEN(IF(LEN(INDEX('Dealer pipeline'!$D$4:$D$503,_calc!$E$327))=0,"",INDEX('Dealer pipeline'!$D$4:$D$503,_calc!$E$327)))=0,"","Serial: "&amp;IF(LEN(INDEX('Dealer pipeline'!$D$4:$D$503,_calc!$E$327))=0,"",INDEX('Dealer pipeline'!$D$4:$D$503,_calc!$E$327))&amp;". ")&amp;IF(LEN(IF(ISNUMBER(INDEX('Dealer pipeline'!$J$4:$J$503,_calc!$E$327)),TEXT(INDEX('Dealer pipeline'!$J$4:$J$503,_calc!$E$327),"yyyy-mm-dd"),""))=0,"","Parts end: "&amp;IF(ISNUMBER(INDEX('Dealer pipeline'!$J$4:$J$503,_calc!$E$327)),TEXT(INDEX('Dealer pipeline'!$J$4:$J$503,_calc!$E$327),"yyyy-mm-dd"),"")&amp;". ")&amp;IF(LEN(IF(ISNUMBER(INDEX('Dealer pipeline'!$L$4:$L$503,_calc!$E$327)),TEXT(INDEX('Dealer pipeline'!$L$4:$L$503,_calc!$E$327),"yyyy-mm-dd"),""))=0,"","Labor end: "&amp;IF(ISNUMBER(INDEX('Dealer pipeline'!$L$4:$L$503,_calc!$E$327)),TEXT(INDEX('Dealer pipeline'!$L$4:$L$503,_calc!$E$327),"yyyy-mm-dd"),"")&amp;". ")&amp;IF(LEN(IF(LEN(INDEX('Dealer pipeline'!$Q$4:$Q$503,_calc!$E$327))=0,"",INDEX('Dealer pipeline'!$Q$4:$Q$503,_calc!$E$327)))=0,"","Status: "&amp;IF(LEN(INDEX('Dealer pipeline'!$Q$4:$Q$503,_calc!$E$327))=0,"",INDEX('Dealer pipeline'!$Q$4:$Q$503,_calc!$E$327))&amp;". ")&amp;IF(LEN(IF(LEN(INDEX('Dealer pipeline'!$P$4:$P$503,_calc!$E$327))=0,"",INDEX('Dealer pipeline'!$P$4:$P$503,_calc!$E$327)))=0,"","Last touch: "&amp;IF(LEN(INDEX('Dealer pipeline'!$P$4:$P$503,_calc!$E$327))=0,"",INDEX('Dealer pipeline'!$P$4:$P$503,_calc!$E$327))&amp;". ")&amp;IF(LEN(IF(LEN(INDEX('Dealer pipeline'!$R$4:$R$503,_calc!$E$327))=0,"",INDEX('Dealer pipeline'!$R$4:$R$503,_calc!$E$327)))=0,"","Owner: "&amp;IF(LEN(INDEX('Dealer pipeline'!$R$4:$R$503,_calc!$E$327))=0,"",INDEX('Dealer pipeline'!$R$4:$R$503,_calc!$E$327))&amp;". ")&amp;IF(LEN(IF(LEN(INDEX('Dealer pipeline'!$S$4:$S$503,_calc!$E$327))=0,"",INDEX('Dealer pipeline'!$S$4:$S$503,_calc!$E$327)))=0,"","Backup: "&amp;IF(LEN(INDEX('Dealer pipeline'!$S$4:$S$503,_calc!$E$327))=0,"",INDEX('Dealer pipeline'!$S$4:$S$503,_calc!$E$327))&amp;". ")&amp;IF(LEN(IF(LEN(INDEX('Dealer pipeline'!$T$4:$T$503,_calc!$E$327))=0,"",INDEX('Dealer pipeline'!$T$4:$T$503,_calc!$E$327)))=0,"",IF(LEN(INDEX('Dealer pipeline'!$T$4:$T$503,_calc!$E$327))=0,"",INDEX('Dealer pipeline'!$T$4:$T$503,_calc!$E$327)))),TRIM(IF(LEN(IF(LEN(INDEX('My equipment'!$C$4:$C$503,(_calc!$E$327-500)))=0,"",INDEX('My equipment'!$C$4:$C$503,(_calc!$E$327-500))))=0,"","Model: "&amp;IF(LEN(INDEX('My equipment'!$C$4:$C$503,(_calc!$E$327-500)))=0,"",INDEX('My equipment'!$C$4:$C$503,(_calc!$E$327-500)))&amp;". ")&amp;IF(LEN(IF(LEN(INDEX('My equipment'!$D$4:$D$503,(_calc!$E$327-500)))=0,"",INDEX('My equipment'!$D$4:$D$503,(_calc!$E$327-500))))=0,"","Serial: "&amp;IF(LEN(INDEX('My equipment'!$D$4:$D$503,(_calc!$E$327-500)))=0,"",INDEX('My equipment'!$D$4:$D$503,(_calc!$E$327-500)))&amp;". ")&amp;IF(LEN(IF(ISNUMBER(INDEX('My equipment'!$J$4:$J$503,(_calc!$E$327-500))),TEXT(INDEX('My equipment'!$J$4:$J$503,(_calc!$E$327-500)),"yyyy-mm-dd"),""))=0,"","Parts end: "&amp;IF(ISNUMBER(INDEX('My equipment'!$J$4:$J$503,(_calc!$E$327-500))),TEXT(INDEX('My equipment'!$J$4:$J$503,(_calc!$E$327-500)),"yyyy-mm-dd"),"")&amp;". ")&amp;IF(LEN(IF(ISNUMBER(INDEX('My equipment'!$L$4:$L$503,(_calc!$E$327-500))),TEXT(INDEX('My equipment'!$L$4:$L$503,(_calc!$E$327-500)),"yyyy-mm-dd"),""))=0,"","Labor end: "&amp;IF(ISNUMBER(INDEX('My equipment'!$L$4:$L$503,(_calc!$E$327-500))),TEXT(INDEX('My equipment'!$L$4:$L$503,(_calc!$E$327-500)),"yyyy-mm-dd"),"")&amp;". ")&amp;IF(LEN(IF(ISNUMBER(INDEX('My equipment'!$P$4:$P$503,(_calc!$E$327-500))),TEXT(INDEX('My equipment'!$P$4:$P$503,(_calc!$E$327-500)),"yyyy-mm-dd"),""))=0,"","Check by: "&amp;IF(ISNUMBER(INDEX('My equipment'!$P$4:$P$503,(_calc!$E$327-500))),TEXT(INDEX('My equipment'!$P$4:$P$503,(_calc!$E$327-500)),"yyyy-mm-dd"),"")&amp;". ")&amp;IF(LEN(IF(LEN(INDEX('My equipment'!$Q$4:$Q$503,(_calc!$E$327-500)))=0,"",INDEX('My equipment'!$Q$4:$Q$503,(_calc!$E$327-500))))=0,"","Claim status: "&amp;IF(LEN(INDEX('My equipment'!$Q$4:$Q$503,(_calc!$E$327-500)))=0,"",INDEX('My equipment'!$Q$4:$Q$503,(_calc!$E$327-500)))&amp;". ")&amp;IF(LEN(IF(LEN(INDEX('My equipment'!$R$4:$R$503,(_calc!$E$327-500)))=0,"",INDEX('My equipment'!$R$4:$R$503,(_calc!$E$327-500))))=0,"","Claims contact: "&amp;IF(LEN(INDEX('My equipment'!$R$4:$R$503,(_calc!$E$327-500)))=0,"",INDEX('My equipment'!$R$4:$R$503,(_calc!$E$327-500)))&amp;". ")&amp;IF(LEN(IF(LEN(INDEX('My equipment'!$S$4:$S$503,(_calc!$E$327-500)))=0,"",INDEX('My equipment'!$S$4:$S$503,(_calc!$E$327-500))))=0,"","Claims email: "&amp;IF(LEN(INDEX('My equipment'!$S$4:$S$503,(_calc!$E$327-500)))=0,"",INDEX('My equipment'!$S$4:$S$503,(_calc!$E$327-500)))&amp;". ")&amp;IF(LEN(IF(LEN(INDEX('My equipment'!$U$4:$U$503,(_calc!$E$327-500)))=0,"",INDEX('My equipment'!$U$4:$U$503,(_calc!$E$327-500))))=0,"","Registered: "&amp;IF(LEN(INDEX('My equipment'!$U$4:$U$503,(_calc!$E$327-500)))=0,"",INDEX('My equipment'!$U$4:$U$503,(_calc!$E$327-500)))&amp;". ")&amp;IF(LEN(IF(LEN(INDEX('My equipment'!$V$4:$V$503,(_calc!$E$327-500)))=0,"",INDEX('My equipment'!$V$4:$V$503,(_calc!$E$327-500))))=0,"","Proof on file: "&amp;IF(LEN(INDEX('My equipment'!$V$4:$V$503,(_calc!$E$327-500)))=0,"",INDEX('My equipment'!$V$4:$V$503,(_calc!$E$327-500)))&amp;". ")&amp;IF(LEN(IF(LEN(INDEX('My equipment'!$W$4:$W$503,(_calc!$E$327-500)))=0,"",INDEX('My equipment'!$W$4:$W$503,(_calc!$E$327-500))))=0,"","Claim ref: "&amp;IF(LEN(INDEX('My equipment'!$W$4:$W$503,(_calc!$E$327-500)))=0,"",INDEX('My equipment'!$W$4:$W$503,(_calc!$E$327-500)))&amp;". ")&amp;IF(LEN(IF(LEN(INDEX('My equipment'!$Y$4:$Y$503,(_calc!$E$327-500)))=0,"",INDEX('My equipment'!$Y$4:$Y$503,(_calc!$E$327-500))))=0,"",IF(LEN(INDEX('My equipment'!$Y$4:$Y$503,(_calc!$E$327-500)))=0,"",INDEX('My equipment'!$Y$4:$Y$503,(_calc!$E$327-500)))))))</f>
        <v/>
      </c>
      <c r="G325" s="54">
        <f>IF(_calc!$E$327="","",IF(_calc!$E$327&lt;=500,"",IF(LEN(INDEX('My equipment'!$X$4:$X$503,(_calc!$E$327-500)))=0,"",INDEX('My equipment'!$X$4:$X$503,(_calc!$E$327-500)))))</f>
        <v/>
      </c>
      <c r="K325" s="54">
        <f>IF(_calc!$E$327="","",IF(_calc!$E$327&lt;=500,"",IF(LEN(INDEX('My equipment'!$T$4:$T$503,(_calc!$E$327-500)))=0,"",INDEX('My equipment'!$T$4:$T$503,(_calc!$E$327-500)))))</f>
        <v/>
      </c>
    </row>
    <row r="326">
      <c r="A326" s="54">
        <f>IF(_calc!$E$328="","",IF(_calc!$E$328&lt;=500,"Warranty – "&amp;IF(LEN(INDEX('Dealer pipeline'!$C$4:$C$503,_calc!$E$328))=0,"",INDEX('Dealer pipeline'!$C$4:$C$503,_calc!$E$328))&amp;" – "&amp;IF(LEN(INDEX('Dealer pipeline'!$D$4:$D$503,_calc!$E$328))=0,"",INDEX('Dealer pipeline'!$D$4:$D$503,_calc!$E$328))&amp;" – "&amp;IF(LEN(INDEX('Dealer pipeline'!$A$4:$A$503,_calc!$E$328))=0,"",INDEX('Dealer pipeline'!$A$4:$A$503,_calc!$E$328)),"Warranty – "&amp;IF(LEN(INDEX('My equipment'!$A$4:$A$503,(_calc!$E$328-500)))=0,"",INDEX('My equipment'!$A$4:$A$503,(_calc!$E$328-500)))&amp;" – "&amp;IF(LEN(INDEX('My equipment'!$D$4:$D$503,(_calc!$E$328-500)))=0,"",INDEX('My equipment'!$D$4:$D$503,(_calc!$E$328-500)))))</f>
        <v/>
      </c>
      <c r="B326" s="54">
        <f>IF(_calc!$E$328="","",IF(_calc!$E$328&lt;=500,IF(ISNUMBER(INDEX('Dealer pipeline'!$M$4:$M$503,_calc!$E$328)),TEXT(INDEX('Dealer pipeline'!$M$4:$M$503,_calc!$E$328),"yyyy-mm-dd"),""),IF(ISNUMBER(INDEX('My equipment'!$M$4:$M$503,(_calc!$E$328-500))),TEXT(INDEX('My equipment'!$M$4:$M$503,(_calc!$E$328-500)),"yyyy-mm-dd"),"")))</f>
        <v/>
      </c>
      <c r="C326" s="54">
        <f>IF(_calc!$E$328="","",IF(_calc!$E$328&lt;=500,"Warranty","Warranty"))</f>
        <v/>
      </c>
      <c r="D326" s="54">
        <f>IF(_calc!$E$328="","",IF(_calc!$E$328&lt;=500,IF(ISNUMBER(INDEX('Dealer pipeline'!$H$4:$H$503,_calc!$E$328)),TEXT(INDEX('Dealer pipeline'!$H$4:$H$503,_calc!$E$328),"yyyy-mm-dd"),""),IF(ISNUMBER(INDEX('My equipment'!$H$4:$H$503,(_calc!$E$328-500))),TEXT(INDEX('My equipment'!$H$4:$H$503,(_calc!$E$328-500)),"yyyy-mm-dd"),"")))</f>
        <v/>
      </c>
      <c r="F326" s="54">
        <f>IF(_calc!$E$328="","",IF(_calc!$E$328&lt;=500,TRIM(IF(LEN(IF(LEN(INDEX('Dealer pipeline'!$A$4:$A$503,_calc!$E$328))=0,"",INDEX('Dealer pipeline'!$A$4:$A$503,_calc!$E$328)))=0,"","Customer: "&amp;IF(LEN(INDEX('Dealer pipeline'!$A$4:$A$503,_calc!$E$328))=0,"",INDEX('Dealer pipeline'!$A$4:$A$503,_calc!$E$328))&amp;". ")&amp;IF(LEN(IF(LEN(INDEX('Dealer pipeline'!$B$4:$B$503,_calc!$E$328))=0,"",INDEX('Dealer pipeline'!$B$4:$B$503,_calc!$E$328)))=0,"","Contact: "&amp;IF(LEN(INDEX('Dealer pipeline'!$B$4:$B$503,_calc!$E$328))=0,"",INDEX('Dealer pipeline'!$B$4:$B$503,_calc!$E$328))&amp;". ")&amp;IF(LEN(IF(LEN(INDEX('Dealer pipeline'!$D$4:$D$503,_calc!$E$328))=0,"",INDEX('Dealer pipeline'!$D$4:$D$503,_calc!$E$328)))=0,"","Serial: "&amp;IF(LEN(INDEX('Dealer pipeline'!$D$4:$D$503,_calc!$E$328))=0,"",INDEX('Dealer pipeline'!$D$4:$D$503,_calc!$E$328))&amp;". ")&amp;IF(LEN(IF(ISNUMBER(INDEX('Dealer pipeline'!$J$4:$J$503,_calc!$E$328)),TEXT(INDEX('Dealer pipeline'!$J$4:$J$503,_calc!$E$328),"yyyy-mm-dd"),""))=0,"","Parts end: "&amp;IF(ISNUMBER(INDEX('Dealer pipeline'!$J$4:$J$503,_calc!$E$328)),TEXT(INDEX('Dealer pipeline'!$J$4:$J$503,_calc!$E$328),"yyyy-mm-dd"),"")&amp;". ")&amp;IF(LEN(IF(ISNUMBER(INDEX('Dealer pipeline'!$L$4:$L$503,_calc!$E$328)),TEXT(INDEX('Dealer pipeline'!$L$4:$L$503,_calc!$E$328),"yyyy-mm-dd"),""))=0,"","Labor end: "&amp;IF(ISNUMBER(INDEX('Dealer pipeline'!$L$4:$L$503,_calc!$E$328)),TEXT(INDEX('Dealer pipeline'!$L$4:$L$503,_calc!$E$328),"yyyy-mm-dd"),"")&amp;". ")&amp;IF(LEN(IF(LEN(INDEX('Dealer pipeline'!$Q$4:$Q$503,_calc!$E$328))=0,"",INDEX('Dealer pipeline'!$Q$4:$Q$503,_calc!$E$328)))=0,"","Status: "&amp;IF(LEN(INDEX('Dealer pipeline'!$Q$4:$Q$503,_calc!$E$328))=0,"",INDEX('Dealer pipeline'!$Q$4:$Q$503,_calc!$E$328))&amp;". ")&amp;IF(LEN(IF(LEN(INDEX('Dealer pipeline'!$P$4:$P$503,_calc!$E$328))=0,"",INDEX('Dealer pipeline'!$P$4:$P$503,_calc!$E$328)))=0,"","Last touch: "&amp;IF(LEN(INDEX('Dealer pipeline'!$P$4:$P$503,_calc!$E$328))=0,"",INDEX('Dealer pipeline'!$P$4:$P$503,_calc!$E$328))&amp;". ")&amp;IF(LEN(IF(LEN(INDEX('Dealer pipeline'!$R$4:$R$503,_calc!$E$328))=0,"",INDEX('Dealer pipeline'!$R$4:$R$503,_calc!$E$328)))=0,"","Owner: "&amp;IF(LEN(INDEX('Dealer pipeline'!$R$4:$R$503,_calc!$E$328))=0,"",INDEX('Dealer pipeline'!$R$4:$R$503,_calc!$E$328))&amp;". ")&amp;IF(LEN(IF(LEN(INDEX('Dealer pipeline'!$S$4:$S$503,_calc!$E$328))=0,"",INDEX('Dealer pipeline'!$S$4:$S$503,_calc!$E$328)))=0,"","Backup: "&amp;IF(LEN(INDEX('Dealer pipeline'!$S$4:$S$503,_calc!$E$328))=0,"",INDEX('Dealer pipeline'!$S$4:$S$503,_calc!$E$328))&amp;". ")&amp;IF(LEN(IF(LEN(INDEX('Dealer pipeline'!$T$4:$T$503,_calc!$E$328))=0,"",INDEX('Dealer pipeline'!$T$4:$T$503,_calc!$E$328)))=0,"",IF(LEN(INDEX('Dealer pipeline'!$T$4:$T$503,_calc!$E$328))=0,"",INDEX('Dealer pipeline'!$T$4:$T$503,_calc!$E$328)))),TRIM(IF(LEN(IF(LEN(INDEX('My equipment'!$C$4:$C$503,(_calc!$E$328-500)))=0,"",INDEX('My equipment'!$C$4:$C$503,(_calc!$E$328-500))))=0,"","Model: "&amp;IF(LEN(INDEX('My equipment'!$C$4:$C$503,(_calc!$E$328-500)))=0,"",INDEX('My equipment'!$C$4:$C$503,(_calc!$E$328-500)))&amp;". ")&amp;IF(LEN(IF(LEN(INDEX('My equipment'!$D$4:$D$503,(_calc!$E$328-500)))=0,"",INDEX('My equipment'!$D$4:$D$503,(_calc!$E$328-500))))=0,"","Serial: "&amp;IF(LEN(INDEX('My equipment'!$D$4:$D$503,(_calc!$E$328-500)))=0,"",INDEX('My equipment'!$D$4:$D$503,(_calc!$E$328-500)))&amp;". ")&amp;IF(LEN(IF(ISNUMBER(INDEX('My equipment'!$J$4:$J$503,(_calc!$E$328-500))),TEXT(INDEX('My equipment'!$J$4:$J$503,(_calc!$E$328-500)),"yyyy-mm-dd"),""))=0,"","Parts end: "&amp;IF(ISNUMBER(INDEX('My equipment'!$J$4:$J$503,(_calc!$E$328-500))),TEXT(INDEX('My equipment'!$J$4:$J$503,(_calc!$E$328-500)),"yyyy-mm-dd"),"")&amp;". ")&amp;IF(LEN(IF(ISNUMBER(INDEX('My equipment'!$L$4:$L$503,(_calc!$E$328-500))),TEXT(INDEX('My equipment'!$L$4:$L$503,(_calc!$E$328-500)),"yyyy-mm-dd"),""))=0,"","Labor end: "&amp;IF(ISNUMBER(INDEX('My equipment'!$L$4:$L$503,(_calc!$E$328-500))),TEXT(INDEX('My equipment'!$L$4:$L$503,(_calc!$E$328-500)),"yyyy-mm-dd"),"")&amp;". ")&amp;IF(LEN(IF(ISNUMBER(INDEX('My equipment'!$P$4:$P$503,(_calc!$E$328-500))),TEXT(INDEX('My equipment'!$P$4:$P$503,(_calc!$E$328-500)),"yyyy-mm-dd"),""))=0,"","Check by: "&amp;IF(ISNUMBER(INDEX('My equipment'!$P$4:$P$503,(_calc!$E$328-500))),TEXT(INDEX('My equipment'!$P$4:$P$503,(_calc!$E$328-500)),"yyyy-mm-dd"),"")&amp;". ")&amp;IF(LEN(IF(LEN(INDEX('My equipment'!$Q$4:$Q$503,(_calc!$E$328-500)))=0,"",INDEX('My equipment'!$Q$4:$Q$503,(_calc!$E$328-500))))=0,"","Claim status: "&amp;IF(LEN(INDEX('My equipment'!$Q$4:$Q$503,(_calc!$E$328-500)))=0,"",INDEX('My equipment'!$Q$4:$Q$503,(_calc!$E$328-500)))&amp;". ")&amp;IF(LEN(IF(LEN(INDEX('My equipment'!$R$4:$R$503,(_calc!$E$328-500)))=0,"",INDEX('My equipment'!$R$4:$R$503,(_calc!$E$328-500))))=0,"","Claims contact: "&amp;IF(LEN(INDEX('My equipment'!$R$4:$R$503,(_calc!$E$328-500)))=0,"",INDEX('My equipment'!$R$4:$R$503,(_calc!$E$328-500)))&amp;". ")&amp;IF(LEN(IF(LEN(INDEX('My equipment'!$S$4:$S$503,(_calc!$E$328-500)))=0,"",INDEX('My equipment'!$S$4:$S$503,(_calc!$E$328-500))))=0,"","Claims email: "&amp;IF(LEN(INDEX('My equipment'!$S$4:$S$503,(_calc!$E$328-500)))=0,"",INDEX('My equipment'!$S$4:$S$503,(_calc!$E$328-500)))&amp;". ")&amp;IF(LEN(IF(LEN(INDEX('My equipment'!$U$4:$U$503,(_calc!$E$328-500)))=0,"",INDEX('My equipment'!$U$4:$U$503,(_calc!$E$328-500))))=0,"","Registered: "&amp;IF(LEN(INDEX('My equipment'!$U$4:$U$503,(_calc!$E$328-500)))=0,"",INDEX('My equipment'!$U$4:$U$503,(_calc!$E$328-500)))&amp;". ")&amp;IF(LEN(IF(LEN(INDEX('My equipment'!$V$4:$V$503,(_calc!$E$328-500)))=0,"",INDEX('My equipment'!$V$4:$V$503,(_calc!$E$328-500))))=0,"","Proof on file: "&amp;IF(LEN(INDEX('My equipment'!$V$4:$V$503,(_calc!$E$328-500)))=0,"",INDEX('My equipment'!$V$4:$V$503,(_calc!$E$328-500)))&amp;". ")&amp;IF(LEN(IF(LEN(INDEX('My equipment'!$W$4:$W$503,(_calc!$E$328-500)))=0,"",INDEX('My equipment'!$W$4:$W$503,(_calc!$E$328-500))))=0,"","Claim ref: "&amp;IF(LEN(INDEX('My equipment'!$W$4:$W$503,(_calc!$E$328-500)))=0,"",INDEX('My equipment'!$W$4:$W$503,(_calc!$E$328-500)))&amp;". ")&amp;IF(LEN(IF(LEN(INDEX('My equipment'!$Y$4:$Y$503,(_calc!$E$328-500)))=0,"",INDEX('My equipment'!$Y$4:$Y$503,(_calc!$E$328-500))))=0,"",IF(LEN(INDEX('My equipment'!$Y$4:$Y$503,(_calc!$E$328-500)))=0,"",INDEX('My equipment'!$Y$4:$Y$503,(_calc!$E$328-500)))))))</f>
        <v/>
      </c>
      <c r="G326" s="54">
        <f>IF(_calc!$E$328="","",IF(_calc!$E$328&lt;=500,"",IF(LEN(INDEX('My equipment'!$X$4:$X$503,(_calc!$E$328-500)))=0,"",INDEX('My equipment'!$X$4:$X$503,(_calc!$E$328-500)))))</f>
        <v/>
      </c>
      <c r="K326" s="54">
        <f>IF(_calc!$E$328="","",IF(_calc!$E$328&lt;=500,"",IF(LEN(INDEX('My equipment'!$T$4:$T$503,(_calc!$E$328-500)))=0,"",INDEX('My equipment'!$T$4:$T$503,(_calc!$E$328-500)))))</f>
        <v/>
      </c>
    </row>
    <row r="327">
      <c r="A327" s="54">
        <f>IF(_calc!$E$329="","",IF(_calc!$E$329&lt;=500,"Warranty – "&amp;IF(LEN(INDEX('Dealer pipeline'!$C$4:$C$503,_calc!$E$329))=0,"",INDEX('Dealer pipeline'!$C$4:$C$503,_calc!$E$329))&amp;" – "&amp;IF(LEN(INDEX('Dealer pipeline'!$D$4:$D$503,_calc!$E$329))=0,"",INDEX('Dealer pipeline'!$D$4:$D$503,_calc!$E$329))&amp;" – "&amp;IF(LEN(INDEX('Dealer pipeline'!$A$4:$A$503,_calc!$E$329))=0,"",INDEX('Dealer pipeline'!$A$4:$A$503,_calc!$E$329)),"Warranty – "&amp;IF(LEN(INDEX('My equipment'!$A$4:$A$503,(_calc!$E$329-500)))=0,"",INDEX('My equipment'!$A$4:$A$503,(_calc!$E$329-500)))&amp;" – "&amp;IF(LEN(INDEX('My equipment'!$D$4:$D$503,(_calc!$E$329-500)))=0,"",INDEX('My equipment'!$D$4:$D$503,(_calc!$E$329-500)))))</f>
        <v/>
      </c>
      <c r="B327" s="54">
        <f>IF(_calc!$E$329="","",IF(_calc!$E$329&lt;=500,IF(ISNUMBER(INDEX('Dealer pipeline'!$M$4:$M$503,_calc!$E$329)),TEXT(INDEX('Dealer pipeline'!$M$4:$M$503,_calc!$E$329),"yyyy-mm-dd"),""),IF(ISNUMBER(INDEX('My equipment'!$M$4:$M$503,(_calc!$E$329-500))),TEXT(INDEX('My equipment'!$M$4:$M$503,(_calc!$E$329-500)),"yyyy-mm-dd"),"")))</f>
        <v/>
      </c>
      <c r="C327" s="54">
        <f>IF(_calc!$E$329="","",IF(_calc!$E$329&lt;=500,"Warranty","Warranty"))</f>
        <v/>
      </c>
      <c r="D327" s="54">
        <f>IF(_calc!$E$329="","",IF(_calc!$E$329&lt;=500,IF(ISNUMBER(INDEX('Dealer pipeline'!$H$4:$H$503,_calc!$E$329)),TEXT(INDEX('Dealer pipeline'!$H$4:$H$503,_calc!$E$329),"yyyy-mm-dd"),""),IF(ISNUMBER(INDEX('My equipment'!$H$4:$H$503,(_calc!$E$329-500))),TEXT(INDEX('My equipment'!$H$4:$H$503,(_calc!$E$329-500)),"yyyy-mm-dd"),"")))</f>
        <v/>
      </c>
      <c r="F327" s="54">
        <f>IF(_calc!$E$329="","",IF(_calc!$E$329&lt;=500,TRIM(IF(LEN(IF(LEN(INDEX('Dealer pipeline'!$A$4:$A$503,_calc!$E$329))=0,"",INDEX('Dealer pipeline'!$A$4:$A$503,_calc!$E$329)))=0,"","Customer: "&amp;IF(LEN(INDEX('Dealer pipeline'!$A$4:$A$503,_calc!$E$329))=0,"",INDEX('Dealer pipeline'!$A$4:$A$503,_calc!$E$329))&amp;". ")&amp;IF(LEN(IF(LEN(INDEX('Dealer pipeline'!$B$4:$B$503,_calc!$E$329))=0,"",INDEX('Dealer pipeline'!$B$4:$B$503,_calc!$E$329)))=0,"","Contact: "&amp;IF(LEN(INDEX('Dealer pipeline'!$B$4:$B$503,_calc!$E$329))=0,"",INDEX('Dealer pipeline'!$B$4:$B$503,_calc!$E$329))&amp;". ")&amp;IF(LEN(IF(LEN(INDEX('Dealer pipeline'!$D$4:$D$503,_calc!$E$329))=0,"",INDEX('Dealer pipeline'!$D$4:$D$503,_calc!$E$329)))=0,"","Serial: "&amp;IF(LEN(INDEX('Dealer pipeline'!$D$4:$D$503,_calc!$E$329))=0,"",INDEX('Dealer pipeline'!$D$4:$D$503,_calc!$E$329))&amp;". ")&amp;IF(LEN(IF(ISNUMBER(INDEX('Dealer pipeline'!$J$4:$J$503,_calc!$E$329)),TEXT(INDEX('Dealer pipeline'!$J$4:$J$503,_calc!$E$329),"yyyy-mm-dd"),""))=0,"","Parts end: "&amp;IF(ISNUMBER(INDEX('Dealer pipeline'!$J$4:$J$503,_calc!$E$329)),TEXT(INDEX('Dealer pipeline'!$J$4:$J$503,_calc!$E$329),"yyyy-mm-dd"),"")&amp;". ")&amp;IF(LEN(IF(ISNUMBER(INDEX('Dealer pipeline'!$L$4:$L$503,_calc!$E$329)),TEXT(INDEX('Dealer pipeline'!$L$4:$L$503,_calc!$E$329),"yyyy-mm-dd"),""))=0,"","Labor end: "&amp;IF(ISNUMBER(INDEX('Dealer pipeline'!$L$4:$L$503,_calc!$E$329)),TEXT(INDEX('Dealer pipeline'!$L$4:$L$503,_calc!$E$329),"yyyy-mm-dd"),"")&amp;". ")&amp;IF(LEN(IF(LEN(INDEX('Dealer pipeline'!$Q$4:$Q$503,_calc!$E$329))=0,"",INDEX('Dealer pipeline'!$Q$4:$Q$503,_calc!$E$329)))=0,"","Status: "&amp;IF(LEN(INDEX('Dealer pipeline'!$Q$4:$Q$503,_calc!$E$329))=0,"",INDEX('Dealer pipeline'!$Q$4:$Q$503,_calc!$E$329))&amp;". ")&amp;IF(LEN(IF(LEN(INDEX('Dealer pipeline'!$P$4:$P$503,_calc!$E$329))=0,"",INDEX('Dealer pipeline'!$P$4:$P$503,_calc!$E$329)))=0,"","Last touch: "&amp;IF(LEN(INDEX('Dealer pipeline'!$P$4:$P$503,_calc!$E$329))=0,"",INDEX('Dealer pipeline'!$P$4:$P$503,_calc!$E$329))&amp;". ")&amp;IF(LEN(IF(LEN(INDEX('Dealer pipeline'!$R$4:$R$503,_calc!$E$329))=0,"",INDEX('Dealer pipeline'!$R$4:$R$503,_calc!$E$329)))=0,"","Owner: "&amp;IF(LEN(INDEX('Dealer pipeline'!$R$4:$R$503,_calc!$E$329))=0,"",INDEX('Dealer pipeline'!$R$4:$R$503,_calc!$E$329))&amp;". ")&amp;IF(LEN(IF(LEN(INDEX('Dealer pipeline'!$S$4:$S$503,_calc!$E$329))=0,"",INDEX('Dealer pipeline'!$S$4:$S$503,_calc!$E$329)))=0,"","Backup: "&amp;IF(LEN(INDEX('Dealer pipeline'!$S$4:$S$503,_calc!$E$329))=0,"",INDEX('Dealer pipeline'!$S$4:$S$503,_calc!$E$329))&amp;". ")&amp;IF(LEN(IF(LEN(INDEX('Dealer pipeline'!$T$4:$T$503,_calc!$E$329))=0,"",INDEX('Dealer pipeline'!$T$4:$T$503,_calc!$E$329)))=0,"",IF(LEN(INDEX('Dealer pipeline'!$T$4:$T$503,_calc!$E$329))=0,"",INDEX('Dealer pipeline'!$T$4:$T$503,_calc!$E$329)))),TRIM(IF(LEN(IF(LEN(INDEX('My equipment'!$C$4:$C$503,(_calc!$E$329-500)))=0,"",INDEX('My equipment'!$C$4:$C$503,(_calc!$E$329-500))))=0,"","Model: "&amp;IF(LEN(INDEX('My equipment'!$C$4:$C$503,(_calc!$E$329-500)))=0,"",INDEX('My equipment'!$C$4:$C$503,(_calc!$E$329-500)))&amp;". ")&amp;IF(LEN(IF(LEN(INDEX('My equipment'!$D$4:$D$503,(_calc!$E$329-500)))=0,"",INDEX('My equipment'!$D$4:$D$503,(_calc!$E$329-500))))=0,"","Serial: "&amp;IF(LEN(INDEX('My equipment'!$D$4:$D$503,(_calc!$E$329-500)))=0,"",INDEX('My equipment'!$D$4:$D$503,(_calc!$E$329-500)))&amp;". ")&amp;IF(LEN(IF(ISNUMBER(INDEX('My equipment'!$J$4:$J$503,(_calc!$E$329-500))),TEXT(INDEX('My equipment'!$J$4:$J$503,(_calc!$E$329-500)),"yyyy-mm-dd"),""))=0,"","Parts end: "&amp;IF(ISNUMBER(INDEX('My equipment'!$J$4:$J$503,(_calc!$E$329-500))),TEXT(INDEX('My equipment'!$J$4:$J$503,(_calc!$E$329-500)),"yyyy-mm-dd"),"")&amp;". ")&amp;IF(LEN(IF(ISNUMBER(INDEX('My equipment'!$L$4:$L$503,(_calc!$E$329-500))),TEXT(INDEX('My equipment'!$L$4:$L$503,(_calc!$E$329-500)),"yyyy-mm-dd"),""))=0,"","Labor end: "&amp;IF(ISNUMBER(INDEX('My equipment'!$L$4:$L$503,(_calc!$E$329-500))),TEXT(INDEX('My equipment'!$L$4:$L$503,(_calc!$E$329-500)),"yyyy-mm-dd"),"")&amp;". ")&amp;IF(LEN(IF(ISNUMBER(INDEX('My equipment'!$P$4:$P$503,(_calc!$E$329-500))),TEXT(INDEX('My equipment'!$P$4:$P$503,(_calc!$E$329-500)),"yyyy-mm-dd"),""))=0,"","Check by: "&amp;IF(ISNUMBER(INDEX('My equipment'!$P$4:$P$503,(_calc!$E$329-500))),TEXT(INDEX('My equipment'!$P$4:$P$503,(_calc!$E$329-500)),"yyyy-mm-dd"),"")&amp;". ")&amp;IF(LEN(IF(LEN(INDEX('My equipment'!$Q$4:$Q$503,(_calc!$E$329-500)))=0,"",INDEX('My equipment'!$Q$4:$Q$503,(_calc!$E$329-500))))=0,"","Claim status: "&amp;IF(LEN(INDEX('My equipment'!$Q$4:$Q$503,(_calc!$E$329-500)))=0,"",INDEX('My equipment'!$Q$4:$Q$503,(_calc!$E$329-500)))&amp;". ")&amp;IF(LEN(IF(LEN(INDEX('My equipment'!$R$4:$R$503,(_calc!$E$329-500)))=0,"",INDEX('My equipment'!$R$4:$R$503,(_calc!$E$329-500))))=0,"","Claims contact: "&amp;IF(LEN(INDEX('My equipment'!$R$4:$R$503,(_calc!$E$329-500)))=0,"",INDEX('My equipment'!$R$4:$R$503,(_calc!$E$329-500)))&amp;". ")&amp;IF(LEN(IF(LEN(INDEX('My equipment'!$S$4:$S$503,(_calc!$E$329-500)))=0,"",INDEX('My equipment'!$S$4:$S$503,(_calc!$E$329-500))))=0,"","Claims email: "&amp;IF(LEN(INDEX('My equipment'!$S$4:$S$503,(_calc!$E$329-500)))=0,"",INDEX('My equipment'!$S$4:$S$503,(_calc!$E$329-500)))&amp;". ")&amp;IF(LEN(IF(LEN(INDEX('My equipment'!$U$4:$U$503,(_calc!$E$329-500)))=0,"",INDEX('My equipment'!$U$4:$U$503,(_calc!$E$329-500))))=0,"","Registered: "&amp;IF(LEN(INDEX('My equipment'!$U$4:$U$503,(_calc!$E$329-500)))=0,"",INDEX('My equipment'!$U$4:$U$503,(_calc!$E$329-500)))&amp;". ")&amp;IF(LEN(IF(LEN(INDEX('My equipment'!$V$4:$V$503,(_calc!$E$329-500)))=0,"",INDEX('My equipment'!$V$4:$V$503,(_calc!$E$329-500))))=0,"","Proof on file: "&amp;IF(LEN(INDEX('My equipment'!$V$4:$V$503,(_calc!$E$329-500)))=0,"",INDEX('My equipment'!$V$4:$V$503,(_calc!$E$329-500)))&amp;". ")&amp;IF(LEN(IF(LEN(INDEX('My equipment'!$W$4:$W$503,(_calc!$E$329-500)))=0,"",INDEX('My equipment'!$W$4:$W$503,(_calc!$E$329-500))))=0,"","Claim ref: "&amp;IF(LEN(INDEX('My equipment'!$W$4:$W$503,(_calc!$E$329-500)))=0,"",INDEX('My equipment'!$W$4:$W$503,(_calc!$E$329-500)))&amp;". ")&amp;IF(LEN(IF(LEN(INDEX('My equipment'!$Y$4:$Y$503,(_calc!$E$329-500)))=0,"",INDEX('My equipment'!$Y$4:$Y$503,(_calc!$E$329-500))))=0,"",IF(LEN(INDEX('My equipment'!$Y$4:$Y$503,(_calc!$E$329-500)))=0,"",INDEX('My equipment'!$Y$4:$Y$503,(_calc!$E$329-500)))))))</f>
        <v/>
      </c>
      <c r="G327" s="54">
        <f>IF(_calc!$E$329="","",IF(_calc!$E$329&lt;=500,"",IF(LEN(INDEX('My equipment'!$X$4:$X$503,(_calc!$E$329-500)))=0,"",INDEX('My equipment'!$X$4:$X$503,(_calc!$E$329-500)))))</f>
        <v/>
      </c>
      <c r="K327" s="54">
        <f>IF(_calc!$E$329="","",IF(_calc!$E$329&lt;=500,"",IF(LEN(INDEX('My equipment'!$T$4:$T$503,(_calc!$E$329-500)))=0,"",INDEX('My equipment'!$T$4:$T$503,(_calc!$E$329-500)))))</f>
        <v/>
      </c>
    </row>
    <row r="328">
      <c r="A328" s="54">
        <f>IF(_calc!$E$330="","",IF(_calc!$E$330&lt;=500,"Warranty – "&amp;IF(LEN(INDEX('Dealer pipeline'!$C$4:$C$503,_calc!$E$330))=0,"",INDEX('Dealer pipeline'!$C$4:$C$503,_calc!$E$330))&amp;" – "&amp;IF(LEN(INDEX('Dealer pipeline'!$D$4:$D$503,_calc!$E$330))=0,"",INDEX('Dealer pipeline'!$D$4:$D$503,_calc!$E$330))&amp;" – "&amp;IF(LEN(INDEX('Dealer pipeline'!$A$4:$A$503,_calc!$E$330))=0,"",INDEX('Dealer pipeline'!$A$4:$A$503,_calc!$E$330)),"Warranty – "&amp;IF(LEN(INDEX('My equipment'!$A$4:$A$503,(_calc!$E$330-500)))=0,"",INDEX('My equipment'!$A$4:$A$503,(_calc!$E$330-500)))&amp;" – "&amp;IF(LEN(INDEX('My equipment'!$D$4:$D$503,(_calc!$E$330-500)))=0,"",INDEX('My equipment'!$D$4:$D$503,(_calc!$E$330-500)))))</f>
        <v/>
      </c>
      <c r="B328" s="54">
        <f>IF(_calc!$E$330="","",IF(_calc!$E$330&lt;=500,IF(ISNUMBER(INDEX('Dealer pipeline'!$M$4:$M$503,_calc!$E$330)),TEXT(INDEX('Dealer pipeline'!$M$4:$M$503,_calc!$E$330),"yyyy-mm-dd"),""),IF(ISNUMBER(INDEX('My equipment'!$M$4:$M$503,(_calc!$E$330-500))),TEXT(INDEX('My equipment'!$M$4:$M$503,(_calc!$E$330-500)),"yyyy-mm-dd"),"")))</f>
        <v/>
      </c>
      <c r="C328" s="54">
        <f>IF(_calc!$E$330="","",IF(_calc!$E$330&lt;=500,"Warranty","Warranty"))</f>
        <v/>
      </c>
      <c r="D328" s="54">
        <f>IF(_calc!$E$330="","",IF(_calc!$E$330&lt;=500,IF(ISNUMBER(INDEX('Dealer pipeline'!$H$4:$H$503,_calc!$E$330)),TEXT(INDEX('Dealer pipeline'!$H$4:$H$503,_calc!$E$330),"yyyy-mm-dd"),""),IF(ISNUMBER(INDEX('My equipment'!$H$4:$H$503,(_calc!$E$330-500))),TEXT(INDEX('My equipment'!$H$4:$H$503,(_calc!$E$330-500)),"yyyy-mm-dd"),"")))</f>
        <v/>
      </c>
      <c r="F328" s="54">
        <f>IF(_calc!$E$330="","",IF(_calc!$E$330&lt;=500,TRIM(IF(LEN(IF(LEN(INDEX('Dealer pipeline'!$A$4:$A$503,_calc!$E$330))=0,"",INDEX('Dealer pipeline'!$A$4:$A$503,_calc!$E$330)))=0,"","Customer: "&amp;IF(LEN(INDEX('Dealer pipeline'!$A$4:$A$503,_calc!$E$330))=0,"",INDEX('Dealer pipeline'!$A$4:$A$503,_calc!$E$330))&amp;". ")&amp;IF(LEN(IF(LEN(INDEX('Dealer pipeline'!$B$4:$B$503,_calc!$E$330))=0,"",INDEX('Dealer pipeline'!$B$4:$B$503,_calc!$E$330)))=0,"","Contact: "&amp;IF(LEN(INDEX('Dealer pipeline'!$B$4:$B$503,_calc!$E$330))=0,"",INDEX('Dealer pipeline'!$B$4:$B$503,_calc!$E$330))&amp;". ")&amp;IF(LEN(IF(LEN(INDEX('Dealer pipeline'!$D$4:$D$503,_calc!$E$330))=0,"",INDEX('Dealer pipeline'!$D$4:$D$503,_calc!$E$330)))=0,"","Serial: "&amp;IF(LEN(INDEX('Dealer pipeline'!$D$4:$D$503,_calc!$E$330))=0,"",INDEX('Dealer pipeline'!$D$4:$D$503,_calc!$E$330))&amp;". ")&amp;IF(LEN(IF(ISNUMBER(INDEX('Dealer pipeline'!$J$4:$J$503,_calc!$E$330)),TEXT(INDEX('Dealer pipeline'!$J$4:$J$503,_calc!$E$330),"yyyy-mm-dd"),""))=0,"","Parts end: "&amp;IF(ISNUMBER(INDEX('Dealer pipeline'!$J$4:$J$503,_calc!$E$330)),TEXT(INDEX('Dealer pipeline'!$J$4:$J$503,_calc!$E$330),"yyyy-mm-dd"),"")&amp;". ")&amp;IF(LEN(IF(ISNUMBER(INDEX('Dealer pipeline'!$L$4:$L$503,_calc!$E$330)),TEXT(INDEX('Dealer pipeline'!$L$4:$L$503,_calc!$E$330),"yyyy-mm-dd"),""))=0,"","Labor end: "&amp;IF(ISNUMBER(INDEX('Dealer pipeline'!$L$4:$L$503,_calc!$E$330)),TEXT(INDEX('Dealer pipeline'!$L$4:$L$503,_calc!$E$330),"yyyy-mm-dd"),"")&amp;". ")&amp;IF(LEN(IF(LEN(INDEX('Dealer pipeline'!$Q$4:$Q$503,_calc!$E$330))=0,"",INDEX('Dealer pipeline'!$Q$4:$Q$503,_calc!$E$330)))=0,"","Status: "&amp;IF(LEN(INDEX('Dealer pipeline'!$Q$4:$Q$503,_calc!$E$330))=0,"",INDEX('Dealer pipeline'!$Q$4:$Q$503,_calc!$E$330))&amp;". ")&amp;IF(LEN(IF(LEN(INDEX('Dealer pipeline'!$P$4:$P$503,_calc!$E$330))=0,"",INDEX('Dealer pipeline'!$P$4:$P$503,_calc!$E$330)))=0,"","Last touch: "&amp;IF(LEN(INDEX('Dealer pipeline'!$P$4:$P$503,_calc!$E$330))=0,"",INDEX('Dealer pipeline'!$P$4:$P$503,_calc!$E$330))&amp;". ")&amp;IF(LEN(IF(LEN(INDEX('Dealer pipeline'!$R$4:$R$503,_calc!$E$330))=0,"",INDEX('Dealer pipeline'!$R$4:$R$503,_calc!$E$330)))=0,"","Owner: "&amp;IF(LEN(INDEX('Dealer pipeline'!$R$4:$R$503,_calc!$E$330))=0,"",INDEX('Dealer pipeline'!$R$4:$R$503,_calc!$E$330))&amp;". ")&amp;IF(LEN(IF(LEN(INDEX('Dealer pipeline'!$S$4:$S$503,_calc!$E$330))=0,"",INDEX('Dealer pipeline'!$S$4:$S$503,_calc!$E$330)))=0,"","Backup: "&amp;IF(LEN(INDEX('Dealer pipeline'!$S$4:$S$503,_calc!$E$330))=0,"",INDEX('Dealer pipeline'!$S$4:$S$503,_calc!$E$330))&amp;". ")&amp;IF(LEN(IF(LEN(INDEX('Dealer pipeline'!$T$4:$T$503,_calc!$E$330))=0,"",INDEX('Dealer pipeline'!$T$4:$T$503,_calc!$E$330)))=0,"",IF(LEN(INDEX('Dealer pipeline'!$T$4:$T$503,_calc!$E$330))=0,"",INDEX('Dealer pipeline'!$T$4:$T$503,_calc!$E$330)))),TRIM(IF(LEN(IF(LEN(INDEX('My equipment'!$C$4:$C$503,(_calc!$E$330-500)))=0,"",INDEX('My equipment'!$C$4:$C$503,(_calc!$E$330-500))))=0,"","Model: "&amp;IF(LEN(INDEX('My equipment'!$C$4:$C$503,(_calc!$E$330-500)))=0,"",INDEX('My equipment'!$C$4:$C$503,(_calc!$E$330-500)))&amp;". ")&amp;IF(LEN(IF(LEN(INDEX('My equipment'!$D$4:$D$503,(_calc!$E$330-500)))=0,"",INDEX('My equipment'!$D$4:$D$503,(_calc!$E$330-500))))=0,"","Serial: "&amp;IF(LEN(INDEX('My equipment'!$D$4:$D$503,(_calc!$E$330-500)))=0,"",INDEX('My equipment'!$D$4:$D$503,(_calc!$E$330-500)))&amp;". ")&amp;IF(LEN(IF(ISNUMBER(INDEX('My equipment'!$J$4:$J$503,(_calc!$E$330-500))),TEXT(INDEX('My equipment'!$J$4:$J$503,(_calc!$E$330-500)),"yyyy-mm-dd"),""))=0,"","Parts end: "&amp;IF(ISNUMBER(INDEX('My equipment'!$J$4:$J$503,(_calc!$E$330-500))),TEXT(INDEX('My equipment'!$J$4:$J$503,(_calc!$E$330-500)),"yyyy-mm-dd"),"")&amp;". ")&amp;IF(LEN(IF(ISNUMBER(INDEX('My equipment'!$L$4:$L$503,(_calc!$E$330-500))),TEXT(INDEX('My equipment'!$L$4:$L$503,(_calc!$E$330-500)),"yyyy-mm-dd"),""))=0,"","Labor end: "&amp;IF(ISNUMBER(INDEX('My equipment'!$L$4:$L$503,(_calc!$E$330-500))),TEXT(INDEX('My equipment'!$L$4:$L$503,(_calc!$E$330-500)),"yyyy-mm-dd"),"")&amp;". ")&amp;IF(LEN(IF(ISNUMBER(INDEX('My equipment'!$P$4:$P$503,(_calc!$E$330-500))),TEXT(INDEX('My equipment'!$P$4:$P$503,(_calc!$E$330-500)),"yyyy-mm-dd"),""))=0,"","Check by: "&amp;IF(ISNUMBER(INDEX('My equipment'!$P$4:$P$503,(_calc!$E$330-500))),TEXT(INDEX('My equipment'!$P$4:$P$503,(_calc!$E$330-500)),"yyyy-mm-dd"),"")&amp;". ")&amp;IF(LEN(IF(LEN(INDEX('My equipment'!$Q$4:$Q$503,(_calc!$E$330-500)))=0,"",INDEX('My equipment'!$Q$4:$Q$503,(_calc!$E$330-500))))=0,"","Claim status: "&amp;IF(LEN(INDEX('My equipment'!$Q$4:$Q$503,(_calc!$E$330-500)))=0,"",INDEX('My equipment'!$Q$4:$Q$503,(_calc!$E$330-500)))&amp;". ")&amp;IF(LEN(IF(LEN(INDEX('My equipment'!$R$4:$R$503,(_calc!$E$330-500)))=0,"",INDEX('My equipment'!$R$4:$R$503,(_calc!$E$330-500))))=0,"","Claims contact: "&amp;IF(LEN(INDEX('My equipment'!$R$4:$R$503,(_calc!$E$330-500)))=0,"",INDEX('My equipment'!$R$4:$R$503,(_calc!$E$330-500)))&amp;". ")&amp;IF(LEN(IF(LEN(INDEX('My equipment'!$S$4:$S$503,(_calc!$E$330-500)))=0,"",INDEX('My equipment'!$S$4:$S$503,(_calc!$E$330-500))))=0,"","Claims email: "&amp;IF(LEN(INDEX('My equipment'!$S$4:$S$503,(_calc!$E$330-500)))=0,"",INDEX('My equipment'!$S$4:$S$503,(_calc!$E$330-500)))&amp;". ")&amp;IF(LEN(IF(LEN(INDEX('My equipment'!$U$4:$U$503,(_calc!$E$330-500)))=0,"",INDEX('My equipment'!$U$4:$U$503,(_calc!$E$330-500))))=0,"","Registered: "&amp;IF(LEN(INDEX('My equipment'!$U$4:$U$503,(_calc!$E$330-500)))=0,"",INDEX('My equipment'!$U$4:$U$503,(_calc!$E$330-500)))&amp;". ")&amp;IF(LEN(IF(LEN(INDEX('My equipment'!$V$4:$V$503,(_calc!$E$330-500)))=0,"",INDEX('My equipment'!$V$4:$V$503,(_calc!$E$330-500))))=0,"","Proof on file: "&amp;IF(LEN(INDEX('My equipment'!$V$4:$V$503,(_calc!$E$330-500)))=0,"",INDEX('My equipment'!$V$4:$V$503,(_calc!$E$330-500)))&amp;". ")&amp;IF(LEN(IF(LEN(INDEX('My equipment'!$W$4:$W$503,(_calc!$E$330-500)))=0,"",INDEX('My equipment'!$W$4:$W$503,(_calc!$E$330-500))))=0,"","Claim ref: "&amp;IF(LEN(INDEX('My equipment'!$W$4:$W$503,(_calc!$E$330-500)))=0,"",INDEX('My equipment'!$W$4:$W$503,(_calc!$E$330-500)))&amp;". ")&amp;IF(LEN(IF(LEN(INDEX('My equipment'!$Y$4:$Y$503,(_calc!$E$330-500)))=0,"",INDEX('My equipment'!$Y$4:$Y$503,(_calc!$E$330-500))))=0,"",IF(LEN(INDEX('My equipment'!$Y$4:$Y$503,(_calc!$E$330-500)))=0,"",INDEX('My equipment'!$Y$4:$Y$503,(_calc!$E$330-500)))))))</f>
        <v/>
      </c>
      <c r="G328" s="54">
        <f>IF(_calc!$E$330="","",IF(_calc!$E$330&lt;=500,"",IF(LEN(INDEX('My equipment'!$X$4:$X$503,(_calc!$E$330-500)))=0,"",INDEX('My equipment'!$X$4:$X$503,(_calc!$E$330-500)))))</f>
        <v/>
      </c>
      <c r="K328" s="54">
        <f>IF(_calc!$E$330="","",IF(_calc!$E$330&lt;=500,"",IF(LEN(INDEX('My equipment'!$T$4:$T$503,(_calc!$E$330-500)))=0,"",INDEX('My equipment'!$T$4:$T$503,(_calc!$E$330-500)))))</f>
        <v/>
      </c>
    </row>
    <row r="329">
      <c r="A329" s="54">
        <f>IF(_calc!$E$331="","",IF(_calc!$E$331&lt;=500,"Warranty – "&amp;IF(LEN(INDEX('Dealer pipeline'!$C$4:$C$503,_calc!$E$331))=0,"",INDEX('Dealer pipeline'!$C$4:$C$503,_calc!$E$331))&amp;" – "&amp;IF(LEN(INDEX('Dealer pipeline'!$D$4:$D$503,_calc!$E$331))=0,"",INDEX('Dealer pipeline'!$D$4:$D$503,_calc!$E$331))&amp;" – "&amp;IF(LEN(INDEX('Dealer pipeline'!$A$4:$A$503,_calc!$E$331))=0,"",INDEX('Dealer pipeline'!$A$4:$A$503,_calc!$E$331)),"Warranty – "&amp;IF(LEN(INDEX('My equipment'!$A$4:$A$503,(_calc!$E$331-500)))=0,"",INDEX('My equipment'!$A$4:$A$503,(_calc!$E$331-500)))&amp;" – "&amp;IF(LEN(INDEX('My equipment'!$D$4:$D$503,(_calc!$E$331-500)))=0,"",INDEX('My equipment'!$D$4:$D$503,(_calc!$E$331-500)))))</f>
        <v/>
      </c>
      <c r="B329" s="54">
        <f>IF(_calc!$E$331="","",IF(_calc!$E$331&lt;=500,IF(ISNUMBER(INDEX('Dealer pipeline'!$M$4:$M$503,_calc!$E$331)),TEXT(INDEX('Dealer pipeline'!$M$4:$M$503,_calc!$E$331),"yyyy-mm-dd"),""),IF(ISNUMBER(INDEX('My equipment'!$M$4:$M$503,(_calc!$E$331-500))),TEXT(INDEX('My equipment'!$M$4:$M$503,(_calc!$E$331-500)),"yyyy-mm-dd"),"")))</f>
        <v/>
      </c>
      <c r="C329" s="54">
        <f>IF(_calc!$E$331="","",IF(_calc!$E$331&lt;=500,"Warranty","Warranty"))</f>
        <v/>
      </c>
      <c r="D329" s="54">
        <f>IF(_calc!$E$331="","",IF(_calc!$E$331&lt;=500,IF(ISNUMBER(INDEX('Dealer pipeline'!$H$4:$H$503,_calc!$E$331)),TEXT(INDEX('Dealer pipeline'!$H$4:$H$503,_calc!$E$331),"yyyy-mm-dd"),""),IF(ISNUMBER(INDEX('My equipment'!$H$4:$H$503,(_calc!$E$331-500))),TEXT(INDEX('My equipment'!$H$4:$H$503,(_calc!$E$331-500)),"yyyy-mm-dd"),"")))</f>
        <v/>
      </c>
      <c r="F329" s="54">
        <f>IF(_calc!$E$331="","",IF(_calc!$E$331&lt;=500,TRIM(IF(LEN(IF(LEN(INDEX('Dealer pipeline'!$A$4:$A$503,_calc!$E$331))=0,"",INDEX('Dealer pipeline'!$A$4:$A$503,_calc!$E$331)))=0,"","Customer: "&amp;IF(LEN(INDEX('Dealer pipeline'!$A$4:$A$503,_calc!$E$331))=0,"",INDEX('Dealer pipeline'!$A$4:$A$503,_calc!$E$331))&amp;". ")&amp;IF(LEN(IF(LEN(INDEX('Dealer pipeline'!$B$4:$B$503,_calc!$E$331))=0,"",INDEX('Dealer pipeline'!$B$4:$B$503,_calc!$E$331)))=0,"","Contact: "&amp;IF(LEN(INDEX('Dealer pipeline'!$B$4:$B$503,_calc!$E$331))=0,"",INDEX('Dealer pipeline'!$B$4:$B$503,_calc!$E$331))&amp;". ")&amp;IF(LEN(IF(LEN(INDEX('Dealer pipeline'!$D$4:$D$503,_calc!$E$331))=0,"",INDEX('Dealer pipeline'!$D$4:$D$503,_calc!$E$331)))=0,"","Serial: "&amp;IF(LEN(INDEX('Dealer pipeline'!$D$4:$D$503,_calc!$E$331))=0,"",INDEX('Dealer pipeline'!$D$4:$D$503,_calc!$E$331))&amp;". ")&amp;IF(LEN(IF(ISNUMBER(INDEX('Dealer pipeline'!$J$4:$J$503,_calc!$E$331)),TEXT(INDEX('Dealer pipeline'!$J$4:$J$503,_calc!$E$331),"yyyy-mm-dd"),""))=0,"","Parts end: "&amp;IF(ISNUMBER(INDEX('Dealer pipeline'!$J$4:$J$503,_calc!$E$331)),TEXT(INDEX('Dealer pipeline'!$J$4:$J$503,_calc!$E$331),"yyyy-mm-dd"),"")&amp;". ")&amp;IF(LEN(IF(ISNUMBER(INDEX('Dealer pipeline'!$L$4:$L$503,_calc!$E$331)),TEXT(INDEX('Dealer pipeline'!$L$4:$L$503,_calc!$E$331),"yyyy-mm-dd"),""))=0,"","Labor end: "&amp;IF(ISNUMBER(INDEX('Dealer pipeline'!$L$4:$L$503,_calc!$E$331)),TEXT(INDEX('Dealer pipeline'!$L$4:$L$503,_calc!$E$331),"yyyy-mm-dd"),"")&amp;". ")&amp;IF(LEN(IF(LEN(INDEX('Dealer pipeline'!$Q$4:$Q$503,_calc!$E$331))=0,"",INDEX('Dealer pipeline'!$Q$4:$Q$503,_calc!$E$331)))=0,"","Status: "&amp;IF(LEN(INDEX('Dealer pipeline'!$Q$4:$Q$503,_calc!$E$331))=0,"",INDEX('Dealer pipeline'!$Q$4:$Q$503,_calc!$E$331))&amp;". ")&amp;IF(LEN(IF(LEN(INDEX('Dealer pipeline'!$P$4:$P$503,_calc!$E$331))=0,"",INDEX('Dealer pipeline'!$P$4:$P$503,_calc!$E$331)))=0,"","Last touch: "&amp;IF(LEN(INDEX('Dealer pipeline'!$P$4:$P$503,_calc!$E$331))=0,"",INDEX('Dealer pipeline'!$P$4:$P$503,_calc!$E$331))&amp;". ")&amp;IF(LEN(IF(LEN(INDEX('Dealer pipeline'!$R$4:$R$503,_calc!$E$331))=0,"",INDEX('Dealer pipeline'!$R$4:$R$503,_calc!$E$331)))=0,"","Owner: "&amp;IF(LEN(INDEX('Dealer pipeline'!$R$4:$R$503,_calc!$E$331))=0,"",INDEX('Dealer pipeline'!$R$4:$R$503,_calc!$E$331))&amp;". ")&amp;IF(LEN(IF(LEN(INDEX('Dealer pipeline'!$S$4:$S$503,_calc!$E$331))=0,"",INDEX('Dealer pipeline'!$S$4:$S$503,_calc!$E$331)))=0,"","Backup: "&amp;IF(LEN(INDEX('Dealer pipeline'!$S$4:$S$503,_calc!$E$331))=0,"",INDEX('Dealer pipeline'!$S$4:$S$503,_calc!$E$331))&amp;". ")&amp;IF(LEN(IF(LEN(INDEX('Dealer pipeline'!$T$4:$T$503,_calc!$E$331))=0,"",INDEX('Dealer pipeline'!$T$4:$T$503,_calc!$E$331)))=0,"",IF(LEN(INDEX('Dealer pipeline'!$T$4:$T$503,_calc!$E$331))=0,"",INDEX('Dealer pipeline'!$T$4:$T$503,_calc!$E$331)))),TRIM(IF(LEN(IF(LEN(INDEX('My equipment'!$C$4:$C$503,(_calc!$E$331-500)))=0,"",INDEX('My equipment'!$C$4:$C$503,(_calc!$E$331-500))))=0,"","Model: "&amp;IF(LEN(INDEX('My equipment'!$C$4:$C$503,(_calc!$E$331-500)))=0,"",INDEX('My equipment'!$C$4:$C$503,(_calc!$E$331-500)))&amp;". ")&amp;IF(LEN(IF(LEN(INDEX('My equipment'!$D$4:$D$503,(_calc!$E$331-500)))=0,"",INDEX('My equipment'!$D$4:$D$503,(_calc!$E$331-500))))=0,"","Serial: "&amp;IF(LEN(INDEX('My equipment'!$D$4:$D$503,(_calc!$E$331-500)))=0,"",INDEX('My equipment'!$D$4:$D$503,(_calc!$E$331-500)))&amp;". ")&amp;IF(LEN(IF(ISNUMBER(INDEX('My equipment'!$J$4:$J$503,(_calc!$E$331-500))),TEXT(INDEX('My equipment'!$J$4:$J$503,(_calc!$E$331-500)),"yyyy-mm-dd"),""))=0,"","Parts end: "&amp;IF(ISNUMBER(INDEX('My equipment'!$J$4:$J$503,(_calc!$E$331-500))),TEXT(INDEX('My equipment'!$J$4:$J$503,(_calc!$E$331-500)),"yyyy-mm-dd"),"")&amp;". ")&amp;IF(LEN(IF(ISNUMBER(INDEX('My equipment'!$L$4:$L$503,(_calc!$E$331-500))),TEXT(INDEX('My equipment'!$L$4:$L$503,(_calc!$E$331-500)),"yyyy-mm-dd"),""))=0,"","Labor end: "&amp;IF(ISNUMBER(INDEX('My equipment'!$L$4:$L$503,(_calc!$E$331-500))),TEXT(INDEX('My equipment'!$L$4:$L$503,(_calc!$E$331-500)),"yyyy-mm-dd"),"")&amp;". ")&amp;IF(LEN(IF(ISNUMBER(INDEX('My equipment'!$P$4:$P$503,(_calc!$E$331-500))),TEXT(INDEX('My equipment'!$P$4:$P$503,(_calc!$E$331-500)),"yyyy-mm-dd"),""))=0,"","Check by: "&amp;IF(ISNUMBER(INDEX('My equipment'!$P$4:$P$503,(_calc!$E$331-500))),TEXT(INDEX('My equipment'!$P$4:$P$503,(_calc!$E$331-500)),"yyyy-mm-dd"),"")&amp;". ")&amp;IF(LEN(IF(LEN(INDEX('My equipment'!$Q$4:$Q$503,(_calc!$E$331-500)))=0,"",INDEX('My equipment'!$Q$4:$Q$503,(_calc!$E$331-500))))=0,"","Claim status: "&amp;IF(LEN(INDEX('My equipment'!$Q$4:$Q$503,(_calc!$E$331-500)))=0,"",INDEX('My equipment'!$Q$4:$Q$503,(_calc!$E$331-500)))&amp;". ")&amp;IF(LEN(IF(LEN(INDEX('My equipment'!$R$4:$R$503,(_calc!$E$331-500)))=0,"",INDEX('My equipment'!$R$4:$R$503,(_calc!$E$331-500))))=0,"","Claims contact: "&amp;IF(LEN(INDEX('My equipment'!$R$4:$R$503,(_calc!$E$331-500)))=0,"",INDEX('My equipment'!$R$4:$R$503,(_calc!$E$331-500)))&amp;". ")&amp;IF(LEN(IF(LEN(INDEX('My equipment'!$S$4:$S$503,(_calc!$E$331-500)))=0,"",INDEX('My equipment'!$S$4:$S$503,(_calc!$E$331-500))))=0,"","Claims email: "&amp;IF(LEN(INDEX('My equipment'!$S$4:$S$503,(_calc!$E$331-500)))=0,"",INDEX('My equipment'!$S$4:$S$503,(_calc!$E$331-500)))&amp;". ")&amp;IF(LEN(IF(LEN(INDEX('My equipment'!$U$4:$U$503,(_calc!$E$331-500)))=0,"",INDEX('My equipment'!$U$4:$U$503,(_calc!$E$331-500))))=0,"","Registered: "&amp;IF(LEN(INDEX('My equipment'!$U$4:$U$503,(_calc!$E$331-500)))=0,"",INDEX('My equipment'!$U$4:$U$503,(_calc!$E$331-500)))&amp;". ")&amp;IF(LEN(IF(LEN(INDEX('My equipment'!$V$4:$V$503,(_calc!$E$331-500)))=0,"",INDEX('My equipment'!$V$4:$V$503,(_calc!$E$331-500))))=0,"","Proof on file: "&amp;IF(LEN(INDEX('My equipment'!$V$4:$V$503,(_calc!$E$331-500)))=0,"",INDEX('My equipment'!$V$4:$V$503,(_calc!$E$331-500)))&amp;". ")&amp;IF(LEN(IF(LEN(INDEX('My equipment'!$W$4:$W$503,(_calc!$E$331-500)))=0,"",INDEX('My equipment'!$W$4:$W$503,(_calc!$E$331-500))))=0,"","Claim ref: "&amp;IF(LEN(INDEX('My equipment'!$W$4:$W$503,(_calc!$E$331-500)))=0,"",INDEX('My equipment'!$W$4:$W$503,(_calc!$E$331-500)))&amp;". ")&amp;IF(LEN(IF(LEN(INDEX('My equipment'!$Y$4:$Y$503,(_calc!$E$331-500)))=0,"",INDEX('My equipment'!$Y$4:$Y$503,(_calc!$E$331-500))))=0,"",IF(LEN(INDEX('My equipment'!$Y$4:$Y$503,(_calc!$E$331-500)))=0,"",INDEX('My equipment'!$Y$4:$Y$503,(_calc!$E$331-500)))))))</f>
        <v/>
      </c>
      <c r="G329" s="54">
        <f>IF(_calc!$E$331="","",IF(_calc!$E$331&lt;=500,"",IF(LEN(INDEX('My equipment'!$X$4:$X$503,(_calc!$E$331-500)))=0,"",INDEX('My equipment'!$X$4:$X$503,(_calc!$E$331-500)))))</f>
        <v/>
      </c>
      <c r="K329" s="54">
        <f>IF(_calc!$E$331="","",IF(_calc!$E$331&lt;=500,"",IF(LEN(INDEX('My equipment'!$T$4:$T$503,(_calc!$E$331-500)))=0,"",INDEX('My equipment'!$T$4:$T$503,(_calc!$E$331-500)))))</f>
        <v/>
      </c>
    </row>
    <row r="330">
      <c r="A330" s="54">
        <f>IF(_calc!$E$332="","",IF(_calc!$E$332&lt;=500,"Warranty – "&amp;IF(LEN(INDEX('Dealer pipeline'!$C$4:$C$503,_calc!$E$332))=0,"",INDEX('Dealer pipeline'!$C$4:$C$503,_calc!$E$332))&amp;" – "&amp;IF(LEN(INDEX('Dealer pipeline'!$D$4:$D$503,_calc!$E$332))=0,"",INDEX('Dealer pipeline'!$D$4:$D$503,_calc!$E$332))&amp;" – "&amp;IF(LEN(INDEX('Dealer pipeline'!$A$4:$A$503,_calc!$E$332))=0,"",INDEX('Dealer pipeline'!$A$4:$A$503,_calc!$E$332)),"Warranty – "&amp;IF(LEN(INDEX('My equipment'!$A$4:$A$503,(_calc!$E$332-500)))=0,"",INDEX('My equipment'!$A$4:$A$503,(_calc!$E$332-500)))&amp;" – "&amp;IF(LEN(INDEX('My equipment'!$D$4:$D$503,(_calc!$E$332-500)))=0,"",INDEX('My equipment'!$D$4:$D$503,(_calc!$E$332-500)))))</f>
        <v/>
      </c>
      <c r="B330" s="54">
        <f>IF(_calc!$E$332="","",IF(_calc!$E$332&lt;=500,IF(ISNUMBER(INDEX('Dealer pipeline'!$M$4:$M$503,_calc!$E$332)),TEXT(INDEX('Dealer pipeline'!$M$4:$M$503,_calc!$E$332),"yyyy-mm-dd"),""),IF(ISNUMBER(INDEX('My equipment'!$M$4:$M$503,(_calc!$E$332-500))),TEXT(INDEX('My equipment'!$M$4:$M$503,(_calc!$E$332-500)),"yyyy-mm-dd"),"")))</f>
        <v/>
      </c>
      <c r="C330" s="54">
        <f>IF(_calc!$E$332="","",IF(_calc!$E$332&lt;=500,"Warranty","Warranty"))</f>
        <v/>
      </c>
      <c r="D330" s="54">
        <f>IF(_calc!$E$332="","",IF(_calc!$E$332&lt;=500,IF(ISNUMBER(INDEX('Dealer pipeline'!$H$4:$H$503,_calc!$E$332)),TEXT(INDEX('Dealer pipeline'!$H$4:$H$503,_calc!$E$332),"yyyy-mm-dd"),""),IF(ISNUMBER(INDEX('My equipment'!$H$4:$H$503,(_calc!$E$332-500))),TEXT(INDEX('My equipment'!$H$4:$H$503,(_calc!$E$332-500)),"yyyy-mm-dd"),"")))</f>
        <v/>
      </c>
      <c r="F330" s="54">
        <f>IF(_calc!$E$332="","",IF(_calc!$E$332&lt;=500,TRIM(IF(LEN(IF(LEN(INDEX('Dealer pipeline'!$A$4:$A$503,_calc!$E$332))=0,"",INDEX('Dealer pipeline'!$A$4:$A$503,_calc!$E$332)))=0,"","Customer: "&amp;IF(LEN(INDEX('Dealer pipeline'!$A$4:$A$503,_calc!$E$332))=0,"",INDEX('Dealer pipeline'!$A$4:$A$503,_calc!$E$332))&amp;". ")&amp;IF(LEN(IF(LEN(INDEX('Dealer pipeline'!$B$4:$B$503,_calc!$E$332))=0,"",INDEX('Dealer pipeline'!$B$4:$B$503,_calc!$E$332)))=0,"","Contact: "&amp;IF(LEN(INDEX('Dealer pipeline'!$B$4:$B$503,_calc!$E$332))=0,"",INDEX('Dealer pipeline'!$B$4:$B$503,_calc!$E$332))&amp;". ")&amp;IF(LEN(IF(LEN(INDEX('Dealer pipeline'!$D$4:$D$503,_calc!$E$332))=0,"",INDEX('Dealer pipeline'!$D$4:$D$503,_calc!$E$332)))=0,"","Serial: "&amp;IF(LEN(INDEX('Dealer pipeline'!$D$4:$D$503,_calc!$E$332))=0,"",INDEX('Dealer pipeline'!$D$4:$D$503,_calc!$E$332))&amp;". ")&amp;IF(LEN(IF(ISNUMBER(INDEX('Dealer pipeline'!$J$4:$J$503,_calc!$E$332)),TEXT(INDEX('Dealer pipeline'!$J$4:$J$503,_calc!$E$332),"yyyy-mm-dd"),""))=0,"","Parts end: "&amp;IF(ISNUMBER(INDEX('Dealer pipeline'!$J$4:$J$503,_calc!$E$332)),TEXT(INDEX('Dealer pipeline'!$J$4:$J$503,_calc!$E$332),"yyyy-mm-dd"),"")&amp;". ")&amp;IF(LEN(IF(ISNUMBER(INDEX('Dealer pipeline'!$L$4:$L$503,_calc!$E$332)),TEXT(INDEX('Dealer pipeline'!$L$4:$L$503,_calc!$E$332),"yyyy-mm-dd"),""))=0,"","Labor end: "&amp;IF(ISNUMBER(INDEX('Dealer pipeline'!$L$4:$L$503,_calc!$E$332)),TEXT(INDEX('Dealer pipeline'!$L$4:$L$503,_calc!$E$332),"yyyy-mm-dd"),"")&amp;". ")&amp;IF(LEN(IF(LEN(INDEX('Dealer pipeline'!$Q$4:$Q$503,_calc!$E$332))=0,"",INDEX('Dealer pipeline'!$Q$4:$Q$503,_calc!$E$332)))=0,"","Status: "&amp;IF(LEN(INDEX('Dealer pipeline'!$Q$4:$Q$503,_calc!$E$332))=0,"",INDEX('Dealer pipeline'!$Q$4:$Q$503,_calc!$E$332))&amp;". ")&amp;IF(LEN(IF(LEN(INDEX('Dealer pipeline'!$P$4:$P$503,_calc!$E$332))=0,"",INDEX('Dealer pipeline'!$P$4:$P$503,_calc!$E$332)))=0,"","Last touch: "&amp;IF(LEN(INDEX('Dealer pipeline'!$P$4:$P$503,_calc!$E$332))=0,"",INDEX('Dealer pipeline'!$P$4:$P$503,_calc!$E$332))&amp;". ")&amp;IF(LEN(IF(LEN(INDEX('Dealer pipeline'!$R$4:$R$503,_calc!$E$332))=0,"",INDEX('Dealer pipeline'!$R$4:$R$503,_calc!$E$332)))=0,"","Owner: "&amp;IF(LEN(INDEX('Dealer pipeline'!$R$4:$R$503,_calc!$E$332))=0,"",INDEX('Dealer pipeline'!$R$4:$R$503,_calc!$E$332))&amp;". ")&amp;IF(LEN(IF(LEN(INDEX('Dealer pipeline'!$S$4:$S$503,_calc!$E$332))=0,"",INDEX('Dealer pipeline'!$S$4:$S$503,_calc!$E$332)))=0,"","Backup: "&amp;IF(LEN(INDEX('Dealer pipeline'!$S$4:$S$503,_calc!$E$332))=0,"",INDEX('Dealer pipeline'!$S$4:$S$503,_calc!$E$332))&amp;". ")&amp;IF(LEN(IF(LEN(INDEX('Dealer pipeline'!$T$4:$T$503,_calc!$E$332))=0,"",INDEX('Dealer pipeline'!$T$4:$T$503,_calc!$E$332)))=0,"",IF(LEN(INDEX('Dealer pipeline'!$T$4:$T$503,_calc!$E$332))=0,"",INDEX('Dealer pipeline'!$T$4:$T$503,_calc!$E$332)))),TRIM(IF(LEN(IF(LEN(INDEX('My equipment'!$C$4:$C$503,(_calc!$E$332-500)))=0,"",INDEX('My equipment'!$C$4:$C$503,(_calc!$E$332-500))))=0,"","Model: "&amp;IF(LEN(INDEX('My equipment'!$C$4:$C$503,(_calc!$E$332-500)))=0,"",INDEX('My equipment'!$C$4:$C$503,(_calc!$E$332-500)))&amp;". ")&amp;IF(LEN(IF(LEN(INDEX('My equipment'!$D$4:$D$503,(_calc!$E$332-500)))=0,"",INDEX('My equipment'!$D$4:$D$503,(_calc!$E$332-500))))=0,"","Serial: "&amp;IF(LEN(INDEX('My equipment'!$D$4:$D$503,(_calc!$E$332-500)))=0,"",INDEX('My equipment'!$D$4:$D$503,(_calc!$E$332-500)))&amp;". ")&amp;IF(LEN(IF(ISNUMBER(INDEX('My equipment'!$J$4:$J$503,(_calc!$E$332-500))),TEXT(INDEX('My equipment'!$J$4:$J$503,(_calc!$E$332-500)),"yyyy-mm-dd"),""))=0,"","Parts end: "&amp;IF(ISNUMBER(INDEX('My equipment'!$J$4:$J$503,(_calc!$E$332-500))),TEXT(INDEX('My equipment'!$J$4:$J$503,(_calc!$E$332-500)),"yyyy-mm-dd"),"")&amp;". ")&amp;IF(LEN(IF(ISNUMBER(INDEX('My equipment'!$L$4:$L$503,(_calc!$E$332-500))),TEXT(INDEX('My equipment'!$L$4:$L$503,(_calc!$E$332-500)),"yyyy-mm-dd"),""))=0,"","Labor end: "&amp;IF(ISNUMBER(INDEX('My equipment'!$L$4:$L$503,(_calc!$E$332-500))),TEXT(INDEX('My equipment'!$L$4:$L$503,(_calc!$E$332-500)),"yyyy-mm-dd"),"")&amp;". ")&amp;IF(LEN(IF(ISNUMBER(INDEX('My equipment'!$P$4:$P$503,(_calc!$E$332-500))),TEXT(INDEX('My equipment'!$P$4:$P$503,(_calc!$E$332-500)),"yyyy-mm-dd"),""))=0,"","Check by: "&amp;IF(ISNUMBER(INDEX('My equipment'!$P$4:$P$503,(_calc!$E$332-500))),TEXT(INDEX('My equipment'!$P$4:$P$503,(_calc!$E$332-500)),"yyyy-mm-dd"),"")&amp;". ")&amp;IF(LEN(IF(LEN(INDEX('My equipment'!$Q$4:$Q$503,(_calc!$E$332-500)))=0,"",INDEX('My equipment'!$Q$4:$Q$503,(_calc!$E$332-500))))=0,"","Claim status: "&amp;IF(LEN(INDEX('My equipment'!$Q$4:$Q$503,(_calc!$E$332-500)))=0,"",INDEX('My equipment'!$Q$4:$Q$503,(_calc!$E$332-500)))&amp;". ")&amp;IF(LEN(IF(LEN(INDEX('My equipment'!$R$4:$R$503,(_calc!$E$332-500)))=0,"",INDEX('My equipment'!$R$4:$R$503,(_calc!$E$332-500))))=0,"","Claims contact: "&amp;IF(LEN(INDEX('My equipment'!$R$4:$R$503,(_calc!$E$332-500)))=0,"",INDEX('My equipment'!$R$4:$R$503,(_calc!$E$332-500)))&amp;". ")&amp;IF(LEN(IF(LEN(INDEX('My equipment'!$S$4:$S$503,(_calc!$E$332-500)))=0,"",INDEX('My equipment'!$S$4:$S$503,(_calc!$E$332-500))))=0,"","Claims email: "&amp;IF(LEN(INDEX('My equipment'!$S$4:$S$503,(_calc!$E$332-500)))=0,"",INDEX('My equipment'!$S$4:$S$503,(_calc!$E$332-500)))&amp;". ")&amp;IF(LEN(IF(LEN(INDEX('My equipment'!$U$4:$U$503,(_calc!$E$332-500)))=0,"",INDEX('My equipment'!$U$4:$U$503,(_calc!$E$332-500))))=0,"","Registered: "&amp;IF(LEN(INDEX('My equipment'!$U$4:$U$503,(_calc!$E$332-500)))=0,"",INDEX('My equipment'!$U$4:$U$503,(_calc!$E$332-500)))&amp;". ")&amp;IF(LEN(IF(LEN(INDEX('My equipment'!$V$4:$V$503,(_calc!$E$332-500)))=0,"",INDEX('My equipment'!$V$4:$V$503,(_calc!$E$332-500))))=0,"","Proof on file: "&amp;IF(LEN(INDEX('My equipment'!$V$4:$V$503,(_calc!$E$332-500)))=0,"",INDEX('My equipment'!$V$4:$V$503,(_calc!$E$332-500)))&amp;". ")&amp;IF(LEN(IF(LEN(INDEX('My equipment'!$W$4:$W$503,(_calc!$E$332-500)))=0,"",INDEX('My equipment'!$W$4:$W$503,(_calc!$E$332-500))))=0,"","Claim ref: "&amp;IF(LEN(INDEX('My equipment'!$W$4:$W$503,(_calc!$E$332-500)))=0,"",INDEX('My equipment'!$W$4:$W$503,(_calc!$E$332-500)))&amp;". ")&amp;IF(LEN(IF(LEN(INDEX('My equipment'!$Y$4:$Y$503,(_calc!$E$332-500)))=0,"",INDEX('My equipment'!$Y$4:$Y$503,(_calc!$E$332-500))))=0,"",IF(LEN(INDEX('My equipment'!$Y$4:$Y$503,(_calc!$E$332-500)))=0,"",INDEX('My equipment'!$Y$4:$Y$503,(_calc!$E$332-500)))))))</f>
        <v/>
      </c>
      <c r="G330" s="54">
        <f>IF(_calc!$E$332="","",IF(_calc!$E$332&lt;=500,"",IF(LEN(INDEX('My equipment'!$X$4:$X$503,(_calc!$E$332-500)))=0,"",INDEX('My equipment'!$X$4:$X$503,(_calc!$E$332-500)))))</f>
        <v/>
      </c>
      <c r="K330" s="54">
        <f>IF(_calc!$E$332="","",IF(_calc!$E$332&lt;=500,"",IF(LEN(INDEX('My equipment'!$T$4:$T$503,(_calc!$E$332-500)))=0,"",INDEX('My equipment'!$T$4:$T$503,(_calc!$E$332-500)))))</f>
        <v/>
      </c>
    </row>
    <row r="331">
      <c r="A331" s="54">
        <f>IF(_calc!$E$333="","",IF(_calc!$E$333&lt;=500,"Warranty – "&amp;IF(LEN(INDEX('Dealer pipeline'!$C$4:$C$503,_calc!$E$333))=0,"",INDEX('Dealer pipeline'!$C$4:$C$503,_calc!$E$333))&amp;" – "&amp;IF(LEN(INDEX('Dealer pipeline'!$D$4:$D$503,_calc!$E$333))=0,"",INDEX('Dealer pipeline'!$D$4:$D$503,_calc!$E$333))&amp;" – "&amp;IF(LEN(INDEX('Dealer pipeline'!$A$4:$A$503,_calc!$E$333))=0,"",INDEX('Dealer pipeline'!$A$4:$A$503,_calc!$E$333)),"Warranty – "&amp;IF(LEN(INDEX('My equipment'!$A$4:$A$503,(_calc!$E$333-500)))=0,"",INDEX('My equipment'!$A$4:$A$503,(_calc!$E$333-500)))&amp;" – "&amp;IF(LEN(INDEX('My equipment'!$D$4:$D$503,(_calc!$E$333-500)))=0,"",INDEX('My equipment'!$D$4:$D$503,(_calc!$E$333-500)))))</f>
        <v/>
      </c>
      <c r="B331" s="54">
        <f>IF(_calc!$E$333="","",IF(_calc!$E$333&lt;=500,IF(ISNUMBER(INDEX('Dealer pipeline'!$M$4:$M$503,_calc!$E$333)),TEXT(INDEX('Dealer pipeline'!$M$4:$M$503,_calc!$E$333),"yyyy-mm-dd"),""),IF(ISNUMBER(INDEX('My equipment'!$M$4:$M$503,(_calc!$E$333-500))),TEXT(INDEX('My equipment'!$M$4:$M$503,(_calc!$E$333-500)),"yyyy-mm-dd"),"")))</f>
        <v/>
      </c>
      <c r="C331" s="54">
        <f>IF(_calc!$E$333="","",IF(_calc!$E$333&lt;=500,"Warranty","Warranty"))</f>
        <v/>
      </c>
      <c r="D331" s="54">
        <f>IF(_calc!$E$333="","",IF(_calc!$E$333&lt;=500,IF(ISNUMBER(INDEX('Dealer pipeline'!$H$4:$H$503,_calc!$E$333)),TEXT(INDEX('Dealer pipeline'!$H$4:$H$503,_calc!$E$333),"yyyy-mm-dd"),""),IF(ISNUMBER(INDEX('My equipment'!$H$4:$H$503,(_calc!$E$333-500))),TEXT(INDEX('My equipment'!$H$4:$H$503,(_calc!$E$333-500)),"yyyy-mm-dd"),"")))</f>
        <v/>
      </c>
      <c r="F331" s="54">
        <f>IF(_calc!$E$333="","",IF(_calc!$E$333&lt;=500,TRIM(IF(LEN(IF(LEN(INDEX('Dealer pipeline'!$A$4:$A$503,_calc!$E$333))=0,"",INDEX('Dealer pipeline'!$A$4:$A$503,_calc!$E$333)))=0,"","Customer: "&amp;IF(LEN(INDEX('Dealer pipeline'!$A$4:$A$503,_calc!$E$333))=0,"",INDEX('Dealer pipeline'!$A$4:$A$503,_calc!$E$333))&amp;". ")&amp;IF(LEN(IF(LEN(INDEX('Dealer pipeline'!$B$4:$B$503,_calc!$E$333))=0,"",INDEX('Dealer pipeline'!$B$4:$B$503,_calc!$E$333)))=0,"","Contact: "&amp;IF(LEN(INDEX('Dealer pipeline'!$B$4:$B$503,_calc!$E$333))=0,"",INDEX('Dealer pipeline'!$B$4:$B$503,_calc!$E$333))&amp;". ")&amp;IF(LEN(IF(LEN(INDEX('Dealer pipeline'!$D$4:$D$503,_calc!$E$333))=0,"",INDEX('Dealer pipeline'!$D$4:$D$503,_calc!$E$333)))=0,"","Serial: "&amp;IF(LEN(INDEX('Dealer pipeline'!$D$4:$D$503,_calc!$E$333))=0,"",INDEX('Dealer pipeline'!$D$4:$D$503,_calc!$E$333))&amp;". ")&amp;IF(LEN(IF(ISNUMBER(INDEX('Dealer pipeline'!$J$4:$J$503,_calc!$E$333)),TEXT(INDEX('Dealer pipeline'!$J$4:$J$503,_calc!$E$333),"yyyy-mm-dd"),""))=0,"","Parts end: "&amp;IF(ISNUMBER(INDEX('Dealer pipeline'!$J$4:$J$503,_calc!$E$333)),TEXT(INDEX('Dealer pipeline'!$J$4:$J$503,_calc!$E$333),"yyyy-mm-dd"),"")&amp;". ")&amp;IF(LEN(IF(ISNUMBER(INDEX('Dealer pipeline'!$L$4:$L$503,_calc!$E$333)),TEXT(INDEX('Dealer pipeline'!$L$4:$L$503,_calc!$E$333),"yyyy-mm-dd"),""))=0,"","Labor end: "&amp;IF(ISNUMBER(INDEX('Dealer pipeline'!$L$4:$L$503,_calc!$E$333)),TEXT(INDEX('Dealer pipeline'!$L$4:$L$503,_calc!$E$333),"yyyy-mm-dd"),"")&amp;". ")&amp;IF(LEN(IF(LEN(INDEX('Dealer pipeline'!$Q$4:$Q$503,_calc!$E$333))=0,"",INDEX('Dealer pipeline'!$Q$4:$Q$503,_calc!$E$333)))=0,"","Status: "&amp;IF(LEN(INDEX('Dealer pipeline'!$Q$4:$Q$503,_calc!$E$333))=0,"",INDEX('Dealer pipeline'!$Q$4:$Q$503,_calc!$E$333))&amp;". ")&amp;IF(LEN(IF(LEN(INDEX('Dealer pipeline'!$P$4:$P$503,_calc!$E$333))=0,"",INDEX('Dealer pipeline'!$P$4:$P$503,_calc!$E$333)))=0,"","Last touch: "&amp;IF(LEN(INDEX('Dealer pipeline'!$P$4:$P$503,_calc!$E$333))=0,"",INDEX('Dealer pipeline'!$P$4:$P$503,_calc!$E$333))&amp;". ")&amp;IF(LEN(IF(LEN(INDEX('Dealer pipeline'!$R$4:$R$503,_calc!$E$333))=0,"",INDEX('Dealer pipeline'!$R$4:$R$503,_calc!$E$333)))=0,"","Owner: "&amp;IF(LEN(INDEX('Dealer pipeline'!$R$4:$R$503,_calc!$E$333))=0,"",INDEX('Dealer pipeline'!$R$4:$R$503,_calc!$E$333))&amp;". ")&amp;IF(LEN(IF(LEN(INDEX('Dealer pipeline'!$S$4:$S$503,_calc!$E$333))=0,"",INDEX('Dealer pipeline'!$S$4:$S$503,_calc!$E$333)))=0,"","Backup: "&amp;IF(LEN(INDEX('Dealer pipeline'!$S$4:$S$503,_calc!$E$333))=0,"",INDEX('Dealer pipeline'!$S$4:$S$503,_calc!$E$333))&amp;". ")&amp;IF(LEN(IF(LEN(INDEX('Dealer pipeline'!$T$4:$T$503,_calc!$E$333))=0,"",INDEX('Dealer pipeline'!$T$4:$T$503,_calc!$E$333)))=0,"",IF(LEN(INDEX('Dealer pipeline'!$T$4:$T$503,_calc!$E$333))=0,"",INDEX('Dealer pipeline'!$T$4:$T$503,_calc!$E$333)))),TRIM(IF(LEN(IF(LEN(INDEX('My equipment'!$C$4:$C$503,(_calc!$E$333-500)))=0,"",INDEX('My equipment'!$C$4:$C$503,(_calc!$E$333-500))))=0,"","Model: "&amp;IF(LEN(INDEX('My equipment'!$C$4:$C$503,(_calc!$E$333-500)))=0,"",INDEX('My equipment'!$C$4:$C$503,(_calc!$E$333-500)))&amp;". ")&amp;IF(LEN(IF(LEN(INDEX('My equipment'!$D$4:$D$503,(_calc!$E$333-500)))=0,"",INDEX('My equipment'!$D$4:$D$503,(_calc!$E$333-500))))=0,"","Serial: "&amp;IF(LEN(INDEX('My equipment'!$D$4:$D$503,(_calc!$E$333-500)))=0,"",INDEX('My equipment'!$D$4:$D$503,(_calc!$E$333-500)))&amp;". ")&amp;IF(LEN(IF(ISNUMBER(INDEX('My equipment'!$J$4:$J$503,(_calc!$E$333-500))),TEXT(INDEX('My equipment'!$J$4:$J$503,(_calc!$E$333-500)),"yyyy-mm-dd"),""))=0,"","Parts end: "&amp;IF(ISNUMBER(INDEX('My equipment'!$J$4:$J$503,(_calc!$E$333-500))),TEXT(INDEX('My equipment'!$J$4:$J$503,(_calc!$E$333-500)),"yyyy-mm-dd"),"")&amp;". ")&amp;IF(LEN(IF(ISNUMBER(INDEX('My equipment'!$L$4:$L$503,(_calc!$E$333-500))),TEXT(INDEX('My equipment'!$L$4:$L$503,(_calc!$E$333-500)),"yyyy-mm-dd"),""))=0,"","Labor end: "&amp;IF(ISNUMBER(INDEX('My equipment'!$L$4:$L$503,(_calc!$E$333-500))),TEXT(INDEX('My equipment'!$L$4:$L$503,(_calc!$E$333-500)),"yyyy-mm-dd"),"")&amp;". ")&amp;IF(LEN(IF(ISNUMBER(INDEX('My equipment'!$P$4:$P$503,(_calc!$E$333-500))),TEXT(INDEX('My equipment'!$P$4:$P$503,(_calc!$E$333-500)),"yyyy-mm-dd"),""))=0,"","Check by: "&amp;IF(ISNUMBER(INDEX('My equipment'!$P$4:$P$503,(_calc!$E$333-500))),TEXT(INDEX('My equipment'!$P$4:$P$503,(_calc!$E$333-500)),"yyyy-mm-dd"),"")&amp;". ")&amp;IF(LEN(IF(LEN(INDEX('My equipment'!$Q$4:$Q$503,(_calc!$E$333-500)))=0,"",INDEX('My equipment'!$Q$4:$Q$503,(_calc!$E$333-500))))=0,"","Claim status: "&amp;IF(LEN(INDEX('My equipment'!$Q$4:$Q$503,(_calc!$E$333-500)))=0,"",INDEX('My equipment'!$Q$4:$Q$503,(_calc!$E$333-500)))&amp;". ")&amp;IF(LEN(IF(LEN(INDEX('My equipment'!$R$4:$R$503,(_calc!$E$333-500)))=0,"",INDEX('My equipment'!$R$4:$R$503,(_calc!$E$333-500))))=0,"","Claims contact: "&amp;IF(LEN(INDEX('My equipment'!$R$4:$R$503,(_calc!$E$333-500)))=0,"",INDEX('My equipment'!$R$4:$R$503,(_calc!$E$333-500)))&amp;". ")&amp;IF(LEN(IF(LEN(INDEX('My equipment'!$S$4:$S$503,(_calc!$E$333-500)))=0,"",INDEX('My equipment'!$S$4:$S$503,(_calc!$E$333-500))))=0,"","Claims email: "&amp;IF(LEN(INDEX('My equipment'!$S$4:$S$503,(_calc!$E$333-500)))=0,"",INDEX('My equipment'!$S$4:$S$503,(_calc!$E$333-500)))&amp;". ")&amp;IF(LEN(IF(LEN(INDEX('My equipment'!$U$4:$U$503,(_calc!$E$333-500)))=0,"",INDEX('My equipment'!$U$4:$U$503,(_calc!$E$333-500))))=0,"","Registered: "&amp;IF(LEN(INDEX('My equipment'!$U$4:$U$503,(_calc!$E$333-500)))=0,"",INDEX('My equipment'!$U$4:$U$503,(_calc!$E$333-500)))&amp;". ")&amp;IF(LEN(IF(LEN(INDEX('My equipment'!$V$4:$V$503,(_calc!$E$333-500)))=0,"",INDEX('My equipment'!$V$4:$V$503,(_calc!$E$333-500))))=0,"","Proof on file: "&amp;IF(LEN(INDEX('My equipment'!$V$4:$V$503,(_calc!$E$333-500)))=0,"",INDEX('My equipment'!$V$4:$V$503,(_calc!$E$333-500)))&amp;". ")&amp;IF(LEN(IF(LEN(INDEX('My equipment'!$W$4:$W$503,(_calc!$E$333-500)))=0,"",INDEX('My equipment'!$W$4:$W$503,(_calc!$E$333-500))))=0,"","Claim ref: "&amp;IF(LEN(INDEX('My equipment'!$W$4:$W$503,(_calc!$E$333-500)))=0,"",INDEX('My equipment'!$W$4:$W$503,(_calc!$E$333-500)))&amp;". ")&amp;IF(LEN(IF(LEN(INDEX('My equipment'!$Y$4:$Y$503,(_calc!$E$333-500)))=0,"",INDEX('My equipment'!$Y$4:$Y$503,(_calc!$E$333-500))))=0,"",IF(LEN(INDEX('My equipment'!$Y$4:$Y$503,(_calc!$E$333-500)))=0,"",INDEX('My equipment'!$Y$4:$Y$503,(_calc!$E$333-500)))))))</f>
        <v/>
      </c>
      <c r="G331" s="54">
        <f>IF(_calc!$E$333="","",IF(_calc!$E$333&lt;=500,"",IF(LEN(INDEX('My equipment'!$X$4:$X$503,(_calc!$E$333-500)))=0,"",INDEX('My equipment'!$X$4:$X$503,(_calc!$E$333-500)))))</f>
        <v/>
      </c>
      <c r="K331" s="54">
        <f>IF(_calc!$E$333="","",IF(_calc!$E$333&lt;=500,"",IF(LEN(INDEX('My equipment'!$T$4:$T$503,(_calc!$E$333-500)))=0,"",INDEX('My equipment'!$T$4:$T$503,(_calc!$E$333-500)))))</f>
        <v/>
      </c>
    </row>
    <row r="332">
      <c r="A332" s="54">
        <f>IF(_calc!$E$334="","",IF(_calc!$E$334&lt;=500,"Warranty – "&amp;IF(LEN(INDEX('Dealer pipeline'!$C$4:$C$503,_calc!$E$334))=0,"",INDEX('Dealer pipeline'!$C$4:$C$503,_calc!$E$334))&amp;" – "&amp;IF(LEN(INDEX('Dealer pipeline'!$D$4:$D$503,_calc!$E$334))=0,"",INDEX('Dealer pipeline'!$D$4:$D$503,_calc!$E$334))&amp;" – "&amp;IF(LEN(INDEX('Dealer pipeline'!$A$4:$A$503,_calc!$E$334))=0,"",INDEX('Dealer pipeline'!$A$4:$A$503,_calc!$E$334)),"Warranty – "&amp;IF(LEN(INDEX('My equipment'!$A$4:$A$503,(_calc!$E$334-500)))=0,"",INDEX('My equipment'!$A$4:$A$503,(_calc!$E$334-500)))&amp;" – "&amp;IF(LEN(INDEX('My equipment'!$D$4:$D$503,(_calc!$E$334-500)))=0,"",INDEX('My equipment'!$D$4:$D$503,(_calc!$E$334-500)))))</f>
        <v/>
      </c>
      <c r="B332" s="54">
        <f>IF(_calc!$E$334="","",IF(_calc!$E$334&lt;=500,IF(ISNUMBER(INDEX('Dealer pipeline'!$M$4:$M$503,_calc!$E$334)),TEXT(INDEX('Dealer pipeline'!$M$4:$M$503,_calc!$E$334),"yyyy-mm-dd"),""),IF(ISNUMBER(INDEX('My equipment'!$M$4:$M$503,(_calc!$E$334-500))),TEXT(INDEX('My equipment'!$M$4:$M$503,(_calc!$E$334-500)),"yyyy-mm-dd"),"")))</f>
        <v/>
      </c>
      <c r="C332" s="54">
        <f>IF(_calc!$E$334="","",IF(_calc!$E$334&lt;=500,"Warranty","Warranty"))</f>
        <v/>
      </c>
      <c r="D332" s="54">
        <f>IF(_calc!$E$334="","",IF(_calc!$E$334&lt;=500,IF(ISNUMBER(INDEX('Dealer pipeline'!$H$4:$H$503,_calc!$E$334)),TEXT(INDEX('Dealer pipeline'!$H$4:$H$503,_calc!$E$334),"yyyy-mm-dd"),""),IF(ISNUMBER(INDEX('My equipment'!$H$4:$H$503,(_calc!$E$334-500))),TEXT(INDEX('My equipment'!$H$4:$H$503,(_calc!$E$334-500)),"yyyy-mm-dd"),"")))</f>
        <v/>
      </c>
      <c r="F332" s="54">
        <f>IF(_calc!$E$334="","",IF(_calc!$E$334&lt;=500,TRIM(IF(LEN(IF(LEN(INDEX('Dealer pipeline'!$A$4:$A$503,_calc!$E$334))=0,"",INDEX('Dealer pipeline'!$A$4:$A$503,_calc!$E$334)))=0,"","Customer: "&amp;IF(LEN(INDEX('Dealer pipeline'!$A$4:$A$503,_calc!$E$334))=0,"",INDEX('Dealer pipeline'!$A$4:$A$503,_calc!$E$334))&amp;". ")&amp;IF(LEN(IF(LEN(INDEX('Dealer pipeline'!$B$4:$B$503,_calc!$E$334))=0,"",INDEX('Dealer pipeline'!$B$4:$B$503,_calc!$E$334)))=0,"","Contact: "&amp;IF(LEN(INDEX('Dealer pipeline'!$B$4:$B$503,_calc!$E$334))=0,"",INDEX('Dealer pipeline'!$B$4:$B$503,_calc!$E$334))&amp;". ")&amp;IF(LEN(IF(LEN(INDEX('Dealer pipeline'!$D$4:$D$503,_calc!$E$334))=0,"",INDEX('Dealer pipeline'!$D$4:$D$503,_calc!$E$334)))=0,"","Serial: "&amp;IF(LEN(INDEX('Dealer pipeline'!$D$4:$D$503,_calc!$E$334))=0,"",INDEX('Dealer pipeline'!$D$4:$D$503,_calc!$E$334))&amp;". ")&amp;IF(LEN(IF(ISNUMBER(INDEX('Dealer pipeline'!$J$4:$J$503,_calc!$E$334)),TEXT(INDEX('Dealer pipeline'!$J$4:$J$503,_calc!$E$334),"yyyy-mm-dd"),""))=0,"","Parts end: "&amp;IF(ISNUMBER(INDEX('Dealer pipeline'!$J$4:$J$503,_calc!$E$334)),TEXT(INDEX('Dealer pipeline'!$J$4:$J$503,_calc!$E$334),"yyyy-mm-dd"),"")&amp;". ")&amp;IF(LEN(IF(ISNUMBER(INDEX('Dealer pipeline'!$L$4:$L$503,_calc!$E$334)),TEXT(INDEX('Dealer pipeline'!$L$4:$L$503,_calc!$E$334),"yyyy-mm-dd"),""))=0,"","Labor end: "&amp;IF(ISNUMBER(INDEX('Dealer pipeline'!$L$4:$L$503,_calc!$E$334)),TEXT(INDEX('Dealer pipeline'!$L$4:$L$503,_calc!$E$334),"yyyy-mm-dd"),"")&amp;". ")&amp;IF(LEN(IF(LEN(INDEX('Dealer pipeline'!$Q$4:$Q$503,_calc!$E$334))=0,"",INDEX('Dealer pipeline'!$Q$4:$Q$503,_calc!$E$334)))=0,"","Status: "&amp;IF(LEN(INDEX('Dealer pipeline'!$Q$4:$Q$503,_calc!$E$334))=0,"",INDEX('Dealer pipeline'!$Q$4:$Q$503,_calc!$E$334))&amp;". ")&amp;IF(LEN(IF(LEN(INDEX('Dealer pipeline'!$P$4:$P$503,_calc!$E$334))=0,"",INDEX('Dealer pipeline'!$P$4:$P$503,_calc!$E$334)))=0,"","Last touch: "&amp;IF(LEN(INDEX('Dealer pipeline'!$P$4:$P$503,_calc!$E$334))=0,"",INDEX('Dealer pipeline'!$P$4:$P$503,_calc!$E$334))&amp;". ")&amp;IF(LEN(IF(LEN(INDEX('Dealer pipeline'!$R$4:$R$503,_calc!$E$334))=0,"",INDEX('Dealer pipeline'!$R$4:$R$503,_calc!$E$334)))=0,"","Owner: "&amp;IF(LEN(INDEX('Dealer pipeline'!$R$4:$R$503,_calc!$E$334))=0,"",INDEX('Dealer pipeline'!$R$4:$R$503,_calc!$E$334))&amp;". ")&amp;IF(LEN(IF(LEN(INDEX('Dealer pipeline'!$S$4:$S$503,_calc!$E$334))=0,"",INDEX('Dealer pipeline'!$S$4:$S$503,_calc!$E$334)))=0,"","Backup: "&amp;IF(LEN(INDEX('Dealer pipeline'!$S$4:$S$503,_calc!$E$334))=0,"",INDEX('Dealer pipeline'!$S$4:$S$503,_calc!$E$334))&amp;". ")&amp;IF(LEN(IF(LEN(INDEX('Dealer pipeline'!$T$4:$T$503,_calc!$E$334))=0,"",INDEX('Dealer pipeline'!$T$4:$T$503,_calc!$E$334)))=0,"",IF(LEN(INDEX('Dealer pipeline'!$T$4:$T$503,_calc!$E$334))=0,"",INDEX('Dealer pipeline'!$T$4:$T$503,_calc!$E$334)))),TRIM(IF(LEN(IF(LEN(INDEX('My equipment'!$C$4:$C$503,(_calc!$E$334-500)))=0,"",INDEX('My equipment'!$C$4:$C$503,(_calc!$E$334-500))))=0,"","Model: "&amp;IF(LEN(INDEX('My equipment'!$C$4:$C$503,(_calc!$E$334-500)))=0,"",INDEX('My equipment'!$C$4:$C$503,(_calc!$E$334-500)))&amp;". ")&amp;IF(LEN(IF(LEN(INDEX('My equipment'!$D$4:$D$503,(_calc!$E$334-500)))=0,"",INDEX('My equipment'!$D$4:$D$503,(_calc!$E$334-500))))=0,"","Serial: "&amp;IF(LEN(INDEX('My equipment'!$D$4:$D$503,(_calc!$E$334-500)))=0,"",INDEX('My equipment'!$D$4:$D$503,(_calc!$E$334-500)))&amp;". ")&amp;IF(LEN(IF(ISNUMBER(INDEX('My equipment'!$J$4:$J$503,(_calc!$E$334-500))),TEXT(INDEX('My equipment'!$J$4:$J$503,(_calc!$E$334-500)),"yyyy-mm-dd"),""))=0,"","Parts end: "&amp;IF(ISNUMBER(INDEX('My equipment'!$J$4:$J$503,(_calc!$E$334-500))),TEXT(INDEX('My equipment'!$J$4:$J$503,(_calc!$E$334-500)),"yyyy-mm-dd"),"")&amp;". ")&amp;IF(LEN(IF(ISNUMBER(INDEX('My equipment'!$L$4:$L$503,(_calc!$E$334-500))),TEXT(INDEX('My equipment'!$L$4:$L$503,(_calc!$E$334-500)),"yyyy-mm-dd"),""))=0,"","Labor end: "&amp;IF(ISNUMBER(INDEX('My equipment'!$L$4:$L$503,(_calc!$E$334-500))),TEXT(INDEX('My equipment'!$L$4:$L$503,(_calc!$E$334-500)),"yyyy-mm-dd"),"")&amp;". ")&amp;IF(LEN(IF(ISNUMBER(INDEX('My equipment'!$P$4:$P$503,(_calc!$E$334-500))),TEXT(INDEX('My equipment'!$P$4:$P$503,(_calc!$E$334-500)),"yyyy-mm-dd"),""))=0,"","Check by: "&amp;IF(ISNUMBER(INDEX('My equipment'!$P$4:$P$503,(_calc!$E$334-500))),TEXT(INDEX('My equipment'!$P$4:$P$503,(_calc!$E$334-500)),"yyyy-mm-dd"),"")&amp;". ")&amp;IF(LEN(IF(LEN(INDEX('My equipment'!$Q$4:$Q$503,(_calc!$E$334-500)))=0,"",INDEX('My equipment'!$Q$4:$Q$503,(_calc!$E$334-500))))=0,"","Claim status: "&amp;IF(LEN(INDEX('My equipment'!$Q$4:$Q$503,(_calc!$E$334-500)))=0,"",INDEX('My equipment'!$Q$4:$Q$503,(_calc!$E$334-500)))&amp;". ")&amp;IF(LEN(IF(LEN(INDEX('My equipment'!$R$4:$R$503,(_calc!$E$334-500)))=0,"",INDEX('My equipment'!$R$4:$R$503,(_calc!$E$334-500))))=0,"","Claims contact: "&amp;IF(LEN(INDEX('My equipment'!$R$4:$R$503,(_calc!$E$334-500)))=0,"",INDEX('My equipment'!$R$4:$R$503,(_calc!$E$334-500)))&amp;". ")&amp;IF(LEN(IF(LEN(INDEX('My equipment'!$S$4:$S$503,(_calc!$E$334-500)))=0,"",INDEX('My equipment'!$S$4:$S$503,(_calc!$E$334-500))))=0,"","Claims email: "&amp;IF(LEN(INDEX('My equipment'!$S$4:$S$503,(_calc!$E$334-500)))=0,"",INDEX('My equipment'!$S$4:$S$503,(_calc!$E$334-500)))&amp;". ")&amp;IF(LEN(IF(LEN(INDEX('My equipment'!$U$4:$U$503,(_calc!$E$334-500)))=0,"",INDEX('My equipment'!$U$4:$U$503,(_calc!$E$334-500))))=0,"","Registered: "&amp;IF(LEN(INDEX('My equipment'!$U$4:$U$503,(_calc!$E$334-500)))=0,"",INDEX('My equipment'!$U$4:$U$503,(_calc!$E$334-500)))&amp;". ")&amp;IF(LEN(IF(LEN(INDEX('My equipment'!$V$4:$V$503,(_calc!$E$334-500)))=0,"",INDEX('My equipment'!$V$4:$V$503,(_calc!$E$334-500))))=0,"","Proof on file: "&amp;IF(LEN(INDEX('My equipment'!$V$4:$V$503,(_calc!$E$334-500)))=0,"",INDEX('My equipment'!$V$4:$V$503,(_calc!$E$334-500)))&amp;". ")&amp;IF(LEN(IF(LEN(INDEX('My equipment'!$W$4:$W$503,(_calc!$E$334-500)))=0,"",INDEX('My equipment'!$W$4:$W$503,(_calc!$E$334-500))))=0,"","Claim ref: "&amp;IF(LEN(INDEX('My equipment'!$W$4:$W$503,(_calc!$E$334-500)))=0,"",INDEX('My equipment'!$W$4:$W$503,(_calc!$E$334-500)))&amp;". ")&amp;IF(LEN(IF(LEN(INDEX('My equipment'!$Y$4:$Y$503,(_calc!$E$334-500)))=0,"",INDEX('My equipment'!$Y$4:$Y$503,(_calc!$E$334-500))))=0,"",IF(LEN(INDEX('My equipment'!$Y$4:$Y$503,(_calc!$E$334-500)))=0,"",INDEX('My equipment'!$Y$4:$Y$503,(_calc!$E$334-500)))))))</f>
        <v/>
      </c>
      <c r="G332" s="54">
        <f>IF(_calc!$E$334="","",IF(_calc!$E$334&lt;=500,"",IF(LEN(INDEX('My equipment'!$X$4:$X$503,(_calc!$E$334-500)))=0,"",INDEX('My equipment'!$X$4:$X$503,(_calc!$E$334-500)))))</f>
        <v/>
      </c>
      <c r="K332" s="54">
        <f>IF(_calc!$E$334="","",IF(_calc!$E$334&lt;=500,"",IF(LEN(INDEX('My equipment'!$T$4:$T$503,(_calc!$E$334-500)))=0,"",INDEX('My equipment'!$T$4:$T$503,(_calc!$E$334-500)))))</f>
        <v/>
      </c>
    </row>
    <row r="333">
      <c r="A333" s="54">
        <f>IF(_calc!$E$335="","",IF(_calc!$E$335&lt;=500,"Warranty – "&amp;IF(LEN(INDEX('Dealer pipeline'!$C$4:$C$503,_calc!$E$335))=0,"",INDEX('Dealer pipeline'!$C$4:$C$503,_calc!$E$335))&amp;" – "&amp;IF(LEN(INDEX('Dealer pipeline'!$D$4:$D$503,_calc!$E$335))=0,"",INDEX('Dealer pipeline'!$D$4:$D$503,_calc!$E$335))&amp;" – "&amp;IF(LEN(INDEX('Dealer pipeline'!$A$4:$A$503,_calc!$E$335))=0,"",INDEX('Dealer pipeline'!$A$4:$A$503,_calc!$E$335)),"Warranty – "&amp;IF(LEN(INDEX('My equipment'!$A$4:$A$503,(_calc!$E$335-500)))=0,"",INDEX('My equipment'!$A$4:$A$503,(_calc!$E$335-500)))&amp;" – "&amp;IF(LEN(INDEX('My equipment'!$D$4:$D$503,(_calc!$E$335-500)))=0,"",INDEX('My equipment'!$D$4:$D$503,(_calc!$E$335-500)))))</f>
        <v/>
      </c>
      <c r="B333" s="54">
        <f>IF(_calc!$E$335="","",IF(_calc!$E$335&lt;=500,IF(ISNUMBER(INDEX('Dealer pipeline'!$M$4:$M$503,_calc!$E$335)),TEXT(INDEX('Dealer pipeline'!$M$4:$M$503,_calc!$E$335),"yyyy-mm-dd"),""),IF(ISNUMBER(INDEX('My equipment'!$M$4:$M$503,(_calc!$E$335-500))),TEXT(INDEX('My equipment'!$M$4:$M$503,(_calc!$E$335-500)),"yyyy-mm-dd"),"")))</f>
        <v/>
      </c>
      <c r="C333" s="54">
        <f>IF(_calc!$E$335="","",IF(_calc!$E$335&lt;=500,"Warranty","Warranty"))</f>
        <v/>
      </c>
      <c r="D333" s="54">
        <f>IF(_calc!$E$335="","",IF(_calc!$E$335&lt;=500,IF(ISNUMBER(INDEX('Dealer pipeline'!$H$4:$H$503,_calc!$E$335)),TEXT(INDEX('Dealer pipeline'!$H$4:$H$503,_calc!$E$335),"yyyy-mm-dd"),""),IF(ISNUMBER(INDEX('My equipment'!$H$4:$H$503,(_calc!$E$335-500))),TEXT(INDEX('My equipment'!$H$4:$H$503,(_calc!$E$335-500)),"yyyy-mm-dd"),"")))</f>
        <v/>
      </c>
      <c r="F333" s="54">
        <f>IF(_calc!$E$335="","",IF(_calc!$E$335&lt;=500,TRIM(IF(LEN(IF(LEN(INDEX('Dealer pipeline'!$A$4:$A$503,_calc!$E$335))=0,"",INDEX('Dealer pipeline'!$A$4:$A$503,_calc!$E$335)))=0,"","Customer: "&amp;IF(LEN(INDEX('Dealer pipeline'!$A$4:$A$503,_calc!$E$335))=0,"",INDEX('Dealer pipeline'!$A$4:$A$503,_calc!$E$335))&amp;". ")&amp;IF(LEN(IF(LEN(INDEX('Dealer pipeline'!$B$4:$B$503,_calc!$E$335))=0,"",INDEX('Dealer pipeline'!$B$4:$B$503,_calc!$E$335)))=0,"","Contact: "&amp;IF(LEN(INDEX('Dealer pipeline'!$B$4:$B$503,_calc!$E$335))=0,"",INDEX('Dealer pipeline'!$B$4:$B$503,_calc!$E$335))&amp;". ")&amp;IF(LEN(IF(LEN(INDEX('Dealer pipeline'!$D$4:$D$503,_calc!$E$335))=0,"",INDEX('Dealer pipeline'!$D$4:$D$503,_calc!$E$335)))=0,"","Serial: "&amp;IF(LEN(INDEX('Dealer pipeline'!$D$4:$D$503,_calc!$E$335))=0,"",INDEX('Dealer pipeline'!$D$4:$D$503,_calc!$E$335))&amp;". ")&amp;IF(LEN(IF(ISNUMBER(INDEX('Dealer pipeline'!$J$4:$J$503,_calc!$E$335)),TEXT(INDEX('Dealer pipeline'!$J$4:$J$503,_calc!$E$335),"yyyy-mm-dd"),""))=0,"","Parts end: "&amp;IF(ISNUMBER(INDEX('Dealer pipeline'!$J$4:$J$503,_calc!$E$335)),TEXT(INDEX('Dealer pipeline'!$J$4:$J$503,_calc!$E$335),"yyyy-mm-dd"),"")&amp;". ")&amp;IF(LEN(IF(ISNUMBER(INDEX('Dealer pipeline'!$L$4:$L$503,_calc!$E$335)),TEXT(INDEX('Dealer pipeline'!$L$4:$L$503,_calc!$E$335),"yyyy-mm-dd"),""))=0,"","Labor end: "&amp;IF(ISNUMBER(INDEX('Dealer pipeline'!$L$4:$L$503,_calc!$E$335)),TEXT(INDEX('Dealer pipeline'!$L$4:$L$503,_calc!$E$335),"yyyy-mm-dd"),"")&amp;". ")&amp;IF(LEN(IF(LEN(INDEX('Dealer pipeline'!$Q$4:$Q$503,_calc!$E$335))=0,"",INDEX('Dealer pipeline'!$Q$4:$Q$503,_calc!$E$335)))=0,"","Status: "&amp;IF(LEN(INDEX('Dealer pipeline'!$Q$4:$Q$503,_calc!$E$335))=0,"",INDEX('Dealer pipeline'!$Q$4:$Q$503,_calc!$E$335))&amp;". ")&amp;IF(LEN(IF(LEN(INDEX('Dealer pipeline'!$P$4:$P$503,_calc!$E$335))=0,"",INDEX('Dealer pipeline'!$P$4:$P$503,_calc!$E$335)))=0,"","Last touch: "&amp;IF(LEN(INDEX('Dealer pipeline'!$P$4:$P$503,_calc!$E$335))=0,"",INDEX('Dealer pipeline'!$P$4:$P$503,_calc!$E$335))&amp;". ")&amp;IF(LEN(IF(LEN(INDEX('Dealer pipeline'!$R$4:$R$503,_calc!$E$335))=0,"",INDEX('Dealer pipeline'!$R$4:$R$503,_calc!$E$335)))=0,"","Owner: "&amp;IF(LEN(INDEX('Dealer pipeline'!$R$4:$R$503,_calc!$E$335))=0,"",INDEX('Dealer pipeline'!$R$4:$R$503,_calc!$E$335))&amp;". ")&amp;IF(LEN(IF(LEN(INDEX('Dealer pipeline'!$S$4:$S$503,_calc!$E$335))=0,"",INDEX('Dealer pipeline'!$S$4:$S$503,_calc!$E$335)))=0,"","Backup: "&amp;IF(LEN(INDEX('Dealer pipeline'!$S$4:$S$503,_calc!$E$335))=0,"",INDEX('Dealer pipeline'!$S$4:$S$503,_calc!$E$335))&amp;". ")&amp;IF(LEN(IF(LEN(INDEX('Dealer pipeline'!$T$4:$T$503,_calc!$E$335))=0,"",INDEX('Dealer pipeline'!$T$4:$T$503,_calc!$E$335)))=0,"",IF(LEN(INDEX('Dealer pipeline'!$T$4:$T$503,_calc!$E$335))=0,"",INDEX('Dealer pipeline'!$T$4:$T$503,_calc!$E$335)))),TRIM(IF(LEN(IF(LEN(INDEX('My equipment'!$C$4:$C$503,(_calc!$E$335-500)))=0,"",INDEX('My equipment'!$C$4:$C$503,(_calc!$E$335-500))))=0,"","Model: "&amp;IF(LEN(INDEX('My equipment'!$C$4:$C$503,(_calc!$E$335-500)))=0,"",INDEX('My equipment'!$C$4:$C$503,(_calc!$E$335-500)))&amp;". ")&amp;IF(LEN(IF(LEN(INDEX('My equipment'!$D$4:$D$503,(_calc!$E$335-500)))=0,"",INDEX('My equipment'!$D$4:$D$503,(_calc!$E$335-500))))=0,"","Serial: "&amp;IF(LEN(INDEX('My equipment'!$D$4:$D$503,(_calc!$E$335-500)))=0,"",INDEX('My equipment'!$D$4:$D$503,(_calc!$E$335-500)))&amp;". ")&amp;IF(LEN(IF(ISNUMBER(INDEX('My equipment'!$J$4:$J$503,(_calc!$E$335-500))),TEXT(INDEX('My equipment'!$J$4:$J$503,(_calc!$E$335-500)),"yyyy-mm-dd"),""))=0,"","Parts end: "&amp;IF(ISNUMBER(INDEX('My equipment'!$J$4:$J$503,(_calc!$E$335-500))),TEXT(INDEX('My equipment'!$J$4:$J$503,(_calc!$E$335-500)),"yyyy-mm-dd"),"")&amp;". ")&amp;IF(LEN(IF(ISNUMBER(INDEX('My equipment'!$L$4:$L$503,(_calc!$E$335-500))),TEXT(INDEX('My equipment'!$L$4:$L$503,(_calc!$E$335-500)),"yyyy-mm-dd"),""))=0,"","Labor end: "&amp;IF(ISNUMBER(INDEX('My equipment'!$L$4:$L$503,(_calc!$E$335-500))),TEXT(INDEX('My equipment'!$L$4:$L$503,(_calc!$E$335-500)),"yyyy-mm-dd"),"")&amp;". ")&amp;IF(LEN(IF(ISNUMBER(INDEX('My equipment'!$P$4:$P$503,(_calc!$E$335-500))),TEXT(INDEX('My equipment'!$P$4:$P$503,(_calc!$E$335-500)),"yyyy-mm-dd"),""))=0,"","Check by: "&amp;IF(ISNUMBER(INDEX('My equipment'!$P$4:$P$503,(_calc!$E$335-500))),TEXT(INDEX('My equipment'!$P$4:$P$503,(_calc!$E$335-500)),"yyyy-mm-dd"),"")&amp;". ")&amp;IF(LEN(IF(LEN(INDEX('My equipment'!$Q$4:$Q$503,(_calc!$E$335-500)))=0,"",INDEX('My equipment'!$Q$4:$Q$503,(_calc!$E$335-500))))=0,"","Claim status: "&amp;IF(LEN(INDEX('My equipment'!$Q$4:$Q$503,(_calc!$E$335-500)))=0,"",INDEX('My equipment'!$Q$4:$Q$503,(_calc!$E$335-500)))&amp;". ")&amp;IF(LEN(IF(LEN(INDEX('My equipment'!$R$4:$R$503,(_calc!$E$335-500)))=0,"",INDEX('My equipment'!$R$4:$R$503,(_calc!$E$335-500))))=0,"","Claims contact: "&amp;IF(LEN(INDEX('My equipment'!$R$4:$R$503,(_calc!$E$335-500)))=0,"",INDEX('My equipment'!$R$4:$R$503,(_calc!$E$335-500)))&amp;". ")&amp;IF(LEN(IF(LEN(INDEX('My equipment'!$S$4:$S$503,(_calc!$E$335-500)))=0,"",INDEX('My equipment'!$S$4:$S$503,(_calc!$E$335-500))))=0,"","Claims email: "&amp;IF(LEN(INDEX('My equipment'!$S$4:$S$503,(_calc!$E$335-500)))=0,"",INDEX('My equipment'!$S$4:$S$503,(_calc!$E$335-500)))&amp;". ")&amp;IF(LEN(IF(LEN(INDEX('My equipment'!$U$4:$U$503,(_calc!$E$335-500)))=0,"",INDEX('My equipment'!$U$4:$U$503,(_calc!$E$335-500))))=0,"","Registered: "&amp;IF(LEN(INDEX('My equipment'!$U$4:$U$503,(_calc!$E$335-500)))=0,"",INDEX('My equipment'!$U$4:$U$503,(_calc!$E$335-500)))&amp;". ")&amp;IF(LEN(IF(LEN(INDEX('My equipment'!$V$4:$V$503,(_calc!$E$335-500)))=0,"",INDEX('My equipment'!$V$4:$V$503,(_calc!$E$335-500))))=0,"","Proof on file: "&amp;IF(LEN(INDEX('My equipment'!$V$4:$V$503,(_calc!$E$335-500)))=0,"",INDEX('My equipment'!$V$4:$V$503,(_calc!$E$335-500)))&amp;". ")&amp;IF(LEN(IF(LEN(INDEX('My equipment'!$W$4:$W$503,(_calc!$E$335-500)))=0,"",INDEX('My equipment'!$W$4:$W$503,(_calc!$E$335-500))))=0,"","Claim ref: "&amp;IF(LEN(INDEX('My equipment'!$W$4:$W$503,(_calc!$E$335-500)))=0,"",INDEX('My equipment'!$W$4:$W$503,(_calc!$E$335-500)))&amp;". ")&amp;IF(LEN(IF(LEN(INDEX('My equipment'!$Y$4:$Y$503,(_calc!$E$335-500)))=0,"",INDEX('My equipment'!$Y$4:$Y$503,(_calc!$E$335-500))))=0,"",IF(LEN(INDEX('My equipment'!$Y$4:$Y$503,(_calc!$E$335-500)))=0,"",INDEX('My equipment'!$Y$4:$Y$503,(_calc!$E$335-500)))))))</f>
        <v/>
      </c>
      <c r="G333" s="54">
        <f>IF(_calc!$E$335="","",IF(_calc!$E$335&lt;=500,"",IF(LEN(INDEX('My equipment'!$X$4:$X$503,(_calc!$E$335-500)))=0,"",INDEX('My equipment'!$X$4:$X$503,(_calc!$E$335-500)))))</f>
        <v/>
      </c>
      <c r="K333" s="54">
        <f>IF(_calc!$E$335="","",IF(_calc!$E$335&lt;=500,"",IF(LEN(INDEX('My equipment'!$T$4:$T$503,(_calc!$E$335-500)))=0,"",INDEX('My equipment'!$T$4:$T$503,(_calc!$E$335-500)))))</f>
        <v/>
      </c>
    </row>
    <row r="334">
      <c r="A334" s="54">
        <f>IF(_calc!$E$336="","",IF(_calc!$E$336&lt;=500,"Warranty – "&amp;IF(LEN(INDEX('Dealer pipeline'!$C$4:$C$503,_calc!$E$336))=0,"",INDEX('Dealer pipeline'!$C$4:$C$503,_calc!$E$336))&amp;" – "&amp;IF(LEN(INDEX('Dealer pipeline'!$D$4:$D$503,_calc!$E$336))=0,"",INDEX('Dealer pipeline'!$D$4:$D$503,_calc!$E$336))&amp;" – "&amp;IF(LEN(INDEX('Dealer pipeline'!$A$4:$A$503,_calc!$E$336))=0,"",INDEX('Dealer pipeline'!$A$4:$A$503,_calc!$E$336)),"Warranty – "&amp;IF(LEN(INDEX('My equipment'!$A$4:$A$503,(_calc!$E$336-500)))=0,"",INDEX('My equipment'!$A$4:$A$503,(_calc!$E$336-500)))&amp;" – "&amp;IF(LEN(INDEX('My equipment'!$D$4:$D$503,(_calc!$E$336-500)))=0,"",INDEX('My equipment'!$D$4:$D$503,(_calc!$E$336-500)))))</f>
        <v/>
      </c>
      <c r="B334" s="54">
        <f>IF(_calc!$E$336="","",IF(_calc!$E$336&lt;=500,IF(ISNUMBER(INDEX('Dealer pipeline'!$M$4:$M$503,_calc!$E$336)),TEXT(INDEX('Dealer pipeline'!$M$4:$M$503,_calc!$E$336),"yyyy-mm-dd"),""),IF(ISNUMBER(INDEX('My equipment'!$M$4:$M$503,(_calc!$E$336-500))),TEXT(INDEX('My equipment'!$M$4:$M$503,(_calc!$E$336-500)),"yyyy-mm-dd"),"")))</f>
        <v/>
      </c>
      <c r="C334" s="54">
        <f>IF(_calc!$E$336="","",IF(_calc!$E$336&lt;=500,"Warranty","Warranty"))</f>
        <v/>
      </c>
      <c r="D334" s="54">
        <f>IF(_calc!$E$336="","",IF(_calc!$E$336&lt;=500,IF(ISNUMBER(INDEX('Dealer pipeline'!$H$4:$H$503,_calc!$E$336)),TEXT(INDEX('Dealer pipeline'!$H$4:$H$503,_calc!$E$336),"yyyy-mm-dd"),""),IF(ISNUMBER(INDEX('My equipment'!$H$4:$H$503,(_calc!$E$336-500))),TEXT(INDEX('My equipment'!$H$4:$H$503,(_calc!$E$336-500)),"yyyy-mm-dd"),"")))</f>
        <v/>
      </c>
      <c r="F334" s="54">
        <f>IF(_calc!$E$336="","",IF(_calc!$E$336&lt;=500,TRIM(IF(LEN(IF(LEN(INDEX('Dealer pipeline'!$A$4:$A$503,_calc!$E$336))=0,"",INDEX('Dealer pipeline'!$A$4:$A$503,_calc!$E$336)))=0,"","Customer: "&amp;IF(LEN(INDEX('Dealer pipeline'!$A$4:$A$503,_calc!$E$336))=0,"",INDEX('Dealer pipeline'!$A$4:$A$503,_calc!$E$336))&amp;". ")&amp;IF(LEN(IF(LEN(INDEX('Dealer pipeline'!$B$4:$B$503,_calc!$E$336))=0,"",INDEX('Dealer pipeline'!$B$4:$B$503,_calc!$E$336)))=0,"","Contact: "&amp;IF(LEN(INDEX('Dealer pipeline'!$B$4:$B$503,_calc!$E$336))=0,"",INDEX('Dealer pipeline'!$B$4:$B$503,_calc!$E$336))&amp;". ")&amp;IF(LEN(IF(LEN(INDEX('Dealer pipeline'!$D$4:$D$503,_calc!$E$336))=0,"",INDEX('Dealer pipeline'!$D$4:$D$503,_calc!$E$336)))=0,"","Serial: "&amp;IF(LEN(INDEX('Dealer pipeline'!$D$4:$D$503,_calc!$E$336))=0,"",INDEX('Dealer pipeline'!$D$4:$D$503,_calc!$E$336))&amp;". ")&amp;IF(LEN(IF(ISNUMBER(INDEX('Dealer pipeline'!$J$4:$J$503,_calc!$E$336)),TEXT(INDEX('Dealer pipeline'!$J$4:$J$503,_calc!$E$336),"yyyy-mm-dd"),""))=0,"","Parts end: "&amp;IF(ISNUMBER(INDEX('Dealer pipeline'!$J$4:$J$503,_calc!$E$336)),TEXT(INDEX('Dealer pipeline'!$J$4:$J$503,_calc!$E$336),"yyyy-mm-dd"),"")&amp;". ")&amp;IF(LEN(IF(ISNUMBER(INDEX('Dealer pipeline'!$L$4:$L$503,_calc!$E$336)),TEXT(INDEX('Dealer pipeline'!$L$4:$L$503,_calc!$E$336),"yyyy-mm-dd"),""))=0,"","Labor end: "&amp;IF(ISNUMBER(INDEX('Dealer pipeline'!$L$4:$L$503,_calc!$E$336)),TEXT(INDEX('Dealer pipeline'!$L$4:$L$503,_calc!$E$336),"yyyy-mm-dd"),"")&amp;". ")&amp;IF(LEN(IF(LEN(INDEX('Dealer pipeline'!$Q$4:$Q$503,_calc!$E$336))=0,"",INDEX('Dealer pipeline'!$Q$4:$Q$503,_calc!$E$336)))=0,"","Status: "&amp;IF(LEN(INDEX('Dealer pipeline'!$Q$4:$Q$503,_calc!$E$336))=0,"",INDEX('Dealer pipeline'!$Q$4:$Q$503,_calc!$E$336))&amp;". ")&amp;IF(LEN(IF(LEN(INDEX('Dealer pipeline'!$P$4:$P$503,_calc!$E$336))=0,"",INDEX('Dealer pipeline'!$P$4:$P$503,_calc!$E$336)))=0,"","Last touch: "&amp;IF(LEN(INDEX('Dealer pipeline'!$P$4:$P$503,_calc!$E$336))=0,"",INDEX('Dealer pipeline'!$P$4:$P$503,_calc!$E$336))&amp;". ")&amp;IF(LEN(IF(LEN(INDEX('Dealer pipeline'!$R$4:$R$503,_calc!$E$336))=0,"",INDEX('Dealer pipeline'!$R$4:$R$503,_calc!$E$336)))=0,"","Owner: "&amp;IF(LEN(INDEX('Dealer pipeline'!$R$4:$R$503,_calc!$E$336))=0,"",INDEX('Dealer pipeline'!$R$4:$R$503,_calc!$E$336))&amp;". ")&amp;IF(LEN(IF(LEN(INDEX('Dealer pipeline'!$S$4:$S$503,_calc!$E$336))=0,"",INDEX('Dealer pipeline'!$S$4:$S$503,_calc!$E$336)))=0,"","Backup: "&amp;IF(LEN(INDEX('Dealer pipeline'!$S$4:$S$503,_calc!$E$336))=0,"",INDEX('Dealer pipeline'!$S$4:$S$503,_calc!$E$336))&amp;". ")&amp;IF(LEN(IF(LEN(INDEX('Dealer pipeline'!$T$4:$T$503,_calc!$E$336))=0,"",INDEX('Dealer pipeline'!$T$4:$T$503,_calc!$E$336)))=0,"",IF(LEN(INDEX('Dealer pipeline'!$T$4:$T$503,_calc!$E$336))=0,"",INDEX('Dealer pipeline'!$T$4:$T$503,_calc!$E$336)))),TRIM(IF(LEN(IF(LEN(INDEX('My equipment'!$C$4:$C$503,(_calc!$E$336-500)))=0,"",INDEX('My equipment'!$C$4:$C$503,(_calc!$E$336-500))))=0,"","Model: "&amp;IF(LEN(INDEX('My equipment'!$C$4:$C$503,(_calc!$E$336-500)))=0,"",INDEX('My equipment'!$C$4:$C$503,(_calc!$E$336-500)))&amp;". ")&amp;IF(LEN(IF(LEN(INDEX('My equipment'!$D$4:$D$503,(_calc!$E$336-500)))=0,"",INDEX('My equipment'!$D$4:$D$503,(_calc!$E$336-500))))=0,"","Serial: "&amp;IF(LEN(INDEX('My equipment'!$D$4:$D$503,(_calc!$E$336-500)))=0,"",INDEX('My equipment'!$D$4:$D$503,(_calc!$E$336-500)))&amp;". ")&amp;IF(LEN(IF(ISNUMBER(INDEX('My equipment'!$J$4:$J$503,(_calc!$E$336-500))),TEXT(INDEX('My equipment'!$J$4:$J$503,(_calc!$E$336-500)),"yyyy-mm-dd"),""))=0,"","Parts end: "&amp;IF(ISNUMBER(INDEX('My equipment'!$J$4:$J$503,(_calc!$E$336-500))),TEXT(INDEX('My equipment'!$J$4:$J$503,(_calc!$E$336-500)),"yyyy-mm-dd"),"")&amp;". ")&amp;IF(LEN(IF(ISNUMBER(INDEX('My equipment'!$L$4:$L$503,(_calc!$E$336-500))),TEXT(INDEX('My equipment'!$L$4:$L$503,(_calc!$E$336-500)),"yyyy-mm-dd"),""))=0,"","Labor end: "&amp;IF(ISNUMBER(INDEX('My equipment'!$L$4:$L$503,(_calc!$E$336-500))),TEXT(INDEX('My equipment'!$L$4:$L$503,(_calc!$E$336-500)),"yyyy-mm-dd"),"")&amp;". ")&amp;IF(LEN(IF(ISNUMBER(INDEX('My equipment'!$P$4:$P$503,(_calc!$E$336-500))),TEXT(INDEX('My equipment'!$P$4:$P$503,(_calc!$E$336-500)),"yyyy-mm-dd"),""))=0,"","Check by: "&amp;IF(ISNUMBER(INDEX('My equipment'!$P$4:$P$503,(_calc!$E$336-500))),TEXT(INDEX('My equipment'!$P$4:$P$503,(_calc!$E$336-500)),"yyyy-mm-dd"),"")&amp;". ")&amp;IF(LEN(IF(LEN(INDEX('My equipment'!$Q$4:$Q$503,(_calc!$E$336-500)))=0,"",INDEX('My equipment'!$Q$4:$Q$503,(_calc!$E$336-500))))=0,"","Claim status: "&amp;IF(LEN(INDEX('My equipment'!$Q$4:$Q$503,(_calc!$E$336-500)))=0,"",INDEX('My equipment'!$Q$4:$Q$503,(_calc!$E$336-500)))&amp;". ")&amp;IF(LEN(IF(LEN(INDEX('My equipment'!$R$4:$R$503,(_calc!$E$336-500)))=0,"",INDEX('My equipment'!$R$4:$R$503,(_calc!$E$336-500))))=0,"","Claims contact: "&amp;IF(LEN(INDEX('My equipment'!$R$4:$R$503,(_calc!$E$336-500)))=0,"",INDEX('My equipment'!$R$4:$R$503,(_calc!$E$336-500)))&amp;". ")&amp;IF(LEN(IF(LEN(INDEX('My equipment'!$S$4:$S$503,(_calc!$E$336-500)))=0,"",INDEX('My equipment'!$S$4:$S$503,(_calc!$E$336-500))))=0,"","Claims email: "&amp;IF(LEN(INDEX('My equipment'!$S$4:$S$503,(_calc!$E$336-500)))=0,"",INDEX('My equipment'!$S$4:$S$503,(_calc!$E$336-500)))&amp;". ")&amp;IF(LEN(IF(LEN(INDEX('My equipment'!$U$4:$U$503,(_calc!$E$336-500)))=0,"",INDEX('My equipment'!$U$4:$U$503,(_calc!$E$336-500))))=0,"","Registered: "&amp;IF(LEN(INDEX('My equipment'!$U$4:$U$503,(_calc!$E$336-500)))=0,"",INDEX('My equipment'!$U$4:$U$503,(_calc!$E$336-500)))&amp;". ")&amp;IF(LEN(IF(LEN(INDEX('My equipment'!$V$4:$V$503,(_calc!$E$336-500)))=0,"",INDEX('My equipment'!$V$4:$V$503,(_calc!$E$336-500))))=0,"","Proof on file: "&amp;IF(LEN(INDEX('My equipment'!$V$4:$V$503,(_calc!$E$336-500)))=0,"",INDEX('My equipment'!$V$4:$V$503,(_calc!$E$336-500)))&amp;". ")&amp;IF(LEN(IF(LEN(INDEX('My equipment'!$W$4:$W$503,(_calc!$E$336-500)))=0,"",INDEX('My equipment'!$W$4:$W$503,(_calc!$E$336-500))))=0,"","Claim ref: "&amp;IF(LEN(INDEX('My equipment'!$W$4:$W$503,(_calc!$E$336-500)))=0,"",INDEX('My equipment'!$W$4:$W$503,(_calc!$E$336-500)))&amp;". ")&amp;IF(LEN(IF(LEN(INDEX('My equipment'!$Y$4:$Y$503,(_calc!$E$336-500)))=0,"",INDEX('My equipment'!$Y$4:$Y$503,(_calc!$E$336-500))))=0,"",IF(LEN(INDEX('My equipment'!$Y$4:$Y$503,(_calc!$E$336-500)))=0,"",INDEX('My equipment'!$Y$4:$Y$503,(_calc!$E$336-500)))))))</f>
        <v/>
      </c>
      <c r="G334" s="54">
        <f>IF(_calc!$E$336="","",IF(_calc!$E$336&lt;=500,"",IF(LEN(INDEX('My equipment'!$X$4:$X$503,(_calc!$E$336-500)))=0,"",INDEX('My equipment'!$X$4:$X$503,(_calc!$E$336-500)))))</f>
        <v/>
      </c>
      <c r="K334" s="54">
        <f>IF(_calc!$E$336="","",IF(_calc!$E$336&lt;=500,"",IF(LEN(INDEX('My equipment'!$T$4:$T$503,(_calc!$E$336-500)))=0,"",INDEX('My equipment'!$T$4:$T$503,(_calc!$E$336-500)))))</f>
        <v/>
      </c>
    </row>
    <row r="335">
      <c r="A335" s="54">
        <f>IF(_calc!$E$337="","",IF(_calc!$E$337&lt;=500,"Warranty – "&amp;IF(LEN(INDEX('Dealer pipeline'!$C$4:$C$503,_calc!$E$337))=0,"",INDEX('Dealer pipeline'!$C$4:$C$503,_calc!$E$337))&amp;" – "&amp;IF(LEN(INDEX('Dealer pipeline'!$D$4:$D$503,_calc!$E$337))=0,"",INDEX('Dealer pipeline'!$D$4:$D$503,_calc!$E$337))&amp;" – "&amp;IF(LEN(INDEX('Dealer pipeline'!$A$4:$A$503,_calc!$E$337))=0,"",INDEX('Dealer pipeline'!$A$4:$A$503,_calc!$E$337)),"Warranty – "&amp;IF(LEN(INDEX('My equipment'!$A$4:$A$503,(_calc!$E$337-500)))=0,"",INDEX('My equipment'!$A$4:$A$503,(_calc!$E$337-500)))&amp;" – "&amp;IF(LEN(INDEX('My equipment'!$D$4:$D$503,(_calc!$E$337-500)))=0,"",INDEX('My equipment'!$D$4:$D$503,(_calc!$E$337-500)))))</f>
        <v/>
      </c>
      <c r="B335" s="54">
        <f>IF(_calc!$E$337="","",IF(_calc!$E$337&lt;=500,IF(ISNUMBER(INDEX('Dealer pipeline'!$M$4:$M$503,_calc!$E$337)),TEXT(INDEX('Dealer pipeline'!$M$4:$M$503,_calc!$E$337),"yyyy-mm-dd"),""),IF(ISNUMBER(INDEX('My equipment'!$M$4:$M$503,(_calc!$E$337-500))),TEXT(INDEX('My equipment'!$M$4:$M$503,(_calc!$E$337-500)),"yyyy-mm-dd"),"")))</f>
        <v/>
      </c>
      <c r="C335" s="54">
        <f>IF(_calc!$E$337="","",IF(_calc!$E$337&lt;=500,"Warranty","Warranty"))</f>
        <v/>
      </c>
      <c r="D335" s="54">
        <f>IF(_calc!$E$337="","",IF(_calc!$E$337&lt;=500,IF(ISNUMBER(INDEX('Dealer pipeline'!$H$4:$H$503,_calc!$E$337)),TEXT(INDEX('Dealer pipeline'!$H$4:$H$503,_calc!$E$337),"yyyy-mm-dd"),""),IF(ISNUMBER(INDEX('My equipment'!$H$4:$H$503,(_calc!$E$337-500))),TEXT(INDEX('My equipment'!$H$4:$H$503,(_calc!$E$337-500)),"yyyy-mm-dd"),"")))</f>
        <v/>
      </c>
      <c r="F335" s="54">
        <f>IF(_calc!$E$337="","",IF(_calc!$E$337&lt;=500,TRIM(IF(LEN(IF(LEN(INDEX('Dealer pipeline'!$A$4:$A$503,_calc!$E$337))=0,"",INDEX('Dealer pipeline'!$A$4:$A$503,_calc!$E$337)))=0,"","Customer: "&amp;IF(LEN(INDEX('Dealer pipeline'!$A$4:$A$503,_calc!$E$337))=0,"",INDEX('Dealer pipeline'!$A$4:$A$503,_calc!$E$337))&amp;". ")&amp;IF(LEN(IF(LEN(INDEX('Dealer pipeline'!$B$4:$B$503,_calc!$E$337))=0,"",INDEX('Dealer pipeline'!$B$4:$B$503,_calc!$E$337)))=0,"","Contact: "&amp;IF(LEN(INDEX('Dealer pipeline'!$B$4:$B$503,_calc!$E$337))=0,"",INDEX('Dealer pipeline'!$B$4:$B$503,_calc!$E$337))&amp;". ")&amp;IF(LEN(IF(LEN(INDEX('Dealer pipeline'!$D$4:$D$503,_calc!$E$337))=0,"",INDEX('Dealer pipeline'!$D$4:$D$503,_calc!$E$337)))=0,"","Serial: "&amp;IF(LEN(INDEX('Dealer pipeline'!$D$4:$D$503,_calc!$E$337))=0,"",INDEX('Dealer pipeline'!$D$4:$D$503,_calc!$E$337))&amp;". ")&amp;IF(LEN(IF(ISNUMBER(INDEX('Dealer pipeline'!$J$4:$J$503,_calc!$E$337)),TEXT(INDEX('Dealer pipeline'!$J$4:$J$503,_calc!$E$337),"yyyy-mm-dd"),""))=0,"","Parts end: "&amp;IF(ISNUMBER(INDEX('Dealer pipeline'!$J$4:$J$503,_calc!$E$337)),TEXT(INDEX('Dealer pipeline'!$J$4:$J$503,_calc!$E$337),"yyyy-mm-dd"),"")&amp;". ")&amp;IF(LEN(IF(ISNUMBER(INDEX('Dealer pipeline'!$L$4:$L$503,_calc!$E$337)),TEXT(INDEX('Dealer pipeline'!$L$4:$L$503,_calc!$E$337),"yyyy-mm-dd"),""))=0,"","Labor end: "&amp;IF(ISNUMBER(INDEX('Dealer pipeline'!$L$4:$L$503,_calc!$E$337)),TEXT(INDEX('Dealer pipeline'!$L$4:$L$503,_calc!$E$337),"yyyy-mm-dd"),"")&amp;". ")&amp;IF(LEN(IF(LEN(INDEX('Dealer pipeline'!$Q$4:$Q$503,_calc!$E$337))=0,"",INDEX('Dealer pipeline'!$Q$4:$Q$503,_calc!$E$337)))=0,"","Status: "&amp;IF(LEN(INDEX('Dealer pipeline'!$Q$4:$Q$503,_calc!$E$337))=0,"",INDEX('Dealer pipeline'!$Q$4:$Q$503,_calc!$E$337))&amp;". ")&amp;IF(LEN(IF(LEN(INDEX('Dealer pipeline'!$P$4:$P$503,_calc!$E$337))=0,"",INDEX('Dealer pipeline'!$P$4:$P$503,_calc!$E$337)))=0,"","Last touch: "&amp;IF(LEN(INDEX('Dealer pipeline'!$P$4:$P$503,_calc!$E$337))=0,"",INDEX('Dealer pipeline'!$P$4:$P$503,_calc!$E$337))&amp;". ")&amp;IF(LEN(IF(LEN(INDEX('Dealer pipeline'!$R$4:$R$503,_calc!$E$337))=0,"",INDEX('Dealer pipeline'!$R$4:$R$503,_calc!$E$337)))=0,"","Owner: "&amp;IF(LEN(INDEX('Dealer pipeline'!$R$4:$R$503,_calc!$E$337))=0,"",INDEX('Dealer pipeline'!$R$4:$R$503,_calc!$E$337))&amp;". ")&amp;IF(LEN(IF(LEN(INDEX('Dealer pipeline'!$S$4:$S$503,_calc!$E$337))=0,"",INDEX('Dealer pipeline'!$S$4:$S$503,_calc!$E$337)))=0,"","Backup: "&amp;IF(LEN(INDEX('Dealer pipeline'!$S$4:$S$503,_calc!$E$337))=0,"",INDEX('Dealer pipeline'!$S$4:$S$503,_calc!$E$337))&amp;". ")&amp;IF(LEN(IF(LEN(INDEX('Dealer pipeline'!$T$4:$T$503,_calc!$E$337))=0,"",INDEX('Dealer pipeline'!$T$4:$T$503,_calc!$E$337)))=0,"",IF(LEN(INDEX('Dealer pipeline'!$T$4:$T$503,_calc!$E$337))=0,"",INDEX('Dealer pipeline'!$T$4:$T$503,_calc!$E$337)))),TRIM(IF(LEN(IF(LEN(INDEX('My equipment'!$C$4:$C$503,(_calc!$E$337-500)))=0,"",INDEX('My equipment'!$C$4:$C$503,(_calc!$E$337-500))))=0,"","Model: "&amp;IF(LEN(INDEX('My equipment'!$C$4:$C$503,(_calc!$E$337-500)))=0,"",INDEX('My equipment'!$C$4:$C$503,(_calc!$E$337-500)))&amp;". ")&amp;IF(LEN(IF(LEN(INDEX('My equipment'!$D$4:$D$503,(_calc!$E$337-500)))=0,"",INDEX('My equipment'!$D$4:$D$503,(_calc!$E$337-500))))=0,"","Serial: "&amp;IF(LEN(INDEX('My equipment'!$D$4:$D$503,(_calc!$E$337-500)))=0,"",INDEX('My equipment'!$D$4:$D$503,(_calc!$E$337-500)))&amp;". ")&amp;IF(LEN(IF(ISNUMBER(INDEX('My equipment'!$J$4:$J$503,(_calc!$E$337-500))),TEXT(INDEX('My equipment'!$J$4:$J$503,(_calc!$E$337-500)),"yyyy-mm-dd"),""))=0,"","Parts end: "&amp;IF(ISNUMBER(INDEX('My equipment'!$J$4:$J$503,(_calc!$E$337-500))),TEXT(INDEX('My equipment'!$J$4:$J$503,(_calc!$E$337-500)),"yyyy-mm-dd"),"")&amp;". ")&amp;IF(LEN(IF(ISNUMBER(INDEX('My equipment'!$L$4:$L$503,(_calc!$E$337-500))),TEXT(INDEX('My equipment'!$L$4:$L$503,(_calc!$E$337-500)),"yyyy-mm-dd"),""))=0,"","Labor end: "&amp;IF(ISNUMBER(INDEX('My equipment'!$L$4:$L$503,(_calc!$E$337-500))),TEXT(INDEX('My equipment'!$L$4:$L$503,(_calc!$E$337-500)),"yyyy-mm-dd"),"")&amp;". ")&amp;IF(LEN(IF(ISNUMBER(INDEX('My equipment'!$P$4:$P$503,(_calc!$E$337-500))),TEXT(INDEX('My equipment'!$P$4:$P$503,(_calc!$E$337-500)),"yyyy-mm-dd"),""))=0,"","Check by: "&amp;IF(ISNUMBER(INDEX('My equipment'!$P$4:$P$503,(_calc!$E$337-500))),TEXT(INDEX('My equipment'!$P$4:$P$503,(_calc!$E$337-500)),"yyyy-mm-dd"),"")&amp;". ")&amp;IF(LEN(IF(LEN(INDEX('My equipment'!$Q$4:$Q$503,(_calc!$E$337-500)))=0,"",INDEX('My equipment'!$Q$4:$Q$503,(_calc!$E$337-500))))=0,"","Claim status: "&amp;IF(LEN(INDEX('My equipment'!$Q$4:$Q$503,(_calc!$E$337-500)))=0,"",INDEX('My equipment'!$Q$4:$Q$503,(_calc!$E$337-500)))&amp;". ")&amp;IF(LEN(IF(LEN(INDEX('My equipment'!$R$4:$R$503,(_calc!$E$337-500)))=0,"",INDEX('My equipment'!$R$4:$R$503,(_calc!$E$337-500))))=0,"","Claims contact: "&amp;IF(LEN(INDEX('My equipment'!$R$4:$R$503,(_calc!$E$337-500)))=0,"",INDEX('My equipment'!$R$4:$R$503,(_calc!$E$337-500)))&amp;". ")&amp;IF(LEN(IF(LEN(INDEX('My equipment'!$S$4:$S$503,(_calc!$E$337-500)))=0,"",INDEX('My equipment'!$S$4:$S$503,(_calc!$E$337-500))))=0,"","Claims email: "&amp;IF(LEN(INDEX('My equipment'!$S$4:$S$503,(_calc!$E$337-500)))=0,"",INDEX('My equipment'!$S$4:$S$503,(_calc!$E$337-500)))&amp;". ")&amp;IF(LEN(IF(LEN(INDEX('My equipment'!$U$4:$U$503,(_calc!$E$337-500)))=0,"",INDEX('My equipment'!$U$4:$U$503,(_calc!$E$337-500))))=0,"","Registered: "&amp;IF(LEN(INDEX('My equipment'!$U$4:$U$503,(_calc!$E$337-500)))=0,"",INDEX('My equipment'!$U$4:$U$503,(_calc!$E$337-500)))&amp;". ")&amp;IF(LEN(IF(LEN(INDEX('My equipment'!$V$4:$V$503,(_calc!$E$337-500)))=0,"",INDEX('My equipment'!$V$4:$V$503,(_calc!$E$337-500))))=0,"","Proof on file: "&amp;IF(LEN(INDEX('My equipment'!$V$4:$V$503,(_calc!$E$337-500)))=0,"",INDEX('My equipment'!$V$4:$V$503,(_calc!$E$337-500)))&amp;". ")&amp;IF(LEN(IF(LEN(INDEX('My equipment'!$W$4:$W$503,(_calc!$E$337-500)))=0,"",INDEX('My equipment'!$W$4:$W$503,(_calc!$E$337-500))))=0,"","Claim ref: "&amp;IF(LEN(INDEX('My equipment'!$W$4:$W$503,(_calc!$E$337-500)))=0,"",INDEX('My equipment'!$W$4:$W$503,(_calc!$E$337-500)))&amp;". ")&amp;IF(LEN(IF(LEN(INDEX('My equipment'!$Y$4:$Y$503,(_calc!$E$337-500)))=0,"",INDEX('My equipment'!$Y$4:$Y$503,(_calc!$E$337-500))))=0,"",IF(LEN(INDEX('My equipment'!$Y$4:$Y$503,(_calc!$E$337-500)))=0,"",INDEX('My equipment'!$Y$4:$Y$503,(_calc!$E$337-500)))))))</f>
        <v/>
      </c>
      <c r="G335" s="54">
        <f>IF(_calc!$E$337="","",IF(_calc!$E$337&lt;=500,"",IF(LEN(INDEX('My equipment'!$X$4:$X$503,(_calc!$E$337-500)))=0,"",INDEX('My equipment'!$X$4:$X$503,(_calc!$E$337-500)))))</f>
        <v/>
      </c>
      <c r="K335" s="54">
        <f>IF(_calc!$E$337="","",IF(_calc!$E$337&lt;=500,"",IF(LEN(INDEX('My equipment'!$T$4:$T$503,(_calc!$E$337-500)))=0,"",INDEX('My equipment'!$T$4:$T$503,(_calc!$E$337-500)))))</f>
        <v/>
      </c>
    </row>
    <row r="336">
      <c r="A336" s="54">
        <f>IF(_calc!$E$338="","",IF(_calc!$E$338&lt;=500,"Warranty – "&amp;IF(LEN(INDEX('Dealer pipeline'!$C$4:$C$503,_calc!$E$338))=0,"",INDEX('Dealer pipeline'!$C$4:$C$503,_calc!$E$338))&amp;" – "&amp;IF(LEN(INDEX('Dealer pipeline'!$D$4:$D$503,_calc!$E$338))=0,"",INDEX('Dealer pipeline'!$D$4:$D$503,_calc!$E$338))&amp;" – "&amp;IF(LEN(INDEX('Dealer pipeline'!$A$4:$A$503,_calc!$E$338))=0,"",INDEX('Dealer pipeline'!$A$4:$A$503,_calc!$E$338)),"Warranty – "&amp;IF(LEN(INDEX('My equipment'!$A$4:$A$503,(_calc!$E$338-500)))=0,"",INDEX('My equipment'!$A$4:$A$503,(_calc!$E$338-500)))&amp;" – "&amp;IF(LEN(INDEX('My equipment'!$D$4:$D$503,(_calc!$E$338-500)))=0,"",INDEX('My equipment'!$D$4:$D$503,(_calc!$E$338-500)))))</f>
        <v/>
      </c>
      <c r="B336" s="54">
        <f>IF(_calc!$E$338="","",IF(_calc!$E$338&lt;=500,IF(ISNUMBER(INDEX('Dealer pipeline'!$M$4:$M$503,_calc!$E$338)),TEXT(INDEX('Dealer pipeline'!$M$4:$M$503,_calc!$E$338),"yyyy-mm-dd"),""),IF(ISNUMBER(INDEX('My equipment'!$M$4:$M$503,(_calc!$E$338-500))),TEXT(INDEX('My equipment'!$M$4:$M$503,(_calc!$E$338-500)),"yyyy-mm-dd"),"")))</f>
        <v/>
      </c>
      <c r="C336" s="54">
        <f>IF(_calc!$E$338="","",IF(_calc!$E$338&lt;=500,"Warranty","Warranty"))</f>
        <v/>
      </c>
      <c r="D336" s="54">
        <f>IF(_calc!$E$338="","",IF(_calc!$E$338&lt;=500,IF(ISNUMBER(INDEX('Dealer pipeline'!$H$4:$H$503,_calc!$E$338)),TEXT(INDEX('Dealer pipeline'!$H$4:$H$503,_calc!$E$338),"yyyy-mm-dd"),""),IF(ISNUMBER(INDEX('My equipment'!$H$4:$H$503,(_calc!$E$338-500))),TEXT(INDEX('My equipment'!$H$4:$H$503,(_calc!$E$338-500)),"yyyy-mm-dd"),"")))</f>
        <v/>
      </c>
      <c r="F336" s="54">
        <f>IF(_calc!$E$338="","",IF(_calc!$E$338&lt;=500,TRIM(IF(LEN(IF(LEN(INDEX('Dealer pipeline'!$A$4:$A$503,_calc!$E$338))=0,"",INDEX('Dealer pipeline'!$A$4:$A$503,_calc!$E$338)))=0,"","Customer: "&amp;IF(LEN(INDEX('Dealer pipeline'!$A$4:$A$503,_calc!$E$338))=0,"",INDEX('Dealer pipeline'!$A$4:$A$503,_calc!$E$338))&amp;". ")&amp;IF(LEN(IF(LEN(INDEX('Dealer pipeline'!$B$4:$B$503,_calc!$E$338))=0,"",INDEX('Dealer pipeline'!$B$4:$B$503,_calc!$E$338)))=0,"","Contact: "&amp;IF(LEN(INDEX('Dealer pipeline'!$B$4:$B$503,_calc!$E$338))=0,"",INDEX('Dealer pipeline'!$B$4:$B$503,_calc!$E$338))&amp;". ")&amp;IF(LEN(IF(LEN(INDEX('Dealer pipeline'!$D$4:$D$503,_calc!$E$338))=0,"",INDEX('Dealer pipeline'!$D$4:$D$503,_calc!$E$338)))=0,"","Serial: "&amp;IF(LEN(INDEX('Dealer pipeline'!$D$4:$D$503,_calc!$E$338))=0,"",INDEX('Dealer pipeline'!$D$4:$D$503,_calc!$E$338))&amp;". ")&amp;IF(LEN(IF(ISNUMBER(INDEX('Dealer pipeline'!$J$4:$J$503,_calc!$E$338)),TEXT(INDEX('Dealer pipeline'!$J$4:$J$503,_calc!$E$338),"yyyy-mm-dd"),""))=0,"","Parts end: "&amp;IF(ISNUMBER(INDEX('Dealer pipeline'!$J$4:$J$503,_calc!$E$338)),TEXT(INDEX('Dealer pipeline'!$J$4:$J$503,_calc!$E$338),"yyyy-mm-dd"),"")&amp;". ")&amp;IF(LEN(IF(ISNUMBER(INDEX('Dealer pipeline'!$L$4:$L$503,_calc!$E$338)),TEXT(INDEX('Dealer pipeline'!$L$4:$L$503,_calc!$E$338),"yyyy-mm-dd"),""))=0,"","Labor end: "&amp;IF(ISNUMBER(INDEX('Dealer pipeline'!$L$4:$L$503,_calc!$E$338)),TEXT(INDEX('Dealer pipeline'!$L$4:$L$503,_calc!$E$338),"yyyy-mm-dd"),"")&amp;". ")&amp;IF(LEN(IF(LEN(INDEX('Dealer pipeline'!$Q$4:$Q$503,_calc!$E$338))=0,"",INDEX('Dealer pipeline'!$Q$4:$Q$503,_calc!$E$338)))=0,"","Status: "&amp;IF(LEN(INDEX('Dealer pipeline'!$Q$4:$Q$503,_calc!$E$338))=0,"",INDEX('Dealer pipeline'!$Q$4:$Q$503,_calc!$E$338))&amp;". ")&amp;IF(LEN(IF(LEN(INDEX('Dealer pipeline'!$P$4:$P$503,_calc!$E$338))=0,"",INDEX('Dealer pipeline'!$P$4:$P$503,_calc!$E$338)))=0,"","Last touch: "&amp;IF(LEN(INDEX('Dealer pipeline'!$P$4:$P$503,_calc!$E$338))=0,"",INDEX('Dealer pipeline'!$P$4:$P$503,_calc!$E$338))&amp;". ")&amp;IF(LEN(IF(LEN(INDEX('Dealer pipeline'!$R$4:$R$503,_calc!$E$338))=0,"",INDEX('Dealer pipeline'!$R$4:$R$503,_calc!$E$338)))=0,"","Owner: "&amp;IF(LEN(INDEX('Dealer pipeline'!$R$4:$R$503,_calc!$E$338))=0,"",INDEX('Dealer pipeline'!$R$4:$R$503,_calc!$E$338))&amp;". ")&amp;IF(LEN(IF(LEN(INDEX('Dealer pipeline'!$S$4:$S$503,_calc!$E$338))=0,"",INDEX('Dealer pipeline'!$S$4:$S$503,_calc!$E$338)))=0,"","Backup: "&amp;IF(LEN(INDEX('Dealer pipeline'!$S$4:$S$503,_calc!$E$338))=0,"",INDEX('Dealer pipeline'!$S$4:$S$503,_calc!$E$338))&amp;". ")&amp;IF(LEN(IF(LEN(INDEX('Dealer pipeline'!$T$4:$T$503,_calc!$E$338))=0,"",INDEX('Dealer pipeline'!$T$4:$T$503,_calc!$E$338)))=0,"",IF(LEN(INDEX('Dealer pipeline'!$T$4:$T$503,_calc!$E$338))=0,"",INDEX('Dealer pipeline'!$T$4:$T$503,_calc!$E$338)))),TRIM(IF(LEN(IF(LEN(INDEX('My equipment'!$C$4:$C$503,(_calc!$E$338-500)))=0,"",INDEX('My equipment'!$C$4:$C$503,(_calc!$E$338-500))))=0,"","Model: "&amp;IF(LEN(INDEX('My equipment'!$C$4:$C$503,(_calc!$E$338-500)))=0,"",INDEX('My equipment'!$C$4:$C$503,(_calc!$E$338-500)))&amp;". ")&amp;IF(LEN(IF(LEN(INDEX('My equipment'!$D$4:$D$503,(_calc!$E$338-500)))=0,"",INDEX('My equipment'!$D$4:$D$503,(_calc!$E$338-500))))=0,"","Serial: "&amp;IF(LEN(INDEX('My equipment'!$D$4:$D$503,(_calc!$E$338-500)))=0,"",INDEX('My equipment'!$D$4:$D$503,(_calc!$E$338-500)))&amp;". ")&amp;IF(LEN(IF(ISNUMBER(INDEX('My equipment'!$J$4:$J$503,(_calc!$E$338-500))),TEXT(INDEX('My equipment'!$J$4:$J$503,(_calc!$E$338-500)),"yyyy-mm-dd"),""))=0,"","Parts end: "&amp;IF(ISNUMBER(INDEX('My equipment'!$J$4:$J$503,(_calc!$E$338-500))),TEXT(INDEX('My equipment'!$J$4:$J$503,(_calc!$E$338-500)),"yyyy-mm-dd"),"")&amp;". ")&amp;IF(LEN(IF(ISNUMBER(INDEX('My equipment'!$L$4:$L$503,(_calc!$E$338-500))),TEXT(INDEX('My equipment'!$L$4:$L$503,(_calc!$E$338-500)),"yyyy-mm-dd"),""))=0,"","Labor end: "&amp;IF(ISNUMBER(INDEX('My equipment'!$L$4:$L$503,(_calc!$E$338-500))),TEXT(INDEX('My equipment'!$L$4:$L$503,(_calc!$E$338-500)),"yyyy-mm-dd"),"")&amp;". ")&amp;IF(LEN(IF(ISNUMBER(INDEX('My equipment'!$P$4:$P$503,(_calc!$E$338-500))),TEXT(INDEX('My equipment'!$P$4:$P$503,(_calc!$E$338-500)),"yyyy-mm-dd"),""))=0,"","Check by: "&amp;IF(ISNUMBER(INDEX('My equipment'!$P$4:$P$503,(_calc!$E$338-500))),TEXT(INDEX('My equipment'!$P$4:$P$503,(_calc!$E$338-500)),"yyyy-mm-dd"),"")&amp;". ")&amp;IF(LEN(IF(LEN(INDEX('My equipment'!$Q$4:$Q$503,(_calc!$E$338-500)))=0,"",INDEX('My equipment'!$Q$4:$Q$503,(_calc!$E$338-500))))=0,"","Claim status: "&amp;IF(LEN(INDEX('My equipment'!$Q$4:$Q$503,(_calc!$E$338-500)))=0,"",INDEX('My equipment'!$Q$4:$Q$503,(_calc!$E$338-500)))&amp;". ")&amp;IF(LEN(IF(LEN(INDEX('My equipment'!$R$4:$R$503,(_calc!$E$338-500)))=0,"",INDEX('My equipment'!$R$4:$R$503,(_calc!$E$338-500))))=0,"","Claims contact: "&amp;IF(LEN(INDEX('My equipment'!$R$4:$R$503,(_calc!$E$338-500)))=0,"",INDEX('My equipment'!$R$4:$R$503,(_calc!$E$338-500)))&amp;". ")&amp;IF(LEN(IF(LEN(INDEX('My equipment'!$S$4:$S$503,(_calc!$E$338-500)))=0,"",INDEX('My equipment'!$S$4:$S$503,(_calc!$E$338-500))))=0,"","Claims email: "&amp;IF(LEN(INDEX('My equipment'!$S$4:$S$503,(_calc!$E$338-500)))=0,"",INDEX('My equipment'!$S$4:$S$503,(_calc!$E$338-500)))&amp;". ")&amp;IF(LEN(IF(LEN(INDEX('My equipment'!$U$4:$U$503,(_calc!$E$338-500)))=0,"",INDEX('My equipment'!$U$4:$U$503,(_calc!$E$338-500))))=0,"","Registered: "&amp;IF(LEN(INDEX('My equipment'!$U$4:$U$503,(_calc!$E$338-500)))=0,"",INDEX('My equipment'!$U$4:$U$503,(_calc!$E$338-500)))&amp;". ")&amp;IF(LEN(IF(LEN(INDEX('My equipment'!$V$4:$V$503,(_calc!$E$338-500)))=0,"",INDEX('My equipment'!$V$4:$V$503,(_calc!$E$338-500))))=0,"","Proof on file: "&amp;IF(LEN(INDEX('My equipment'!$V$4:$V$503,(_calc!$E$338-500)))=0,"",INDEX('My equipment'!$V$4:$V$503,(_calc!$E$338-500)))&amp;". ")&amp;IF(LEN(IF(LEN(INDEX('My equipment'!$W$4:$W$503,(_calc!$E$338-500)))=0,"",INDEX('My equipment'!$W$4:$W$503,(_calc!$E$338-500))))=0,"","Claim ref: "&amp;IF(LEN(INDEX('My equipment'!$W$4:$W$503,(_calc!$E$338-500)))=0,"",INDEX('My equipment'!$W$4:$W$503,(_calc!$E$338-500)))&amp;". ")&amp;IF(LEN(IF(LEN(INDEX('My equipment'!$Y$4:$Y$503,(_calc!$E$338-500)))=0,"",INDEX('My equipment'!$Y$4:$Y$503,(_calc!$E$338-500))))=0,"",IF(LEN(INDEX('My equipment'!$Y$4:$Y$503,(_calc!$E$338-500)))=0,"",INDEX('My equipment'!$Y$4:$Y$503,(_calc!$E$338-500)))))))</f>
        <v/>
      </c>
      <c r="G336" s="54">
        <f>IF(_calc!$E$338="","",IF(_calc!$E$338&lt;=500,"",IF(LEN(INDEX('My equipment'!$X$4:$X$503,(_calc!$E$338-500)))=0,"",INDEX('My equipment'!$X$4:$X$503,(_calc!$E$338-500)))))</f>
        <v/>
      </c>
      <c r="K336" s="54">
        <f>IF(_calc!$E$338="","",IF(_calc!$E$338&lt;=500,"",IF(LEN(INDEX('My equipment'!$T$4:$T$503,(_calc!$E$338-500)))=0,"",INDEX('My equipment'!$T$4:$T$503,(_calc!$E$338-500)))))</f>
        <v/>
      </c>
    </row>
    <row r="337">
      <c r="A337" s="54">
        <f>IF(_calc!$E$339="","",IF(_calc!$E$339&lt;=500,"Warranty – "&amp;IF(LEN(INDEX('Dealer pipeline'!$C$4:$C$503,_calc!$E$339))=0,"",INDEX('Dealer pipeline'!$C$4:$C$503,_calc!$E$339))&amp;" – "&amp;IF(LEN(INDEX('Dealer pipeline'!$D$4:$D$503,_calc!$E$339))=0,"",INDEX('Dealer pipeline'!$D$4:$D$503,_calc!$E$339))&amp;" – "&amp;IF(LEN(INDEX('Dealer pipeline'!$A$4:$A$503,_calc!$E$339))=0,"",INDEX('Dealer pipeline'!$A$4:$A$503,_calc!$E$339)),"Warranty – "&amp;IF(LEN(INDEX('My equipment'!$A$4:$A$503,(_calc!$E$339-500)))=0,"",INDEX('My equipment'!$A$4:$A$503,(_calc!$E$339-500)))&amp;" – "&amp;IF(LEN(INDEX('My equipment'!$D$4:$D$503,(_calc!$E$339-500)))=0,"",INDEX('My equipment'!$D$4:$D$503,(_calc!$E$339-500)))))</f>
        <v/>
      </c>
      <c r="B337" s="54">
        <f>IF(_calc!$E$339="","",IF(_calc!$E$339&lt;=500,IF(ISNUMBER(INDEX('Dealer pipeline'!$M$4:$M$503,_calc!$E$339)),TEXT(INDEX('Dealer pipeline'!$M$4:$M$503,_calc!$E$339),"yyyy-mm-dd"),""),IF(ISNUMBER(INDEX('My equipment'!$M$4:$M$503,(_calc!$E$339-500))),TEXT(INDEX('My equipment'!$M$4:$M$503,(_calc!$E$339-500)),"yyyy-mm-dd"),"")))</f>
        <v/>
      </c>
      <c r="C337" s="54">
        <f>IF(_calc!$E$339="","",IF(_calc!$E$339&lt;=500,"Warranty","Warranty"))</f>
        <v/>
      </c>
      <c r="D337" s="54">
        <f>IF(_calc!$E$339="","",IF(_calc!$E$339&lt;=500,IF(ISNUMBER(INDEX('Dealer pipeline'!$H$4:$H$503,_calc!$E$339)),TEXT(INDEX('Dealer pipeline'!$H$4:$H$503,_calc!$E$339),"yyyy-mm-dd"),""),IF(ISNUMBER(INDEX('My equipment'!$H$4:$H$503,(_calc!$E$339-500))),TEXT(INDEX('My equipment'!$H$4:$H$503,(_calc!$E$339-500)),"yyyy-mm-dd"),"")))</f>
        <v/>
      </c>
      <c r="F337" s="54">
        <f>IF(_calc!$E$339="","",IF(_calc!$E$339&lt;=500,TRIM(IF(LEN(IF(LEN(INDEX('Dealer pipeline'!$A$4:$A$503,_calc!$E$339))=0,"",INDEX('Dealer pipeline'!$A$4:$A$503,_calc!$E$339)))=0,"","Customer: "&amp;IF(LEN(INDEX('Dealer pipeline'!$A$4:$A$503,_calc!$E$339))=0,"",INDEX('Dealer pipeline'!$A$4:$A$503,_calc!$E$339))&amp;". ")&amp;IF(LEN(IF(LEN(INDEX('Dealer pipeline'!$B$4:$B$503,_calc!$E$339))=0,"",INDEX('Dealer pipeline'!$B$4:$B$503,_calc!$E$339)))=0,"","Contact: "&amp;IF(LEN(INDEX('Dealer pipeline'!$B$4:$B$503,_calc!$E$339))=0,"",INDEX('Dealer pipeline'!$B$4:$B$503,_calc!$E$339))&amp;". ")&amp;IF(LEN(IF(LEN(INDEX('Dealer pipeline'!$D$4:$D$503,_calc!$E$339))=0,"",INDEX('Dealer pipeline'!$D$4:$D$503,_calc!$E$339)))=0,"","Serial: "&amp;IF(LEN(INDEX('Dealer pipeline'!$D$4:$D$503,_calc!$E$339))=0,"",INDEX('Dealer pipeline'!$D$4:$D$503,_calc!$E$339))&amp;". ")&amp;IF(LEN(IF(ISNUMBER(INDEX('Dealer pipeline'!$J$4:$J$503,_calc!$E$339)),TEXT(INDEX('Dealer pipeline'!$J$4:$J$503,_calc!$E$339),"yyyy-mm-dd"),""))=0,"","Parts end: "&amp;IF(ISNUMBER(INDEX('Dealer pipeline'!$J$4:$J$503,_calc!$E$339)),TEXT(INDEX('Dealer pipeline'!$J$4:$J$503,_calc!$E$339),"yyyy-mm-dd"),"")&amp;". ")&amp;IF(LEN(IF(ISNUMBER(INDEX('Dealer pipeline'!$L$4:$L$503,_calc!$E$339)),TEXT(INDEX('Dealer pipeline'!$L$4:$L$503,_calc!$E$339),"yyyy-mm-dd"),""))=0,"","Labor end: "&amp;IF(ISNUMBER(INDEX('Dealer pipeline'!$L$4:$L$503,_calc!$E$339)),TEXT(INDEX('Dealer pipeline'!$L$4:$L$503,_calc!$E$339),"yyyy-mm-dd"),"")&amp;". ")&amp;IF(LEN(IF(LEN(INDEX('Dealer pipeline'!$Q$4:$Q$503,_calc!$E$339))=0,"",INDEX('Dealer pipeline'!$Q$4:$Q$503,_calc!$E$339)))=0,"","Status: "&amp;IF(LEN(INDEX('Dealer pipeline'!$Q$4:$Q$503,_calc!$E$339))=0,"",INDEX('Dealer pipeline'!$Q$4:$Q$503,_calc!$E$339))&amp;". ")&amp;IF(LEN(IF(LEN(INDEX('Dealer pipeline'!$P$4:$P$503,_calc!$E$339))=0,"",INDEX('Dealer pipeline'!$P$4:$P$503,_calc!$E$339)))=0,"","Last touch: "&amp;IF(LEN(INDEX('Dealer pipeline'!$P$4:$P$503,_calc!$E$339))=0,"",INDEX('Dealer pipeline'!$P$4:$P$503,_calc!$E$339))&amp;". ")&amp;IF(LEN(IF(LEN(INDEX('Dealer pipeline'!$R$4:$R$503,_calc!$E$339))=0,"",INDEX('Dealer pipeline'!$R$4:$R$503,_calc!$E$339)))=0,"","Owner: "&amp;IF(LEN(INDEX('Dealer pipeline'!$R$4:$R$503,_calc!$E$339))=0,"",INDEX('Dealer pipeline'!$R$4:$R$503,_calc!$E$339))&amp;". ")&amp;IF(LEN(IF(LEN(INDEX('Dealer pipeline'!$S$4:$S$503,_calc!$E$339))=0,"",INDEX('Dealer pipeline'!$S$4:$S$503,_calc!$E$339)))=0,"","Backup: "&amp;IF(LEN(INDEX('Dealer pipeline'!$S$4:$S$503,_calc!$E$339))=0,"",INDEX('Dealer pipeline'!$S$4:$S$503,_calc!$E$339))&amp;". ")&amp;IF(LEN(IF(LEN(INDEX('Dealer pipeline'!$T$4:$T$503,_calc!$E$339))=0,"",INDEX('Dealer pipeline'!$T$4:$T$503,_calc!$E$339)))=0,"",IF(LEN(INDEX('Dealer pipeline'!$T$4:$T$503,_calc!$E$339))=0,"",INDEX('Dealer pipeline'!$T$4:$T$503,_calc!$E$339)))),TRIM(IF(LEN(IF(LEN(INDEX('My equipment'!$C$4:$C$503,(_calc!$E$339-500)))=0,"",INDEX('My equipment'!$C$4:$C$503,(_calc!$E$339-500))))=0,"","Model: "&amp;IF(LEN(INDEX('My equipment'!$C$4:$C$503,(_calc!$E$339-500)))=0,"",INDEX('My equipment'!$C$4:$C$503,(_calc!$E$339-500)))&amp;". ")&amp;IF(LEN(IF(LEN(INDEX('My equipment'!$D$4:$D$503,(_calc!$E$339-500)))=0,"",INDEX('My equipment'!$D$4:$D$503,(_calc!$E$339-500))))=0,"","Serial: "&amp;IF(LEN(INDEX('My equipment'!$D$4:$D$503,(_calc!$E$339-500)))=0,"",INDEX('My equipment'!$D$4:$D$503,(_calc!$E$339-500)))&amp;". ")&amp;IF(LEN(IF(ISNUMBER(INDEX('My equipment'!$J$4:$J$503,(_calc!$E$339-500))),TEXT(INDEX('My equipment'!$J$4:$J$503,(_calc!$E$339-500)),"yyyy-mm-dd"),""))=0,"","Parts end: "&amp;IF(ISNUMBER(INDEX('My equipment'!$J$4:$J$503,(_calc!$E$339-500))),TEXT(INDEX('My equipment'!$J$4:$J$503,(_calc!$E$339-500)),"yyyy-mm-dd"),"")&amp;". ")&amp;IF(LEN(IF(ISNUMBER(INDEX('My equipment'!$L$4:$L$503,(_calc!$E$339-500))),TEXT(INDEX('My equipment'!$L$4:$L$503,(_calc!$E$339-500)),"yyyy-mm-dd"),""))=0,"","Labor end: "&amp;IF(ISNUMBER(INDEX('My equipment'!$L$4:$L$503,(_calc!$E$339-500))),TEXT(INDEX('My equipment'!$L$4:$L$503,(_calc!$E$339-500)),"yyyy-mm-dd"),"")&amp;". ")&amp;IF(LEN(IF(ISNUMBER(INDEX('My equipment'!$P$4:$P$503,(_calc!$E$339-500))),TEXT(INDEX('My equipment'!$P$4:$P$503,(_calc!$E$339-500)),"yyyy-mm-dd"),""))=0,"","Check by: "&amp;IF(ISNUMBER(INDEX('My equipment'!$P$4:$P$503,(_calc!$E$339-500))),TEXT(INDEX('My equipment'!$P$4:$P$503,(_calc!$E$339-500)),"yyyy-mm-dd"),"")&amp;". ")&amp;IF(LEN(IF(LEN(INDEX('My equipment'!$Q$4:$Q$503,(_calc!$E$339-500)))=0,"",INDEX('My equipment'!$Q$4:$Q$503,(_calc!$E$339-500))))=0,"","Claim status: "&amp;IF(LEN(INDEX('My equipment'!$Q$4:$Q$503,(_calc!$E$339-500)))=0,"",INDEX('My equipment'!$Q$4:$Q$503,(_calc!$E$339-500)))&amp;". ")&amp;IF(LEN(IF(LEN(INDEX('My equipment'!$R$4:$R$503,(_calc!$E$339-500)))=0,"",INDEX('My equipment'!$R$4:$R$503,(_calc!$E$339-500))))=0,"","Claims contact: "&amp;IF(LEN(INDEX('My equipment'!$R$4:$R$503,(_calc!$E$339-500)))=0,"",INDEX('My equipment'!$R$4:$R$503,(_calc!$E$339-500)))&amp;". ")&amp;IF(LEN(IF(LEN(INDEX('My equipment'!$S$4:$S$503,(_calc!$E$339-500)))=0,"",INDEX('My equipment'!$S$4:$S$503,(_calc!$E$339-500))))=0,"","Claims email: "&amp;IF(LEN(INDEX('My equipment'!$S$4:$S$503,(_calc!$E$339-500)))=0,"",INDEX('My equipment'!$S$4:$S$503,(_calc!$E$339-500)))&amp;". ")&amp;IF(LEN(IF(LEN(INDEX('My equipment'!$U$4:$U$503,(_calc!$E$339-500)))=0,"",INDEX('My equipment'!$U$4:$U$503,(_calc!$E$339-500))))=0,"","Registered: "&amp;IF(LEN(INDEX('My equipment'!$U$4:$U$503,(_calc!$E$339-500)))=0,"",INDEX('My equipment'!$U$4:$U$503,(_calc!$E$339-500)))&amp;". ")&amp;IF(LEN(IF(LEN(INDEX('My equipment'!$V$4:$V$503,(_calc!$E$339-500)))=0,"",INDEX('My equipment'!$V$4:$V$503,(_calc!$E$339-500))))=0,"","Proof on file: "&amp;IF(LEN(INDEX('My equipment'!$V$4:$V$503,(_calc!$E$339-500)))=0,"",INDEX('My equipment'!$V$4:$V$503,(_calc!$E$339-500)))&amp;". ")&amp;IF(LEN(IF(LEN(INDEX('My equipment'!$W$4:$W$503,(_calc!$E$339-500)))=0,"",INDEX('My equipment'!$W$4:$W$503,(_calc!$E$339-500))))=0,"","Claim ref: "&amp;IF(LEN(INDEX('My equipment'!$W$4:$W$503,(_calc!$E$339-500)))=0,"",INDEX('My equipment'!$W$4:$W$503,(_calc!$E$339-500)))&amp;". ")&amp;IF(LEN(IF(LEN(INDEX('My equipment'!$Y$4:$Y$503,(_calc!$E$339-500)))=0,"",INDEX('My equipment'!$Y$4:$Y$503,(_calc!$E$339-500))))=0,"",IF(LEN(INDEX('My equipment'!$Y$4:$Y$503,(_calc!$E$339-500)))=0,"",INDEX('My equipment'!$Y$4:$Y$503,(_calc!$E$339-500)))))))</f>
        <v/>
      </c>
      <c r="G337" s="54">
        <f>IF(_calc!$E$339="","",IF(_calc!$E$339&lt;=500,"",IF(LEN(INDEX('My equipment'!$X$4:$X$503,(_calc!$E$339-500)))=0,"",INDEX('My equipment'!$X$4:$X$503,(_calc!$E$339-500)))))</f>
        <v/>
      </c>
      <c r="K337" s="54">
        <f>IF(_calc!$E$339="","",IF(_calc!$E$339&lt;=500,"",IF(LEN(INDEX('My equipment'!$T$4:$T$503,(_calc!$E$339-500)))=0,"",INDEX('My equipment'!$T$4:$T$503,(_calc!$E$339-500)))))</f>
        <v/>
      </c>
    </row>
    <row r="338">
      <c r="A338" s="54">
        <f>IF(_calc!$E$340="","",IF(_calc!$E$340&lt;=500,"Warranty – "&amp;IF(LEN(INDEX('Dealer pipeline'!$C$4:$C$503,_calc!$E$340))=0,"",INDEX('Dealer pipeline'!$C$4:$C$503,_calc!$E$340))&amp;" – "&amp;IF(LEN(INDEX('Dealer pipeline'!$D$4:$D$503,_calc!$E$340))=0,"",INDEX('Dealer pipeline'!$D$4:$D$503,_calc!$E$340))&amp;" – "&amp;IF(LEN(INDEX('Dealer pipeline'!$A$4:$A$503,_calc!$E$340))=0,"",INDEX('Dealer pipeline'!$A$4:$A$503,_calc!$E$340)),"Warranty – "&amp;IF(LEN(INDEX('My equipment'!$A$4:$A$503,(_calc!$E$340-500)))=0,"",INDEX('My equipment'!$A$4:$A$503,(_calc!$E$340-500)))&amp;" – "&amp;IF(LEN(INDEX('My equipment'!$D$4:$D$503,(_calc!$E$340-500)))=0,"",INDEX('My equipment'!$D$4:$D$503,(_calc!$E$340-500)))))</f>
        <v/>
      </c>
      <c r="B338" s="54">
        <f>IF(_calc!$E$340="","",IF(_calc!$E$340&lt;=500,IF(ISNUMBER(INDEX('Dealer pipeline'!$M$4:$M$503,_calc!$E$340)),TEXT(INDEX('Dealer pipeline'!$M$4:$M$503,_calc!$E$340),"yyyy-mm-dd"),""),IF(ISNUMBER(INDEX('My equipment'!$M$4:$M$503,(_calc!$E$340-500))),TEXT(INDEX('My equipment'!$M$4:$M$503,(_calc!$E$340-500)),"yyyy-mm-dd"),"")))</f>
        <v/>
      </c>
      <c r="C338" s="54">
        <f>IF(_calc!$E$340="","",IF(_calc!$E$340&lt;=500,"Warranty","Warranty"))</f>
        <v/>
      </c>
      <c r="D338" s="54">
        <f>IF(_calc!$E$340="","",IF(_calc!$E$340&lt;=500,IF(ISNUMBER(INDEX('Dealer pipeline'!$H$4:$H$503,_calc!$E$340)),TEXT(INDEX('Dealer pipeline'!$H$4:$H$503,_calc!$E$340),"yyyy-mm-dd"),""),IF(ISNUMBER(INDEX('My equipment'!$H$4:$H$503,(_calc!$E$340-500))),TEXT(INDEX('My equipment'!$H$4:$H$503,(_calc!$E$340-500)),"yyyy-mm-dd"),"")))</f>
        <v/>
      </c>
      <c r="F338" s="54">
        <f>IF(_calc!$E$340="","",IF(_calc!$E$340&lt;=500,TRIM(IF(LEN(IF(LEN(INDEX('Dealer pipeline'!$A$4:$A$503,_calc!$E$340))=0,"",INDEX('Dealer pipeline'!$A$4:$A$503,_calc!$E$340)))=0,"","Customer: "&amp;IF(LEN(INDEX('Dealer pipeline'!$A$4:$A$503,_calc!$E$340))=0,"",INDEX('Dealer pipeline'!$A$4:$A$503,_calc!$E$340))&amp;". ")&amp;IF(LEN(IF(LEN(INDEX('Dealer pipeline'!$B$4:$B$503,_calc!$E$340))=0,"",INDEX('Dealer pipeline'!$B$4:$B$503,_calc!$E$340)))=0,"","Contact: "&amp;IF(LEN(INDEX('Dealer pipeline'!$B$4:$B$503,_calc!$E$340))=0,"",INDEX('Dealer pipeline'!$B$4:$B$503,_calc!$E$340))&amp;". ")&amp;IF(LEN(IF(LEN(INDEX('Dealer pipeline'!$D$4:$D$503,_calc!$E$340))=0,"",INDEX('Dealer pipeline'!$D$4:$D$503,_calc!$E$340)))=0,"","Serial: "&amp;IF(LEN(INDEX('Dealer pipeline'!$D$4:$D$503,_calc!$E$340))=0,"",INDEX('Dealer pipeline'!$D$4:$D$503,_calc!$E$340))&amp;". ")&amp;IF(LEN(IF(ISNUMBER(INDEX('Dealer pipeline'!$J$4:$J$503,_calc!$E$340)),TEXT(INDEX('Dealer pipeline'!$J$4:$J$503,_calc!$E$340),"yyyy-mm-dd"),""))=0,"","Parts end: "&amp;IF(ISNUMBER(INDEX('Dealer pipeline'!$J$4:$J$503,_calc!$E$340)),TEXT(INDEX('Dealer pipeline'!$J$4:$J$503,_calc!$E$340),"yyyy-mm-dd"),"")&amp;". ")&amp;IF(LEN(IF(ISNUMBER(INDEX('Dealer pipeline'!$L$4:$L$503,_calc!$E$340)),TEXT(INDEX('Dealer pipeline'!$L$4:$L$503,_calc!$E$340),"yyyy-mm-dd"),""))=0,"","Labor end: "&amp;IF(ISNUMBER(INDEX('Dealer pipeline'!$L$4:$L$503,_calc!$E$340)),TEXT(INDEX('Dealer pipeline'!$L$4:$L$503,_calc!$E$340),"yyyy-mm-dd"),"")&amp;". ")&amp;IF(LEN(IF(LEN(INDEX('Dealer pipeline'!$Q$4:$Q$503,_calc!$E$340))=0,"",INDEX('Dealer pipeline'!$Q$4:$Q$503,_calc!$E$340)))=0,"","Status: "&amp;IF(LEN(INDEX('Dealer pipeline'!$Q$4:$Q$503,_calc!$E$340))=0,"",INDEX('Dealer pipeline'!$Q$4:$Q$503,_calc!$E$340))&amp;". ")&amp;IF(LEN(IF(LEN(INDEX('Dealer pipeline'!$P$4:$P$503,_calc!$E$340))=0,"",INDEX('Dealer pipeline'!$P$4:$P$503,_calc!$E$340)))=0,"","Last touch: "&amp;IF(LEN(INDEX('Dealer pipeline'!$P$4:$P$503,_calc!$E$340))=0,"",INDEX('Dealer pipeline'!$P$4:$P$503,_calc!$E$340))&amp;". ")&amp;IF(LEN(IF(LEN(INDEX('Dealer pipeline'!$R$4:$R$503,_calc!$E$340))=0,"",INDEX('Dealer pipeline'!$R$4:$R$503,_calc!$E$340)))=0,"","Owner: "&amp;IF(LEN(INDEX('Dealer pipeline'!$R$4:$R$503,_calc!$E$340))=0,"",INDEX('Dealer pipeline'!$R$4:$R$503,_calc!$E$340))&amp;". ")&amp;IF(LEN(IF(LEN(INDEX('Dealer pipeline'!$S$4:$S$503,_calc!$E$340))=0,"",INDEX('Dealer pipeline'!$S$4:$S$503,_calc!$E$340)))=0,"","Backup: "&amp;IF(LEN(INDEX('Dealer pipeline'!$S$4:$S$503,_calc!$E$340))=0,"",INDEX('Dealer pipeline'!$S$4:$S$503,_calc!$E$340))&amp;". ")&amp;IF(LEN(IF(LEN(INDEX('Dealer pipeline'!$T$4:$T$503,_calc!$E$340))=0,"",INDEX('Dealer pipeline'!$T$4:$T$503,_calc!$E$340)))=0,"",IF(LEN(INDEX('Dealer pipeline'!$T$4:$T$503,_calc!$E$340))=0,"",INDEX('Dealer pipeline'!$T$4:$T$503,_calc!$E$340)))),TRIM(IF(LEN(IF(LEN(INDEX('My equipment'!$C$4:$C$503,(_calc!$E$340-500)))=0,"",INDEX('My equipment'!$C$4:$C$503,(_calc!$E$340-500))))=0,"","Model: "&amp;IF(LEN(INDEX('My equipment'!$C$4:$C$503,(_calc!$E$340-500)))=0,"",INDEX('My equipment'!$C$4:$C$503,(_calc!$E$340-500)))&amp;". ")&amp;IF(LEN(IF(LEN(INDEX('My equipment'!$D$4:$D$503,(_calc!$E$340-500)))=0,"",INDEX('My equipment'!$D$4:$D$503,(_calc!$E$340-500))))=0,"","Serial: "&amp;IF(LEN(INDEX('My equipment'!$D$4:$D$503,(_calc!$E$340-500)))=0,"",INDEX('My equipment'!$D$4:$D$503,(_calc!$E$340-500)))&amp;". ")&amp;IF(LEN(IF(ISNUMBER(INDEX('My equipment'!$J$4:$J$503,(_calc!$E$340-500))),TEXT(INDEX('My equipment'!$J$4:$J$503,(_calc!$E$340-500)),"yyyy-mm-dd"),""))=0,"","Parts end: "&amp;IF(ISNUMBER(INDEX('My equipment'!$J$4:$J$503,(_calc!$E$340-500))),TEXT(INDEX('My equipment'!$J$4:$J$503,(_calc!$E$340-500)),"yyyy-mm-dd"),"")&amp;". ")&amp;IF(LEN(IF(ISNUMBER(INDEX('My equipment'!$L$4:$L$503,(_calc!$E$340-500))),TEXT(INDEX('My equipment'!$L$4:$L$503,(_calc!$E$340-500)),"yyyy-mm-dd"),""))=0,"","Labor end: "&amp;IF(ISNUMBER(INDEX('My equipment'!$L$4:$L$503,(_calc!$E$340-500))),TEXT(INDEX('My equipment'!$L$4:$L$503,(_calc!$E$340-500)),"yyyy-mm-dd"),"")&amp;". ")&amp;IF(LEN(IF(ISNUMBER(INDEX('My equipment'!$P$4:$P$503,(_calc!$E$340-500))),TEXT(INDEX('My equipment'!$P$4:$P$503,(_calc!$E$340-500)),"yyyy-mm-dd"),""))=0,"","Check by: "&amp;IF(ISNUMBER(INDEX('My equipment'!$P$4:$P$503,(_calc!$E$340-500))),TEXT(INDEX('My equipment'!$P$4:$P$503,(_calc!$E$340-500)),"yyyy-mm-dd"),"")&amp;". ")&amp;IF(LEN(IF(LEN(INDEX('My equipment'!$Q$4:$Q$503,(_calc!$E$340-500)))=0,"",INDEX('My equipment'!$Q$4:$Q$503,(_calc!$E$340-500))))=0,"","Claim status: "&amp;IF(LEN(INDEX('My equipment'!$Q$4:$Q$503,(_calc!$E$340-500)))=0,"",INDEX('My equipment'!$Q$4:$Q$503,(_calc!$E$340-500)))&amp;". ")&amp;IF(LEN(IF(LEN(INDEX('My equipment'!$R$4:$R$503,(_calc!$E$340-500)))=0,"",INDEX('My equipment'!$R$4:$R$503,(_calc!$E$340-500))))=0,"","Claims contact: "&amp;IF(LEN(INDEX('My equipment'!$R$4:$R$503,(_calc!$E$340-500)))=0,"",INDEX('My equipment'!$R$4:$R$503,(_calc!$E$340-500)))&amp;". ")&amp;IF(LEN(IF(LEN(INDEX('My equipment'!$S$4:$S$503,(_calc!$E$340-500)))=0,"",INDEX('My equipment'!$S$4:$S$503,(_calc!$E$340-500))))=0,"","Claims email: "&amp;IF(LEN(INDEX('My equipment'!$S$4:$S$503,(_calc!$E$340-500)))=0,"",INDEX('My equipment'!$S$4:$S$503,(_calc!$E$340-500)))&amp;". ")&amp;IF(LEN(IF(LEN(INDEX('My equipment'!$U$4:$U$503,(_calc!$E$340-500)))=0,"",INDEX('My equipment'!$U$4:$U$503,(_calc!$E$340-500))))=0,"","Registered: "&amp;IF(LEN(INDEX('My equipment'!$U$4:$U$503,(_calc!$E$340-500)))=0,"",INDEX('My equipment'!$U$4:$U$503,(_calc!$E$340-500)))&amp;". ")&amp;IF(LEN(IF(LEN(INDEX('My equipment'!$V$4:$V$503,(_calc!$E$340-500)))=0,"",INDEX('My equipment'!$V$4:$V$503,(_calc!$E$340-500))))=0,"","Proof on file: "&amp;IF(LEN(INDEX('My equipment'!$V$4:$V$503,(_calc!$E$340-500)))=0,"",INDEX('My equipment'!$V$4:$V$503,(_calc!$E$340-500)))&amp;". ")&amp;IF(LEN(IF(LEN(INDEX('My equipment'!$W$4:$W$503,(_calc!$E$340-500)))=0,"",INDEX('My equipment'!$W$4:$W$503,(_calc!$E$340-500))))=0,"","Claim ref: "&amp;IF(LEN(INDEX('My equipment'!$W$4:$W$503,(_calc!$E$340-500)))=0,"",INDEX('My equipment'!$W$4:$W$503,(_calc!$E$340-500)))&amp;". ")&amp;IF(LEN(IF(LEN(INDEX('My equipment'!$Y$4:$Y$503,(_calc!$E$340-500)))=0,"",INDEX('My equipment'!$Y$4:$Y$503,(_calc!$E$340-500))))=0,"",IF(LEN(INDEX('My equipment'!$Y$4:$Y$503,(_calc!$E$340-500)))=0,"",INDEX('My equipment'!$Y$4:$Y$503,(_calc!$E$340-500)))))))</f>
        <v/>
      </c>
      <c r="G338" s="54">
        <f>IF(_calc!$E$340="","",IF(_calc!$E$340&lt;=500,"",IF(LEN(INDEX('My equipment'!$X$4:$X$503,(_calc!$E$340-500)))=0,"",INDEX('My equipment'!$X$4:$X$503,(_calc!$E$340-500)))))</f>
        <v/>
      </c>
      <c r="K338" s="54">
        <f>IF(_calc!$E$340="","",IF(_calc!$E$340&lt;=500,"",IF(LEN(INDEX('My equipment'!$T$4:$T$503,(_calc!$E$340-500)))=0,"",INDEX('My equipment'!$T$4:$T$503,(_calc!$E$340-500)))))</f>
        <v/>
      </c>
    </row>
    <row r="339">
      <c r="A339" s="54">
        <f>IF(_calc!$E$341="","",IF(_calc!$E$341&lt;=500,"Warranty – "&amp;IF(LEN(INDEX('Dealer pipeline'!$C$4:$C$503,_calc!$E$341))=0,"",INDEX('Dealer pipeline'!$C$4:$C$503,_calc!$E$341))&amp;" – "&amp;IF(LEN(INDEX('Dealer pipeline'!$D$4:$D$503,_calc!$E$341))=0,"",INDEX('Dealer pipeline'!$D$4:$D$503,_calc!$E$341))&amp;" – "&amp;IF(LEN(INDEX('Dealer pipeline'!$A$4:$A$503,_calc!$E$341))=0,"",INDEX('Dealer pipeline'!$A$4:$A$503,_calc!$E$341)),"Warranty – "&amp;IF(LEN(INDEX('My equipment'!$A$4:$A$503,(_calc!$E$341-500)))=0,"",INDEX('My equipment'!$A$4:$A$503,(_calc!$E$341-500)))&amp;" – "&amp;IF(LEN(INDEX('My equipment'!$D$4:$D$503,(_calc!$E$341-500)))=0,"",INDEX('My equipment'!$D$4:$D$503,(_calc!$E$341-500)))))</f>
        <v/>
      </c>
      <c r="B339" s="54">
        <f>IF(_calc!$E$341="","",IF(_calc!$E$341&lt;=500,IF(ISNUMBER(INDEX('Dealer pipeline'!$M$4:$M$503,_calc!$E$341)),TEXT(INDEX('Dealer pipeline'!$M$4:$M$503,_calc!$E$341),"yyyy-mm-dd"),""),IF(ISNUMBER(INDEX('My equipment'!$M$4:$M$503,(_calc!$E$341-500))),TEXT(INDEX('My equipment'!$M$4:$M$503,(_calc!$E$341-500)),"yyyy-mm-dd"),"")))</f>
        <v/>
      </c>
      <c r="C339" s="54">
        <f>IF(_calc!$E$341="","",IF(_calc!$E$341&lt;=500,"Warranty","Warranty"))</f>
        <v/>
      </c>
      <c r="D339" s="54">
        <f>IF(_calc!$E$341="","",IF(_calc!$E$341&lt;=500,IF(ISNUMBER(INDEX('Dealer pipeline'!$H$4:$H$503,_calc!$E$341)),TEXT(INDEX('Dealer pipeline'!$H$4:$H$503,_calc!$E$341),"yyyy-mm-dd"),""),IF(ISNUMBER(INDEX('My equipment'!$H$4:$H$503,(_calc!$E$341-500))),TEXT(INDEX('My equipment'!$H$4:$H$503,(_calc!$E$341-500)),"yyyy-mm-dd"),"")))</f>
        <v/>
      </c>
      <c r="F339" s="54">
        <f>IF(_calc!$E$341="","",IF(_calc!$E$341&lt;=500,TRIM(IF(LEN(IF(LEN(INDEX('Dealer pipeline'!$A$4:$A$503,_calc!$E$341))=0,"",INDEX('Dealer pipeline'!$A$4:$A$503,_calc!$E$341)))=0,"","Customer: "&amp;IF(LEN(INDEX('Dealer pipeline'!$A$4:$A$503,_calc!$E$341))=0,"",INDEX('Dealer pipeline'!$A$4:$A$503,_calc!$E$341))&amp;". ")&amp;IF(LEN(IF(LEN(INDEX('Dealer pipeline'!$B$4:$B$503,_calc!$E$341))=0,"",INDEX('Dealer pipeline'!$B$4:$B$503,_calc!$E$341)))=0,"","Contact: "&amp;IF(LEN(INDEX('Dealer pipeline'!$B$4:$B$503,_calc!$E$341))=0,"",INDEX('Dealer pipeline'!$B$4:$B$503,_calc!$E$341))&amp;". ")&amp;IF(LEN(IF(LEN(INDEX('Dealer pipeline'!$D$4:$D$503,_calc!$E$341))=0,"",INDEX('Dealer pipeline'!$D$4:$D$503,_calc!$E$341)))=0,"","Serial: "&amp;IF(LEN(INDEX('Dealer pipeline'!$D$4:$D$503,_calc!$E$341))=0,"",INDEX('Dealer pipeline'!$D$4:$D$503,_calc!$E$341))&amp;". ")&amp;IF(LEN(IF(ISNUMBER(INDEX('Dealer pipeline'!$J$4:$J$503,_calc!$E$341)),TEXT(INDEX('Dealer pipeline'!$J$4:$J$503,_calc!$E$341),"yyyy-mm-dd"),""))=0,"","Parts end: "&amp;IF(ISNUMBER(INDEX('Dealer pipeline'!$J$4:$J$503,_calc!$E$341)),TEXT(INDEX('Dealer pipeline'!$J$4:$J$503,_calc!$E$341),"yyyy-mm-dd"),"")&amp;". ")&amp;IF(LEN(IF(ISNUMBER(INDEX('Dealer pipeline'!$L$4:$L$503,_calc!$E$341)),TEXT(INDEX('Dealer pipeline'!$L$4:$L$503,_calc!$E$341),"yyyy-mm-dd"),""))=0,"","Labor end: "&amp;IF(ISNUMBER(INDEX('Dealer pipeline'!$L$4:$L$503,_calc!$E$341)),TEXT(INDEX('Dealer pipeline'!$L$4:$L$503,_calc!$E$341),"yyyy-mm-dd"),"")&amp;". ")&amp;IF(LEN(IF(LEN(INDEX('Dealer pipeline'!$Q$4:$Q$503,_calc!$E$341))=0,"",INDEX('Dealer pipeline'!$Q$4:$Q$503,_calc!$E$341)))=0,"","Status: "&amp;IF(LEN(INDEX('Dealer pipeline'!$Q$4:$Q$503,_calc!$E$341))=0,"",INDEX('Dealer pipeline'!$Q$4:$Q$503,_calc!$E$341))&amp;". ")&amp;IF(LEN(IF(LEN(INDEX('Dealer pipeline'!$P$4:$P$503,_calc!$E$341))=0,"",INDEX('Dealer pipeline'!$P$4:$P$503,_calc!$E$341)))=0,"","Last touch: "&amp;IF(LEN(INDEX('Dealer pipeline'!$P$4:$P$503,_calc!$E$341))=0,"",INDEX('Dealer pipeline'!$P$4:$P$503,_calc!$E$341))&amp;". ")&amp;IF(LEN(IF(LEN(INDEX('Dealer pipeline'!$R$4:$R$503,_calc!$E$341))=0,"",INDEX('Dealer pipeline'!$R$4:$R$503,_calc!$E$341)))=0,"","Owner: "&amp;IF(LEN(INDEX('Dealer pipeline'!$R$4:$R$503,_calc!$E$341))=0,"",INDEX('Dealer pipeline'!$R$4:$R$503,_calc!$E$341))&amp;". ")&amp;IF(LEN(IF(LEN(INDEX('Dealer pipeline'!$S$4:$S$503,_calc!$E$341))=0,"",INDEX('Dealer pipeline'!$S$4:$S$503,_calc!$E$341)))=0,"","Backup: "&amp;IF(LEN(INDEX('Dealer pipeline'!$S$4:$S$503,_calc!$E$341))=0,"",INDEX('Dealer pipeline'!$S$4:$S$503,_calc!$E$341))&amp;". ")&amp;IF(LEN(IF(LEN(INDEX('Dealer pipeline'!$T$4:$T$503,_calc!$E$341))=0,"",INDEX('Dealer pipeline'!$T$4:$T$503,_calc!$E$341)))=0,"",IF(LEN(INDEX('Dealer pipeline'!$T$4:$T$503,_calc!$E$341))=0,"",INDEX('Dealer pipeline'!$T$4:$T$503,_calc!$E$341)))),TRIM(IF(LEN(IF(LEN(INDEX('My equipment'!$C$4:$C$503,(_calc!$E$341-500)))=0,"",INDEX('My equipment'!$C$4:$C$503,(_calc!$E$341-500))))=0,"","Model: "&amp;IF(LEN(INDEX('My equipment'!$C$4:$C$503,(_calc!$E$341-500)))=0,"",INDEX('My equipment'!$C$4:$C$503,(_calc!$E$341-500)))&amp;". ")&amp;IF(LEN(IF(LEN(INDEX('My equipment'!$D$4:$D$503,(_calc!$E$341-500)))=0,"",INDEX('My equipment'!$D$4:$D$503,(_calc!$E$341-500))))=0,"","Serial: "&amp;IF(LEN(INDEX('My equipment'!$D$4:$D$503,(_calc!$E$341-500)))=0,"",INDEX('My equipment'!$D$4:$D$503,(_calc!$E$341-500)))&amp;". ")&amp;IF(LEN(IF(ISNUMBER(INDEX('My equipment'!$J$4:$J$503,(_calc!$E$341-500))),TEXT(INDEX('My equipment'!$J$4:$J$503,(_calc!$E$341-500)),"yyyy-mm-dd"),""))=0,"","Parts end: "&amp;IF(ISNUMBER(INDEX('My equipment'!$J$4:$J$503,(_calc!$E$341-500))),TEXT(INDEX('My equipment'!$J$4:$J$503,(_calc!$E$341-500)),"yyyy-mm-dd"),"")&amp;". ")&amp;IF(LEN(IF(ISNUMBER(INDEX('My equipment'!$L$4:$L$503,(_calc!$E$341-500))),TEXT(INDEX('My equipment'!$L$4:$L$503,(_calc!$E$341-500)),"yyyy-mm-dd"),""))=0,"","Labor end: "&amp;IF(ISNUMBER(INDEX('My equipment'!$L$4:$L$503,(_calc!$E$341-500))),TEXT(INDEX('My equipment'!$L$4:$L$503,(_calc!$E$341-500)),"yyyy-mm-dd"),"")&amp;". ")&amp;IF(LEN(IF(ISNUMBER(INDEX('My equipment'!$P$4:$P$503,(_calc!$E$341-500))),TEXT(INDEX('My equipment'!$P$4:$P$503,(_calc!$E$341-500)),"yyyy-mm-dd"),""))=0,"","Check by: "&amp;IF(ISNUMBER(INDEX('My equipment'!$P$4:$P$503,(_calc!$E$341-500))),TEXT(INDEX('My equipment'!$P$4:$P$503,(_calc!$E$341-500)),"yyyy-mm-dd"),"")&amp;". ")&amp;IF(LEN(IF(LEN(INDEX('My equipment'!$Q$4:$Q$503,(_calc!$E$341-500)))=0,"",INDEX('My equipment'!$Q$4:$Q$503,(_calc!$E$341-500))))=0,"","Claim status: "&amp;IF(LEN(INDEX('My equipment'!$Q$4:$Q$503,(_calc!$E$341-500)))=0,"",INDEX('My equipment'!$Q$4:$Q$503,(_calc!$E$341-500)))&amp;". ")&amp;IF(LEN(IF(LEN(INDEX('My equipment'!$R$4:$R$503,(_calc!$E$341-500)))=0,"",INDEX('My equipment'!$R$4:$R$503,(_calc!$E$341-500))))=0,"","Claims contact: "&amp;IF(LEN(INDEX('My equipment'!$R$4:$R$503,(_calc!$E$341-500)))=0,"",INDEX('My equipment'!$R$4:$R$503,(_calc!$E$341-500)))&amp;". ")&amp;IF(LEN(IF(LEN(INDEX('My equipment'!$S$4:$S$503,(_calc!$E$341-500)))=0,"",INDEX('My equipment'!$S$4:$S$503,(_calc!$E$341-500))))=0,"","Claims email: "&amp;IF(LEN(INDEX('My equipment'!$S$4:$S$503,(_calc!$E$341-500)))=0,"",INDEX('My equipment'!$S$4:$S$503,(_calc!$E$341-500)))&amp;". ")&amp;IF(LEN(IF(LEN(INDEX('My equipment'!$U$4:$U$503,(_calc!$E$341-500)))=0,"",INDEX('My equipment'!$U$4:$U$503,(_calc!$E$341-500))))=0,"","Registered: "&amp;IF(LEN(INDEX('My equipment'!$U$4:$U$503,(_calc!$E$341-500)))=0,"",INDEX('My equipment'!$U$4:$U$503,(_calc!$E$341-500)))&amp;". ")&amp;IF(LEN(IF(LEN(INDEX('My equipment'!$V$4:$V$503,(_calc!$E$341-500)))=0,"",INDEX('My equipment'!$V$4:$V$503,(_calc!$E$341-500))))=0,"","Proof on file: "&amp;IF(LEN(INDEX('My equipment'!$V$4:$V$503,(_calc!$E$341-500)))=0,"",INDEX('My equipment'!$V$4:$V$503,(_calc!$E$341-500)))&amp;". ")&amp;IF(LEN(IF(LEN(INDEX('My equipment'!$W$4:$W$503,(_calc!$E$341-500)))=0,"",INDEX('My equipment'!$W$4:$W$503,(_calc!$E$341-500))))=0,"","Claim ref: "&amp;IF(LEN(INDEX('My equipment'!$W$4:$W$503,(_calc!$E$341-500)))=0,"",INDEX('My equipment'!$W$4:$W$503,(_calc!$E$341-500)))&amp;". ")&amp;IF(LEN(IF(LEN(INDEX('My equipment'!$Y$4:$Y$503,(_calc!$E$341-500)))=0,"",INDEX('My equipment'!$Y$4:$Y$503,(_calc!$E$341-500))))=0,"",IF(LEN(INDEX('My equipment'!$Y$4:$Y$503,(_calc!$E$341-500)))=0,"",INDEX('My equipment'!$Y$4:$Y$503,(_calc!$E$341-500)))))))</f>
        <v/>
      </c>
      <c r="G339" s="54">
        <f>IF(_calc!$E$341="","",IF(_calc!$E$341&lt;=500,"",IF(LEN(INDEX('My equipment'!$X$4:$X$503,(_calc!$E$341-500)))=0,"",INDEX('My equipment'!$X$4:$X$503,(_calc!$E$341-500)))))</f>
        <v/>
      </c>
      <c r="K339" s="54">
        <f>IF(_calc!$E$341="","",IF(_calc!$E$341&lt;=500,"",IF(LEN(INDEX('My equipment'!$T$4:$T$503,(_calc!$E$341-500)))=0,"",INDEX('My equipment'!$T$4:$T$503,(_calc!$E$341-500)))))</f>
        <v/>
      </c>
    </row>
    <row r="340">
      <c r="A340" s="54">
        <f>IF(_calc!$E$342="","",IF(_calc!$E$342&lt;=500,"Warranty – "&amp;IF(LEN(INDEX('Dealer pipeline'!$C$4:$C$503,_calc!$E$342))=0,"",INDEX('Dealer pipeline'!$C$4:$C$503,_calc!$E$342))&amp;" – "&amp;IF(LEN(INDEX('Dealer pipeline'!$D$4:$D$503,_calc!$E$342))=0,"",INDEX('Dealer pipeline'!$D$4:$D$503,_calc!$E$342))&amp;" – "&amp;IF(LEN(INDEX('Dealer pipeline'!$A$4:$A$503,_calc!$E$342))=0,"",INDEX('Dealer pipeline'!$A$4:$A$503,_calc!$E$342)),"Warranty – "&amp;IF(LEN(INDEX('My equipment'!$A$4:$A$503,(_calc!$E$342-500)))=0,"",INDEX('My equipment'!$A$4:$A$503,(_calc!$E$342-500)))&amp;" – "&amp;IF(LEN(INDEX('My equipment'!$D$4:$D$503,(_calc!$E$342-500)))=0,"",INDEX('My equipment'!$D$4:$D$503,(_calc!$E$342-500)))))</f>
        <v/>
      </c>
      <c r="B340" s="54">
        <f>IF(_calc!$E$342="","",IF(_calc!$E$342&lt;=500,IF(ISNUMBER(INDEX('Dealer pipeline'!$M$4:$M$503,_calc!$E$342)),TEXT(INDEX('Dealer pipeline'!$M$4:$M$503,_calc!$E$342),"yyyy-mm-dd"),""),IF(ISNUMBER(INDEX('My equipment'!$M$4:$M$503,(_calc!$E$342-500))),TEXT(INDEX('My equipment'!$M$4:$M$503,(_calc!$E$342-500)),"yyyy-mm-dd"),"")))</f>
        <v/>
      </c>
      <c r="C340" s="54">
        <f>IF(_calc!$E$342="","",IF(_calc!$E$342&lt;=500,"Warranty","Warranty"))</f>
        <v/>
      </c>
      <c r="D340" s="54">
        <f>IF(_calc!$E$342="","",IF(_calc!$E$342&lt;=500,IF(ISNUMBER(INDEX('Dealer pipeline'!$H$4:$H$503,_calc!$E$342)),TEXT(INDEX('Dealer pipeline'!$H$4:$H$503,_calc!$E$342),"yyyy-mm-dd"),""),IF(ISNUMBER(INDEX('My equipment'!$H$4:$H$503,(_calc!$E$342-500))),TEXT(INDEX('My equipment'!$H$4:$H$503,(_calc!$E$342-500)),"yyyy-mm-dd"),"")))</f>
        <v/>
      </c>
      <c r="F340" s="54">
        <f>IF(_calc!$E$342="","",IF(_calc!$E$342&lt;=500,TRIM(IF(LEN(IF(LEN(INDEX('Dealer pipeline'!$A$4:$A$503,_calc!$E$342))=0,"",INDEX('Dealer pipeline'!$A$4:$A$503,_calc!$E$342)))=0,"","Customer: "&amp;IF(LEN(INDEX('Dealer pipeline'!$A$4:$A$503,_calc!$E$342))=0,"",INDEX('Dealer pipeline'!$A$4:$A$503,_calc!$E$342))&amp;". ")&amp;IF(LEN(IF(LEN(INDEX('Dealer pipeline'!$B$4:$B$503,_calc!$E$342))=0,"",INDEX('Dealer pipeline'!$B$4:$B$503,_calc!$E$342)))=0,"","Contact: "&amp;IF(LEN(INDEX('Dealer pipeline'!$B$4:$B$503,_calc!$E$342))=0,"",INDEX('Dealer pipeline'!$B$4:$B$503,_calc!$E$342))&amp;". ")&amp;IF(LEN(IF(LEN(INDEX('Dealer pipeline'!$D$4:$D$503,_calc!$E$342))=0,"",INDEX('Dealer pipeline'!$D$4:$D$503,_calc!$E$342)))=0,"","Serial: "&amp;IF(LEN(INDEX('Dealer pipeline'!$D$4:$D$503,_calc!$E$342))=0,"",INDEX('Dealer pipeline'!$D$4:$D$503,_calc!$E$342))&amp;". ")&amp;IF(LEN(IF(ISNUMBER(INDEX('Dealer pipeline'!$J$4:$J$503,_calc!$E$342)),TEXT(INDEX('Dealer pipeline'!$J$4:$J$503,_calc!$E$342),"yyyy-mm-dd"),""))=0,"","Parts end: "&amp;IF(ISNUMBER(INDEX('Dealer pipeline'!$J$4:$J$503,_calc!$E$342)),TEXT(INDEX('Dealer pipeline'!$J$4:$J$503,_calc!$E$342),"yyyy-mm-dd"),"")&amp;". ")&amp;IF(LEN(IF(ISNUMBER(INDEX('Dealer pipeline'!$L$4:$L$503,_calc!$E$342)),TEXT(INDEX('Dealer pipeline'!$L$4:$L$503,_calc!$E$342),"yyyy-mm-dd"),""))=0,"","Labor end: "&amp;IF(ISNUMBER(INDEX('Dealer pipeline'!$L$4:$L$503,_calc!$E$342)),TEXT(INDEX('Dealer pipeline'!$L$4:$L$503,_calc!$E$342),"yyyy-mm-dd"),"")&amp;". ")&amp;IF(LEN(IF(LEN(INDEX('Dealer pipeline'!$Q$4:$Q$503,_calc!$E$342))=0,"",INDEX('Dealer pipeline'!$Q$4:$Q$503,_calc!$E$342)))=0,"","Status: "&amp;IF(LEN(INDEX('Dealer pipeline'!$Q$4:$Q$503,_calc!$E$342))=0,"",INDEX('Dealer pipeline'!$Q$4:$Q$503,_calc!$E$342))&amp;". ")&amp;IF(LEN(IF(LEN(INDEX('Dealer pipeline'!$P$4:$P$503,_calc!$E$342))=0,"",INDEX('Dealer pipeline'!$P$4:$P$503,_calc!$E$342)))=0,"","Last touch: "&amp;IF(LEN(INDEX('Dealer pipeline'!$P$4:$P$503,_calc!$E$342))=0,"",INDEX('Dealer pipeline'!$P$4:$P$503,_calc!$E$342))&amp;". ")&amp;IF(LEN(IF(LEN(INDEX('Dealer pipeline'!$R$4:$R$503,_calc!$E$342))=0,"",INDEX('Dealer pipeline'!$R$4:$R$503,_calc!$E$342)))=0,"","Owner: "&amp;IF(LEN(INDEX('Dealer pipeline'!$R$4:$R$503,_calc!$E$342))=0,"",INDEX('Dealer pipeline'!$R$4:$R$503,_calc!$E$342))&amp;". ")&amp;IF(LEN(IF(LEN(INDEX('Dealer pipeline'!$S$4:$S$503,_calc!$E$342))=0,"",INDEX('Dealer pipeline'!$S$4:$S$503,_calc!$E$342)))=0,"","Backup: "&amp;IF(LEN(INDEX('Dealer pipeline'!$S$4:$S$503,_calc!$E$342))=0,"",INDEX('Dealer pipeline'!$S$4:$S$503,_calc!$E$342))&amp;". ")&amp;IF(LEN(IF(LEN(INDEX('Dealer pipeline'!$T$4:$T$503,_calc!$E$342))=0,"",INDEX('Dealer pipeline'!$T$4:$T$503,_calc!$E$342)))=0,"",IF(LEN(INDEX('Dealer pipeline'!$T$4:$T$503,_calc!$E$342))=0,"",INDEX('Dealer pipeline'!$T$4:$T$503,_calc!$E$342)))),TRIM(IF(LEN(IF(LEN(INDEX('My equipment'!$C$4:$C$503,(_calc!$E$342-500)))=0,"",INDEX('My equipment'!$C$4:$C$503,(_calc!$E$342-500))))=0,"","Model: "&amp;IF(LEN(INDEX('My equipment'!$C$4:$C$503,(_calc!$E$342-500)))=0,"",INDEX('My equipment'!$C$4:$C$503,(_calc!$E$342-500)))&amp;". ")&amp;IF(LEN(IF(LEN(INDEX('My equipment'!$D$4:$D$503,(_calc!$E$342-500)))=0,"",INDEX('My equipment'!$D$4:$D$503,(_calc!$E$342-500))))=0,"","Serial: "&amp;IF(LEN(INDEX('My equipment'!$D$4:$D$503,(_calc!$E$342-500)))=0,"",INDEX('My equipment'!$D$4:$D$503,(_calc!$E$342-500)))&amp;". ")&amp;IF(LEN(IF(ISNUMBER(INDEX('My equipment'!$J$4:$J$503,(_calc!$E$342-500))),TEXT(INDEX('My equipment'!$J$4:$J$503,(_calc!$E$342-500)),"yyyy-mm-dd"),""))=0,"","Parts end: "&amp;IF(ISNUMBER(INDEX('My equipment'!$J$4:$J$503,(_calc!$E$342-500))),TEXT(INDEX('My equipment'!$J$4:$J$503,(_calc!$E$342-500)),"yyyy-mm-dd"),"")&amp;". ")&amp;IF(LEN(IF(ISNUMBER(INDEX('My equipment'!$L$4:$L$503,(_calc!$E$342-500))),TEXT(INDEX('My equipment'!$L$4:$L$503,(_calc!$E$342-500)),"yyyy-mm-dd"),""))=0,"","Labor end: "&amp;IF(ISNUMBER(INDEX('My equipment'!$L$4:$L$503,(_calc!$E$342-500))),TEXT(INDEX('My equipment'!$L$4:$L$503,(_calc!$E$342-500)),"yyyy-mm-dd"),"")&amp;". ")&amp;IF(LEN(IF(ISNUMBER(INDEX('My equipment'!$P$4:$P$503,(_calc!$E$342-500))),TEXT(INDEX('My equipment'!$P$4:$P$503,(_calc!$E$342-500)),"yyyy-mm-dd"),""))=0,"","Check by: "&amp;IF(ISNUMBER(INDEX('My equipment'!$P$4:$P$503,(_calc!$E$342-500))),TEXT(INDEX('My equipment'!$P$4:$P$503,(_calc!$E$342-500)),"yyyy-mm-dd"),"")&amp;". ")&amp;IF(LEN(IF(LEN(INDEX('My equipment'!$Q$4:$Q$503,(_calc!$E$342-500)))=0,"",INDEX('My equipment'!$Q$4:$Q$503,(_calc!$E$342-500))))=0,"","Claim status: "&amp;IF(LEN(INDEX('My equipment'!$Q$4:$Q$503,(_calc!$E$342-500)))=0,"",INDEX('My equipment'!$Q$4:$Q$503,(_calc!$E$342-500)))&amp;". ")&amp;IF(LEN(IF(LEN(INDEX('My equipment'!$R$4:$R$503,(_calc!$E$342-500)))=0,"",INDEX('My equipment'!$R$4:$R$503,(_calc!$E$342-500))))=0,"","Claims contact: "&amp;IF(LEN(INDEX('My equipment'!$R$4:$R$503,(_calc!$E$342-500)))=0,"",INDEX('My equipment'!$R$4:$R$503,(_calc!$E$342-500)))&amp;". ")&amp;IF(LEN(IF(LEN(INDEX('My equipment'!$S$4:$S$503,(_calc!$E$342-500)))=0,"",INDEX('My equipment'!$S$4:$S$503,(_calc!$E$342-500))))=0,"","Claims email: "&amp;IF(LEN(INDEX('My equipment'!$S$4:$S$503,(_calc!$E$342-500)))=0,"",INDEX('My equipment'!$S$4:$S$503,(_calc!$E$342-500)))&amp;". ")&amp;IF(LEN(IF(LEN(INDEX('My equipment'!$U$4:$U$503,(_calc!$E$342-500)))=0,"",INDEX('My equipment'!$U$4:$U$503,(_calc!$E$342-500))))=0,"","Registered: "&amp;IF(LEN(INDEX('My equipment'!$U$4:$U$503,(_calc!$E$342-500)))=0,"",INDEX('My equipment'!$U$4:$U$503,(_calc!$E$342-500)))&amp;". ")&amp;IF(LEN(IF(LEN(INDEX('My equipment'!$V$4:$V$503,(_calc!$E$342-500)))=0,"",INDEX('My equipment'!$V$4:$V$503,(_calc!$E$342-500))))=0,"","Proof on file: "&amp;IF(LEN(INDEX('My equipment'!$V$4:$V$503,(_calc!$E$342-500)))=0,"",INDEX('My equipment'!$V$4:$V$503,(_calc!$E$342-500)))&amp;". ")&amp;IF(LEN(IF(LEN(INDEX('My equipment'!$W$4:$W$503,(_calc!$E$342-500)))=0,"",INDEX('My equipment'!$W$4:$W$503,(_calc!$E$342-500))))=0,"","Claim ref: "&amp;IF(LEN(INDEX('My equipment'!$W$4:$W$503,(_calc!$E$342-500)))=0,"",INDEX('My equipment'!$W$4:$W$503,(_calc!$E$342-500)))&amp;". ")&amp;IF(LEN(IF(LEN(INDEX('My equipment'!$Y$4:$Y$503,(_calc!$E$342-500)))=0,"",INDEX('My equipment'!$Y$4:$Y$503,(_calc!$E$342-500))))=0,"",IF(LEN(INDEX('My equipment'!$Y$4:$Y$503,(_calc!$E$342-500)))=0,"",INDEX('My equipment'!$Y$4:$Y$503,(_calc!$E$342-500)))))))</f>
        <v/>
      </c>
      <c r="G340" s="54">
        <f>IF(_calc!$E$342="","",IF(_calc!$E$342&lt;=500,"",IF(LEN(INDEX('My equipment'!$X$4:$X$503,(_calc!$E$342-500)))=0,"",INDEX('My equipment'!$X$4:$X$503,(_calc!$E$342-500)))))</f>
        <v/>
      </c>
      <c r="K340" s="54">
        <f>IF(_calc!$E$342="","",IF(_calc!$E$342&lt;=500,"",IF(LEN(INDEX('My equipment'!$T$4:$T$503,(_calc!$E$342-500)))=0,"",INDEX('My equipment'!$T$4:$T$503,(_calc!$E$342-500)))))</f>
        <v/>
      </c>
    </row>
    <row r="341">
      <c r="A341" s="54">
        <f>IF(_calc!$E$343="","",IF(_calc!$E$343&lt;=500,"Warranty – "&amp;IF(LEN(INDEX('Dealer pipeline'!$C$4:$C$503,_calc!$E$343))=0,"",INDEX('Dealer pipeline'!$C$4:$C$503,_calc!$E$343))&amp;" – "&amp;IF(LEN(INDEX('Dealer pipeline'!$D$4:$D$503,_calc!$E$343))=0,"",INDEX('Dealer pipeline'!$D$4:$D$503,_calc!$E$343))&amp;" – "&amp;IF(LEN(INDEX('Dealer pipeline'!$A$4:$A$503,_calc!$E$343))=0,"",INDEX('Dealer pipeline'!$A$4:$A$503,_calc!$E$343)),"Warranty – "&amp;IF(LEN(INDEX('My equipment'!$A$4:$A$503,(_calc!$E$343-500)))=0,"",INDEX('My equipment'!$A$4:$A$503,(_calc!$E$343-500)))&amp;" – "&amp;IF(LEN(INDEX('My equipment'!$D$4:$D$503,(_calc!$E$343-500)))=0,"",INDEX('My equipment'!$D$4:$D$503,(_calc!$E$343-500)))))</f>
        <v/>
      </c>
      <c r="B341" s="54">
        <f>IF(_calc!$E$343="","",IF(_calc!$E$343&lt;=500,IF(ISNUMBER(INDEX('Dealer pipeline'!$M$4:$M$503,_calc!$E$343)),TEXT(INDEX('Dealer pipeline'!$M$4:$M$503,_calc!$E$343),"yyyy-mm-dd"),""),IF(ISNUMBER(INDEX('My equipment'!$M$4:$M$503,(_calc!$E$343-500))),TEXT(INDEX('My equipment'!$M$4:$M$503,(_calc!$E$343-500)),"yyyy-mm-dd"),"")))</f>
        <v/>
      </c>
      <c r="C341" s="54">
        <f>IF(_calc!$E$343="","",IF(_calc!$E$343&lt;=500,"Warranty","Warranty"))</f>
        <v/>
      </c>
      <c r="D341" s="54">
        <f>IF(_calc!$E$343="","",IF(_calc!$E$343&lt;=500,IF(ISNUMBER(INDEX('Dealer pipeline'!$H$4:$H$503,_calc!$E$343)),TEXT(INDEX('Dealer pipeline'!$H$4:$H$503,_calc!$E$343),"yyyy-mm-dd"),""),IF(ISNUMBER(INDEX('My equipment'!$H$4:$H$503,(_calc!$E$343-500))),TEXT(INDEX('My equipment'!$H$4:$H$503,(_calc!$E$343-500)),"yyyy-mm-dd"),"")))</f>
        <v/>
      </c>
      <c r="F341" s="54">
        <f>IF(_calc!$E$343="","",IF(_calc!$E$343&lt;=500,TRIM(IF(LEN(IF(LEN(INDEX('Dealer pipeline'!$A$4:$A$503,_calc!$E$343))=0,"",INDEX('Dealer pipeline'!$A$4:$A$503,_calc!$E$343)))=0,"","Customer: "&amp;IF(LEN(INDEX('Dealer pipeline'!$A$4:$A$503,_calc!$E$343))=0,"",INDEX('Dealer pipeline'!$A$4:$A$503,_calc!$E$343))&amp;". ")&amp;IF(LEN(IF(LEN(INDEX('Dealer pipeline'!$B$4:$B$503,_calc!$E$343))=0,"",INDEX('Dealer pipeline'!$B$4:$B$503,_calc!$E$343)))=0,"","Contact: "&amp;IF(LEN(INDEX('Dealer pipeline'!$B$4:$B$503,_calc!$E$343))=0,"",INDEX('Dealer pipeline'!$B$4:$B$503,_calc!$E$343))&amp;". ")&amp;IF(LEN(IF(LEN(INDEX('Dealer pipeline'!$D$4:$D$503,_calc!$E$343))=0,"",INDEX('Dealer pipeline'!$D$4:$D$503,_calc!$E$343)))=0,"","Serial: "&amp;IF(LEN(INDEX('Dealer pipeline'!$D$4:$D$503,_calc!$E$343))=0,"",INDEX('Dealer pipeline'!$D$4:$D$503,_calc!$E$343))&amp;". ")&amp;IF(LEN(IF(ISNUMBER(INDEX('Dealer pipeline'!$J$4:$J$503,_calc!$E$343)),TEXT(INDEX('Dealer pipeline'!$J$4:$J$503,_calc!$E$343),"yyyy-mm-dd"),""))=0,"","Parts end: "&amp;IF(ISNUMBER(INDEX('Dealer pipeline'!$J$4:$J$503,_calc!$E$343)),TEXT(INDEX('Dealer pipeline'!$J$4:$J$503,_calc!$E$343),"yyyy-mm-dd"),"")&amp;". ")&amp;IF(LEN(IF(ISNUMBER(INDEX('Dealer pipeline'!$L$4:$L$503,_calc!$E$343)),TEXT(INDEX('Dealer pipeline'!$L$4:$L$503,_calc!$E$343),"yyyy-mm-dd"),""))=0,"","Labor end: "&amp;IF(ISNUMBER(INDEX('Dealer pipeline'!$L$4:$L$503,_calc!$E$343)),TEXT(INDEX('Dealer pipeline'!$L$4:$L$503,_calc!$E$343),"yyyy-mm-dd"),"")&amp;". ")&amp;IF(LEN(IF(LEN(INDEX('Dealer pipeline'!$Q$4:$Q$503,_calc!$E$343))=0,"",INDEX('Dealer pipeline'!$Q$4:$Q$503,_calc!$E$343)))=0,"","Status: "&amp;IF(LEN(INDEX('Dealer pipeline'!$Q$4:$Q$503,_calc!$E$343))=0,"",INDEX('Dealer pipeline'!$Q$4:$Q$503,_calc!$E$343))&amp;". ")&amp;IF(LEN(IF(LEN(INDEX('Dealer pipeline'!$P$4:$P$503,_calc!$E$343))=0,"",INDEX('Dealer pipeline'!$P$4:$P$503,_calc!$E$343)))=0,"","Last touch: "&amp;IF(LEN(INDEX('Dealer pipeline'!$P$4:$P$503,_calc!$E$343))=0,"",INDEX('Dealer pipeline'!$P$4:$P$503,_calc!$E$343))&amp;". ")&amp;IF(LEN(IF(LEN(INDEX('Dealer pipeline'!$R$4:$R$503,_calc!$E$343))=0,"",INDEX('Dealer pipeline'!$R$4:$R$503,_calc!$E$343)))=0,"","Owner: "&amp;IF(LEN(INDEX('Dealer pipeline'!$R$4:$R$503,_calc!$E$343))=0,"",INDEX('Dealer pipeline'!$R$4:$R$503,_calc!$E$343))&amp;". ")&amp;IF(LEN(IF(LEN(INDEX('Dealer pipeline'!$S$4:$S$503,_calc!$E$343))=0,"",INDEX('Dealer pipeline'!$S$4:$S$503,_calc!$E$343)))=0,"","Backup: "&amp;IF(LEN(INDEX('Dealer pipeline'!$S$4:$S$503,_calc!$E$343))=0,"",INDEX('Dealer pipeline'!$S$4:$S$503,_calc!$E$343))&amp;". ")&amp;IF(LEN(IF(LEN(INDEX('Dealer pipeline'!$T$4:$T$503,_calc!$E$343))=0,"",INDEX('Dealer pipeline'!$T$4:$T$503,_calc!$E$343)))=0,"",IF(LEN(INDEX('Dealer pipeline'!$T$4:$T$503,_calc!$E$343))=0,"",INDEX('Dealer pipeline'!$T$4:$T$503,_calc!$E$343)))),TRIM(IF(LEN(IF(LEN(INDEX('My equipment'!$C$4:$C$503,(_calc!$E$343-500)))=0,"",INDEX('My equipment'!$C$4:$C$503,(_calc!$E$343-500))))=0,"","Model: "&amp;IF(LEN(INDEX('My equipment'!$C$4:$C$503,(_calc!$E$343-500)))=0,"",INDEX('My equipment'!$C$4:$C$503,(_calc!$E$343-500)))&amp;". ")&amp;IF(LEN(IF(LEN(INDEX('My equipment'!$D$4:$D$503,(_calc!$E$343-500)))=0,"",INDEX('My equipment'!$D$4:$D$503,(_calc!$E$343-500))))=0,"","Serial: "&amp;IF(LEN(INDEX('My equipment'!$D$4:$D$503,(_calc!$E$343-500)))=0,"",INDEX('My equipment'!$D$4:$D$503,(_calc!$E$343-500)))&amp;". ")&amp;IF(LEN(IF(ISNUMBER(INDEX('My equipment'!$J$4:$J$503,(_calc!$E$343-500))),TEXT(INDEX('My equipment'!$J$4:$J$503,(_calc!$E$343-500)),"yyyy-mm-dd"),""))=0,"","Parts end: "&amp;IF(ISNUMBER(INDEX('My equipment'!$J$4:$J$503,(_calc!$E$343-500))),TEXT(INDEX('My equipment'!$J$4:$J$503,(_calc!$E$343-500)),"yyyy-mm-dd"),"")&amp;". ")&amp;IF(LEN(IF(ISNUMBER(INDEX('My equipment'!$L$4:$L$503,(_calc!$E$343-500))),TEXT(INDEX('My equipment'!$L$4:$L$503,(_calc!$E$343-500)),"yyyy-mm-dd"),""))=0,"","Labor end: "&amp;IF(ISNUMBER(INDEX('My equipment'!$L$4:$L$503,(_calc!$E$343-500))),TEXT(INDEX('My equipment'!$L$4:$L$503,(_calc!$E$343-500)),"yyyy-mm-dd"),"")&amp;". ")&amp;IF(LEN(IF(ISNUMBER(INDEX('My equipment'!$P$4:$P$503,(_calc!$E$343-500))),TEXT(INDEX('My equipment'!$P$4:$P$503,(_calc!$E$343-500)),"yyyy-mm-dd"),""))=0,"","Check by: "&amp;IF(ISNUMBER(INDEX('My equipment'!$P$4:$P$503,(_calc!$E$343-500))),TEXT(INDEX('My equipment'!$P$4:$P$503,(_calc!$E$343-500)),"yyyy-mm-dd"),"")&amp;". ")&amp;IF(LEN(IF(LEN(INDEX('My equipment'!$Q$4:$Q$503,(_calc!$E$343-500)))=0,"",INDEX('My equipment'!$Q$4:$Q$503,(_calc!$E$343-500))))=0,"","Claim status: "&amp;IF(LEN(INDEX('My equipment'!$Q$4:$Q$503,(_calc!$E$343-500)))=0,"",INDEX('My equipment'!$Q$4:$Q$503,(_calc!$E$343-500)))&amp;". ")&amp;IF(LEN(IF(LEN(INDEX('My equipment'!$R$4:$R$503,(_calc!$E$343-500)))=0,"",INDEX('My equipment'!$R$4:$R$503,(_calc!$E$343-500))))=0,"","Claims contact: "&amp;IF(LEN(INDEX('My equipment'!$R$4:$R$503,(_calc!$E$343-500)))=0,"",INDEX('My equipment'!$R$4:$R$503,(_calc!$E$343-500)))&amp;". ")&amp;IF(LEN(IF(LEN(INDEX('My equipment'!$S$4:$S$503,(_calc!$E$343-500)))=0,"",INDEX('My equipment'!$S$4:$S$503,(_calc!$E$343-500))))=0,"","Claims email: "&amp;IF(LEN(INDEX('My equipment'!$S$4:$S$503,(_calc!$E$343-500)))=0,"",INDEX('My equipment'!$S$4:$S$503,(_calc!$E$343-500)))&amp;". ")&amp;IF(LEN(IF(LEN(INDEX('My equipment'!$U$4:$U$503,(_calc!$E$343-500)))=0,"",INDEX('My equipment'!$U$4:$U$503,(_calc!$E$343-500))))=0,"","Registered: "&amp;IF(LEN(INDEX('My equipment'!$U$4:$U$503,(_calc!$E$343-500)))=0,"",INDEX('My equipment'!$U$4:$U$503,(_calc!$E$343-500)))&amp;". ")&amp;IF(LEN(IF(LEN(INDEX('My equipment'!$V$4:$V$503,(_calc!$E$343-500)))=0,"",INDEX('My equipment'!$V$4:$V$503,(_calc!$E$343-500))))=0,"","Proof on file: "&amp;IF(LEN(INDEX('My equipment'!$V$4:$V$503,(_calc!$E$343-500)))=0,"",INDEX('My equipment'!$V$4:$V$503,(_calc!$E$343-500)))&amp;". ")&amp;IF(LEN(IF(LEN(INDEX('My equipment'!$W$4:$W$503,(_calc!$E$343-500)))=0,"",INDEX('My equipment'!$W$4:$W$503,(_calc!$E$343-500))))=0,"","Claim ref: "&amp;IF(LEN(INDEX('My equipment'!$W$4:$W$503,(_calc!$E$343-500)))=0,"",INDEX('My equipment'!$W$4:$W$503,(_calc!$E$343-500)))&amp;". ")&amp;IF(LEN(IF(LEN(INDEX('My equipment'!$Y$4:$Y$503,(_calc!$E$343-500)))=0,"",INDEX('My equipment'!$Y$4:$Y$503,(_calc!$E$343-500))))=0,"",IF(LEN(INDEX('My equipment'!$Y$4:$Y$503,(_calc!$E$343-500)))=0,"",INDEX('My equipment'!$Y$4:$Y$503,(_calc!$E$343-500)))))))</f>
        <v/>
      </c>
      <c r="G341" s="54">
        <f>IF(_calc!$E$343="","",IF(_calc!$E$343&lt;=500,"",IF(LEN(INDEX('My equipment'!$X$4:$X$503,(_calc!$E$343-500)))=0,"",INDEX('My equipment'!$X$4:$X$503,(_calc!$E$343-500)))))</f>
        <v/>
      </c>
      <c r="K341" s="54">
        <f>IF(_calc!$E$343="","",IF(_calc!$E$343&lt;=500,"",IF(LEN(INDEX('My equipment'!$T$4:$T$503,(_calc!$E$343-500)))=0,"",INDEX('My equipment'!$T$4:$T$503,(_calc!$E$343-500)))))</f>
        <v/>
      </c>
    </row>
    <row r="342">
      <c r="A342" s="54">
        <f>IF(_calc!$E$344="","",IF(_calc!$E$344&lt;=500,"Warranty – "&amp;IF(LEN(INDEX('Dealer pipeline'!$C$4:$C$503,_calc!$E$344))=0,"",INDEX('Dealer pipeline'!$C$4:$C$503,_calc!$E$344))&amp;" – "&amp;IF(LEN(INDEX('Dealer pipeline'!$D$4:$D$503,_calc!$E$344))=0,"",INDEX('Dealer pipeline'!$D$4:$D$503,_calc!$E$344))&amp;" – "&amp;IF(LEN(INDEX('Dealer pipeline'!$A$4:$A$503,_calc!$E$344))=0,"",INDEX('Dealer pipeline'!$A$4:$A$503,_calc!$E$344)),"Warranty – "&amp;IF(LEN(INDEX('My equipment'!$A$4:$A$503,(_calc!$E$344-500)))=0,"",INDEX('My equipment'!$A$4:$A$503,(_calc!$E$344-500)))&amp;" – "&amp;IF(LEN(INDEX('My equipment'!$D$4:$D$503,(_calc!$E$344-500)))=0,"",INDEX('My equipment'!$D$4:$D$503,(_calc!$E$344-500)))))</f>
        <v/>
      </c>
      <c r="B342" s="54">
        <f>IF(_calc!$E$344="","",IF(_calc!$E$344&lt;=500,IF(ISNUMBER(INDEX('Dealer pipeline'!$M$4:$M$503,_calc!$E$344)),TEXT(INDEX('Dealer pipeline'!$M$4:$M$503,_calc!$E$344),"yyyy-mm-dd"),""),IF(ISNUMBER(INDEX('My equipment'!$M$4:$M$503,(_calc!$E$344-500))),TEXT(INDEX('My equipment'!$M$4:$M$503,(_calc!$E$344-500)),"yyyy-mm-dd"),"")))</f>
        <v/>
      </c>
      <c r="C342" s="54">
        <f>IF(_calc!$E$344="","",IF(_calc!$E$344&lt;=500,"Warranty","Warranty"))</f>
        <v/>
      </c>
      <c r="D342" s="54">
        <f>IF(_calc!$E$344="","",IF(_calc!$E$344&lt;=500,IF(ISNUMBER(INDEX('Dealer pipeline'!$H$4:$H$503,_calc!$E$344)),TEXT(INDEX('Dealer pipeline'!$H$4:$H$503,_calc!$E$344),"yyyy-mm-dd"),""),IF(ISNUMBER(INDEX('My equipment'!$H$4:$H$503,(_calc!$E$344-500))),TEXT(INDEX('My equipment'!$H$4:$H$503,(_calc!$E$344-500)),"yyyy-mm-dd"),"")))</f>
        <v/>
      </c>
      <c r="F342" s="54">
        <f>IF(_calc!$E$344="","",IF(_calc!$E$344&lt;=500,TRIM(IF(LEN(IF(LEN(INDEX('Dealer pipeline'!$A$4:$A$503,_calc!$E$344))=0,"",INDEX('Dealer pipeline'!$A$4:$A$503,_calc!$E$344)))=0,"","Customer: "&amp;IF(LEN(INDEX('Dealer pipeline'!$A$4:$A$503,_calc!$E$344))=0,"",INDEX('Dealer pipeline'!$A$4:$A$503,_calc!$E$344))&amp;". ")&amp;IF(LEN(IF(LEN(INDEX('Dealer pipeline'!$B$4:$B$503,_calc!$E$344))=0,"",INDEX('Dealer pipeline'!$B$4:$B$503,_calc!$E$344)))=0,"","Contact: "&amp;IF(LEN(INDEX('Dealer pipeline'!$B$4:$B$503,_calc!$E$344))=0,"",INDEX('Dealer pipeline'!$B$4:$B$503,_calc!$E$344))&amp;". ")&amp;IF(LEN(IF(LEN(INDEX('Dealer pipeline'!$D$4:$D$503,_calc!$E$344))=0,"",INDEX('Dealer pipeline'!$D$4:$D$503,_calc!$E$344)))=0,"","Serial: "&amp;IF(LEN(INDEX('Dealer pipeline'!$D$4:$D$503,_calc!$E$344))=0,"",INDEX('Dealer pipeline'!$D$4:$D$503,_calc!$E$344))&amp;". ")&amp;IF(LEN(IF(ISNUMBER(INDEX('Dealer pipeline'!$J$4:$J$503,_calc!$E$344)),TEXT(INDEX('Dealer pipeline'!$J$4:$J$503,_calc!$E$344),"yyyy-mm-dd"),""))=0,"","Parts end: "&amp;IF(ISNUMBER(INDEX('Dealer pipeline'!$J$4:$J$503,_calc!$E$344)),TEXT(INDEX('Dealer pipeline'!$J$4:$J$503,_calc!$E$344),"yyyy-mm-dd"),"")&amp;". ")&amp;IF(LEN(IF(ISNUMBER(INDEX('Dealer pipeline'!$L$4:$L$503,_calc!$E$344)),TEXT(INDEX('Dealer pipeline'!$L$4:$L$503,_calc!$E$344),"yyyy-mm-dd"),""))=0,"","Labor end: "&amp;IF(ISNUMBER(INDEX('Dealer pipeline'!$L$4:$L$503,_calc!$E$344)),TEXT(INDEX('Dealer pipeline'!$L$4:$L$503,_calc!$E$344),"yyyy-mm-dd"),"")&amp;". ")&amp;IF(LEN(IF(LEN(INDEX('Dealer pipeline'!$Q$4:$Q$503,_calc!$E$344))=0,"",INDEX('Dealer pipeline'!$Q$4:$Q$503,_calc!$E$344)))=0,"","Status: "&amp;IF(LEN(INDEX('Dealer pipeline'!$Q$4:$Q$503,_calc!$E$344))=0,"",INDEX('Dealer pipeline'!$Q$4:$Q$503,_calc!$E$344))&amp;". ")&amp;IF(LEN(IF(LEN(INDEX('Dealer pipeline'!$P$4:$P$503,_calc!$E$344))=0,"",INDEX('Dealer pipeline'!$P$4:$P$503,_calc!$E$344)))=0,"","Last touch: "&amp;IF(LEN(INDEX('Dealer pipeline'!$P$4:$P$503,_calc!$E$344))=0,"",INDEX('Dealer pipeline'!$P$4:$P$503,_calc!$E$344))&amp;". ")&amp;IF(LEN(IF(LEN(INDEX('Dealer pipeline'!$R$4:$R$503,_calc!$E$344))=0,"",INDEX('Dealer pipeline'!$R$4:$R$503,_calc!$E$344)))=0,"","Owner: "&amp;IF(LEN(INDEX('Dealer pipeline'!$R$4:$R$503,_calc!$E$344))=0,"",INDEX('Dealer pipeline'!$R$4:$R$503,_calc!$E$344))&amp;". ")&amp;IF(LEN(IF(LEN(INDEX('Dealer pipeline'!$S$4:$S$503,_calc!$E$344))=0,"",INDEX('Dealer pipeline'!$S$4:$S$503,_calc!$E$344)))=0,"","Backup: "&amp;IF(LEN(INDEX('Dealer pipeline'!$S$4:$S$503,_calc!$E$344))=0,"",INDEX('Dealer pipeline'!$S$4:$S$503,_calc!$E$344))&amp;". ")&amp;IF(LEN(IF(LEN(INDEX('Dealer pipeline'!$T$4:$T$503,_calc!$E$344))=0,"",INDEX('Dealer pipeline'!$T$4:$T$503,_calc!$E$344)))=0,"",IF(LEN(INDEX('Dealer pipeline'!$T$4:$T$503,_calc!$E$344))=0,"",INDEX('Dealer pipeline'!$T$4:$T$503,_calc!$E$344)))),TRIM(IF(LEN(IF(LEN(INDEX('My equipment'!$C$4:$C$503,(_calc!$E$344-500)))=0,"",INDEX('My equipment'!$C$4:$C$503,(_calc!$E$344-500))))=0,"","Model: "&amp;IF(LEN(INDEX('My equipment'!$C$4:$C$503,(_calc!$E$344-500)))=0,"",INDEX('My equipment'!$C$4:$C$503,(_calc!$E$344-500)))&amp;". ")&amp;IF(LEN(IF(LEN(INDEX('My equipment'!$D$4:$D$503,(_calc!$E$344-500)))=0,"",INDEX('My equipment'!$D$4:$D$503,(_calc!$E$344-500))))=0,"","Serial: "&amp;IF(LEN(INDEX('My equipment'!$D$4:$D$503,(_calc!$E$344-500)))=0,"",INDEX('My equipment'!$D$4:$D$503,(_calc!$E$344-500)))&amp;". ")&amp;IF(LEN(IF(ISNUMBER(INDEX('My equipment'!$J$4:$J$503,(_calc!$E$344-500))),TEXT(INDEX('My equipment'!$J$4:$J$503,(_calc!$E$344-500)),"yyyy-mm-dd"),""))=0,"","Parts end: "&amp;IF(ISNUMBER(INDEX('My equipment'!$J$4:$J$503,(_calc!$E$344-500))),TEXT(INDEX('My equipment'!$J$4:$J$503,(_calc!$E$344-500)),"yyyy-mm-dd"),"")&amp;". ")&amp;IF(LEN(IF(ISNUMBER(INDEX('My equipment'!$L$4:$L$503,(_calc!$E$344-500))),TEXT(INDEX('My equipment'!$L$4:$L$503,(_calc!$E$344-500)),"yyyy-mm-dd"),""))=0,"","Labor end: "&amp;IF(ISNUMBER(INDEX('My equipment'!$L$4:$L$503,(_calc!$E$344-500))),TEXT(INDEX('My equipment'!$L$4:$L$503,(_calc!$E$344-500)),"yyyy-mm-dd"),"")&amp;". ")&amp;IF(LEN(IF(ISNUMBER(INDEX('My equipment'!$P$4:$P$503,(_calc!$E$344-500))),TEXT(INDEX('My equipment'!$P$4:$P$503,(_calc!$E$344-500)),"yyyy-mm-dd"),""))=0,"","Check by: "&amp;IF(ISNUMBER(INDEX('My equipment'!$P$4:$P$503,(_calc!$E$344-500))),TEXT(INDEX('My equipment'!$P$4:$P$503,(_calc!$E$344-500)),"yyyy-mm-dd"),"")&amp;". ")&amp;IF(LEN(IF(LEN(INDEX('My equipment'!$Q$4:$Q$503,(_calc!$E$344-500)))=0,"",INDEX('My equipment'!$Q$4:$Q$503,(_calc!$E$344-500))))=0,"","Claim status: "&amp;IF(LEN(INDEX('My equipment'!$Q$4:$Q$503,(_calc!$E$344-500)))=0,"",INDEX('My equipment'!$Q$4:$Q$503,(_calc!$E$344-500)))&amp;". ")&amp;IF(LEN(IF(LEN(INDEX('My equipment'!$R$4:$R$503,(_calc!$E$344-500)))=0,"",INDEX('My equipment'!$R$4:$R$503,(_calc!$E$344-500))))=0,"","Claims contact: "&amp;IF(LEN(INDEX('My equipment'!$R$4:$R$503,(_calc!$E$344-500)))=0,"",INDEX('My equipment'!$R$4:$R$503,(_calc!$E$344-500)))&amp;". ")&amp;IF(LEN(IF(LEN(INDEX('My equipment'!$S$4:$S$503,(_calc!$E$344-500)))=0,"",INDEX('My equipment'!$S$4:$S$503,(_calc!$E$344-500))))=0,"","Claims email: "&amp;IF(LEN(INDEX('My equipment'!$S$4:$S$503,(_calc!$E$344-500)))=0,"",INDEX('My equipment'!$S$4:$S$503,(_calc!$E$344-500)))&amp;". ")&amp;IF(LEN(IF(LEN(INDEX('My equipment'!$U$4:$U$503,(_calc!$E$344-500)))=0,"",INDEX('My equipment'!$U$4:$U$503,(_calc!$E$344-500))))=0,"","Registered: "&amp;IF(LEN(INDEX('My equipment'!$U$4:$U$503,(_calc!$E$344-500)))=0,"",INDEX('My equipment'!$U$4:$U$503,(_calc!$E$344-500)))&amp;". ")&amp;IF(LEN(IF(LEN(INDEX('My equipment'!$V$4:$V$503,(_calc!$E$344-500)))=0,"",INDEX('My equipment'!$V$4:$V$503,(_calc!$E$344-500))))=0,"","Proof on file: "&amp;IF(LEN(INDEX('My equipment'!$V$4:$V$503,(_calc!$E$344-500)))=0,"",INDEX('My equipment'!$V$4:$V$503,(_calc!$E$344-500)))&amp;". ")&amp;IF(LEN(IF(LEN(INDEX('My equipment'!$W$4:$W$503,(_calc!$E$344-500)))=0,"",INDEX('My equipment'!$W$4:$W$503,(_calc!$E$344-500))))=0,"","Claim ref: "&amp;IF(LEN(INDEX('My equipment'!$W$4:$W$503,(_calc!$E$344-500)))=0,"",INDEX('My equipment'!$W$4:$W$503,(_calc!$E$344-500)))&amp;". ")&amp;IF(LEN(IF(LEN(INDEX('My equipment'!$Y$4:$Y$503,(_calc!$E$344-500)))=0,"",INDEX('My equipment'!$Y$4:$Y$503,(_calc!$E$344-500))))=0,"",IF(LEN(INDEX('My equipment'!$Y$4:$Y$503,(_calc!$E$344-500)))=0,"",INDEX('My equipment'!$Y$4:$Y$503,(_calc!$E$344-500)))))))</f>
        <v/>
      </c>
      <c r="G342" s="54">
        <f>IF(_calc!$E$344="","",IF(_calc!$E$344&lt;=500,"",IF(LEN(INDEX('My equipment'!$X$4:$X$503,(_calc!$E$344-500)))=0,"",INDEX('My equipment'!$X$4:$X$503,(_calc!$E$344-500)))))</f>
        <v/>
      </c>
      <c r="K342" s="54">
        <f>IF(_calc!$E$344="","",IF(_calc!$E$344&lt;=500,"",IF(LEN(INDEX('My equipment'!$T$4:$T$503,(_calc!$E$344-500)))=0,"",INDEX('My equipment'!$T$4:$T$503,(_calc!$E$344-500)))))</f>
        <v/>
      </c>
    </row>
    <row r="343">
      <c r="A343" s="54">
        <f>IF(_calc!$E$345="","",IF(_calc!$E$345&lt;=500,"Warranty – "&amp;IF(LEN(INDEX('Dealer pipeline'!$C$4:$C$503,_calc!$E$345))=0,"",INDEX('Dealer pipeline'!$C$4:$C$503,_calc!$E$345))&amp;" – "&amp;IF(LEN(INDEX('Dealer pipeline'!$D$4:$D$503,_calc!$E$345))=0,"",INDEX('Dealer pipeline'!$D$4:$D$503,_calc!$E$345))&amp;" – "&amp;IF(LEN(INDEX('Dealer pipeline'!$A$4:$A$503,_calc!$E$345))=0,"",INDEX('Dealer pipeline'!$A$4:$A$503,_calc!$E$345)),"Warranty – "&amp;IF(LEN(INDEX('My equipment'!$A$4:$A$503,(_calc!$E$345-500)))=0,"",INDEX('My equipment'!$A$4:$A$503,(_calc!$E$345-500)))&amp;" – "&amp;IF(LEN(INDEX('My equipment'!$D$4:$D$503,(_calc!$E$345-500)))=0,"",INDEX('My equipment'!$D$4:$D$503,(_calc!$E$345-500)))))</f>
        <v/>
      </c>
      <c r="B343" s="54">
        <f>IF(_calc!$E$345="","",IF(_calc!$E$345&lt;=500,IF(ISNUMBER(INDEX('Dealer pipeline'!$M$4:$M$503,_calc!$E$345)),TEXT(INDEX('Dealer pipeline'!$M$4:$M$503,_calc!$E$345),"yyyy-mm-dd"),""),IF(ISNUMBER(INDEX('My equipment'!$M$4:$M$503,(_calc!$E$345-500))),TEXT(INDEX('My equipment'!$M$4:$M$503,(_calc!$E$345-500)),"yyyy-mm-dd"),"")))</f>
        <v/>
      </c>
      <c r="C343" s="54">
        <f>IF(_calc!$E$345="","",IF(_calc!$E$345&lt;=500,"Warranty","Warranty"))</f>
        <v/>
      </c>
      <c r="D343" s="54">
        <f>IF(_calc!$E$345="","",IF(_calc!$E$345&lt;=500,IF(ISNUMBER(INDEX('Dealer pipeline'!$H$4:$H$503,_calc!$E$345)),TEXT(INDEX('Dealer pipeline'!$H$4:$H$503,_calc!$E$345),"yyyy-mm-dd"),""),IF(ISNUMBER(INDEX('My equipment'!$H$4:$H$503,(_calc!$E$345-500))),TEXT(INDEX('My equipment'!$H$4:$H$503,(_calc!$E$345-500)),"yyyy-mm-dd"),"")))</f>
        <v/>
      </c>
      <c r="F343" s="54">
        <f>IF(_calc!$E$345="","",IF(_calc!$E$345&lt;=500,TRIM(IF(LEN(IF(LEN(INDEX('Dealer pipeline'!$A$4:$A$503,_calc!$E$345))=0,"",INDEX('Dealer pipeline'!$A$4:$A$503,_calc!$E$345)))=0,"","Customer: "&amp;IF(LEN(INDEX('Dealer pipeline'!$A$4:$A$503,_calc!$E$345))=0,"",INDEX('Dealer pipeline'!$A$4:$A$503,_calc!$E$345))&amp;". ")&amp;IF(LEN(IF(LEN(INDEX('Dealer pipeline'!$B$4:$B$503,_calc!$E$345))=0,"",INDEX('Dealer pipeline'!$B$4:$B$503,_calc!$E$345)))=0,"","Contact: "&amp;IF(LEN(INDEX('Dealer pipeline'!$B$4:$B$503,_calc!$E$345))=0,"",INDEX('Dealer pipeline'!$B$4:$B$503,_calc!$E$345))&amp;". ")&amp;IF(LEN(IF(LEN(INDEX('Dealer pipeline'!$D$4:$D$503,_calc!$E$345))=0,"",INDEX('Dealer pipeline'!$D$4:$D$503,_calc!$E$345)))=0,"","Serial: "&amp;IF(LEN(INDEX('Dealer pipeline'!$D$4:$D$503,_calc!$E$345))=0,"",INDEX('Dealer pipeline'!$D$4:$D$503,_calc!$E$345))&amp;". ")&amp;IF(LEN(IF(ISNUMBER(INDEX('Dealer pipeline'!$J$4:$J$503,_calc!$E$345)),TEXT(INDEX('Dealer pipeline'!$J$4:$J$503,_calc!$E$345),"yyyy-mm-dd"),""))=0,"","Parts end: "&amp;IF(ISNUMBER(INDEX('Dealer pipeline'!$J$4:$J$503,_calc!$E$345)),TEXT(INDEX('Dealer pipeline'!$J$4:$J$503,_calc!$E$345),"yyyy-mm-dd"),"")&amp;". ")&amp;IF(LEN(IF(ISNUMBER(INDEX('Dealer pipeline'!$L$4:$L$503,_calc!$E$345)),TEXT(INDEX('Dealer pipeline'!$L$4:$L$503,_calc!$E$345),"yyyy-mm-dd"),""))=0,"","Labor end: "&amp;IF(ISNUMBER(INDEX('Dealer pipeline'!$L$4:$L$503,_calc!$E$345)),TEXT(INDEX('Dealer pipeline'!$L$4:$L$503,_calc!$E$345),"yyyy-mm-dd"),"")&amp;". ")&amp;IF(LEN(IF(LEN(INDEX('Dealer pipeline'!$Q$4:$Q$503,_calc!$E$345))=0,"",INDEX('Dealer pipeline'!$Q$4:$Q$503,_calc!$E$345)))=0,"","Status: "&amp;IF(LEN(INDEX('Dealer pipeline'!$Q$4:$Q$503,_calc!$E$345))=0,"",INDEX('Dealer pipeline'!$Q$4:$Q$503,_calc!$E$345))&amp;". ")&amp;IF(LEN(IF(LEN(INDEX('Dealer pipeline'!$P$4:$P$503,_calc!$E$345))=0,"",INDEX('Dealer pipeline'!$P$4:$P$503,_calc!$E$345)))=0,"","Last touch: "&amp;IF(LEN(INDEX('Dealer pipeline'!$P$4:$P$503,_calc!$E$345))=0,"",INDEX('Dealer pipeline'!$P$4:$P$503,_calc!$E$345))&amp;". ")&amp;IF(LEN(IF(LEN(INDEX('Dealer pipeline'!$R$4:$R$503,_calc!$E$345))=0,"",INDEX('Dealer pipeline'!$R$4:$R$503,_calc!$E$345)))=0,"","Owner: "&amp;IF(LEN(INDEX('Dealer pipeline'!$R$4:$R$503,_calc!$E$345))=0,"",INDEX('Dealer pipeline'!$R$4:$R$503,_calc!$E$345))&amp;". ")&amp;IF(LEN(IF(LEN(INDEX('Dealer pipeline'!$S$4:$S$503,_calc!$E$345))=0,"",INDEX('Dealer pipeline'!$S$4:$S$503,_calc!$E$345)))=0,"","Backup: "&amp;IF(LEN(INDEX('Dealer pipeline'!$S$4:$S$503,_calc!$E$345))=0,"",INDEX('Dealer pipeline'!$S$4:$S$503,_calc!$E$345))&amp;". ")&amp;IF(LEN(IF(LEN(INDEX('Dealer pipeline'!$T$4:$T$503,_calc!$E$345))=0,"",INDEX('Dealer pipeline'!$T$4:$T$503,_calc!$E$345)))=0,"",IF(LEN(INDEX('Dealer pipeline'!$T$4:$T$503,_calc!$E$345))=0,"",INDEX('Dealer pipeline'!$T$4:$T$503,_calc!$E$345)))),TRIM(IF(LEN(IF(LEN(INDEX('My equipment'!$C$4:$C$503,(_calc!$E$345-500)))=0,"",INDEX('My equipment'!$C$4:$C$503,(_calc!$E$345-500))))=0,"","Model: "&amp;IF(LEN(INDEX('My equipment'!$C$4:$C$503,(_calc!$E$345-500)))=0,"",INDEX('My equipment'!$C$4:$C$503,(_calc!$E$345-500)))&amp;". ")&amp;IF(LEN(IF(LEN(INDEX('My equipment'!$D$4:$D$503,(_calc!$E$345-500)))=0,"",INDEX('My equipment'!$D$4:$D$503,(_calc!$E$345-500))))=0,"","Serial: "&amp;IF(LEN(INDEX('My equipment'!$D$4:$D$503,(_calc!$E$345-500)))=0,"",INDEX('My equipment'!$D$4:$D$503,(_calc!$E$345-500)))&amp;". ")&amp;IF(LEN(IF(ISNUMBER(INDEX('My equipment'!$J$4:$J$503,(_calc!$E$345-500))),TEXT(INDEX('My equipment'!$J$4:$J$503,(_calc!$E$345-500)),"yyyy-mm-dd"),""))=0,"","Parts end: "&amp;IF(ISNUMBER(INDEX('My equipment'!$J$4:$J$503,(_calc!$E$345-500))),TEXT(INDEX('My equipment'!$J$4:$J$503,(_calc!$E$345-500)),"yyyy-mm-dd"),"")&amp;". ")&amp;IF(LEN(IF(ISNUMBER(INDEX('My equipment'!$L$4:$L$503,(_calc!$E$345-500))),TEXT(INDEX('My equipment'!$L$4:$L$503,(_calc!$E$345-500)),"yyyy-mm-dd"),""))=0,"","Labor end: "&amp;IF(ISNUMBER(INDEX('My equipment'!$L$4:$L$503,(_calc!$E$345-500))),TEXT(INDEX('My equipment'!$L$4:$L$503,(_calc!$E$345-500)),"yyyy-mm-dd"),"")&amp;". ")&amp;IF(LEN(IF(ISNUMBER(INDEX('My equipment'!$P$4:$P$503,(_calc!$E$345-500))),TEXT(INDEX('My equipment'!$P$4:$P$503,(_calc!$E$345-500)),"yyyy-mm-dd"),""))=0,"","Check by: "&amp;IF(ISNUMBER(INDEX('My equipment'!$P$4:$P$503,(_calc!$E$345-500))),TEXT(INDEX('My equipment'!$P$4:$P$503,(_calc!$E$345-500)),"yyyy-mm-dd"),"")&amp;". ")&amp;IF(LEN(IF(LEN(INDEX('My equipment'!$Q$4:$Q$503,(_calc!$E$345-500)))=0,"",INDEX('My equipment'!$Q$4:$Q$503,(_calc!$E$345-500))))=0,"","Claim status: "&amp;IF(LEN(INDEX('My equipment'!$Q$4:$Q$503,(_calc!$E$345-500)))=0,"",INDEX('My equipment'!$Q$4:$Q$503,(_calc!$E$345-500)))&amp;". ")&amp;IF(LEN(IF(LEN(INDEX('My equipment'!$R$4:$R$503,(_calc!$E$345-500)))=0,"",INDEX('My equipment'!$R$4:$R$503,(_calc!$E$345-500))))=0,"","Claims contact: "&amp;IF(LEN(INDEX('My equipment'!$R$4:$R$503,(_calc!$E$345-500)))=0,"",INDEX('My equipment'!$R$4:$R$503,(_calc!$E$345-500)))&amp;". ")&amp;IF(LEN(IF(LEN(INDEX('My equipment'!$S$4:$S$503,(_calc!$E$345-500)))=0,"",INDEX('My equipment'!$S$4:$S$503,(_calc!$E$345-500))))=0,"","Claims email: "&amp;IF(LEN(INDEX('My equipment'!$S$4:$S$503,(_calc!$E$345-500)))=0,"",INDEX('My equipment'!$S$4:$S$503,(_calc!$E$345-500)))&amp;". ")&amp;IF(LEN(IF(LEN(INDEX('My equipment'!$U$4:$U$503,(_calc!$E$345-500)))=0,"",INDEX('My equipment'!$U$4:$U$503,(_calc!$E$345-500))))=0,"","Registered: "&amp;IF(LEN(INDEX('My equipment'!$U$4:$U$503,(_calc!$E$345-500)))=0,"",INDEX('My equipment'!$U$4:$U$503,(_calc!$E$345-500)))&amp;". ")&amp;IF(LEN(IF(LEN(INDEX('My equipment'!$V$4:$V$503,(_calc!$E$345-500)))=0,"",INDEX('My equipment'!$V$4:$V$503,(_calc!$E$345-500))))=0,"","Proof on file: "&amp;IF(LEN(INDEX('My equipment'!$V$4:$V$503,(_calc!$E$345-500)))=0,"",INDEX('My equipment'!$V$4:$V$503,(_calc!$E$345-500)))&amp;". ")&amp;IF(LEN(IF(LEN(INDEX('My equipment'!$W$4:$W$503,(_calc!$E$345-500)))=0,"",INDEX('My equipment'!$W$4:$W$503,(_calc!$E$345-500))))=0,"","Claim ref: "&amp;IF(LEN(INDEX('My equipment'!$W$4:$W$503,(_calc!$E$345-500)))=0,"",INDEX('My equipment'!$W$4:$W$503,(_calc!$E$345-500)))&amp;". ")&amp;IF(LEN(IF(LEN(INDEX('My equipment'!$Y$4:$Y$503,(_calc!$E$345-500)))=0,"",INDEX('My equipment'!$Y$4:$Y$503,(_calc!$E$345-500))))=0,"",IF(LEN(INDEX('My equipment'!$Y$4:$Y$503,(_calc!$E$345-500)))=0,"",INDEX('My equipment'!$Y$4:$Y$503,(_calc!$E$345-500)))))))</f>
        <v/>
      </c>
      <c r="G343" s="54">
        <f>IF(_calc!$E$345="","",IF(_calc!$E$345&lt;=500,"",IF(LEN(INDEX('My equipment'!$X$4:$X$503,(_calc!$E$345-500)))=0,"",INDEX('My equipment'!$X$4:$X$503,(_calc!$E$345-500)))))</f>
        <v/>
      </c>
      <c r="K343" s="54">
        <f>IF(_calc!$E$345="","",IF(_calc!$E$345&lt;=500,"",IF(LEN(INDEX('My equipment'!$T$4:$T$503,(_calc!$E$345-500)))=0,"",INDEX('My equipment'!$T$4:$T$503,(_calc!$E$345-500)))))</f>
        <v/>
      </c>
    </row>
    <row r="344">
      <c r="A344" s="54">
        <f>IF(_calc!$E$346="","",IF(_calc!$E$346&lt;=500,"Warranty – "&amp;IF(LEN(INDEX('Dealer pipeline'!$C$4:$C$503,_calc!$E$346))=0,"",INDEX('Dealer pipeline'!$C$4:$C$503,_calc!$E$346))&amp;" – "&amp;IF(LEN(INDEX('Dealer pipeline'!$D$4:$D$503,_calc!$E$346))=0,"",INDEX('Dealer pipeline'!$D$4:$D$503,_calc!$E$346))&amp;" – "&amp;IF(LEN(INDEX('Dealer pipeline'!$A$4:$A$503,_calc!$E$346))=0,"",INDEX('Dealer pipeline'!$A$4:$A$503,_calc!$E$346)),"Warranty – "&amp;IF(LEN(INDEX('My equipment'!$A$4:$A$503,(_calc!$E$346-500)))=0,"",INDEX('My equipment'!$A$4:$A$503,(_calc!$E$346-500)))&amp;" – "&amp;IF(LEN(INDEX('My equipment'!$D$4:$D$503,(_calc!$E$346-500)))=0,"",INDEX('My equipment'!$D$4:$D$503,(_calc!$E$346-500)))))</f>
        <v/>
      </c>
      <c r="B344" s="54">
        <f>IF(_calc!$E$346="","",IF(_calc!$E$346&lt;=500,IF(ISNUMBER(INDEX('Dealer pipeline'!$M$4:$M$503,_calc!$E$346)),TEXT(INDEX('Dealer pipeline'!$M$4:$M$503,_calc!$E$346),"yyyy-mm-dd"),""),IF(ISNUMBER(INDEX('My equipment'!$M$4:$M$503,(_calc!$E$346-500))),TEXT(INDEX('My equipment'!$M$4:$M$503,(_calc!$E$346-500)),"yyyy-mm-dd"),"")))</f>
        <v/>
      </c>
      <c r="C344" s="54">
        <f>IF(_calc!$E$346="","",IF(_calc!$E$346&lt;=500,"Warranty","Warranty"))</f>
        <v/>
      </c>
      <c r="D344" s="54">
        <f>IF(_calc!$E$346="","",IF(_calc!$E$346&lt;=500,IF(ISNUMBER(INDEX('Dealer pipeline'!$H$4:$H$503,_calc!$E$346)),TEXT(INDEX('Dealer pipeline'!$H$4:$H$503,_calc!$E$346),"yyyy-mm-dd"),""),IF(ISNUMBER(INDEX('My equipment'!$H$4:$H$503,(_calc!$E$346-500))),TEXT(INDEX('My equipment'!$H$4:$H$503,(_calc!$E$346-500)),"yyyy-mm-dd"),"")))</f>
        <v/>
      </c>
      <c r="F344" s="54">
        <f>IF(_calc!$E$346="","",IF(_calc!$E$346&lt;=500,TRIM(IF(LEN(IF(LEN(INDEX('Dealer pipeline'!$A$4:$A$503,_calc!$E$346))=0,"",INDEX('Dealer pipeline'!$A$4:$A$503,_calc!$E$346)))=0,"","Customer: "&amp;IF(LEN(INDEX('Dealer pipeline'!$A$4:$A$503,_calc!$E$346))=0,"",INDEX('Dealer pipeline'!$A$4:$A$503,_calc!$E$346))&amp;". ")&amp;IF(LEN(IF(LEN(INDEX('Dealer pipeline'!$B$4:$B$503,_calc!$E$346))=0,"",INDEX('Dealer pipeline'!$B$4:$B$503,_calc!$E$346)))=0,"","Contact: "&amp;IF(LEN(INDEX('Dealer pipeline'!$B$4:$B$503,_calc!$E$346))=0,"",INDEX('Dealer pipeline'!$B$4:$B$503,_calc!$E$346))&amp;". ")&amp;IF(LEN(IF(LEN(INDEX('Dealer pipeline'!$D$4:$D$503,_calc!$E$346))=0,"",INDEX('Dealer pipeline'!$D$4:$D$503,_calc!$E$346)))=0,"","Serial: "&amp;IF(LEN(INDEX('Dealer pipeline'!$D$4:$D$503,_calc!$E$346))=0,"",INDEX('Dealer pipeline'!$D$4:$D$503,_calc!$E$346))&amp;". ")&amp;IF(LEN(IF(ISNUMBER(INDEX('Dealer pipeline'!$J$4:$J$503,_calc!$E$346)),TEXT(INDEX('Dealer pipeline'!$J$4:$J$503,_calc!$E$346),"yyyy-mm-dd"),""))=0,"","Parts end: "&amp;IF(ISNUMBER(INDEX('Dealer pipeline'!$J$4:$J$503,_calc!$E$346)),TEXT(INDEX('Dealer pipeline'!$J$4:$J$503,_calc!$E$346),"yyyy-mm-dd"),"")&amp;". ")&amp;IF(LEN(IF(ISNUMBER(INDEX('Dealer pipeline'!$L$4:$L$503,_calc!$E$346)),TEXT(INDEX('Dealer pipeline'!$L$4:$L$503,_calc!$E$346),"yyyy-mm-dd"),""))=0,"","Labor end: "&amp;IF(ISNUMBER(INDEX('Dealer pipeline'!$L$4:$L$503,_calc!$E$346)),TEXT(INDEX('Dealer pipeline'!$L$4:$L$503,_calc!$E$346),"yyyy-mm-dd"),"")&amp;". ")&amp;IF(LEN(IF(LEN(INDEX('Dealer pipeline'!$Q$4:$Q$503,_calc!$E$346))=0,"",INDEX('Dealer pipeline'!$Q$4:$Q$503,_calc!$E$346)))=0,"","Status: "&amp;IF(LEN(INDEX('Dealer pipeline'!$Q$4:$Q$503,_calc!$E$346))=0,"",INDEX('Dealer pipeline'!$Q$4:$Q$503,_calc!$E$346))&amp;". ")&amp;IF(LEN(IF(LEN(INDEX('Dealer pipeline'!$P$4:$P$503,_calc!$E$346))=0,"",INDEX('Dealer pipeline'!$P$4:$P$503,_calc!$E$346)))=0,"","Last touch: "&amp;IF(LEN(INDEX('Dealer pipeline'!$P$4:$P$503,_calc!$E$346))=0,"",INDEX('Dealer pipeline'!$P$4:$P$503,_calc!$E$346))&amp;". ")&amp;IF(LEN(IF(LEN(INDEX('Dealer pipeline'!$R$4:$R$503,_calc!$E$346))=0,"",INDEX('Dealer pipeline'!$R$4:$R$503,_calc!$E$346)))=0,"","Owner: "&amp;IF(LEN(INDEX('Dealer pipeline'!$R$4:$R$503,_calc!$E$346))=0,"",INDEX('Dealer pipeline'!$R$4:$R$503,_calc!$E$346))&amp;". ")&amp;IF(LEN(IF(LEN(INDEX('Dealer pipeline'!$S$4:$S$503,_calc!$E$346))=0,"",INDEX('Dealer pipeline'!$S$4:$S$503,_calc!$E$346)))=0,"","Backup: "&amp;IF(LEN(INDEX('Dealer pipeline'!$S$4:$S$503,_calc!$E$346))=0,"",INDEX('Dealer pipeline'!$S$4:$S$503,_calc!$E$346))&amp;". ")&amp;IF(LEN(IF(LEN(INDEX('Dealer pipeline'!$T$4:$T$503,_calc!$E$346))=0,"",INDEX('Dealer pipeline'!$T$4:$T$503,_calc!$E$346)))=0,"",IF(LEN(INDEX('Dealer pipeline'!$T$4:$T$503,_calc!$E$346))=0,"",INDEX('Dealer pipeline'!$T$4:$T$503,_calc!$E$346)))),TRIM(IF(LEN(IF(LEN(INDEX('My equipment'!$C$4:$C$503,(_calc!$E$346-500)))=0,"",INDEX('My equipment'!$C$4:$C$503,(_calc!$E$346-500))))=0,"","Model: "&amp;IF(LEN(INDEX('My equipment'!$C$4:$C$503,(_calc!$E$346-500)))=0,"",INDEX('My equipment'!$C$4:$C$503,(_calc!$E$346-500)))&amp;". ")&amp;IF(LEN(IF(LEN(INDEX('My equipment'!$D$4:$D$503,(_calc!$E$346-500)))=0,"",INDEX('My equipment'!$D$4:$D$503,(_calc!$E$346-500))))=0,"","Serial: "&amp;IF(LEN(INDEX('My equipment'!$D$4:$D$503,(_calc!$E$346-500)))=0,"",INDEX('My equipment'!$D$4:$D$503,(_calc!$E$346-500)))&amp;". ")&amp;IF(LEN(IF(ISNUMBER(INDEX('My equipment'!$J$4:$J$503,(_calc!$E$346-500))),TEXT(INDEX('My equipment'!$J$4:$J$503,(_calc!$E$346-500)),"yyyy-mm-dd"),""))=0,"","Parts end: "&amp;IF(ISNUMBER(INDEX('My equipment'!$J$4:$J$503,(_calc!$E$346-500))),TEXT(INDEX('My equipment'!$J$4:$J$503,(_calc!$E$346-500)),"yyyy-mm-dd"),"")&amp;". ")&amp;IF(LEN(IF(ISNUMBER(INDEX('My equipment'!$L$4:$L$503,(_calc!$E$346-500))),TEXT(INDEX('My equipment'!$L$4:$L$503,(_calc!$E$346-500)),"yyyy-mm-dd"),""))=0,"","Labor end: "&amp;IF(ISNUMBER(INDEX('My equipment'!$L$4:$L$503,(_calc!$E$346-500))),TEXT(INDEX('My equipment'!$L$4:$L$503,(_calc!$E$346-500)),"yyyy-mm-dd"),"")&amp;". ")&amp;IF(LEN(IF(ISNUMBER(INDEX('My equipment'!$P$4:$P$503,(_calc!$E$346-500))),TEXT(INDEX('My equipment'!$P$4:$P$503,(_calc!$E$346-500)),"yyyy-mm-dd"),""))=0,"","Check by: "&amp;IF(ISNUMBER(INDEX('My equipment'!$P$4:$P$503,(_calc!$E$346-500))),TEXT(INDEX('My equipment'!$P$4:$P$503,(_calc!$E$346-500)),"yyyy-mm-dd"),"")&amp;". ")&amp;IF(LEN(IF(LEN(INDEX('My equipment'!$Q$4:$Q$503,(_calc!$E$346-500)))=0,"",INDEX('My equipment'!$Q$4:$Q$503,(_calc!$E$346-500))))=0,"","Claim status: "&amp;IF(LEN(INDEX('My equipment'!$Q$4:$Q$503,(_calc!$E$346-500)))=0,"",INDEX('My equipment'!$Q$4:$Q$503,(_calc!$E$346-500)))&amp;". ")&amp;IF(LEN(IF(LEN(INDEX('My equipment'!$R$4:$R$503,(_calc!$E$346-500)))=0,"",INDEX('My equipment'!$R$4:$R$503,(_calc!$E$346-500))))=0,"","Claims contact: "&amp;IF(LEN(INDEX('My equipment'!$R$4:$R$503,(_calc!$E$346-500)))=0,"",INDEX('My equipment'!$R$4:$R$503,(_calc!$E$346-500)))&amp;". ")&amp;IF(LEN(IF(LEN(INDEX('My equipment'!$S$4:$S$503,(_calc!$E$346-500)))=0,"",INDEX('My equipment'!$S$4:$S$503,(_calc!$E$346-500))))=0,"","Claims email: "&amp;IF(LEN(INDEX('My equipment'!$S$4:$S$503,(_calc!$E$346-500)))=0,"",INDEX('My equipment'!$S$4:$S$503,(_calc!$E$346-500)))&amp;". ")&amp;IF(LEN(IF(LEN(INDEX('My equipment'!$U$4:$U$503,(_calc!$E$346-500)))=0,"",INDEX('My equipment'!$U$4:$U$503,(_calc!$E$346-500))))=0,"","Registered: "&amp;IF(LEN(INDEX('My equipment'!$U$4:$U$503,(_calc!$E$346-500)))=0,"",INDEX('My equipment'!$U$4:$U$503,(_calc!$E$346-500)))&amp;". ")&amp;IF(LEN(IF(LEN(INDEX('My equipment'!$V$4:$V$503,(_calc!$E$346-500)))=0,"",INDEX('My equipment'!$V$4:$V$503,(_calc!$E$346-500))))=0,"","Proof on file: "&amp;IF(LEN(INDEX('My equipment'!$V$4:$V$503,(_calc!$E$346-500)))=0,"",INDEX('My equipment'!$V$4:$V$503,(_calc!$E$346-500)))&amp;". ")&amp;IF(LEN(IF(LEN(INDEX('My equipment'!$W$4:$W$503,(_calc!$E$346-500)))=0,"",INDEX('My equipment'!$W$4:$W$503,(_calc!$E$346-500))))=0,"","Claim ref: "&amp;IF(LEN(INDEX('My equipment'!$W$4:$W$503,(_calc!$E$346-500)))=0,"",INDEX('My equipment'!$W$4:$W$503,(_calc!$E$346-500)))&amp;". ")&amp;IF(LEN(IF(LEN(INDEX('My equipment'!$Y$4:$Y$503,(_calc!$E$346-500)))=0,"",INDEX('My equipment'!$Y$4:$Y$503,(_calc!$E$346-500))))=0,"",IF(LEN(INDEX('My equipment'!$Y$4:$Y$503,(_calc!$E$346-500)))=0,"",INDEX('My equipment'!$Y$4:$Y$503,(_calc!$E$346-500)))))))</f>
        <v/>
      </c>
      <c r="G344" s="54">
        <f>IF(_calc!$E$346="","",IF(_calc!$E$346&lt;=500,"",IF(LEN(INDEX('My equipment'!$X$4:$X$503,(_calc!$E$346-500)))=0,"",INDEX('My equipment'!$X$4:$X$503,(_calc!$E$346-500)))))</f>
        <v/>
      </c>
      <c r="K344" s="54">
        <f>IF(_calc!$E$346="","",IF(_calc!$E$346&lt;=500,"",IF(LEN(INDEX('My equipment'!$T$4:$T$503,(_calc!$E$346-500)))=0,"",INDEX('My equipment'!$T$4:$T$503,(_calc!$E$346-500)))))</f>
        <v/>
      </c>
    </row>
    <row r="345">
      <c r="A345" s="54">
        <f>IF(_calc!$E$347="","",IF(_calc!$E$347&lt;=500,"Warranty – "&amp;IF(LEN(INDEX('Dealer pipeline'!$C$4:$C$503,_calc!$E$347))=0,"",INDEX('Dealer pipeline'!$C$4:$C$503,_calc!$E$347))&amp;" – "&amp;IF(LEN(INDEX('Dealer pipeline'!$D$4:$D$503,_calc!$E$347))=0,"",INDEX('Dealer pipeline'!$D$4:$D$503,_calc!$E$347))&amp;" – "&amp;IF(LEN(INDEX('Dealer pipeline'!$A$4:$A$503,_calc!$E$347))=0,"",INDEX('Dealer pipeline'!$A$4:$A$503,_calc!$E$347)),"Warranty – "&amp;IF(LEN(INDEX('My equipment'!$A$4:$A$503,(_calc!$E$347-500)))=0,"",INDEX('My equipment'!$A$4:$A$503,(_calc!$E$347-500)))&amp;" – "&amp;IF(LEN(INDEX('My equipment'!$D$4:$D$503,(_calc!$E$347-500)))=0,"",INDEX('My equipment'!$D$4:$D$503,(_calc!$E$347-500)))))</f>
        <v/>
      </c>
      <c r="B345" s="54">
        <f>IF(_calc!$E$347="","",IF(_calc!$E$347&lt;=500,IF(ISNUMBER(INDEX('Dealer pipeline'!$M$4:$M$503,_calc!$E$347)),TEXT(INDEX('Dealer pipeline'!$M$4:$M$503,_calc!$E$347),"yyyy-mm-dd"),""),IF(ISNUMBER(INDEX('My equipment'!$M$4:$M$503,(_calc!$E$347-500))),TEXT(INDEX('My equipment'!$M$4:$M$503,(_calc!$E$347-500)),"yyyy-mm-dd"),"")))</f>
        <v/>
      </c>
      <c r="C345" s="54">
        <f>IF(_calc!$E$347="","",IF(_calc!$E$347&lt;=500,"Warranty","Warranty"))</f>
        <v/>
      </c>
      <c r="D345" s="54">
        <f>IF(_calc!$E$347="","",IF(_calc!$E$347&lt;=500,IF(ISNUMBER(INDEX('Dealer pipeline'!$H$4:$H$503,_calc!$E$347)),TEXT(INDEX('Dealer pipeline'!$H$4:$H$503,_calc!$E$347),"yyyy-mm-dd"),""),IF(ISNUMBER(INDEX('My equipment'!$H$4:$H$503,(_calc!$E$347-500))),TEXT(INDEX('My equipment'!$H$4:$H$503,(_calc!$E$347-500)),"yyyy-mm-dd"),"")))</f>
        <v/>
      </c>
      <c r="F345" s="54">
        <f>IF(_calc!$E$347="","",IF(_calc!$E$347&lt;=500,TRIM(IF(LEN(IF(LEN(INDEX('Dealer pipeline'!$A$4:$A$503,_calc!$E$347))=0,"",INDEX('Dealer pipeline'!$A$4:$A$503,_calc!$E$347)))=0,"","Customer: "&amp;IF(LEN(INDEX('Dealer pipeline'!$A$4:$A$503,_calc!$E$347))=0,"",INDEX('Dealer pipeline'!$A$4:$A$503,_calc!$E$347))&amp;". ")&amp;IF(LEN(IF(LEN(INDEX('Dealer pipeline'!$B$4:$B$503,_calc!$E$347))=0,"",INDEX('Dealer pipeline'!$B$4:$B$503,_calc!$E$347)))=0,"","Contact: "&amp;IF(LEN(INDEX('Dealer pipeline'!$B$4:$B$503,_calc!$E$347))=0,"",INDEX('Dealer pipeline'!$B$4:$B$503,_calc!$E$347))&amp;". ")&amp;IF(LEN(IF(LEN(INDEX('Dealer pipeline'!$D$4:$D$503,_calc!$E$347))=0,"",INDEX('Dealer pipeline'!$D$4:$D$503,_calc!$E$347)))=0,"","Serial: "&amp;IF(LEN(INDEX('Dealer pipeline'!$D$4:$D$503,_calc!$E$347))=0,"",INDEX('Dealer pipeline'!$D$4:$D$503,_calc!$E$347))&amp;". ")&amp;IF(LEN(IF(ISNUMBER(INDEX('Dealer pipeline'!$J$4:$J$503,_calc!$E$347)),TEXT(INDEX('Dealer pipeline'!$J$4:$J$503,_calc!$E$347),"yyyy-mm-dd"),""))=0,"","Parts end: "&amp;IF(ISNUMBER(INDEX('Dealer pipeline'!$J$4:$J$503,_calc!$E$347)),TEXT(INDEX('Dealer pipeline'!$J$4:$J$503,_calc!$E$347),"yyyy-mm-dd"),"")&amp;". ")&amp;IF(LEN(IF(ISNUMBER(INDEX('Dealer pipeline'!$L$4:$L$503,_calc!$E$347)),TEXT(INDEX('Dealer pipeline'!$L$4:$L$503,_calc!$E$347),"yyyy-mm-dd"),""))=0,"","Labor end: "&amp;IF(ISNUMBER(INDEX('Dealer pipeline'!$L$4:$L$503,_calc!$E$347)),TEXT(INDEX('Dealer pipeline'!$L$4:$L$503,_calc!$E$347),"yyyy-mm-dd"),"")&amp;". ")&amp;IF(LEN(IF(LEN(INDEX('Dealer pipeline'!$Q$4:$Q$503,_calc!$E$347))=0,"",INDEX('Dealer pipeline'!$Q$4:$Q$503,_calc!$E$347)))=0,"","Status: "&amp;IF(LEN(INDEX('Dealer pipeline'!$Q$4:$Q$503,_calc!$E$347))=0,"",INDEX('Dealer pipeline'!$Q$4:$Q$503,_calc!$E$347))&amp;". ")&amp;IF(LEN(IF(LEN(INDEX('Dealer pipeline'!$P$4:$P$503,_calc!$E$347))=0,"",INDEX('Dealer pipeline'!$P$4:$P$503,_calc!$E$347)))=0,"","Last touch: "&amp;IF(LEN(INDEX('Dealer pipeline'!$P$4:$P$503,_calc!$E$347))=0,"",INDEX('Dealer pipeline'!$P$4:$P$503,_calc!$E$347))&amp;". ")&amp;IF(LEN(IF(LEN(INDEX('Dealer pipeline'!$R$4:$R$503,_calc!$E$347))=0,"",INDEX('Dealer pipeline'!$R$4:$R$503,_calc!$E$347)))=0,"","Owner: "&amp;IF(LEN(INDEX('Dealer pipeline'!$R$4:$R$503,_calc!$E$347))=0,"",INDEX('Dealer pipeline'!$R$4:$R$503,_calc!$E$347))&amp;". ")&amp;IF(LEN(IF(LEN(INDEX('Dealer pipeline'!$S$4:$S$503,_calc!$E$347))=0,"",INDEX('Dealer pipeline'!$S$4:$S$503,_calc!$E$347)))=0,"","Backup: "&amp;IF(LEN(INDEX('Dealer pipeline'!$S$4:$S$503,_calc!$E$347))=0,"",INDEX('Dealer pipeline'!$S$4:$S$503,_calc!$E$347))&amp;". ")&amp;IF(LEN(IF(LEN(INDEX('Dealer pipeline'!$T$4:$T$503,_calc!$E$347))=0,"",INDEX('Dealer pipeline'!$T$4:$T$503,_calc!$E$347)))=0,"",IF(LEN(INDEX('Dealer pipeline'!$T$4:$T$503,_calc!$E$347))=0,"",INDEX('Dealer pipeline'!$T$4:$T$503,_calc!$E$347)))),TRIM(IF(LEN(IF(LEN(INDEX('My equipment'!$C$4:$C$503,(_calc!$E$347-500)))=0,"",INDEX('My equipment'!$C$4:$C$503,(_calc!$E$347-500))))=0,"","Model: "&amp;IF(LEN(INDEX('My equipment'!$C$4:$C$503,(_calc!$E$347-500)))=0,"",INDEX('My equipment'!$C$4:$C$503,(_calc!$E$347-500)))&amp;". ")&amp;IF(LEN(IF(LEN(INDEX('My equipment'!$D$4:$D$503,(_calc!$E$347-500)))=0,"",INDEX('My equipment'!$D$4:$D$503,(_calc!$E$347-500))))=0,"","Serial: "&amp;IF(LEN(INDEX('My equipment'!$D$4:$D$503,(_calc!$E$347-500)))=0,"",INDEX('My equipment'!$D$4:$D$503,(_calc!$E$347-500)))&amp;". ")&amp;IF(LEN(IF(ISNUMBER(INDEX('My equipment'!$J$4:$J$503,(_calc!$E$347-500))),TEXT(INDEX('My equipment'!$J$4:$J$503,(_calc!$E$347-500)),"yyyy-mm-dd"),""))=0,"","Parts end: "&amp;IF(ISNUMBER(INDEX('My equipment'!$J$4:$J$503,(_calc!$E$347-500))),TEXT(INDEX('My equipment'!$J$4:$J$503,(_calc!$E$347-500)),"yyyy-mm-dd"),"")&amp;". ")&amp;IF(LEN(IF(ISNUMBER(INDEX('My equipment'!$L$4:$L$503,(_calc!$E$347-500))),TEXT(INDEX('My equipment'!$L$4:$L$503,(_calc!$E$347-500)),"yyyy-mm-dd"),""))=0,"","Labor end: "&amp;IF(ISNUMBER(INDEX('My equipment'!$L$4:$L$503,(_calc!$E$347-500))),TEXT(INDEX('My equipment'!$L$4:$L$503,(_calc!$E$347-500)),"yyyy-mm-dd"),"")&amp;". ")&amp;IF(LEN(IF(ISNUMBER(INDEX('My equipment'!$P$4:$P$503,(_calc!$E$347-500))),TEXT(INDEX('My equipment'!$P$4:$P$503,(_calc!$E$347-500)),"yyyy-mm-dd"),""))=0,"","Check by: "&amp;IF(ISNUMBER(INDEX('My equipment'!$P$4:$P$503,(_calc!$E$347-500))),TEXT(INDEX('My equipment'!$P$4:$P$503,(_calc!$E$347-500)),"yyyy-mm-dd"),"")&amp;". ")&amp;IF(LEN(IF(LEN(INDEX('My equipment'!$Q$4:$Q$503,(_calc!$E$347-500)))=0,"",INDEX('My equipment'!$Q$4:$Q$503,(_calc!$E$347-500))))=0,"","Claim status: "&amp;IF(LEN(INDEX('My equipment'!$Q$4:$Q$503,(_calc!$E$347-500)))=0,"",INDEX('My equipment'!$Q$4:$Q$503,(_calc!$E$347-500)))&amp;". ")&amp;IF(LEN(IF(LEN(INDEX('My equipment'!$R$4:$R$503,(_calc!$E$347-500)))=0,"",INDEX('My equipment'!$R$4:$R$503,(_calc!$E$347-500))))=0,"","Claims contact: "&amp;IF(LEN(INDEX('My equipment'!$R$4:$R$503,(_calc!$E$347-500)))=0,"",INDEX('My equipment'!$R$4:$R$503,(_calc!$E$347-500)))&amp;". ")&amp;IF(LEN(IF(LEN(INDEX('My equipment'!$S$4:$S$503,(_calc!$E$347-500)))=0,"",INDEX('My equipment'!$S$4:$S$503,(_calc!$E$347-500))))=0,"","Claims email: "&amp;IF(LEN(INDEX('My equipment'!$S$4:$S$503,(_calc!$E$347-500)))=0,"",INDEX('My equipment'!$S$4:$S$503,(_calc!$E$347-500)))&amp;". ")&amp;IF(LEN(IF(LEN(INDEX('My equipment'!$U$4:$U$503,(_calc!$E$347-500)))=0,"",INDEX('My equipment'!$U$4:$U$503,(_calc!$E$347-500))))=0,"","Registered: "&amp;IF(LEN(INDEX('My equipment'!$U$4:$U$503,(_calc!$E$347-500)))=0,"",INDEX('My equipment'!$U$4:$U$503,(_calc!$E$347-500)))&amp;". ")&amp;IF(LEN(IF(LEN(INDEX('My equipment'!$V$4:$V$503,(_calc!$E$347-500)))=0,"",INDEX('My equipment'!$V$4:$V$503,(_calc!$E$347-500))))=0,"","Proof on file: "&amp;IF(LEN(INDEX('My equipment'!$V$4:$V$503,(_calc!$E$347-500)))=0,"",INDEX('My equipment'!$V$4:$V$503,(_calc!$E$347-500)))&amp;". ")&amp;IF(LEN(IF(LEN(INDEX('My equipment'!$W$4:$W$503,(_calc!$E$347-500)))=0,"",INDEX('My equipment'!$W$4:$W$503,(_calc!$E$347-500))))=0,"","Claim ref: "&amp;IF(LEN(INDEX('My equipment'!$W$4:$W$503,(_calc!$E$347-500)))=0,"",INDEX('My equipment'!$W$4:$W$503,(_calc!$E$347-500)))&amp;". ")&amp;IF(LEN(IF(LEN(INDEX('My equipment'!$Y$4:$Y$503,(_calc!$E$347-500)))=0,"",INDEX('My equipment'!$Y$4:$Y$503,(_calc!$E$347-500))))=0,"",IF(LEN(INDEX('My equipment'!$Y$4:$Y$503,(_calc!$E$347-500)))=0,"",INDEX('My equipment'!$Y$4:$Y$503,(_calc!$E$347-500)))))))</f>
        <v/>
      </c>
      <c r="G345" s="54">
        <f>IF(_calc!$E$347="","",IF(_calc!$E$347&lt;=500,"",IF(LEN(INDEX('My equipment'!$X$4:$X$503,(_calc!$E$347-500)))=0,"",INDEX('My equipment'!$X$4:$X$503,(_calc!$E$347-500)))))</f>
        <v/>
      </c>
      <c r="K345" s="54">
        <f>IF(_calc!$E$347="","",IF(_calc!$E$347&lt;=500,"",IF(LEN(INDEX('My equipment'!$T$4:$T$503,(_calc!$E$347-500)))=0,"",INDEX('My equipment'!$T$4:$T$503,(_calc!$E$347-500)))))</f>
        <v/>
      </c>
    </row>
    <row r="346">
      <c r="A346" s="54">
        <f>IF(_calc!$E$348="","",IF(_calc!$E$348&lt;=500,"Warranty – "&amp;IF(LEN(INDEX('Dealer pipeline'!$C$4:$C$503,_calc!$E$348))=0,"",INDEX('Dealer pipeline'!$C$4:$C$503,_calc!$E$348))&amp;" – "&amp;IF(LEN(INDEX('Dealer pipeline'!$D$4:$D$503,_calc!$E$348))=0,"",INDEX('Dealer pipeline'!$D$4:$D$503,_calc!$E$348))&amp;" – "&amp;IF(LEN(INDEX('Dealer pipeline'!$A$4:$A$503,_calc!$E$348))=0,"",INDEX('Dealer pipeline'!$A$4:$A$503,_calc!$E$348)),"Warranty – "&amp;IF(LEN(INDEX('My equipment'!$A$4:$A$503,(_calc!$E$348-500)))=0,"",INDEX('My equipment'!$A$4:$A$503,(_calc!$E$348-500)))&amp;" – "&amp;IF(LEN(INDEX('My equipment'!$D$4:$D$503,(_calc!$E$348-500)))=0,"",INDEX('My equipment'!$D$4:$D$503,(_calc!$E$348-500)))))</f>
        <v/>
      </c>
      <c r="B346" s="54">
        <f>IF(_calc!$E$348="","",IF(_calc!$E$348&lt;=500,IF(ISNUMBER(INDEX('Dealer pipeline'!$M$4:$M$503,_calc!$E$348)),TEXT(INDEX('Dealer pipeline'!$M$4:$M$503,_calc!$E$348),"yyyy-mm-dd"),""),IF(ISNUMBER(INDEX('My equipment'!$M$4:$M$503,(_calc!$E$348-500))),TEXT(INDEX('My equipment'!$M$4:$M$503,(_calc!$E$348-500)),"yyyy-mm-dd"),"")))</f>
        <v/>
      </c>
      <c r="C346" s="54">
        <f>IF(_calc!$E$348="","",IF(_calc!$E$348&lt;=500,"Warranty","Warranty"))</f>
        <v/>
      </c>
      <c r="D346" s="54">
        <f>IF(_calc!$E$348="","",IF(_calc!$E$348&lt;=500,IF(ISNUMBER(INDEX('Dealer pipeline'!$H$4:$H$503,_calc!$E$348)),TEXT(INDEX('Dealer pipeline'!$H$4:$H$503,_calc!$E$348),"yyyy-mm-dd"),""),IF(ISNUMBER(INDEX('My equipment'!$H$4:$H$503,(_calc!$E$348-500))),TEXT(INDEX('My equipment'!$H$4:$H$503,(_calc!$E$348-500)),"yyyy-mm-dd"),"")))</f>
        <v/>
      </c>
      <c r="F346" s="54">
        <f>IF(_calc!$E$348="","",IF(_calc!$E$348&lt;=500,TRIM(IF(LEN(IF(LEN(INDEX('Dealer pipeline'!$A$4:$A$503,_calc!$E$348))=0,"",INDEX('Dealer pipeline'!$A$4:$A$503,_calc!$E$348)))=0,"","Customer: "&amp;IF(LEN(INDEX('Dealer pipeline'!$A$4:$A$503,_calc!$E$348))=0,"",INDEX('Dealer pipeline'!$A$4:$A$503,_calc!$E$348))&amp;". ")&amp;IF(LEN(IF(LEN(INDEX('Dealer pipeline'!$B$4:$B$503,_calc!$E$348))=0,"",INDEX('Dealer pipeline'!$B$4:$B$503,_calc!$E$348)))=0,"","Contact: "&amp;IF(LEN(INDEX('Dealer pipeline'!$B$4:$B$503,_calc!$E$348))=0,"",INDEX('Dealer pipeline'!$B$4:$B$503,_calc!$E$348))&amp;". ")&amp;IF(LEN(IF(LEN(INDEX('Dealer pipeline'!$D$4:$D$503,_calc!$E$348))=0,"",INDEX('Dealer pipeline'!$D$4:$D$503,_calc!$E$348)))=0,"","Serial: "&amp;IF(LEN(INDEX('Dealer pipeline'!$D$4:$D$503,_calc!$E$348))=0,"",INDEX('Dealer pipeline'!$D$4:$D$503,_calc!$E$348))&amp;". ")&amp;IF(LEN(IF(ISNUMBER(INDEX('Dealer pipeline'!$J$4:$J$503,_calc!$E$348)),TEXT(INDEX('Dealer pipeline'!$J$4:$J$503,_calc!$E$348),"yyyy-mm-dd"),""))=0,"","Parts end: "&amp;IF(ISNUMBER(INDEX('Dealer pipeline'!$J$4:$J$503,_calc!$E$348)),TEXT(INDEX('Dealer pipeline'!$J$4:$J$503,_calc!$E$348),"yyyy-mm-dd"),"")&amp;". ")&amp;IF(LEN(IF(ISNUMBER(INDEX('Dealer pipeline'!$L$4:$L$503,_calc!$E$348)),TEXT(INDEX('Dealer pipeline'!$L$4:$L$503,_calc!$E$348),"yyyy-mm-dd"),""))=0,"","Labor end: "&amp;IF(ISNUMBER(INDEX('Dealer pipeline'!$L$4:$L$503,_calc!$E$348)),TEXT(INDEX('Dealer pipeline'!$L$4:$L$503,_calc!$E$348),"yyyy-mm-dd"),"")&amp;". ")&amp;IF(LEN(IF(LEN(INDEX('Dealer pipeline'!$Q$4:$Q$503,_calc!$E$348))=0,"",INDEX('Dealer pipeline'!$Q$4:$Q$503,_calc!$E$348)))=0,"","Status: "&amp;IF(LEN(INDEX('Dealer pipeline'!$Q$4:$Q$503,_calc!$E$348))=0,"",INDEX('Dealer pipeline'!$Q$4:$Q$503,_calc!$E$348))&amp;". ")&amp;IF(LEN(IF(LEN(INDEX('Dealer pipeline'!$P$4:$P$503,_calc!$E$348))=0,"",INDEX('Dealer pipeline'!$P$4:$P$503,_calc!$E$348)))=0,"","Last touch: "&amp;IF(LEN(INDEX('Dealer pipeline'!$P$4:$P$503,_calc!$E$348))=0,"",INDEX('Dealer pipeline'!$P$4:$P$503,_calc!$E$348))&amp;". ")&amp;IF(LEN(IF(LEN(INDEX('Dealer pipeline'!$R$4:$R$503,_calc!$E$348))=0,"",INDEX('Dealer pipeline'!$R$4:$R$503,_calc!$E$348)))=0,"","Owner: "&amp;IF(LEN(INDEX('Dealer pipeline'!$R$4:$R$503,_calc!$E$348))=0,"",INDEX('Dealer pipeline'!$R$4:$R$503,_calc!$E$348))&amp;". ")&amp;IF(LEN(IF(LEN(INDEX('Dealer pipeline'!$S$4:$S$503,_calc!$E$348))=0,"",INDEX('Dealer pipeline'!$S$4:$S$503,_calc!$E$348)))=0,"","Backup: "&amp;IF(LEN(INDEX('Dealer pipeline'!$S$4:$S$503,_calc!$E$348))=0,"",INDEX('Dealer pipeline'!$S$4:$S$503,_calc!$E$348))&amp;". ")&amp;IF(LEN(IF(LEN(INDEX('Dealer pipeline'!$T$4:$T$503,_calc!$E$348))=0,"",INDEX('Dealer pipeline'!$T$4:$T$503,_calc!$E$348)))=0,"",IF(LEN(INDEX('Dealer pipeline'!$T$4:$T$503,_calc!$E$348))=0,"",INDEX('Dealer pipeline'!$T$4:$T$503,_calc!$E$348)))),TRIM(IF(LEN(IF(LEN(INDEX('My equipment'!$C$4:$C$503,(_calc!$E$348-500)))=0,"",INDEX('My equipment'!$C$4:$C$503,(_calc!$E$348-500))))=0,"","Model: "&amp;IF(LEN(INDEX('My equipment'!$C$4:$C$503,(_calc!$E$348-500)))=0,"",INDEX('My equipment'!$C$4:$C$503,(_calc!$E$348-500)))&amp;". ")&amp;IF(LEN(IF(LEN(INDEX('My equipment'!$D$4:$D$503,(_calc!$E$348-500)))=0,"",INDEX('My equipment'!$D$4:$D$503,(_calc!$E$348-500))))=0,"","Serial: "&amp;IF(LEN(INDEX('My equipment'!$D$4:$D$503,(_calc!$E$348-500)))=0,"",INDEX('My equipment'!$D$4:$D$503,(_calc!$E$348-500)))&amp;". ")&amp;IF(LEN(IF(ISNUMBER(INDEX('My equipment'!$J$4:$J$503,(_calc!$E$348-500))),TEXT(INDEX('My equipment'!$J$4:$J$503,(_calc!$E$348-500)),"yyyy-mm-dd"),""))=0,"","Parts end: "&amp;IF(ISNUMBER(INDEX('My equipment'!$J$4:$J$503,(_calc!$E$348-500))),TEXT(INDEX('My equipment'!$J$4:$J$503,(_calc!$E$348-500)),"yyyy-mm-dd"),"")&amp;". ")&amp;IF(LEN(IF(ISNUMBER(INDEX('My equipment'!$L$4:$L$503,(_calc!$E$348-500))),TEXT(INDEX('My equipment'!$L$4:$L$503,(_calc!$E$348-500)),"yyyy-mm-dd"),""))=0,"","Labor end: "&amp;IF(ISNUMBER(INDEX('My equipment'!$L$4:$L$503,(_calc!$E$348-500))),TEXT(INDEX('My equipment'!$L$4:$L$503,(_calc!$E$348-500)),"yyyy-mm-dd"),"")&amp;". ")&amp;IF(LEN(IF(ISNUMBER(INDEX('My equipment'!$P$4:$P$503,(_calc!$E$348-500))),TEXT(INDEX('My equipment'!$P$4:$P$503,(_calc!$E$348-500)),"yyyy-mm-dd"),""))=0,"","Check by: "&amp;IF(ISNUMBER(INDEX('My equipment'!$P$4:$P$503,(_calc!$E$348-500))),TEXT(INDEX('My equipment'!$P$4:$P$503,(_calc!$E$348-500)),"yyyy-mm-dd"),"")&amp;". ")&amp;IF(LEN(IF(LEN(INDEX('My equipment'!$Q$4:$Q$503,(_calc!$E$348-500)))=0,"",INDEX('My equipment'!$Q$4:$Q$503,(_calc!$E$348-500))))=0,"","Claim status: "&amp;IF(LEN(INDEX('My equipment'!$Q$4:$Q$503,(_calc!$E$348-500)))=0,"",INDEX('My equipment'!$Q$4:$Q$503,(_calc!$E$348-500)))&amp;". ")&amp;IF(LEN(IF(LEN(INDEX('My equipment'!$R$4:$R$503,(_calc!$E$348-500)))=0,"",INDEX('My equipment'!$R$4:$R$503,(_calc!$E$348-500))))=0,"","Claims contact: "&amp;IF(LEN(INDEX('My equipment'!$R$4:$R$503,(_calc!$E$348-500)))=0,"",INDEX('My equipment'!$R$4:$R$503,(_calc!$E$348-500)))&amp;". ")&amp;IF(LEN(IF(LEN(INDEX('My equipment'!$S$4:$S$503,(_calc!$E$348-500)))=0,"",INDEX('My equipment'!$S$4:$S$503,(_calc!$E$348-500))))=0,"","Claims email: "&amp;IF(LEN(INDEX('My equipment'!$S$4:$S$503,(_calc!$E$348-500)))=0,"",INDEX('My equipment'!$S$4:$S$503,(_calc!$E$348-500)))&amp;". ")&amp;IF(LEN(IF(LEN(INDEX('My equipment'!$U$4:$U$503,(_calc!$E$348-500)))=0,"",INDEX('My equipment'!$U$4:$U$503,(_calc!$E$348-500))))=0,"","Registered: "&amp;IF(LEN(INDEX('My equipment'!$U$4:$U$503,(_calc!$E$348-500)))=0,"",INDEX('My equipment'!$U$4:$U$503,(_calc!$E$348-500)))&amp;". ")&amp;IF(LEN(IF(LEN(INDEX('My equipment'!$V$4:$V$503,(_calc!$E$348-500)))=0,"",INDEX('My equipment'!$V$4:$V$503,(_calc!$E$348-500))))=0,"","Proof on file: "&amp;IF(LEN(INDEX('My equipment'!$V$4:$V$503,(_calc!$E$348-500)))=0,"",INDEX('My equipment'!$V$4:$V$503,(_calc!$E$348-500)))&amp;". ")&amp;IF(LEN(IF(LEN(INDEX('My equipment'!$W$4:$W$503,(_calc!$E$348-500)))=0,"",INDEX('My equipment'!$W$4:$W$503,(_calc!$E$348-500))))=0,"","Claim ref: "&amp;IF(LEN(INDEX('My equipment'!$W$4:$W$503,(_calc!$E$348-500)))=0,"",INDEX('My equipment'!$W$4:$W$503,(_calc!$E$348-500)))&amp;". ")&amp;IF(LEN(IF(LEN(INDEX('My equipment'!$Y$4:$Y$503,(_calc!$E$348-500)))=0,"",INDEX('My equipment'!$Y$4:$Y$503,(_calc!$E$348-500))))=0,"",IF(LEN(INDEX('My equipment'!$Y$4:$Y$503,(_calc!$E$348-500)))=0,"",INDEX('My equipment'!$Y$4:$Y$503,(_calc!$E$348-500)))))))</f>
        <v/>
      </c>
      <c r="G346" s="54">
        <f>IF(_calc!$E$348="","",IF(_calc!$E$348&lt;=500,"",IF(LEN(INDEX('My equipment'!$X$4:$X$503,(_calc!$E$348-500)))=0,"",INDEX('My equipment'!$X$4:$X$503,(_calc!$E$348-500)))))</f>
        <v/>
      </c>
      <c r="K346" s="54">
        <f>IF(_calc!$E$348="","",IF(_calc!$E$348&lt;=500,"",IF(LEN(INDEX('My equipment'!$T$4:$T$503,(_calc!$E$348-500)))=0,"",INDEX('My equipment'!$T$4:$T$503,(_calc!$E$348-500)))))</f>
        <v/>
      </c>
    </row>
    <row r="347">
      <c r="A347" s="54">
        <f>IF(_calc!$E$349="","",IF(_calc!$E$349&lt;=500,"Warranty – "&amp;IF(LEN(INDEX('Dealer pipeline'!$C$4:$C$503,_calc!$E$349))=0,"",INDEX('Dealer pipeline'!$C$4:$C$503,_calc!$E$349))&amp;" – "&amp;IF(LEN(INDEX('Dealer pipeline'!$D$4:$D$503,_calc!$E$349))=0,"",INDEX('Dealer pipeline'!$D$4:$D$503,_calc!$E$349))&amp;" – "&amp;IF(LEN(INDEX('Dealer pipeline'!$A$4:$A$503,_calc!$E$349))=0,"",INDEX('Dealer pipeline'!$A$4:$A$503,_calc!$E$349)),"Warranty – "&amp;IF(LEN(INDEX('My equipment'!$A$4:$A$503,(_calc!$E$349-500)))=0,"",INDEX('My equipment'!$A$4:$A$503,(_calc!$E$349-500)))&amp;" – "&amp;IF(LEN(INDEX('My equipment'!$D$4:$D$503,(_calc!$E$349-500)))=0,"",INDEX('My equipment'!$D$4:$D$503,(_calc!$E$349-500)))))</f>
        <v/>
      </c>
      <c r="B347" s="54">
        <f>IF(_calc!$E$349="","",IF(_calc!$E$349&lt;=500,IF(ISNUMBER(INDEX('Dealer pipeline'!$M$4:$M$503,_calc!$E$349)),TEXT(INDEX('Dealer pipeline'!$M$4:$M$503,_calc!$E$349),"yyyy-mm-dd"),""),IF(ISNUMBER(INDEX('My equipment'!$M$4:$M$503,(_calc!$E$349-500))),TEXT(INDEX('My equipment'!$M$4:$M$503,(_calc!$E$349-500)),"yyyy-mm-dd"),"")))</f>
        <v/>
      </c>
      <c r="C347" s="54">
        <f>IF(_calc!$E$349="","",IF(_calc!$E$349&lt;=500,"Warranty","Warranty"))</f>
        <v/>
      </c>
      <c r="D347" s="54">
        <f>IF(_calc!$E$349="","",IF(_calc!$E$349&lt;=500,IF(ISNUMBER(INDEX('Dealer pipeline'!$H$4:$H$503,_calc!$E$349)),TEXT(INDEX('Dealer pipeline'!$H$4:$H$503,_calc!$E$349),"yyyy-mm-dd"),""),IF(ISNUMBER(INDEX('My equipment'!$H$4:$H$503,(_calc!$E$349-500))),TEXT(INDEX('My equipment'!$H$4:$H$503,(_calc!$E$349-500)),"yyyy-mm-dd"),"")))</f>
        <v/>
      </c>
      <c r="F347" s="54">
        <f>IF(_calc!$E$349="","",IF(_calc!$E$349&lt;=500,TRIM(IF(LEN(IF(LEN(INDEX('Dealer pipeline'!$A$4:$A$503,_calc!$E$349))=0,"",INDEX('Dealer pipeline'!$A$4:$A$503,_calc!$E$349)))=0,"","Customer: "&amp;IF(LEN(INDEX('Dealer pipeline'!$A$4:$A$503,_calc!$E$349))=0,"",INDEX('Dealer pipeline'!$A$4:$A$503,_calc!$E$349))&amp;". ")&amp;IF(LEN(IF(LEN(INDEX('Dealer pipeline'!$B$4:$B$503,_calc!$E$349))=0,"",INDEX('Dealer pipeline'!$B$4:$B$503,_calc!$E$349)))=0,"","Contact: "&amp;IF(LEN(INDEX('Dealer pipeline'!$B$4:$B$503,_calc!$E$349))=0,"",INDEX('Dealer pipeline'!$B$4:$B$503,_calc!$E$349))&amp;". ")&amp;IF(LEN(IF(LEN(INDEX('Dealer pipeline'!$D$4:$D$503,_calc!$E$349))=0,"",INDEX('Dealer pipeline'!$D$4:$D$503,_calc!$E$349)))=0,"","Serial: "&amp;IF(LEN(INDEX('Dealer pipeline'!$D$4:$D$503,_calc!$E$349))=0,"",INDEX('Dealer pipeline'!$D$4:$D$503,_calc!$E$349))&amp;". ")&amp;IF(LEN(IF(ISNUMBER(INDEX('Dealer pipeline'!$J$4:$J$503,_calc!$E$349)),TEXT(INDEX('Dealer pipeline'!$J$4:$J$503,_calc!$E$349),"yyyy-mm-dd"),""))=0,"","Parts end: "&amp;IF(ISNUMBER(INDEX('Dealer pipeline'!$J$4:$J$503,_calc!$E$349)),TEXT(INDEX('Dealer pipeline'!$J$4:$J$503,_calc!$E$349),"yyyy-mm-dd"),"")&amp;". ")&amp;IF(LEN(IF(ISNUMBER(INDEX('Dealer pipeline'!$L$4:$L$503,_calc!$E$349)),TEXT(INDEX('Dealer pipeline'!$L$4:$L$503,_calc!$E$349),"yyyy-mm-dd"),""))=0,"","Labor end: "&amp;IF(ISNUMBER(INDEX('Dealer pipeline'!$L$4:$L$503,_calc!$E$349)),TEXT(INDEX('Dealer pipeline'!$L$4:$L$503,_calc!$E$349),"yyyy-mm-dd"),"")&amp;". ")&amp;IF(LEN(IF(LEN(INDEX('Dealer pipeline'!$Q$4:$Q$503,_calc!$E$349))=0,"",INDEX('Dealer pipeline'!$Q$4:$Q$503,_calc!$E$349)))=0,"","Status: "&amp;IF(LEN(INDEX('Dealer pipeline'!$Q$4:$Q$503,_calc!$E$349))=0,"",INDEX('Dealer pipeline'!$Q$4:$Q$503,_calc!$E$349))&amp;". ")&amp;IF(LEN(IF(LEN(INDEX('Dealer pipeline'!$P$4:$P$503,_calc!$E$349))=0,"",INDEX('Dealer pipeline'!$P$4:$P$503,_calc!$E$349)))=0,"","Last touch: "&amp;IF(LEN(INDEX('Dealer pipeline'!$P$4:$P$503,_calc!$E$349))=0,"",INDEX('Dealer pipeline'!$P$4:$P$503,_calc!$E$349))&amp;". ")&amp;IF(LEN(IF(LEN(INDEX('Dealer pipeline'!$R$4:$R$503,_calc!$E$349))=0,"",INDEX('Dealer pipeline'!$R$4:$R$503,_calc!$E$349)))=0,"","Owner: "&amp;IF(LEN(INDEX('Dealer pipeline'!$R$4:$R$503,_calc!$E$349))=0,"",INDEX('Dealer pipeline'!$R$4:$R$503,_calc!$E$349))&amp;". ")&amp;IF(LEN(IF(LEN(INDEX('Dealer pipeline'!$S$4:$S$503,_calc!$E$349))=0,"",INDEX('Dealer pipeline'!$S$4:$S$503,_calc!$E$349)))=0,"","Backup: "&amp;IF(LEN(INDEX('Dealer pipeline'!$S$4:$S$503,_calc!$E$349))=0,"",INDEX('Dealer pipeline'!$S$4:$S$503,_calc!$E$349))&amp;". ")&amp;IF(LEN(IF(LEN(INDEX('Dealer pipeline'!$T$4:$T$503,_calc!$E$349))=0,"",INDEX('Dealer pipeline'!$T$4:$T$503,_calc!$E$349)))=0,"",IF(LEN(INDEX('Dealer pipeline'!$T$4:$T$503,_calc!$E$349))=0,"",INDEX('Dealer pipeline'!$T$4:$T$503,_calc!$E$349)))),TRIM(IF(LEN(IF(LEN(INDEX('My equipment'!$C$4:$C$503,(_calc!$E$349-500)))=0,"",INDEX('My equipment'!$C$4:$C$503,(_calc!$E$349-500))))=0,"","Model: "&amp;IF(LEN(INDEX('My equipment'!$C$4:$C$503,(_calc!$E$349-500)))=0,"",INDEX('My equipment'!$C$4:$C$503,(_calc!$E$349-500)))&amp;". ")&amp;IF(LEN(IF(LEN(INDEX('My equipment'!$D$4:$D$503,(_calc!$E$349-500)))=0,"",INDEX('My equipment'!$D$4:$D$503,(_calc!$E$349-500))))=0,"","Serial: "&amp;IF(LEN(INDEX('My equipment'!$D$4:$D$503,(_calc!$E$349-500)))=0,"",INDEX('My equipment'!$D$4:$D$503,(_calc!$E$349-500)))&amp;". ")&amp;IF(LEN(IF(ISNUMBER(INDEX('My equipment'!$J$4:$J$503,(_calc!$E$349-500))),TEXT(INDEX('My equipment'!$J$4:$J$503,(_calc!$E$349-500)),"yyyy-mm-dd"),""))=0,"","Parts end: "&amp;IF(ISNUMBER(INDEX('My equipment'!$J$4:$J$503,(_calc!$E$349-500))),TEXT(INDEX('My equipment'!$J$4:$J$503,(_calc!$E$349-500)),"yyyy-mm-dd"),"")&amp;". ")&amp;IF(LEN(IF(ISNUMBER(INDEX('My equipment'!$L$4:$L$503,(_calc!$E$349-500))),TEXT(INDEX('My equipment'!$L$4:$L$503,(_calc!$E$349-500)),"yyyy-mm-dd"),""))=0,"","Labor end: "&amp;IF(ISNUMBER(INDEX('My equipment'!$L$4:$L$503,(_calc!$E$349-500))),TEXT(INDEX('My equipment'!$L$4:$L$503,(_calc!$E$349-500)),"yyyy-mm-dd"),"")&amp;". ")&amp;IF(LEN(IF(ISNUMBER(INDEX('My equipment'!$P$4:$P$503,(_calc!$E$349-500))),TEXT(INDEX('My equipment'!$P$4:$P$503,(_calc!$E$349-500)),"yyyy-mm-dd"),""))=0,"","Check by: "&amp;IF(ISNUMBER(INDEX('My equipment'!$P$4:$P$503,(_calc!$E$349-500))),TEXT(INDEX('My equipment'!$P$4:$P$503,(_calc!$E$349-500)),"yyyy-mm-dd"),"")&amp;". ")&amp;IF(LEN(IF(LEN(INDEX('My equipment'!$Q$4:$Q$503,(_calc!$E$349-500)))=0,"",INDEX('My equipment'!$Q$4:$Q$503,(_calc!$E$349-500))))=0,"","Claim status: "&amp;IF(LEN(INDEX('My equipment'!$Q$4:$Q$503,(_calc!$E$349-500)))=0,"",INDEX('My equipment'!$Q$4:$Q$503,(_calc!$E$349-500)))&amp;". ")&amp;IF(LEN(IF(LEN(INDEX('My equipment'!$R$4:$R$503,(_calc!$E$349-500)))=0,"",INDEX('My equipment'!$R$4:$R$503,(_calc!$E$349-500))))=0,"","Claims contact: "&amp;IF(LEN(INDEX('My equipment'!$R$4:$R$503,(_calc!$E$349-500)))=0,"",INDEX('My equipment'!$R$4:$R$503,(_calc!$E$349-500)))&amp;". ")&amp;IF(LEN(IF(LEN(INDEX('My equipment'!$S$4:$S$503,(_calc!$E$349-500)))=0,"",INDEX('My equipment'!$S$4:$S$503,(_calc!$E$349-500))))=0,"","Claims email: "&amp;IF(LEN(INDEX('My equipment'!$S$4:$S$503,(_calc!$E$349-500)))=0,"",INDEX('My equipment'!$S$4:$S$503,(_calc!$E$349-500)))&amp;". ")&amp;IF(LEN(IF(LEN(INDEX('My equipment'!$U$4:$U$503,(_calc!$E$349-500)))=0,"",INDEX('My equipment'!$U$4:$U$503,(_calc!$E$349-500))))=0,"","Registered: "&amp;IF(LEN(INDEX('My equipment'!$U$4:$U$503,(_calc!$E$349-500)))=0,"",INDEX('My equipment'!$U$4:$U$503,(_calc!$E$349-500)))&amp;". ")&amp;IF(LEN(IF(LEN(INDEX('My equipment'!$V$4:$V$503,(_calc!$E$349-500)))=0,"",INDEX('My equipment'!$V$4:$V$503,(_calc!$E$349-500))))=0,"","Proof on file: "&amp;IF(LEN(INDEX('My equipment'!$V$4:$V$503,(_calc!$E$349-500)))=0,"",INDEX('My equipment'!$V$4:$V$503,(_calc!$E$349-500)))&amp;". ")&amp;IF(LEN(IF(LEN(INDEX('My equipment'!$W$4:$W$503,(_calc!$E$349-500)))=0,"",INDEX('My equipment'!$W$4:$W$503,(_calc!$E$349-500))))=0,"","Claim ref: "&amp;IF(LEN(INDEX('My equipment'!$W$4:$W$503,(_calc!$E$349-500)))=0,"",INDEX('My equipment'!$W$4:$W$503,(_calc!$E$349-500)))&amp;". ")&amp;IF(LEN(IF(LEN(INDEX('My equipment'!$Y$4:$Y$503,(_calc!$E$349-500)))=0,"",INDEX('My equipment'!$Y$4:$Y$503,(_calc!$E$349-500))))=0,"",IF(LEN(INDEX('My equipment'!$Y$4:$Y$503,(_calc!$E$349-500)))=0,"",INDEX('My equipment'!$Y$4:$Y$503,(_calc!$E$349-500)))))))</f>
        <v/>
      </c>
      <c r="G347" s="54">
        <f>IF(_calc!$E$349="","",IF(_calc!$E$349&lt;=500,"",IF(LEN(INDEX('My equipment'!$X$4:$X$503,(_calc!$E$349-500)))=0,"",INDEX('My equipment'!$X$4:$X$503,(_calc!$E$349-500)))))</f>
        <v/>
      </c>
      <c r="K347" s="54">
        <f>IF(_calc!$E$349="","",IF(_calc!$E$349&lt;=500,"",IF(LEN(INDEX('My equipment'!$T$4:$T$503,(_calc!$E$349-500)))=0,"",INDEX('My equipment'!$T$4:$T$503,(_calc!$E$349-500)))))</f>
        <v/>
      </c>
    </row>
    <row r="348">
      <c r="A348" s="54">
        <f>IF(_calc!$E$350="","",IF(_calc!$E$350&lt;=500,"Warranty – "&amp;IF(LEN(INDEX('Dealer pipeline'!$C$4:$C$503,_calc!$E$350))=0,"",INDEX('Dealer pipeline'!$C$4:$C$503,_calc!$E$350))&amp;" – "&amp;IF(LEN(INDEX('Dealer pipeline'!$D$4:$D$503,_calc!$E$350))=0,"",INDEX('Dealer pipeline'!$D$4:$D$503,_calc!$E$350))&amp;" – "&amp;IF(LEN(INDEX('Dealer pipeline'!$A$4:$A$503,_calc!$E$350))=0,"",INDEX('Dealer pipeline'!$A$4:$A$503,_calc!$E$350)),"Warranty – "&amp;IF(LEN(INDEX('My equipment'!$A$4:$A$503,(_calc!$E$350-500)))=0,"",INDEX('My equipment'!$A$4:$A$503,(_calc!$E$350-500)))&amp;" – "&amp;IF(LEN(INDEX('My equipment'!$D$4:$D$503,(_calc!$E$350-500)))=0,"",INDEX('My equipment'!$D$4:$D$503,(_calc!$E$350-500)))))</f>
        <v/>
      </c>
      <c r="B348" s="54">
        <f>IF(_calc!$E$350="","",IF(_calc!$E$350&lt;=500,IF(ISNUMBER(INDEX('Dealer pipeline'!$M$4:$M$503,_calc!$E$350)),TEXT(INDEX('Dealer pipeline'!$M$4:$M$503,_calc!$E$350),"yyyy-mm-dd"),""),IF(ISNUMBER(INDEX('My equipment'!$M$4:$M$503,(_calc!$E$350-500))),TEXT(INDEX('My equipment'!$M$4:$M$503,(_calc!$E$350-500)),"yyyy-mm-dd"),"")))</f>
        <v/>
      </c>
      <c r="C348" s="54">
        <f>IF(_calc!$E$350="","",IF(_calc!$E$350&lt;=500,"Warranty","Warranty"))</f>
        <v/>
      </c>
      <c r="D348" s="54">
        <f>IF(_calc!$E$350="","",IF(_calc!$E$350&lt;=500,IF(ISNUMBER(INDEX('Dealer pipeline'!$H$4:$H$503,_calc!$E$350)),TEXT(INDEX('Dealer pipeline'!$H$4:$H$503,_calc!$E$350),"yyyy-mm-dd"),""),IF(ISNUMBER(INDEX('My equipment'!$H$4:$H$503,(_calc!$E$350-500))),TEXT(INDEX('My equipment'!$H$4:$H$503,(_calc!$E$350-500)),"yyyy-mm-dd"),"")))</f>
        <v/>
      </c>
      <c r="F348" s="54">
        <f>IF(_calc!$E$350="","",IF(_calc!$E$350&lt;=500,TRIM(IF(LEN(IF(LEN(INDEX('Dealer pipeline'!$A$4:$A$503,_calc!$E$350))=0,"",INDEX('Dealer pipeline'!$A$4:$A$503,_calc!$E$350)))=0,"","Customer: "&amp;IF(LEN(INDEX('Dealer pipeline'!$A$4:$A$503,_calc!$E$350))=0,"",INDEX('Dealer pipeline'!$A$4:$A$503,_calc!$E$350))&amp;". ")&amp;IF(LEN(IF(LEN(INDEX('Dealer pipeline'!$B$4:$B$503,_calc!$E$350))=0,"",INDEX('Dealer pipeline'!$B$4:$B$503,_calc!$E$350)))=0,"","Contact: "&amp;IF(LEN(INDEX('Dealer pipeline'!$B$4:$B$503,_calc!$E$350))=0,"",INDEX('Dealer pipeline'!$B$4:$B$503,_calc!$E$350))&amp;". ")&amp;IF(LEN(IF(LEN(INDEX('Dealer pipeline'!$D$4:$D$503,_calc!$E$350))=0,"",INDEX('Dealer pipeline'!$D$4:$D$503,_calc!$E$350)))=0,"","Serial: "&amp;IF(LEN(INDEX('Dealer pipeline'!$D$4:$D$503,_calc!$E$350))=0,"",INDEX('Dealer pipeline'!$D$4:$D$503,_calc!$E$350))&amp;". ")&amp;IF(LEN(IF(ISNUMBER(INDEX('Dealer pipeline'!$J$4:$J$503,_calc!$E$350)),TEXT(INDEX('Dealer pipeline'!$J$4:$J$503,_calc!$E$350),"yyyy-mm-dd"),""))=0,"","Parts end: "&amp;IF(ISNUMBER(INDEX('Dealer pipeline'!$J$4:$J$503,_calc!$E$350)),TEXT(INDEX('Dealer pipeline'!$J$4:$J$503,_calc!$E$350),"yyyy-mm-dd"),"")&amp;". ")&amp;IF(LEN(IF(ISNUMBER(INDEX('Dealer pipeline'!$L$4:$L$503,_calc!$E$350)),TEXT(INDEX('Dealer pipeline'!$L$4:$L$503,_calc!$E$350),"yyyy-mm-dd"),""))=0,"","Labor end: "&amp;IF(ISNUMBER(INDEX('Dealer pipeline'!$L$4:$L$503,_calc!$E$350)),TEXT(INDEX('Dealer pipeline'!$L$4:$L$503,_calc!$E$350),"yyyy-mm-dd"),"")&amp;". ")&amp;IF(LEN(IF(LEN(INDEX('Dealer pipeline'!$Q$4:$Q$503,_calc!$E$350))=0,"",INDEX('Dealer pipeline'!$Q$4:$Q$503,_calc!$E$350)))=0,"","Status: "&amp;IF(LEN(INDEX('Dealer pipeline'!$Q$4:$Q$503,_calc!$E$350))=0,"",INDEX('Dealer pipeline'!$Q$4:$Q$503,_calc!$E$350))&amp;". ")&amp;IF(LEN(IF(LEN(INDEX('Dealer pipeline'!$P$4:$P$503,_calc!$E$350))=0,"",INDEX('Dealer pipeline'!$P$4:$P$503,_calc!$E$350)))=0,"","Last touch: "&amp;IF(LEN(INDEX('Dealer pipeline'!$P$4:$P$503,_calc!$E$350))=0,"",INDEX('Dealer pipeline'!$P$4:$P$503,_calc!$E$350))&amp;". ")&amp;IF(LEN(IF(LEN(INDEX('Dealer pipeline'!$R$4:$R$503,_calc!$E$350))=0,"",INDEX('Dealer pipeline'!$R$4:$R$503,_calc!$E$350)))=0,"","Owner: "&amp;IF(LEN(INDEX('Dealer pipeline'!$R$4:$R$503,_calc!$E$350))=0,"",INDEX('Dealer pipeline'!$R$4:$R$503,_calc!$E$350))&amp;". ")&amp;IF(LEN(IF(LEN(INDEX('Dealer pipeline'!$S$4:$S$503,_calc!$E$350))=0,"",INDEX('Dealer pipeline'!$S$4:$S$503,_calc!$E$350)))=0,"","Backup: "&amp;IF(LEN(INDEX('Dealer pipeline'!$S$4:$S$503,_calc!$E$350))=0,"",INDEX('Dealer pipeline'!$S$4:$S$503,_calc!$E$350))&amp;". ")&amp;IF(LEN(IF(LEN(INDEX('Dealer pipeline'!$T$4:$T$503,_calc!$E$350))=0,"",INDEX('Dealer pipeline'!$T$4:$T$503,_calc!$E$350)))=0,"",IF(LEN(INDEX('Dealer pipeline'!$T$4:$T$503,_calc!$E$350))=0,"",INDEX('Dealer pipeline'!$T$4:$T$503,_calc!$E$350)))),TRIM(IF(LEN(IF(LEN(INDEX('My equipment'!$C$4:$C$503,(_calc!$E$350-500)))=0,"",INDEX('My equipment'!$C$4:$C$503,(_calc!$E$350-500))))=0,"","Model: "&amp;IF(LEN(INDEX('My equipment'!$C$4:$C$503,(_calc!$E$350-500)))=0,"",INDEX('My equipment'!$C$4:$C$503,(_calc!$E$350-500)))&amp;". ")&amp;IF(LEN(IF(LEN(INDEX('My equipment'!$D$4:$D$503,(_calc!$E$350-500)))=0,"",INDEX('My equipment'!$D$4:$D$503,(_calc!$E$350-500))))=0,"","Serial: "&amp;IF(LEN(INDEX('My equipment'!$D$4:$D$503,(_calc!$E$350-500)))=0,"",INDEX('My equipment'!$D$4:$D$503,(_calc!$E$350-500)))&amp;". ")&amp;IF(LEN(IF(ISNUMBER(INDEX('My equipment'!$J$4:$J$503,(_calc!$E$350-500))),TEXT(INDEX('My equipment'!$J$4:$J$503,(_calc!$E$350-500)),"yyyy-mm-dd"),""))=0,"","Parts end: "&amp;IF(ISNUMBER(INDEX('My equipment'!$J$4:$J$503,(_calc!$E$350-500))),TEXT(INDEX('My equipment'!$J$4:$J$503,(_calc!$E$350-500)),"yyyy-mm-dd"),"")&amp;". ")&amp;IF(LEN(IF(ISNUMBER(INDEX('My equipment'!$L$4:$L$503,(_calc!$E$350-500))),TEXT(INDEX('My equipment'!$L$4:$L$503,(_calc!$E$350-500)),"yyyy-mm-dd"),""))=0,"","Labor end: "&amp;IF(ISNUMBER(INDEX('My equipment'!$L$4:$L$503,(_calc!$E$350-500))),TEXT(INDEX('My equipment'!$L$4:$L$503,(_calc!$E$350-500)),"yyyy-mm-dd"),"")&amp;". ")&amp;IF(LEN(IF(ISNUMBER(INDEX('My equipment'!$P$4:$P$503,(_calc!$E$350-500))),TEXT(INDEX('My equipment'!$P$4:$P$503,(_calc!$E$350-500)),"yyyy-mm-dd"),""))=0,"","Check by: "&amp;IF(ISNUMBER(INDEX('My equipment'!$P$4:$P$503,(_calc!$E$350-500))),TEXT(INDEX('My equipment'!$P$4:$P$503,(_calc!$E$350-500)),"yyyy-mm-dd"),"")&amp;". ")&amp;IF(LEN(IF(LEN(INDEX('My equipment'!$Q$4:$Q$503,(_calc!$E$350-500)))=0,"",INDEX('My equipment'!$Q$4:$Q$503,(_calc!$E$350-500))))=0,"","Claim status: "&amp;IF(LEN(INDEX('My equipment'!$Q$4:$Q$503,(_calc!$E$350-500)))=0,"",INDEX('My equipment'!$Q$4:$Q$503,(_calc!$E$350-500)))&amp;". ")&amp;IF(LEN(IF(LEN(INDEX('My equipment'!$R$4:$R$503,(_calc!$E$350-500)))=0,"",INDEX('My equipment'!$R$4:$R$503,(_calc!$E$350-500))))=0,"","Claims contact: "&amp;IF(LEN(INDEX('My equipment'!$R$4:$R$503,(_calc!$E$350-500)))=0,"",INDEX('My equipment'!$R$4:$R$503,(_calc!$E$350-500)))&amp;". ")&amp;IF(LEN(IF(LEN(INDEX('My equipment'!$S$4:$S$503,(_calc!$E$350-500)))=0,"",INDEX('My equipment'!$S$4:$S$503,(_calc!$E$350-500))))=0,"","Claims email: "&amp;IF(LEN(INDEX('My equipment'!$S$4:$S$503,(_calc!$E$350-500)))=0,"",INDEX('My equipment'!$S$4:$S$503,(_calc!$E$350-500)))&amp;". ")&amp;IF(LEN(IF(LEN(INDEX('My equipment'!$U$4:$U$503,(_calc!$E$350-500)))=0,"",INDEX('My equipment'!$U$4:$U$503,(_calc!$E$350-500))))=0,"","Registered: "&amp;IF(LEN(INDEX('My equipment'!$U$4:$U$503,(_calc!$E$350-500)))=0,"",INDEX('My equipment'!$U$4:$U$503,(_calc!$E$350-500)))&amp;". ")&amp;IF(LEN(IF(LEN(INDEX('My equipment'!$V$4:$V$503,(_calc!$E$350-500)))=0,"",INDEX('My equipment'!$V$4:$V$503,(_calc!$E$350-500))))=0,"","Proof on file: "&amp;IF(LEN(INDEX('My equipment'!$V$4:$V$503,(_calc!$E$350-500)))=0,"",INDEX('My equipment'!$V$4:$V$503,(_calc!$E$350-500)))&amp;". ")&amp;IF(LEN(IF(LEN(INDEX('My equipment'!$W$4:$W$503,(_calc!$E$350-500)))=0,"",INDEX('My equipment'!$W$4:$W$503,(_calc!$E$350-500))))=0,"","Claim ref: "&amp;IF(LEN(INDEX('My equipment'!$W$4:$W$503,(_calc!$E$350-500)))=0,"",INDEX('My equipment'!$W$4:$W$503,(_calc!$E$350-500)))&amp;". ")&amp;IF(LEN(IF(LEN(INDEX('My equipment'!$Y$4:$Y$503,(_calc!$E$350-500)))=0,"",INDEX('My equipment'!$Y$4:$Y$503,(_calc!$E$350-500))))=0,"",IF(LEN(INDEX('My equipment'!$Y$4:$Y$503,(_calc!$E$350-500)))=0,"",INDEX('My equipment'!$Y$4:$Y$503,(_calc!$E$350-500)))))))</f>
        <v/>
      </c>
      <c r="G348" s="54">
        <f>IF(_calc!$E$350="","",IF(_calc!$E$350&lt;=500,"",IF(LEN(INDEX('My equipment'!$X$4:$X$503,(_calc!$E$350-500)))=0,"",INDEX('My equipment'!$X$4:$X$503,(_calc!$E$350-500)))))</f>
        <v/>
      </c>
      <c r="K348" s="54">
        <f>IF(_calc!$E$350="","",IF(_calc!$E$350&lt;=500,"",IF(LEN(INDEX('My equipment'!$T$4:$T$503,(_calc!$E$350-500)))=0,"",INDEX('My equipment'!$T$4:$T$503,(_calc!$E$350-500)))))</f>
        <v/>
      </c>
    </row>
    <row r="349">
      <c r="A349" s="54">
        <f>IF(_calc!$E$351="","",IF(_calc!$E$351&lt;=500,"Warranty – "&amp;IF(LEN(INDEX('Dealer pipeline'!$C$4:$C$503,_calc!$E$351))=0,"",INDEX('Dealer pipeline'!$C$4:$C$503,_calc!$E$351))&amp;" – "&amp;IF(LEN(INDEX('Dealer pipeline'!$D$4:$D$503,_calc!$E$351))=0,"",INDEX('Dealer pipeline'!$D$4:$D$503,_calc!$E$351))&amp;" – "&amp;IF(LEN(INDEX('Dealer pipeline'!$A$4:$A$503,_calc!$E$351))=0,"",INDEX('Dealer pipeline'!$A$4:$A$503,_calc!$E$351)),"Warranty – "&amp;IF(LEN(INDEX('My equipment'!$A$4:$A$503,(_calc!$E$351-500)))=0,"",INDEX('My equipment'!$A$4:$A$503,(_calc!$E$351-500)))&amp;" – "&amp;IF(LEN(INDEX('My equipment'!$D$4:$D$503,(_calc!$E$351-500)))=0,"",INDEX('My equipment'!$D$4:$D$503,(_calc!$E$351-500)))))</f>
        <v/>
      </c>
      <c r="B349" s="54">
        <f>IF(_calc!$E$351="","",IF(_calc!$E$351&lt;=500,IF(ISNUMBER(INDEX('Dealer pipeline'!$M$4:$M$503,_calc!$E$351)),TEXT(INDEX('Dealer pipeline'!$M$4:$M$503,_calc!$E$351),"yyyy-mm-dd"),""),IF(ISNUMBER(INDEX('My equipment'!$M$4:$M$503,(_calc!$E$351-500))),TEXT(INDEX('My equipment'!$M$4:$M$503,(_calc!$E$351-500)),"yyyy-mm-dd"),"")))</f>
        <v/>
      </c>
      <c r="C349" s="54">
        <f>IF(_calc!$E$351="","",IF(_calc!$E$351&lt;=500,"Warranty","Warranty"))</f>
        <v/>
      </c>
      <c r="D349" s="54">
        <f>IF(_calc!$E$351="","",IF(_calc!$E$351&lt;=500,IF(ISNUMBER(INDEX('Dealer pipeline'!$H$4:$H$503,_calc!$E$351)),TEXT(INDEX('Dealer pipeline'!$H$4:$H$503,_calc!$E$351),"yyyy-mm-dd"),""),IF(ISNUMBER(INDEX('My equipment'!$H$4:$H$503,(_calc!$E$351-500))),TEXT(INDEX('My equipment'!$H$4:$H$503,(_calc!$E$351-500)),"yyyy-mm-dd"),"")))</f>
        <v/>
      </c>
      <c r="F349" s="54">
        <f>IF(_calc!$E$351="","",IF(_calc!$E$351&lt;=500,TRIM(IF(LEN(IF(LEN(INDEX('Dealer pipeline'!$A$4:$A$503,_calc!$E$351))=0,"",INDEX('Dealer pipeline'!$A$4:$A$503,_calc!$E$351)))=0,"","Customer: "&amp;IF(LEN(INDEX('Dealer pipeline'!$A$4:$A$503,_calc!$E$351))=0,"",INDEX('Dealer pipeline'!$A$4:$A$503,_calc!$E$351))&amp;". ")&amp;IF(LEN(IF(LEN(INDEX('Dealer pipeline'!$B$4:$B$503,_calc!$E$351))=0,"",INDEX('Dealer pipeline'!$B$4:$B$503,_calc!$E$351)))=0,"","Contact: "&amp;IF(LEN(INDEX('Dealer pipeline'!$B$4:$B$503,_calc!$E$351))=0,"",INDEX('Dealer pipeline'!$B$4:$B$503,_calc!$E$351))&amp;". ")&amp;IF(LEN(IF(LEN(INDEX('Dealer pipeline'!$D$4:$D$503,_calc!$E$351))=0,"",INDEX('Dealer pipeline'!$D$4:$D$503,_calc!$E$351)))=0,"","Serial: "&amp;IF(LEN(INDEX('Dealer pipeline'!$D$4:$D$503,_calc!$E$351))=0,"",INDEX('Dealer pipeline'!$D$4:$D$503,_calc!$E$351))&amp;". ")&amp;IF(LEN(IF(ISNUMBER(INDEX('Dealer pipeline'!$J$4:$J$503,_calc!$E$351)),TEXT(INDEX('Dealer pipeline'!$J$4:$J$503,_calc!$E$351),"yyyy-mm-dd"),""))=0,"","Parts end: "&amp;IF(ISNUMBER(INDEX('Dealer pipeline'!$J$4:$J$503,_calc!$E$351)),TEXT(INDEX('Dealer pipeline'!$J$4:$J$503,_calc!$E$351),"yyyy-mm-dd"),"")&amp;". ")&amp;IF(LEN(IF(ISNUMBER(INDEX('Dealer pipeline'!$L$4:$L$503,_calc!$E$351)),TEXT(INDEX('Dealer pipeline'!$L$4:$L$503,_calc!$E$351),"yyyy-mm-dd"),""))=0,"","Labor end: "&amp;IF(ISNUMBER(INDEX('Dealer pipeline'!$L$4:$L$503,_calc!$E$351)),TEXT(INDEX('Dealer pipeline'!$L$4:$L$503,_calc!$E$351),"yyyy-mm-dd"),"")&amp;". ")&amp;IF(LEN(IF(LEN(INDEX('Dealer pipeline'!$Q$4:$Q$503,_calc!$E$351))=0,"",INDEX('Dealer pipeline'!$Q$4:$Q$503,_calc!$E$351)))=0,"","Status: "&amp;IF(LEN(INDEX('Dealer pipeline'!$Q$4:$Q$503,_calc!$E$351))=0,"",INDEX('Dealer pipeline'!$Q$4:$Q$503,_calc!$E$351))&amp;". ")&amp;IF(LEN(IF(LEN(INDEX('Dealer pipeline'!$P$4:$P$503,_calc!$E$351))=0,"",INDEX('Dealer pipeline'!$P$4:$P$503,_calc!$E$351)))=0,"","Last touch: "&amp;IF(LEN(INDEX('Dealer pipeline'!$P$4:$P$503,_calc!$E$351))=0,"",INDEX('Dealer pipeline'!$P$4:$P$503,_calc!$E$351))&amp;". ")&amp;IF(LEN(IF(LEN(INDEX('Dealer pipeline'!$R$4:$R$503,_calc!$E$351))=0,"",INDEX('Dealer pipeline'!$R$4:$R$503,_calc!$E$351)))=0,"","Owner: "&amp;IF(LEN(INDEX('Dealer pipeline'!$R$4:$R$503,_calc!$E$351))=0,"",INDEX('Dealer pipeline'!$R$4:$R$503,_calc!$E$351))&amp;". ")&amp;IF(LEN(IF(LEN(INDEX('Dealer pipeline'!$S$4:$S$503,_calc!$E$351))=0,"",INDEX('Dealer pipeline'!$S$4:$S$503,_calc!$E$351)))=0,"","Backup: "&amp;IF(LEN(INDEX('Dealer pipeline'!$S$4:$S$503,_calc!$E$351))=0,"",INDEX('Dealer pipeline'!$S$4:$S$503,_calc!$E$351))&amp;". ")&amp;IF(LEN(IF(LEN(INDEX('Dealer pipeline'!$T$4:$T$503,_calc!$E$351))=0,"",INDEX('Dealer pipeline'!$T$4:$T$503,_calc!$E$351)))=0,"",IF(LEN(INDEX('Dealer pipeline'!$T$4:$T$503,_calc!$E$351))=0,"",INDEX('Dealer pipeline'!$T$4:$T$503,_calc!$E$351)))),TRIM(IF(LEN(IF(LEN(INDEX('My equipment'!$C$4:$C$503,(_calc!$E$351-500)))=0,"",INDEX('My equipment'!$C$4:$C$503,(_calc!$E$351-500))))=0,"","Model: "&amp;IF(LEN(INDEX('My equipment'!$C$4:$C$503,(_calc!$E$351-500)))=0,"",INDEX('My equipment'!$C$4:$C$503,(_calc!$E$351-500)))&amp;". ")&amp;IF(LEN(IF(LEN(INDEX('My equipment'!$D$4:$D$503,(_calc!$E$351-500)))=0,"",INDEX('My equipment'!$D$4:$D$503,(_calc!$E$351-500))))=0,"","Serial: "&amp;IF(LEN(INDEX('My equipment'!$D$4:$D$503,(_calc!$E$351-500)))=0,"",INDEX('My equipment'!$D$4:$D$503,(_calc!$E$351-500)))&amp;". ")&amp;IF(LEN(IF(ISNUMBER(INDEX('My equipment'!$J$4:$J$503,(_calc!$E$351-500))),TEXT(INDEX('My equipment'!$J$4:$J$503,(_calc!$E$351-500)),"yyyy-mm-dd"),""))=0,"","Parts end: "&amp;IF(ISNUMBER(INDEX('My equipment'!$J$4:$J$503,(_calc!$E$351-500))),TEXT(INDEX('My equipment'!$J$4:$J$503,(_calc!$E$351-500)),"yyyy-mm-dd"),"")&amp;". ")&amp;IF(LEN(IF(ISNUMBER(INDEX('My equipment'!$L$4:$L$503,(_calc!$E$351-500))),TEXT(INDEX('My equipment'!$L$4:$L$503,(_calc!$E$351-500)),"yyyy-mm-dd"),""))=0,"","Labor end: "&amp;IF(ISNUMBER(INDEX('My equipment'!$L$4:$L$503,(_calc!$E$351-500))),TEXT(INDEX('My equipment'!$L$4:$L$503,(_calc!$E$351-500)),"yyyy-mm-dd"),"")&amp;". ")&amp;IF(LEN(IF(ISNUMBER(INDEX('My equipment'!$P$4:$P$503,(_calc!$E$351-500))),TEXT(INDEX('My equipment'!$P$4:$P$503,(_calc!$E$351-500)),"yyyy-mm-dd"),""))=0,"","Check by: "&amp;IF(ISNUMBER(INDEX('My equipment'!$P$4:$P$503,(_calc!$E$351-500))),TEXT(INDEX('My equipment'!$P$4:$P$503,(_calc!$E$351-500)),"yyyy-mm-dd"),"")&amp;". ")&amp;IF(LEN(IF(LEN(INDEX('My equipment'!$Q$4:$Q$503,(_calc!$E$351-500)))=0,"",INDEX('My equipment'!$Q$4:$Q$503,(_calc!$E$351-500))))=0,"","Claim status: "&amp;IF(LEN(INDEX('My equipment'!$Q$4:$Q$503,(_calc!$E$351-500)))=0,"",INDEX('My equipment'!$Q$4:$Q$503,(_calc!$E$351-500)))&amp;". ")&amp;IF(LEN(IF(LEN(INDEX('My equipment'!$R$4:$R$503,(_calc!$E$351-500)))=0,"",INDEX('My equipment'!$R$4:$R$503,(_calc!$E$351-500))))=0,"","Claims contact: "&amp;IF(LEN(INDEX('My equipment'!$R$4:$R$503,(_calc!$E$351-500)))=0,"",INDEX('My equipment'!$R$4:$R$503,(_calc!$E$351-500)))&amp;". ")&amp;IF(LEN(IF(LEN(INDEX('My equipment'!$S$4:$S$503,(_calc!$E$351-500)))=0,"",INDEX('My equipment'!$S$4:$S$503,(_calc!$E$351-500))))=0,"","Claims email: "&amp;IF(LEN(INDEX('My equipment'!$S$4:$S$503,(_calc!$E$351-500)))=0,"",INDEX('My equipment'!$S$4:$S$503,(_calc!$E$351-500)))&amp;". ")&amp;IF(LEN(IF(LEN(INDEX('My equipment'!$U$4:$U$503,(_calc!$E$351-500)))=0,"",INDEX('My equipment'!$U$4:$U$503,(_calc!$E$351-500))))=0,"","Registered: "&amp;IF(LEN(INDEX('My equipment'!$U$4:$U$503,(_calc!$E$351-500)))=0,"",INDEX('My equipment'!$U$4:$U$503,(_calc!$E$351-500)))&amp;". ")&amp;IF(LEN(IF(LEN(INDEX('My equipment'!$V$4:$V$503,(_calc!$E$351-500)))=0,"",INDEX('My equipment'!$V$4:$V$503,(_calc!$E$351-500))))=0,"","Proof on file: "&amp;IF(LEN(INDEX('My equipment'!$V$4:$V$503,(_calc!$E$351-500)))=0,"",INDEX('My equipment'!$V$4:$V$503,(_calc!$E$351-500)))&amp;". ")&amp;IF(LEN(IF(LEN(INDEX('My equipment'!$W$4:$W$503,(_calc!$E$351-500)))=0,"",INDEX('My equipment'!$W$4:$W$503,(_calc!$E$351-500))))=0,"","Claim ref: "&amp;IF(LEN(INDEX('My equipment'!$W$4:$W$503,(_calc!$E$351-500)))=0,"",INDEX('My equipment'!$W$4:$W$503,(_calc!$E$351-500)))&amp;". ")&amp;IF(LEN(IF(LEN(INDEX('My equipment'!$Y$4:$Y$503,(_calc!$E$351-500)))=0,"",INDEX('My equipment'!$Y$4:$Y$503,(_calc!$E$351-500))))=0,"",IF(LEN(INDEX('My equipment'!$Y$4:$Y$503,(_calc!$E$351-500)))=0,"",INDEX('My equipment'!$Y$4:$Y$503,(_calc!$E$351-500)))))))</f>
        <v/>
      </c>
      <c r="G349" s="54">
        <f>IF(_calc!$E$351="","",IF(_calc!$E$351&lt;=500,"",IF(LEN(INDEX('My equipment'!$X$4:$X$503,(_calc!$E$351-500)))=0,"",INDEX('My equipment'!$X$4:$X$503,(_calc!$E$351-500)))))</f>
        <v/>
      </c>
      <c r="K349" s="54">
        <f>IF(_calc!$E$351="","",IF(_calc!$E$351&lt;=500,"",IF(LEN(INDEX('My equipment'!$T$4:$T$503,(_calc!$E$351-500)))=0,"",INDEX('My equipment'!$T$4:$T$503,(_calc!$E$351-500)))))</f>
        <v/>
      </c>
    </row>
    <row r="350">
      <c r="A350" s="54">
        <f>IF(_calc!$E$352="","",IF(_calc!$E$352&lt;=500,"Warranty – "&amp;IF(LEN(INDEX('Dealer pipeline'!$C$4:$C$503,_calc!$E$352))=0,"",INDEX('Dealer pipeline'!$C$4:$C$503,_calc!$E$352))&amp;" – "&amp;IF(LEN(INDEX('Dealer pipeline'!$D$4:$D$503,_calc!$E$352))=0,"",INDEX('Dealer pipeline'!$D$4:$D$503,_calc!$E$352))&amp;" – "&amp;IF(LEN(INDEX('Dealer pipeline'!$A$4:$A$503,_calc!$E$352))=0,"",INDEX('Dealer pipeline'!$A$4:$A$503,_calc!$E$352)),"Warranty – "&amp;IF(LEN(INDEX('My equipment'!$A$4:$A$503,(_calc!$E$352-500)))=0,"",INDEX('My equipment'!$A$4:$A$503,(_calc!$E$352-500)))&amp;" – "&amp;IF(LEN(INDEX('My equipment'!$D$4:$D$503,(_calc!$E$352-500)))=0,"",INDEX('My equipment'!$D$4:$D$503,(_calc!$E$352-500)))))</f>
        <v/>
      </c>
      <c r="B350" s="54">
        <f>IF(_calc!$E$352="","",IF(_calc!$E$352&lt;=500,IF(ISNUMBER(INDEX('Dealer pipeline'!$M$4:$M$503,_calc!$E$352)),TEXT(INDEX('Dealer pipeline'!$M$4:$M$503,_calc!$E$352),"yyyy-mm-dd"),""),IF(ISNUMBER(INDEX('My equipment'!$M$4:$M$503,(_calc!$E$352-500))),TEXT(INDEX('My equipment'!$M$4:$M$503,(_calc!$E$352-500)),"yyyy-mm-dd"),"")))</f>
        <v/>
      </c>
      <c r="C350" s="54">
        <f>IF(_calc!$E$352="","",IF(_calc!$E$352&lt;=500,"Warranty","Warranty"))</f>
        <v/>
      </c>
      <c r="D350" s="54">
        <f>IF(_calc!$E$352="","",IF(_calc!$E$352&lt;=500,IF(ISNUMBER(INDEX('Dealer pipeline'!$H$4:$H$503,_calc!$E$352)),TEXT(INDEX('Dealer pipeline'!$H$4:$H$503,_calc!$E$352),"yyyy-mm-dd"),""),IF(ISNUMBER(INDEX('My equipment'!$H$4:$H$503,(_calc!$E$352-500))),TEXT(INDEX('My equipment'!$H$4:$H$503,(_calc!$E$352-500)),"yyyy-mm-dd"),"")))</f>
        <v/>
      </c>
      <c r="F350" s="54">
        <f>IF(_calc!$E$352="","",IF(_calc!$E$352&lt;=500,TRIM(IF(LEN(IF(LEN(INDEX('Dealer pipeline'!$A$4:$A$503,_calc!$E$352))=0,"",INDEX('Dealer pipeline'!$A$4:$A$503,_calc!$E$352)))=0,"","Customer: "&amp;IF(LEN(INDEX('Dealer pipeline'!$A$4:$A$503,_calc!$E$352))=0,"",INDEX('Dealer pipeline'!$A$4:$A$503,_calc!$E$352))&amp;". ")&amp;IF(LEN(IF(LEN(INDEX('Dealer pipeline'!$B$4:$B$503,_calc!$E$352))=0,"",INDEX('Dealer pipeline'!$B$4:$B$503,_calc!$E$352)))=0,"","Contact: "&amp;IF(LEN(INDEX('Dealer pipeline'!$B$4:$B$503,_calc!$E$352))=0,"",INDEX('Dealer pipeline'!$B$4:$B$503,_calc!$E$352))&amp;". ")&amp;IF(LEN(IF(LEN(INDEX('Dealer pipeline'!$D$4:$D$503,_calc!$E$352))=0,"",INDEX('Dealer pipeline'!$D$4:$D$503,_calc!$E$352)))=0,"","Serial: "&amp;IF(LEN(INDEX('Dealer pipeline'!$D$4:$D$503,_calc!$E$352))=0,"",INDEX('Dealer pipeline'!$D$4:$D$503,_calc!$E$352))&amp;". ")&amp;IF(LEN(IF(ISNUMBER(INDEX('Dealer pipeline'!$J$4:$J$503,_calc!$E$352)),TEXT(INDEX('Dealer pipeline'!$J$4:$J$503,_calc!$E$352),"yyyy-mm-dd"),""))=0,"","Parts end: "&amp;IF(ISNUMBER(INDEX('Dealer pipeline'!$J$4:$J$503,_calc!$E$352)),TEXT(INDEX('Dealer pipeline'!$J$4:$J$503,_calc!$E$352),"yyyy-mm-dd"),"")&amp;". ")&amp;IF(LEN(IF(ISNUMBER(INDEX('Dealer pipeline'!$L$4:$L$503,_calc!$E$352)),TEXT(INDEX('Dealer pipeline'!$L$4:$L$503,_calc!$E$352),"yyyy-mm-dd"),""))=0,"","Labor end: "&amp;IF(ISNUMBER(INDEX('Dealer pipeline'!$L$4:$L$503,_calc!$E$352)),TEXT(INDEX('Dealer pipeline'!$L$4:$L$503,_calc!$E$352),"yyyy-mm-dd"),"")&amp;". ")&amp;IF(LEN(IF(LEN(INDEX('Dealer pipeline'!$Q$4:$Q$503,_calc!$E$352))=0,"",INDEX('Dealer pipeline'!$Q$4:$Q$503,_calc!$E$352)))=0,"","Status: "&amp;IF(LEN(INDEX('Dealer pipeline'!$Q$4:$Q$503,_calc!$E$352))=0,"",INDEX('Dealer pipeline'!$Q$4:$Q$503,_calc!$E$352))&amp;". ")&amp;IF(LEN(IF(LEN(INDEX('Dealer pipeline'!$P$4:$P$503,_calc!$E$352))=0,"",INDEX('Dealer pipeline'!$P$4:$P$503,_calc!$E$352)))=0,"","Last touch: "&amp;IF(LEN(INDEX('Dealer pipeline'!$P$4:$P$503,_calc!$E$352))=0,"",INDEX('Dealer pipeline'!$P$4:$P$503,_calc!$E$352))&amp;". ")&amp;IF(LEN(IF(LEN(INDEX('Dealer pipeline'!$R$4:$R$503,_calc!$E$352))=0,"",INDEX('Dealer pipeline'!$R$4:$R$503,_calc!$E$352)))=0,"","Owner: "&amp;IF(LEN(INDEX('Dealer pipeline'!$R$4:$R$503,_calc!$E$352))=0,"",INDEX('Dealer pipeline'!$R$4:$R$503,_calc!$E$352))&amp;". ")&amp;IF(LEN(IF(LEN(INDEX('Dealer pipeline'!$S$4:$S$503,_calc!$E$352))=0,"",INDEX('Dealer pipeline'!$S$4:$S$503,_calc!$E$352)))=0,"","Backup: "&amp;IF(LEN(INDEX('Dealer pipeline'!$S$4:$S$503,_calc!$E$352))=0,"",INDEX('Dealer pipeline'!$S$4:$S$503,_calc!$E$352))&amp;". ")&amp;IF(LEN(IF(LEN(INDEX('Dealer pipeline'!$T$4:$T$503,_calc!$E$352))=0,"",INDEX('Dealer pipeline'!$T$4:$T$503,_calc!$E$352)))=0,"",IF(LEN(INDEX('Dealer pipeline'!$T$4:$T$503,_calc!$E$352))=0,"",INDEX('Dealer pipeline'!$T$4:$T$503,_calc!$E$352)))),TRIM(IF(LEN(IF(LEN(INDEX('My equipment'!$C$4:$C$503,(_calc!$E$352-500)))=0,"",INDEX('My equipment'!$C$4:$C$503,(_calc!$E$352-500))))=0,"","Model: "&amp;IF(LEN(INDEX('My equipment'!$C$4:$C$503,(_calc!$E$352-500)))=0,"",INDEX('My equipment'!$C$4:$C$503,(_calc!$E$352-500)))&amp;". ")&amp;IF(LEN(IF(LEN(INDEX('My equipment'!$D$4:$D$503,(_calc!$E$352-500)))=0,"",INDEX('My equipment'!$D$4:$D$503,(_calc!$E$352-500))))=0,"","Serial: "&amp;IF(LEN(INDEX('My equipment'!$D$4:$D$503,(_calc!$E$352-500)))=0,"",INDEX('My equipment'!$D$4:$D$503,(_calc!$E$352-500)))&amp;". ")&amp;IF(LEN(IF(ISNUMBER(INDEX('My equipment'!$J$4:$J$503,(_calc!$E$352-500))),TEXT(INDEX('My equipment'!$J$4:$J$503,(_calc!$E$352-500)),"yyyy-mm-dd"),""))=0,"","Parts end: "&amp;IF(ISNUMBER(INDEX('My equipment'!$J$4:$J$503,(_calc!$E$352-500))),TEXT(INDEX('My equipment'!$J$4:$J$503,(_calc!$E$352-500)),"yyyy-mm-dd"),"")&amp;". ")&amp;IF(LEN(IF(ISNUMBER(INDEX('My equipment'!$L$4:$L$503,(_calc!$E$352-500))),TEXT(INDEX('My equipment'!$L$4:$L$503,(_calc!$E$352-500)),"yyyy-mm-dd"),""))=0,"","Labor end: "&amp;IF(ISNUMBER(INDEX('My equipment'!$L$4:$L$503,(_calc!$E$352-500))),TEXT(INDEX('My equipment'!$L$4:$L$503,(_calc!$E$352-500)),"yyyy-mm-dd"),"")&amp;". ")&amp;IF(LEN(IF(ISNUMBER(INDEX('My equipment'!$P$4:$P$503,(_calc!$E$352-500))),TEXT(INDEX('My equipment'!$P$4:$P$503,(_calc!$E$352-500)),"yyyy-mm-dd"),""))=0,"","Check by: "&amp;IF(ISNUMBER(INDEX('My equipment'!$P$4:$P$503,(_calc!$E$352-500))),TEXT(INDEX('My equipment'!$P$4:$P$503,(_calc!$E$352-500)),"yyyy-mm-dd"),"")&amp;". ")&amp;IF(LEN(IF(LEN(INDEX('My equipment'!$Q$4:$Q$503,(_calc!$E$352-500)))=0,"",INDEX('My equipment'!$Q$4:$Q$503,(_calc!$E$352-500))))=0,"","Claim status: "&amp;IF(LEN(INDEX('My equipment'!$Q$4:$Q$503,(_calc!$E$352-500)))=0,"",INDEX('My equipment'!$Q$4:$Q$503,(_calc!$E$352-500)))&amp;". ")&amp;IF(LEN(IF(LEN(INDEX('My equipment'!$R$4:$R$503,(_calc!$E$352-500)))=0,"",INDEX('My equipment'!$R$4:$R$503,(_calc!$E$352-500))))=0,"","Claims contact: "&amp;IF(LEN(INDEX('My equipment'!$R$4:$R$503,(_calc!$E$352-500)))=0,"",INDEX('My equipment'!$R$4:$R$503,(_calc!$E$352-500)))&amp;". ")&amp;IF(LEN(IF(LEN(INDEX('My equipment'!$S$4:$S$503,(_calc!$E$352-500)))=0,"",INDEX('My equipment'!$S$4:$S$503,(_calc!$E$352-500))))=0,"","Claims email: "&amp;IF(LEN(INDEX('My equipment'!$S$4:$S$503,(_calc!$E$352-500)))=0,"",INDEX('My equipment'!$S$4:$S$503,(_calc!$E$352-500)))&amp;". ")&amp;IF(LEN(IF(LEN(INDEX('My equipment'!$U$4:$U$503,(_calc!$E$352-500)))=0,"",INDEX('My equipment'!$U$4:$U$503,(_calc!$E$352-500))))=0,"","Registered: "&amp;IF(LEN(INDEX('My equipment'!$U$4:$U$503,(_calc!$E$352-500)))=0,"",INDEX('My equipment'!$U$4:$U$503,(_calc!$E$352-500)))&amp;". ")&amp;IF(LEN(IF(LEN(INDEX('My equipment'!$V$4:$V$503,(_calc!$E$352-500)))=0,"",INDEX('My equipment'!$V$4:$V$503,(_calc!$E$352-500))))=0,"","Proof on file: "&amp;IF(LEN(INDEX('My equipment'!$V$4:$V$503,(_calc!$E$352-500)))=0,"",INDEX('My equipment'!$V$4:$V$503,(_calc!$E$352-500)))&amp;". ")&amp;IF(LEN(IF(LEN(INDEX('My equipment'!$W$4:$W$503,(_calc!$E$352-500)))=0,"",INDEX('My equipment'!$W$4:$W$503,(_calc!$E$352-500))))=0,"","Claim ref: "&amp;IF(LEN(INDEX('My equipment'!$W$4:$W$503,(_calc!$E$352-500)))=0,"",INDEX('My equipment'!$W$4:$W$503,(_calc!$E$352-500)))&amp;". ")&amp;IF(LEN(IF(LEN(INDEX('My equipment'!$Y$4:$Y$503,(_calc!$E$352-500)))=0,"",INDEX('My equipment'!$Y$4:$Y$503,(_calc!$E$352-500))))=0,"",IF(LEN(INDEX('My equipment'!$Y$4:$Y$503,(_calc!$E$352-500)))=0,"",INDEX('My equipment'!$Y$4:$Y$503,(_calc!$E$352-500)))))))</f>
        <v/>
      </c>
      <c r="G350" s="54">
        <f>IF(_calc!$E$352="","",IF(_calc!$E$352&lt;=500,"",IF(LEN(INDEX('My equipment'!$X$4:$X$503,(_calc!$E$352-500)))=0,"",INDEX('My equipment'!$X$4:$X$503,(_calc!$E$352-500)))))</f>
        <v/>
      </c>
      <c r="K350" s="54">
        <f>IF(_calc!$E$352="","",IF(_calc!$E$352&lt;=500,"",IF(LEN(INDEX('My equipment'!$T$4:$T$503,(_calc!$E$352-500)))=0,"",INDEX('My equipment'!$T$4:$T$503,(_calc!$E$352-500)))))</f>
        <v/>
      </c>
    </row>
    <row r="351">
      <c r="A351" s="54">
        <f>IF(_calc!$E$353="","",IF(_calc!$E$353&lt;=500,"Warranty – "&amp;IF(LEN(INDEX('Dealer pipeline'!$C$4:$C$503,_calc!$E$353))=0,"",INDEX('Dealer pipeline'!$C$4:$C$503,_calc!$E$353))&amp;" – "&amp;IF(LEN(INDEX('Dealer pipeline'!$D$4:$D$503,_calc!$E$353))=0,"",INDEX('Dealer pipeline'!$D$4:$D$503,_calc!$E$353))&amp;" – "&amp;IF(LEN(INDEX('Dealer pipeline'!$A$4:$A$503,_calc!$E$353))=0,"",INDEX('Dealer pipeline'!$A$4:$A$503,_calc!$E$353)),"Warranty – "&amp;IF(LEN(INDEX('My equipment'!$A$4:$A$503,(_calc!$E$353-500)))=0,"",INDEX('My equipment'!$A$4:$A$503,(_calc!$E$353-500)))&amp;" – "&amp;IF(LEN(INDEX('My equipment'!$D$4:$D$503,(_calc!$E$353-500)))=0,"",INDEX('My equipment'!$D$4:$D$503,(_calc!$E$353-500)))))</f>
        <v/>
      </c>
      <c r="B351" s="54">
        <f>IF(_calc!$E$353="","",IF(_calc!$E$353&lt;=500,IF(ISNUMBER(INDEX('Dealer pipeline'!$M$4:$M$503,_calc!$E$353)),TEXT(INDEX('Dealer pipeline'!$M$4:$M$503,_calc!$E$353),"yyyy-mm-dd"),""),IF(ISNUMBER(INDEX('My equipment'!$M$4:$M$503,(_calc!$E$353-500))),TEXT(INDEX('My equipment'!$M$4:$M$503,(_calc!$E$353-500)),"yyyy-mm-dd"),"")))</f>
        <v/>
      </c>
      <c r="C351" s="54">
        <f>IF(_calc!$E$353="","",IF(_calc!$E$353&lt;=500,"Warranty","Warranty"))</f>
        <v/>
      </c>
      <c r="D351" s="54">
        <f>IF(_calc!$E$353="","",IF(_calc!$E$353&lt;=500,IF(ISNUMBER(INDEX('Dealer pipeline'!$H$4:$H$503,_calc!$E$353)),TEXT(INDEX('Dealer pipeline'!$H$4:$H$503,_calc!$E$353),"yyyy-mm-dd"),""),IF(ISNUMBER(INDEX('My equipment'!$H$4:$H$503,(_calc!$E$353-500))),TEXT(INDEX('My equipment'!$H$4:$H$503,(_calc!$E$353-500)),"yyyy-mm-dd"),"")))</f>
        <v/>
      </c>
      <c r="F351" s="54">
        <f>IF(_calc!$E$353="","",IF(_calc!$E$353&lt;=500,TRIM(IF(LEN(IF(LEN(INDEX('Dealer pipeline'!$A$4:$A$503,_calc!$E$353))=0,"",INDEX('Dealer pipeline'!$A$4:$A$503,_calc!$E$353)))=0,"","Customer: "&amp;IF(LEN(INDEX('Dealer pipeline'!$A$4:$A$503,_calc!$E$353))=0,"",INDEX('Dealer pipeline'!$A$4:$A$503,_calc!$E$353))&amp;". ")&amp;IF(LEN(IF(LEN(INDEX('Dealer pipeline'!$B$4:$B$503,_calc!$E$353))=0,"",INDEX('Dealer pipeline'!$B$4:$B$503,_calc!$E$353)))=0,"","Contact: "&amp;IF(LEN(INDEX('Dealer pipeline'!$B$4:$B$503,_calc!$E$353))=0,"",INDEX('Dealer pipeline'!$B$4:$B$503,_calc!$E$353))&amp;". ")&amp;IF(LEN(IF(LEN(INDEX('Dealer pipeline'!$D$4:$D$503,_calc!$E$353))=0,"",INDEX('Dealer pipeline'!$D$4:$D$503,_calc!$E$353)))=0,"","Serial: "&amp;IF(LEN(INDEX('Dealer pipeline'!$D$4:$D$503,_calc!$E$353))=0,"",INDEX('Dealer pipeline'!$D$4:$D$503,_calc!$E$353))&amp;". ")&amp;IF(LEN(IF(ISNUMBER(INDEX('Dealer pipeline'!$J$4:$J$503,_calc!$E$353)),TEXT(INDEX('Dealer pipeline'!$J$4:$J$503,_calc!$E$353),"yyyy-mm-dd"),""))=0,"","Parts end: "&amp;IF(ISNUMBER(INDEX('Dealer pipeline'!$J$4:$J$503,_calc!$E$353)),TEXT(INDEX('Dealer pipeline'!$J$4:$J$503,_calc!$E$353),"yyyy-mm-dd"),"")&amp;". ")&amp;IF(LEN(IF(ISNUMBER(INDEX('Dealer pipeline'!$L$4:$L$503,_calc!$E$353)),TEXT(INDEX('Dealer pipeline'!$L$4:$L$503,_calc!$E$353),"yyyy-mm-dd"),""))=0,"","Labor end: "&amp;IF(ISNUMBER(INDEX('Dealer pipeline'!$L$4:$L$503,_calc!$E$353)),TEXT(INDEX('Dealer pipeline'!$L$4:$L$503,_calc!$E$353),"yyyy-mm-dd"),"")&amp;". ")&amp;IF(LEN(IF(LEN(INDEX('Dealer pipeline'!$Q$4:$Q$503,_calc!$E$353))=0,"",INDEX('Dealer pipeline'!$Q$4:$Q$503,_calc!$E$353)))=0,"","Status: "&amp;IF(LEN(INDEX('Dealer pipeline'!$Q$4:$Q$503,_calc!$E$353))=0,"",INDEX('Dealer pipeline'!$Q$4:$Q$503,_calc!$E$353))&amp;". ")&amp;IF(LEN(IF(LEN(INDEX('Dealer pipeline'!$P$4:$P$503,_calc!$E$353))=0,"",INDEX('Dealer pipeline'!$P$4:$P$503,_calc!$E$353)))=0,"","Last touch: "&amp;IF(LEN(INDEX('Dealer pipeline'!$P$4:$P$503,_calc!$E$353))=0,"",INDEX('Dealer pipeline'!$P$4:$P$503,_calc!$E$353))&amp;". ")&amp;IF(LEN(IF(LEN(INDEX('Dealer pipeline'!$R$4:$R$503,_calc!$E$353))=0,"",INDEX('Dealer pipeline'!$R$4:$R$503,_calc!$E$353)))=0,"","Owner: "&amp;IF(LEN(INDEX('Dealer pipeline'!$R$4:$R$503,_calc!$E$353))=0,"",INDEX('Dealer pipeline'!$R$4:$R$503,_calc!$E$353))&amp;". ")&amp;IF(LEN(IF(LEN(INDEX('Dealer pipeline'!$S$4:$S$503,_calc!$E$353))=0,"",INDEX('Dealer pipeline'!$S$4:$S$503,_calc!$E$353)))=0,"","Backup: "&amp;IF(LEN(INDEX('Dealer pipeline'!$S$4:$S$503,_calc!$E$353))=0,"",INDEX('Dealer pipeline'!$S$4:$S$503,_calc!$E$353))&amp;". ")&amp;IF(LEN(IF(LEN(INDEX('Dealer pipeline'!$T$4:$T$503,_calc!$E$353))=0,"",INDEX('Dealer pipeline'!$T$4:$T$503,_calc!$E$353)))=0,"",IF(LEN(INDEX('Dealer pipeline'!$T$4:$T$503,_calc!$E$353))=0,"",INDEX('Dealer pipeline'!$T$4:$T$503,_calc!$E$353)))),TRIM(IF(LEN(IF(LEN(INDEX('My equipment'!$C$4:$C$503,(_calc!$E$353-500)))=0,"",INDEX('My equipment'!$C$4:$C$503,(_calc!$E$353-500))))=0,"","Model: "&amp;IF(LEN(INDEX('My equipment'!$C$4:$C$503,(_calc!$E$353-500)))=0,"",INDEX('My equipment'!$C$4:$C$503,(_calc!$E$353-500)))&amp;". ")&amp;IF(LEN(IF(LEN(INDEX('My equipment'!$D$4:$D$503,(_calc!$E$353-500)))=0,"",INDEX('My equipment'!$D$4:$D$503,(_calc!$E$353-500))))=0,"","Serial: "&amp;IF(LEN(INDEX('My equipment'!$D$4:$D$503,(_calc!$E$353-500)))=0,"",INDEX('My equipment'!$D$4:$D$503,(_calc!$E$353-500)))&amp;". ")&amp;IF(LEN(IF(ISNUMBER(INDEX('My equipment'!$J$4:$J$503,(_calc!$E$353-500))),TEXT(INDEX('My equipment'!$J$4:$J$503,(_calc!$E$353-500)),"yyyy-mm-dd"),""))=0,"","Parts end: "&amp;IF(ISNUMBER(INDEX('My equipment'!$J$4:$J$503,(_calc!$E$353-500))),TEXT(INDEX('My equipment'!$J$4:$J$503,(_calc!$E$353-500)),"yyyy-mm-dd"),"")&amp;". ")&amp;IF(LEN(IF(ISNUMBER(INDEX('My equipment'!$L$4:$L$503,(_calc!$E$353-500))),TEXT(INDEX('My equipment'!$L$4:$L$503,(_calc!$E$353-500)),"yyyy-mm-dd"),""))=0,"","Labor end: "&amp;IF(ISNUMBER(INDEX('My equipment'!$L$4:$L$503,(_calc!$E$353-500))),TEXT(INDEX('My equipment'!$L$4:$L$503,(_calc!$E$353-500)),"yyyy-mm-dd"),"")&amp;". ")&amp;IF(LEN(IF(ISNUMBER(INDEX('My equipment'!$P$4:$P$503,(_calc!$E$353-500))),TEXT(INDEX('My equipment'!$P$4:$P$503,(_calc!$E$353-500)),"yyyy-mm-dd"),""))=0,"","Check by: "&amp;IF(ISNUMBER(INDEX('My equipment'!$P$4:$P$503,(_calc!$E$353-500))),TEXT(INDEX('My equipment'!$P$4:$P$503,(_calc!$E$353-500)),"yyyy-mm-dd"),"")&amp;". ")&amp;IF(LEN(IF(LEN(INDEX('My equipment'!$Q$4:$Q$503,(_calc!$E$353-500)))=0,"",INDEX('My equipment'!$Q$4:$Q$503,(_calc!$E$353-500))))=0,"","Claim status: "&amp;IF(LEN(INDEX('My equipment'!$Q$4:$Q$503,(_calc!$E$353-500)))=0,"",INDEX('My equipment'!$Q$4:$Q$503,(_calc!$E$353-500)))&amp;". ")&amp;IF(LEN(IF(LEN(INDEX('My equipment'!$R$4:$R$503,(_calc!$E$353-500)))=0,"",INDEX('My equipment'!$R$4:$R$503,(_calc!$E$353-500))))=0,"","Claims contact: "&amp;IF(LEN(INDEX('My equipment'!$R$4:$R$503,(_calc!$E$353-500)))=0,"",INDEX('My equipment'!$R$4:$R$503,(_calc!$E$353-500)))&amp;". ")&amp;IF(LEN(IF(LEN(INDEX('My equipment'!$S$4:$S$503,(_calc!$E$353-500)))=0,"",INDEX('My equipment'!$S$4:$S$503,(_calc!$E$353-500))))=0,"","Claims email: "&amp;IF(LEN(INDEX('My equipment'!$S$4:$S$503,(_calc!$E$353-500)))=0,"",INDEX('My equipment'!$S$4:$S$503,(_calc!$E$353-500)))&amp;". ")&amp;IF(LEN(IF(LEN(INDEX('My equipment'!$U$4:$U$503,(_calc!$E$353-500)))=0,"",INDEX('My equipment'!$U$4:$U$503,(_calc!$E$353-500))))=0,"","Registered: "&amp;IF(LEN(INDEX('My equipment'!$U$4:$U$503,(_calc!$E$353-500)))=0,"",INDEX('My equipment'!$U$4:$U$503,(_calc!$E$353-500)))&amp;". ")&amp;IF(LEN(IF(LEN(INDEX('My equipment'!$V$4:$V$503,(_calc!$E$353-500)))=0,"",INDEX('My equipment'!$V$4:$V$503,(_calc!$E$353-500))))=0,"","Proof on file: "&amp;IF(LEN(INDEX('My equipment'!$V$4:$V$503,(_calc!$E$353-500)))=0,"",INDEX('My equipment'!$V$4:$V$503,(_calc!$E$353-500)))&amp;". ")&amp;IF(LEN(IF(LEN(INDEX('My equipment'!$W$4:$W$503,(_calc!$E$353-500)))=0,"",INDEX('My equipment'!$W$4:$W$503,(_calc!$E$353-500))))=0,"","Claim ref: "&amp;IF(LEN(INDEX('My equipment'!$W$4:$W$503,(_calc!$E$353-500)))=0,"",INDEX('My equipment'!$W$4:$W$503,(_calc!$E$353-500)))&amp;". ")&amp;IF(LEN(IF(LEN(INDEX('My equipment'!$Y$4:$Y$503,(_calc!$E$353-500)))=0,"",INDEX('My equipment'!$Y$4:$Y$503,(_calc!$E$353-500))))=0,"",IF(LEN(INDEX('My equipment'!$Y$4:$Y$503,(_calc!$E$353-500)))=0,"",INDEX('My equipment'!$Y$4:$Y$503,(_calc!$E$353-500)))))))</f>
        <v/>
      </c>
      <c r="G351" s="54">
        <f>IF(_calc!$E$353="","",IF(_calc!$E$353&lt;=500,"",IF(LEN(INDEX('My equipment'!$X$4:$X$503,(_calc!$E$353-500)))=0,"",INDEX('My equipment'!$X$4:$X$503,(_calc!$E$353-500)))))</f>
        <v/>
      </c>
      <c r="K351" s="54">
        <f>IF(_calc!$E$353="","",IF(_calc!$E$353&lt;=500,"",IF(LEN(INDEX('My equipment'!$T$4:$T$503,(_calc!$E$353-500)))=0,"",INDEX('My equipment'!$T$4:$T$503,(_calc!$E$353-500)))))</f>
        <v/>
      </c>
    </row>
    <row r="352">
      <c r="A352" s="54">
        <f>IF(_calc!$E$354="","",IF(_calc!$E$354&lt;=500,"Warranty – "&amp;IF(LEN(INDEX('Dealer pipeline'!$C$4:$C$503,_calc!$E$354))=0,"",INDEX('Dealer pipeline'!$C$4:$C$503,_calc!$E$354))&amp;" – "&amp;IF(LEN(INDEX('Dealer pipeline'!$D$4:$D$503,_calc!$E$354))=0,"",INDEX('Dealer pipeline'!$D$4:$D$503,_calc!$E$354))&amp;" – "&amp;IF(LEN(INDEX('Dealer pipeline'!$A$4:$A$503,_calc!$E$354))=0,"",INDEX('Dealer pipeline'!$A$4:$A$503,_calc!$E$354)),"Warranty – "&amp;IF(LEN(INDEX('My equipment'!$A$4:$A$503,(_calc!$E$354-500)))=0,"",INDEX('My equipment'!$A$4:$A$503,(_calc!$E$354-500)))&amp;" – "&amp;IF(LEN(INDEX('My equipment'!$D$4:$D$503,(_calc!$E$354-500)))=0,"",INDEX('My equipment'!$D$4:$D$503,(_calc!$E$354-500)))))</f>
        <v/>
      </c>
      <c r="B352" s="54">
        <f>IF(_calc!$E$354="","",IF(_calc!$E$354&lt;=500,IF(ISNUMBER(INDEX('Dealer pipeline'!$M$4:$M$503,_calc!$E$354)),TEXT(INDEX('Dealer pipeline'!$M$4:$M$503,_calc!$E$354),"yyyy-mm-dd"),""),IF(ISNUMBER(INDEX('My equipment'!$M$4:$M$503,(_calc!$E$354-500))),TEXT(INDEX('My equipment'!$M$4:$M$503,(_calc!$E$354-500)),"yyyy-mm-dd"),"")))</f>
        <v/>
      </c>
      <c r="C352" s="54">
        <f>IF(_calc!$E$354="","",IF(_calc!$E$354&lt;=500,"Warranty","Warranty"))</f>
        <v/>
      </c>
      <c r="D352" s="54">
        <f>IF(_calc!$E$354="","",IF(_calc!$E$354&lt;=500,IF(ISNUMBER(INDEX('Dealer pipeline'!$H$4:$H$503,_calc!$E$354)),TEXT(INDEX('Dealer pipeline'!$H$4:$H$503,_calc!$E$354),"yyyy-mm-dd"),""),IF(ISNUMBER(INDEX('My equipment'!$H$4:$H$503,(_calc!$E$354-500))),TEXT(INDEX('My equipment'!$H$4:$H$503,(_calc!$E$354-500)),"yyyy-mm-dd"),"")))</f>
        <v/>
      </c>
      <c r="F352" s="54">
        <f>IF(_calc!$E$354="","",IF(_calc!$E$354&lt;=500,TRIM(IF(LEN(IF(LEN(INDEX('Dealer pipeline'!$A$4:$A$503,_calc!$E$354))=0,"",INDEX('Dealer pipeline'!$A$4:$A$503,_calc!$E$354)))=0,"","Customer: "&amp;IF(LEN(INDEX('Dealer pipeline'!$A$4:$A$503,_calc!$E$354))=0,"",INDEX('Dealer pipeline'!$A$4:$A$503,_calc!$E$354))&amp;". ")&amp;IF(LEN(IF(LEN(INDEX('Dealer pipeline'!$B$4:$B$503,_calc!$E$354))=0,"",INDEX('Dealer pipeline'!$B$4:$B$503,_calc!$E$354)))=0,"","Contact: "&amp;IF(LEN(INDEX('Dealer pipeline'!$B$4:$B$503,_calc!$E$354))=0,"",INDEX('Dealer pipeline'!$B$4:$B$503,_calc!$E$354))&amp;". ")&amp;IF(LEN(IF(LEN(INDEX('Dealer pipeline'!$D$4:$D$503,_calc!$E$354))=0,"",INDEX('Dealer pipeline'!$D$4:$D$503,_calc!$E$354)))=0,"","Serial: "&amp;IF(LEN(INDEX('Dealer pipeline'!$D$4:$D$503,_calc!$E$354))=0,"",INDEX('Dealer pipeline'!$D$4:$D$503,_calc!$E$354))&amp;". ")&amp;IF(LEN(IF(ISNUMBER(INDEX('Dealer pipeline'!$J$4:$J$503,_calc!$E$354)),TEXT(INDEX('Dealer pipeline'!$J$4:$J$503,_calc!$E$354),"yyyy-mm-dd"),""))=0,"","Parts end: "&amp;IF(ISNUMBER(INDEX('Dealer pipeline'!$J$4:$J$503,_calc!$E$354)),TEXT(INDEX('Dealer pipeline'!$J$4:$J$503,_calc!$E$354),"yyyy-mm-dd"),"")&amp;". ")&amp;IF(LEN(IF(ISNUMBER(INDEX('Dealer pipeline'!$L$4:$L$503,_calc!$E$354)),TEXT(INDEX('Dealer pipeline'!$L$4:$L$503,_calc!$E$354),"yyyy-mm-dd"),""))=0,"","Labor end: "&amp;IF(ISNUMBER(INDEX('Dealer pipeline'!$L$4:$L$503,_calc!$E$354)),TEXT(INDEX('Dealer pipeline'!$L$4:$L$503,_calc!$E$354),"yyyy-mm-dd"),"")&amp;". ")&amp;IF(LEN(IF(LEN(INDEX('Dealer pipeline'!$Q$4:$Q$503,_calc!$E$354))=0,"",INDEX('Dealer pipeline'!$Q$4:$Q$503,_calc!$E$354)))=0,"","Status: "&amp;IF(LEN(INDEX('Dealer pipeline'!$Q$4:$Q$503,_calc!$E$354))=0,"",INDEX('Dealer pipeline'!$Q$4:$Q$503,_calc!$E$354))&amp;". ")&amp;IF(LEN(IF(LEN(INDEX('Dealer pipeline'!$P$4:$P$503,_calc!$E$354))=0,"",INDEX('Dealer pipeline'!$P$4:$P$503,_calc!$E$354)))=0,"","Last touch: "&amp;IF(LEN(INDEX('Dealer pipeline'!$P$4:$P$503,_calc!$E$354))=0,"",INDEX('Dealer pipeline'!$P$4:$P$503,_calc!$E$354))&amp;". ")&amp;IF(LEN(IF(LEN(INDEX('Dealer pipeline'!$R$4:$R$503,_calc!$E$354))=0,"",INDEX('Dealer pipeline'!$R$4:$R$503,_calc!$E$354)))=0,"","Owner: "&amp;IF(LEN(INDEX('Dealer pipeline'!$R$4:$R$503,_calc!$E$354))=0,"",INDEX('Dealer pipeline'!$R$4:$R$503,_calc!$E$354))&amp;". ")&amp;IF(LEN(IF(LEN(INDEX('Dealer pipeline'!$S$4:$S$503,_calc!$E$354))=0,"",INDEX('Dealer pipeline'!$S$4:$S$503,_calc!$E$354)))=0,"","Backup: "&amp;IF(LEN(INDEX('Dealer pipeline'!$S$4:$S$503,_calc!$E$354))=0,"",INDEX('Dealer pipeline'!$S$4:$S$503,_calc!$E$354))&amp;". ")&amp;IF(LEN(IF(LEN(INDEX('Dealer pipeline'!$T$4:$T$503,_calc!$E$354))=0,"",INDEX('Dealer pipeline'!$T$4:$T$503,_calc!$E$354)))=0,"",IF(LEN(INDEX('Dealer pipeline'!$T$4:$T$503,_calc!$E$354))=0,"",INDEX('Dealer pipeline'!$T$4:$T$503,_calc!$E$354)))),TRIM(IF(LEN(IF(LEN(INDEX('My equipment'!$C$4:$C$503,(_calc!$E$354-500)))=0,"",INDEX('My equipment'!$C$4:$C$503,(_calc!$E$354-500))))=0,"","Model: "&amp;IF(LEN(INDEX('My equipment'!$C$4:$C$503,(_calc!$E$354-500)))=0,"",INDEX('My equipment'!$C$4:$C$503,(_calc!$E$354-500)))&amp;". ")&amp;IF(LEN(IF(LEN(INDEX('My equipment'!$D$4:$D$503,(_calc!$E$354-500)))=0,"",INDEX('My equipment'!$D$4:$D$503,(_calc!$E$354-500))))=0,"","Serial: "&amp;IF(LEN(INDEX('My equipment'!$D$4:$D$503,(_calc!$E$354-500)))=0,"",INDEX('My equipment'!$D$4:$D$503,(_calc!$E$354-500)))&amp;". ")&amp;IF(LEN(IF(ISNUMBER(INDEX('My equipment'!$J$4:$J$503,(_calc!$E$354-500))),TEXT(INDEX('My equipment'!$J$4:$J$503,(_calc!$E$354-500)),"yyyy-mm-dd"),""))=0,"","Parts end: "&amp;IF(ISNUMBER(INDEX('My equipment'!$J$4:$J$503,(_calc!$E$354-500))),TEXT(INDEX('My equipment'!$J$4:$J$503,(_calc!$E$354-500)),"yyyy-mm-dd"),"")&amp;". ")&amp;IF(LEN(IF(ISNUMBER(INDEX('My equipment'!$L$4:$L$503,(_calc!$E$354-500))),TEXT(INDEX('My equipment'!$L$4:$L$503,(_calc!$E$354-500)),"yyyy-mm-dd"),""))=0,"","Labor end: "&amp;IF(ISNUMBER(INDEX('My equipment'!$L$4:$L$503,(_calc!$E$354-500))),TEXT(INDEX('My equipment'!$L$4:$L$503,(_calc!$E$354-500)),"yyyy-mm-dd"),"")&amp;". ")&amp;IF(LEN(IF(ISNUMBER(INDEX('My equipment'!$P$4:$P$503,(_calc!$E$354-500))),TEXT(INDEX('My equipment'!$P$4:$P$503,(_calc!$E$354-500)),"yyyy-mm-dd"),""))=0,"","Check by: "&amp;IF(ISNUMBER(INDEX('My equipment'!$P$4:$P$503,(_calc!$E$354-500))),TEXT(INDEX('My equipment'!$P$4:$P$503,(_calc!$E$354-500)),"yyyy-mm-dd"),"")&amp;". ")&amp;IF(LEN(IF(LEN(INDEX('My equipment'!$Q$4:$Q$503,(_calc!$E$354-500)))=0,"",INDEX('My equipment'!$Q$4:$Q$503,(_calc!$E$354-500))))=0,"","Claim status: "&amp;IF(LEN(INDEX('My equipment'!$Q$4:$Q$503,(_calc!$E$354-500)))=0,"",INDEX('My equipment'!$Q$4:$Q$503,(_calc!$E$354-500)))&amp;". ")&amp;IF(LEN(IF(LEN(INDEX('My equipment'!$R$4:$R$503,(_calc!$E$354-500)))=0,"",INDEX('My equipment'!$R$4:$R$503,(_calc!$E$354-500))))=0,"","Claims contact: "&amp;IF(LEN(INDEX('My equipment'!$R$4:$R$503,(_calc!$E$354-500)))=0,"",INDEX('My equipment'!$R$4:$R$503,(_calc!$E$354-500)))&amp;". ")&amp;IF(LEN(IF(LEN(INDEX('My equipment'!$S$4:$S$503,(_calc!$E$354-500)))=0,"",INDEX('My equipment'!$S$4:$S$503,(_calc!$E$354-500))))=0,"","Claims email: "&amp;IF(LEN(INDEX('My equipment'!$S$4:$S$503,(_calc!$E$354-500)))=0,"",INDEX('My equipment'!$S$4:$S$503,(_calc!$E$354-500)))&amp;". ")&amp;IF(LEN(IF(LEN(INDEX('My equipment'!$U$4:$U$503,(_calc!$E$354-500)))=0,"",INDEX('My equipment'!$U$4:$U$503,(_calc!$E$354-500))))=0,"","Registered: "&amp;IF(LEN(INDEX('My equipment'!$U$4:$U$503,(_calc!$E$354-500)))=0,"",INDEX('My equipment'!$U$4:$U$503,(_calc!$E$354-500)))&amp;". ")&amp;IF(LEN(IF(LEN(INDEX('My equipment'!$V$4:$V$503,(_calc!$E$354-500)))=0,"",INDEX('My equipment'!$V$4:$V$503,(_calc!$E$354-500))))=0,"","Proof on file: "&amp;IF(LEN(INDEX('My equipment'!$V$4:$V$503,(_calc!$E$354-500)))=0,"",INDEX('My equipment'!$V$4:$V$503,(_calc!$E$354-500)))&amp;". ")&amp;IF(LEN(IF(LEN(INDEX('My equipment'!$W$4:$W$503,(_calc!$E$354-500)))=0,"",INDEX('My equipment'!$W$4:$W$503,(_calc!$E$354-500))))=0,"","Claim ref: "&amp;IF(LEN(INDEX('My equipment'!$W$4:$W$503,(_calc!$E$354-500)))=0,"",INDEX('My equipment'!$W$4:$W$503,(_calc!$E$354-500)))&amp;". ")&amp;IF(LEN(IF(LEN(INDEX('My equipment'!$Y$4:$Y$503,(_calc!$E$354-500)))=0,"",INDEX('My equipment'!$Y$4:$Y$503,(_calc!$E$354-500))))=0,"",IF(LEN(INDEX('My equipment'!$Y$4:$Y$503,(_calc!$E$354-500)))=0,"",INDEX('My equipment'!$Y$4:$Y$503,(_calc!$E$354-500)))))))</f>
        <v/>
      </c>
      <c r="G352" s="54">
        <f>IF(_calc!$E$354="","",IF(_calc!$E$354&lt;=500,"",IF(LEN(INDEX('My equipment'!$X$4:$X$503,(_calc!$E$354-500)))=0,"",INDEX('My equipment'!$X$4:$X$503,(_calc!$E$354-500)))))</f>
        <v/>
      </c>
      <c r="K352" s="54">
        <f>IF(_calc!$E$354="","",IF(_calc!$E$354&lt;=500,"",IF(LEN(INDEX('My equipment'!$T$4:$T$503,(_calc!$E$354-500)))=0,"",INDEX('My equipment'!$T$4:$T$503,(_calc!$E$354-500)))))</f>
        <v/>
      </c>
    </row>
    <row r="353">
      <c r="A353" s="54">
        <f>IF(_calc!$E$355="","",IF(_calc!$E$355&lt;=500,"Warranty – "&amp;IF(LEN(INDEX('Dealer pipeline'!$C$4:$C$503,_calc!$E$355))=0,"",INDEX('Dealer pipeline'!$C$4:$C$503,_calc!$E$355))&amp;" – "&amp;IF(LEN(INDEX('Dealer pipeline'!$D$4:$D$503,_calc!$E$355))=0,"",INDEX('Dealer pipeline'!$D$4:$D$503,_calc!$E$355))&amp;" – "&amp;IF(LEN(INDEX('Dealer pipeline'!$A$4:$A$503,_calc!$E$355))=0,"",INDEX('Dealer pipeline'!$A$4:$A$503,_calc!$E$355)),"Warranty – "&amp;IF(LEN(INDEX('My equipment'!$A$4:$A$503,(_calc!$E$355-500)))=0,"",INDEX('My equipment'!$A$4:$A$503,(_calc!$E$355-500)))&amp;" – "&amp;IF(LEN(INDEX('My equipment'!$D$4:$D$503,(_calc!$E$355-500)))=0,"",INDEX('My equipment'!$D$4:$D$503,(_calc!$E$355-500)))))</f>
        <v/>
      </c>
      <c r="B353" s="54">
        <f>IF(_calc!$E$355="","",IF(_calc!$E$355&lt;=500,IF(ISNUMBER(INDEX('Dealer pipeline'!$M$4:$M$503,_calc!$E$355)),TEXT(INDEX('Dealer pipeline'!$M$4:$M$503,_calc!$E$355),"yyyy-mm-dd"),""),IF(ISNUMBER(INDEX('My equipment'!$M$4:$M$503,(_calc!$E$355-500))),TEXT(INDEX('My equipment'!$M$4:$M$503,(_calc!$E$355-500)),"yyyy-mm-dd"),"")))</f>
        <v/>
      </c>
      <c r="C353" s="54">
        <f>IF(_calc!$E$355="","",IF(_calc!$E$355&lt;=500,"Warranty","Warranty"))</f>
        <v/>
      </c>
      <c r="D353" s="54">
        <f>IF(_calc!$E$355="","",IF(_calc!$E$355&lt;=500,IF(ISNUMBER(INDEX('Dealer pipeline'!$H$4:$H$503,_calc!$E$355)),TEXT(INDEX('Dealer pipeline'!$H$4:$H$503,_calc!$E$355),"yyyy-mm-dd"),""),IF(ISNUMBER(INDEX('My equipment'!$H$4:$H$503,(_calc!$E$355-500))),TEXT(INDEX('My equipment'!$H$4:$H$503,(_calc!$E$355-500)),"yyyy-mm-dd"),"")))</f>
        <v/>
      </c>
      <c r="F353" s="54">
        <f>IF(_calc!$E$355="","",IF(_calc!$E$355&lt;=500,TRIM(IF(LEN(IF(LEN(INDEX('Dealer pipeline'!$A$4:$A$503,_calc!$E$355))=0,"",INDEX('Dealer pipeline'!$A$4:$A$503,_calc!$E$355)))=0,"","Customer: "&amp;IF(LEN(INDEX('Dealer pipeline'!$A$4:$A$503,_calc!$E$355))=0,"",INDEX('Dealer pipeline'!$A$4:$A$503,_calc!$E$355))&amp;". ")&amp;IF(LEN(IF(LEN(INDEX('Dealer pipeline'!$B$4:$B$503,_calc!$E$355))=0,"",INDEX('Dealer pipeline'!$B$4:$B$503,_calc!$E$355)))=0,"","Contact: "&amp;IF(LEN(INDEX('Dealer pipeline'!$B$4:$B$503,_calc!$E$355))=0,"",INDEX('Dealer pipeline'!$B$4:$B$503,_calc!$E$355))&amp;". ")&amp;IF(LEN(IF(LEN(INDEX('Dealer pipeline'!$D$4:$D$503,_calc!$E$355))=0,"",INDEX('Dealer pipeline'!$D$4:$D$503,_calc!$E$355)))=0,"","Serial: "&amp;IF(LEN(INDEX('Dealer pipeline'!$D$4:$D$503,_calc!$E$355))=0,"",INDEX('Dealer pipeline'!$D$4:$D$503,_calc!$E$355))&amp;". ")&amp;IF(LEN(IF(ISNUMBER(INDEX('Dealer pipeline'!$J$4:$J$503,_calc!$E$355)),TEXT(INDEX('Dealer pipeline'!$J$4:$J$503,_calc!$E$355),"yyyy-mm-dd"),""))=0,"","Parts end: "&amp;IF(ISNUMBER(INDEX('Dealer pipeline'!$J$4:$J$503,_calc!$E$355)),TEXT(INDEX('Dealer pipeline'!$J$4:$J$503,_calc!$E$355),"yyyy-mm-dd"),"")&amp;". ")&amp;IF(LEN(IF(ISNUMBER(INDEX('Dealer pipeline'!$L$4:$L$503,_calc!$E$355)),TEXT(INDEX('Dealer pipeline'!$L$4:$L$503,_calc!$E$355),"yyyy-mm-dd"),""))=0,"","Labor end: "&amp;IF(ISNUMBER(INDEX('Dealer pipeline'!$L$4:$L$503,_calc!$E$355)),TEXT(INDEX('Dealer pipeline'!$L$4:$L$503,_calc!$E$355),"yyyy-mm-dd"),"")&amp;". ")&amp;IF(LEN(IF(LEN(INDEX('Dealer pipeline'!$Q$4:$Q$503,_calc!$E$355))=0,"",INDEX('Dealer pipeline'!$Q$4:$Q$503,_calc!$E$355)))=0,"","Status: "&amp;IF(LEN(INDEX('Dealer pipeline'!$Q$4:$Q$503,_calc!$E$355))=0,"",INDEX('Dealer pipeline'!$Q$4:$Q$503,_calc!$E$355))&amp;". ")&amp;IF(LEN(IF(LEN(INDEX('Dealer pipeline'!$P$4:$P$503,_calc!$E$355))=0,"",INDEX('Dealer pipeline'!$P$4:$P$503,_calc!$E$355)))=0,"","Last touch: "&amp;IF(LEN(INDEX('Dealer pipeline'!$P$4:$P$503,_calc!$E$355))=0,"",INDEX('Dealer pipeline'!$P$4:$P$503,_calc!$E$355))&amp;". ")&amp;IF(LEN(IF(LEN(INDEX('Dealer pipeline'!$R$4:$R$503,_calc!$E$355))=0,"",INDEX('Dealer pipeline'!$R$4:$R$503,_calc!$E$355)))=0,"","Owner: "&amp;IF(LEN(INDEX('Dealer pipeline'!$R$4:$R$503,_calc!$E$355))=0,"",INDEX('Dealer pipeline'!$R$4:$R$503,_calc!$E$355))&amp;". ")&amp;IF(LEN(IF(LEN(INDEX('Dealer pipeline'!$S$4:$S$503,_calc!$E$355))=0,"",INDEX('Dealer pipeline'!$S$4:$S$503,_calc!$E$355)))=0,"","Backup: "&amp;IF(LEN(INDEX('Dealer pipeline'!$S$4:$S$503,_calc!$E$355))=0,"",INDEX('Dealer pipeline'!$S$4:$S$503,_calc!$E$355))&amp;". ")&amp;IF(LEN(IF(LEN(INDEX('Dealer pipeline'!$T$4:$T$503,_calc!$E$355))=0,"",INDEX('Dealer pipeline'!$T$4:$T$503,_calc!$E$355)))=0,"",IF(LEN(INDEX('Dealer pipeline'!$T$4:$T$503,_calc!$E$355))=0,"",INDEX('Dealer pipeline'!$T$4:$T$503,_calc!$E$355)))),TRIM(IF(LEN(IF(LEN(INDEX('My equipment'!$C$4:$C$503,(_calc!$E$355-500)))=0,"",INDEX('My equipment'!$C$4:$C$503,(_calc!$E$355-500))))=0,"","Model: "&amp;IF(LEN(INDEX('My equipment'!$C$4:$C$503,(_calc!$E$355-500)))=0,"",INDEX('My equipment'!$C$4:$C$503,(_calc!$E$355-500)))&amp;". ")&amp;IF(LEN(IF(LEN(INDEX('My equipment'!$D$4:$D$503,(_calc!$E$355-500)))=0,"",INDEX('My equipment'!$D$4:$D$503,(_calc!$E$355-500))))=0,"","Serial: "&amp;IF(LEN(INDEX('My equipment'!$D$4:$D$503,(_calc!$E$355-500)))=0,"",INDEX('My equipment'!$D$4:$D$503,(_calc!$E$355-500)))&amp;". ")&amp;IF(LEN(IF(ISNUMBER(INDEX('My equipment'!$J$4:$J$503,(_calc!$E$355-500))),TEXT(INDEX('My equipment'!$J$4:$J$503,(_calc!$E$355-500)),"yyyy-mm-dd"),""))=0,"","Parts end: "&amp;IF(ISNUMBER(INDEX('My equipment'!$J$4:$J$503,(_calc!$E$355-500))),TEXT(INDEX('My equipment'!$J$4:$J$503,(_calc!$E$355-500)),"yyyy-mm-dd"),"")&amp;". ")&amp;IF(LEN(IF(ISNUMBER(INDEX('My equipment'!$L$4:$L$503,(_calc!$E$355-500))),TEXT(INDEX('My equipment'!$L$4:$L$503,(_calc!$E$355-500)),"yyyy-mm-dd"),""))=0,"","Labor end: "&amp;IF(ISNUMBER(INDEX('My equipment'!$L$4:$L$503,(_calc!$E$355-500))),TEXT(INDEX('My equipment'!$L$4:$L$503,(_calc!$E$355-500)),"yyyy-mm-dd"),"")&amp;". ")&amp;IF(LEN(IF(ISNUMBER(INDEX('My equipment'!$P$4:$P$503,(_calc!$E$355-500))),TEXT(INDEX('My equipment'!$P$4:$P$503,(_calc!$E$355-500)),"yyyy-mm-dd"),""))=0,"","Check by: "&amp;IF(ISNUMBER(INDEX('My equipment'!$P$4:$P$503,(_calc!$E$355-500))),TEXT(INDEX('My equipment'!$P$4:$P$503,(_calc!$E$355-500)),"yyyy-mm-dd"),"")&amp;". ")&amp;IF(LEN(IF(LEN(INDEX('My equipment'!$Q$4:$Q$503,(_calc!$E$355-500)))=0,"",INDEX('My equipment'!$Q$4:$Q$503,(_calc!$E$355-500))))=0,"","Claim status: "&amp;IF(LEN(INDEX('My equipment'!$Q$4:$Q$503,(_calc!$E$355-500)))=0,"",INDEX('My equipment'!$Q$4:$Q$503,(_calc!$E$355-500)))&amp;". ")&amp;IF(LEN(IF(LEN(INDEX('My equipment'!$R$4:$R$503,(_calc!$E$355-500)))=0,"",INDEX('My equipment'!$R$4:$R$503,(_calc!$E$355-500))))=0,"","Claims contact: "&amp;IF(LEN(INDEX('My equipment'!$R$4:$R$503,(_calc!$E$355-500)))=0,"",INDEX('My equipment'!$R$4:$R$503,(_calc!$E$355-500)))&amp;". ")&amp;IF(LEN(IF(LEN(INDEX('My equipment'!$S$4:$S$503,(_calc!$E$355-500)))=0,"",INDEX('My equipment'!$S$4:$S$503,(_calc!$E$355-500))))=0,"","Claims email: "&amp;IF(LEN(INDEX('My equipment'!$S$4:$S$503,(_calc!$E$355-500)))=0,"",INDEX('My equipment'!$S$4:$S$503,(_calc!$E$355-500)))&amp;". ")&amp;IF(LEN(IF(LEN(INDEX('My equipment'!$U$4:$U$503,(_calc!$E$355-500)))=0,"",INDEX('My equipment'!$U$4:$U$503,(_calc!$E$355-500))))=0,"","Registered: "&amp;IF(LEN(INDEX('My equipment'!$U$4:$U$503,(_calc!$E$355-500)))=0,"",INDEX('My equipment'!$U$4:$U$503,(_calc!$E$355-500)))&amp;". ")&amp;IF(LEN(IF(LEN(INDEX('My equipment'!$V$4:$V$503,(_calc!$E$355-500)))=0,"",INDEX('My equipment'!$V$4:$V$503,(_calc!$E$355-500))))=0,"","Proof on file: "&amp;IF(LEN(INDEX('My equipment'!$V$4:$V$503,(_calc!$E$355-500)))=0,"",INDEX('My equipment'!$V$4:$V$503,(_calc!$E$355-500)))&amp;". ")&amp;IF(LEN(IF(LEN(INDEX('My equipment'!$W$4:$W$503,(_calc!$E$355-500)))=0,"",INDEX('My equipment'!$W$4:$W$503,(_calc!$E$355-500))))=0,"","Claim ref: "&amp;IF(LEN(INDEX('My equipment'!$W$4:$W$503,(_calc!$E$355-500)))=0,"",INDEX('My equipment'!$W$4:$W$503,(_calc!$E$355-500)))&amp;". ")&amp;IF(LEN(IF(LEN(INDEX('My equipment'!$Y$4:$Y$503,(_calc!$E$355-500)))=0,"",INDEX('My equipment'!$Y$4:$Y$503,(_calc!$E$355-500))))=0,"",IF(LEN(INDEX('My equipment'!$Y$4:$Y$503,(_calc!$E$355-500)))=0,"",INDEX('My equipment'!$Y$4:$Y$503,(_calc!$E$355-500)))))))</f>
        <v/>
      </c>
      <c r="G353" s="54">
        <f>IF(_calc!$E$355="","",IF(_calc!$E$355&lt;=500,"",IF(LEN(INDEX('My equipment'!$X$4:$X$503,(_calc!$E$355-500)))=0,"",INDEX('My equipment'!$X$4:$X$503,(_calc!$E$355-500)))))</f>
        <v/>
      </c>
      <c r="K353" s="54">
        <f>IF(_calc!$E$355="","",IF(_calc!$E$355&lt;=500,"",IF(LEN(INDEX('My equipment'!$T$4:$T$503,(_calc!$E$355-500)))=0,"",INDEX('My equipment'!$T$4:$T$503,(_calc!$E$355-500)))))</f>
        <v/>
      </c>
    </row>
    <row r="354">
      <c r="A354" s="54">
        <f>IF(_calc!$E$356="","",IF(_calc!$E$356&lt;=500,"Warranty – "&amp;IF(LEN(INDEX('Dealer pipeline'!$C$4:$C$503,_calc!$E$356))=0,"",INDEX('Dealer pipeline'!$C$4:$C$503,_calc!$E$356))&amp;" – "&amp;IF(LEN(INDEX('Dealer pipeline'!$D$4:$D$503,_calc!$E$356))=0,"",INDEX('Dealer pipeline'!$D$4:$D$503,_calc!$E$356))&amp;" – "&amp;IF(LEN(INDEX('Dealer pipeline'!$A$4:$A$503,_calc!$E$356))=0,"",INDEX('Dealer pipeline'!$A$4:$A$503,_calc!$E$356)),"Warranty – "&amp;IF(LEN(INDEX('My equipment'!$A$4:$A$503,(_calc!$E$356-500)))=0,"",INDEX('My equipment'!$A$4:$A$503,(_calc!$E$356-500)))&amp;" – "&amp;IF(LEN(INDEX('My equipment'!$D$4:$D$503,(_calc!$E$356-500)))=0,"",INDEX('My equipment'!$D$4:$D$503,(_calc!$E$356-500)))))</f>
        <v/>
      </c>
      <c r="B354" s="54">
        <f>IF(_calc!$E$356="","",IF(_calc!$E$356&lt;=500,IF(ISNUMBER(INDEX('Dealer pipeline'!$M$4:$M$503,_calc!$E$356)),TEXT(INDEX('Dealer pipeline'!$M$4:$M$503,_calc!$E$356),"yyyy-mm-dd"),""),IF(ISNUMBER(INDEX('My equipment'!$M$4:$M$503,(_calc!$E$356-500))),TEXT(INDEX('My equipment'!$M$4:$M$503,(_calc!$E$356-500)),"yyyy-mm-dd"),"")))</f>
        <v/>
      </c>
      <c r="C354" s="54">
        <f>IF(_calc!$E$356="","",IF(_calc!$E$356&lt;=500,"Warranty","Warranty"))</f>
        <v/>
      </c>
      <c r="D354" s="54">
        <f>IF(_calc!$E$356="","",IF(_calc!$E$356&lt;=500,IF(ISNUMBER(INDEX('Dealer pipeline'!$H$4:$H$503,_calc!$E$356)),TEXT(INDEX('Dealer pipeline'!$H$4:$H$503,_calc!$E$356),"yyyy-mm-dd"),""),IF(ISNUMBER(INDEX('My equipment'!$H$4:$H$503,(_calc!$E$356-500))),TEXT(INDEX('My equipment'!$H$4:$H$503,(_calc!$E$356-500)),"yyyy-mm-dd"),"")))</f>
        <v/>
      </c>
      <c r="F354" s="54">
        <f>IF(_calc!$E$356="","",IF(_calc!$E$356&lt;=500,TRIM(IF(LEN(IF(LEN(INDEX('Dealer pipeline'!$A$4:$A$503,_calc!$E$356))=0,"",INDEX('Dealer pipeline'!$A$4:$A$503,_calc!$E$356)))=0,"","Customer: "&amp;IF(LEN(INDEX('Dealer pipeline'!$A$4:$A$503,_calc!$E$356))=0,"",INDEX('Dealer pipeline'!$A$4:$A$503,_calc!$E$356))&amp;". ")&amp;IF(LEN(IF(LEN(INDEX('Dealer pipeline'!$B$4:$B$503,_calc!$E$356))=0,"",INDEX('Dealer pipeline'!$B$4:$B$503,_calc!$E$356)))=0,"","Contact: "&amp;IF(LEN(INDEX('Dealer pipeline'!$B$4:$B$503,_calc!$E$356))=0,"",INDEX('Dealer pipeline'!$B$4:$B$503,_calc!$E$356))&amp;". ")&amp;IF(LEN(IF(LEN(INDEX('Dealer pipeline'!$D$4:$D$503,_calc!$E$356))=0,"",INDEX('Dealer pipeline'!$D$4:$D$503,_calc!$E$356)))=0,"","Serial: "&amp;IF(LEN(INDEX('Dealer pipeline'!$D$4:$D$503,_calc!$E$356))=0,"",INDEX('Dealer pipeline'!$D$4:$D$503,_calc!$E$356))&amp;". ")&amp;IF(LEN(IF(ISNUMBER(INDEX('Dealer pipeline'!$J$4:$J$503,_calc!$E$356)),TEXT(INDEX('Dealer pipeline'!$J$4:$J$503,_calc!$E$356),"yyyy-mm-dd"),""))=0,"","Parts end: "&amp;IF(ISNUMBER(INDEX('Dealer pipeline'!$J$4:$J$503,_calc!$E$356)),TEXT(INDEX('Dealer pipeline'!$J$4:$J$503,_calc!$E$356),"yyyy-mm-dd"),"")&amp;". ")&amp;IF(LEN(IF(ISNUMBER(INDEX('Dealer pipeline'!$L$4:$L$503,_calc!$E$356)),TEXT(INDEX('Dealer pipeline'!$L$4:$L$503,_calc!$E$356),"yyyy-mm-dd"),""))=0,"","Labor end: "&amp;IF(ISNUMBER(INDEX('Dealer pipeline'!$L$4:$L$503,_calc!$E$356)),TEXT(INDEX('Dealer pipeline'!$L$4:$L$503,_calc!$E$356),"yyyy-mm-dd"),"")&amp;". ")&amp;IF(LEN(IF(LEN(INDEX('Dealer pipeline'!$Q$4:$Q$503,_calc!$E$356))=0,"",INDEX('Dealer pipeline'!$Q$4:$Q$503,_calc!$E$356)))=0,"","Status: "&amp;IF(LEN(INDEX('Dealer pipeline'!$Q$4:$Q$503,_calc!$E$356))=0,"",INDEX('Dealer pipeline'!$Q$4:$Q$503,_calc!$E$356))&amp;". ")&amp;IF(LEN(IF(LEN(INDEX('Dealer pipeline'!$P$4:$P$503,_calc!$E$356))=0,"",INDEX('Dealer pipeline'!$P$4:$P$503,_calc!$E$356)))=0,"","Last touch: "&amp;IF(LEN(INDEX('Dealer pipeline'!$P$4:$P$503,_calc!$E$356))=0,"",INDEX('Dealer pipeline'!$P$4:$P$503,_calc!$E$356))&amp;". ")&amp;IF(LEN(IF(LEN(INDEX('Dealer pipeline'!$R$4:$R$503,_calc!$E$356))=0,"",INDEX('Dealer pipeline'!$R$4:$R$503,_calc!$E$356)))=0,"","Owner: "&amp;IF(LEN(INDEX('Dealer pipeline'!$R$4:$R$503,_calc!$E$356))=0,"",INDEX('Dealer pipeline'!$R$4:$R$503,_calc!$E$356))&amp;". ")&amp;IF(LEN(IF(LEN(INDEX('Dealer pipeline'!$S$4:$S$503,_calc!$E$356))=0,"",INDEX('Dealer pipeline'!$S$4:$S$503,_calc!$E$356)))=0,"","Backup: "&amp;IF(LEN(INDEX('Dealer pipeline'!$S$4:$S$503,_calc!$E$356))=0,"",INDEX('Dealer pipeline'!$S$4:$S$503,_calc!$E$356))&amp;". ")&amp;IF(LEN(IF(LEN(INDEX('Dealer pipeline'!$T$4:$T$503,_calc!$E$356))=0,"",INDEX('Dealer pipeline'!$T$4:$T$503,_calc!$E$356)))=0,"",IF(LEN(INDEX('Dealer pipeline'!$T$4:$T$503,_calc!$E$356))=0,"",INDEX('Dealer pipeline'!$T$4:$T$503,_calc!$E$356)))),TRIM(IF(LEN(IF(LEN(INDEX('My equipment'!$C$4:$C$503,(_calc!$E$356-500)))=0,"",INDEX('My equipment'!$C$4:$C$503,(_calc!$E$356-500))))=0,"","Model: "&amp;IF(LEN(INDEX('My equipment'!$C$4:$C$503,(_calc!$E$356-500)))=0,"",INDEX('My equipment'!$C$4:$C$503,(_calc!$E$356-500)))&amp;". ")&amp;IF(LEN(IF(LEN(INDEX('My equipment'!$D$4:$D$503,(_calc!$E$356-500)))=0,"",INDEX('My equipment'!$D$4:$D$503,(_calc!$E$356-500))))=0,"","Serial: "&amp;IF(LEN(INDEX('My equipment'!$D$4:$D$503,(_calc!$E$356-500)))=0,"",INDEX('My equipment'!$D$4:$D$503,(_calc!$E$356-500)))&amp;". ")&amp;IF(LEN(IF(ISNUMBER(INDEX('My equipment'!$J$4:$J$503,(_calc!$E$356-500))),TEXT(INDEX('My equipment'!$J$4:$J$503,(_calc!$E$356-500)),"yyyy-mm-dd"),""))=0,"","Parts end: "&amp;IF(ISNUMBER(INDEX('My equipment'!$J$4:$J$503,(_calc!$E$356-500))),TEXT(INDEX('My equipment'!$J$4:$J$503,(_calc!$E$356-500)),"yyyy-mm-dd"),"")&amp;". ")&amp;IF(LEN(IF(ISNUMBER(INDEX('My equipment'!$L$4:$L$503,(_calc!$E$356-500))),TEXT(INDEX('My equipment'!$L$4:$L$503,(_calc!$E$356-500)),"yyyy-mm-dd"),""))=0,"","Labor end: "&amp;IF(ISNUMBER(INDEX('My equipment'!$L$4:$L$503,(_calc!$E$356-500))),TEXT(INDEX('My equipment'!$L$4:$L$503,(_calc!$E$356-500)),"yyyy-mm-dd"),"")&amp;". ")&amp;IF(LEN(IF(ISNUMBER(INDEX('My equipment'!$P$4:$P$503,(_calc!$E$356-500))),TEXT(INDEX('My equipment'!$P$4:$P$503,(_calc!$E$356-500)),"yyyy-mm-dd"),""))=0,"","Check by: "&amp;IF(ISNUMBER(INDEX('My equipment'!$P$4:$P$503,(_calc!$E$356-500))),TEXT(INDEX('My equipment'!$P$4:$P$503,(_calc!$E$356-500)),"yyyy-mm-dd"),"")&amp;". ")&amp;IF(LEN(IF(LEN(INDEX('My equipment'!$Q$4:$Q$503,(_calc!$E$356-500)))=0,"",INDEX('My equipment'!$Q$4:$Q$503,(_calc!$E$356-500))))=0,"","Claim status: "&amp;IF(LEN(INDEX('My equipment'!$Q$4:$Q$503,(_calc!$E$356-500)))=0,"",INDEX('My equipment'!$Q$4:$Q$503,(_calc!$E$356-500)))&amp;". ")&amp;IF(LEN(IF(LEN(INDEX('My equipment'!$R$4:$R$503,(_calc!$E$356-500)))=0,"",INDEX('My equipment'!$R$4:$R$503,(_calc!$E$356-500))))=0,"","Claims contact: "&amp;IF(LEN(INDEX('My equipment'!$R$4:$R$503,(_calc!$E$356-500)))=0,"",INDEX('My equipment'!$R$4:$R$503,(_calc!$E$356-500)))&amp;". ")&amp;IF(LEN(IF(LEN(INDEX('My equipment'!$S$4:$S$503,(_calc!$E$356-500)))=0,"",INDEX('My equipment'!$S$4:$S$503,(_calc!$E$356-500))))=0,"","Claims email: "&amp;IF(LEN(INDEX('My equipment'!$S$4:$S$503,(_calc!$E$356-500)))=0,"",INDEX('My equipment'!$S$4:$S$503,(_calc!$E$356-500)))&amp;". ")&amp;IF(LEN(IF(LEN(INDEX('My equipment'!$U$4:$U$503,(_calc!$E$356-500)))=0,"",INDEX('My equipment'!$U$4:$U$503,(_calc!$E$356-500))))=0,"","Registered: "&amp;IF(LEN(INDEX('My equipment'!$U$4:$U$503,(_calc!$E$356-500)))=0,"",INDEX('My equipment'!$U$4:$U$503,(_calc!$E$356-500)))&amp;". ")&amp;IF(LEN(IF(LEN(INDEX('My equipment'!$V$4:$V$503,(_calc!$E$356-500)))=0,"",INDEX('My equipment'!$V$4:$V$503,(_calc!$E$356-500))))=0,"","Proof on file: "&amp;IF(LEN(INDEX('My equipment'!$V$4:$V$503,(_calc!$E$356-500)))=0,"",INDEX('My equipment'!$V$4:$V$503,(_calc!$E$356-500)))&amp;". ")&amp;IF(LEN(IF(LEN(INDEX('My equipment'!$W$4:$W$503,(_calc!$E$356-500)))=0,"",INDEX('My equipment'!$W$4:$W$503,(_calc!$E$356-500))))=0,"","Claim ref: "&amp;IF(LEN(INDEX('My equipment'!$W$4:$W$503,(_calc!$E$356-500)))=0,"",INDEX('My equipment'!$W$4:$W$503,(_calc!$E$356-500)))&amp;". ")&amp;IF(LEN(IF(LEN(INDEX('My equipment'!$Y$4:$Y$503,(_calc!$E$356-500)))=0,"",INDEX('My equipment'!$Y$4:$Y$503,(_calc!$E$356-500))))=0,"",IF(LEN(INDEX('My equipment'!$Y$4:$Y$503,(_calc!$E$356-500)))=0,"",INDEX('My equipment'!$Y$4:$Y$503,(_calc!$E$356-500)))))))</f>
        <v/>
      </c>
      <c r="G354" s="54">
        <f>IF(_calc!$E$356="","",IF(_calc!$E$356&lt;=500,"",IF(LEN(INDEX('My equipment'!$X$4:$X$503,(_calc!$E$356-500)))=0,"",INDEX('My equipment'!$X$4:$X$503,(_calc!$E$356-500)))))</f>
        <v/>
      </c>
      <c r="K354" s="54">
        <f>IF(_calc!$E$356="","",IF(_calc!$E$356&lt;=500,"",IF(LEN(INDEX('My equipment'!$T$4:$T$503,(_calc!$E$356-500)))=0,"",INDEX('My equipment'!$T$4:$T$503,(_calc!$E$356-500)))))</f>
        <v/>
      </c>
    </row>
    <row r="355">
      <c r="A355" s="54">
        <f>IF(_calc!$E$357="","",IF(_calc!$E$357&lt;=500,"Warranty – "&amp;IF(LEN(INDEX('Dealer pipeline'!$C$4:$C$503,_calc!$E$357))=0,"",INDEX('Dealer pipeline'!$C$4:$C$503,_calc!$E$357))&amp;" – "&amp;IF(LEN(INDEX('Dealer pipeline'!$D$4:$D$503,_calc!$E$357))=0,"",INDEX('Dealer pipeline'!$D$4:$D$503,_calc!$E$357))&amp;" – "&amp;IF(LEN(INDEX('Dealer pipeline'!$A$4:$A$503,_calc!$E$357))=0,"",INDEX('Dealer pipeline'!$A$4:$A$503,_calc!$E$357)),"Warranty – "&amp;IF(LEN(INDEX('My equipment'!$A$4:$A$503,(_calc!$E$357-500)))=0,"",INDEX('My equipment'!$A$4:$A$503,(_calc!$E$357-500)))&amp;" – "&amp;IF(LEN(INDEX('My equipment'!$D$4:$D$503,(_calc!$E$357-500)))=0,"",INDEX('My equipment'!$D$4:$D$503,(_calc!$E$357-500)))))</f>
        <v/>
      </c>
      <c r="B355" s="54">
        <f>IF(_calc!$E$357="","",IF(_calc!$E$357&lt;=500,IF(ISNUMBER(INDEX('Dealer pipeline'!$M$4:$M$503,_calc!$E$357)),TEXT(INDEX('Dealer pipeline'!$M$4:$M$503,_calc!$E$357),"yyyy-mm-dd"),""),IF(ISNUMBER(INDEX('My equipment'!$M$4:$M$503,(_calc!$E$357-500))),TEXT(INDEX('My equipment'!$M$4:$M$503,(_calc!$E$357-500)),"yyyy-mm-dd"),"")))</f>
        <v/>
      </c>
      <c r="C355" s="54">
        <f>IF(_calc!$E$357="","",IF(_calc!$E$357&lt;=500,"Warranty","Warranty"))</f>
        <v/>
      </c>
      <c r="D355" s="54">
        <f>IF(_calc!$E$357="","",IF(_calc!$E$357&lt;=500,IF(ISNUMBER(INDEX('Dealer pipeline'!$H$4:$H$503,_calc!$E$357)),TEXT(INDEX('Dealer pipeline'!$H$4:$H$503,_calc!$E$357),"yyyy-mm-dd"),""),IF(ISNUMBER(INDEX('My equipment'!$H$4:$H$503,(_calc!$E$357-500))),TEXT(INDEX('My equipment'!$H$4:$H$503,(_calc!$E$357-500)),"yyyy-mm-dd"),"")))</f>
        <v/>
      </c>
      <c r="F355" s="54">
        <f>IF(_calc!$E$357="","",IF(_calc!$E$357&lt;=500,TRIM(IF(LEN(IF(LEN(INDEX('Dealer pipeline'!$A$4:$A$503,_calc!$E$357))=0,"",INDEX('Dealer pipeline'!$A$4:$A$503,_calc!$E$357)))=0,"","Customer: "&amp;IF(LEN(INDEX('Dealer pipeline'!$A$4:$A$503,_calc!$E$357))=0,"",INDEX('Dealer pipeline'!$A$4:$A$503,_calc!$E$357))&amp;". ")&amp;IF(LEN(IF(LEN(INDEX('Dealer pipeline'!$B$4:$B$503,_calc!$E$357))=0,"",INDEX('Dealer pipeline'!$B$4:$B$503,_calc!$E$357)))=0,"","Contact: "&amp;IF(LEN(INDEX('Dealer pipeline'!$B$4:$B$503,_calc!$E$357))=0,"",INDEX('Dealer pipeline'!$B$4:$B$503,_calc!$E$357))&amp;". ")&amp;IF(LEN(IF(LEN(INDEX('Dealer pipeline'!$D$4:$D$503,_calc!$E$357))=0,"",INDEX('Dealer pipeline'!$D$4:$D$503,_calc!$E$357)))=0,"","Serial: "&amp;IF(LEN(INDEX('Dealer pipeline'!$D$4:$D$503,_calc!$E$357))=0,"",INDEX('Dealer pipeline'!$D$4:$D$503,_calc!$E$357))&amp;". ")&amp;IF(LEN(IF(ISNUMBER(INDEX('Dealer pipeline'!$J$4:$J$503,_calc!$E$357)),TEXT(INDEX('Dealer pipeline'!$J$4:$J$503,_calc!$E$357),"yyyy-mm-dd"),""))=0,"","Parts end: "&amp;IF(ISNUMBER(INDEX('Dealer pipeline'!$J$4:$J$503,_calc!$E$357)),TEXT(INDEX('Dealer pipeline'!$J$4:$J$503,_calc!$E$357),"yyyy-mm-dd"),"")&amp;". ")&amp;IF(LEN(IF(ISNUMBER(INDEX('Dealer pipeline'!$L$4:$L$503,_calc!$E$357)),TEXT(INDEX('Dealer pipeline'!$L$4:$L$503,_calc!$E$357),"yyyy-mm-dd"),""))=0,"","Labor end: "&amp;IF(ISNUMBER(INDEX('Dealer pipeline'!$L$4:$L$503,_calc!$E$357)),TEXT(INDEX('Dealer pipeline'!$L$4:$L$503,_calc!$E$357),"yyyy-mm-dd"),"")&amp;". ")&amp;IF(LEN(IF(LEN(INDEX('Dealer pipeline'!$Q$4:$Q$503,_calc!$E$357))=0,"",INDEX('Dealer pipeline'!$Q$4:$Q$503,_calc!$E$357)))=0,"","Status: "&amp;IF(LEN(INDEX('Dealer pipeline'!$Q$4:$Q$503,_calc!$E$357))=0,"",INDEX('Dealer pipeline'!$Q$4:$Q$503,_calc!$E$357))&amp;". ")&amp;IF(LEN(IF(LEN(INDEX('Dealer pipeline'!$P$4:$P$503,_calc!$E$357))=0,"",INDEX('Dealer pipeline'!$P$4:$P$503,_calc!$E$357)))=0,"","Last touch: "&amp;IF(LEN(INDEX('Dealer pipeline'!$P$4:$P$503,_calc!$E$357))=0,"",INDEX('Dealer pipeline'!$P$4:$P$503,_calc!$E$357))&amp;". ")&amp;IF(LEN(IF(LEN(INDEX('Dealer pipeline'!$R$4:$R$503,_calc!$E$357))=0,"",INDEX('Dealer pipeline'!$R$4:$R$503,_calc!$E$357)))=0,"","Owner: "&amp;IF(LEN(INDEX('Dealer pipeline'!$R$4:$R$503,_calc!$E$357))=0,"",INDEX('Dealer pipeline'!$R$4:$R$503,_calc!$E$357))&amp;". ")&amp;IF(LEN(IF(LEN(INDEX('Dealer pipeline'!$S$4:$S$503,_calc!$E$357))=0,"",INDEX('Dealer pipeline'!$S$4:$S$503,_calc!$E$357)))=0,"","Backup: "&amp;IF(LEN(INDEX('Dealer pipeline'!$S$4:$S$503,_calc!$E$357))=0,"",INDEX('Dealer pipeline'!$S$4:$S$503,_calc!$E$357))&amp;". ")&amp;IF(LEN(IF(LEN(INDEX('Dealer pipeline'!$T$4:$T$503,_calc!$E$357))=0,"",INDEX('Dealer pipeline'!$T$4:$T$503,_calc!$E$357)))=0,"",IF(LEN(INDEX('Dealer pipeline'!$T$4:$T$503,_calc!$E$357))=0,"",INDEX('Dealer pipeline'!$T$4:$T$503,_calc!$E$357)))),TRIM(IF(LEN(IF(LEN(INDEX('My equipment'!$C$4:$C$503,(_calc!$E$357-500)))=0,"",INDEX('My equipment'!$C$4:$C$503,(_calc!$E$357-500))))=0,"","Model: "&amp;IF(LEN(INDEX('My equipment'!$C$4:$C$503,(_calc!$E$357-500)))=0,"",INDEX('My equipment'!$C$4:$C$503,(_calc!$E$357-500)))&amp;". ")&amp;IF(LEN(IF(LEN(INDEX('My equipment'!$D$4:$D$503,(_calc!$E$357-500)))=0,"",INDEX('My equipment'!$D$4:$D$503,(_calc!$E$357-500))))=0,"","Serial: "&amp;IF(LEN(INDEX('My equipment'!$D$4:$D$503,(_calc!$E$357-500)))=0,"",INDEX('My equipment'!$D$4:$D$503,(_calc!$E$357-500)))&amp;". ")&amp;IF(LEN(IF(ISNUMBER(INDEX('My equipment'!$J$4:$J$503,(_calc!$E$357-500))),TEXT(INDEX('My equipment'!$J$4:$J$503,(_calc!$E$357-500)),"yyyy-mm-dd"),""))=0,"","Parts end: "&amp;IF(ISNUMBER(INDEX('My equipment'!$J$4:$J$503,(_calc!$E$357-500))),TEXT(INDEX('My equipment'!$J$4:$J$503,(_calc!$E$357-500)),"yyyy-mm-dd"),"")&amp;". ")&amp;IF(LEN(IF(ISNUMBER(INDEX('My equipment'!$L$4:$L$503,(_calc!$E$357-500))),TEXT(INDEX('My equipment'!$L$4:$L$503,(_calc!$E$357-500)),"yyyy-mm-dd"),""))=0,"","Labor end: "&amp;IF(ISNUMBER(INDEX('My equipment'!$L$4:$L$503,(_calc!$E$357-500))),TEXT(INDEX('My equipment'!$L$4:$L$503,(_calc!$E$357-500)),"yyyy-mm-dd"),"")&amp;". ")&amp;IF(LEN(IF(ISNUMBER(INDEX('My equipment'!$P$4:$P$503,(_calc!$E$357-500))),TEXT(INDEX('My equipment'!$P$4:$P$503,(_calc!$E$357-500)),"yyyy-mm-dd"),""))=0,"","Check by: "&amp;IF(ISNUMBER(INDEX('My equipment'!$P$4:$P$503,(_calc!$E$357-500))),TEXT(INDEX('My equipment'!$P$4:$P$503,(_calc!$E$357-500)),"yyyy-mm-dd"),"")&amp;". ")&amp;IF(LEN(IF(LEN(INDEX('My equipment'!$Q$4:$Q$503,(_calc!$E$357-500)))=0,"",INDEX('My equipment'!$Q$4:$Q$503,(_calc!$E$357-500))))=0,"","Claim status: "&amp;IF(LEN(INDEX('My equipment'!$Q$4:$Q$503,(_calc!$E$357-500)))=0,"",INDEX('My equipment'!$Q$4:$Q$503,(_calc!$E$357-500)))&amp;". ")&amp;IF(LEN(IF(LEN(INDEX('My equipment'!$R$4:$R$503,(_calc!$E$357-500)))=0,"",INDEX('My equipment'!$R$4:$R$503,(_calc!$E$357-500))))=0,"","Claims contact: "&amp;IF(LEN(INDEX('My equipment'!$R$4:$R$503,(_calc!$E$357-500)))=0,"",INDEX('My equipment'!$R$4:$R$503,(_calc!$E$357-500)))&amp;". ")&amp;IF(LEN(IF(LEN(INDEX('My equipment'!$S$4:$S$503,(_calc!$E$357-500)))=0,"",INDEX('My equipment'!$S$4:$S$503,(_calc!$E$357-500))))=0,"","Claims email: "&amp;IF(LEN(INDEX('My equipment'!$S$4:$S$503,(_calc!$E$357-500)))=0,"",INDEX('My equipment'!$S$4:$S$503,(_calc!$E$357-500)))&amp;". ")&amp;IF(LEN(IF(LEN(INDEX('My equipment'!$U$4:$U$503,(_calc!$E$357-500)))=0,"",INDEX('My equipment'!$U$4:$U$503,(_calc!$E$357-500))))=0,"","Registered: "&amp;IF(LEN(INDEX('My equipment'!$U$4:$U$503,(_calc!$E$357-500)))=0,"",INDEX('My equipment'!$U$4:$U$503,(_calc!$E$357-500)))&amp;". ")&amp;IF(LEN(IF(LEN(INDEX('My equipment'!$V$4:$V$503,(_calc!$E$357-500)))=0,"",INDEX('My equipment'!$V$4:$V$503,(_calc!$E$357-500))))=0,"","Proof on file: "&amp;IF(LEN(INDEX('My equipment'!$V$4:$V$503,(_calc!$E$357-500)))=0,"",INDEX('My equipment'!$V$4:$V$503,(_calc!$E$357-500)))&amp;". ")&amp;IF(LEN(IF(LEN(INDEX('My equipment'!$W$4:$W$503,(_calc!$E$357-500)))=0,"",INDEX('My equipment'!$W$4:$W$503,(_calc!$E$357-500))))=0,"","Claim ref: "&amp;IF(LEN(INDEX('My equipment'!$W$4:$W$503,(_calc!$E$357-500)))=0,"",INDEX('My equipment'!$W$4:$W$503,(_calc!$E$357-500)))&amp;". ")&amp;IF(LEN(IF(LEN(INDEX('My equipment'!$Y$4:$Y$503,(_calc!$E$357-500)))=0,"",INDEX('My equipment'!$Y$4:$Y$503,(_calc!$E$357-500))))=0,"",IF(LEN(INDEX('My equipment'!$Y$4:$Y$503,(_calc!$E$357-500)))=0,"",INDEX('My equipment'!$Y$4:$Y$503,(_calc!$E$357-500)))))))</f>
        <v/>
      </c>
      <c r="G355" s="54">
        <f>IF(_calc!$E$357="","",IF(_calc!$E$357&lt;=500,"",IF(LEN(INDEX('My equipment'!$X$4:$X$503,(_calc!$E$357-500)))=0,"",INDEX('My equipment'!$X$4:$X$503,(_calc!$E$357-500)))))</f>
        <v/>
      </c>
      <c r="K355" s="54">
        <f>IF(_calc!$E$357="","",IF(_calc!$E$357&lt;=500,"",IF(LEN(INDEX('My equipment'!$T$4:$T$503,(_calc!$E$357-500)))=0,"",INDEX('My equipment'!$T$4:$T$503,(_calc!$E$357-500)))))</f>
        <v/>
      </c>
    </row>
    <row r="356">
      <c r="A356" s="54">
        <f>IF(_calc!$E$358="","",IF(_calc!$E$358&lt;=500,"Warranty – "&amp;IF(LEN(INDEX('Dealer pipeline'!$C$4:$C$503,_calc!$E$358))=0,"",INDEX('Dealer pipeline'!$C$4:$C$503,_calc!$E$358))&amp;" – "&amp;IF(LEN(INDEX('Dealer pipeline'!$D$4:$D$503,_calc!$E$358))=0,"",INDEX('Dealer pipeline'!$D$4:$D$503,_calc!$E$358))&amp;" – "&amp;IF(LEN(INDEX('Dealer pipeline'!$A$4:$A$503,_calc!$E$358))=0,"",INDEX('Dealer pipeline'!$A$4:$A$503,_calc!$E$358)),"Warranty – "&amp;IF(LEN(INDEX('My equipment'!$A$4:$A$503,(_calc!$E$358-500)))=0,"",INDEX('My equipment'!$A$4:$A$503,(_calc!$E$358-500)))&amp;" – "&amp;IF(LEN(INDEX('My equipment'!$D$4:$D$503,(_calc!$E$358-500)))=0,"",INDEX('My equipment'!$D$4:$D$503,(_calc!$E$358-500)))))</f>
        <v/>
      </c>
      <c r="B356" s="54">
        <f>IF(_calc!$E$358="","",IF(_calc!$E$358&lt;=500,IF(ISNUMBER(INDEX('Dealer pipeline'!$M$4:$M$503,_calc!$E$358)),TEXT(INDEX('Dealer pipeline'!$M$4:$M$503,_calc!$E$358),"yyyy-mm-dd"),""),IF(ISNUMBER(INDEX('My equipment'!$M$4:$M$503,(_calc!$E$358-500))),TEXT(INDEX('My equipment'!$M$4:$M$503,(_calc!$E$358-500)),"yyyy-mm-dd"),"")))</f>
        <v/>
      </c>
      <c r="C356" s="54">
        <f>IF(_calc!$E$358="","",IF(_calc!$E$358&lt;=500,"Warranty","Warranty"))</f>
        <v/>
      </c>
      <c r="D356" s="54">
        <f>IF(_calc!$E$358="","",IF(_calc!$E$358&lt;=500,IF(ISNUMBER(INDEX('Dealer pipeline'!$H$4:$H$503,_calc!$E$358)),TEXT(INDEX('Dealer pipeline'!$H$4:$H$503,_calc!$E$358),"yyyy-mm-dd"),""),IF(ISNUMBER(INDEX('My equipment'!$H$4:$H$503,(_calc!$E$358-500))),TEXT(INDEX('My equipment'!$H$4:$H$503,(_calc!$E$358-500)),"yyyy-mm-dd"),"")))</f>
        <v/>
      </c>
      <c r="F356" s="54">
        <f>IF(_calc!$E$358="","",IF(_calc!$E$358&lt;=500,TRIM(IF(LEN(IF(LEN(INDEX('Dealer pipeline'!$A$4:$A$503,_calc!$E$358))=0,"",INDEX('Dealer pipeline'!$A$4:$A$503,_calc!$E$358)))=0,"","Customer: "&amp;IF(LEN(INDEX('Dealer pipeline'!$A$4:$A$503,_calc!$E$358))=0,"",INDEX('Dealer pipeline'!$A$4:$A$503,_calc!$E$358))&amp;". ")&amp;IF(LEN(IF(LEN(INDEX('Dealer pipeline'!$B$4:$B$503,_calc!$E$358))=0,"",INDEX('Dealer pipeline'!$B$4:$B$503,_calc!$E$358)))=0,"","Contact: "&amp;IF(LEN(INDEX('Dealer pipeline'!$B$4:$B$503,_calc!$E$358))=0,"",INDEX('Dealer pipeline'!$B$4:$B$503,_calc!$E$358))&amp;". ")&amp;IF(LEN(IF(LEN(INDEX('Dealer pipeline'!$D$4:$D$503,_calc!$E$358))=0,"",INDEX('Dealer pipeline'!$D$4:$D$503,_calc!$E$358)))=0,"","Serial: "&amp;IF(LEN(INDEX('Dealer pipeline'!$D$4:$D$503,_calc!$E$358))=0,"",INDEX('Dealer pipeline'!$D$4:$D$503,_calc!$E$358))&amp;". ")&amp;IF(LEN(IF(ISNUMBER(INDEX('Dealer pipeline'!$J$4:$J$503,_calc!$E$358)),TEXT(INDEX('Dealer pipeline'!$J$4:$J$503,_calc!$E$358),"yyyy-mm-dd"),""))=0,"","Parts end: "&amp;IF(ISNUMBER(INDEX('Dealer pipeline'!$J$4:$J$503,_calc!$E$358)),TEXT(INDEX('Dealer pipeline'!$J$4:$J$503,_calc!$E$358),"yyyy-mm-dd"),"")&amp;". ")&amp;IF(LEN(IF(ISNUMBER(INDEX('Dealer pipeline'!$L$4:$L$503,_calc!$E$358)),TEXT(INDEX('Dealer pipeline'!$L$4:$L$503,_calc!$E$358),"yyyy-mm-dd"),""))=0,"","Labor end: "&amp;IF(ISNUMBER(INDEX('Dealer pipeline'!$L$4:$L$503,_calc!$E$358)),TEXT(INDEX('Dealer pipeline'!$L$4:$L$503,_calc!$E$358),"yyyy-mm-dd"),"")&amp;". ")&amp;IF(LEN(IF(LEN(INDEX('Dealer pipeline'!$Q$4:$Q$503,_calc!$E$358))=0,"",INDEX('Dealer pipeline'!$Q$4:$Q$503,_calc!$E$358)))=0,"","Status: "&amp;IF(LEN(INDEX('Dealer pipeline'!$Q$4:$Q$503,_calc!$E$358))=0,"",INDEX('Dealer pipeline'!$Q$4:$Q$503,_calc!$E$358))&amp;". ")&amp;IF(LEN(IF(LEN(INDEX('Dealer pipeline'!$P$4:$P$503,_calc!$E$358))=0,"",INDEX('Dealer pipeline'!$P$4:$P$503,_calc!$E$358)))=0,"","Last touch: "&amp;IF(LEN(INDEX('Dealer pipeline'!$P$4:$P$503,_calc!$E$358))=0,"",INDEX('Dealer pipeline'!$P$4:$P$503,_calc!$E$358))&amp;". ")&amp;IF(LEN(IF(LEN(INDEX('Dealer pipeline'!$R$4:$R$503,_calc!$E$358))=0,"",INDEX('Dealer pipeline'!$R$4:$R$503,_calc!$E$358)))=0,"","Owner: "&amp;IF(LEN(INDEX('Dealer pipeline'!$R$4:$R$503,_calc!$E$358))=0,"",INDEX('Dealer pipeline'!$R$4:$R$503,_calc!$E$358))&amp;". ")&amp;IF(LEN(IF(LEN(INDEX('Dealer pipeline'!$S$4:$S$503,_calc!$E$358))=0,"",INDEX('Dealer pipeline'!$S$4:$S$503,_calc!$E$358)))=0,"","Backup: "&amp;IF(LEN(INDEX('Dealer pipeline'!$S$4:$S$503,_calc!$E$358))=0,"",INDEX('Dealer pipeline'!$S$4:$S$503,_calc!$E$358))&amp;". ")&amp;IF(LEN(IF(LEN(INDEX('Dealer pipeline'!$T$4:$T$503,_calc!$E$358))=0,"",INDEX('Dealer pipeline'!$T$4:$T$503,_calc!$E$358)))=0,"",IF(LEN(INDEX('Dealer pipeline'!$T$4:$T$503,_calc!$E$358))=0,"",INDEX('Dealer pipeline'!$T$4:$T$503,_calc!$E$358)))),TRIM(IF(LEN(IF(LEN(INDEX('My equipment'!$C$4:$C$503,(_calc!$E$358-500)))=0,"",INDEX('My equipment'!$C$4:$C$503,(_calc!$E$358-500))))=0,"","Model: "&amp;IF(LEN(INDEX('My equipment'!$C$4:$C$503,(_calc!$E$358-500)))=0,"",INDEX('My equipment'!$C$4:$C$503,(_calc!$E$358-500)))&amp;". ")&amp;IF(LEN(IF(LEN(INDEX('My equipment'!$D$4:$D$503,(_calc!$E$358-500)))=0,"",INDEX('My equipment'!$D$4:$D$503,(_calc!$E$358-500))))=0,"","Serial: "&amp;IF(LEN(INDEX('My equipment'!$D$4:$D$503,(_calc!$E$358-500)))=0,"",INDEX('My equipment'!$D$4:$D$503,(_calc!$E$358-500)))&amp;". ")&amp;IF(LEN(IF(ISNUMBER(INDEX('My equipment'!$J$4:$J$503,(_calc!$E$358-500))),TEXT(INDEX('My equipment'!$J$4:$J$503,(_calc!$E$358-500)),"yyyy-mm-dd"),""))=0,"","Parts end: "&amp;IF(ISNUMBER(INDEX('My equipment'!$J$4:$J$503,(_calc!$E$358-500))),TEXT(INDEX('My equipment'!$J$4:$J$503,(_calc!$E$358-500)),"yyyy-mm-dd"),"")&amp;". ")&amp;IF(LEN(IF(ISNUMBER(INDEX('My equipment'!$L$4:$L$503,(_calc!$E$358-500))),TEXT(INDEX('My equipment'!$L$4:$L$503,(_calc!$E$358-500)),"yyyy-mm-dd"),""))=0,"","Labor end: "&amp;IF(ISNUMBER(INDEX('My equipment'!$L$4:$L$503,(_calc!$E$358-500))),TEXT(INDEX('My equipment'!$L$4:$L$503,(_calc!$E$358-500)),"yyyy-mm-dd"),"")&amp;". ")&amp;IF(LEN(IF(ISNUMBER(INDEX('My equipment'!$P$4:$P$503,(_calc!$E$358-500))),TEXT(INDEX('My equipment'!$P$4:$P$503,(_calc!$E$358-500)),"yyyy-mm-dd"),""))=0,"","Check by: "&amp;IF(ISNUMBER(INDEX('My equipment'!$P$4:$P$503,(_calc!$E$358-500))),TEXT(INDEX('My equipment'!$P$4:$P$503,(_calc!$E$358-500)),"yyyy-mm-dd"),"")&amp;". ")&amp;IF(LEN(IF(LEN(INDEX('My equipment'!$Q$4:$Q$503,(_calc!$E$358-500)))=0,"",INDEX('My equipment'!$Q$4:$Q$503,(_calc!$E$358-500))))=0,"","Claim status: "&amp;IF(LEN(INDEX('My equipment'!$Q$4:$Q$503,(_calc!$E$358-500)))=0,"",INDEX('My equipment'!$Q$4:$Q$503,(_calc!$E$358-500)))&amp;". ")&amp;IF(LEN(IF(LEN(INDEX('My equipment'!$R$4:$R$503,(_calc!$E$358-500)))=0,"",INDEX('My equipment'!$R$4:$R$503,(_calc!$E$358-500))))=0,"","Claims contact: "&amp;IF(LEN(INDEX('My equipment'!$R$4:$R$503,(_calc!$E$358-500)))=0,"",INDEX('My equipment'!$R$4:$R$503,(_calc!$E$358-500)))&amp;". ")&amp;IF(LEN(IF(LEN(INDEX('My equipment'!$S$4:$S$503,(_calc!$E$358-500)))=0,"",INDEX('My equipment'!$S$4:$S$503,(_calc!$E$358-500))))=0,"","Claims email: "&amp;IF(LEN(INDEX('My equipment'!$S$4:$S$503,(_calc!$E$358-500)))=0,"",INDEX('My equipment'!$S$4:$S$503,(_calc!$E$358-500)))&amp;". ")&amp;IF(LEN(IF(LEN(INDEX('My equipment'!$U$4:$U$503,(_calc!$E$358-500)))=0,"",INDEX('My equipment'!$U$4:$U$503,(_calc!$E$358-500))))=0,"","Registered: "&amp;IF(LEN(INDEX('My equipment'!$U$4:$U$503,(_calc!$E$358-500)))=0,"",INDEX('My equipment'!$U$4:$U$503,(_calc!$E$358-500)))&amp;". ")&amp;IF(LEN(IF(LEN(INDEX('My equipment'!$V$4:$V$503,(_calc!$E$358-500)))=0,"",INDEX('My equipment'!$V$4:$V$503,(_calc!$E$358-500))))=0,"","Proof on file: "&amp;IF(LEN(INDEX('My equipment'!$V$4:$V$503,(_calc!$E$358-500)))=0,"",INDEX('My equipment'!$V$4:$V$503,(_calc!$E$358-500)))&amp;". ")&amp;IF(LEN(IF(LEN(INDEX('My equipment'!$W$4:$W$503,(_calc!$E$358-500)))=0,"",INDEX('My equipment'!$W$4:$W$503,(_calc!$E$358-500))))=0,"","Claim ref: "&amp;IF(LEN(INDEX('My equipment'!$W$4:$W$503,(_calc!$E$358-500)))=0,"",INDEX('My equipment'!$W$4:$W$503,(_calc!$E$358-500)))&amp;". ")&amp;IF(LEN(IF(LEN(INDEX('My equipment'!$Y$4:$Y$503,(_calc!$E$358-500)))=0,"",INDEX('My equipment'!$Y$4:$Y$503,(_calc!$E$358-500))))=0,"",IF(LEN(INDEX('My equipment'!$Y$4:$Y$503,(_calc!$E$358-500)))=0,"",INDEX('My equipment'!$Y$4:$Y$503,(_calc!$E$358-500)))))))</f>
        <v/>
      </c>
      <c r="G356" s="54">
        <f>IF(_calc!$E$358="","",IF(_calc!$E$358&lt;=500,"",IF(LEN(INDEX('My equipment'!$X$4:$X$503,(_calc!$E$358-500)))=0,"",INDEX('My equipment'!$X$4:$X$503,(_calc!$E$358-500)))))</f>
        <v/>
      </c>
      <c r="K356" s="54">
        <f>IF(_calc!$E$358="","",IF(_calc!$E$358&lt;=500,"",IF(LEN(INDEX('My equipment'!$T$4:$T$503,(_calc!$E$358-500)))=0,"",INDEX('My equipment'!$T$4:$T$503,(_calc!$E$358-500)))))</f>
        <v/>
      </c>
    </row>
    <row r="357">
      <c r="A357" s="54">
        <f>IF(_calc!$E$359="","",IF(_calc!$E$359&lt;=500,"Warranty – "&amp;IF(LEN(INDEX('Dealer pipeline'!$C$4:$C$503,_calc!$E$359))=0,"",INDEX('Dealer pipeline'!$C$4:$C$503,_calc!$E$359))&amp;" – "&amp;IF(LEN(INDEX('Dealer pipeline'!$D$4:$D$503,_calc!$E$359))=0,"",INDEX('Dealer pipeline'!$D$4:$D$503,_calc!$E$359))&amp;" – "&amp;IF(LEN(INDEX('Dealer pipeline'!$A$4:$A$503,_calc!$E$359))=0,"",INDEX('Dealer pipeline'!$A$4:$A$503,_calc!$E$359)),"Warranty – "&amp;IF(LEN(INDEX('My equipment'!$A$4:$A$503,(_calc!$E$359-500)))=0,"",INDEX('My equipment'!$A$4:$A$503,(_calc!$E$359-500)))&amp;" – "&amp;IF(LEN(INDEX('My equipment'!$D$4:$D$503,(_calc!$E$359-500)))=0,"",INDEX('My equipment'!$D$4:$D$503,(_calc!$E$359-500)))))</f>
        <v/>
      </c>
      <c r="B357" s="54">
        <f>IF(_calc!$E$359="","",IF(_calc!$E$359&lt;=500,IF(ISNUMBER(INDEX('Dealer pipeline'!$M$4:$M$503,_calc!$E$359)),TEXT(INDEX('Dealer pipeline'!$M$4:$M$503,_calc!$E$359),"yyyy-mm-dd"),""),IF(ISNUMBER(INDEX('My equipment'!$M$4:$M$503,(_calc!$E$359-500))),TEXT(INDEX('My equipment'!$M$4:$M$503,(_calc!$E$359-500)),"yyyy-mm-dd"),"")))</f>
        <v/>
      </c>
      <c r="C357" s="54">
        <f>IF(_calc!$E$359="","",IF(_calc!$E$359&lt;=500,"Warranty","Warranty"))</f>
        <v/>
      </c>
      <c r="D357" s="54">
        <f>IF(_calc!$E$359="","",IF(_calc!$E$359&lt;=500,IF(ISNUMBER(INDEX('Dealer pipeline'!$H$4:$H$503,_calc!$E$359)),TEXT(INDEX('Dealer pipeline'!$H$4:$H$503,_calc!$E$359),"yyyy-mm-dd"),""),IF(ISNUMBER(INDEX('My equipment'!$H$4:$H$503,(_calc!$E$359-500))),TEXT(INDEX('My equipment'!$H$4:$H$503,(_calc!$E$359-500)),"yyyy-mm-dd"),"")))</f>
        <v/>
      </c>
      <c r="F357" s="54">
        <f>IF(_calc!$E$359="","",IF(_calc!$E$359&lt;=500,TRIM(IF(LEN(IF(LEN(INDEX('Dealer pipeline'!$A$4:$A$503,_calc!$E$359))=0,"",INDEX('Dealer pipeline'!$A$4:$A$503,_calc!$E$359)))=0,"","Customer: "&amp;IF(LEN(INDEX('Dealer pipeline'!$A$4:$A$503,_calc!$E$359))=0,"",INDEX('Dealer pipeline'!$A$4:$A$503,_calc!$E$359))&amp;". ")&amp;IF(LEN(IF(LEN(INDEX('Dealer pipeline'!$B$4:$B$503,_calc!$E$359))=0,"",INDEX('Dealer pipeline'!$B$4:$B$503,_calc!$E$359)))=0,"","Contact: "&amp;IF(LEN(INDEX('Dealer pipeline'!$B$4:$B$503,_calc!$E$359))=0,"",INDEX('Dealer pipeline'!$B$4:$B$503,_calc!$E$359))&amp;". ")&amp;IF(LEN(IF(LEN(INDEX('Dealer pipeline'!$D$4:$D$503,_calc!$E$359))=0,"",INDEX('Dealer pipeline'!$D$4:$D$503,_calc!$E$359)))=0,"","Serial: "&amp;IF(LEN(INDEX('Dealer pipeline'!$D$4:$D$503,_calc!$E$359))=0,"",INDEX('Dealer pipeline'!$D$4:$D$503,_calc!$E$359))&amp;". ")&amp;IF(LEN(IF(ISNUMBER(INDEX('Dealer pipeline'!$J$4:$J$503,_calc!$E$359)),TEXT(INDEX('Dealer pipeline'!$J$4:$J$503,_calc!$E$359),"yyyy-mm-dd"),""))=0,"","Parts end: "&amp;IF(ISNUMBER(INDEX('Dealer pipeline'!$J$4:$J$503,_calc!$E$359)),TEXT(INDEX('Dealer pipeline'!$J$4:$J$503,_calc!$E$359),"yyyy-mm-dd"),"")&amp;". ")&amp;IF(LEN(IF(ISNUMBER(INDEX('Dealer pipeline'!$L$4:$L$503,_calc!$E$359)),TEXT(INDEX('Dealer pipeline'!$L$4:$L$503,_calc!$E$359),"yyyy-mm-dd"),""))=0,"","Labor end: "&amp;IF(ISNUMBER(INDEX('Dealer pipeline'!$L$4:$L$503,_calc!$E$359)),TEXT(INDEX('Dealer pipeline'!$L$4:$L$503,_calc!$E$359),"yyyy-mm-dd"),"")&amp;". ")&amp;IF(LEN(IF(LEN(INDEX('Dealer pipeline'!$Q$4:$Q$503,_calc!$E$359))=0,"",INDEX('Dealer pipeline'!$Q$4:$Q$503,_calc!$E$359)))=0,"","Status: "&amp;IF(LEN(INDEX('Dealer pipeline'!$Q$4:$Q$503,_calc!$E$359))=0,"",INDEX('Dealer pipeline'!$Q$4:$Q$503,_calc!$E$359))&amp;". ")&amp;IF(LEN(IF(LEN(INDEX('Dealer pipeline'!$P$4:$P$503,_calc!$E$359))=0,"",INDEX('Dealer pipeline'!$P$4:$P$503,_calc!$E$359)))=0,"","Last touch: "&amp;IF(LEN(INDEX('Dealer pipeline'!$P$4:$P$503,_calc!$E$359))=0,"",INDEX('Dealer pipeline'!$P$4:$P$503,_calc!$E$359))&amp;". ")&amp;IF(LEN(IF(LEN(INDEX('Dealer pipeline'!$R$4:$R$503,_calc!$E$359))=0,"",INDEX('Dealer pipeline'!$R$4:$R$503,_calc!$E$359)))=0,"","Owner: "&amp;IF(LEN(INDEX('Dealer pipeline'!$R$4:$R$503,_calc!$E$359))=0,"",INDEX('Dealer pipeline'!$R$4:$R$503,_calc!$E$359))&amp;". ")&amp;IF(LEN(IF(LEN(INDEX('Dealer pipeline'!$S$4:$S$503,_calc!$E$359))=0,"",INDEX('Dealer pipeline'!$S$4:$S$503,_calc!$E$359)))=0,"","Backup: "&amp;IF(LEN(INDEX('Dealer pipeline'!$S$4:$S$503,_calc!$E$359))=0,"",INDEX('Dealer pipeline'!$S$4:$S$503,_calc!$E$359))&amp;". ")&amp;IF(LEN(IF(LEN(INDEX('Dealer pipeline'!$T$4:$T$503,_calc!$E$359))=0,"",INDEX('Dealer pipeline'!$T$4:$T$503,_calc!$E$359)))=0,"",IF(LEN(INDEX('Dealer pipeline'!$T$4:$T$503,_calc!$E$359))=0,"",INDEX('Dealer pipeline'!$T$4:$T$503,_calc!$E$359)))),TRIM(IF(LEN(IF(LEN(INDEX('My equipment'!$C$4:$C$503,(_calc!$E$359-500)))=0,"",INDEX('My equipment'!$C$4:$C$503,(_calc!$E$359-500))))=0,"","Model: "&amp;IF(LEN(INDEX('My equipment'!$C$4:$C$503,(_calc!$E$359-500)))=0,"",INDEX('My equipment'!$C$4:$C$503,(_calc!$E$359-500)))&amp;". ")&amp;IF(LEN(IF(LEN(INDEX('My equipment'!$D$4:$D$503,(_calc!$E$359-500)))=0,"",INDEX('My equipment'!$D$4:$D$503,(_calc!$E$359-500))))=0,"","Serial: "&amp;IF(LEN(INDEX('My equipment'!$D$4:$D$503,(_calc!$E$359-500)))=0,"",INDEX('My equipment'!$D$4:$D$503,(_calc!$E$359-500)))&amp;". ")&amp;IF(LEN(IF(ISNUMBER(INDEX('My equipment'!$J$4:$J$503,(_calc!$E$359-500))),TEXT(INDEX('My equipment'!$J$4:$J$503,(_calc!$E$359-500)),"yyyy-mm-dd"),""))=0,"","Parts end: "&amp;IF(ISNUMBER(INDEX('My equipment'!$J$4:$J$503,(_calc!$E$359-500))),TEXT(INDEX('My equipment'!$J$4:$J$503,(_calc!$E$359-500)),"yyyy-mm-dd"),"")&amp;". ")&amp;IF(LEN(IF(ISNUMBER(INDEX('My equipment'!$L$4:$L$503,(_calc!$E$359-500))),TEXT(INDEX('My equipment'!$L$4:$L$503,(_calc!$E$359-500)),"yyyy-mm-dd"),""))=0,"","Labor end: "&amp;IF(ISNUMBER(INDEX('My equipment'!$L$4:$L$503,(_calc!$E$359-500))),TEXT(INDEX('My equipment'!$L$4:$L$503,(_calc!$E$359-500)),"yyyy-mm-dd"),"")&amp;". ")&amp;IF(LEN(IF(ISNUMBER(INDEX('My equipment'!$P$4:$P$503,(_calc!$E$359-500))),TEXT(INDEX('My equipment'!$P$4:$P$503,(_calc!$E$359-500)),"yyyy-mm-dd"),""))=0,"","Check by: "&amp;IF(ISNUMBER(INDEX('My equipment'!$P$4:$P$503,(_calc!$E$359-500))),TEXT(INDEX('My equipment'!$P$4:$P$503,(_calc!$E$359-500)),"yyyy-mm-dd"),"")&amp;". ")&amp;IF(LEN(IF(LEN(INDEX('My equipment'!$Q$4:$Q$503,(_calc!$E$359-500)))=0,"",INDEX('My equipment'!$Q$4:$Q$503,(_calc!$E$359-500))))=0,"","Claim status: "&amp;IF(LEN(INDEX('My equipment'!$Q$4:$Q$503,(_calc!$E$359-500)))=0,"",INDEX('My equipment'!$Q$4:$Q$503,(_calc!$E$359-500)))&amp;". ")&amp;IF(LEN(IF(LEN(INDEX('My equipment'!$R$4:$R$503,(_calc!$E$359-500)))=0,"",INDEX('My equipment'!$R$4:$R$503,(_calc!$E$359-500))))=0,"","Claims contact: "&amp;IF(LEN(INDEX('My equipment'!$R$4:$R$503,(_calc!$E$359-500)))=0,"",INDEX('My equipment'!$R$4:$R$503,(_calc!$E$359-500)))&amp;". ")&amp;IF(LEN(IF(LEN(INDEX('My equipment'!$S$4:$S$503,(_calc!$E$359-500)))=0,"",INDEX('My equipment'!$S$4:$S$503,(_calc!$E$359-500))))=0,"","Claims email: "&amp;IF(LEN(INDEX('My equipment'!$S$4:$S$503,(_calc!$E$359-500)))=0,"",INDEX('My equipment'!$S$4:$S$503,(_calc!$E$359-500)))&amp;". ")&amp;IF(LEN(IF(LEN(INDEX('My equipment'!$U$4:$U$503,(_calc!$E$359-500)))=0,"",INDEX('My equipment'!$U$4:$U$503,(_calc!$E$359-500))))=0,"","Registered: "&amp;IF(LEN(INDEX('My equipment'!$U$4:$U$503,(_calc!$E$359-500)))=0,"",INDEX('My equipment'!$U$4:$U$503,(_calc!$E$359-500)))&amp;". ")&amp;IF(LEN(IF(LEN(INDEX('My equipment'!$V$4:$V$503,(_calc!$E$359-500)))=0,"",INDEX('My equipment'!$V$4:$V$503,(_calc!$E$359-500))))=0,"","Proof on file: "&amp;IF(LEN(INDEX('My equipment'!$V$4:$V$503,(_calc!$E$359-500)))=0,"",INDEX('My equipment'!$V$4:$V$503,(_calc!$E$359-500)))&amp;". ")&amp;IF(LEN(IF(LEN(INDEX('My equipment'!$W$4:$W$503,(_calc!$E$359-500)))=0,"",INDEX('My equipment'!$W$4:$W$503,(_calc!$E$359-500))))=0,"","Claim ref: "&amp;IF(LEN(INDEX('My equipment'!$W$4:$W$503,(_calc!$E$359-500)))=0,"",INDEX('My equipment'!$W$4:$W$503,(_calc!$E$359-500)))&amp;". ")&amp;IF(LEN(IF(LEN(INDEX('My equipment'!$Y$4:$Y$503,(_calc!$E$359-500)))=0,"",INDEX('My equipment'!$Y$4:$Y$503,(_calc!$E$359-500))))=0,"",IF(LEN(INDEX('My equipment'!$Y$4:$Y$503,(_calc!$E$359-500)))=0,"",INDEX('My equipment'!$Y$4:$Y$503,(_calc!$E$359-500)))))))</f>
        <v/>
      </c>
      <c r="G357" s="54">
        <f>IF(_calc!$E$359="","",IF(_calc!$E$359&lt;=500,"",IF(LEN(INDEX('My equipment'!$X$4:$X$503,(_calc!$E$359-500)))=0,"",INDEX('My equipment'!$X$4:$X$503,(_calc!$E$359-500)))))</f>
        <v/>
      </c>
      <c r="K357" s="54">
        <f>IF(_calc!$E$359="","",IF(_calc!$E$359&lt;=500,"",IF(LEN(INDEX('My equipment'!$T$4:$T$503,(_calc!$E$359-500)))=0,"",INDEX('My equipment'!$T$4:$T$503,(_calc!$E$359-500)))))</f>
        <v/>
      </c>
    </row>
    <row r="358">
      <c r="A358" s="54">
        <f>IF(_calc!$E$360="","",IF(_calc!$E$360&lt;=500,"Warranty – "&amp;IF(LEN(INDEX('Dealer pipeline'!$C$4:$C$503,_calc!$E$360))=0,"",INDEX('Dealer pipeline'!$C$4:$C$503,_calc!$E$360))&amp;" – "&amp;IF(LEN(INDEX('Dealer pipeline'!$D$4:$D$503,_calc!$E$360))=0,"",INDEX('Dealer pipeline'!$D$4:$D$503,_calc!$E$360))&amp;" – "&amp;IF(LEN(INDEX('Dealer pipeline'!$A$4:$A$503,_calc!$E$360))=0,"",INDEX('Dealer pipeline'!$A$4:$A$503,_calc!$E$360)),"Warranty – "&amp;IF(LEN(INDEX('My equipment'!$A$4:$A$503,(_calc!$E$360-500)))=0,"",INDEX('My equipment'!$A$4:$A$503,(_calc!$E$360-500)))&amp;" – "&amp;IF(LEN(INDEX('My equipment'!$D$4:$D$503,(_calc!$E$360-500)))=0,"",INDEX('My equipment'!$D$4:$D$503,(_calc!$E$360-500)))))</f>
        <v/>
      </c>
      <c r="B358" s="54">
        <f>IF(_calc!$E$360="","",IF(_calc!$E$360&lt;=500,IF(ISNUMBER(INDEX('Dealer pipeline'!$M$4:$M$503,_calc!$E$360)),TEXT(INDEX('Dealer pipeline'!$M$4:$M$503,_calc!$E$360),"yyyy-mm-dd"),""),IF(ISNUMBER(INDEX('My equipment'!$M$4:$M$503,(_calc!$E$360-500))),TEXT(INDEX('My equipment'!$M$4:$M$503,(_calc!$E$360-500)),"yyyy-mm-dd"),"")))</f>
        <v/>
      </c>
      <c r="C358" s="54">
        <f>IF(_calc!$E$360="","",IF(_calc!$E$360&lt;=500,"Warranty","Warranty"))</f>
        <v/>
      </c>
      <c r="D358" s="54">
        <f>IF(_calc!$E$360="","",IF(_calc!$E$360&lt;=500,IF(ISNUMBER(INDEX('Dealer pipeline'!$H$4:$H$503,_calc!$E$360)),TEXT(INDEX('Dealer pipeline'!$H$4:$H$503,_calc!$E$360),"yyyy-mm-dd"),""),IF(ISNUMBER(INDEX('My equipment'!$H$4:$H$503,(_calc!$E$360-500))),TEXT(INDEX('My equipment'!$H$4:$H$503,(_calc!$E$360-500)),"yyyy-mm-dd"),"")))</f>
        <v/>
      </c>
      <c r="F358" s="54">
        <f>IF(_calc!$E$360="","",IF(_calc!$E$360&lt;=500,TRIM(IF(LEN(IF(LEN(INDEX('Dealer pipeline'!$A$4:$A$503,_calc!$E$360))=0,"",INDEX('Dealer pipeline'!$A$4:$A$503,_calc!$E$360)))=0,"","Customer: "&amp;IF(LEN(INDEX('Dealer pipeline'!$A$4:$A$503,_calc!$E$360))=0,"",INDEX('Dealer pipeline'!$A$4:$A$503,_calc!$E$360))&amp;". ")&amp;IF(LEN(IF(LEN(INDEX('Dealer pipeline'!$B$4:$B$503,_calc!$E$360))=0,"",INDEX('Dealer pipeline'!$B$4:$B$503,_calc!$E$360)))=0,"","Contact: "&amp;IF(LEN(INDEX('Dealer pipeline'!$B$4:$B$503,_calc!$E$360))=0,"",INDEX('Dealer pipeline'!$B$4:$B$503,_calc!$E$360))&amp;". ")&amp;IF(LEN(IF(LEN(INDEX('Dealer pipeline'!$D$4:$D$503,_calc!$E$360))=0,"",INDEX('Dealer pipeline'!$D$4:$D$503,_calc!$E$360)))=0,"","Serial: "&amp;IF(LEN(INDEX('Dealer pipeline'!$D$4:$D$503,_calc!$E$360))=0,"",INDEX('Dealer pipeline'!$D$4:$D$503,_calc!$E$360))&amp;". ")&amp;IF(LEN(IF(ISNUMBER(INDEX('Dealer pipeline'!$J$4:$J$503,_calc!$E$360)),TEXT(INDEX('Dealer pipeline'!$J$4:$J$503,_calc!$E$360),"yyyy-mm-dd"),""))=0,"","Parts end: "&amp;IF(ISNUMBER(INDEX('Dealer pipeline'!$J$4:$J$503,_calc!$E$360)),TEXT(INDEX('Dealer pipeline'!$J$4:$J$503,_calc!$E$360),"yyyy-mm-dd"),"")&amp;". ")&amp;IF(LEN(IF(ISNUMBER(INDEX('Dealer pipeline'!$L$4:$L$503,_calc!$E$360)),TEXT(INDEX('Dealer pipeline'!$L$4:$L$503,_calc!$E$360),"yyyy-mm-dd"),""))=0,"","Labor end: "&amp;IF(ISNUMBER(INDEX('Dealer pipeline'!$L$4:$L$503,_calc!$E$360)),TEXT(INDEX('Dealer pipeline'!$L$4:$L$503,_calc!$E$360),"yyyy-mm-dd"),"")&amp;". ")&amp;IF(LEN(IF(LEN(INDEX('Dealer pipeline'!$Q$4:$Q$503,_calc!$E$360))=0,"",INDEX('Dealer pipeline'!$Q$4:$Q$503,_calc!$E$360)))=0,"","Status: "&amp;IF(LEN(INDEX('Dealer pipeline'!$Q$4:$Q$503,_calc!$E$360))=0,"",INDEX('Dealer pipeline'!$Q$4:$Q$503,_calc!$E$360))&amp;". ")&amp;IF(LEN(IF(LEN(INDEX('Dealer pipeline'!$P$4:$P$503,_calc!$E$360))=0,"",INDEX('Dealer pipeline'!$P$4:$P$503,_calc!$E$360)))=0,"","Last touch: "&amp;IF(LEN(INDEX('Dealer pipeline'!$P$4:$P$503,_calc!$E$360))=0,"",INDEX('Dealer pipeline'!$P$4:$P$503,_calc!$E$360))&amp;". ")&amp;IF(LEN(IF(LEN(INDEX('Dealer pipeline'!$R$4:$R$503,_calc!$E$360))=0,"",INDEX('Dealer pipeline'!$R$4:$R$503,_calc!$E$360)))=0,"","Owner: "&amp;IF(LEN(INDEX('Dealer pipeline'!$R$4:$R$503,_calc!$E$360))=0,"",INDEX('Dealer pipeline'!$R$4:$R$503,_calc!$E$360))&amp;". ")&amp;IF(LEN(IF(LEN(INDEX('Dealer pipeline'!$S$4:$S$503,_calc!$E$360))=0,"",INDEX('Dealer pipeline'!$S$4:$S$503,_calc!$E$360)))=0,"","Backup: "&amp;IF(LEN(INDEX('Dealer pipeline'!$S$4:$S$503,_calc!$E$360))=0,"",INDEX('Dealer pipeline'!$S$4:$S$503,_calc!$E$360))&amp;". ")&amp;IF(LEN(IF(LEN(INDEX('Dealer pipeline'!$T$4:$T$503,_calc!$E$360))=0,"",INDEX('Dealer pipeline'!$T$4:$T$503,_calc!$E$360)))=0,"",IF(LEN(INDEX('Dealer pipeline'!$T$4:$T$503,_calc!$E$360))=0,"",INDEX('Dealer pipeline'!$T$4:$T$503,_calc!$E$360)))),TRIM(IF(LEN(IF(LEN(INDEX('My equipment'!$C$4:$C$503,(_calc!$E$360-500)))=0,"",INDEX('My equipment'!$C$4:$C$503,(_calc!$E$360-500))))=0,"","Model: "&amp;IF(LEN(INDEX('My equipment'!$C$4:$C$503,(_calc!$E$360-500)))=0,"",INDEX('My equipment'!$C$4:$C$503,(_calc!$E$360-500)))&amp;". ")&amp;IF(LEN(IF(LEN(INDEX('My equipment'!$D$4:$D$503,(_calc!$E$360-500)))=0,"",INDEX('My equipment'!$D$4:$D$503,(_calc!$E$360-500))))=0,"","Serial: "&amp;IF(LEN(INDEX('My equipment'!$D$4:$D$503,(_calc!$E$360-500)))=0,"",INDEX('My equipment'!$D$4:$D$503,(_calc!$E$360-500)))&amp;". ")&amp;IF(LEN(IF(ISNUMBER(INDEX('My equipment'!$J$4:$J$503,(_calc!$E$360-500))),TEXT(INDEX('My equipment'!$J$4:$J$503,(_calc!$E$360-500)),"yyyy-mm-dd"),""))=0,"","Parts end: "&amp;IF(ISNUMBER(INDEX('My equipment'!$J$4:$J$503,(_calc!$E$360-500))),TEXT(INDEX('My equipment'!$J$4:$J$503,(_calc!$E$360-500)),"yyyy-mm-dd"),"")&amp;". ")&amp;IF(LEN(IF(ISNUMBER(INDEX('My equipment'!$L$4:$L$503,(_calc!$E$360-500))),TEXT(INDEX('My equipment'!$L$4:$L$503,(_calc!$E$360-500)),"yyyy-mm-dd"),""))=0,"","Labor end: "&amp;IF(ISNUMBER(INDEX('My equipment'!$L$4:$L$503,(_calc!$E$360-500))),TEXT(INDEX('My equipment'!$L$4:$L$503,(_calc!$E$360-500)),"yyyy-mm-dd"),"")&amp;". ")&amp;IF(LEN(IF(ISNUMBER(INDEX('My equipment'!$P$4:$P$503,(_calc!$E$360-500))),TEXT(INDEX('My equipment'!$P$4:$P$503,(_calc!$E$360-500)),"yyyy-mm-dd"),""))=0,"","Check by: "&amp;IF(ISNUMBER(INDEX('My equipment'!$P$4:$P$503,(_calc!$E$360-500))),TEXT(INDEX('My equipment'!$P$4:$P$503,(_calc!$E$360-500)),"yyyy-mm-dd"),"")&amp;". ")&amp;IF(LEN(IF(LEN(INDEX('My equipment'!$Q$4:$Q$503,(_calc!$E$360-500)))=0,"",INDEX('My equipment'!$Q$4:$Q$503,(_calc!$E$360-500))))=0,"","Claim status: "&amp;IF(LEN(INDEX('My equipment'!$Q$4:$Q$503,(_calc!$E$360-500)))=0,"",INDEX('My equipment'!$Q$4:$Q$503,(_calc!$E$360-500)))&amp;". ")&amp;IF(LEN(IF(LEN(INDEX('My equipment'!$R$4:$R$503,(_calc!$E$360-500)))=0,"",INDEX('My equipment'!$R$4:$R$503,(_calc!$E$360-500))))=0,"","Claims contact: "&amp;IF(LEN(INDEX('My equipment'!$R$4:$R$503,(_calc!$E$360-500)))=0,"",INDEX('My equipment'!$R$4:$R$503,(_calc!$E$360-500)))&amp;". ")&amp;IF(LEN(IF(LEN(INDEX('My equipment'!$S$4:$S$503,(_calc!$E$360-500)))=0,"",INDEX('My equipment'!$S$4:$S$503,(_calc!$E$360-500))))=0,"","Claims email: "&amp;IF(LEN(INDEX('My equipment'!$S$4:$S$503,(_calc!$E$360-500)))=0,"",INDEX('My equipment'!$S$4:$S$503,(_calc!$E$360-500)))&amp;". ")&amp;IF(LEN(IF(LEN(INDEX('My equipment'!$U$4:$U$503,(_calc!$E$360-500)))=0,"",INDEX('My equipment'!$U$4:$U$503,(_calc!$E$360-500))))=0,"","Registered: "&amp;IF(LEN(INDEX('My equipment'!$U$4:$U$503,(_calc!$E$360-500)))=0,"",INDEX('My equipment'!$U$4:$U$503,(_calc!$E$360-500)))&amp;". ")&amp;IF(LEN(IF(LEN(INDEX('My equipment'!$V$4:$V$503,(_calc!$E$360-500)))=0,"",INDEX('My equipment'!$V$4:$V$503,(_calc!$E$360-500))))=0,"","Proof on file: "&amp;IF(LEN(INDEX('My equipment'!$V$4:$V$503,(_calc!$E$360-500)))=0,"",INDEX('My equipment'!$V$4:$V$503,(_calc!$E$360-500)))&amp;". ")&amp;IF(LEN(IF(LEN(INDEX('My equipment'!$W$4:$W$503,(_calc!$E$360-500)))=0,"",INDEX('My equipment'!$W$4:$W$503,(_calc!$E$360-500))))=0,"","Claim ref: "&amp;IF(LEN(INDEX('My equipment'!$W$4:$W$503,(_calc!$E$360-500)))=0,"",INDEX('My equipment'!$W$4:$W$503,(_calc!$E$360-500)))&amp;". ")&amp;IF(LEN(IF(LEN(INDEX('My equipment'!$Y$4:$Y$503,(_calc!$E$360-500)))=0,"",INDEX('My equipment'!$Y$4:$Y$503,(_calc!$E$360-500))))=0,"",IF(LEN(INDEX('My equipment'!$Y$4:$Y$503,(_calc!$E$360-500)))=0,"",INDEX('My equipment'!$Y$4:$Y$503,(_calc!$E$360-500)))))))</f>
        <v/>
      </c>
      <c r="G358" s="54">
        <f>IF(_calc!$E$360="","",IF(_calc!$E$360&lt;=500,"",IF(LEN(INDEX('My equipment'!$X$4:$X$503,(_calc!$E$360-500)))=0,"",INDEX('My equipment'!$X$4:$X$503,(_calc!$E$360-500)))))</f>
        <v/>
      </c>
      <c r="K358" s="54">
        <f>IF(_calc!$E$360="","",IF(_calc!$E$360&lt;=500,"",IF(LEN(INDEX('My equipment'!$T$4:$T$503,(_calc!$E$360-500)))=0,"",INDEX('My equipment'!$T$4:$T$503,(_calc!$E$360-500)))))</f>
        <v/>
      </c>
    </row>
    <row r="359">
      <c r="A359" s="54">
        <f>IF(_calc!$E$361="","",IF(_calc!$E$361&lt;=500,"Warranty – "&amp;IF(LEN(INDEX('Dealer pipeline'!$C$4:$C$503,_calc!$E$361))=0,"",INDEX('Dealer pipeline'!$C$4:$C$503,_calc!$E$361))&amp;" – "&amp;IF(LEN(INDEX('Dealer pipeline'!$D$4:$D$503,_calc!$E$361))=0,"",INDEX('Dealer pipeline'!$D$4:$D$503,_calc!$E$361))&amp;" – "&amp;IF(LEN(INDEX('Dealer pipeline'!$A$4:$A$503,_calc!$E$361))=0,"",INDEX('Dealer pipeline'!$A$4:$A$503,_calc!$E$361)),"Warranty – "&amp;IF(LEN(INDEX('My equipment'!$A$4:$A$503,(_calc!$E$361-500)))=0,"",INDEX('My equipment'!$A$4:$A$503,(_calc!$E$361-500)))&amp;" – "&amp;IF(LEN(INDEX('My equipment'!$D$4:$D$503,(_calc!$E$361-500)))=0,"",INDEX('My equipment'!$D$4:$D$503,(_calc!$E$361-500)))))</f>
        <v/>
      </c>
      <c r="B359" s="54">
        <f>IF(_calc!$E$361="","",IF(_calc!$E$361&lt;=500,IF(ISNUMBER(INDEX('Dealer pipeline'!$M$4:$M$503,_calc!$E$361)),TEXT(INDEX('Dealer pipeline'!$M$4:$M$503,_calc!$E$361),"yyyy-mm-dd"),""),IF(ISNUMBER(INDEX('My equipment'!$M$4:$M$503,(_calc!$E$361-500))),TEXT(INDEX('My equipment'!$M$4:$M$503,(_calc!$E$361-500)),"yyyy-mm-dd"),"")))</f>
        <v/>
      </c>
      <c r="C359" s="54">
        <f>IF(_calc!$E$361="","",IF(_calc!$E$361&lt;=500,"Warranty","Warranty"))</f>
        <v/>
      </c>
      <c r="D359" s="54">
        <f>IF(_calc!$E$361="","",IF(_calc!$E$361&lt;=500,IF(ISNUMBER(INDEX('Dealer pipeline'!$H$4:$H$503,_calc!$E$361)),TEXT(INDEX('Dealer pipeline'!$H$4:$H$503,_calc!$E$361),"yyyy-mm-dd"),""),IF(ISNUMBER(INDEX('My equipment'!$H$4:$H$503,(_calc!$E$361-500))),TEXT(INDEX('My equipment'!$H$4:$H$503,(_calc!$E$361-500)),"yyyy-mm-dd"),"")))</f>
        <v/>
      </c>
      <c r="F359" s="54">
        <f>IF(_calc!$E$361="","",IF(_calc!$E$361&lt;=500,TRIM(IF(LEN(IF(LEN(INDEX('Dealer pipeline'!$A$4:$A$503,_calc!$E$361))=0,"",INDEX('Dealer pipeline'!$A$4:$A$503,_calc!$E$361)))=0,"","Customer: "&amp;IF(LEN(INDEX('Dealer pipeline'!$A$4:$A$503,_calc!$E$361))=0,"",INDEX('Dealer pipeline'!$A$4:$A$503,_calc!$E$361))&amp;". ")&amp;IF(LEN(IF(LEN(INDEX('Dealer pipeline'!$B$4:$B$503,_calc!$E$361))=0,"",INDEX('Dealer pipeline'!$B$4:$B$503,_calc!$E$361)))=0,"","Contact: "&amp;IF(LEN(INDEX('Dealer pipeline'!$B$4:$B$503,_calc!$E$361))=0,"",INDEX('Dealer pipeline'!$B$4:$B$503,_calc!$E$361))&amp;". ")&amp;IF(LEN(IF(LEN(INDEX('Dealer pipeline'!$D$4:$D$503,_calc!$E$361))=0,"",INDEX('Dealer pipeline'!$D$4:$D$503,_calc!$E$361)))=0,"","Serial: "&amp;IF(LEN(INDEX('Dealer pipeline'!$D$4:$D$503,_calc!$E$361))=0,"",INDEX('Dealer pipeline'!$D$4:$D$503,_calc!$E$361))&amp;". ")&amp;IF(LEN(IF(ISNUMBER(INDEX('Dealer pipeline'!$J$4:$J$503,_calc!$E$361)),TEXT(INDEX('Dealer pipeline'!$J$4:$J$503,_calc!$E$361),"yyyy-mm-dd"),""))=0,"","Parts end: "&amp;IF(ISNUMBER(INDEX('Dealer pipeline'!$J$4:$J$503,_calc!$E$361)),TEXT(INDEX('Dealer pipeline'!$J$4:$J$503,_calc!$E$361),"yyyy-mm-dd"),"")&amp;". ")&amp;IF(LEN(IF(ISNUMBER(INDEX('Dealer pipeline'!$L$4:$L$503,_calc!$E$361)),TEXT(INDEX('Dealer pipeline'!$L$4:$L$503,_calc!$E$361),"yyyy-mm-dd"),""))=0,"","Labor end: "&amp;IF(ISNUMBER(INDEX('Dealer pipeline'!$L$4:$L$503,_calc!$E$361)),TEXT(INDEX('Dealer pipeline'!$L$4:$L$503,_calc!$E$361),"yyyy-mm-dd"),"")&amp;". ")&amp;IF(LEN(IF(LEN(INDEX('Dealer pipeline'!$Q$4:$Q$503,_calc!$E$361))=0,"",INDEX('Dealer pipeline'!$Q$4:$Q$503,_calc!$E$361)))=0,"","Status: "&amp;IF(LEN(INDEX('Dealer pipeline'!$Q$4:$Q$503,_calc!$E$361))=0,"",INDEX('Dealer pipeline'!$Q$4:$Q$503,_calc!$E$361))&amp;". ")&amp;IF(LEN(IF(LEN(INDEX('Dealer pipeline'!$P$4:$P$503,_calc!$E$361))=0,"",INDEX('Dealer pipeline'!$P$4:$P$503,_calc!$E$361)))=0,"","Last touch: "&amp;IF(LEN(INDEX('Dealer pipeline'!$P$4:$P$503,_calc!$E$361))=0,"",INDEX('Dealer pipeline'!$P$4:$P$503,_calc!$E$361))&amp;". ")&amp;IF(LEN(IF(LEN(INDEX('Dealer pipeline'!$R$4:$R$503,_calc!$E$361))=0,"",INDEX('Dealer pipeline'!$R$4:$R$503,_calc!$E$361)))=0,"","Owner: "&amp;IF(LEN(INDEX('Dealer pipeline'!$R$4:$R$503,_calc!$E$361))=0,"",INDEX('Dealer pipeline'!$R$4:$R$503,_calc!$E$361))&amp;". ")&amp;IF(LEN(IF(LEN(INDEX('Dealer pipeline'!$S$4:$S$503,_calc!$E$361))=0,"",INDEX('Dealer pipeline'!$S$4:$S$503,_calc!$E$361)))=0,"","Backup: "&amp;IF(LEN(INDEX('Dealer pipeline'!$S$4:$S$503,_calc!$E$361))=0,"",INDEX('Dealer pipeline'!$S$4:$S$503,_calc!$E$361))&amp;". ")&amp;IF(LEN(IF(LEN(INDEX('Dealer pipeline'!$T$4:$T$503,_calc!$E$361))=0,"",INDEX('Dealer pipeline'!$T$4:$T$503,_calc!$E$361)))=0,"",IF(LEN(INDEX('Dealer pipeline'!$T$4:$T$503,_calc!$E$361))=0,"",INDEX('Dealer pipeline'!$T$4:$T$503,_calc!$E$361)))),TRIM(IF(LEN(IF(LEN(INDEX('My equipment'!$C$4:$C$503,(_calc!$E$361-500)))=0,"",INDEX('My equipment'!$C$4:$C$503,(_calc!$E$361-500))))=0,"","Model: "&amp;IF(LEN(INDEX('My equipment'!$C$4:$C$503,(_calc!$E$361-500)))=0,"",INDEX('My equipment'!$C$4:$C$503,(_calc!$E$361-500)))&amp;". ")&amp;IF(LEN(IF(LEN(INDEX('My equipment'!$D$4:$D$503,(_calc!$E$361-500)))=0,"",INDEX('My equipment'!$D$4:$D$503,(_calc!$E$361-500))))=0,"","Serial: "&amp;IF(LEN(INDEX('My equipment'!$D$4:$D$503,(_calc!$E$361-500)))=0,"",INDEX('My equipment'!$D$4:$D$503,(_calc!$E$361-500)))&amp;". ")&amp;IF(LEN(IF(ISNUMBER(INDEX('My equipment'!$J$4:$J$503,(_calc!$E$361-500))),TEXT(INDEX('My equipment'!$J$4:$J$503,(_calc!$E$361-500)),"yyyy-mm-dd"),""))=0,"","Parts end: "&amp;IF(ISNUMBER(INDEX('My equipment'!$J$4:$J$503,(_calc!$E$361-500))),TEXT(INDEX('My equipment'!$J$4:$J$503,(_calc!$E$361-500)),"yyyy-mm-dd"),"")&amp;". ")&amp;IF(LEN(IF(ISNUMBER(INDEX('My equipment'!$L$4:$L$503,(_calc!$E$361-500))),TEXT(INDEX('My equipment'!$L$4:$L$503,(_calc!$E$361-500)),"yyyy-mm-dd"),""))=0,"","Labor end: "&amp;IF(ISNUMBER(INDEX('My equipment'!$L$4:$L$503,(_calc!$E$361-500))),TEXT(INDEX('My equipment'!$L$4:$L$503,(_calc!$E$361-500)),"yyyy-mm-dd"),"")&amp;". ")&amp;IF(LEN(IF(ISNUMBER(INDEX('My equipment'!$P$4:$P$503,(_calc!$E$361-500))),TEXT(INDEX('My equipment'!$P$4:$P$503,(_calc!$E$361-500)),"yyyy-mm-dd"),""))=0,"","Check by: "&amp;IF(ISNUMBER(INDEX('My equipment'!$P$4:$P$503,(_calc!$E$361-500))),TEXT(INDEX('My equipment'!$P$4:$P$503,(_calc!$E$361-500)),"yyyy-mm-dd"),"")&amp;". ")&amp;IF(LEN(IF(LEN(INDEX('My equipment'!$Q$4:$Q$503,(_calc!$E$361-500)))=0,"",INDEX('My equipment'!$Q$4:$Q$503,(_calc!$E$361-500))))=0,"","Claim status: "&amp;IF(LEN(INDEX('My equipment'!$Q$4:$Q$503,(_calc!$E$361-500)))=0,"",INDEX('My equipment'!$Q$4:$Q$503,(_calc!$E$361-500)))&amp;". ")&amp;IF(LEN(IF(LEN(INDEX('My equipment'!$R$4:$R$503,(_calc!$E$361-500)))=0,"",INDEX('My equipment'!$R$4:$R$503,(_calc!$E$361-500))))=0,"","Claims contact: "&amp;IF(LEN(INDEX('My equipment'!$R$4:$R$503,(_calc!$E$361-500)))=0,"",INDEX('My equipment'!$R$4:$R$503,(_calc!$E$361-500)))&amp;". ")&amp;IF(LEN(IF(LEN(INDEX('My equipment'!$S$4:$S$503,(_calc!$E$361-500)))=0,"",INDEX('My equipment'!$S$4:$S$503,(_calc!$E$361-500))))=0,"","Claims email: "&amp;IF(LEN(INDEX('My equipment'!$S$4:$S$503,(_calc!$E$361-500)))=0,"",INDEX('My equipment'!$S$4:$S$503,(_calc!$E$361-500)))&amp;". ")&amp;IF(LEN(IF(LEN(INDEX('My equipment'!$U$4:$U$503,(_calc!$E$361-500)))=0,"",INDEX('My equipment'!$U$4:$U$503,(_calc!$E$361-500))))=0,"","Registered: "&amp;IF(LEN(INDEX('My equipment'!$U$4:$U$503,(_calc!$E$361-500)))=0,"",INDEX('My equipment'!$U$4:$U$503,(_calc!$E$361-500)))&amp;". ")&amp;IF(LEN(IF(LEN(INDEX('My equipment'!$V$4:$V$503,(_calc!$E$361-500)))=0,"",INDEX('My equipment'!$V$4:$V$503,(_calc!$E$361-500))))=0,"","Proof on file: "&amp;IF(LEN(INDEX('My equipment'!$V$4:$V$503,(_calc!$E$361-500)))=0,"",INDEX('My equipment'!$V$4:$V$503,(_calc!$E$361-500)))&amp;". ")&amp;IF(LEN(IF(LEN(INDEX('My equipment'!$W$4:$W$503,(_calc!$E$361-500)))=0,"",INDEX('My equipment'!$W$4:$W$503,(_calc!$E$361-500))))=0,"","Claim ref: "&amp;IF(LEN(INDEX('My equipment'!$W$4:$W$503,(_calc!$E$361-500)))=0,"",INDEX('My equipment'!$W$4:$W$503,(_calc!$E$361-500)))&amp;". ")&amp;IF(LEN(IF(LEN(INDEX('My equipment'!$Y$4:$Y$503,(_calc!$E$361-500)))=0,"",INDEX('My equipment'!$Y$4:$Y$503,(_calc!$E$361-500))))=0,"",IF(LEN(INDEX('My equipment'!$Y$4:$Y$503,(_calc!$E$361-500)))=0,"",INDEX('My equipment'!$Y$4:$Y$503,(_calc!$E$361-500)))))))</f>
        <v/>
      </c>
      <c r="G359" s="54">
        <f>IF(_calc!$E$361="","",IF(_calc!$E$361&lt;=500,"",IF(LEN(INDEX('My equipment'!$X$4:$X$503,(_calc!$E$361-500)))=0,"",INDEX('My equipment'!$X$4:$X$503,(_calc!$E$361-500)))))</f>
        <v/>
      </c>
      <c r="K359" s="54">
        <f>IF(_calc!$E$361="","",IF(_calc!$E$361&lt;=500,"",IF(LEN(INDEX('My equipment'!$T$4:$T$503,(_calc!$E$361-500)))=0,"",INDEX('My equipment'!$T$4:$T$503,(_calc!$E$361-500)))))</f>
        <v/>
      </c>
    </row>
    <row r="360">
      <c r="A360" s="54">
        <f>IF(_calc!$E$362="","",IF(_calc!$E$362&lt;=500,"Warranty – "&amp;IF(LEN(INDEX('Dealer pipeline'!$C$4:$C$503,_calc!$E$362))=0,"",INDEX('Dealer pipeline'!$C$4:$C$503,_calc!$E$362))&amp;" – "&amp;IF(LEN(INDEX('Dealer pipeline'!$D$4:$D$503,_calc!$E$362))=0,"",INDEX('Dealer pipeline'!$D$4:$D$503,_calc!$E$362))&amp;" – "&amp;IF(LEN(INDEX('Dealer pipeline'!$A$4:$A$503,_calc!$E$362))=0,"",INDEX('Dealer pipeline'!$A$4:$A$503,_calc!$E$362)),"Warranty – "&amp;IF(LEN(INDEX('My equipment'!$A$4:$A$503,(_calc!$E$362-500)))=0,"",INDEX('My equipment'!$A$4:$A$503,(_calc!$E$362-500)))&amp;" – "&amp;IF(LEN(INDEX('My equipment'!$D$4:$D$503,(_calc!$E$362-500)))=0,"",INDEX('My equipment'!$D$4:$D$503,(_calc!$E$362-500)))))</f>
        <v/>
      </c>
      <c r="B360" s="54">
        <f>IF(_calc!$E$362="","",IF(_calc!$E$362&lt;=500,IF(ISNUMBER(INDEX('Dealer pipeline'!$M$4:$M$503,_calc!$E$362)),TEXT(INDEX('Dealer pipeline'!$M$4:$M$503,_calc!$E$362),"yyyy-mm-dd"),""),IF(ISNUMBER(INDEX('My equipment'!$M$4:$M$503,(_calc!$E$362-500))),TEXT(INDEX('My equipment'!$M$4:$M$503,(_calc!$E$362-500)),"yyyy-mm-dd"),"")))</f>
        <v/>
      </c>
      <c r="C360" s="54">
        <f>IF(_calc!$E$362="","",IF(_calc!$E$362&lt;=500,"Warranty","Warranty"))</f>
        <v/>
      </c>
      <c r="D360" s="54">
        <f>IF(_calc!$E$362="","",IF(_calc!$E$362&lt;=500,IF(ISNUMBER(INDEX('Dealer pipeline'!$H$4:$H$503,_calc!$E$362)),TEXT(INDEX('Dealer pipeline'!$H$4:$H$503,_calc!$E$362),"yyyy-mm-dd"),""),IF(ISNUMBER(INDEX('My equipment'!$H$4:$H$503,(_calc!$E$362-500))),TEXT(INDEX('My equipment'!$H$4:$H$503,(_calc!$E$362-500)),"yyyy-mm-dd"),"")))</f>
        <v/>
      </c>
      <c r="F360" s="54">
        <f>IF(_calc!$E$362="","",IF(_calc!$E$362&lt;=500,TRIM(IF(LEN(IF(LEN(INDEX('Dealer pipeline'!$A$4:$A$503,_calc!$E$362))=0,"",INDEX('Dealer pipeline'!$A$4:$A$503,_calc!$E$362)))=0,"","Customer: "&amp;IF(LEN(INDEX('Dealer pipeline'!$A$4:$A$503,_calc!$E$362))=0,"",INDEX('Dealer pipeline'!$A$4:$A$503,_calc!$E$362))&amp;". ")&amp;IF(LEN(IF(LEN(INDEX('Dealer pipeline'!$B$4:$B$503,_calc!$E$362))=0,"",INDEX('Dealer pipeline'!$B$4:$B$503,_calc!$E$362)))=0,"","Contact: "&amp;IF(LEN(INDEX('Dealer pipeline'!$B$4:$B$503,_calc!$E$362))=0,"",INDEX('Dealer pipeline'!$B$4:$B$503,_calc!$E$362))&amp;". ")&amp;IF(LEN(IF(LEN(INDEX('Dealer pipeline'!$D$4:$D$503,_calc!$E$362))=0,"",INDEX('Dealer pipeline'!$D$4:$D$503,_calc!$E$362)))=0,"","Serial: "&amp;IF(LEN(INDEX('Dealer pipeline'!$D$4:$D$503,_calc!$E$362))=0,"",INDEX('Dealer pipeline'!$D$4:$D$503,_calc!$E$362))&amp;". ")&amp;IF(LEN(IF(ISNUMBER(INDEX('Dealer pipeline'!$J$4:$J$503,_calc!$E$362)),TEXT(INDEX('Dealer pipeline'!$J$4:$J$503,_calc!$E$362),"yyyy-mm-dd"),""))=0,"","Parts end: "&amp;IF(ISNUMBER(INDEX('Dealer pipeline'!$J$4:$J$503,_calc!$E$362)),TEXT(INDEX('Dealer pipeline'!$J$4:$J$503,_calc!$E$362),"yyyy-mm-dd"),"")&amp;". ")&amp;IF(LEN(IF(ISNUMBER(INDEX('Dealer pipeline'!$L$4:$L$503,_calc!$E$362)),TEXT(INDEX('Dealer pipeline'!$L$4:$L$503,_calc!$E$362),"yyyy-mm-dd"),""))=0,"","Labor end: "&amp;IF(ISNUMBER(INDEX('Dealer pipeline'!$L$4:$L$503,_calc!$E$362)),TEXT(INDEX('Dealer pipeline'!$L$4:$L$503,_calc!$E$362),"yyyy-mm-dd"),"")&amp;". ")&amp;IF(LEN(IF(LEN(INDEX('Dealer pipeline'!$Q$4:$Q$503,_calc!$E$362))=0,"",INDEX('Dealer pipeline'!$Q$4:$Q$503,_calc!$E$362)))=0,"","Status: "&amp;IF(LEN(INDEX('Dealer pipeline'!$Q$4:$Q$503,_calc!$E$362))=0,"",INDEX('Dealer pipeline'!$Q$4:$Q$503,_calc!$E$362))&amp;". ")&amp;IF(LEN(IF(LEN(INDEX('Dealer pipeline'!$P$4:$P$503,_calc!$E$362))=0,"",INDEX('Dealer pipeline'!$P$4:$P$503,_calc!$E$362)))=0,"","Last touch: "&amp;IF(LEN(INDEX('Dealer pipeline'!$P$4:$P$503,_calc!$E$362))=0,"",INDEX('Dealer pipeline'!$P$4:$P$503,_calc!$E$362))&amp;". ")&amp;IF(LEN(IF(LEN(INDEX('Dealer pipeline'!$R$4:$R$503,_calc!$E$362))=0,"",INDEX('Dealer pipeline'!$R$4:$R$503,_calc!$E$362)))=0,"","Owner: "&amp;IF(LEN(INDEX('Dealer pipeline'!$R$4:$R$503,_calc!$E$362))=0,"",INDEX('Dealer pipeline'!$R$4:$R$503,_calc!$E$362))&amp;". ")&amp;IF(LEN(IF(LEN(INDEX('Dealer pipeline'!$S$4:$S$503,_calc!$E$362))=0,"",INDEX('Dealer pipeline'!$S$4:$S$503,_calc!$E$362)))=0,"","Backup: "&amp;IF(LEN(INDEX('Dealer pipeline'!$S$4:$S$503,_calc!$E$362))=0,"",INDEX('Dealer pipeline'!$S$4:$S$503,_calc!$E$362))&amp;". ")&amp;IF(LEN(IF(LEN(INDEX('Dealer pipeline'!$T$4:$T$503,_calc!$E$362))=0,"",INDEX('Dealer pipeline'!$T$4:$T$503,_calc!$E$362)))=0,"",IF(LEN(INDEX('Dealer pipeline'!$T$4:$T$503,_calc!$E$362))=0,"",INDEX('Dealer pipeline'!$T$4:$T$503,_calc!$E$362)))),TRIM(IF(LEN(IF(LEN(INDEX('My equipment'!$C$4:$C$503,(_calc!$E$362-500)))=0,"",INDEX('My equipment'!$C$4:$C$503,(_calc!$E$362-500))))=0,"","Model: "&amp;IF(LEN(INDEX('My equipment'!$C$4:$C$503,(_calc!$E$362-500)))=0,"",INDEX('My equipment'!$C$4:$C$503,(_calc!$E$362-500)))&amp;". ")&amp;IF(LEN(IF(LEN(INDEX('My equipment'!$D$4:$D$503,(_calc!$E$362-500)))=0,"",INDEX('My equipment'!$D$4:$D$503,(_calc!$E$362-500))))=0,"","Serial: "&amp;IF(LEN(INDEX('My equipment'!$D$4:$D$503,(_calc!$E$362-500)))=0,"",INDEX('My equipment'!$D$4:$D$503,(_calc!$E$362-500)))&amp;". ")&amp;IF(LEN(IF(ISNUMBER(INDEX('My equipment'!$J$4:$J$503,(_calc!$E$362-500))),TEXT(INDEX('My equipment'!$J$4:$J$503,(_calc!$E$362-500)),"yyyy-mm-dd"),""))=0,"","Parts end: "&amp;IF(ISNUMBER(INDEX('My equipment'!$J$4:$J$503,(_calc!$E$362-500))),TEXT(INDEX('My equipment'!$J$4:$J$503,(_calc!$E$362-500)),"yyyy-mm-dd"),"")&amp;". ")&amp;IF(LEN(IF(ISNUMBER(INDEX('My equipment'!$L$4:$L$503,(_calc!$E$362-500))),TEXT(INDEX('My equipment'!$L$4:$L$503,(_calc!$E$362-500)),"yyyy-mm-dd"),""))=0,"","Labor end: "&amp;IF(ISNUMBER(INDEX('My equipment'!$L$4:$L$503,(_calc!$E$362-500))),TEXT(INDEX('My equipment'!$L$4:$L$503,(_calc!$E$362-500)),"yyyy-mm-dd"),"")&amp;". ")&amp;IF(LEN(IF(ISNUMBER(INDEX('My equipment'!$P$4:$P$503,(_calc!$E$362-500))),TEXT(INDEX('My equipment'!$P$4:$P$503,(_calc!$E$362-500)),"yyyy-mm-dd"),""))=0,"","Check by: "&amp;IF(ISNUMBER(INDEX('My equipment'!$P$4:$P$503,(_calc!$E$362-500))),TEXT(INDEX('My equipment'!$P$4:$P$503,(_calc!$E$362-500)),"yyyy-mm-dd"),"")&amp;". ")&amp;IF(LEN(IF(LEN(INDEX('My equipment'!$Q$4:$Q$503,(_calc!$E$362-500)))=0,"",INDEX('My equipment'!$Q$4:$Q$503,(_calc!$E$362-500))))=0,"","Claim status: "&amp;IF(LEN(INDEX('My equipment'!$Q$4:$Q$503,(_calc!$E$362-500)))=0,"",INDEX('My equipment'!$Q$4:$Q$503,(_calc!$E$362-500)))&amp;". ")&amp;IF(LEN(IF(LEN(INDEX('My equipment'!$R$4:$R$503,(_calc!$E$362-500)))=0,"",INDEX('My equipment'!$R$4:$R$503,(_calc!$E$362-500))))=0,"","Claims contact: "&amp;IF(LEN(INDEX('My equipment'!$R$4:$R$503,(_calc!$E$362-500)))=0,"",INDEX('My equipment'!$R$4:$R$503,(_calc!$E$362-500)))&amp;". ")&amp;IF(LEN(IF(LEN(INDEX('My equipment'!$S$4:$S$503,(_calc!$E$362-500)))=0,"",INDEX('My equipment'!$S$4:$S$503,(_calc!$E$362-500))))=0,"","Claims email: "&amp;IF(LEN(INDEX('My equipment'!$S$4:$S$503,(_calc!$E$362-500)))=0,"",INDEX('My equipment'!$S$4:$S$503,(_calc!$E$362-500)))&amp;". ")&amp;IF(LEN(IF(LEN(INDEX('My equipment'!$U$4:$U$503,(_calc!$E$362-500)))=0,"",INDEX('My equipment'!$U$4:$U$503,(_calc!$E$362-500))))=0,"","Registered: "&amp;IF(LEN(INDEX('My equipment'!$U$4:$U$503,(_calc!$E$362-500)))=0,"",INDEX('My equipment'!$U$4:$U$503,(_calc!$E$362-500)))&amp;". ")&amp;IF(LEN(IF(LEN(INDEX('My equipment'!$V$4:$V$503,(_calc!$E$362-500)))=0,"",INDEX('My equipment'!$V$4:$V$503,(_calc!$E$362-500))))=0,"","Proof on file: "&amp;IF(LEN(INDEX('My equipment'!$V$4:$V$503,(_calc!$E$362-500)))=0,"",INDEX('My equipment'!$V$4:$V$503,(_calc!$E$362-500)))&amp;". ")&amp;IF(LEN(IF(LEN(INDEX('My equipment'!$W$4:$W$503,(_calc!$E$362-500)))=0,"",INDEX('My equipment'!$W$4:$W$503,(_calc!$E$362-500))))=0,"","Claim ref: "&amp;IF(LEN(INDEX('My equipment'!$W$4:$W$503,(_calc!$E$362-500)))=0,"",INDEX('My equipment'!$W$4:$W$503,(_calc!$E$362-500)))&amp;". ")&amp;IF(LEN(IF(LEN(INDEX('My equipment'!$Y$4:$Y$503,(_calc!$E$362-500)))=0,"",INDEX('My equipment'!$Y$4:$Y$503,(_calc!$E$362-500))))=0,"",IF(LEN(INDEX('My equipment'!$Y$4:$Y$503,(_calc!$E$362-500)))=0,"",INDEX('My equipment'!$Y$4:$Y$503,(_calc!$E$362-500)))))))</f>
        <v/>
      </c>
      <c r="G360" s="54">
        <f>IF(_calc!$E$362="","",IF(_calc!$E$362&lt;=500,"",IF(LEN(INDEX('My equipment'!$X$4:$X$503,(_calc!$E$362-500)))=0,"",INDEX('My equipment'!$X$4:$X$503,(_calc!$E$362-500)))))</f>
        <v/>
      </c>
      <c r="K360" s="54">
        <f>IF(_calc!$E$362="","",IF(_calc!$E$362&lt;=500,"",IF(LEN(INDEX('My equipment'!$T$4:$T$503,(_calc!$E$362-500)))=0,"",INDEX('My equipment'!$T$4:$T$503,(_calc!$E$362-500)))))</f>
        <v/>
      </c>
    </row>
    <row r="361">
      <c r="A361" s="54">
        <f>IF(_calc!$E$363="","",IF(_calc!$E$363&lt;=500,"Warranty – "&amp;IF(LEN(INDEX('Dealer pipeline'!$C$4:$C$503,_calc!$E$363))=0,"",INDEX('Dealer pipeline'!$C$4:$C$503,_calc!$E$363))&amp;" – "&amp;IF(LEN(INDEX('Dealer pipeline'!$D$4:$D$503,_calc!$E$363))=0,"",INDEX('Dealer pipeline'!$D$4:$D$503,_calc!$E$363))&amp;" – "&amp;IF(LEN(INDEX('Dealer pipeline'!$A$4:$A$503,_calc!$E$363))=0,"",INDEX('Dealer pipeline'!$A$4:$A$503,_calc!$E$363)),"Warranty – "&amp;IF(LEN(INDEX('My equipment'!$A$4:$A$503,(_calc!$E$363-500)))=0,"",INDEX('My equipment'!$A$4:$A$503,(_calc!$E$363-500)))&amp;" – "&amp;IF(LEN(INDEX('My equipment'!$D$4:$D$503,(_calc!$E$363-500)))=0,"",INDEX('My equipment'!$D$4:$D$503,(_calc!$E$363-500)))))</f>
        <v/>
      </c>
      <c r="B361" s="54">
        <f>IF(_calc!$E$363="","",IF(_calc!$E$363&lt;=500,IF(ISNUMBER(INDEX('Dealer pipeline'!$M$4:$M$503,_calc!$E$363)),TEXT(INDEX('Dealer pipeline'!$M$4:$M$503,_calc!$E$363),"yyyy-mm-dd"),""),IF(ISNUMBER(INDEX('My equipment'!$M$4:$M$503,(_calc!$E$363-500))),TEXT(INDEX('My equipment'!$M$4:$M$503,(_calc!$E$363-500)),"yyyy-mm-dd"),"")))</f>
        <v/>
      </c>
      <c r="C361" s="54">
        <f>IF(_calc!$E$363="","",IF(_calc!$E$363&lt;=500,"Warranty","Warranty"))</f>
        <v/>
      </c>
      <c r="D361" s="54">
        <f>IF(_calc!$E$363="","",IF(_calc!$E$363&lt;=500,IF(ISNUMBER(INDEX('Dealer pipeline'!$H$4:$H$503,_calc!$E$363)),TEXT(INDEX('Dealer pipeline'!$H$4:$H$503,_calc!$E$363),"yyyy-mm-dd"),""),IF(ISNUMBER(INDEX('My equipment'!$H$4:$H$503,(_calc!$E$363-500))),TEXT(INDEX('My equipment'!$H$4:$H$503,(_calc!$E$363-500)),"yyyy-mm-dd"),"")))</f>
        <v/>
      </c>
      <c r="F361" s="54">
        <f>IF(_calc!$E$363="","",IF(_calc!$E$363&lt;=500,TRIM(IF(LEN(IF(LEN(INDEX('Dealer pipeline'!$A$4:$A$503,_calc!$E$363))=0,"",INDEX('Dealer pipeline'!$A$4:$A$503,_calc!$E$363)))=0,"","Customer: "&amp;IF(LEN(INDEX('Dealer pipeline'!$A$4:$A$503,_calc!$E$363))=0,"",INDEX('Dealer pipeline'!$A$4:$A$503,_calc!$E$363))&amp;". ")&amp;IF(LEN(IF(LEN(INDEX('Dealer pipeline'!$B$4:$B$503,_calc!$E$363))=0,"",INDEX('Dealer pipeline'!$B$4:$B$503,_calc!$E$363)))=0,"","Contact: "&amp;IF(LEN(INDEX('Dealer pipeline'!$B$4:$B$503,_calc!$E$363))=0,"",INDEX('Dealer pipeline'!$B$4:$B$503,_calc!$E$363))&amp;". ")&amp;IF(LEN(IF(LEN(INDEX('Dealer pipeline'!$D$4:$D$503,_calc!$E$363))=0,"",INDEX('Dealer pipeline'!$D$4:$D$503,_calc!$E$363)))=0,"","Serial: "&amp;IF(LEN(INDEX('Dealer pipeline'!$D$4:$D$503,_calc!$E$363))=0,"",INDEX('Dealer pipeline'!$D$4:$D$503,_calc!$E$363))&amp;". ")&amp;IF(LEN(IF(ISNUMBER(INDEX('Dealer pipeline'!$J$4:$J$503,_calc!$E$363)),TEXT(INDEX('Dealer pipeline'!$J$4:$J$503,_calc!$E$363),"yyyy-mm-dd"),""))=0,"","Parts end: "&amp;IF(ISNUMBER(INDEX('Dealer pipeline'!$J$4:$J$503,_calc!$E$363)),TEXT(INDEX('Dealer pipeline'!$J$4:$J$503,_calc!$E$363),"yyyy-mm-dd"),"")&amp;". ")&amp;IF(LEN(IF(ISNUMBER(INDEX('Dealer pipeline'!$L$4:$L$503,_calc!$E$363)),TEXT(INDEX('Dealer pipeline'!$L$4:$L$503,_calc!$E$363),"yyyy-mm-dd"),""))=0,"","Labor end: "&amp;IF(ISNUMBER(INDEX('Dealer pipeline'!$L$4:$L$503,_calc!$E$363)),TEXT(INDEX('Dealer pipeline'!$L$4:$L$503,_calc!$E$363),"yyyy-mm-dd"),"")&amp;". ")&amp;IF(LEN(IF(LEN(INDEX('Dealer pipeline'!$Q$4:$Q$503,_calc!$E$363))=0,"",INDEX('Dealer pipeline'!$Q$4:$Q$503,_calc!$E$363)))=0,"","Status: "&amp;IF(LEN(INDEX('Dealer pipeline'!$Q$4:$Q$503,_calc!$E$363))=0,"",INDEX('Dealer pipeline'!$Q$4:$Q$503,_calc!$E$363))&amp;". ")&amp;IF(LEN(IF(LEN(INDEX('Dealer pipeline'!$P$4:$P$503,_calc!$E$363))=0,"",INDEX('Dealer pipeline'!$P$4:$P$503,_calc!$E$363)))=0,"","Last touch: "&amp;IF(LEN(INDEX('Dealer pipeline'!$P$4:$P$503,_calc!$E$363))=0,"",INDEX('Dealer pipeline'!$P$4:$P$503,_calc!$E$363))&amp;". ")&amp;IF(LEN(IF(LEN(INDEX('Dealer pipeline'!$R$4:$R$503,_calc!$E$363))=0,"",INDEX('Dealer pipeline'!$R$4:$R$503,_calc!$E$363)))=0,"","Owner: "&amp;IF(LEN(INDEX('Dealer pipeline'!$R$4:$R$503,_calc!$E$363))=0,"",INDEX('Dealer pipeline'!$R$4:$R$503,_calc!$E$363))&amp;". ")&amp;IF(LEN(IF(LEN(INDEX('Dealer pipeline'!$S$4:$S$503,_calc!$E$363))=0,"",INDEX('Dealer pipeline'!$S$4:$S$503,_calc!$E$363)))=0,"","Backup: "&amp;IF(LEN(INDEX('Dealer pipeline'!$S$4:$S$503,_calc!$E$363))=0,"",INDEX('Dealer pipeline'!$S$4:$S$503,_calc!$E$363))&amp;". ")&amp;IF(LEN(IF(LEN(INDEX('Dealer pipeline'!$T$4:$T$503,_calc!$E$363))=0,"",INDEX('Dealer pipeline'!$T$4:$T$503,_calc!$E$363)))=0,"",IF(LEN(INDEX('Dealer pipeline'!$T$4:$T$503,_calc!$E$363))=0,"",INDEX('Dealer pipeline'!$T$4:$T$503,_calc!$E$363)))),TRIM(IF(LEN(IF(LEN(INDEX('My equipment'!$C$4:$C$503,(_calc!$E$363-500)))=0,"",INDEX('My equipment'!$C$4:$C$503,(_calc!$E$363-500))))=0,"","Model: "&amp;IF(LEN(INDEX('My equipment'!$C$4:$C$503,(_calc!$E$363-500)))=0,"",INDEX('My equipment'!$C$4:$C$503,(_calc!$E$363-500)))&amp;". ")&amp;IF(LEN(IF(LEN(INDEX('My equipment'!$D$4:$D$503,(_calc!$E$363-500)))=0,"",INDEX('My equipment'!$D$4:$D$503,(_calc!$E$363-500))))=0,"","Serial: "&amp;IF(LEN(INDEX('My equipment'!$D$4:$D$503,(_calc!$E$363-500)))=0,"",INDEX('My equipment'!$D$4:$D$503,(_calc!$E$363-500)))&amp;". ")&amp;IF(LEN(IF(ISNUMBER(INDEX('My equipment'!$J$4:$J$503,(_calc!$E$363-500))),TEXT(INDEX('My equipment'!$J$4:$J$503,(_calc!$E$363-500)),"yyyy-mm-dd"),""))=0,"","Parts end: "&amp;IF(ISNUMBER(INDEX('My equipment'!$J$4:$J$503,(_calc!$E$363-500))),TEXT(INDEX('My equipment'!$J$4:$J$503,(_calc!$E$363-500)),"yyyy-mm-dd"),"")&amp;". ")&amp;IF(LEN(IF(ISNUMBER(INDEX('My equipment'!$L$4:$L$503,(_calc!$E$363-500))),TEXT(INDEX('My equipment'!$L$4:$L$503,(_calc!$E$363-500)),"yyyy-mm-dd"),""))=0,"","Labor end: "&amp;IF(ISNUMBER(INDEX('My equipment'!$L$4:$L$503,(_calc!$E$363-500))),TEXT(INDEX('My equipment'!$L$4:$L$503,(_calc!$E$363-500)),"yyyy-mm-dd"),"")&amp;". ")&amp;IF(LEN(IF(ISNUMBER(INDEX('My equipment'!$P$4:$P$503,(_calc!$E$363-500))),TEXT(INDEX('My equipment'!$P$4:$P$503,(_calc!$E$363-500)),"yyyy-mm-dd"),""))=0,"","Check by: "&amp;IF(ISNUMBER(INDEX('My equipment'!$P$4:$P$503,(_calc!$E$363-500))),TEXT(INDEX('My equipment'!$P$4:$P$503,(_calc!$E$363-500)),"yyyy-mm-dd"),"")&amp;". ")&amp;IF(LEN(IF(LEN(INDEX('My equipment'!$Q$4:$Q$503,(_calc!$E$363-500)))=0,"",INDEX('My equipment'!$Q$4:$Q$503,(_calc!$E$363-500))))=0,"","Claim status: "&amp;IF(LEN(INDEX('My equipment'!$Q$4:$Q$503,(_calc!$E$363-500)))=0,"",INDEX('My equipment'!$Q$4:$Q$503,(_calc!$E$363-500)))&amp;". ")&amp;IF(LEN(IF(LEN(INDEX('My equipment'!$R$4:$R$503,(_calc!$E$363-500)))=0,"",INDEX('My equipment'!$R$4:$R$503,(_calc!$E$363-500))))=0,"","Claims contact: "&amp;IF(LEN(INDEX('My equipment'!$R$4:$R$503,(_calc!$E$363-500)))=0,"",INDEX('My equipment'!$R$4:$R$503,(_calc!$E$363-500)))&amp;". ")&amp;IF(LEN(IF(LEN(INDEX('My equipment'!$S$4:$S$503,(_calc!$E$363-500)))=0,"",INDEX('My equipment'!$S$4:$S$503,(_calc!$E$363-500))))=0,"","Claims email: "&amp;IF(LEN(INDEX('My equipment'!$S$4:$S$503,(_calc!$E$363-500)))=0,"",INDEX('My equipment'!$S$4:$S$503,(_calc!$E$363-500)))&amp;". ")&amp;IF(LEN(IF(LEN(INDEX('My equipment'!$U$4:$U$503,(_calc!$E$363-500)))=0,"",INDEX('My equipment'!$U$4:$U$503,(_calc!$E$363-500))))=0,"","Registered: "&amp;IF(LEN(INDEX('My equipment'!$U$4:$U$503,(_calc!$E$363-500)))=0,"",INDEX('My equipment'!$U$4:$U$503,(_calc!$E$363-500)))&amp;". ")&amp;IF(LEN(IF(LEN(INDEX('My equipment'!$V$4:$V$503,(_calc!$E$363-500)))=0,"",INDEX('My equipment'!$V$4:$V$503,(_calc!$E$363-500))))=0,"","Proof on file: "&amp;IF(LEN(INDEX('My equipment'!$V$4:$V$503,(_calc!$E$363-500)))=0,"",INDEX('My equipment'!$V$4:$V$503,(_calc!$E$363-500)))&amp;". ")&amp;IF(LEN(IF(LEN(INDEX('My equipment'!$W$4:$W$503,(_calc!$E$363-500)))=0,"",INDEX('My equipment'!$W$4:$W$503,(_calc!$E$363-500))))=0,"","Claim ref: "&amp;IF(LEN(INDEX('My equipment'!$W$4:$W$503,(_calc!$E$363-500)))=0,"",INDEX('My equipment'!$W$4:$W$503,(_calc!$E$363-500)))&amp;". ")&amp;IF(LEN(IF(LEN(INDEX('My equipment'!$Y$4:$Y$503,(_calc!$E$363-500)))=0,"",INDEX('My equipment'!$Y$4:$Y$503,(_calc!$E$363-500))))=0,"",IF(LEN(INDEX('My equipment'!$Y$4:$Y$503,(_calc!$E$363-500)))=0,"",INDEX('My equipment'!$Y$4:$Y$503,(_calc!$E$363-500)))))))</f>
        <v/>
      </c>
      <c r="G361" s="54">
        <f>IF(_calc!$E$363="","",IF(_calc!$E$363&lt;=500,"",IF(LEN(INDEX('My equipment'!$X$4:$X$503,(_calc!$E$363-500)))=0,"",INDEX('My equipment'!$X$4:$X$503,(_calc!$E$363-500)))))</f>
        <v/>
      </c>
      <c r="K361" s="54">
        <f>IF(_calc!$E$363="","",IF(_calc!$E$363&lt;=500,"",IF(LEN(INDEX('My equipment'!$T$4:$T$503,(_calc!$E$363-500)))=0,"",INDEX('My equipment'!$T$4:$T$503,(_calc!$E$363-500)))))</f>
        <v/>
      </c>
    </row>
    <row r="362">
      <c r="A362" s="54">
        <f>IF(_calc!$E$364="","",IF(_calc!$E$364&lt;=500,"Warranty – "&amp;IF(LEN(INDEX('Dealer pipeline'!$C$4:$C$503,_calc!$E$364))=0,"",INDEX('Dealer pipeline'!$C$4:$C$503,_calc!$E$364))&amp;" – "&amp;IF(LEN(INDEX('Dealer pipeline'!$D$4:$D$503,_calc!$E$364))=0,"",INDEX('Dealer pipeline'!$D$4:$D$503,_calc!$E$364))&amp;" – "&amp;IF(LEN(INDEX('Dealer pipeline'!$A$4:$A$503,_calc!$E$364))=0,"",INDEX('Dealer pipeline'!$A$4:$A$503,_calc!$E$364)),"Warranty – "&amp;IF(LEN(INDEX('My equipment'!$A$4:$A$503,(_calc!$E$364-500)))=0,"",INDEX('My equipment'!$A$4:$A$503,(_calc!$E$364-500)))&amp;" – "&amp;IF(LEN(INDEX('My equipment'!$D$4:$D$503,(_calc!$E$364-500)))=0,"",INDEX('My equipment'!$D$4:$D$503,(_calc!$E$364-500)))))</f>
        <v/>
      </c>
      <c r="B362" s="54">
        <f>IF(_calc!$E$364="","",IF(_calc!$E$364&lt;=500,IF(ISNUMBER(INDEX('Dealer pipeline'!$M$4:$M$503,_calc!$E$364)),TEXT(INDEX('Dealer pipeline'!$M$4:$M$503,_calc!$E$364),"yyyy-mm-dd"),""),IF(ISNUMBER(INDEX('My equipment'!$M$4:$M$503,(_calc!$E$364-500))),TEXT(INDEX('My equipment'!$M$4:$M$503,(_calc!$E$364-500)),"yyyy-mm-dd"),"")))</f>
        <v/>
      </c>
      <c r="C362" s="54">
        <f>IF(_calc!$E$364="","",IF(_calc!$E$364&lt;=500,"Warranty","Warranty"))</f>
        <v/>
      </c>
      <c r="D362" s="54">
        <f>IF(_calc!$E$364="","",IF(_calc!$E$364&lt;=500,IF(ISNUMBER(INDEX('Dealer pipeline'!$H$4:$H$503,_calc!$E$364)),TEXT(INDEX('Dealer pipeline'!$H$4:$H$503,_calc!$E$364),"yyyy-mm-dd"),""),IF(ISNUMBER(INDEX('My equipment'!$H$4:$H$503,(_calc!$E$364-500))),TEXT(INDEX('My equipment'!$H$4:$H$503,(_calc!$E$364-500)),"yyyy-mm-dd"),"")))</f>
        <v/>
      </c>
      <c r="F362" s="54">
        <f>IF(_calc!$E$364="","",IF(_calc!$E$364&lt;=500,TRIM(IF(LEN(IF(LEN(INDEX('Dealer pipeline'!$A$4:$A$503,_calc!$E$364))=0,"",INDEX('Dealer pipeline'!$A$4:$A$503,_calc!$E$364)))=0,"","Customer: "&amp;IF(LEN(INDEX('Dealer pipeline'!$A$4:$A$503,_calc!$E$364))=0,"",INDEX('Dealer pipeline'!$A$4:$A$503,_calc!$E$364))&amp;". ")&amp;IF(LEN(IF(LEN(INDEX('Dealer pipeline'!$B$4:$B$503,_calc!$E$364))=0,"",INDEX('Dealer pipeline'!$B$4:$B$503,_calc!$E$364)))=0,"","Contact: "&amp;IF(LEN(INDEX('Dealer pipeline'!$B$4:$B$503,_calc!$E$364))=0,"",INDEX('Dealer pipeline'!$B$4:$B$503,_calc!$E$364))&amp;". ")&amp;IF(LEN(IF(LEN(INDEX('Dealer pipeline'!$D$4:$D$503,_calc!$E$364))=0,"",INDEX('Dealer pipeline'!$D$4:$D$503,_calc!$E$364)))=0,"","Serial: "&amp;IF(LEN(INDEX('Dealer pipeline'!$D$4:$D$503,_calc!$E$364))=0,"",INDEX('Dealer pipeline'!$D$4:$D$503,_calc!$E$364))&amp;". ")&amp;IF(LEN(IF(ISNUMBER(INDEX('Dealer pipeline'!$J$4:$J$503,_calc!$E$364)),TEXT(INDEX('Dealer pipeline'!$J$4:$J$503,_calc!$E$364),"yyyy-mm-dd"),""))=0,"","Parts end: "&amp;IF(ISNUMBER(INDEX('Dealer pipeline'!$J$4:$J$503,_calc!$E$364)),TEXT(INDEX('Dealer pipeline'!$J$4:$J$503,_calc!$E$364),"yyyy-mm-dd"),"")&amp;". ")&amp;IF(LEN(IF(ISNUMBER(INDEX('Dealer pipeline'!$L$4:$L$503,_calc!$E$364)),TEXT(INDEX('Dealer pipeline'!$L$4:$L$503,_calc!$E$364),"yyyy-mm-dd"),""))=0,"","Labor end: "&amp;IF(ISNUMBER(INDEX('Dealer pipeline'!$L$4:$L$503,_calc!$E$364)),TEXT(INDEX('Dealer pipeline'!$L$4:$L$503,_calc!$E$364),"yyyy-mm-dd"),"")&amp;". ")&amp;IF(LEN(IF(LEN(INDEX('Dealer pipeline'!$Q$4:$Q$503,_calc!$E$364))=0,"",INDEX('Dealer pipeline'!$Q$4:$Q$503,_calc!$E$364)))=0,"","Status: "&amp;IF(LEN(INDEX('Dealer pipeline'!$Q$4:$Q$503,_calc!$E$364))=0,"",INDEX('Dealer pipeline'!$Q$4:$Q$503,_calc!$E$364))&amp;". ")&amp;IF(LEN(IF(LEN(INDEX('Dealer pipeline'!$P$4:$P$503,_calc!$E$364))=0,"",INDEX('Dealer pipeline'!$P$4:$P$503,_calc!$E$364)))=0,"","Last touch: "&amp;IF(LEN(INDEX('Dealer pipeline'!$P$4:$P$503,_calc!$E$364))=0,"",INDEX('Dealer pipeline'!$P$4:$P$503,_calc!$E$364))&amp;". ")&amp;IF(LEN(IF(LEN(INDEX('Dealer pipeline'!$R$4:$R$503,_calc!$E$364))=0,"",INDEX('Dealer pipeline'!$R$4:$R$503,_calc!$E$364)))=0,"","Owner: "&amp;IF(LEN(INDEX('Dealer pipeline'!$R$4:$R$503,_calc!$E$364))=0,"",INDEX('Dealer pipeline'!$R$4:$R$503,_calc!$E$364))&amp;". ")&amp;IF(LEN(IF(LEN(INDEX('Dealer pipeline'!$S$4:$S$503,_calc!$E$364))=0,"",INDEX('Dealer pipeline'!$S$4:$S$503,_calc!$E$364)))=0,"","Backup: "&amp;IF(LEN(INDEX('Dealer pipeline'!$S$4:$S$503,_calc!$E$364))=0,"",INDEX('Dealer pipeline'!$S$4:$S$503,_calc!$E$364))&amp;". ")&amp;IF(LEN(IF(LEN(INDEX('Dealer pipeline'!$T$4:$T$503,_calc!$E$364))=0,"",INDEX('Dealer pipeline'!$T$4:$T$503,_calc!$E$364)))=0,"",IF(LEN(INDEX('Dealer pipeline'!$T$4:$T$503,_calc!$E$364))=0,"",INDEX('Dealer pipeline'!$T$4:$T$503,_calc!$E$364)))),TRIM(IF(LEN(IF(LEN(INDEX('My equipment'!$C$4:$C$503,(_calc!$E$364-500)))=0,"",INDEX('My equipment'!$C$4:$C$503,(_calc!$E$364-500))))=0,"","Model: "&amp;IF(LEN(INDEX('My equipment'!$C$4:$C$503,(_calc!$E$364-500)))=0,"",INDEX('My equipment'!$C$4:$C$503,(_calc!$E$364-500)))&amp;". ")&amp;IF(LEN(IF(LEN(INDEX('My equipment'!$D$4:$D$503,(_calc!$E$364-500)))=0,"",INDEX('My equipment'!$D$4:$D$503,(_calc!$E$364-500))))=0,"","Serial: "&amp;IF(LEN(INDEX('My equipment'!$D$4:$D$503,(_calc!$E$364-500)))=0,"",INDEX('My equipment'!$D$4:$D$503,(_calc!$E$364-500)))&amp;". ")&amp;IF(LEN(IF(ISNUMBER(INDEX('My equipment'!$J$4:$J$503,(_calc!$E$364-500))),TEXT(INDEX('My equipment'!$J$4:$J$503,(_calc!$E$364-500)),"yyyy-mm-dd"),""))=0,"","Parts end: "&amp;IF(ISNUMBER(INDEX('My equipment'!$J$4:$J$503,(_calc!$E$364-500))),TEXT(INDEX('My equipment'!$J$4:$J$503,(_calc!$E$364-500)),"yyyy-mm-dd"),"")&amp;". ")&amp;IF(LEN(IF(ISNUMBER(INDEX('My equipment'!$L$4:$L$503,(_calc!$E$364-500))),TEXT(INDEX('My equipment'!$L$4:$L$503,(_calc!$E$364-500)),"yyyy-mm-dd"),""))=0,"","Labor end: "&amp;IF(ISNUMBER(INDEX('My equipment'!$L$4:$L$503,(_calc!$E$364-500))),TEXT(INDEX('My equipment'!$L$4:$L$503,(_calc!$E$364-500)),"yyyy-mm-dd"),"")&amp;". ")&amp;IF(LEN(IF(ISNUMBER(INDEX('My equipment'!$P$4:$P$503,(_calc!$E$364-500))),TEXT(INDEX('My equipment'!$P$4:$P$503,(_calc!$E$364-500)),"yyyy-mm-dd"),""))=0,"","Check by: "&amp;IF(ISNUMBER(INDEX('My equipment'!$P$4:$P$503,(_calc!$E$364-500))),TEXT(INDEX('My equipment'!$P$4:$P$503,(_calc!$E$364-500)),"yyyy-mm-dd"),"")&amp;". ")&amp;IF(LEN(IF(LEN(INDEX('My equipment'!$Q$4:$Q$503,(_calc!$E$364-500)))=0,"",INDEX('My equipment'!$Q$4:$Q$503,(_calc!$E$364-500))))=0,"","Claim status: "&amp;IF(LEN(INDEX('My equipment'!$Q$4:$Q$503,(_calc!$E$364-500)))=0,"",INDEX('My equipment'!$Q$4:$Q$503,(_calc!$E$364-500)))&amp;". ")&amp;IF(LEN(IF(LEN(INDEX('My equipment'!$R$4:$R$503,(_calc!$E$364-500)))=0,"",INDEX('My equipment'!$R$4:$R$503,(_calc!$E$364-500))))=0,"","Claims contact: "&amp;IF(LEN(INDEX('My equipment'!$R$4:$R$503,(_calc!$E$364-500)))=0,"",INDEX('My equipment'!$R$4:$R$503,(_calc!$E$364-500)))&amp;". ")&amp;IF(LEN(IF(LEN(INDEX('My equipment'!$S$4:$S$503,(_calc!$E$364-500)))=0,"",INDEX('My equipment'!$S$4:$S$503,(_calc!$E$364-500))))=0,"","Claims email: "&amp;IF(LEN(INDEX('My equipment'!$S$4:$S$503,(_calc!$E$364-500)))=0,"",INDEX('My equipment'!$S$4:$S$503,(_calc!$E$364-500)))&amp;". ")&amp;IF(LEN(IF(LEN(INDEX('My equipment'!$U$4:$U$503,(_calc!$E$364-500)))=0,"",INDEX('My equipment'!$U$4:$U$503,(_calc!$E$364-500))))=0,"","Registered: "&amp;IF(LEN(INDEX('My equipment'!$U$4:$U$503,(_calc!$E$364-500)))=0,"",INDEX('My equipment'!$U$4:$U$503,(_calc!$E$364-500)))&amp;". ")&amp;IF(LEN(IF(LEN(INDEX('My equipment'!$V$4:$V$503,(_calc!$E$364-500)))=0,"",INDEX('My equipment'!$V$4:$V$503,(_calc!$E$364-500))))=0,"","Proof on file: "&amp;IF(LEN(INDEX('My equipment'!$V$4:$V$503,(_calc!$E$364-500)))=0,"",INDEX('My equipment'!$V$4:$V$503,(_calc!$E$364-500)))&amp;". ")&amp;IF(LEN(IF(LEN(INDEX('My equipment'!$W$4:$W$503,(_calc!$E$364-500)))=0,"",INDEX('My equipment'!$W$4:$W$503,(_calc!$E$364-500))))=0,"","Claim ref: "&amp;IF(LEN(INDEX('My equipment'!$W$4:$W$503,(_calc!$E$364-500)))=0,"",INDEX('My equipment'!$W$4:$W$503,(_calc!$E$364-500)))&amp;". ")&amp;IF(LEN(IF(LEN(INDEX('My equipment'!$Y$4:$Y$503,(_calc!$E$364-500)))=0,"",INDEX('My equipment'!$Y$4:$Y$503,(_calc!$E$364-500))))=0,"",IF(LEN(INDEX('My equipment'!$Y$4:$Y$503,(_calc!$E$364-500)))=0,"",INDEX('My equipment'!$Y$4:$Y$503,(_calc!$E$364-500)))))))</f>
        <v/>
      </c>
      <c r="G362" s="54">
        <f>IF(_calc!$E$364="","",IF(_calc!$E$364&lt;=500,"",IF(LEN(INDEX('My equipment'!$X$4:$X$503,(_calc!$E$364-500)))=0,"",INDEX('My equipment'!$X$4:$X$503,(_calc!$E$364-500)))))</f>
        <v/>
      </c>
      <c r="K362" s="54">
        <f>IF(_calc!$E$364="","",IF(_calc!$E$364&lt;=500,"",IF(LEN(INDEX('My equipment'!$T$4:$T$503,(_calc!$E$364-500)))=0,"",INDEX('My equipment'!$T$4:$T$503,(_calc!$E$364-500)))))</f>
        <v/>
      </c>
    </row>
    <row r="363">
      <c r="A363" s="54">
        <f>IF(_calc!$E$365="","",IF(_calc!$E$365&lt;=500,"Warranty – "&amp;IF(LEN(INDEX('Dealer pipeline'!$C$4:$C$503,_calc!$E$365))=0,"",INDEX('Dealer pipeline'!$C$4:$C$503,_calc!$E$365))&amp;" – "&amp;IF(LEN(INDEX('Dealer pipeline'!$D$4:$D$503,_calc!$E$365))=0,"",INDEX('Dealer pipeline'!$D$4:$D$503,_calc!$E$365))&amp;" – "&amp;IF(LEN(INDEX('Dealer pipeline'!$A$4:$A$503,_calc!$E$365))=0,"",INDEX('Dealer pipeline'!$A$4:$A$503,_calc!$E$365)),"Warranty – "&amp;IF(LEN(INDEX('My equipment'!$A$4:$A$503,(_calc!$E$365-500)))=0,"",INDEX('My equipment'!$A$4:$A$503,(_calc!$E$365-500)))&amp;" – "&amp;IF(LEN(INDEX('My equipment'!$D$4:$D$503,(_calc!$E$365-500)))=0,"",INDEX('My equipment'!$D$4:$D$503,(_calc!$E$365-500)))))</f>
        <v/>
      </c>
      <c r="B363" s="54">
        <f>IF(_calc!$E$365="","",IF(_calc!$E$365&lt;=500,IF(ISNUMBER(INDEX('Dealer pipeline'!$M$4:$M$503,_calc!$E$365)),TEXT(INDEX('Dealer pipeline'!$M$4:$M$503,_calc!$E$365),"yyyy-mm-dd"),""),IF(ISNUMBER(INDEX('My equipment'!$M$4:$M$503,(_calc!$E$365-500))),TEXT(INDEX('My equipment'!$M$4:$M$503,(_calc!$E$365-500)),"yyyy-mm-dd"),"")))</f>
        <v/>
      </c>
      <c r="C363" s="54">
        <f>IF(_calc!$E$365="","",IF(_calc!$E$365&lt;=500,"Warranty","Warranty"))</f>
        <v/>
      </c>
      <c r="D363" s="54">
        <f>IF(_calc!$E$365="","",IF(_calc!$E$365&lt;=500,IF(ISNUMBER(INDEX('Dealer pipeline'!$H$4:$H$503,_calc!$E$365)),TEXT(INDEX('Dealer pipeline'!$H$4:$H$503,_calc!$E$365),"yyyy-mm-dd"),""),IF(ISNUMBER(INDEX('My equipment'!$H$4:$H$503,(_calc!$E$365-500))),TEXT(INDEX('My equipment'!$H$4:$H$503,(_calc!$E$365-500)),"yyyy-mm-dd"),"")))</f>
        <v/>
      </c>
      <c r="F363" s="54">
        <f>IF(_calc!$E$365="","",IF(_calc!$E$365&lt;=500,TRIM(IF(LEN(IF(LEN(INDEX('Dealer pipeline'!$A$4:$A$503,_calc!$E$365))=0,"",INDEX('Dealer pipeline'!$A$4:$A$503,_calc!$E$365)))=0,"","Customer: "&amp;IF(LEN(INDEX('Dealer pipeline'!$A$4:$A$503,_calc!$E$365))=0,"",INDEX('Dealer pipeline'!$A$4:$A$503,_calc!$E$365))&amp;". ")&amp;IF(LEN(IF(LEN(INDEX('Dealer pipeline'!$B$4:$B$503,_calc!$E$365))=0,"",INDEX('Dealer pipeline'!$B$4:$B$503,_calc!$E$365)))=0,"","Contact: "&amp;IF(LEN(INDEX('Dealer pipeline'!$B$4:$B$503,_calc!$E$365))=0,"",INDEX('Dealer pipeline'!$B$4:$B$503,_calc!$E$365))&amp;". ")&amp;IF(LEN(IF(LEN(INDEX('Dealer pipeline'!$D$4:$D$503,_calc!$E$365))=0,"",INDEX('Dealer pipeline'!$D$4:$D$503,_calc!$E$365)))=0,"","Serial: "&amp;IF(LEN(INDEX('Dealer pipeline'!$D$4:$D$503,_calc!$E$365))=0,"",INDEX('Dealer pipeline'!$D$4:$D$503,_calc!$E$365))&amp;". ")&amp;IF(LEN(IF(ISNUMBER(INDEX('Dealer pipeline'!$J$4:$J$503,_calc!$E$365)),TEXT(INDEX('Dealer pipeline'!$J$4:$J$503,_calc!$E$365),"yyyy-mm-dd"),""))=0,"","Parts end: "&amp;IF(ISNUMBER(INDEX('Dealer pipeline'!$J$4:$J$503,_calc!$E$365)),TEXT(INDEX('Dealer pipeline'!$J$4:$J$503,_calc!$E$365),"yyyy-mm-dd"),"")&amp;". ")&amp;IF(LEN(IF(ISNUMBER(INDEX('Dealer pipeline'!$L$4:$L$503,_calc!$E$365)),TEXT(INDEX('Dealer pipeline'!$L$4:$L$503,_calc!$E$365),"yyyy-mm-dd"),""))=0,"","Labor end: "&amp;IF(ISNUMBER(INDEX('Dealer pipeline'!$L$4:$L$503,_calc!$E$365)),TEXT(INDEX('Dealer pipeline'!$L$4:$L$503,_calc!$E$365),"yyyy-mm-dd"),"")&amp;". ")&amp;IF(LEN(IF(LEN(INDEX('Dealer pipeline'!$Q$4:$Q$503,_calc!$E$365))=0,"",INDEX('Dealer pipeline'!$Q$4:$Q$503,_calc!$E$365)))=0,"","Status: "&amp;IF(LEN(INDEX('Dealer pipeline'!$Q$4:$Q$503,_calc!$E$365))=0,"",INDEX('Dealer pipeline'!$Q$4:$Q$503,_calc!$E$365))&amp;". ")&amp;IF(LEN(IF(LEN(INDEX('Dealer pipeline'!$P$4:$P$503,_calc!$E$365))=0,"",INDEX('Dealer pipeline'!$P$4:$P$503,_calc!$E$365)))=0,"","Last touch: "&amp;IF(LEN(INDEX('Dealer pipeline'!$P$4:$P$503,_calc!$E$365))=0,"",INDEX('Dealer pipeline'!$P$4:$P$503,_calc!$E$365))&amp;". ")&amp;IF(LEN(IF(LEN(INDEX('Dealer pipeline'!$R$4:$R$503,_calc!$E$365))=0,"",INDEX('Dealer pipeline'!$R$4:$R$503,_calc!$E$365)))=0,"","Owner: "&amp;IF(LEN(INDEX('Dealer pipeline'!$R$4:$R$503,_calc!$E$365))=0,"",INDEX('Dealer pipeline'!$R$4:$R$503,_calc!$E$365))&amp;". ")&amp;IF(LEN(IF(LEN(INDEX('Dealer pipeline'!$S$4:$S$503,_calc!$E$365))=0,"",INDEX('Dealer pipeline'!$S$4:$S$503,_calc!$E$365)))=0,"","Backup: "&amp;IF(LEN(INDEX('Dealer pipeline'!$S$4:$S$503,_calc!$E$365))=0,"",INDEX('Dealer pipeline'!$S$4:$S$503,_calc!$E$365))&amp;". ")&amp;IF(LEN(IF(LEN(INDEX('Dealer pipeline'!$T$4:$T$503,_calc!$E$365))=0,"",INDEX('Dealer pipeline'!$T$4:$T$503,_calc!$E$365)))=0,"",IF(LEN(INDEX('Dealer pipeline'!$T$4:$T$503,_calc!$E$365))=0,"",INDEX('Dealer pipeline'!$T$4:$T$503,_calc!$E$365)))),TRIM(IF(LEN(IF(LEN(INDEX('My equipment'!$C$4:$C$503,(_calc!$E$365-500)))=0,"",INDEX('My equipment'!$C$4:$C$503,(_calc!$E$365-500))))=0,"","Model: "&amp;IF(LEN(INDEX('My equipment'!$C$4:$C$503,(_calc!$E$365-500)))=0,"",INDEX('My equipment'!$C$4:$C$503,(_calc!$E$365-500)))&amp;". ")&amp;IF(LEN(IF(LEN(INDEX('My equipment'!$D$4:$D$503,(_calc!$E$365-500)))=0,"",INDEX('My equipment'!$D$4:$D$503,(_calc!$E$365-500))))=0,"","Serial: "&amp;IF(LEN(INDEX('My equipment'!$D$4:$D$503,(_calc!$E$365-500)))=0,"",INDEX('My equipment'!$D$4:$D$503,(_calc!$E$365-500)))&amp;". ")&amp;IF(LEN(IF(ISNUMBER(INDEX('My equipment'!$J$4:$J$503,(_calc!$E$365-500))),TEXT(INDEX('My equipment'!$J$4:$J$503,(_calc!$E$365-500)),"yyyy-mm-dd"),""))=0,"","Parts end: "&amp;IF(ISNUMBER(INDEX('My equipment'!$J$4:$J$503,(_calc!$E$365-500))),TEXT(INDEX('My equipment'!$J$4:$J$503,(_calc!$E$365-500)),"yyyy-mm-dd"),"")&amp;". ")&amp;IF(LEN(IF(ISNUMBER(INDEX('My equipment'!$L$4:$L$503,(_calc!$E$365-500))),TEXT(INDEX('My equipment'!$L$4:$L$503,(_calc!$E$365-500)),"yyyy-mm-dd"),""))=0,"","Labor end: "&amp;IF(ISNUMBER(INDEX('My equipment'!$L$4:$L$503,(_calc!$E$365-500))),TEXT(INDEX('My equipment'!$L$4:$L$503,(_calc!$E$365-500)),"yyyy-mm-dd"),"")&amp;". ")&amp;IF(LEN(IF(ISNUMBER(INDEX('My equipment'!$P$4:$P$503,(_calc!$E$365-500))),TEXT(INDEX('My equipment'!$P$4:$P$503,(_calc!$E$365-500)),"yyyy-mm-dd"),""))=0,"","Check by: "&amp;IF(ISNUMBER(INDEX('My equipment'!$P$4:$P$503,(_calc!$E$365-500))),TEXT(INDEX('My equipment'!$P$4:$P$503,(_calc!$E$365-500)),"yyyy-mm-dd"),"")&amp;". ")&amp;IF(LEN(IF(LEN(INDEX('My equipment'!$Q$4:$Q$503,(_calc!$E$365-500)))=0,"",INDEX('My equipment'!$Q$4:$Q$503,(_calc!$E$365-500))))=0,"","Claim status: "&amp;IF(LEN(INDEX('My equipment'!$Q$4:$Q$503,(_calc!$E$365-500)))=0,"",INDEX('My equipment'!$Q$4:$Q$503,(_calc!$E$365-500)))&amp;". ")&amp;IF(LEN(IF(LEN(INDEX('My equipment'!$R$4:$R$503,(_calc!$E$365-500)))=0,"",INDEX('My equipment'!$R$4:$R$503,(_calc!$E$365-500))))=0,"","Claims contact: "&amp;IF(LEN(INDEX('My equipment'!$R$4:$R$503,(_calc!$E$365-500)))=0,"",INDEX('My equipment'!$R$4:$R$503,(_calc!$E$365-500)))&amp;". ")&amp;IF(LEN(IF(LEN(INDEX('My equipment'!$S$4:$S$503,(_calc!$E$365-500)))=0,"",INDEX('My equipment'!$S$4:$S$503,(_calc!$E$365-500))))=0,"","Claims email: "&amp;IF(LEN(INDEX('My equipment'!$S$4:$S$503,(_calc!$E$365-500)))=0,"",INDEX('My equipment'!$S$4:$S$503,(_calc!$E$365-500)))&amp;". ")&amp;IF(LEN(IF(LEN(INDEX('My equipment'!$U$4:$U$503,(_calc!$E$365-500)))=0,"",INDEX('My equipment'!$U$4:$U$503,(_calc!$E$365-500))))=0,"","Registered: "&amp;IF(LEN(INDEX('My equipment'!$U$4:$U$503,(_calc!$E$365-500)))=0,"",INDEX('My equipment'!$U$4:$U$503,(_calc!$E$365-500)))&amp;". ")&amp;IF(LEN(IF(LEN(INDEX('My equipment'!$V$4:$V$503,(_calc!$E$365-500)))=0,"",INDEX('My equipment'!$V$4:$V$503,(_calc!$E$365-500))))=0,"","Proof on file: "&amp;IF(LEN(INDEX('My equipment'!$V$4:$V$503,(_calc!$E$365-500)))=0,"",INDEX('My equipment'!$V$4:$V$503,(_calc!$E$365-500)))&amp;". ")&amp;IF(LEN(IF(LEN(INDEX('My equipment'!$W$4:$W$503,(_calc!$E$365-500)))=0,"",INDEX('My equipment'!$W$4:$W$503,(_calc!$E$365-500))))=0,"","Claim ref: "&amp;IF(LEN(INDEX('My equipment'!$W$4:$W$503,(_calc!$E$365-500)))=0,"",INDEX('My equipment'!$W$4:$W$503,(_calc!$E$365-500)))&amp;". ")&amp;IF(LEN(IF(LEN(INDEX('My equipment'!$Y$4:$Y$503,(_calc!$E$365-500)))=0,"",INDEX('My equipment'!$Y$4:$Y$503,(_calc!$E$365-500))))=0,"",IF(LEN(INDEX('My equipment'!$Y$4:$Y$503,(_calc!$E$365-500)))=0,"",INDEX('My equipment'!$Y$4:$Y$503,(_calc!$E$365-500)))))))</f>
        <v/>
      </c>
      <c r="G363" s="54">
        <f>IF(_calc!$E$365="","",IF(_calc!$E$365&lt;=500,"",IF(LEN(INDEX('My equipment'!$X$4:$X$503,(_calc!$E$365-500)))=0,"",INDEX('My equipment'!$X$4:$X$503,(_calc!$E$365-500)))))</f>
        <v/>
      </c>
      <c r="K363" s="54">
        <f>IF(_calc!$E$365="","",IF(_calc!$E$365&lt;=500,"",IF(LEN(INDEX('My equipment'!$T$4:$T$503,(_calc!$E$365-500)))=0,"",INDEX('My equipment'!$T$4:$T$503,(_calc!$E$365-500)))))</f>
        <v/>
      </c>
    </row>
    <row r="364">
      <c r="A364" s="54">
        <f>IF(_calc!$E$366="","",IF(_calc!$E$366&lt;=500,"Warranty – "&amp;IF(LEN(INDEX('Dealer pipeline'!$C$4:$C$503,_calc!$E$366))=0,"",INDEX('Dealer pipeline'!$C$4:$C$503,_calc!$E$366))&amp;" – "&amp;IF(LEN(INDEX('Dealer pipeline'!$D$4:$D$503,_calc!$E$366))=0,"",INDEX('Dealer pipeline'!$D$4:$D$503,_calc!$E$366))&amp;" – "&amp;IF(LEN(INDEX('Dealer pipeline'!$A$4:$A$503,_calc!$E$366))=0,"",INDEX('Dealer pipeline'!$A$4:$A$503,_calc!$E$366)),"Warranty – "&amp;IF(LEN(INDEX('My equipment'!$A$4:$A$503,(_calc!$E$366-500)))=0,"",INDEX('My equipment'!$A$4:$A$503,(_calc!$E$366-500)))&amp;" – "&amp;IF(LEN(INDEX('My equipment'!$D$4:$D$503,(_calc!$E$366-500)))=0,"",INDEX('My equipment'!$D$4:$D$503,(_calc!$E$366-500)))))</f>
        <v/>
      </c>
      <c r="B364" s="54">
        <f>IF(_calc!$E$366="","",IF(_calc!$E$366&lt;=500,IF(ISNUMBER(INDEX('Dealer pipeline'!$M$4:$M$503,_calc!$E$366)),TEXT(INDEX('Dealer pipeline'!$M$4:$M$503,_calc!$E$366),"yyyy-mm-dd"),""),IF(ISNUMBER(INDEX('My equipment'!$M$4:$M$503,(_calc!$E$366-500))),TEXT(INDEX('My equipment'!$M$4:$M$503,(_calc!$E$366-500)),"yyyy-mm-dd"),"")))</f>
        <v/>
      </c>
      <c r="C364" s="54">
        <f>IF(_calc!$E$366="","",IF(_calc!$E$366&lt;=500,"Warranty","Warranty"))</f>
        <v/>
      </c>
      <c r="D364" s="54">
        <f>IF(_calc!$E$366="","",IF(_calc!$E$366&lt;=500,IF(ISNUMBER(INDEX('Dealer pipeline'!$H$4:$H$503,_calc!$E$366)),TEXT(INDEX('Dealer pipeline'!$H$4:$H$503,_calc!$E$366),"yyyy-mm-dd"),""),IF(ISNUMBER(INDEX('My equipment'!$H$4:$H$503,(_calc!$E$366-500))),TEXT(INDEX('My equipment'!$H$4:$H$503,(_calc!$E$366-500)),"yyyy-mm-dd"),"")))</f>
        <v/>
      </c>
      <c r="F364" s="54">
        <f>IF(_calc!$E$366="","",IF(_calc!$E$366&lt;=500,TRIM(IF(LEN(IF(LEN(INDEX('Dealer pipeline'!$A$4:$A$503,_calc!$E$366))=0,"",INDEX('Dealer pipeline'!$A$4:$A$503,_calc!$E$366)))=0,"","Customer: "&amp;IF(LEN(INDEX('Dealer pipeline'!$A$4:$A$503,_calc!$E$366))=0,"",INDEX('Dealer pipeline'!$A$4:$A$503,_calc!$E$366))&amp;". ")&amp;IF(LEN(IF(LEN(INDEX('Dealer pipeline'!$B$4:$B$503,_calc!$E$366))=0,"",INDEX('Dealer pipeline'!$B$4:$B$503,_calc!$E$366)))=0,"","Contact: "&amp;IF(LEN(INDEX('Dealer pipeline'!$B$4:$B$503,_calc!$E$366))=0,"",INDEX('Dealer pipeline'!$B$4:$B$503,_calc!$E$366))&amp;". ")&amp;IF(LEN(IF(LEN(INDEX('Dealer pipeline'!$D$4:$D$503,_calc!$E$366))=0,"",INDEX('Dealer pipeline'!$D$4:$D$503,_calc!$E$366)))=0,"","Serial: "&amp;IF(LEN(INDEX('Dealer pipeline'!$D$4:$D$503,_calc!$E$366))=0,"",INDEX('Dealer pipeline'!$D$4:$D$503,_calc!$E$366))&amp;". ")&amp;IF(LEN(IF(ISNUMBER(INDEX('Dealer pipeline'!$J$4:$J$503,_calc!$E$366)),TEXT(INDEX('Dealer pipeline'!$J$4:$J$503,_calc!$E$366),"yyyy-mm-dd"),""))=0,"","Parts end: "&amp;IF(ISNUMBER(INDEX('Dealer pipeline'!$J$4:$J$503,_calc!$E$366)),TEXT(INDEX('Dealer pipeline'!$J$4:$J$503,_calc!$E$366),"yyyy-mm-dd"),"")&amp;". ")&amp;IF(LEN(IF(ISNUMBER(INDEX('Dealer pipeline'!$L$4:$L$503,_calc!$E$366)),TEXT(INDEX('Dealer pipeline'!$L$4:$L$503,_calc!$E$366),"yyyy-mm-dd"),""))=0,"","Labor end: "&amp;IF(ISNUMBER(INDEX('Dealer pipeline'!$L$4:$L$503,_calc!$E$366)),TEXT(INDEX('Dealer pipeline'!$L$4:$L$503,_calc!$E$366),"yyyy-mm-dd"),"")&amp;". ")&amp;IF(LEN(IF(LEN(INDEX('Dealer pipeline'!$Q$4:$Q$503,_calc!$E$366))=0,"",INDEX('Dealer pipeline'!$Q$4:$Q$503,_calc!$E$366)))=0,"","Status: "&amp;IF(LEN(INDEX('Dealer pipeline'!$Q$4:$Q$503,_calc!$E$366))=0,"",INDEX('Dealer pipeline'!$Q$4:$Q$503,_calc!$E$366))&amp;". ")&amp;IF(LEN(IF(LEN(INDEX('Dealer pipeline'!$P$4:$P$503,_calc!$E$366))=0,"",INDEX('Dealer pipeline'!$P$4:$P$503,_calc!$E$366)))=0,"","Last touch: "&amp;IF(LEN(INDEX('Dealer pipeline'!$P$4:$P$503,_calc!$E$366))=0,"",INDEX('Dealer pipeline'!$P$4:$P$503,_calc!$E$366))&amp;". ")&amp;IF(LEN(IF(LEN(INDEX('Dealer pipeline'!$R$4:$R$503,_calc!$E$366))=0,"",INDEX('Dealer pipeline'!$R$4:$R$503,_calc!$E$366)))=0,"","Owner: "&amp;IF(LEN(INDEX('Dealer pipeline'!$R$4:$R$503,_calc!$E$366))=0,"",INDEX('Dealer pipeline'!$R$4:$R$503,_calc!$E$366))&amp;". ")&amp;IF(LEN(IF(LEN(INDEX('Dealer pipeline'!$S$4:$S$503,_calc!$E$366))=0,"",INDEX('Dealer pipeline'!$S$4:$S$503,_calc!$E$366)))=0,"","Backup: "&amp;IF(LEN(INDEX('Dealer pipeline'!$S$4:$S$503,_calc!$E$366))=0,"",INDEX('Dealer pipeline'!$S$4:$S$503,_calc!$E$366))&amp;". ")&amp;IF(LEN(IF(LEN(INDEX('Dealer pipeline'!$T$4:$T$503,_calc!$E$366))=0,"",INDEX('Dealer pipeline'!$T$4:$T$503,_calc!$E$366)))=0,"",IF(LEN(INDEX('Dealer pipeline'!$T$4:$T$503,_calc!$E$366))=0,"",INDEX('Dealer pipeline'!$T$4:$T$503,_calc!$E$366)))),TRIM(IF(LEN(IF(LEN(INDEX('My equipment'!$C$4:$C$503,(_calc!$E$366-500)))=0,"",INDEX('My equipment'!$C$4:$C$503,(_calc!$E$366-500))))=0,"","Model: "&amp;IF(LEN(INDEX('My equipment'!$C$4:$C$503,(_calc!$E$366-500)))=0,"",INDEX('My equipment'!$C$4:$C$503,(_calc!$E$366-500)))&amp;". ")&amp;IF(LEN(IF(LEN(INDEX('My equipment'!$D$4:$D$503,(_calc!$E$366-500)))=0,"",INDEX('My equipment'!$D$4:$D$503,(_calc!$E$366-500))))=0,"","Serial: "&amp;IF(LEN(INDEX('My equipment'!$D$4:$D$503,(_calc!$E$366-500)))=0,"",INDEX('My equipment'!$D$4:$D$503,(_calc!$E$366-500)))&amp;". ")&amp;IF(LEN(IF(ISNUMBER(INDEX('My equipment'!$J$4:$J$503,(_calc!$E$366-500))),TEXT(INDEX('My equipment'!$J$4:$J$503,(_calc!$E$366-500)),"yyyy-mm-dd"),""))=0,"","Parts end: "&amp;IF(ISNUMBER(INDEX('My equipment'!$J$4:$J$503,(_calc!$E$366-500))),TEXT(INDEX('My equipment'!$J$4:$J$503,(_calc!$E$366-500)),"yyyy-mm-dd"),"")&amp;". ")&amp;IF(LEN(IF(ISNUMBER(INDEX('My equipment'!$L$4:$L$503,(_calc!$E$366-500))),TEXT(INDEX('My equipment'!$L$4:$L$503,(_calc!$E$366-500)),"yyyy-mm-dd"),""))=0,"","Labor end: "&amp;IF(ISNUMBER(INDEX('My equipment'!$L$4:$L$503,(_calc!$E$366-500))),TEXT(INDEX('My equipment'!$L$4:$L$503,(_calc!$E$366-500)),"yyyy-mm-dd"),"")&amp;". ")&amp;IF(LEN(IF(ISNUMBER(INDEX('My equipment'!$P$4:$P$503,(_calc!$E$366-500))),TEXT(INDEX('My equipment'!$P$4:$P$503,(_calc!$E$366-500)),"yyyy-mm-dd"),""))=0,"","Check by: "&amp;IF(ISNUMBER(INDEX('My equipment'!$P$4:$P$503,(_calc!$E$366-500))),TEXT(INDEX('My equipment'!$P$4:$P$503,(_calc!$E$366-500)),"yyyy-mm-dd"),"")&amp;". ")&amp;IF(LEN(IF(LEN(INDEX('My equipment'!$Q$4:$Q$503,(_calc!$E$366-500)))=0,"",INDEX('My equipment'!$Q$4:$Q$503,(_calc!$E$366-500))))=0,"","Claim status: "&amp;IF(LEN(INDEX('My equipment'!$Q$4:$Q$503,(_calc!$E$366-500)))=0,"",INDEX('My equipment'!$Q$4:$Q$503,(_calc!$E$366-500)))&amp;". ")&amp;IF(LEN(IF(LEN(INDEX('My equipment'!$R$4:$R$503,(_calc!$E$366-500)))=0,"",INDEX('My equipment'!$R$4:$R$503,(_calc!$E$366-500))))=0,"","Claims contact: "&amp;IF(LEN(INDEX('My equipment'!$R$4:$R$503,(_calc!$E$366-500)))=0,"",INDEX('My equipment'!$R$4:$R$503,(_calc!$E$366-500)))&amp;". ")&amp;IF(LEN(IF(LEN(INDEX('My equipment'!$S$4:$S$503,(_calc!$E$366-500)))=0,"",INDEX('My equipment'!$S$4:$S$503,(_calc!$E$366-500))))=0,"","Claims email: "&amp;IF(LEN(INDEX('My equipment'!$S$4:$S$503,(_calc!$E$366-500)))=0,"",INDEX('My equipment'!$S$4:$S$503,(_calc!$E$366-500)))&amp;". ")&amp;IF(LEN(IF(LEN(INDEX('My equipment'!$U$4:$U$503,(_calc!$E$366-500)))=0,"",INDEX('My equipment'!$U$4:$U$503,(_calc!$E$366-500))))=0,"","Registered: "&amp;IF(LEN(INDEX('My equipment'!$U$4:$U$503,(_calc!$E$366-500)))=0,"",INDEX('My equipment'!$U$4:$U$503,(_calc!$E$366-500)))&amp;". ")&amp;IF(LEN(IF(LEN(INDEX('My equipment'!$V$4:$V$503,(_calc!$E$366-500)))=0,"",INDEX('My equipment'!$V$4:$V$503,(_calc!$E$366-500))))=0,"","Proof on file: "&amp;IF(LEN(INDEX('My equipment'!$V$4:$V$503,(_calc!$E$366-500)))=0,"",INDEX('My equipment'!$V$4:$V$503,(_calc!$E$366-500)))&amp;". ")&amp;IF(LEN(IF(LEN(INDEX('My equipment'!$W$4:$W$503,(_calc!$E$366-500)))=0,"",INDEX('My equipment'!$W$4:$W$503,(_calc!$E$366-500))))=0,"","Claim ref: "&amp;IF(LEN(INDEX('My equipment'!$W$4:$W$503,(_calc!$E$366-500)))=0,"",INDEX('My equipment'!$W$4:$W$503,(_calc!$E$366-500)))&amp;". ")&amp;IF(LEN(IF(LEN(INDEX('My equipment'!$Y$4:$Y$503,(_calc!$E$366-500)))=0,"",INDEX('My equipment'!$Y$4:$Y$503,(_calc!$E$366-500))))=0,"",IF(LEN(INDEX('My equipment'!$Y$4:$Y$503,(_calc!$E$366-500)))=0,"",INDEX('My equipment'!$Y$4:$Y$503,(_calc!$E$366-500)))))))</f>
        <v/>
      </c>
      <c r="G364" s="54">
        <f>IF(_calc!$E$366="","",IF(_calc!$E$366&lt;=500,"",IF(LEN(INDEX('My equipment'!$X$4:$X$503,(_calc!$E$366-500)))=0,"",INDEX('My equipment'!$X$4:$X$503,(_calc!$E$366-500)))))</f>
        <v/>
      </c>
      <c r="K364" s="54">
        <f>IF(_calc!$E$366="","",IF(_calc!$E$366&lt;=500,"",IF(LEN(INDEX('My equipment'!$T$4:$T$503,(_calc!$E$366-500)))=0,"",INDEX('My equipment'!$T$4:$T$503,(_calc!$E$366-500)))))</f>
        <v/>
      </c>
    </row>
    <row r="365">
      <c r="A365" s="54">
        <f>IF(_calc!$E$367="","",IF(_calc!$E$367&lt;=500,"Warranty – "&amp;IF(LEN(INDEX('Dealer pipeline'!$C$4:$C$503,_calc!$E$367))=0,"",INDEX('Dealer pipeline'!$C$4:$C$503,_calc!$E$367))&amp;" – "&amp;IF(LEN(INDEX('Dealer pipeline'!$D$4:$D$503,_calc!$E$367))=0,"",INDEX('Dealer pipeline'!$D$4:$D$503,_calc!$E$367))&amp;" – "&amp;IF(LEN(INDEX('Dealer pipeline'!$A$4:$A$503,_calc!$E$367))=0,"",INDEX('Dealer pipeline'!$A$4:$A$503,_calc!$E$367)),"Warranty – "&amp;IF(LEN(INDEX('My equipment'!$A$4:$A$503,(_calc!$E$367-500)))=0,"",INDEX('My equipment'!$A$4:$A$503,(_calc!$E$367-500)))&amp;" – "&amp;IF(LEN(INDEX('My equipment'!$D$4:$D$503,(_calc!$E$367-500)))=0,"",INDEX('My equipment'!$D$4:$D$503,(_calc!$E$367-500)))))</f>
        <v/>
      </c>
      <c r="B365" s="54">
        <f>IF(_calc!$E$367="","",IF(_calc!$E$367&lt;=500,IF(ISNUMBER(INDEX('Dealer pipeline'!$M$4:$M$503,_calc!$E$367)),TEXT(INDEX('Dealer pipeline'!$M$4:$M$503,_calc!$E$367),"yyyy-mm-dd"),""),IF(ISNUMBER(INDEX('My equipment'!$M$4:$M$503,(_calc!$E$367-500))),TEXT(INDEX('My equipment'!$M$4:$M$503,(_calc!$E$367-500)),"yyyy-mm-dd"),"")))</f>
        <v/>
      </c>
      <c r="C365" s="54">
        <f>IF(_calc!$E$367="","",IF(_calc!$E$367&lt;=500,"Warranty","Warranty"))</f>
        <v/>
      </c>
      <c r="D365" s="54">
        <f>IF(_calc!$E$367="","",IF(_calc!$E$367&lt;=500,IF(ISNUMBER(INDEX('Dealer pipeline'!$H$4:$H$503,_calc!$E$367)),TEXT(INDEX('Dealer pipeline'!$H$4:$H$503,_calc!$E$367),"yyyy-mm-dd"),""),IF(ISNUMBER(INDEX('My equipment'!$H$4:$H$503,(_calc!$E$367-500))),TEXT(INDEX('My equipment'!$H$4:$H$503,(_calc!$E$367-500)),"yyyy-mm-dd"),"")))</f>
        <v/>
      </c>
      <c r="F365" s="54">
        <f>IF(_calc!$E$367="","",IF(_calc!$E$367&lt;=500,TRIM(IF(LEN(IF(LEN(INDEX('Dealer pipeline'!$A$4:$A$503,_calc!$E$367))=0,"",INDEX('Dealer pipeline'!$A$4:$A$503,_calc!$E$367)))=0,"","Customer: "&amp;IF(LEN(INDEX('Dealer pipeline'!$A$4:$A$503,_calc!$E$367))=0,"",INDEX('Dealer pipeline'!$A$4:$A$503,_calc!$E$367))&amp;". ")&amp;IF(LEN(IF(LEN(INDEX('Dealer pipeline'!$B$4:$B$503,_calc!$E$367))=0,"",INDEX('Dealer pipeline'!$B$4:$B$503,_calc!$E$367)))=0,"","Contact: "&amp;IF(LEN(INDEX('Dealer pipeline'!$B$4:$B$503,_calc!$E$367))=0,"",INDEX('Dealer pipeline'!$B$4:$B$503,_calc!$E$367))&amp;". ")&amp;IF(LEN(IF(LEN(INDEX('Dealer pipeline'!$D$4:$D$503,_calc!$E$367))=0,"",INDEX('Dealer pipeline'!$D$4:$D$503,_calc!$E$367)))=0,"","Serial: "&amp;IF(LEN(INDEX('Dealer pipeline'!$D$4:$D$503,_calc!$E$367))=0,"",INDEX('Dealer pipeline'!$D$4:$D$503,_calc!$E$367))&amp;". ")&amp;IF(LEN(IF(ISNUMBER(INDEX('Dealer pipeline'!$J$4:$J$503,_calc!$E$367)),TEXT(INDEX('Dealer pipeline'!$J$4:$J$503,_calc!$E$367),"yyyy-mm-dd"),""))=0,"","Parts end: "&amp;IF(ISNUMBER(INDEX('Dealer pipeline'!$J$4:$J$503,_calc!$E$367)),TEXT(INDEX('Dealer pipeline'!$J$4:$J$503,_calc!$E$367),"yyyy-mm-dd"),"")&amp;". ")&amp;IF(LEN(IF(ISNUMBER(INDEX('Dealer pipeline'!$L$4:$L$503,_calc!$E$367)),TEXT(INDEX('Dealer pipeline'!$L$4:$L$503,_calc!$E$367),"yyyy-mm-dd"),""))=0,"","Labor end: "&amp;IF(ISNUMBER(INDEX('Dealer pipeline'!$L$4:$L$503,_calc!$E$367)),TEXT(INDEX('Dealer pipeline'!$L$4:$L$503,_calc!$E$367),"yyyy-mm-dd"),"")&amp;". ")&amp;IF(LEN(IF(LEN(INDEX('Dealer pipeline'!$Q$4:$Q$503,_calc!$E$367))=0,"",INDEX('Dealer pipeline'!$Q$4:$Q$503,_calc!$E$367)))=0,"","Status: "&amp;IF(LEN(INDEX('Dealer pipeline'!$Q$4:$Q$503,_calc!$E$367))=0,"",INDEX('Dealer pipeline'!$Q$4:$Q$503,_calc!$E$367))&amp;". ")&amp;IF(LEN(IF(LEN(INDEX('Dealer pipeline'!$P$4:$P$503,_calc!$E$367))=0,"",INDEX('Dealer pipeline'!$P$4:$P$503,_calc!$E$367)))=0,"","Last touch: "&amp;IF(LEN(INDEX('Dealer pipeline'!$P$4:$P$503,_calc!$E$367))=0,"",INDEX('Dealer pipeline'!$P$4:$P$503,_calc!$E$367))&amp;". ")&amp;IF(LEN(IF(LEN(INDEX('Dealer pipeline'!$R$4:$R$503,_calc!$E$367))=0,"",INDEX('Dealer pipeline'!$R$4:$R$503,_calc!$E$367)))=0,"","Owner: "&amp;IF(LEN(INDEX('Dealer pipeline'!$R$4:$R$503,_calc!$E$367))=0,"",INDEX('Dealer pipeline'!$R$4:$R$503,_calc!$E$367))&amp;". ")&amp;IF(LEN(IF(LEN(INDEX('Dealer pipeline'!$S$4:$S$503,_calc!$E$367))=0,"",INDEX('Dealer pipeline'!$S$4:$S$503,_calc!$E$367)))=0,"","Backup: "&amp;IF(LEN(INDEX('Dealer pipeline'!$S$4:$S$503,_calc!$E$367))=0,"",INDEX('Dealer pipeline'!$S$4:$S$503,_calc!$E$367))&amp;". ")&amp;IF(LEN(IF(LEN(INDEX('Dealer pipeline'!$T$4:$T$503,_calc!$E$367))=0,"",INDEX('Dealer pipeline'!$T$4:$T$503,_calc!$E$367)))=0,"",IF(LEN(INDEX('Dealer pipeline'!$T$4:$T$503,_calc!$E$367))=0,"",INDEX('Dealer pipeline'!$T$4:$T$503,_calc!$E$367)))),TRIM(IF(LEN(IF(LEN(INDEX('My equipment'!$C$4:$C$503,(_calc!$E$367-500)))=0,"",INDEX('My equipment'!$C$4:$C$503,(_calc!$E$367-500))))=0,"","Model: "&amp;IF(LEN(INDEX('My equipment'!$C$4:$C$503,(_calc!$E$367-500)))=0,"",INDEX('My equipment'!$C$4:$C$503,(_calc!$E$367-500)))&amp;". ")&amp;IF(LEN(IF(LEN(INDEX('My equipment'!$D$4:$D$503,(_calc!$E$367-500)))=0,"",INDEX('My equipment'!$D$4:$D$503,(_calc!$E$367-500))))=0,"","Serial: "&amp;IF(LEN(INDEX('My equipment'!$D$4:$D$503,(_calc!$E$367-500)))=0,"",INDEX('My equipment'!$D$4:$D$503,(_calc!$E$367-500)))&amp;". ")&amp;IF(LEN(IF(ISNUMBER(INDEX('My equipment'!$J$4:$J$503,(_calc!$E$367-500))),TEXT(INDEX('My equipment'!$J$4:$J$503,(_calc!$E$367-500)),"yyyy-mm-dd"),""))=0,"","Parts end: "&amp;IF(ISNUMBER(INDEX('My equipment'!$J$4:$J$503,(_calc!$E$367-500))),TEXT(INDEX('My equipment'!$J$4:$J$503,(_calc!$E$367-500)),"yyyy-mm-dd"),"")&amp;". ")&amp;IF(LEN(IF(ISNUMBER(INDEX('My equipment'!$L$4:$L$503,(_calc!$E$367-500))),TEXT(INDEX('My equipment'!$L$4:$L$503,(_calc!$E$367-500)),"yyyy-mm-dd"),""))=0,"","Labor end: "&amp;IF(ISNUMBER(INDEX('My equipment'!$L$4:$L$503,(_calc!$E$367-500))),TEXT(INDEX('My equipment'!$L$4:$L$503,(_calc!$E$367-500)),"yyyy-mm-dd"),"")&amp;". ")&amp;IF(LEN(IF(ISNUMBER(INDEX('My equipment'!$P$4:$P$503,(_calc!$E$367-500))),TEXT(INDEX('My equipment'!$P$4:$P$503,(_calc!$E$367-500)),"yyyy-mm-dd"),""))=0,"","Check by: "&amp;IF(ISNUMBER(INDEX('My equipment'!$P$4:$P$503,(_calc!$E$367-500))),TEXT(INDEX('My equipment'!$P$4:$P$503,(_calc!$E$367-500)),"yyyy-mm-dd"),"")&amp;". ")&amp;IF(LEN(IF(LEN(INDEX('My equipment'!$Q$4:$Q$503,(_calc!$E$367-500)))=0,"",INDEX('My equipment'!$Q$4:$Q$503,(_calc!$E$367-500))))=0,"","Claim status: "&amp;IF(LEN(INDEX('My equipment'!$Q$4:$Q$503,(_calc!$E$367-500)))=0,"",INDEX('My equipment'!$Q$4:$Q$503,(_calc!$E$367-500)))&amp;". ")&amp;IF(LEN(IF(LEN(INDEX('My equipment'!$R$4:$R$503,(_calc!$E$367-500)))=0,"",INDEX('My equipment'!$R$4:$R$503,(_calc!$E$367-500))))=0,"","Claims contact: "&amp;IF(LEN(INDEX('My equipment'!$R$4:$R$503,(_calc!$E$367-500)))=0,"",INDEX('My equipment'!$R$4:$R$503,(_calc!$E$367-500)))&amp;". ")&amp;IF(LEN(IF(LEN(INDEX('My equipment'!$S$4:$S$503,(_calc!$E$367-500)))=0,"",INDEX('My equipment'!$S$4:$S$503,(_calc!$E$367-500))))=0,"","Claims email: "&amp;IF(LEN(INDEX('My equipment'!$S$4:$S$503,(_calc!$E$367-500)))=0,"",INDEX('My equipment'!$S$4:$S$503,(_calc!$E$367-500)))&amp;". ")&amp;IF(LEN(IF(LEN(INDEX('My equipment'!$U$4:$U$503,(_calc!$E$367-500)))=0,"",INDEX('My equipment'!$U$4:$U$503,(_calc!$E$367-500))))=0,"","Registered: "&amp;IF(LEN(INDEX('My equipment'!$U$4:$U$503,(_calc!$E$367-500)))=0,"",INDEX('My equipment'!$U$4:$U$503,(_calc!$E$367-500)))&amp;". ")&amp;IF(LEN(IF(LEN(INDEX('My equipment'!$V$4:$V$503,(_calc!$E$367-500)))=0,"",INDEX('My equipment'!$V$4:$V$503,(_calc!$E$367-500))))=0,"","Proof on file: "&amp;IF(LEN(INDEX('My equipment'!$V$4:$V$503,(_calc!$E$367-500)))=0,"",INDEX('My equipment'!$V$4:$V$503,(_calc!$E$367-500)))&amp;". ")&amp;IF(LEN(IF(LEN(INDEX('My equipment'!$W$4:$W$503,(_calc!$E$367-500)))=0,"",INDEX('My equipment'!$W$4:$W$503,(_calc!$E$367-500))))=0,"","Claim ref: "&amp;IF(LEN(INDEX('My equipment'!$W$4:$W$503,(_calc!$E$367-500)))=0,"",INDEX('My equipment'!$W$4:$W$503,(_calc!$E$367-500)))&amp;". ")&amp;IF(LEN(IF(LEN(INDEX('My equipment'!$Y$4:$Y$503,(_calc!$E$367-500)))=0,"",INDEX('My equipment'!$Y$4:$Y$503,(_calc!$E$367-500))))=0,"",IF(LEN(INDEX('My equipment'!$Y$4:$Y$503,(_calc!$E$367-500)))=0,"",INDEX('My equipment'!$Y$4:$Y$503,(_calc!$E$367-500)))))))</f>
        <v/>
      </c>
      <c r="G365" s="54">
        <f>IF(_calc!$E$367="","",IF(_calc!$E$367&lt;=500,"",IF(LEN(INDEX('My equipment'!$X$4:$X$503,(_calc!$E$367-500)))=0,"",INDEX('My equipment'!$X$4:$X$503,(_calc!$E$367-500)))))</f>
        <v/>
      </c>
      <c r="K365" s="54">
        <f>IF(_calc!$E$367="","",IF(_calc!$E$367&lt;=500,"",IF(LEN(INDEX('My equipment'!$T$4:$T$503,(_calc!$E$367-500)))=0,"",INDEX('My equipment'!$T$4:$T$503,(_calc!$E$367-500)))))</f>
        <v/>
      </c>
    </row>
    <row r="366">
      <c r="A366" s="54">
        <f>IF(_calc!$E$368="","",IF(_calc!$E$368&lt;=500,"Warranty – "&amp;IF(LEN(INDEX('Dealer pipeline'!$C$4:$C$503,_calc!$E$368))=0,"",INDEX('Dealer pipeline'!$C$4:$C$503,_calc!$E$368))&amp;" – "&amp;IF(LEN(INDEX('Dealer pipeline'!$D$4:$D$503,_calc!$E$368))=0,"",INDEX('Dealer pipeline'!$D$4:$D$503,_calc!$E$368))&amp;" – "&amp;IF(LEN(INDEX('Dealer pipeline'!$A$4:$A$503,_calc!$E$368))=0,"",INDEX('Dealer pipeline'!$A$4:$A$503,_calc!$E$368)),"Warranty – "&amp;IF(LEN(INDEX('My equipment'!$A$4:$A$503,(_calc!$E$368-500)))=0,"",INDEX('My equipment'!$A$4:$A$503,(_calc!$E$368-500)))&amp;" – "&amp;IF(LEN(INDEX('My equipment'!$D$4:$D$503,(_calc!$E$368-500)))=0,"",INDEX('My equipment'!$D$4:$D$503,(_calc!$E$368-500)))))</f>
        <v/>
      </c>
      <c r="B366" s="54">
        <f>IF(_calc!$E$368="","",IF(_calc!$E$368&lt;=500,IF(ISNUMBER(INDEX('Dealer pipeline'!$M$4:$M$503,_calc!$E$368)),TEXT(INDEX('Dealer pipeline'!$M$4:$M$503,_calc!$E$368),"yyyy-mm-dd"),""),IF(ISNUMBER(INDEX('My equipment'!$M$4:$M$503,(_calc!$E$368-500))),TEXT(INDEX('My equipment'!$M$4:$M$503,(_calc!$E$368-500)),"yyyy-mm-dd"),"")))</f>
        <v/>
      </c>
      <c r="C366" s="54">
        <f>IF(_calc!$E$368="","",IF(_calc!$E$368&lt;=500,"Warranty","Warranty"))</f>
        <v/>
      </c>
      <c r="D366" s="54">
        <f>IF(_calc!$E$368="","",IF(_calc!$E$368&lt;=500,IF(ISNUMBER(INDEX('Dealer pipeline'!$H$4:$H$503,_calc!$E$368)),TEXT(INDEX('Dealer pipeline'!$H$4:$H$503,_calc!$E$368),"yyyy-mm-dd"),""),IF(ISNUMBER(INDEX('My equipment'!$H$4:$H$503,(_calc!$E$368-500))),TEXT(INDEX('My equipment'!$H$4:$H$503,(_calc!$E$368-500)),"yyyy-mm-dd"),"")))</f>
        <v/>
      </c>
      <c r="F366" s="54">
        <f>IF(_calc!$E$368="","",IF(_calc!$E$368&lt;=500,TRIM(IF(LEN(IF(LEN(INDEX('Dealer pipeline'!$A$4:$A$503,_calc!$E$368))=0,"",INDEX('Dealer pipeline'!$A$4:$A$503,_calc!$E$368)))=0,"","Customer: "&amp;IF(LEN(INDEX('Dealer pipeline'!$A$4:$A$503,_calc!$E$368))=0,"",INDEX('Dealer pipeline'!$A$4:$A$503,_calc!$E$368))&amp;". ")&amp;IF(LEN(IF(LEN(INDEX('Dealer pipeline'!$B$4:$B$503,_calc!$E$368))=0,"",INDEX('Dealer pipeline'!$B$4:$B$503,_calc!$E$368)))=0,"","Contact: "&amp;IF(LEN(INDEX('Dealer pipeline'!$B$4:$B$503,_calc!$E$368))=0,"",INDEX('Dealer pipeline'!$B$4:$B$503,_calc!$E$368))&amp;". ")&amp;IF(LEN(IF(LEN(INDEX('Dealer pipeline'!$D$4:$D$503,_calc!$E$368))=0,"",INDEX('Dealer pipeline'!$D$4:$D$503,_calc!$E$368)))=0,"","Serial: "&amp;IF(LEN(INDEX('Dealer pipeline'!$D$4:$D$503,_calc!$E$368))=0,"",INDEX('Dealer pipeline'!$D$4:$D$503,_calc!$E$368))&amp;". ")&amp;IF(LEN(IF(ISNUMBER(INDEX('Dealer pipeline'!$J$4:$J$503,_calc!$E$368)),TEXT(INDEX('Dealer pipeline'!$J$4:$J$503,_calc!$E$368),"yyyy-mm-dd"),""))=0,"","Parts end: "&amp;IF(ISNUMBER(INDEX('Dealer pipeline'!$J$4:$J$503,_calc!$E$368)),TEXT(INDEX('Dealer pipeline'!$J$4:$J$503,_calc!$E$368),"yyyy-mm-dd"),"")&amp;". ")&amp;IF(LEN(IF(ISNUMBER(INDEX('Dealer pipeline'!$L$4:$L$503,_calc!$E$368)),TEXT(INDEX('Dealer pipeline'!$L$4:$L$503,_calc!$E$368),"yyyy-mm-dd"),""))=0,"","Labor end: "&amp;IF(ISNUMBER(INDEX('Dealer pipeline'!$L$4:$L$503,_calc!$E$368)),TEXT(INDEX('Dealer pipeline'!$L$4:$L$503,_calc!$E$368),"yyyy-mm-dd"),"")&amp;". ")&amp;IF(LEN(IF(LEN(INDEX('Dealer pipeline'!$Q$4:$Q$503,_calc!$E$368))=0,"",INDEX('Dealer pipeline'!$Q$4:$Q$503,_calc!$E$368)))=0,"","Status: "&amp;IF(LEN(INDEX('Dealer pipeline'!$Q$4:$Q$503,_calc!$E$368))=0,"",INDEX('Dealer pipeline'!$Q$4:$Q$503,_calc!$E$368))&amp;". ")&amp;IF(LEN(IF(LEN(INDEX('Dealer pipeline'!$P$4:$P$503,_calc!$E$368))=0,"",INDEX('Dealer pipeline'!$P$4:$P$503,_calc!$E$368)))=0,"","Last touch: "&amp;IF(LEN(INDEX('Dealer pipeline'!$P$4:$P$503,_calc!$E$368))=0,"",INDEX('Dealer pipeline'!$P$4:$P$503,_calc!$E$368))&amp;". ")&amp;IF(LEN(IF(LEN(INDEX('Dealer pipeline'!$R$4:$R$503,_calc!$E$368))=0,"",INDEX('Dealer pipeline'!$R$4:$R$503,_calc!$E$368)))=0,"","Owner: "&amp;IF(LEN(INDEX('Dealer pipeline'!$R$4:$R$503,_calc!$E$368))=0,"",INDEX('Dealer pipeline'!$R$4:$R$503,_calc!$E$368))&amp;". ")&amp;IF(LEN(IF(LEN(INDEX('Dealer pipeline'!$S$4:$S$503,_calc!$E$368))=0,"",INDEX('Dealer pipeline'!$S$4:$S$503,_calc!$E$368)))=0,"","Backup: "&amp;IF(LEN(INDEX('Dealer pipeline'!$S$4:$S$503,_calc!$E$368))=0,"",INDEX('Dealer pipeline'!$S$4:$S$503,_calc!$E$368))&amp;". ")&amp;IF(LEN(IF(LEN(INDEX('Dealer pipeline'!$T$4:$T$503,_calc!$E$368))=0,"",INDEX('Dealer pipeline'!$T$4:$T$503,_calc!$E$368)))=0,"",IF(LEN(INDEX('Dealer pipeline'!$T$4:$T$503,_calc!$E$368))=0,"",INDEX('Dealer pipeline'!$T$4:$T$503,_calc!$E$368)))),TRIM(IF(LEN(IF(LEN(INDEX('My equipment'!$C$4:$C$503,(_calc!$E$368-500)))=0,"",INDEX('My equipment'!$C$4:$C$503,(_calc!$E$368-500))))=0,"","Model: "&amp;IF(LEN(INDEX('My equipment'!$C$4:$C$503,(_calc!$E$368-500)))=0,"",INDEX('My equipment'!$C$4:$C$503,(_calc!$E$368-500)))&amp;". ")&amp;IF(LEN(IF(LEN(INDEX('My equipment'!$D$4:$D$503,(_calc!$E$368-500)))=0,"",INDEX('My equipment'!$D$4:$D$503,(_calc!$E$368-500))))=0,"","Serial: "&amp;IF(LEN(INDEX('My equipment'!$D$4:$D$503,(_calc!$E$368-500)))=0,"",INDEX('My equipment'!$D$4:$D$503,(_calc!$E$368-500)))&amp;". ")&amp;IF(LEN(IF(ISNUMBER(INDEX('My equipment'!$J$4:$J$503,(_calc!$E$368-500))),TEXT(INDEX('My equipment'!$J$4:$J$503,(_calc!$E$368-500)),"yyyy-mm-dd"),""))=0,"","Parts end: "&amp;IF(ISNUMBER(INDEX('My equipment'!$J$4:$J$503,(_calc!$E$368-500))),TEXT(INDEX('My equipment'!$J$4:$J$503,(_calc!$E$368-500)),"yyyy-mm-dd"),"")&amp;". ")&amp;IF(LEN(IF(ISNUMBER(INDEX('My equipment'!$L$4:$L$503,(_calc!$E$368-500))),TEXT(INDEX('My equipment'!$L$4:$L$503,(_calc!$E$368-500)),"yyyy-mm-dd"),""))=0,"","Labor end: "&amp;IF(ISNUMBER(INDEX('My equipment'!$L$4:$L$503,(_calc!$E$368-500))),TEXT(INDEX('My equipment'!$L$4:$L$503,(_calc!$E$368-500)),"yyyy-mm-dd"),"")&amp;". ")&amp;IF(LEN(IF(ISNUMBER(INDEX('My equipment'!$P$4:$P$503,(_calc!$E$368-500))),TEXT(INDEX('My equipment'!$P$4:$P$503,(_calc!$E$368-500)),"yyyy-mm-dd"),""))=0,"","Check by: "&amp;IF(ISNUMBER(INDEX('My equipment'!$P$4:$P$503,(_calc!$E$368-500))),TEXT(INDEX('My equipment'!$P$4:$P$503,(_calc!$E$368-500)),"yyyy-mm-dd"),"")&amp;". ")&amp;IF(LEN(IF(LEN(INDEX('My equipment'!$Q$4:$Q$503,(_calc!$E$368-500)))=0,"",INDEX('My equipment'!$Q$4:$Q$503,(_calc!$E$368-500))))=0,"","Claim status: "&amp;IF(LEN(INDEX('My equipment'!$Q$4:$Q$503,(_calc!$E$368-500)))=0,"",INDEX('My equipment'!$Q$4:$Q$503,(_calc!$E$368-500)))&amp;". ")&amp;IF(LEN(IF(LEN(INDEX('My equipment'!$R$4:$R$503,(_calc!$E$368-500)))=0,"",INDEX('My equipment'!$R$4:$R$503,(_calc!$E$368-500))))=0,"","Claims contact: "&amp;IF(LEN(INDEX('My equipment'!$R$4:$R$503,(_calc!$E$368-500)))=0,"",INDEX('My equipment'!$R$4:$R$503,(_calc!$E$368-500)))&amp;". ")&amp;IF(LEN(IF(LEN(INDEX('My equipment'!$S$4:$S$503,(_calc!$E$368-500)))=0,"",INDEX('My equipment'!$S$4:$S$503,(_calc!$E$368-500))))=0,"","Claims email: "&amp;IF(LEN(INDEX('My equipment'!$S$4:$S$503,(_calc!$E$368-500)))=0,"",INDEX('My equipment'!$S$4:$S$503,(_calc!$E$368-500)))&amp;". ")&amp;IF(LEN(IF(LEN(INDEX('My equipment'!$U$4:$U$503,(_calc!$E$368-500)))=0,"",INDEX('My equipment'!$U$4:$U$503,(_calc!$E$368-500))))=0,"","Registered: "&amp;IF(LEN(INDEX('My equipment'!$U$4:$U$503,(_calc!$E$368-500)))=0,"",INDEX('My equipment'!$U$4:$U$503,(_calc!$E$368-500)))&amp;". ")&amp;IF(LEN(IF(LEN(INDEX('My equipment'!$V$4:$V$503,(_calc!$E$368-500)))=0,"",INDEX('My equipment'!$V$4:$V$503,(_calc!$E$368-500))))=0,"","Proof on file: "&amp;IF(LEN(INDEX('My equipment'!$V$4:$V$503,(_calc!$E$368-500)))=0,"",INDEX('My equipment'!$V$4:$V$503,(_calc!$E$368-500)))&amp;". ")&amp;IF(LEN(IF(LEN(INDEX('My equipment'!$W$4:$W$503,(_calc!$E$368-500)))=0,"",INDEX('My equipment'!$W$4:$W$503,(_calc!$E$368-500))))=0,"","Claim ref: "&amp;IF(LEN(INDEX('My equipment'!$W$4:$W$503,(_calc!$E$368-500)))=0,"",INDEX('My equipment'!$W$4:$W$503,(_calc!$E$368-500)))&amp;". ")&amp;IF(LEN(IF(LEN(INDEX('My equipment'!$Y$4:$Y$503,(_calc!$E$368-500)))=0,"",INDEX('My equipment'!$Y$4:$Y$503,(_calc!$E$368-500))))=0,"",IF(LEN(INDEX('My equipment'!$Y$4:$Y$503,(_calc!$E$368-500)))=0,"",INDEX('My equipment'!$Y$4:$Y$503,(_calc!$E$368-500)))))))</f>
        <v/>
      </c>
      <c r="G366" s="54">
        <f>IF(_calc!$E$368="","",IF(_calc!$E$368&lt;=500,"",IF(LEN(INDEX('My equipment'!$X$4:$X$503,(_calc!$E$368-500)))=0,"",INDEX('My equipment'!$X$4:$X$503,(_calc!$E$368-500)))))</f>
        <v/>
      </c>
      <c r="K366" s="54">
        <f>IF(_calc!$E$368="","",IF(_calc!$E$368&lt;=500,"",IF(LEN(INDEX('My equipment'!$T$4:$T$503,(_calc!$E$368-500)))=0,"",INDEX('My equipment'!$T$4:$T$503,(_calc!$E$368-500)))))</f>
        <v/>
      </c>
    </row>
    <row r="367">
      <c r="A367" s="54">
        <f>IF(_calc!$E$369="","",IF(_calc!$E$369&lt;=500,"Warranty – "&amp;IF(LEN(INDEX('Dealer pipeline'!$C$4:$C$503,_calc!$E$369))=0,"",INDEX('Dealer pipeline'!$C$4:$C$503,_calc!$E$369))&amp;" – "&amp;IF(LEN(INDEX('Dealer pipeline'!$D$4:$D$503,_calc!$E$369))=0,"",INDEX('Dealer pipeline'!$D$4:$D$503,_calc!$E$369))&amp;" – "&amp;IF(LEN(INDEX('Dealer pipeline'!$A$4:$A$503,_calc!$E$369))=0,"",INDEX('Dealer pipeline'!$A$4:$A$503,_calc!$E$369)),"Warranty – "&amp;IF(LEN(INDEX('My equipment'!$A$4:$A$503,(_calc!$E$369-500)))=0,"",INDEX('My equipment'!$A$4:$A$503,(_calc!$E$369-500)))&amp;" – "&amp;IF(LEN(INDEX('My equipment'!$D$4:$D$503,(_calc!$E$369-500)))=0,"",INDEX('My equipment'!$D$4:$D$503,(_calc!$E$369-500)))))</f>
        <v/>
      </c>
      <c r="B367" s="54">
        <f>IF(_calc!$E$369="","",IF(_calc!$E$369&lt;=500,IF(ISNUMBER(INDEX('Dealer pipeline'!$M$4:$M$503,_calc!$E$369)),TEXT(INDEX('Dealer pipeline'!$M$4:$M$503,_calc!$E$369),"yyyy-mm-dd"),""),IF(ISNUMBER(INDEX('My equipment'!$M$4:$M$503,(_calc!$E$369-500))),TEXT(INDEX('My equipment'!$M$4:$M$503,(_calc!$E$369-500)),"yyyy-mm-dd"),"")))</f>
        <v/>
      </c>
      <c r="C367" s="54">
        <f>IF(_calc!$E$369="","",IF(_calc!$E$369&lt;=500,"Warranty","Warranty"))</f>
        <v/>
      </c>
      <c r="D367" s="54">
        <f>IF(_calc!$E$369="","",IF(_calc!$E$369&lt;=500,IF(ISNUMBER(INDEX('Dealer pipeline'!$H$4:$H$503,_calc!$E$369)),TEXT(INDEX('Dealer pipeline'!$H$4:$H$503,_calc!$E$369),"yyyy-mm-dd"),""),IF(ISNUMBER(INDEX('My equipment'!$H$4:$H$503,(_calc!$E$369-500))),TEXT(INDEX('My equipment'!$H$4:$H$503,(_calc!$E$369-500)),"yyyy-mm-dd"),"")))</f>
        <v/>
      </c>
      <c r="F367" s="54">
        <f>IF(_calc!$E$369="","",IF(_calc!$E$369&lt;=500,TRIM(IF(LEN(IF(LEN(INDEX('Dealer pipeline'!$A$4:$A$503,_calc!$E$369))=0,"",INDEX('Dealer pipeline'!$A$4:$A$503,_calc!$E$369)))=0,"","Customer: "&amp;IF(LEN(INDEX('Dealer pipeline'!$A$4:$A$503,_calc!$E$369))=0,"",INDEX('Dealer pipeline'!$A$4:$A$503,_calc!$E$369))&amp;". ")&amp;IF(LEN(IF(LEN(INDEX('Dealer pipeline'!$B$4:$B$503,_calc!$E$369))=0,"",INDEX('Dealer pipeline'!$B$4:$B$503,_calc!$E$369)))=0,"","Contact: "&amp;IF(LEN(INDEX('Dealer pipeline'!$B$4:$B$503,_calc!$E$369))=0,"",INDEX('Dealer pipeline'!$B$4:$B$503,_calc!$E$369))&amp;". ")&amp;IF(LEN(IF(LEN(INDEX('Dealer pipeline'!$D$4:$D$503,_calc!$E$369))=0,"",INDEX('Dealer pipeline'!$D$4:$D$503,_calc!$E$369)))=0,"","Serial: "&amp;IF(LEN(INDEX('Dealer pipeline'!$D$4:$D$503,_calc!$E$369))=0,"",INDEX('Dealer pipeline'!$D$4:$D$503,_calc!$E$369))&amp;". ")&amp;IF(LEN(IF(ISNUMBER(INDEX('Dealer pipeline'!$J$4:$J$503,_calc!$E$369)),TEXT(INDEX('Dealer pipeline'!$J$4:$J$503,_calc!$E$369),"yyyy-mm-dd"),""))=0,"","Parts end: "&amp;IF(ISNUMBER(INDEX('Dealer pipeline'!$J$4:$J$503,_calc!$E$369)),TEXT(INDEX('Dealer pipeline'!$J$4:$J$503,_calc!$E$369),"yyyy-mm-dd"),"")&amp;". ")&amp;IF(LEN(IF(ISNUMBER(INDEX('Dealer pipeline'!$L$4:$L$503,_calc!$E$369)),TEXT(INDEX('Dealer pipeline'!$L$4:$L$503,_calc!$E$369),"yyyy-mm-dd"),""))=0,"","Labor end: "&amp;IF(ISNUMBER(INDEX('Dealer pipeline'!$L$4:$L$503,_calc!$E$369)),TEXT(INDEX('Dealer pipeline'!$L$4:$L$503,_calc!$E$369),"yyyy-mm-dd"),"")&amp;". ")&amp;IF(LEN(IF(LEN(INDEX('Dealer pipeline'!$Q$4:$Q$503,_calc!$E$369))=0,"",INDEX('Dealer pipeline'!$Q$4:$Q$503,_calc!$E$369)))=0,"","Status: "&amp;IF(LEN(INDEX('Dealer pipeline'!$Q$4:$Q$503,_calc!$E$369))=0,"",INDEX('Dealer pipeline'!$Q$4:$Q$503,_calc!$E$369))&amp;". ")&amp;IF(LEN(IF(LEN(INDEX('Dealer pipeline'!$P$4:$P$503,_calc!$E$369))=0,"",INDEX('Dealer pipeline'!$P$4:$P$503,_calc!$E$369)))=0,"","Last touch: "&amp;IF(LEN(INDEX('Dealer pipeline'!$P$4:$P$503,_calc!$E$369))=0,"",INDEX('Dealer pipeline'!$P$4:$P$503,_calc!$E$369))&amp;". ")&amp;IF(LEN(IF(LEN(INDEX('Dealer pipeline'!$R$4:$R$503,_calc!$E$369))=0,"",INDEX('Dealer pipeline'!$R$4:$R$503,_calc!$E$369)))=0,"","Owner: "&amp;IF(LEN(INDEX('Dealer pipeline'!$R$4:$R$503,_calc!$E$369))=0,"",INDEX('Dealer pipeline'!$R$4:$R$503,_calc!$E$369))&amp;". ")&amp;IF(LEN(IF(LEN(INDEX('Dealer pipeline'!$S$4:$S$503,_calc!$E$369))=0,"",INDEX('Dealer pipeline'!$S$4:$S$503,_calc!$E$369)))=0,"","Backup: "&amp;IF(LEN(INDEX('Dealer pipeline'!$S$4:$S$503,_calc!$E$369))=0,"",INDEX('Dealer pipeline'!$S$4:$S$503,_calc!$E$369))&amp;". ")&amp;IF(LEN(IF(LEN(INDEX('Dealer pipeline'!$T$4:$T$503,_calc!$E$369))=0,"",INDEX('Dealer pipeline'!$T$4:$T$503,_calc!$E$369)))=0,"",IF(LEN(INDEX('Dealer pipeline'!$T$4:$T$503,_calc!$E$369))=0,"",INDEX('Dealer pipeline'!$T$4:$T$503,_calc!$E$369)))),TRIM(IF(LEN(IF(LEN(INDEX('My equipment'!$C$4:$C$503,(_calc!$E$369-500)))=0,"",INDEX('My equipment'!$C$4:$C$503,(_calc!$E$369-500))))=0,"","Model: "&amp;IF(LEN(INDEX('My equipment'!$C$4:$C$503,(_calc!$E$369-500)))=0,"",INDEX('My equipment'!$C$4:$C$503,(_calc!$E$369-500)))&amp;". ")&amp;IF(LEN(IF(LEN(INDEX('My equipment'!$D$4:$D$503,(_calc!$E$369-500)))=0,"",INDEX('My equipment'!$D$4:$D$503,(_calc!$E$369-500))))=0,"","Serial: "&amp;IF(LEN(INDEX('My equipment'!$D$4:$D$503,(_calc!$E$369-500)))=0,"",INDEX('My equipment'!$D$4:$D$503,(_calc!$E$369-500)))&amp;". ")&amp;IF(LEN(IF(ISNUMBER(INDEX('My equipment'!$J$4:$J$503,(_calc!$E$369-500))),TEXT(INDEX('My equipment'!$J$4:$J$503,(_calc!$E$369-500)),"yyyy-mm-dd"),""))=0,"","Parts end: "&amp;IF(ISNUMBER(INDEX('My equipment'!$J$4:$J$503,(_calc!$E$369-500))),TEXT(INDEX('My equipment'!$J$4:$J$503,(_calc!$E$369-500)),"yyyy-mm-dd"),"")&amp;". ")&amp;IF(LEN(IF(ISNUMBER(INDEX('My equipment'!$L$4:$L$503,(_calc!$E$369-500))),TEXT(INDEX('My equipment'!$L$4:$L$503,(_calc!$E$369-500)),"yyyy-mm-dd"),""))=0,"","Labor end: "&amp;IF(ISNUMBER(INDEX('My equipment'!$L$4:$L$503,(_calc!$E$369-500))),TEXT(INDEX('My equipment'!$L$4:$L$503,(_calc!$E$369-500)),"yyyy-mm-dd"),"")&amp;". ")&amp;IF(LEN(IF(ISNUMBER(INDEX('My equipment'!$P$4:$P$503,(_calc!$E$369-500))),TEXT(INDEX('My equipment'!$P$4:$P$503,(_calc!$E$369-500)),"yyyy-mm-dd"),""))=0,"","Check by: "&amp;IF(ISNUMBER(INDEX('My equipment'!$P$4:$P$503,(_calc!$E$369-500))),TEXT(INDEX('My equipment'!$P$4:$P$503,(_calc!$E$369-500)),"yyyy-mm-dd"),"")&amp;". ")&amp;IF(LEN(IF(LEN(INDEX('My equipment'!$Q$4:$Q$503,(_calc!$E$369-500)))=0,"",INDEX('My equipment'!$Q$4:$Q$503,(_calc!$E$369-500))))=0,"","Claim status: "&amp;IF(LEN(INDEX('My equipment'!$Q$4:$Q$503,(_calc!$E$369-500)))=0,"",INDEX('My equipment'!$Q$4:$Q$503,(_calc!$E$369-500)))&amp;". ")&amp;IF(LEN(IF(LEN(INDEX('My equipment'!$R$4:$R$503,(_calc!$E$369-500)))=0,"",INDEX('My equipment'!$R$4:$R$503,(_calc!$E$369-500))))=0,"","Claims contact: "&amp;IF(LEN(INDEX('My equipment'!$R$4:$R$503,(_calc!$E$369-500)))=0,"",INDEX('My equipment'!$R$4:$R$503,(_calc!$E$369-500)))&amp;". ")&amp;IF(LEN(IF(LEN(INDEX('My equipment'!$S$4:$S$503,(_calc!$E$369-500)))=0,"",INDEX('My equipment'!$S$4:$S$503,(_calc!$E$369-500))))=0,"","Claims email: "&amp;IF(LEN(INDEX('My equipment'!$S$4:$S$503,(_calc!$E$369-500)))=0,"",INDEX('My equipment'!$S$4:$S$503,(_calc!$E$369-500)))&amp;". ")&amp;IF(LEN(IF(LEN(INDEX('My equipment'!$U$4:$U$503,(_calc!$E$369-500)))=0,"",INDEX('My equipment'!$U$4:$U$503,(_calc!$E$369-500))))=0,"","Registered: "&amp;IF(LEN(INDEX('My equipment'!$U$4:$U$503,(_calc!$E$369-500)))=0,"",INDEX('My equipment'!$U$4:$U$503,(_calc!$E$369-500)))&amp;". ")&amp;IF(LEN(IF(LEN(INDEX('My equipment'!$V$4:$V$503,(_calc!$E$369-500)))=0,"",INDEX('My equipment'!$V$4:$V$503,(_calc!$E$369-500))))=0,"","Proof on file: "&amp;IF(LEN(INDEX('My equipment'!$V$4:$V$503,(_calc!$E$369-500)))=0,"",INDEX('My equipment'!$V$4:$V$503,(_calc!$E$369-500)))&amp;". ")&amp;IF(LEN(IF(LEN(INDEX('My equipment'!$W$4:$W$503,(_calc!$E$369-500)))=0,"",INDEX('My equipment'!$W$4:$W$503,(_calc!$E$369-500))))=0,"","Claim ref: "&amp;IF(LEN(INDEX('My equipment'!$W$4:$W$503,(_calc!$E$369-500)))=0,"",INDEX('My equipment'!$W$4:$W$503,(_calc!$E$369-500)))&amp;". ")&amp;IF(LEN(IF(LEN(INDEX('My equipment'!$Y$4:$Y$503,(_calc!$E$369-500)))=0,"",INDEX('My equipment'!$Y$4:$Y$503,(_calc!$E$369-500))))=0,"",IF(LEN(INDEX('My equipment'!$Y$4:$Y$503,(_calc!$E$369-500)))=0,"",INDEX('My equipment'!$Y$4:$Y$503,(_calc!$E$369-500)))))))</f>
        <v/>
      </c>
      <c r="G367" s="54">
        <f>IF(_calc!$E$369="","",IF(_calc!$E$369&lt;=500,"",IF(LEN(INDEX('My equipment'!$X$4:$X$503,(_calc!$E$369-500)))=0,"",INDEX('My equipment'!$X$4:$X$503,(_calc!$E$369-500)))))</f>
        <v/>
      </c>
      <c r="K367" s="54">
        <f>IF(_calc!$E$369="","",IF(_calc!$E$369&lt;=500,"",IF(LEN(INDEX('My equipment'!$T$4:$T$503,(_calc!$E$369-500)))=0,"",INDEX('My equipment'!$T$4:$T$503,(_calc!$E$369-500)))))</f>
        <v/>
      </c>
    </row>
    <row r="368">
      <c r="A368" s="54">
        <f>IF(_calc!$E$370="","",IF(_calc!$E$370&lt;=500,"Warranty – "&amp;IF(LEN(INDEX('Dealer pipeline'!$C$4:$C$503,_calc!$E$370))=0,"",INDEX('Dealer pipeline'!$C$4:$C$503,_calc!$E$370))&amp;" – "&amp;IF(LEN(INDEX('Dealer pipeline'!$D$4:$D$503,_calc!$E$370))=0,"",INDEX('Dealer pipeline'!$D$4:$D$503,_calc!$E$370))&amp;" – "&amp;IF(LEN(INDEX('Dealer pipeline'!$A$4:$A$503,_calc!$E$370))=0,"",INDEX('Dealer pipeline'!$A$4:$A$503,_calc!$E$370)),"Warranty – "&amp;IF(LEN(INDEX('My equipment'!$A$4:$A$503,(_calc!$E$370-500)))=0,"",INDEX('My equipment'!$A$4:$A$503,(_calc!$E$370-500)))&amp;" – "&amp;IF(LEN(INDEX('My equipment'!$D$4:$D$503,(_calc!$E$370-500)))=0,"",INDEX('My equipment'!$D$4:$D$503,(_calc!$E$370-500)))))</f>
        <v/>
      </c>
      <c r="B368" s="54">
        <f>IF(_calc!$E$370="","",IF(_calc!$E$370&lt;=500,IF(ISNUMBER(INDEX('Dealer pipeline'!$M$4:$M$503,_calc!$E$370)),TEXT(INDEX('Dealer pipeline'!$M$4:$M$503,_calc!$E$370),"yyyy-mm-dd"),""),IF(ISNUMBER(INDEX('My equipment'!$M$4:$M$503,(_calc!$E$370-500))),TEXT(INDEX('My equipment'!$M$4:$M$503,(_calc!$E$370-500)),"yyyy-mm-dd"),"")))</f>
        <v/>
      </c>
      <c r="C368" s="54">
        <f>IF(_calc!$E$370="","",IF(_calc!$E$370&lt;=500,"Warranty","Warranty"))</f>
        <v/>
      </c>
      <c r="D368" s="54">
        <f>IF(_calc!$E$370="","",IF(_calc!$E$370&lt;=500,IF(ISNUMBER(INDEX('Dealer pipeline'!$H$4:$H$503,_calc!$E$370)),TEXT(INDEX('Dealer pipeline'!$H$4:$H$503,_calc!$E$370),"yyyy-mm-dd"),""),IF(ISNUMBER(INDEX('My equipment'!$H$4:$H$503,(_calc!$E$370-500))),TEXT(INDEX('My equipment'!$H$4:$H$503,(_calc!$E$370-500)),"yyyy-mm-dd"),"")))</f>
        <v/>
      </c>
      <c r="F368" s="54">
        <f>IF(_calc!$E$370="","",IF(_calc!$E$370&lt;=500,TRIM(IF(LEN(IF(LEN(INDEX('Dealer pipeline'!$A$4:$A$503,_calc!$E$370))=0,"",INDEX('Dealer pipeline'!$A$4:$A$503,_calc!$E$370)))=0,"","Customer: "&amp;IF(LEN(INDEX('Dealer pipeline'!$A$4:$A$503,_calc!$E$370))=0,"",INDEX('Dealer pipeline'!$A$4:$A$503,_calc!$E$370))&amp;". ")&amp;IF(LEN(IF(LEN(INDEX('Dealer pipeline'!$B$4:$B$503,_calc!$E$370))=0,"",INDEX('Dealer pipeline'!$B$4:$B$503,_calc!$E$370)))=0,"","Contact: "&amp;IF(LEN(INDEX('Dealer pipeline'!$B$4:$B$503,_calc!$E$370))=0,"",INDEX('Dealer pipeline'!$B$4:$B$503,_calc!$E$370))&amp;". ")&amp;IF(LEN(IF(LEN(INDEX('Dealer pipeline'!$D$4:$D$503,_calc!$E$370))=0,"",INDEX('Dealer pipeline'!$D$4:$D$503,_calc!$E$370)))=0,"","Serial: "&amp;IF(LEN(INDEX('Dealer pipeline'!$D$4:$D$503,_calc!$E$370))=0,"",INDEX('Dealer pipeline'!$D$4:$D$503,_calc!$E$370))&amp;". ")&amp;IF(LEN(IF(ISNUMBER(INDEX('Dealer pipeline'!$J$4:$J$503,_calc!$E$370)),TEXT(INDEX('Dealer pipeline'!$J$4:$J$503,_calc!$E$370),"yyyy-mm-dd"),""))=0,"","Parts end: "&amp;IF(ISNUMBER(INDEX('Dealer pipeline'!$J$4:$J$503,_calc!$E$370)),TEXT(INDEX('Dealer pipeline'!$J$4:$J$503,_calc!$E$370),"yyyy-mm-dd"),"")&amp;". ")&amp;IF(LEN(IF(ISNUMBER(INDEX('Dealer pipeline'!$L$4:$L$503,_calc!$E$370)),TEXT(INDEX('Dealer pipeline'!$L$4:$L$503,_calc!$E$370),"yyyy-mm-dd"),""))=0,"","Labor end: "&amp;IF(ISNUMBER(INDEX('Dealer pipeline'!$L$4:$L$503,_calc!$E$370)),TEXT(INDEX('Dealer pipeline'!$L$4:$L$503,_calc!$E$370),"yyyy-mm-dd"),"")&amp;". ")&amp;IF(LEN(IF(LEN(INDEX('Dealer pipeline'!$Q$4:$Q$503,_calc!$E$370))=0,"",INDEX('Dealer pipeline'!$Q$4:$Q$503,_calc!$E$370)))=0,"","Status: "&amp;IF(LEN(INDEX('Dealer pipeline'!$Q$4:$Q$503,_calc!$E$370))=0,"",INDEX('Dealer pipeline'!$Q$4:$Q$503,_calc!$E$370))&amp;". ")&amp;IF(LEN(IF(LEN(INDEX('Dealer pipeline'!$P$4:$P$503,_calc!$E$370))=0,"",INDEX('Dealer pipeline'!$P$4:$P$503,_calc!$E$370)))=0,"","Last touch: "&amp;IF(LEN(INDEX('Dealer pipeline'!$P$4:$P$503,_calc!$E$370))=0,"",INDEX('Dealer pipeline'!$P$4:$P$503,_calc!$E$370))&amp;". ")&amp;IF(LEN(IF(LEN(INDEX('Dealer pipeline'!$R$4:$R$503,_calc!$E$370))=0,"",INDEX('Dealer pipeline'!$R$4:$R$503,_calc!$E$370)))=0,"","Owner: "&amp;IF(LEN(INDEX('Dealer pipeline'!$R$4:$R$503,_calc!$E$370))=0,"",INDEX('Dealer pipeline'!$R$4:$R$503,_calc!$E$370))&amp;". ")&amp;IF(LEN(IF(LEN(INDEX('Dealer pipeline'!$S$4:$S$503,_calc!$E$370))=0,"",INDEX('Dealer pipeline'!$S$4:$S$503,_calc!$E$370)))=0,"","Backup: "&amp;IF(LEN(INDEX('Dealer pipeline'!$S$4:$S$503,_calc!$E$370))=0,"",INDEX('Dealer pipeline'!$S$4:$S$503,_calc!$E$370))&amp;". ")&amp;IF(LEN(IF(LEN(INDEX('Dealer pipeline'!$T$4:$T$503,_calc!$E$370))=0,"",INDEX('Dealer pipeline'!$T$4:$T$503,_calc!$E$370)))=0,"",IF(LEN(INDEX('Dealer pipeline'!$T$4:$T$503,_calc!$E$370))=0,"",INDEX('Dealer pipeline'!$T$4:$T$503,_calc!$E$370)))),TRIM(IF(LEN(IF(LEN(INDEX('My equipment'!$C$4:$C$503,(_calc!$E$370-500)))=0,"",INDEX('My equipment'!$C$4:$C$503,(_calc!$E$370-500))))=0,"","Model: "&amp;IF(LEN(INDEX('My equipment'!$C$4:$C$503,(_calc!$E$370-500)))=0,"",INDEX('My equipment'!$C$4:$C$503,(_calc!$E$370-500)))&amp;". ")&amp;IF(LEN(IF(LEN(INDEX('My equipment'!$D$4:$D$503,(_calc!$E$370-500)))=0,"",INDEX('My equipment'!$D$4:$D$503,(_calc!$E$370-500))))=0,"","Serial: "&amp;IF(LEN(INDEX('My equipment'!$D$4:$D$503,(_calc!$E$370-500)))=0,"",INDEX('My equipment'!$D$4:$D$503,(_calc!$E$370-500)))&amp;". ")&amp;IF(LEN(IF(ISNUMBER(INDEX('My equipment'!$J$4:$J$503,(_calc!$E$370-500))),TEXT(INDEX('My equipment'!$J$4:$J$503,(_calc!$E$370-500)),"yyyy-mm-dd"),""))=0,"","Parts end: "&amp;IF(ISNUMBER(INDEX('My equipment'!$J$4:$J$503,(_calc!$E$370-500))),TEXT(INDEX('My equipment'!$J$4:$J$503,(_calc!$E$370-500)),"yyyy-mm-dd"),"")&amp;". ")&amp;IF(LEN(IF(ISNUMBER(INDEX('My equipment'!$L$4:$L$503,(_calc!$E$370-500))),TEXT(INDEX('My equipment'!$L$4:$L$503,(_calc!$E$370-500)),"yyyy-mm-dd"),""))=0,"","Labor end: "&amp;IF(ISNUMBER(INDEX('My equipment'!$L$4:$L$503,(_calc!$E$370-500))),TEXT(INDEX('My equipment'!$L$4:$L$503,(_calc!$E$370-500)),"yyyy-mm-dd"),"")&amp;". ")&amp;IF(LEN(IF(ISNUMBER(INDEX('My equipment'!$P$4:$P$503,(_calc!$E$370-500))),TEXT(INDEX('My equipment'!$P$4:$P$503,(_calc!$E$370-500)),"yyyy-mm-dd"),""))=0,"","Check by: "&amp;IF(ISNUMBER(INDEX('My equipment'!$P$4:$P$503,(_calc!$E$370-500))),TEXT(INDEX('My equipment'!$P$4:$P$503,(_calc!$E$370-500)),"yyyy-mm-dd"),"")&amp;". ")&amp;IF(LEN(IF(LEN(INDEX('My equipment'!$Q$4:$Q$503,(_calc!$E$370-500)))=0,"",INDEX('My equipment'!$Q$4:$Q$503,(_calc!$E$370-500))))=0,"","Claim status: "&amp;IF(LEN(INDEX('My equipment'!$Q$4:$Q$503,(_calc!$E$370-500)))=0,"",INDEX('My equipment'!$Q$4:$Q$503,(_calc!$E$370-500)))&amp;". ")&amp;IF(LEN(IF(LEN(INDEX('My equipment'!$R$4:$R$503,(_calc!$E$370-500)))=0,"",INDEX('My equipment'!$R$4:$R$503,(_calc!$E$370-500))))=0,"","Claims contact: "&amp;IF(LEN(INDEX('My equipment'!$R$4:$R$503,(_calc!$E$370-500)))=0,"",INDEX('My equipment'!$R$4:$R$503,(_calc!$E$370-500)))&amp;". ")&amp;IF(LEN(IF(LEN(INDEX('My equipment'!$S$4:$S$503,(_calc!$E$370-500)))=0,"",INDEX('My equipment'!$S$4:$S$503,(_calc!$E$370-500))))=0,"","Claims email: "&amp;IF(LEN(INDEX('My equipment'!$S$4:$S$503,(_calc!$E$370-500)))=0,"",INDEX('My equipment'!$S$4:$S$503,(_calc!$E$370-500)))&amp;". ")&amp;IF(LEN(IF(LEN(INDEX('My equipment'!$U$4:$U$503,(_calc!$E$370-500)))=0,"",INDEX('My equipment'!$U$4:$U$503,(_calc!$E$370-500))))=0,"","Registered: "&amp;IF(LEN(INDEX('My equipment'!$U$4:$U$503,(_calc!$E$370-500)))=0,"",INDEX('My equipment'!$U$4:$U$503,(_calc!$E$370-500)))&amp;". ")&amp;IF(LEN(IF(LEN(INDEX('My equipment'!$V$4:$V$503,(_calc!$E$370-500)))=0,"",INDEX('My equipment'!$V$4:$V$503,(_calc!$E$370-500))))=0,"","Proof on file: "&amp;IF(LEN(INDEX('My equipment'!$V$4:$V$503,(_calc!$E$370-500)))=0,"",INDEX('My equipment'!$V$4:$V$503,(_calc!$E$370-500)))&amp;". ")&amp;IF(LEN(IF(LEN(INDEX('My equipment'!$W$4:$W$503,(_calc!$E$370-500)))=0,"",INDEX('My equipment'!$W$4:$W$503,(_calc!$E$370-500))))=0,"","Claim ref: "&amp;IF(LEN(INDEX('My equipment'!$W$4:$W$503,(_calc!$E$370-500)))=0,"",INDEX('My equipment'!$W$4:$W$503,(_calc!$E$370-500)))&amp;". ")&amp;IF(LEN(IF(LEN(INDEX('My equipment'!$Y$4:$Y$503,(_calc!$E$370-500)))=0,"",INDEX('My equipment'!$Y$4:$Y$503,(_calc!$E$370-500))))=0,"",IF(LEN(INDEX('My equipment'!$Y$4:$Y$503,(_calc!$E$370-500)))=0,"",INDEX('My equipment'!$Y$4:$Y$503,(_calc!$E$370-500)))))))</f>
        <v/>
      </c>
      <c r="G368" s="54">
        <f>IF(_calc!$E$370="","",IF(_calc!$E$370&lt;=500,"",IF(LEN(INDEX('My equipment'!$X$4:$X$503,(_calc!$E$370-500)))=0,"",INDEX('My equipment'!$X$4:$X$503,(_calc!$E$370-500)))))</f>
        <v/>
      </c>
      <c r="K368" s="54">
        <f>IF(_calc!$E$370="","",IF(_calc!$E$370&lt;=500,"",IF(LEN(INDEX('My equipment'!$T$4:$T$503,(_calc!$E$370-500)))=0,"",INDEX('My equipment'!$T$4:$T$503,(_calc!$E$370-500)))))</f>
        <v/>
      </c>
    </row>
    <row r="369">
      <c r="A369" s="54">
        <f>IF(_calc!$E$371="","",IF(_calc!$E$371&lt;=500,"Warranty – "&amp;IF(LEN(INDEX('Dealer pipeline'!$C$4:$C$503,_calc!$E$371))=0,"",INDEX('Dealer pipeline'!$C$4:$C$503,_calc!$E$371))&amp;" – "&amp;IF(LEN(INDEX('Dealer pipeline'!$D$4:$D$503,_calc!$E$371))=0,"",INDEX('Dealer pipeline'!$D$4:$D$503,_calc!$E$371))&amp;" – "&amp;IF(LEN(INDEX('Dealer pipeline'!$A$4:$A$503,_calc!$E$371))=0,"",INDEX('Dealer pipeline'!$A$4:$A$503,_calc!$E$371)),"Warranty – "&amp;IF(LEN(INDEX('My equipment'!$A$4:$A$503,(_calc!$E$371-500)))=0,"",INDEX('My equipment'!$A$4:$A$503,(_calc!$E$371-500)))&amp;" – "&amp;IF(LEN(INDEX('My equipment'!$D$4:$D$503,(_calc!$E$371-500)))=0,"",INDEX('My equipment'!$D$4:$D$503,(_calc!$E$371-500)))))</f>
        <v/>
      </c>
      <c r="B369" s="54">
        <f>IF(_calc!$E$371="","",IF(_calc!$E$371&lt;=500,IF(ISNUMBER(INDEX('Dealer pipeline'!$M$4:$M$503,_calc!$E$371)),TEXT(INDEX('Dealer pipeline'!$M$4:$M$503,_calc!$E$371),"yyyy-mm-dd"),""),IF(ISNUMBER(INDEX('My equipment'!$M$4:$M$503,(_calc!$E$371-500))),TEXT(INDEX('My equipment'!$M$4:$M$503,(_calc!$E$371-500)),"yyyy-mm-dd"),"")))</f>
        <v/>
      </c>
      <c r="C369" s="54">
        <f>IF(_calc!$E$371="","",IF(_calc!$E$371&lt;=500,"Warranty","Warranty"))</f>
        <v/>
      </c>
      <c r="D369" s="54">
        <f>IF(_calc!$E$371="","",IF(_calc!$E$371&lt;=500,IF(ISNUMBER(INDEX('Dealer pipeline'!$H$4:$H$503,_calc!$E$371)),TEXT(INDEX('Dealer pipeline'!$H$4:$H$503,_calc!$E$371),"yyyy-mm-dd"),""),IF(ISNUMBER(INDEX('My equipment'!$H$4:$H$503,(_calc!$E$371-500))),TEXT(INDEX('My equipment'!$H$4:$H$503,(_calc!$E$371-500)),"yyyy-mm-dd"),"")))</f>
        <v/>
      </c>
      <c r="F369" s="54">
        <f>IF(_calc!$E$371="","",IF(_calc!$E$371&lt;=500,TRIM(IF(LEN(IF(LEN(INDEX('Dealer pipeline'!$A$4:$A$503,_calc!$E$371))=0,"",INDEX('Dealer pipeline'!$A$4:$A$503,_calc!$E$371)))=0,"","Customer: "&amp;IF(LEN(INDEX('Dealer pipeline'!$A$4:$A$503,_calc!$E$371))=0,"",INDEX('Dealer pipeline'!$A$4:$A$503,_calc!$E$371))&amp;". ")&amp;IF(LEN(IF(LEN(INDEX('Dealer pipeline'!$B$4:$B$503,_calc!$E$371))=0,"",INDEX('Dealer pipeline'!$B$4:$B$503,_calc!$E$371)))=0,"","Contact: "&amp;IF(LEN(INDEX('Dealer pipeline'!$B$4:$B$503,_calc!$E$371))=0,"",INDEX('Dealer pipeline'!$B$4:$B$503,_calc!$E$371))&amp;". ")&amp;IF(LEN(IF(LEN(INDEX('Dealer pipeline'!$D$4:$D$503,_calc!$E$371))=0,"",INDEX('Dealer pipeline'!$D$4:$D$503,_calc!$E$371)))=0,"","Serial: "&amp;IF(LEN(INDEX('Dealer pipeline'!$D$4:$D$503,_calc!$E$371))=0,"",INDEX('Dealer pipeline'!$D$4:$D$503,_calc!$E$371))&amp;". ")&amp;IF(LEN(IF(ISNUMBER(INDEX('Dealer pipeline'!$J$4:$J$503,_calc!$E$371)),TEXT(INDEX('Dealer pipeline'!$J$4:$J$503,_calc!$E$371),"yyyy-mm-dd"),""))=0,"","Parts end: "&amp;IF(ISNUMBER(INDEX('Dealer pipeline'!$J$4:$J$503,_calc!$E$371)),TEXT(INDEX('Dealer pipeline'!$J$4:$J$503,_calc!$E$371),"yyyy-mm-dd"),"")&amp;". ")&amp;IF(LEN(IF(ISNUMBER(INDEX('Dealer pipeline'!$L$4:$L$503,_calc!$E$371)),TEXT(INDEX('Dealer pipeline'!$L$4:$L$503,_calc!$E$371),"yyyy-mm-dd"),""))=0,"","Labor end: "&amp;IF(ISNUMBER(INDEX('Dealer pipeline'!$L$4:$L$503,_calc!$E$371)),TEXT(INDEX('Dealer pipeline'!$L$4:$L$503,_calc!$E$371),"yyyy-mm-dd"),"")&amp;". ")&amp;IF(LEN(IF(LEN(INDEX('Dealer pipeline'!$Q$4:$Q$503,_calc!$E$371))=0,"",INDEX('Dealer pipeline'!$Q$4:$Q$503,_calc!$E$371)))=0,"","Status: "&amp;IF(LEN(INDEX('Dealer pipeline'!$Q$4:$Q$503,_calc!$E$371))=0,"",INDEX('Dealer pipeline'!$Q$4:$Q$503,_calc!$E$371))&amp;". ")&amp;IF(LEN(IF(LEN(INDEX('Dealer pipeline'!$P$4:$P$503,_calc!$E$371))=0,"",INDEX('Dealer pipeline'!$P$4:$P$503,_calc!$E$371)))=0,"","Last touch: "&amp;IF(LEN(INDEX('Dealer pipeline'!$P$4:$P$503,_calc!$E$371))=0,"",INDEX('Dealer pipeline'!$P$4:$P$503,_calc!$E$371))&amp;". ")&amp;IF(LEN(IF(LEN(INDEX('Dealer pipeline'!$R$4:$R$503,_calc!$E$371))=0,"",INDEX('Dealer pipeline'!$R$4:$R$503,_calc!$E$371)))=0,"","Owner: "&amp;IF(LEN(INDEX('Dealer pipeline'!$R$4:$R$503,_calc!$E$371))=0,"",INDEX('Dealer pipeline'!$R$4:$R$503,_calc!$E$371))&amp;". ")&amp;IF(LEN(IF(LEN(INDEX('Dealer pipeline'!$S$4:$S$503,_calc!$E$371))=0,"",INDEX('Dealer pipeline'!$S$4:$S$503,_calc!$E$371)))=0,"","Backup: "&amp;IF(LEN(INDEX('Dealer pipeline'!$S$4:$S$503,_calc!$E$371))=0,"",INDEX('Dealer pipeline'!$S$4:$S$503,_calc!$E$371))&amp;". ")&amp;IF(LEN(IF(LEN(INDEX('Dealer pipeline'!$T$4:$T$503,_calc!$E$371))=0,"",INDEX('Dealer pipeline'!$T$4:$T$503,_calc!$E$371)))=0,"",IF(LEN(INDEX('Dealer pipeline'!$T$4:$T$503,_calc!$E$371))=0,"",INDEX('Dealer pipeline'!$T$4:$T$503,_calc!$E$371)))),TRIM(IF(LEN(IF(LEN(INDEX('My equipment'!$C$4:$C$503,(_calc!$E$371-500)))=0,"",INDEX('My equipment'!$C$4:$C$503,(_calc!$E$371-500))))=0,"","Model: "&amp;IF(LEN(INDEX('My equipment'!$C$4:$C$503,(_calc!$E$371-500)))=0,"",INDEX('My equipment'!$C$4:$C$503,(_calc!$E$371-500)))&amp;". ")&amp;IF(LEN(IF(LEN(INDEX('My equipment'!$D$4:$D$503,(_calc!$E$371-500)))=0,"",INDEX('My equipment'!$D$4:$D$503,(_calc!$E$371-500))))=0,"","Serial: "&amp;IF(LEN(INDEX('My equipment'!$D$4:$D$503,(_calc!$E$371-500)))=0,"",INDEX('My equipment'!$D$4:$D$503,(_calc!$E$371-500)))&amp;". ")&amp;IF(LEN(IF(ISNUMBER(INDEX('My equipment'!$J$4:$J$503,(_calc!$E$371-500))),TEXT(INDEX('My equipment'!$J$4:$J$503,(_calc!$E$371-500)),"yyyy-mm-dd"),""))=0,"","Parts end: "&amp;IF(ISNUMBER(INDEX('My equipment'!$J$4:$J$503,(_calc!$E$371-500))),TEXT(INDEX('My equipment'!$J$4:$J$503,(_calc!$E$371-500)),"yyyy-mm-dd"),"")&amp;". ")&amp;IF(LEN(IF(ISNUMBER(INDEX('My equipment'!$L$4:$L$503,(_calc!$E$371-500))),TEXT(INDEX('My equipment'!$L$4:$L$503,(_calc!$E$371-500)),"yyyy-mm-dd"),""))=0,"","Labor end: "&amp;IF(ISNUMBER(INDEX('My equipment'!$L$4:$L$503,(_calc!$E$371-500))),TEXT(INDEX('My equipment'!$L$4:$L$503,(_calc!$E$371-500)),"yyyy-mm-dd"),"")&amp;". ")&amp;IF(LEN(IF(ISNUMBER(INDEX('My equipment'!$P$4:$P$503,(_calc!$E$371-500))),TEXT(INDEX('My equipment'!$P$4:$P$503,(_calc!$E$371-500)),"yyyy-mm-dd"),""))=0,"","Check by: "&amp;IF(ISNUMBER(INDEX('My equipment'!$P$4:$P$503,(_calc!$E$371-500))),TEXT(INDEX('My equipment'!$P$4:$P$503,(_calc!$E$371-500)),"yyyy-mm-dd"),"")&amp;". ")&amp;IF(LEN(IF(LEN(INDEX('My equipment'!$Q$4:$Q$503,(_calc!$E$371-500)))=0,"",INDEX('My equipment'!$Q$4:$Q$503,(_calc!$E$371-500))))=0,"","Claim status: "&amp;IF(LEN(INDEX('My equipment'!$Q$4:$Q$503,(_calc!$E$371-500)))=0,"",INDEX('My equipment'!$Q$4:$Q$503,(_calc!$E$371-500)))&amp;". ")&amp;IF(LEN(IF(LEN(INDEX('My equipment'!$R$4:$R$503,(_calc!$E$371-500)))=0,"",INDEX('My equipment'!$R$4:$R$503,(_calc!$E$371-500))))=0,"","Claims contact: "&amp;IF(LEN(INDEX('My equipment'!$R$4:$R$503,(_calc!$E$371-500)))=0,"",INDEX('My equipment'!$R$4:$R$503,(_calc!$E$371-500)))&amp;". ")&amp;IF(LEN(IF(LEN(INDEX('My equipment'!$S$4:$S$503,(_calc!$E$371-500)))=0,"",INDEX('My equipment'!$S$4:$S$503,(_calc!$E$371-500))))=0,"","Claims email: "&amp;IF(LEN(INDEX('My equipment'!$S$4:$S$503,(_calc!$E$371-500)))=0,"",INDEX('My equipment'!$S$4:$S$503,(_calc!$E$371-500)))&amp;". ")&amp;IF(LEN(IF(LEN(INDEX('My equipment'!$U$4:$U$503,(_calc!$E$371-500)))=0,"",INDEX('My equipment'!$U$4:$U$503,(_calc!$E$371-500))))=0,"","Registered: "&amp;IF(LEN(INDEX('My equipment'!$U$4:$U$503,(_calc!$E$371-500)))=0,"",INDEX('My equipment'!$U$4:$U$503,(_calc!$E$371-500)))&amp;". ")&amp;IF(LEN(IF(LEN(INDEX('My equipment'!$V$4:$V$503,(_calc!$E$371-500)))=0,"",INDEX('My equipment'!$V$4:$V$503,(_calc!$E$371-500))))=0,"","Proof on file: "&amp;IF(LEN(INDEX('My equipment'!$V$4:$V$503,(_calc!$E$371-500)))=0,"",INDEX('My equipment'!$V$4:$V$503,(_calc!$E$371-500)))&amp;". ")&amp;IF(LEN(IF(LEN(INDEX('My equipment'!$W$4:$W$503,(_calc!$E$371-500)))=0,"",INDEX('My equipment'!$W$4:$W$503,(_calc!$E$371-500))))=0,"","Claim ref: "&amp;IF(LEN(INDEX('My equipment'!$W$4:$W$503,(_calc!$E$371-500)))=0,"",INDEX('My equipment'!$W$4:$W$503,(_calc!$E$371-500)))&amp;". ")&amp;IF(LEN(IF(LEN(INDEX('My equipment'!$Y$4:$Y$503,(_calc!$E$371-500)))=0,"",INDEX('My equipment'!$Y$4:$Y$503,(_calc!$E$371-500))))=0,"",IF(LEN(INDEX('My equipment'!$Y$4:$Y$503,(_calc!$E$371-500)))=0,"",INDEX('My equipment'!$Y$4:$Y$503,(_calc!$E$371-500)))))))</f>
        <v/>
      </c>
      <c r="G369" s="54">
        <f>IF(_calc!$E$371="","",IF(_calc!$E$371&lt;=500,"",IF(LEN(INDEX('My equipment'!$X$4:$X$503,(_calc!$E$371-500)))=0,"",INDEX('My equipment'!$X$4:$X$503,(_calc!$E$371-500)))))</f>
        <v/>
      </c>
      <c r="K369" s="54">
        <f>IF(_calc!$E$371="","",IF(_calc!$E$371&lt;=500,"",IF(LEN(INDEX('My equipment'!$T$4:$T$503,(_calc!$E$371-500)))=0,"",INDEX('My equipment'!$T$4:$T$503,(_calc!$E$371-500)))))</f>
        <v/>
      </c>
    </row>
    <row r="370">
      <c r="A370" s="54">
        <f>IF(_calc!$E$372="","",IF(_calc!$E$372&lt;=500,"Warranty – "&amp;IF(LEN(INDEX('Dealer pipeline'!$C$4:$C$503,_calc!$E$372))=0,"",INDEX('Dealer pipeline'!$C$4:$C$503,_calc!$E$372))&amp;" – "&amp;IF(LEN(INDEX('Dealer pipeline'!$D$4:$D$503,_calc!$E$372))=0,"",INDEX('Dealer pipeline'!$D$4:$D$503,_calc!$E$372))&amp;" – "&amp;IF(LEN(INDEX('Dealer pipeline'!$A$4:$A$503,_calc!$E$372))=0,"",INDEX('Dealer pipeline'!$A$4:$A$503,_calc!$E$372)),"Warranty – "&amp;IF(LEN(INDEX('My equipment'!$A$4:$A$503,(_calc!$E$372-500)))=0,"",INDEX('My equipment'!$A$4:$A$503,(_calc!$E$372-500)))&amp;" – "&amp;IF(LEN(INDEX('My equipment'!$D$4:$D$503,(_calc!$E$372-500)))=0,"",INDEX('My equipment'!$D$4:$D$503,(_calc!$E$372-500)))))</f>
        <v/>
      </c>
      <c r="B370" s="54">
        <f>IF(_calc!$E$372="","",IF(_calc!$E$372&lt;=500,IF(ISNUMBER(INDEX('Dealer pipeline'!$M$4:$M$503,_calc!$E$372)),TEXT(INDEX('Dealer pipeline'!$M$4:$M$503,_calc!$E$372),"yyyy-mm-dd"),""),IF(ISNUMBER(INDEX('My equipment'!$M$4:$M$503,(_calc!$E$372-500))),TEXT(INDEX('My equipment'!$M$4:$M$503,(_calc!$E$372-500)),"yyyy-mm-dd"),"")))</f>
        <v/>
      </c>
      <c r="C370" s="54">
        <f>IF(_calc!$E$372="","",IF(_calc!$E$372&lt;=500,"Warranty","Warranty"))</f>
        <v/>
      </c>
      <c r="D370" s="54">
        <f>IF(_calc!$E$372="","",IF(_calc!$E$372&lt;=500,IF(ISNUMBER(INDEX('Dealer pipeline'!$H$4:$H$503,_calc!$E$372)),TEXT(INDEX('Dealer pipeline'!$H$4:$H$503,_calc!$E$372),"yyyy-mm-dd"),""),IF(ISNUMBER(INDEX('My equipment'!$H$4:$H$503,(_calc!$E$372-500))),TEXT(INDEX('My equipment'!$H$4:$H$503,(_calc!$E$372-500)),"yyyy-mm-dd"),"")))</f>
        <v/>
      </c>
      <c r="F370" s="54">
        <f>IF(_calc!$E$372="","",IF(_calc!$E$372&lt;=500,TRIM(IF(LEN(IF(LEN(INDEX('Dealer pipeline'!$A$4:$A$503,_calc!$E$372))=0,"",INDEX('Dealer pipeline'!$A$4:$A$503,_calc!$E$372)))=0,"","Customer: "&amp;IF(LEN(INDEX('Dealer pipeline'!$A$4:$A$503,_calc!$E$372))=0,"",INDEX('Dealer pipeline'!$A$4:$A$503,_calc!$E$372))&amp;". ")&amp;IF(LEN(IF(LEN(INDEX('Dealer pipeline'!$B$4:$B$503,_calc!$E$372))=0,"",INDEX('Dealer pipeline'!$B$4:$B$503,_calc!$E$372)))=0,"","Contact: "&amp;IF(LEN(INDEX('Dealer pipeline'!$B$4:$B$503,_calc!$E$372))=0,"",INDEX('Dealer pipeline'!$B$4:$B$503,_calc!$E$372))&amp;". ")&amp;IF(LEN(IF(LEN(INDEX('Dealer pipeline'!$D$4:$D$503,_calc!$E$372))=0,"",INDEX('Dealer pipeline'!$D$4:$D$503,_calc!$E$372)))=0,"","Serial: "&amp;IF(LEN(INDEX('Dealer pipeline'!$D$4:$D$503,_calc!$E$372))=0,"",INDEX('Dealer pipeline'!$D$4:$D$503,_calc!$E$372))&amp;". ")&amp;IF(LEN(IF(ISNUMBER(INDEX('Dealer pipeline'!$J$4:$J$503,_calc!$E$372)),TEXT(INDEX('Dealer pipeline'!$J$4:$J$503,_calc!$E$372),"yyyy-mm-dd"),""))=0,"","Parts end: "&amp;IF(ISNUMBER(INDEX('Dealer pipeline'!$J$4:$J$503,_calc!$E$372)),TEXT(INDEX('Dealer pipeline'!$J$4:$J$503,_calc!$E$372),"yyyy-mm-dd"),"")&amp;". ")&amp;IF(LEN(IF(ISNUMBER(INDEX('Dealer pipeline'!$L$4:$L$503,_calc!$E$372)),TEXT(INDEX('Dealer pipeline'!$L$4:$L$503,_calc!$E$372),"yyyy-mm-dd"),""))=0,"","Labor end: "&amp;IF(ISNUMBER(INDEX('Dealer pipeline'!$L$4:$L$503,_calc!$E$372)),TEXT(INDEX('Dealer pipeline'!$L$4:$L$503,_calc!$E$372),"yyyy-mm-dd"),"")&amp;". ")&amp;IF(LEN(IF(LEN(INDEX('Dealer pipeline'!$Q$4:$Q$503,_calc!$E$372))=0,"",INDEX('Dealer pipeline'!$Q$4:$Q$503,_calc!$E$372)))=0,"","Status: "&amp;IF(LEN(INDEX('Dealer pipeline'!$Q$4:$Q$503,_calc!$E$372))=0,"",INDEX('Dealer pipeline'!$Q$4:$Q$503,_calc!$E$372))&amp;". ")&amp;IF(LEN(IF(LEN(INDEX('Dealer pipeline'!$P$4:$P$503,_calc!$E$372))=0,"",INDEX('Dealer pipeline'!$P$4:$P$503,_calc!$E$372)))=0,"","Last touch: "&amp;IF(LEN(INDEX('Dealer pipeline'!$P$4:$P$503,_calc!$E$372))=0,"",INDEX('Dealer pipeline'!$P$4:$P$503,_calc!$E$372))&amp;". ")&amp;IF(LEN(IF(LEN(INDEX('Dealer pipeline'!$R$4:$R$503,_calc!$E$372))=0,"",INDEX('Dealer pipeline'!$R$4:$R$503,_calc!$E$372)))=0,"","Owner: "&amp;IF(LEN(INDEX('Dealer pipeline'!$R$4:$R$503,_calc!$E$372))=0,"",INDEX('Dealer pipeline'!$R$4:$R$503,_calc!$E$372))&amp;". ")&amp;IF(LEN(IF(LEN(INDEX('Dealer pipeline'!$S$4:$S$503,_calc!$E$372))=0,"",INDEX('Dealer pipeline'!$S$4:$S$503,_calc!$E$372)))=0,"","Backup: "&amp;IF(LEN(INDEX('Dealer pipeline'!$S$4:$S$503,_calc!$E$372))=0,"",INDEX('Dealer pipeline'!$S$4:$S$503,_calc!$E$372))&amp;". ")&amp;IF(LEN(IF(LEN(INDEX('Dealer pipeline'!$T$4:$T$503,_calc!$E$372))=0,"",INDEX('Dealer pipeline'!$T$4:$T$503,_calc!$E$372)))=0,"",IF(LEN(INDEX('Dealer pipeline'!$T$4:$T$503,_calc!$E$372))=0,"",INDEX('Dealer pipeline'!$T$4:$T$503,_calc!$E$372)))),TRIM(IF(LEN(IF(LEN(INDEX('My equipment'!$C$4:$C$503,(_calc!$E$372-500)))=0,"",INDEX('My equipment'!$C$4:$C$503,(_calc!$E$372-500))))=0,"","Model: "&amp;IF(LEN(INDEX('My equipment'!$C$4:$C$503,(_calc!$E$372-500)))=0,"",INDEX('My equipment'!$C$4:$C$503,(_calc!$E$372-500)))&amp;". ")&amp;IF(LEN(IF(LEN(INDEX('My equipment'!$D$4:$D$503,(_calc!$E$372-500)))=0,"",INDEX('My equipment'!$D$4:$D$503,(_calc!$E$372-500))))=0,"","Serial: "&amp;IF(LEN(INDEX('My equipment'!$D$4:$D$503,(_calc!$E$372-500)))=0,"",INDEX('My equipment'!$D$4:$D$503,(_calc!$E$372-500)))&amp;". ")&amp;IF(LEN(IF(ISNUMBER(INDEX('My equipment'!$J$4:$J$503,(_calc!$E$372-500))),TEXT(INDEX('My equipment'!$J$4:$J$503,(_calc!$E$372-500)),"yyyy-mm-dd"),""))=0,"","Parts end: "&amp;IF(ISNUMBER(INDEX('My equipment'!$J$4:$J$503,(_calc!$E$372-500))),TEXT(INDEX('My equipment'!$J$4:$J$503,(_calc!$E$372-500)),"yyyy-mm-dd"),"")&amp;". ")&amp;IF(LEN(IF(ISNUMBER(INDEX('My equipment'!$L$4:$L$503,(_calc!$E$372-500))),TEXT(INDEX('My equipment'!$L$4:$L$503,(_calc!$E$372-500)),"yyyy-mm-dd"),""))=0,"","Labor end: "&amp;IF(ISNUMBER(INDEX('My equipment'!$L$4:$L$503,(_calc!$E$372-500))),TEXT(INDEX('My equipment'!$L$4:$L$503,(_calc!$E$372-500)),"yyyy-mm-dd"),"")&amp;". ")&amp;IF(LEN(IF(ISNUMBER(INDEX('My equipment'!$P$4:$P$503,(_calc!$E$372-500))),TEXT(INDEX('My equipment'!$P$4:$P$503,(_calc!$E$372-500)),"yyyy-mm-dd"),""))=0,"","Check by: "&amp;IF(ISNUMBER(INDEX('My equipment'!$P$4:$P$503,(_calc!$E$372-500))),TEXT(INDEX('My equipment'!$P$4:$P$503,(_calc!$E$372-500)),"yyyy-mm-dd"),"")&amp;". ")&amp;IF(LEN(IF(LEN(INDEX('My equipment'!$Q$4:$Q$503,(_calc!$E$372-500)))=0,"",INDEX('My equipment'!$Q$4:$Q$503,(_calc!$E$372-500))))=0,"","Claim status: "&amp;IF(LEN(INDEX('My equipment'!$Q$4:$Q$503,(_calc!$E$372-500)))=0,"",INDEX('My equipment'!$Q$4:$Q$503,(_calc!$E$372-500)))&amp;". ")&amp;IF(LEN(IF(LEN(INDEX('My equipment'!$R$4:$R$503,(_calc!$E$372-500)))=0,"",INDEX('My equipment'!$R$4:$R$503,(_calc!$E$372-500))))=0,"","Claims contact: "&amp;IF(LEN(INDEX('My equipment'!$R$4:$R$503,(_calc!$E$372-500)))=0,"",INDEX('My equipment'!$R$4:$R$503,(_calc!$E$372-500)))&amp;". ")&amp;IF(LEN(IF(LEN(INDEX('My equipment'!$S$4:$S$503,(_calc!$E$372-500)))=0,"",INDEX('My equipment'!$S$4:$S$503,(_calc!$E$372-500))))=0,"","Claims email: "&amp;IF(LEN(INDEX('My equipment'!$S$4:$S$503,(_calc!$E$372-500)))=0,"",INDEX('My equipment'!$S$4:$S$503,(_calc!$E$372-500)))&amp;". ")&amp;IF(LEN(IF(LEN(INDEX('My equipment'!$U$4:$U$503,(_calc!$E$372-500)))=0,"",INDEX('My equipment'!$U$4:$U$503,(_calc!$E$372-500))))=0,"","Registered: "&amp;IF(LEN(INDEX('My equipment'!$U$4:$U$503,(_calc!$E$372-500)))=0,"",INDEX('My equipment'!$U$4:$U$503,(_calc!$E$372-500)))&amp;". ")&amp;IF(LEN(IF(LEN(INDEX('My equipment'!$V$4:$V$503,(_calc!$E$372-500)))=0,"",INDEX('My equipment'!$V$4:$V$503,(_calc!$E$372-500))))=0,"","Proof on file: "&amp;IF(LEN(INDEX('My equipment'!$V$4:$V$503,(_calc!$E$372-500)))=0,"",INDEX('My equipment'!$V$4:$V$503,(_calc!$E$372-500)))&amp;". ")&amp;IF(LEN(IF(LEN(INDEX('My equipment'!$W$4:$W$503,(_calc!$E$372-500)))=0,"",INDEX('My equipment'!$W$4:$W$503,(_calc!$E$372-500))))=0,"","Claim ref: "&amp;IF(LEN(INDEX('My equipment'!$W$4:$W$503,(_calc!$E$372-500)))=0,"",INDEX('My equipment'!$W$4:$W$503,(_calc!$E$372-500)))&amp;". ")&amp;IF(LEN(IF(LEN(INDEX('My equipment'!$Y$4:$Y$503,(_calc!$E$372-500)))=0,"",INDEX('My equipment'!$Y$4:$Y$503,(_calc!$E$372-500))))=0,"",IF(LEN(INDEX('My equipment'!$Y$4:$Y$503,(_calc!$E$372-500)))=0,"",INDEX('My equipment'!$Y$4:$Y$503,(_calc!$E$372-500)))))))</f>
        <v/>
      </c>
      <c r="G370" s="54">
        <f>IF(_calc!$E$372="","",IF(_calc!$E$372&lt;=500,"",IF(LEN(INDEX('My equipment'!$X$4:$X$503,(_calc!$E$372-500)))=0,"",INDEX('My equipment'!$X$4:$X$503,(_calc!$E$372-500)))))</f>
        <v/>
      </c>
      <c r="K370" s="54">
        <f>IF(_calc!$E$372="","",IF(_calc!$E$372&lt;=500,"",IF(LEN(INDEX('My equipment'!$T$4:$T$503,(_calc!$E$372-500)))=0,"",INDEX('My equipment'!$T$4:$T$503,(_calc!$E$372-500)))))</f>
        <v/>
      </c>
    </row>
    <row r="371">
      <c r="A371" s="54">
        <f>IF(_calc!$E$373="","",IF(_calc!$E$373&lt;=500,"Warranty – "&amp;IF(LEN(INDEX('Dealer pipeline'!$C$4:$C$503,_calc!$E$373))=0,"",INDEX('Dealer pipeline'!$C$4:$C$503,_calc!$E$373))&amp;" – "&amp;IF(LEN(INDEX('Dealer pipeline'!$D$4:$D$503,_calc!$E$373))=0,"",INDEX('Dealer pipeline'!$D$4:$D$503,_calc!$E$373))&amp;" – "&amp;IF(LEN(INDEX('Dealer pipeline'!$A$4:$A$503,_calc!$E$373))=0,"",INDEX('Dealer pipeline'!$A$4:$A$503,_calc!$E$373)),"Warranty – "&amp;IF(LEN(INDEX('My equipment'!$A$4:$A$503,(_calc!$E$373-500)))=0,"",INDEX('My equipment'!$A$4:$A$503,(_calc!$E$373-500)))&amp;" – "&amp;IF(LEN(INDEX('My equipment'!$D$4:$D$503,(_calc!$E$373-500)))=0,"",INDEX('My equipment'!$D$4:$D$503,(_calc!$E$373-500)))))</f>
        <v/>
      </c>
      <c r="B371" s="54">
        <f>IF(_calc!$E$373="","",IF(_calc!$E$373&lt;=500,IF(ISNUMBER(INDEX('Dealer pipeline'!$M$4:$M$503,_calc!$E$373)),TEXT(INDEX('Dealer pipeline'!$M$4:$M$503,_calc!$E$373),"yyyy-mm-dd"),""),IF(ISNUMBER(INDEX('My equipment'!$M$4:$M$503,(_calc!$E$373-500))),TEXT(INDEX('My equipment'!$M$4:$M$503,(_calc!$E$373-500)),"yyyy-mm-dd"),"")))</f>
        <v/>
      </c>
      <c r="C371" s="54">
        <f>IF(_calc!$E$373="","",IF(_calc!$E$373&lt;=500,"Warranty","Warranty"))</f>
        <v/>
      </c>
      <c r="D371" s="54">
        <f>IF(_calc!$E$373="","",IF(_calc!$E$373&lt;=500,IF(ISNUMBER(INDEX('Dealer pipeline'!$H$4:$H$503,_calc!$E$373)),TEXT(INDEX('Dealer pipeline'!$H$4:$H$503,_calc!$E$373),"yyyy-mm-dd"),""),IF(ISNUMBER(INDEX('My equipment'!$H$4:$H$503,(_calc!$E$373-500))),TEXT(INDEX('My equipment'!$H$4:$H$503,(_calc!$E$373-500)),"yyyy-mm-dd"),"")))</f>
        <v/>
      </c>
      <c r="F371" s="54">
        <f>IF(_calc!$E$373="","",IF(_calc!$E$373&lt;=500,TRIM(IF(LEN(IF(LEN(INDEX('Dealer pipeline'!$A$4:$A$503,_calc!$E$373))=0,"",INDEX('Dealer pipeline'!$A$4:$A$503,_calc!$E$373)))=0,"","Customer: "&amp;IF(LEN(INDEX('Dealer pipeline'!$A$4:$A$503,_calc!$E$373))=0,"",INDEX('Dealer pipeline'!$A$4:$A$503,_calc!$E$373))&amp;". ")&amp;IF(LEN(IF(LEN(INDEX('Dealer pipeline'!$B$4:$B$503,_calc!$E$373))=0,"",INDEX('Dealer pipeline'!$B$4:$B$503,_calc!$E$373)))=0,"","Contact: "&amp;IF(LEN(INDEX('Dealer pipeline'!$B$4:$B$503,_calc!$E$373))=0,"",INDEX('Dealer pipeline'!$B$4:$B$503,_calc!$E$373))&amp;". ")&amp;IF(LEN(IF(LEN(INDEX('Dealer pipeline'!$D$4:$D$503,_calc!$E$373))=0,"",INDEX('Dealer pipeline'!$D$4:$D$503,_calc!$E$373)))=0,"","Serial: "&amp;IF(LEN(INDEX('Dealer pipeline'!$D$4:$D$503,_calc!$E$373))=0,"",INDEX('Dealer pipeline'!$D$4:$D$503,_calc!$E$373))&amp;". ")&amp;IF(LEN(IF(ISNUMBER(INDEX('Dealer pipeline'!$J$4:$J$503,_calc!$E$373)),TEXT(INDEX('Dealer pipeline'!$J$4:$J$503,_calc!$E$373),"yyyy-mm-dd"),""))=0,"","Parts end: "&amp;IF(ISNUMBER(INDEX('Dealer pipeline'!$J$4:$J$503,_calc!$E$373)),TEXT(INDEX('Dealer pipeline'!$J$4:$J$503,_calc!$E$373),"yyyy-mm-dd"),"")&amp;". ")&amp;IF(LEN(IF(ISNUMBER(INDEX('Dealer pipeline'!$L$4:$L$503,_calc!$E$373)),TEXT(INDEX('Dealer pipeline'!$L$4:$L$503,_calc!$E$373),"yyyy-mm-dd"),""))=0,"","Labor end: "&amp;IF(ISNUMBER(INDEX('Dealer pipeline'!$L$4:$L$503,_calc!$E$373)),TEXT(INDEX('Dealer pipeline'!$L$4:$L$503,_calc!$E$373),"yyyy-mm-dd"),"")&amp;". ")&amp;IF(LEN(IF(LEN(INDEX('Dealer pipeline'!$Q$4:$Q$503,_calc!$E$373))=0,"",INDEX('Dealer pipeline'!$Q$4:$Q$503,_calc!$E$373)))=0,"","Status: "&amp;IF(LEN(INDEX('Dealer pipeline'!$Q$4:$Q$503,_calc!$E$373))=0,"",INDEX('Dealer pipeline'!$Q$4:$Q$503,_calc!$E$373))&amp;". ")&amp;IF(LEN(IF(LEN(INDEX('Dealer pipeline'!$P$4:$P$503,_calc!$E$373))=0,"",INDEX('Dealer pipeline'!$P$4:$P$503,_calc!$E$373)))=0,"","Last touch: "&amp;IF(LEN(INDEX('Dealer pipeline'!$P$4:$P$503,_calc!$E$373))=0,"",INDEX('Dealer pipeline'!$P$4:$P$503,_calc!$E$373))&amp;". ")&amp;IF(LEN(IF(LEN(INDEX('Dealer pipeline'!$R$4:$R$503,_calc!$E$373))=0,"",INDEX('Dealer pipeline'!$R$4:$R$503,_calc!$E$373)))=0,"","Owner: "&amp;IF(LEN(INDEX('Dealer pipeline'!$R$4:$R$503,_calc!$E$373))=0,"",INDEX('Dealer pipeline'!$R$4:$R$503,_calc!$E$373))&amp;". ")&amp;IF(LEN(IF(LEN(INDEX('Dealer pipeline'!$S$4:$S$503,_calc!$E$373))=0,"",INDEX('Dealer pipeline'!$S$4:$S$503,_calc!$E$373)))=0,"","Backup: "&amp;IF(LEN(INDEX('Dealer pipeline'!$S$4:$S$503,_calc!$E$373))=0,"",INDEX('Dealer pipeline'!$S$4:$S$503,_calc!$E$373))&amp;". ")&amp;IF(LEN(IF(LEN(INDEX('Dealer pipeline'!$T$4:$T$503,_calc!$E$373))=0,"",INDEX('Dealer pipeline'!$T$4:$T$503,_calc!$E$373)))=0,"",IF(LEN(INDEX('Dealer pipeline'!$T$4:$T$503,_calc!$E$373))=0,"",INDEX('Dealer pipeline'!$T$4:$T$503,_calc!$E$373)))),TRIM(IF(LEN(IF(LEN(INDEX('My equipment'!$C$4:$C$503,(_calc!$E$373-500)))=0,"",INDEX('My equipment'!$C$4:$C$503,(_calc!$E$373-500))))=0,"","Model: "&amp;IF(LEN(INDEX('My equipment'!$C$4:$C$503,(_calc!$E$373-500)))=0,"",INDEX('My equipment'!$C$4:$C$503,(_calc!$E$373-500)))&amp;". ")&amp;IF(LEN(IF(LEN(INDEX('My equipment'!$D$4:$D$503,(_calc!$E$373-500)))=0,"",INDEX('My equipment'!$D$4:$D$503,(_calc!$E$373-500))))=0,"","Serial: "&amp;IF(LEN(INDEX('My equipment'!$D$4:$D$503,(_calc!$E$373-500)))=0,"",INDEX('My equipment'!$D$4:$D$503,(_calc!$E$373-500)))&amp;". ")&amp;IF(LEN(IF(ISNUMBER(INDEX('My equipment'!$J$4:$J$503,(_calc!$E$373-500))),TEXT(INDEX('My equipment'!$J$4:$J$503,(_calc!$E$373-500)),"yyyy-mm-dd"),""))=0,"","Parts end: "&amp;IF(ISNUMBER(INDEX('My equipment'!$J$4:$J$503,(_calc!$E$373-500))),TEXT(INDEX('My equipment'!$J$4:$J$503,(_calc!$E$373-500)),"yyyy-mm-dd"),"")&amp;". ")&amp;IF(LEN(IF(ISNUMBER(INDEX('My equipment'!$L$4:$L$503,(_calc!$E$373-500))),TEXT(INDEX('My equipment'!$L$4:$L$503,(_calc!$E$373-500)),"yyyy-mm-dd"),""))=0,"","Labor end: "&amp;IF(ISNUMBER(INDEX('My equipment'!$L$4:$L$503,(_calc!$E$373-500))),TEXT(INDEX('My equipment'!$L$4:$L$503,(_calc!$E$373-500)),"yyyy-mm-dd"),"")&amp;". ")&amp;IF(LEN(IF(ISNUMBER(INDEX('My equipment'!$P$4:$P$503,(_calc!$E$373-500))),TEXT(INDEX('My equipment'!$P$4:$P$503,(_calc!$E$373-500)),"yyyy-mm-dd"),""))=0,"","Check by: "&amp;IF(ISNUMBER(INDEX('My equipment'!$P$4:$P$503,(_calc!$E$373-500))),TEXT(INDEX('My equipment'!$P$4:$P$503,(_calc!$E$373-500)),"yyyy-mm-dd"),"")&amp;". ")&amp;IF(LEN(IF(LEN(INDEX('My equipment'!$Q$4:$Q$503,(_calc!$E$373-500)))=0,"",INDEX('My equipment'!$Q$4:$Q$503,(_calc!$E$373-500))))=0,"","Claim status: "&amp;IF(LEN(INDEX('My equipment'!$Q$4:$Q$503,(_calc!$E$373-500)))=0,"",INDEX('My equipment'!$Q$4:$Q$503,(_calc!$E$373-500)))&amp;". ")&amp;IF(LEN(IF(LEN(INDEX('My equipment'!$R$4:$R$503,(_calc!$E$373-500)))=0,"",INDEX('My equipment'!$R$4:$R$503,(_calc!$E$373-500))))=0,"","Claims contact: "&amp;IF(LEN(INDEX('My equipment'!$R$4:$R$503,(_calc!$E$373-500)))=0,"",INDEX('My equipment'!$R$4:$R$503,(_calc!$E$373-500)))&amp;". ")&amp;IF(LEN(IF(LEN(INDEX('My equipment'!$S$4:$S$503,(_calc!$E$373-500)))=0,"",INDEX('My equipment'!$S$4:$S$503,(_calc!$E$373-500))))=0,"","Claims email: "&amp;IF(LEN(INDEX('My equipment'!$S$4:$S$503,(_calc!$E$373-500)))=0,"",INDEX('My equipment'!$S$4:$S$503,(_calc!$E$373-500)))&amp;". ")&amp;IF(LEN(IF(LEN(INDEX('My equipment'!$U$4:$U$503,(_calc!$E$373-500)))=0,"",INDEX('My equipment'!$U$4:$U$503,(_calc!$E$373-500))))=0,"","Registered: "&amp;IF(LEN(INDEX('My equipment'!$U$4:$U$503,(_calc!$E$373-500)))=0,"",INDEX('My equipment'!$U$4:$U$503,(_calc!$E$373-500)))&amp;". ")&amp;IF(LEN(IF(LEN(INDEX('My equipment'!$V$4:$V$503,(_calc!$E$373-500)))=0,"",INDEX('My equipment'!$V$4:$V$503,(_calc!$E$373-500))))=0,"","Proof on file: "&amp;IF(LEN(INDEX('My equipment'!$V$4:$V$503,(_calc!$E$373-500)))=0,"",INDEX('My equipment'!$V$4:$V$503,(_calc!$E$373-500)))&amp;". ")&amp;IF(LEN(IF(LEN(INDEX('My equipment'!$W$4:$W$503,(_calc!$E$373-500)))=0,"",INDEX('My equipment'!$W$4:$W$503,(_calc!$E$373-500))))=0,"","Claim ref: "&amp;IF(LEN(INDEX('My equipment'!$W$4:$W$503,(_calc!$E$373-500)))=0,"",INDEX('My equipment'!$W$4:$W$503,(_calc!$E$373-500)))&amp;". ")&amp;IF(LEN(IF(LEN(INDEX('My equipment'!$Y$4:$Y$503,(_calc!$E$373-500)))=0,"",INDEX('My equipment'!$Y$4:$Y$503,(_calc!$E$373-500))))=0,"",IF(LEN(INDEX('My equipment'!$Y$4:$Y$503,(_calc!$E$373-500)))=0,"",INDEX('My equipment'!$Y$4:$Y$503,(_calc!$E$373-500)))))))</f>
        <v/>
      </c>
      <c r="G371" s="54">
        <f>IF(_calc!$E$373="","",IF(_calc!$E$373&lt;=500,"",IF(LEN(INDEX('My equipment'!$X$4:$X$503,(_calc!$E$373-500)))=0,"",INDEX('My equipment'!$X$4:$X$503,(_calc!$E$373-500)))))</f>
        <v/>
      </c>
      <c r="K371" s="54">
        <f>IF(_calc!$E$373="","",IF(_calc!$E$373&lt;=500,"",IF(LEN(INDEX('My equipment'!$T$4:$T$503,(_calc!$E$373-500)))=0,"",INDEX('My equipment'!$T$4:$T$503,(_calc!$E$373-500)))))</f>
        <v/>
      </c>
    </row>
    <row r="372">
      <c r="A372" s="54">
        <f>IF(_calc!$E$374="","",IF(_calc!$E$374&lt;=500,"Warranty – "&amp;IF(LEN(INDEX('Dealer pipeline'!$C$4:$C$503,_calc!$E$374))=0,"",INDEX('Dealer pipeline'!$C$4:$C$503,_calc!$E$374))&amp;" – "&amp;IF(LEN(INDEX('Dealer pipeline'!$D$4:$D$503,_calc!$E$374))=0,"",INDEX('Dealer pipeline'!$D$4:$D$503,_calc!$E$374))&amp;" – "&amp;IF(LEN(INDEX('Dealer pipeline'!$A$4:$A$503,_calc!$E$374))=0,"",INDEX('Dealer pipeline'!$A$4:$A$503,_calc!$E$374)),"Warranty – "&amp;IF(LEN(INDEX('My equipment'!$A$4:$A$503,(_calc!$E$374-500)))=0,"",INDEX('My equipment'!$A$4:$A$503,(_calc!$E$374-500)))&amp;" – "&amp;IF(LEN(INDEX('My equipment'!$D$4:$D$503,(_calc!$E$374-500)))=0,"",INDEX('My equipment'!$D$4:$D$503,(_calc!$E$374-500)))))</f>
        <v/>
      </c>
      <c r="B372" s="54">
        <f>IF(_calc!$E$374="","",IF(_calc!$E$374&lt;=500,IF(ISNUMBER(INDEX('Dealer pipeline'!$M$4:$M$503,_calc!$E$374)),TEXT(INDEX('Dealer pipeline'!$M$4:$M$503,_calc!$E$374),"yyyy-mm-dd"),""),IF(ISNUMBER(INDEX('My equipment'!$M$4:$M$503,(_calc!$E$374-500))),TEXT(INDEX('My equipment'!$M$4:$M$503,(_calc!$E$374-500)),"yyyy-mm-dd"),"")))</f>
        <v/>
      </c>
      <c r="C372" s="54">
        <f>IF(_calc!$E$374="","",IF(_calc!$E$374&lt;=500,"Warranty","Warranty"))</f>
        <v/>
      </c>
      <c r="D372" s="54">
        <f>IF(_calc!$E$374="","",IF(_calc!$E$374&lt;=500,IF(ISNUMBER(INDEX('Dealer pipeline'!$H$4:$H$503,_calc!$E$374)),TEXT(INDEX('Dealer pipeline'!$H$4:$H$503,_calc!$E$374),"yyyy-mm-dd"),""),IF(ISNUMBER(INDEX('My equipment'!$H$4:$H$503,(_calc!$E$374-500))),TEXT(INDEX('My equipment'!$H$4:$H$503,(_calc!$E$374-500)),"yyyy-mm-dd"),"")))</f>
        <v/>
      </c>
      <c r="F372" s="54">
        <f>IF(_calc!$E$374="","",IF(_calc!$E$374&lt;=500,TRIM(IF(LEN(IF(LEN(INDEX('Dealer pipeline'!$A$4:$A$503,_calc!$E$374))=0,"",INDEX('Dealer pipeline'!$A$4:$A$503,_calc!$E$374)))=0,"","Customer: "&amp;IF(LEN(INDEX('Dealer pipeline'!$A$4:$A$503,_calc!$E$374))=0,"",INDEX('Dealer pipeline'!$A$4:$A$503,_calc!$E$374))&amp;". ")&amp;IF(LEN(IF(LEN(INDEX('Dealer pipeline'!$B$4:$B$503,_calc!$E$374))=0,"",INDEX('Dealer pipeline'!$B$4:$B$503,_calc!$E$374)))=0,"","Contact: "&amp;IF(LEN(INDEX('Dealer pipeline'!$B$4:$B$503,_calc!$E$374))=0,"",INDEX('Dealer pipeline'!$B$4:$B$503,_calc!$E$374))&amp;". ")&amp;IF(LEN(IF(LEN(INDEX('Dealer pipeline'!$D$4:$D$503,_calc!$E$374))=0,"",INDEX('Dealer pipeline'!$D$4:$D$503,_calc!$E$374)))=0,"","Serial: "&amp;IF(LEN(INDEX('Dealer pipeline'!$D$4:$D$503,_calc!$E$374))=0,"",INDEX('Dealer pipeline'!$D$4:$D$503,_calc!$E$374))&amp;". ")&amp;IF(LEN(IF(ISNUMBER(INDEX('Dealer pipeline'!$J$4:$J$503,_calc!$E$374)),TEXT(INDEX('Dealer pipeline'!$J$4:$J$503,_calc!$E$374),"yyyy-mm-dd"),""))=0,"","Parts end: "&amp;IF(ISNUMBER(INDEX('Dealer pipeline'!$J$4:$J$503,_calc!$E$374)),TEXT(INDEX('Dealer pipeline'!$J$4:$J$503,_calc!$E$374),"yyyy-mm-dd"),"")&amp;". ")&amp;IF(LEN(IF(ISNUMBER(INDEX('Dealer pipeline'!$L$4:$L$503,_calc!$E$374)),TEXT(INDEX('Dealer pipeline'!$L$4:$L$503,_calc!$E$374),"yyyy-mm-dd"),""))=0,"","Labor end: "&amp;IF(ISNUMBER(INDEX('Dealer pipeline'!$L$4:$L$503,_calc!$E$374)),TEXT(INDEX('Dealer pipeline'!$L$4:$L$503,_calc!$E$374),"yyyy-mm-dd"),"")&amp;". ")&amp;IF(LEN(IF(LEN(INDEX('Dealer pipeline'!$Q$4:$Q$503,_calc!$E$374))=0,"",INDEX('Dealer pipeline'!$Q$4:$Q$503,_calc!$E$374)))=0,"","Status: "&amp;IF(LEN(INDEX('Dealer pipeline'!$Q$4:$Q$503,_calc!$E$374))=0,"",INDEX('Dealer pipeline'!$Q$4:$Q$503,_calc!$E$374))&amp;". ")&amp;IF(LEN(IF(LEN(INDEX('Dealer pipeline'!$P$4:$P$503,_calc!$E$374))=0,"",INDEX('Dealer pipeline'!$P$4:$P$503,_calc!$E$374)))=0,"","Last touch: "&amp;IF(LEN(INDEX('Dealer pipeline'!$P$4:$P$503,_calc!$E$374))=0,"",INDEX('Dealer pipeline'!$P$4:$P$503,_calc!$E$374))&amp;". ")&amp;IF(LEN(IF(LEN(INDEX('Dealer pipeline'!$R$4:$R$503,_calc!$E$374))=0,"",INDEX('Dealer pipeline'!$R$4:$R$503,_calc!$E$374)))=0,"","Owner: "&amp;IF(LEN(INDEX('Dealer pipeline'!$R$4:$R$503,_calc!$E$374))=0,"",INDEX('Dealer pipeline'!$R$4:$R$503,_calc!$E$374))&amp;". ")&amp;IF(LEN(IF(LEN(INDEX('Dealer pipeline'!$S$4:$S$503,_calc!$E$374))=0,"",INDEX('Dealer pipeline'!$S$4:$S$503,_calc!$E$374)))=0,"","Backup: "&amp;IF(LEN(INDEX('Dealer pipeline'!$S$4:$S$503,_calc!$E$374))=0,"",INDEX('Dealer pipeline'!$S$4:$S$503,_calc!$E$374))&amp;". ")&amp;IF(LEN(IF(LEN(INDEX('Dealer pipeline'!$T$4:$T$503,_calc!$E$374))=0,"",INDEX('Dealer pipeline'!$T$4:$T$503,_calc!$E$374)))=0,"",IF(LEN(INDEX('Dealer pipeline'!$T$4:$T$503,_calc!$E$374))=0,"",INDEX('Dealer pipeline'!$T$4:$T$503,_calc!$E$374)))),TRIM(IF(LEN(IF(LEN(INDEX('My equipment'!$C$4:$C$503,(_calc!$E$374-500)))=0,"",INDEX('My equipment'!$C$4:$C$503,(_calc!$E$374-500))))=0,"","Model: "&amp;IF(LEN(INDEX('My equipment'!$C$4:$C$503,(_calc!$E$374-500)))=0,"",INDEX('My equipment'!$C$4:$C$503,(_calc!$E$374-500)))&amp;". ")&amp;IF(LEN(IF(LEN(INDEX('My equipment'!$D$4:$D$503,(_calc!$E$374-500)))=0,"",INDEX('My equipment'!$D$4:$D$503,(_calc!$E$374-500))))=0,"","Serial: "&amp;IF(LEN(INDEX('My equipment'!$D$4:$D$503,(_calc!$E$374-500)))=0,"",INDEX('My equipment'!$D$4:$D$503,(_calc!$E$374-500)))&amp;". ")&amp;IF(LEN(IF(ISNUMBER(INDEX('My equipment'!$J$4:$J$503,(_calc!$E$374-500))),TEXT(INDEX('My equipment'!$J$4:$J$503,(_calc!$E$374-500)),"yyyy-mm-dd"),""))=0,"","Parts end: "&amp;IF(ISNUMBER(INDEX('My equipment'!$J$4:$J$503,(_calc!$E$374-500))),TEXT(INDEX('My equipment'!$J$4:$J$503,(_calc!$E$374-500)),"yyyy-mm-dd"),"")&amp;". ")&amp;IF(LEN(IF(ISNUMBER(INDEX('My equipment'!$L$4:$L$503,(_calc!$E$374-500))),TEXT(INDEX('My equipment'!$L$4:$L$503,(_calc!$E$374-500)),"yyyy-mm-dd"),""))=0,"","Labor end: "&amp;IF(ISNUMBER(INDEX('My equipment'!$L$4:$L$503,(_calc!$E$374-500))),TEXT(INDEX('My equipment'!$L$4:$L$503,(_calc!$E$374-500)),"yyyy-mm-dd"),"")&amp;". ")&amp;IF(LEN(IF(ISNUMBER(INDEX('My equipment'!$P$4:$P$503,(_calc!$E$374-500))),TEXT(INDEX('My equipment'!$P$4:$P$503,(_calc!$E$374-500)),"yyyy-mm-dd"),""))=0,"","Check by: "&amp;IF(ISNUMBER(INDEX('My equipment'!$P$4:$P$503,(_calc!$E$374-500))),TEXT(INDEX('My equipment'!$P$4:$P$503,(_calc!$E$374-500)),"yyyy-mm-dd"),"")&amp;". ")&amp;IF(LEN(IF(LEN(INDEX('My equipment'!$Q$4:$Q$503,(_calc!$E$374-500)))=0,"",INDEX('My equipment'!$Q$4:$Q$503,(_calc!$E$374-500))))=0,"","Claim status: "&amp;IF(LEN(INDEX('My equipment'!$Q$4:$Q$503,(_calc!$E$374-500)))=0,"",INDEX('My equipment'!$Q$4:$Q$503,(_calc!$E$374-500)))&amp;". ")&amp;IF(LEN(IF(LEN(INDEX('My equipment'!$R$4:$R$503,(_calc!$E$374-500)))=0,"",INDEX('My equipment'!$R$4:$R$503,(_calc!$E$374-500))))=0,"","Claims contact: "&amp;IF(LEN(INDEX('My equipment'!$R$4:$R$503,(_calc!$E$374-500)))=0,"",INDEX('My equipment'!$R$4:$R$503,(_calc!$E$374-500)))&amp;". ")&amp;IF(LEN(IF(LEN(INDEX('My equipment'!$S$4:$S$503,(_calc!$E$374-500)))=0,"",INDEX('My equipment'!$S$4:$S$503,(_calc!$E$374-500))))=0,"","Claims email: "&amp;IF(LEN(INDEX('My equipment'!$S$4:$S$503,(_calc!$E$374-500)))=0,"",INDEX('My equipment'!$S$4:$S$503,(_calc!$E$374-500)))&amp;". ")&amp;IF(LEN(IF(LEN(INDEX('My equipment'!$U$4:$U$503,(_calc!$E$374-500)))=0,"",INDEX('My equipment'!$U$4:$U$503,(_calc!$E$374-500))))=0,"","Registered: "&amp;IF(LEN(INDEX('My equipment'!$U$4:$U$503,(_calc!$E$374-500)))=0,"",INDEX('My equipment'!$U$4:$U$503,(_calc!$E$374-500)))&amp;". ")&amp;IF(LEN(IF(LEN(INDEX('My equipment'!$V$4:$V$503,(_calc!$E$374-500)))=0,"",INDEX('My equipment'!$V$4:$V$503,(_calc!$E$374-500))))=0,"","Proof on file: "&amp;IF(LEN(INDEX('My equipment'!$V$4:$V$503,(_calc!$E$374-500)))=0,"",INDEX('My equipment'!$V$4:$V$503,(_calc!$E$374-500)))&amp;". ")&amp;IF(LEN(IF(LEN(INDEX('My equipment'!$W$4:$W$503,(_calc!$E$374-500)))=0,"",INDEX('My equipment'!$W$4:$W$503,(_calc!$E$374-500))))=0,"","Claim ref: "&amp;IF(LEN(INDEX('My equipment'!$W$4:$W$503,(_calc!$E$374-500)))=0,"",INDEX('My equipment'!$W$4:$W$503,(_calc!$E$374-500)))&amp;". ")&amp;IF(LEN(IF(LEN(INDEX('My equipment'!$Y$4:$Y$503,(_calc!$E$374-500)))=0,"",INDEX('My equipment'!$Y$4:$Y$503,(_calc!$E$374-500))))=0,"",IF(LEN(INDEX('My equipment'!$Y$4:$Y$503,(_calc!$E$374-500)))=0,"",INDEX('My equipment'!$Y$4:$Y$503,(_calc!$E$374-500)))))))</f>
        <v/>
      </c>
      <c r="G372" s="54">
        <f>IF(_calc!$E$374="","",IF(_calc!$E$374&lt;=500,"",IF(LEN(INDEX('My equipment'!$X$4:$X$503,(_calc!$E$374-500)))=0,"",INDEX('My equipment'!$X$4:$X$503,(_calc!$E$374-500)))))</f>
        <v/>
      </c>
      <c r="K372" s="54">
        <f>IF(_calc!$E$374="","",IF(_calc!$E$374&lt;=500,"",IF(LEN(INDEX('My equipment'!$T$4:$T$503,(_calc!$E$374-500)))=0,"",INDEX('My equipment'!$T$4:$T$503,(_calc!$E$374-500)))))</f>
        <v/>
      </c>
    </row>
    <row r="373">
      <c r="A373" s="54">
        <f>IF(_calc!$E$375="","",IF(_calc!$E$375&lt;=500,"Warranty – "&amp;IF(LEN(INDEX('Dealer pipeline'!$C$4:$C$503,_calc!$E$375))=0,"",INDEX('Dealer pipeline'!$C$4:$C$503,_calc!$E$375))&amp;" – "&amp;IF(LEN(INDEX('Dealer pipeline'!$D$4:$D$503,_calc!$E$375))=0,"",INDEX('Dealer pipeline'!$D$4:$D$503,_calc!$E$375))&amp;" – "&amp;IF(LEN(INDEX('Dealer pipeline'!$A$4:$A$503,_calc!$E$375))=0,"",INDEX('Dealer pipeline'!$A$4:$A$503,_calc!$E$375)),"Warranty – "&amp;IF(LEN(INDEX('My equipment'!$A$4:$A$503,(_calc!$E$375-500)))=0,"",INDEX('My equipment'!$A$4:$A$503,(_calc!$E$375-500)))&amp;" – "&amp;IF(LEN(INDEX('My equipment'!$D$4:$D$503,(_calc!$E$375-500)))=0,"",INDEX('My equipment'!$D$4:$D$503,(_calc!$E$375-500)))))</f>
        <v/>
      </c>
      <c r="B373" s="54">
        <f>IF(_calc!$E$375="","",IF(_calc!$E$375&lt;=500,IF(ISNUMBER(INDEX('Dealer pipeline'!$M$4:$M$503,_calc!$E$375)),TEXT(INDEX('Dealer pipeline'!$M$4:$M$503,_calc!$E$375),"yyyy-mm-dd"),""),IF(ISNUMBER(INDEX('My equipment'!$M$4:$M$503,(_calc!$E$375-500))),TEXT(INDEX('My equipment'!$M$4:$M$503,(_calc!$E$375-500)),"yyyy-mm-dd"),"")))</f>
        <v/>
      </c>
      <c r="C373" s="54">
        <f>IF(_calc!$E$375="","",IF(_calc!$E$375&lt;=500,"Warranty","Warranty"))</f>
        <v/>
      </c>
      <c r="D373" s="54">
        <f>IF(_calc!$E$375="","",IF(_calc!$E$375&lt;=500,IF(ISNUMBER(INDEX('Dealer pipeline'!$H$4:$H$503,_calc!$E$375)),TEXT(INDEX('Dealer pipeline'!$H$4:$H$503,_calc!$E$375),"yyyy-mm-dd"),""),IF(ISNUMBER(INDEX('My equipment'!$H$4:$H$503,(_calc!$E$375-500))),TEXT(INDEX('My equipment'!$H$4:$H$503,(_calc!$E$375-500)),"yyyy-mm-dd"),"")))</f>
        <v/>
      </c>
      <c r="F373" s="54">
        <f>IF(_calc!$E$375="","",IF(_calc!$E$375&lt;=500,TRIM(IF(LEN(IF(LEN(INDEX('Dealer pipeline'!$A$4:$A$503,_calc!$E$375))=0,"",INDEX('Dealer pipeline'!$A$4:$A$503,_calc!$E$375)))=0,"","Customer: "&amp;IF(LEN(INDEX('Dealer pipeline'!$A$4:$A$503,_calc!$E$375))=0,"",INDEX('Dealer pipeline'!$A$4:$A$503,_calc!$E$375))&amp;". ")&amp;IF(LEN(IF(LEN(INDEX('Dealer pipeline'!$B$4:$B$503,_calc!$E$375))=0,"",INDEX('Dealer pipeline'!$B$4:$B$503,_calc!$E$375)))=0,"","Contact: "&amp;IF(LEN(INDEX('Dealer pipeline'!$B$4:$B$503,_calc!$E$375))=0,"",INDEX('Dealer pipeline'!$B$4:$B$503,_calc!$E$375))&amp;". ")&amp;IF(LEN(IF(LEN(INDEX('Dealer pipeline'!$D$4:$D$503,_calc!$E$375))=0,"",INDEX('Dealer pipeline'!$D$4:$D$503,_calc!$E$375)))=0,"","Serial: "&amp;IF(LEN(INDEX('Dealer pipeline'!$D$4:$D$503,_calc!$E$375))=0,"",INDEX('Dealer pipeline'!$D$4:$D$503,_calc!$E$375))&amp;". ")&amp;IF(LEN(IF(ISNUMBER(INDEX('Dealer pipeline'!$J$4:$J$503,_calc!$E$375)),TEXT(INDEX('Dealer pipeline'!$J$4:$J$503,_calc!$E$375),"yyyy-mm-dd"),""))=0,"","Parts end: "&amp;IF(ISNUMBER(INDEX('Dealer pipeline'!$J$4:$J$503,_calc!$E$375)),TEXT(INDEX('Dealer pipeline'!$J$4:$J$503,_calc!$E$375),"yyyy-mm-dd"),"")&amp;". ")&amp;IF(LEN(IF(ISNUMBER(INDEX('Dealer pipeline'!$L$4:$L$503,_calc!$E$375)),TEXT(INDEX('Dealer pipeline'!$L$4:$L$503,_calc!$E$375),"yyyy-mm-dd"),""))=0,"","Labor end: "&amp;IF(ISNUMBER(INDEX('Dealer pipeline'!$L$4:$L$503,_calc!$E$375)),TEXT(INDEX('Dealer pipeline'!$L$4:$L$503,_calc!$E$375),"yyyy-mm-dd"),"")&amp;". ")&amp;IF(LEN(IF(LEN(INDEX('Dealer pipeline'!$Q$4:$Q$503,_calc!$E$375))=0,"",INDEX('Dealer pipeline'!$Q$4:$Q$503,_calc!$E$375)))=0,"","Status: "&amp;IF(LEN(INDEX('Dealer pipeline'!$Q$4:$Q$503,_calc!$E$375))=0,"",INDEX('Dealer pipeline'!$Q$4:$Q$503,_calc!$E$375))&amp;". ")&amp;IF(LEN(IF(LEN(INDEX('Dealer pipeline'!$P$4:$P$503,_calc!$E$375))=0,"",INDEX('Dealer pipeline'!$P$4:$P$503,_calc!$E$375)))=0,"","Last touch: "&amp;IF(LEN(INDEX('Dealer pipeline'!$P$4:$P$503,_calc!$E$375))=0,"",INDEX('Dealer pipeline'!$P$4:$P$503,_calc!$E$375))&amp;". ")&amp;IF(LEN(IF(LEN(INDEX('Dealer pipeline'!$R$4:$R$503,_calc!$E$375))=0,"",INDEX('Dealer pipeline'!$R$4:$R$503,_calc!$E$375)))=0,"","Owner: "&amp;IF(LEN(INDEX('Dealer pipeline'!$R$4:$R$503,_calc!$E$375))=0,"",INDEX('Dealer pipeline'!$R$4:$R$503,_calc!$E$375))&amp;". ")&amp;IF(LEN(IF(LEN(INDEX('Dealer pipeline'!$S$4:$S$503,_calc!$E$375))=0,"",INDEX('Dealer pipeline'!$S$4:$S$503,_calc!$E$375)))=0,"","Backup: "&amp;IF(LEN(INDEX('Dealer pipeline'!$S$4:$S$503,_calc!$E$375))=0,"",INDEX('Dealer pipeline'!$S$4:$S$503,_calc!$E$375))&amp;". ")&amp;IF(LEN(IF(LEN(INDEX('Dealer pipeline'!$T$4:$T$503,_calc!$E$375))=0,"",INDEX('Dealer pipeline'!$T$4:$T$503,_calc!$E$375)))=0,"",IF(LEN(INDEX('Dealer pipeline'!$T$4:$T$503,_calc!$E$375))=0,"",INDEX('Dealer pipeline'!$T$4:$T$503,_calc!$E$375)))),TRIM(IF(LEN(IF(LEN(INDEX('My equipment'!$C$4:$C$503,(_calc!$E$375-500)))=0,"",INDEX('My equipment'!$C$4:$C$503,(_calc!$E$375-500))))=0,"","Model: "&amp;IF(LEN(INDEX('My equipment'!$C$4:$C$503,(_calc!$E$375-500)))=0,"",INDEX('My equipment'!$C$4:$C$503,(_calc!$E$375-500)))&amp;". ")&amp;IF(LEN(IF(LEN(INDEX('My equipment'!$D$4:$D$503,(_calc!$E$375-500)))=0,"",INDEX('My equipment'!$D$4:$D$503,(_calc!$E$375-500))))=0,"","Serial: "&amp;IF(LEN(INDEX('My equipment'!$D$4:$D$503,(_calc!$E$375-500)))=0,"",INDEX('My equipment'!$D$4:$D$503,(_calc!$E$375-500)))&amp;". ")&amp;IF(LEN(IF(ISNUMBER(INDEX('My equipment'!$J$4:$J$503,(_calc!$E$375-500))),TEXT(INDEX('My equipment'!$J$4:$J$503,(_calc!$E$375-500)),"yyyy-mm-dd"),""))=0,"","Parts end: "&amp;IF(ISNUMBER(INDEX('My equipment'!$J$4:$J$503,(_calc!$E$375-500))),TEXT(INDEX('My equipment'!$J$4:$J$503,(_calc!$E$375-500)),"yyyy-mm-dd"),"")&amp;". ")&amp;IF(LEN(IF(ISNUMBER(INDEX('My equipment'!$L$4:$L$503,(_calc!$E$375-500))),TEXT(INDEX('My equipment'!$L$4:$L$503,(_calc!$E$375-500)),"yyyy-mm-dd"),""))=0,"","Labor end: "&amp;IF(ISNUMBER(INDEX('My equipment'!$L$4:$L$503,(_calc!$E$375-500))),TEXT(INDEX('My equipment'!$L$4:$L$503,(_calc!$E$375-500)),"yyyy-mm-dd"),"")&amp;". ")&amp;IF(LEN(IF(ISNUMBER(INDEX('My equipment'!$P$4:$P$503,(_calc!$E$375-500))),TEXT(INDEX('My equipment'!$P$4:$P$503,(_calc!$E$375-500)),"yyyy-mm-dd"),""))=0,"","Check by: "&amp;IF(ISNUMBER(INDEX('My equipment'!$P$4:$P$503,(_calc!$E$375-500))),TEXT(INDEX('My equipment'!$P$4:$P$503,(_calc!$E$375-500)),"yyyy-mm-dd"),"")&amp;". ")&amp;IF(LEN(IF(LEN(INDEX('My equipment'!$Q$4:$Q$503,(_calc!$E$375-500)))=0,"",INDEX('My equipment'!$Q$4:$Q$503,(_calc!$E$375-500))))=0,"","Claim status: "&amp;IF(LEN(INDEX('My equipment'!$Q$4:$Q$503,(_calc!$E$375-500)))=0,"",INDEX('My equipment'!$Q$4:$Q$503,(_calc!$E$375-500)))&amp;". ")&amp;IF(LEN(IF(LEN(INDEX('My equipment'!$R$4:$R$503,(_calc!$E$375-500)))=0,"",INDEX('My equipment'!$R$4:$R$503,(_calc!$E$375-500))))=0,"","Claims contact: "&amp;IF(LEN(INDEX('My equipment'!$R$4:$R$503,(_calc!$E$375-500)))=0,"",INDEX('My equipment'!$R$4:$R$503,(_calc!$E$375-500)))&amp;". ")&amp;IF(LEN(IF(LEN(INDEX('My equipment'!$S$4:$S$503,(_calc!$E$375-500)))=0,"",INDEX('My equipment'!$S$4:$S$503,(_calc!$E$375-500))))=0,"","Claims email: "&amp;IF(LEN(INDEX('My equipment'!$S$4:$S$503,(_calc!$E$375-500)))=0,"",INDEX('My equipment'!$S$4:$S$503,(_calc!$E$375-500)))&amp;". ")&amp;IF(LEN(IF(LEN(INDEX('My equipment'!$U$4:$U$503,(_calc!$E$375-500)))=0,"",INDEX('My equipment'!$U$4:$U$503,(_calc!$E$375-500))))=0,"","Registered: "&amp;IF(LEN(INDEX('My equipment'!$U$4:$U$503,(_calc!$E$375-500)))=0,"",INDEX('My equipment'!$U$4:$U$503,(_calc!$E$375-500)))&amp;". ")&amp;IF(LEN(IF(LEN(INDEX('My equipment'!$V$4:$V$503,(_calc!$E$375-500)))=0,"",INDEX('My equipment'!$V$4:$V$503,(_calc!$E$375-500))))=0,"","Proof on file: "&amp;IF(LEN(INDEX('My equipment'!$V$4:$V$503,(_calc!$E$375-500)))=0,"",INDEX('My equipment'!$V$4:$V$503,(_calc!$E$375-500)))&amp;". ")&amp;IF(LEN(IF(LEN(INDEX('My equipment'!$W$4:$W$503,(_calc!$E$375-500)))=0,"",INDEX('My equipment'!$W$4:$W$503,(_calc!$E$375-500))))=0,"","Claim ref: "&amp;IF(LEN(INDEX('My equipment'!$W$4:$W$503,(_calc!$E$375-500)))=0,"",INDEX('My equipment'!$W$4:$W$503,(_calc!$E$375-500)))&amp;". ")&amp;IF(LEN(IF(LEN(INDEX('My equipment'!$Y$4:$Y$503,(_calc!$E$375-500)))=0,"",INDEX('My equipment'!$Y$4:$Y$503,(_calc!$E$375-500))))=0,"",IF(LEN(INDEX('My equipment'!$Y$4:$Y$503,(_calc!$E$375-500)))=0,"",INDEX('My equipment'!$Y$4:$Y$503,(_calc!$E$375-500)))))))</f>
        <v/>
      </c>
      <c r="G373" s="54">
        <f>IF(_calc!$E$375="","",IF(_calc!$E$375&lt;=500,"",IF(LEN(INDEX('My equipment'!$X$4:$X$503,(_calc!$E$375-500)))=0,"",INDEX('My equipment'!$X$4:$X$503,(_calc!$E$375-500)))))</f>
        <v/>
      </c>
      <c r="K373" s="54">
        <f>IF(_calc!$E$375="","",IF(_calc!$E$375&lt;=500,"",IF(LEN(INDEX('My equipment'!$T$4:$T$503,(_calc!$E$375-500)))=0,"",INDEX('My equipment'!$T$4:$T$503,(_calc!$E$375-500)))))</f>
        <v/>
      </c>
    </row>
    <row r="374">
      <c r="A374" s="54">
        <f>IF(_calc!$E$376="","",IF(_calc!$E$376&lt;=500,"Warranty – "&amp;IF(LEN(INDEX('Dealer pipeline'!$C$4:$C$503,_calc!$E$376))=0,"",INDEX('Dealer pipeline'!$C$4:$C$503,_calc!$E$376))&amp;" – "&amp;IF(LEN(INDEX('Dealer pipeline'!$D$4:$D$503,_calc!$E$376))=0,"",INDEX('Dealer pipeline'!$D$4:$D$503,_calc!$E$376))&amp;" – "&amp;IF(LEN(INDEX('Dealer pipeline'!$A$4:$A$503,_calc!$E$376))=0,"",INDEX('Dealer pipeline'!$A$4:$A$503,_calc!$E$376)),"Warranty – "&amp;IF(LEN(INDEX('My equipment'!$A$4:$A$503,(_calc!$E$376-500)))=0,"",INDEX('My equipment'!$A$4:$A$503,(_calc!$E$376-500)))&amp;" – "&amp;IF(LEN(INDEX('My equipment'!$D$4:$D$503,(_calc!$E$376-500)))=0,"",INDEX('My equipment'!$D$4:$D$503,(_calc!$E$376-500)))))</f>
        <v/>
      </c>
      <c r="B374" s="54">
        <f>IF(_calc!$E$376="","",IF(_calc!$E$376&lt;=500,IF(ISNUMBER(INDEX('Dealer pipeline'!$M$4:$M$503,_calc!$E$376)),TEXT(INDEX('Dealer pipeline'!$M$4:$M$503,_calc!$E$376),"yyyy-mm-dd"),""),IF(ISNUMBER(INDEX('My equipment'!$M$4:$M$503,(_calc!$E$376-500))),TEXT(INDEX('My equipment'!$M$4:$M$503,(_calc!$E$376-500)),"yyyy-mm-dd"),"")))</f>
        <v/>
      </c>
      <c r="C374" s="54">
        <f>IF(_calc!$E$376="","",IF(_calc!$E$376&lt;=500,"Warranty","Warranty"))</f>
        <v/>
      </c>
      <c r="D374" s="54">
        <f>IF(_calc!$E$376="","",IF(_calc!$E$376&lt;=500,IF(ISNUMBER(INDEX('Dealer pipeline'!$H$4:$H$503,_calc!$E$376)),TEXT(INDEX('Dealer pipeline'!$H$4:$H$503,_calc!$E$376),"yyyy-mm-dd"),""),IF(ISNUMBER(INDEX('My equipment'!$H$4:$H$503,(_calc!$E$376-500))),TEXT(INDEX('My equipment'!$H$4:$H$503,(_calc!$E$376-500)),"yyyy-mm-dd"),"")))</f>
        <v/>
      </c>
      <c r="F374" s="54">
        <f>IF(_calc!$E$376="","",IF(_calc!$E$376&lt;=500,TRIM(IF(LEN(IF(LEN(INDEX('Dealer pipeline'!$A$4:$A$503,_calc!$E$376))=0,"",INDEX('Dealer pipeline'!$A$4:$A$503,_calc!$E$376)))=0,"","Customer: "&amp;IF(LEN(INDEX('Dealer pipeline'!$A$4:$A$503,_calc!$E$376))=0,"",INDEX('Dealer pipeline'!$A$4:$A$503,_calc!$E$376))&amp;". ")&amp;IF(LEN(IF(LEN(INDEX('Dealer pipeline'!$B$4:$B$503,_calc!$E$376))=0,"",INDEX('Dealer pipeline'!$B$4:$B$503,_calc!$E$376)))=0,"","Contact: "&amp;IF(LEN(INDEX('Dealer pipeline'!$B$4:$B$503,_calc!$E$376))=0,"",INDEX('Dealer pipeline'!$B$4:$B$503,_calc!$E$376))&amp;". ")&amp;IF(LEN(IF(LEN(INDEX('Dealer pipeline'!$D$4:$D$503,_calc!$E$376))=0,"",INDEX('Dealer pipeline'!$D$4:$D$503,_calc!$E$376)))=0,"","Serial: "&amp;IF(LEN(INDEX('Dealer pipeline'!$D$4:$D$503,_calc!$E$376))=0,"",INDEX('Dealer pipeline'!$D$4:$D$503,_calc!$E$376))&amp;". ")&amp;IF(LEN(IF(ISNUMBER(INDEX('Dealer pipeline'!$J$4:$J$503,_calc!$E$376)),TEXT(INDEX('Dealer pipeline'!$J$4:$J$503,_calc!$E$376),"yyyy-mm-dd"),""))=0,"","Parts end: "&amp;IF(ISNUMBER(INDEX('Dealer pipeline'!$J$4:$J$503,_calc!$E$376)),TEXT(INDEX('Dealer pipeline'!$J$4:$J$503,_calc!$E$376),"yyyy-mm-dd"),"")&amp;". ")&amp;IF(LEN(IF(ISNUMBER(INDEX('Dealer pipeline'!$L$4:$L$503,_calc!$E$376)),TEXT(INDEX('Dealer pipeline'!$L$4:$L$503,_calc!$E$376),"yyyy-mm-dd"),""))=0,"","Labor end: "&amp;IF(ISNUMBER(INDEX('Dealer pipeline'!$L$4:$L$503,_calc!$E$376)),TEXT(INDEX('Dealer pipeline'!$L$4:$L$503,_calc!$E$376),"yyyy-mm-dd"),"")&amp;". ")&amp;IF(LEN(IF(LEN(INDEX('Dealer pipeline'!$Q$4:$Q$503,_calc!$E$376))=0,"",INDEX('Dealer pipeline'!$Q$4:$Q$503,_calc!$E$376)))=0,"","Status: "&amp;IF(LEN(INDEX('Dealer pipeline'!$Q$4:$Q$503,_calc!$E$376))=0,"",INDEX('Dealer pipeline'!$Q$4:$Q$503,_calc!$E$376))&amp;". ")&amp;IF(LEN(IF(LEN(INDEX('Dealer pipeline'!$P$4:$P$503,_calc!$E$376))=0,"",INDEX('Dealer pipeline'!$P$4:$P$503,_calc!$E$376)))=0,"","Last touch: "&amp;IF(LEN(INDEX('Dealer pipeline'!$P$4:$P$503,_calc!$E$376))=0,"",INDEX('Dealer pipeline'!$P$4:$P$503,_calc!$E$376))&amp;". ")&amp;IF(LEN(IF(LEN(INDEX('Dealer pipeline'!$R$4:$R$503,_calc!$E$376))=0,"",INDEX('Dealer pipeline'!$R$4:$R$503,_calc!$E$376)))=0,"","Owner: "&amp;IF(LEN(INDEX('Dealer pipeline'!$R$4:$R$503,_calc!$E$376))=0,"",INDEX('Dealer pipeline'!$R$4:$R$503,_calc!$E$376))&amp;". ")&amp;IF(LEN(IF(LEN(INDEX('Dealer pipeline'!$S$4:$S$503,_calc!$E$376))=0,"",INDEX('Dealer pipeline'!$S$4:$S$503,_calc!$E$376)))=0,"","Backup: "&amp;IF(LEN(INDEX('Dealer pipeline'!$S$4:$S$503,_calc!$E$376))=0,"",INDEX('Dealer pipeline'!$S$4:$S$503,_calc!$E$376))&amp;". ")&amp;IF(LEN(IF(LEN(INDEX('Dealer pipeline'!$T$4:$T$503,_calc!$E$376))=0,"",INDEX('Dealer pipeline'!$T$4:$T$503,_calc!$E$376)))=0,"",IF(LEN(INDEX('Dealer pipeline'!$T$4:$T$503,_calc!$E$376))=0,"",INDEX('Dealer pipeline'!$T$4:$T$503,_calc!$E$376)))),TRIM(IF(LEN(IF(LEN(INDEX('My equipment'!$C$4:$C$503,(_calc!$E$376-500)))=0,"",INDEX('My equipment'!$C$4:$C$503,(_calc!$E$376-500))))=0,"","Model: "&amp;IF(LEN(INDEX('My equipment'!$C$4:$C$503,(_calc!$E$376-500)))=0,"",INDEX('My equipment'!$C$4:$C$503,(_calc!$E$376-500)))&amp;". ")&amp;IF(LEN(IF(LEN(INDEX('My equipment'!$D$4:$D$503,(_calc!$E$376-500)))=0,"",INDEX('My equipment'!$D$4:$D$503,(_calc!$E$376-500))))=0,"","Serial: "&amp;IF(LEN(INDEX('My equipment'!$D$4:$D$503,(_calc!$E$376-500)))=0,"",INDEX('My equipment'!$D$4:$D$503,(_calc!$E$376-500)))&amp;". ")&amp;IF(LEN(IF(ISNUMBER(INDEX('My equipment'!$J$4:$J$503,(_calc!$E$376-500))),TEXT(INDEX('My equipment'!$J$4:$J$503,(_calc!$E$376-500)),"yyyy-mm-dd"),""))=0,"","Parts end: "&amp;IF(ISNUMBER(INDEX('My equipment'!$J$4:$J$503,(_calc!$E$376-500))),TEXT(INDEX('My equipment'!$J$4:$J$503,(_calc!$E$376-500)),"yyyy-mm-dd"),"")&amp;". ")&amp;IF(LEN(IF(ISNUMBER(INDEX('My equipment'!$L$4:$L$503,(_calc!$E$376-500))),TEXT(INDEX('My equipment'!$L$4:$L$503,(_calc!$E$376-500)),"yyyy-mm-dd"),""))=0,"","Labor end: "&amp;IF(ISNUMBER(INDEX('My equipment'!$L$4:$L$503,(_calc!$E$376-500))),TEXT(INDEX('My equipment'!$L$4:$L$503,(_calc!$E$376-500)),"yyyy-mm-dd"),"")&amp;". ")&amp;IF(LEN(IF(ISNUMBER(INDEX('My equipment'!$P$4:$P$503,(_calc!$E$376-500))),TEXT(INDEX('My equipment'!$P$4:$P$503,(_calc!$E$376-500)),"yyyy-mm-dd"),""))=0,"","Check by: "&amp;IF(ISNUMBER(INDEX('My equipment'!$P$4:$P$503,(_calc!$E$376-500))),TEXT(INDEX('My equipment'!$P$4:$P$503,(_calc!$E$376-500)),"yyyy-mm-dd"),"")&amp;". ")&amp;IF(LEN(IF(LEN(INDEX('My equipment'!$Q$4:$Q$503,(_calc!$E$376-500)))=0,"",INDEX('My equipment'!$Q$4:$Q$503,(_calc!$E$376-500))))=0,"","Claim status: "&amp;IF(LEN(INDEX('My equipment'!$Q$4:$Q$503,(_calc!$E$376-500)))=0,"",INDEX('My equipment'!$Q$4:$Q$503,(_calc!$E$376-500)))&amp;". ")&amp;IF(LEN(IF(LEN(INDEX('My equipment'!$R$4:$R$503,(_calc!$E$376-500)))=0,"",INDEX('My equipment'!$R$4:$R$503,(_calc!$E$376-500))))=0,"","Claims contact: "&amp;IF(LEN(INDEX('My equipment'!$R$4:$R$503,(_calc!$E$376-500)))=0,"",INDEX('My equipment'!$R$4:$R$503,(_calc!$E$376-500)))&amp;". ")&amp;IF(LEN(IF(LEN(INDEX('My equipment'!$S$4:$S$503,(_calc!$E$376-500)))=0,"",INDEX('My equipment'!$S$4:$S$503,(_calc!$E$376-500))))=0,"","Claims email: "&amp;IF(LEN(INDEX('My equipment'!$S$4:$S$503,(_calc!$E$376-500)))=0,"",INDEX('My equipment'!$S$4:$S$503,(_calc!$E$376-500)))&amp;". ")&amp;IF(LEN(IF(LEN(INDEX('My equipment'!$U$4:$U$503,(_calc!$E$376-500)))=0,"",INDEX('My equipment'!$U$4:$U$503,(_calc!$E$376-500))))=0,"","Registered: "&amp;IF(LEN(INDEX('My equipment'!$U$4:$U$503,(_calc!$E$376-500)))=0,"",INDEX('My equipment'!$U$4:$U$503,(_calc!$E$376-500)))&amp;". ")&amp;IF(LEN(IF(LEN(INDEX('My equipment'!$V$4:$V$503,(_calc!$E$376-500)))=0,"",INDEX('My equipment'!$V$4:$V$503,(_calc!$E$376-500))))=0,"","Proof on file: "&amp;IF(LEN(INDEX('My equipment'!$V$4:$V$503,(_calc!$E$376-500)))=0,"",INDEX('My equipment'!$V$4:$V$503,(_calc!$E$376-500)))&amp;". ")&amp;IF(LEN(IF(LEN(INDEX('My equipment'!$W$4:$W$503,(_calc!$E$376-500)))=0,"",INDEX('My equipment'!$W$4:$W$503,(_calc!$E$376-500))))=0,"","Claim ref: "&amp;IF(LEN(INDEX('My equipment'!$W$4:$W$503,(_calc!$E$376-500)))=0,"",INDEX('My equipment'!$W$4:$W$503,(_calc!$E$376-500)))&amp;". ")&amp;IF(LEN(IF(LEN(INDEX('My equipment'!$Y$4:$Y$503,(_calc!$E$376-500)))=0,"",INDEX('My equipment'!$Y$4:$Y$503,(_calc!$E$376-500))))=0,"",IF(LEN(INDEX('My equipment'!$Y$4:$Y$503,(_calc!$E$376-500)))=0,"",INDEX('My equipment'!$Y$4:$Y$503,(_calc!$E$376-500)))))))</f>
        <v/>
      </c>
      <c r="G374" s="54">
        <f>IF(_calc!$E$376="","",IF(_calc!$E$376&lt;=500,"",IF(LEN(INDEX('My equipment'!$X$4:$X$503,(_calc!$E$376-500)))=0,"",INDEX('My equipment'!$X$4:$X$503,(_calc!$E$376-500)))))</f>
        <v/>
      </c>
      <c r="K374" s="54">
        <f>IF(_calc!$E$376="","",IF(_calc!$E$376&lt;=500,"",IF(LEN(INDEX('My equipment'!$T$4:$T$503,(_calc!$E$376-500)))=0,"",INDEX('My equipment'!$T$4:$T$503,(_calc!$E$376-500)))))</f>
        <v/>
      </c>
    </row>
    <row r="375">
      <c r="A375" s="54">
        <f>IF(_calc!$E$377="","",IF(_calc!$E$377&lt;=500,"Warranty – "&amp;IF(LEN(INDEX('Dealer pipeline'!$C$4:$C$503,_calc!$E$377))=0,"",INDEX('Dealer pipeline'!$C$4:$C$503,_calc!$E$377))&amp;" – "&amp;IF(LEN(INDEX('Dealer pipeline'!$D$4:$D$503,_calc!$E$377))=0,"",INDEX('Dealer pipeline'!$D$4:$D$503,_calc!$E$377))&amp;" – "&amp;IF(LEN(INDEX('Dealer pipeline'!$A$4:$A$503,_calc!$E$377))=0,"",INDEX('Dealer pipeline'!$A$4:$A$503,_calc!$E$377)),"Warranty – "&amp;IF(LEN(INDEX('My equipment'!$A$4:$A$503,(_calc!$E$377-500)))=0,"",INDEX('My equipment'!$A$4:$A$503,(_calc!$E$377-500)))&amp;" – "&amp;IF(LEN(INDEX('My equipment'!$D$4:$D$503,(_calc!$E$377-500)))=0,"",INDEX('My equipment'!$D$4:$D$503,(_calc!$E$377-500)))))</f>
        <v/>
      </c>
      <c r="B375" s="54">
        <f>IF(_calc!$E$377="","",IF(_calc!$E$377&lt;=500,IF(ISNUMBER(INDEX('Dealer pipeline'!$M$4:$M$503,_calc!$E$377)),TEXT(INDEX('Dealer pipeline'!$M$4:$M$503,_calc!$E$377),"yyyy-mm-dd"),""),IF(ISNUMBER(INDEX('My equipment'!$M$4:$M$503,(_calc!$E$377-500))),TEXT(INDEX('My equipment'!$M$4:$M$503,(_calc!$E$377-500)),"yyyy-mm-dd"),"")))</f>
        <v/>
      </c>
      <c r="C375" s="54">
        <f>IF(_calc!$E$377="","",IF(_calc!$E$377&lt;=500,"Warranty","Warranty"))</f>
        <v/>
      </c>
      <c r="D375" s="54">
        <f>IF(_calc!$E$377="","",IF(_calc!$E$377&lt;=500,IF(ISNUMBER(INDEX('Dealer pipeline'!$H$4:$H$503,_calc!$E$377)),TEXT(INDEX('Dealer pipeline'!$H$4:$H$503,_calc!$E$377),"yyyy-mm-dd"),""),IF(ISNUMBER(INDEX('My equipment'!$H$4:$H$503,(_calc!$E$377-500))),TEXT(INDEX('My equipment'!$H$4:$H$503,(_calc!$E$377-500)),"yyyy-mm-dd"),"")))</f>
        <v/>
      </c>
      <c r="F375" s="54">
        <f>IF(_calc!$E$377="","",IF(_calc!$E$377&lt;=500,TRIM(IF(LEN(IF(LEN(INDEX('Dealer pipeline'!$A$4:$A$503,_calc!$E$377))=0,"",INDEX('Dealer pipeline'!$A$4:$A$503,_calc!$E$377)))=0,"","Customer: "&amp;IF(LEN(INDEX('Dealer pipeline'!$A$4:$A$503,_calc!$E$377))=0,"",INDEX('Dealer pipeline'!$A$4:$A$503,_calc!$E$377))&amp;". ")&amp;IF(LEN(IF(LEN(INDEX('Dealer pipeline'!$B$4:$B$503,_calc!$E$377))=0,"",INDEX('Dealer pipeline'!$B$4:$B$503,_calc!$E$377)))=0,"","Contact: "&amp;IF(LEN(INDEX('Dealer pipeline'!$B$4:$B$503,_calc!$E$377))=0,"",INDEX('Dealer pipeline'!$B$4:$B$503,_calc!$E$377))&amp;". ")&amp;IF(LEN(IF(LEN(INDEX('Dealer pipeline'!$D$4:$D$503,_calc!$E$377))=0,"",INDEX('Dealer pipeline'!$D$4:$D$503,_calc!$E$377)))=0,"","Serial: "&amp;IF(LEN(INDEX('Dealer pipeline'!$D$4:$D$503,_calc!$E$377))=0,"",INDEX('Dealer pipeline'!$D$4:$D$503,_calc!$E$377))&amp;". ")&amp;IF(LEN(IF(ISNUMBER(INDEX('Dealer pipeline'!$J$4:$J$503,_calc!$E$377)),TEXT(INDEX('Dealer pipeline'!$J$4:$J$503,_calc!$E$377),"yyyy-mm-dd"),""))=0,"","Parts end: "&amp;IF(ISNUMBER(INDEX('Dealer pipeline'!$J$4:$J$503,_calc!$E$377)),TEXT(INDEX('Dealer pipeline'!$J$4:$J$503,_calc!$E$377),"yyyy-mm-dd"),"")&amp;". ")&amp;IF(LEN(IF(ISNUMBER(INDEX('Dealer pipeline'!$L$4:$L$503,_calc!$E$377)),TEXT(INDEX('Dealer pipeline'!$L$4:$L$503,_calc!$E$377),"yyyy-mm-dd"),""))=0,"","Labor end: "&amp;IF(ISNUMBER(INDEX('Dealer pipeline'!$L$4:$L$503,_calc!$E$377)),TEXT(INDEX('Dealer pipeline'!$L$4:$L$503,_calc!$E$377),"yyyy-mm-dd"),"")&amp;". ")&amp;IF(LEN(IF(LEN(INDEX('Dealer pipeline'!$Q$4:$Q$503,_calc!$E$377))=0,"",INDEX('Dealer pipeline'!$Q$4:$Q$503,_calc!$E$377)))=0,"","Status: "&amp;IF(LEN(INDEX('Dealer pipeline'!$Q$4:$Q$503,_calc!$E$377))=0,"",INDEX('Dealer pipeline'!$Q$4:$Q$503,_calc!$E$377))&amp;". ")&amp;IF(LEN(IF(LEN(INDEX('Dealer pipeline'!$P$4:$P$503,_calc!$E$377))=0,"",INDEX('Dealer pipeline'!$P$4:$P$503,_calc!$E$377)))=0,"","Last touch: "&amp;IF(LEN(INDEX('Dealer pipeline'!$P$4:$P$503,_calc!$E$377))=0,"",INDEX('Dealer pipeline'!$P$4:$P$503,_calc!$E$377))&amp;". ")&amp;IF(LEN(IF(LEN(INDEX('Dealer pipeline'!$R$4:$R$503,_calc!$E$377))=0,"",INDEX('Dealer pipeline'!$R$4:$R$503,_calc!$E$377)))=0,"","Owner: "&amp;IF(LEN(INDEX('Dealer pipeline'!$R$4:$R$503,_calc!$E$377))=0,"",INDEX('Dealer pipeline'!$R$4:$R$503,_calc!$E$377))&amp;". ")&amp;IF(LEN(IF(LEN(INDEX('Dealer pipeline'!$S$4:$S$503,_calc!$E$377))=0,"",INDEX('Dealer pipeline'!$S$4:$S$503,_calc!$E$377)))=0,"","Backup: "&amp;IF(LEN(INDEX('Dealer pipeline'!$S$4:$S$503,_calc!$E$377))=0,"",INDEX('Dealer pipeline'!$S$4:$S$503,_calc!$E$377))&amp;". ")&amp;IF(LEN(IF(LEN(INDEX('Dealer pipeline'!$T$4:$T$503,_calc!$E$377))=0,"",INDEX('Dealer pipeline'!$T$4:$T$503,_calc!$E$377)))=0,"",IF(LEN(INDEX('Dealer pipeline'!$T$4:$T$503,_calc!$E$377))=0,"",INDEX('Dealer pipeline'!$T$4:$T$503,_calc!$E$377)))),TRIM(IF(LEN(IF(LEN(INDEX('My equipment'!$C$4:$C$503,(_calc!$E$377-500)))=0,"",INDEX('My equipment'!$C$4:$C$503,(_calc!$E$377-500))))=0,"","Model: "&amp;IF(LEN(INDEX('My equipment'!$C$4:$C$503,(_calc!$E$377-500)))=0,"",INDEX('My equipment'!$C$4:$C$503,(_calc!$E$377-500)))&amp;". ")&amp;IF(LEN(IF(LEN(INDEX('My equipment'!$D$4:$D$503,(_calc!$E$377-500)))=0,"",INDEX('My equipment'!$D$4:$D$503,(_calc!$E$377-500))))=0,"","Serial: "&amp;IF(LEN(INDEX('My equipment'!$D$4:$D$503,(_calc!$E$377-500)))=0,"",INDEX('My equipment'!$D$4:$D$503,(_calc!$E$377-500)))&amp;". ")&amp;IF(LEN(IF(ISNUMBER(INDEX('My equipment'!$J$4:$J$503,(_calc!$E$377-500))),TEXT(INDEX('My equipment'!$J$4:$J$503,(_calc!$E$377-500)),"yyyy-mm-dd"),""))=0,"","Parts end: "&amp;IF(ISNUMBER(INDEX('My equipment'!$J$4:$J$503,(_calc!$E$377-500))),TEXT(INDEX('My equipment'!$J$4:$J$503,(_calc!$E$377-500)),"yyyy-mm-dd"),"")&amp;". ")&amp;IF(LEN(IF(ISNUMBER(INDEX('My equipment'!$L$4:$L$503,(_calc!$E$377-500))),TEXT(INDEX('My equipment'!$L$4:$L$503,(_calc!$E$377-500)),"yyyy-mm-dd"),""))=0,"","Labor end: "&amp;IF(ISNUMBER(INDEX('My equipment'!$L$4:$L$503,(_calc!$E$377-500))),TEXT(INDEX('My equipment'!$L$4:$L$503,(_calc!$E$377-500)),"yyyy-mm-dd"),"")&amp;". ")&amp;IF(LEN(IF(ISNUMBER(INDEX('My equipment'!$P$4:$P$503,(_calc!$E$377-500))),TEXT(INDEX('My equipment'!$P$4:$P$503,(_calc!$E$377-500)),"yyyy-mm-dd"),""))=0,"","Check by: "&amp;IF(ISNUMBER(INDEX('My equipment'!$P$4:$P$503,(_calc!$E$377-500))),TEXT(INDEX('My equipment'!$P$4:$P$503,(_calc!$E$377-500)),"yyyy-mm-dd"),"")&amp;". ")&amp;IF(LEN(IF(LEN(INDEX('My equipment'!$Q$4:$Q$503,(_calc!$E$377-500)))=0,"",INDEX('My equipment'!$Q$4:$Q$503,(_calc!$E$377-500))))=0,"","Claim status: "&amp;IF(LEN(INDEX('My equipment'!$Q$4:$Q$503,(_calc!$E$377-500)))=0,"",INDEX('My equipment'!$Q$4:$Q$503,(_calc!$E$377-500)))&amp;". ")&amp;IF(LEN(IF(LEN(INDEX('My equipment'!$R$4:$R$503,(_calc!$E$377-500)))=0,"",INDEX('My equipment'!$R$4:$R$503,(_calc!$E$377-500))))=0,"","Claims contact: "&amp;IF(LEN(INDEX('My equipment'!$R$4:$R$503,(_calc!$E$377-500)))=0,"",INDEX('My equipment'!$R$4:$R$503,(_calc!$E$377-500)))&amp;". ")&amp;IF(LEN(IF(LEN(INDEX('My equipment'!$S$4:$S$503,(_calc!$E$377-500)))=0,"",INDEX('My equipment'!$S$4:$S$503,(_calc!$E$377-500))))=0,"","Claims email: "&amp;IF(LEN(INDEX('My equipment'!$S$4:$S$503,(_calc!$E$377-500)))=0,"",INDEX('My equipment'!$S$4:$S$503,(_calc!$E$377-500)))&amp;". ")&amp;IF(LEN(IF(LEN(INDEX('My equipment'!$U$4:$U$503,(_calc!$E$377-500)))=0,"",INDEX('My equipment'!$U$4:$U$503,(_calc!$E$377-500))))=0,"","Registered: "&amp;IF(LEN(INDEX('My equipment'!$U$4:$U$503,(_calc!$E$377-500)))=0,"",INDEX('My equipment'!$U$4:$U$503,(_calc!$E$377-500)))&amp;". ")&amp;IF(LEN(IF(LEN(INDEX('My equipment'!$V$4:$V$503,(_calc!$E$377-500)))=0,"",INDEX('My equipment'!$V$4:$V$503,(_calc!$E$377-500))))=0,"","Proof on file: "&amp;IF(LEN(INDEX('My equipment'!$V$4:$V$503,(_calc!$E$377-500)))=0,"",INDEX('My equipment'!$V$4:$V$503,(_calc!$E$377-500)))&amp;". ")&amp;IF(LEN(IF(LEN(INDEX('My equipment'!$W$4:$W$503,(_calc!$E$377-500)))=0,"",INDEX('My equipment'!$W$4:$W$503,(_calc!$E$377-500))))=0,"","Claim ref: "&amp;IF(LEN(INDEX('My equipment'!$W$4:$W$503,(_calc!$E$377-500)))=0,"",INDEX('My equipment'!$W$4:$W$503,(_calc!$E$377-500)))&amp;". ")&amp;IF(LEN(IF(LEN(INDEX('My equipment'!$Y$4:$Y$503,(_calc!$E$377-500)))=0,"",INDEX('My equipment'!$Y$4:$Y$503,(_calc!$E$377-500))))=0,"",IF(LEN(INDEX('My equipment'!$Y$4:$Y$503,(_calc!$E$377-500)))=0,"",INDEX('My equipment'!$Y$4:$Y$503,(_calc!$E$377-500)))))))</f>
        <v/>
      </c>
      <c r="G375" s="54">
        <f>IF(_calc!$E$377="","",IF(_calc!$E$377&lt;=500,"",IF(LEN(INDEX('My equipment'!$X$4:$X$503,(_calc!$E$377-500)))=0,"",INDEX('My equipment'!$X$4:$X$503,(_calc!$E$377-500)))))</f>
        <v/>
      </c>
      <c r="K375" s="54">
        <f>IF(_calc!$E$377="","",IF(_calc!$E$377&lt;=500,"",IF(LEN(INDEX('My equipment'!$T$4:$T$503,(_calc!$E$377-500)))=0,"",INDEX('My equipment'!$T$4:$T$503,(_calc!$E$377-500)))))</f>
        <v/>
      </c>
    </row>
    <row r="376">
      <c r="A376" s="54">
        <f>IF(_calc!$E$378="","",IF(_calc!$E$378&lt;=500,"Warranty – "&amp;IF(LEN(INDEX('Dealer pipeline'!$C$4:$C$503,_calc!$E$378))=0,"",INDEX('Dealer pipeline'!$C$4:$C$503,_calc!$E$378))&amp;" – "&amp;IF(LEN(INDEX('Dealer pipeline'!$D$4:$D$503,_calc!$E$378))=0,"",INDEX('Dealer pipeline'!$D$4:$D$503,_calc!$E$378))&amp;" – "&amp;IF(LEN(INDEX('Dealer pipeline'!$A$4:$A$503,_calc!$E$378))=0,"",INDEX('Dealer pipeline'!$A$4:$A$503,_calc!$E$378)),"Warranty – "&amp;IF(LEN(INDEX('My equipment'!$A$4:$A$503,(_calc!$E$378-500)))=0,"",INDEX('My equipment'!$A$4:$A$503,(_calc!$E$378-500)))&amp;" – "&amp;IF(LEN(INDEX('My equipment'!$D$4:$D$503,(_calc!$E$378-500)))=0,"",INDEX('My equipment'!$D$4:$D$503,(_calc!$E$378-500)))))</f>
        <v/>
      </c>
      <c r="B376" s="54">
        <f>IF(_calc!$E$378="","",IF(_calc!$E$378&lt;=500,IF(ISNUMBER(INDEX('Dealer pipeline'!$M$4:$M$503,_calc!$E$378)),TEXT(INDEX('Dealer pipeline'!$M$4:$M$503,_calc!$E$378),"yyyy-mm-dd"),""),IF(ISNUMBER(INDEX('My equipment'!$M$4:$M$503,(_calc!$E$378-500))),TEXT(INDEX('My equipment'!$M$4:$M$503,(_calc!$E$378-500)),"yyyy-mm-dd"),"")))</f>
        <v/>
      </c>
      <c r="C376" s="54">
        <f>IF(_calc!$E$378="","",IF(_calc!$E$378&lt;=500,"Warranty","Warranty"))</f>
        <v/>
      </c>
      <c r="D376" s="54">
        <f>IF(_calc!$E$378="","",IF(_calc!$E$378&lt;=500,IF(ISNUMBER(INDEX('Dealer pipeline'!$H$4:$H$503,_calc!$E$378)),TEXT(INDEX('Dealer pipeline'!$H$4:$H$503,_calc!$E$378),"yyyy-mm-dd"),""),IF(ISNUMBER(INDEX('My equipment'!$H$4:$H$503,(_calc!$E$378-500))),TEXT(INDEX('My equipment'!$H$4:$H$503,(_calc!$E$378-500)),"yyyy-mm-dd"),"")))</f>
        <v/>
      </c>
      <c r="F376" s="54">
        <f>IF(_calc!$E$378="","",IF(_calc!$E$378&lt;=500,TRIM(IF(LEN(IF(LEN(INDEX('Dealer pipeline'!$A$4:$A$503,_calc!$E$378))=0,"",INDEX('Dealer pipeline'!$A$4:$A$503,_calc!$E$378)))=0,"","Customer: "&amp;IF(LEN(INDEX('Dealer pipeline'!$A$4:$A$503,_calc!$E$378))=0,"",INDEX('Dealer pipeline'!$A$4:$A$503,_calc!$E$378))&amp;". ")&amp;IF(LEN(IF(LEN(INDEX('Dealer pipeline'!$B$4:$B$503,_calc!$E$378))=0,"",INDEX('Dealer pipeline'!$B$4:$B$503,_calc!$E$378)))=0,"","Contact: "&amp;IF(LEN(INDEX('Dealer pipeline'!$B$4:$B$503,_calc!$E$378))=0,"",INDEX('Dealer pipeline'!$B$4:$B$503,_calc!$E$378))&amp;". ")&amp;IF(LEN(IF(LEN(INDEX('Dealer pipeline'!$D$4:$D$503,_calc!$E$378))=0,"",INDEX('Dealer pipeline'!$D$4:$D$503,_calc!$E$378)))=0,"","Serial: "&amp;IF(LEN(INDEX('Dealer pipeline'!$D$4:$D$503,_calc!$E$378))=0,"",INDEX('Dealer pipeline'!$D$4:$D$503,_calc!$E$378))&amp;". ")&amp;IF(LEN(IF(ISNUMBER(INDEX('Dealer pipeline'!$J$4:$J$503,_calc!$E$378)),TEXT(INDEX('Dealer pipeline'!$J$4:$J$503,_calc!$E$378),"yyyy-mm-dd"),""))=0,"","Parts end: "&amp;IF(ISNUMBER(INDEX('Dealer pipeline'!$J$4:$J$503,_calc!$E$378)),TEXT(INDEX('Dealer pipeline'!$J$4:$J$503,_calc!$E$378),"yyyy-mm-dd"),"")&amp;". ")&amp;IF(LEN(IF(ISNUMBER(INDEX('Dealer pipeline'!$L$4:$L$503,_calc!$E$378)),TEXT(INDEX('Dealer pipeline'!$L$4:$L$503,_calc!$E$378),"yyyy-mm-dd"),""))=0,"","Labor end: "&amp;IF(ISNUMBER(INDEX('Dealer pipeline'!$L$4:$L$503,_calc!$E$378)),TEXT(INDEX('Dealer pipeline'!$L$4:$L$503,_calc!$E$378),"yyyy-mm-dd"),"")&amp;". ")&amp;IF(LEN(IF(LEN(INDEX('Dealer pipeline'!$Q$4:$Q$503,_calc!$E$378))=0,"",INDEX('Dealer pipeline'!$Q$4:$Q$503,_calc!$E$378)))=0,"","Status: "&amp;IF(LEN(INDEX('Dealer pipeline'!$Q$4:$Q$503,_calc!$E$378))=0,"",INDEX('Dealer pipeline'!$Q$4:$Q$503,_calc!$E$378))&amp;". ")&amp;IF(LEN(IF(LEN(INDEX('Dealer pipeline'!$P$4:$P$503,_calc!$E$378))=0,"",INDEX('Dealer pipeline'!$P$4:$P$503,_calc!$E$378)))=0,"","Last touch: "&amp;IF(LEN(INDEX('Dealer pipeline'!$P$4:$P$503,_calc!$E$378))=0,"",INDEX('Dealer pipeline'!$P$4:$P$503,_calc!$E$378))&amp;". ")&amp;IF(LEN(IF(LEN(INDEX('Dealer pipeline'!$R$4:$R$503,_calc!$E$378))=0,"",INDEX('Dealer pipeline'!$R$4:$R$503,_calc!$E$378)))=0,"","Owner: "&amp;IF(LEN(INDEX('Dealer pipeline'!$R$4:$R$503,_calc!$E$378))=0,"",INDEX('Dealer pipeline'!$R$4:$R$503,_calc!$E$378))&amp;". ")&amp;IF(LEN(IF(LEN(INDEX('Dealer pipeline'!$S$4:$S$503,_calc!$E$378))=0,"",INDEX('Dealer pipeline'!$S$4:$S$503,_calc!$E$378)))=0,"","Backup: "&amp;IF(LEN(INDEX('Dealer pipeline'!$S$4:$S$503,_calc!$E$378))=0,"",INDEX('Dealer pipeline'!$S$4:$S$503,_calc!$E$378))&amp;". ")&amp;IF(LEN(IF(LEN(INDEX('Dealer pipeline'!$T$4:$T$503,_calc!$E$378))=0,"",INDEX('Dealer pipeline'!$T$4:$T$503,_calc!$E$378)))=0,"",IF(LEN(INDEX('Dealer pipeline'!$T$4:$T$503,_calc!$E$378))=0,"",INDEX('Dealer pipeline'!$T$4:$T$503,_calc!$E$378)))),TRIM(IF(LEN(IF(LEN(INDEX('My equipment'!$C$4:$C$503,(_calc!$E$378-500)))=0,"",INDEX('My equipment'!$C$4:$C$503,(_calc!$E$378-500))))=0,"","Model: "&amp;IF(LEN(INDEX('My equipment'!$C$4:$C$503,(_calc!$E$378-500)))=0,"",INDEX('My equipment'!$C$4:$C$503,(_calc!$E$378-500)))&amp;". ")&amp;IF(LEN(IF(LEN(INDEX('My equipment'!$D$4:$D$503,(_calc!$E$378-500)))=0,"",INDEX('My equipment'!$D$4:$D$503,(_calc!$E$378-500))))=0,"","Serial: "&amp;IF(LEN(INDEX('My equipment'!$D$4:$D$503,(_calc!$E$378-500)))=0,"",INDEX('My equipment'!$D$4:$D$503,(_calc!$E$378-500)))&amp;". ")&amp;IF(LEN(IF(ISNUMBER(INDEX('My equipment'!$J$4:$J$503,(_calc!$E$378-500))),TEXT(INDEX('My equipment'!$J$4:$J$503,(_calc!$E$378-500)),"yyyy-mm-dd"),""))=0,"","Parts end: "&amp;IF(ISNUMBER(INDEX('My equipment'!$J$4:$J$503,(_calc!$E$378-500))),TEXT(INDEX('My equipment'!$J$4:$J$503,(_calc!$E$378-500)),"yyyy-mm-dd"),"")&amp;". ")&amp;IF(LEN(IF(ISNUMBER(INDEX('My equipment'!$L$4:$L$503,(_calc!$E$378-500))),TEXT(INDEX('My equipment'!$L$4:$L$503,(_calc!$E$378-500)),"yyyy-mm-dd"),""))=0,"","Labor end: "&amp;IF(ISNUMBER(INDEX('My equipment'!$L$4:$L$503,(_calc!$E$378-500))),TEXT(INDEX('My equipment'!$L$4:$L$503,(_calc!$E$378-500)),"yyyy-mm-dd"),"")&amp;". ")&amp;IF(LEN(IF(ISNUMBER(INDEX('My equipment'!$P$4:$P$503,(_calc!$E$378-500))),TEXT(INDEX('My equipment'!$P$4:$P$503,(_calc!$E$378-500)),"yyyy-mm-dd"),""))=0,"","Check by: "&amp;IF(ISNUMBER(INDEX('My equipment'!$P$4:$P$503,(_calc!$E$378-500))),TEXT(INDEX('My equipment'!$P$4:$P$503,(_calc!$E$378-500)),"yyyy-mm-dd"),"")&amp;". ")&amp;IF(LEN(IF(LEN(INDEX('My equipment'!$Q$4:$Q$503,(_calc!$E$378-500)))=0,"",INDEX('My equipment'!$Q$4:$Q$503,(_calc!$E$378-500))))=0,"","Claim status: "&amp;IF(LEN(INDEX('My equipment'!$Q$4:$Q$503,(_calc!$E$378-500)))=0,"",INDEX('My equipment'!$Q$4:$Q$503,(_calc!$E$378-500)))&amp;". ")&amp;IF(LEN(IF(LEN(INDEX('My equipment'!$R$4:$R$503,(_calc!$E$378-500)))=0,"",INDEX('My equipment'!$R$4:$R$503,(_calc!$E$378-500))))=0,"","Claims contact: "&amp;IF(LEN(INDEX('My equipment'!$R$4:$R$503,(_calc!$E$378-500)))=0,"",INDEX('My equipment'!$R$4:$R$503,(_calc!$E$378-500)))&amp;". ")&amp;IF(LEN(IF(LEN(INDEX('My equipment'!$S$4:$S$503,(_calc!$E$378-500)))=0,"",INDEX('My equipment'!$S$4:$S$503,(_calc!$E$378-500))))=0,"","Claims email: "&amp;IF(LEN(INDEX('My equipment'!$S$4:$S$503,(_calc!$E$378-500)))=0,"",INDEX('My equipment'!$S$4:$S$503,(_calc!$E$378-500)))&amp;". ")&amp;IF(LEN(IF(LEN(INDEX('My equipment'!$U$4:$U$503,(_calc!$E$378-500)))=0,"",INDEX('My equipment'!$U$4:$U$503,(_calc!$E$378-500))))=0,"","Registered: "&amp;IF(LEN(INDEX('My equipment'!$U$4:$U$503,(_calc!$E$378-500)))=0,"",INDEX('My equipment'!$U$4:$U$503,(_calc!$E$378-500)))&amp;". ")&amp;IF(LEN(IF(LEN(INDEX('My equipment'!$V$4:$V$503,(_calc!$E$378-500)))=0,"",INDEX('My equipment'!$V$4:$V$503,(_calc!$E$378-500))))=0,"","Proof on file: "&amp;IF(LEN(INDEX('My equipment'!$V$4:$V$503,(_calc!$E$378-500)))=0,"",INDEX('My equipment'!$V$4:$V$503,(_calc!$E$378-500)))&amp;". ")&amp;IF(LEN(IF(LEN(INDEX('My equipment'!$W$4:$W$503,(_calc!$E$378-500)))=0,"",INDEX('My equipment'!$W$4:$W$503,(_calc!$E$378-500))))=0,"","Claim ref: "&amp;IF(LEN(INDEX('My equipment'!$W$4:$W$503,(_calc!$E$378-500)))=0,"",INDEX('My equipment'!$W$4:$W$503,(_calc!$E$378-500)))&amp;". ")&amp;IF(LEN(IF(LEN(INDEX('My equipment'!$Y$4:$Y$503,(_calc!$E$378-500)))=0,"",INDEX('My equipment'!$Y$4:$Y$503,(_calc!$E$378-500))))=0,"",IF(LEN(INDEX('My equipment'!$Y$4:$Y$503,(_calc!$E$378-500)))=0,"",INDEX('My equipment'!$Y$4:$Y$503,(_calc!$E$378-500)))))))</f>
        <v/>
      </c>
      <c r="G376" s="54">
        <f>IF(_calc!$E$378="","",IF(_calc!$E$378&lt;=500,"",IF(LEN(INDEX('My equipment'!$X$4:$X$503,(_calc!$E$378-500)))=0,"",INDEX('My equipment'!$X$4:$X$503,(_calc!$E$378-500)))))</f>
        <v/>
      </c>
      <c r="K376" s="54">
        <f>IF(_calc!$E$378="","",IF(_calc!$E$378&lt;=500,"",IF(LEN(INDEX('My equipment'!$T$4:$T$503,(_calc!$E$378-500)))=0,"",INDEX('My equipment'!$T$4:$T$503,(_calc!$E$378-500)))))</f>
        <v/>
      </c>
    </row>
    <row r="377">
      <c r="A377" s="54">
        <f>IF(_calc!$E$379="","",IF(_calc!$E$379&lt;=500,"Warranty – "&amp;IF(LEN(INDEX('Dealer pipeline'!$C$4:$C$503,_calc!$E$379))=0,"",INDEX('Dealer pipeline'!$C$4:$C$503,_calc!$E$379))&amp;" – "&amp;IF(LEN(INDEX('Dealer pipeline'!$D$4:$D$503,_calc!$E$379))=0,"",INDEX('Dealer pipeline'!$D$4:$D$503,_calc!$E$379))&amp;" – "&amp;IF(LEN(INDEX('Dealer pipeline'!$A$4:$A$503,_calc!$E$379))=0,"",INDEX('Dealer pipeline'!$A$4:$A$503,_calc!$E$379)),"Warranty – "&amp;IF(LEN(INDEX('My equipment'!$A$4:$A$503,(_calc!$E$379-500)))=0,"",INDEX('My equipment'!$A$4:$A$503,(_calc!$E$379-500)))&amp;" – "&amp;IF(LEN(INDEX('My equipment'!$D$4:$D$503,(_calc!$E$379-500)))=0,"",INDEX('My equipment'!$D$4:$D$503,(_calc!$E$379-500)))))</f>
        <v/>
      </c>
      <c r="B377" s="54">
        <f>IF(_calc!$E$379="","",IF(_calc!$E$379&lt;=500,IF(ISNUMBER(INDEX('Dealer pipeline'!$M$4:$M$503,_calc!$E$379)),TEXT(INDEX('Dealer pipeline'!$M$4:$M$503,_calc!$E$379),"yyyy-mm-dd"),""),IF(ISNUMBER(INDEX('My equipment'!$M$4:$M$503,(_calc!$E$379-500))),TEXT(INDEX('My equipment'!$M$4:$M$503,(_calc!$E$379-500)),"yyyy-mm-dd"),"")))</f>
        <v/>
      </c>
      <c r="C377" s="54">
        <f>IF(_calc!$E$379="","",IF(_calc!$E$379&lt;=500,"Warranty","Warranty"))</f>
        <v/>
      </c>
      <c r="D377" s="54">
        <f>IF(_calc!$E$379="","",IF(_calc!$E$379&lt;=500,IF(ISNUMBER(INDEX('Dealer pipeline'!$H$4:$H$503,_calc!$E$379)),TEXT(INDEX('Dealer pipeline'!$H$4:$H$503,_calc!$E$379),"yyyy-mm-dd"),""),IF(ISNUMBER(INDEX('My equipment'!$H$4:$H$503,(_calc!$E$379-500))),TEXT(INDEX('My equipment'!$H$4:$H$503,(_calc!$E$379-500)),"yyyy-mm-dd"),"")))</f>
        <v/>
      </c>
      <c r="F377" s="54">
        <f>IF(_calc!$E$379="","",IF(_calc!$E$379&lt;=500,TRIM(IF(LEN(IF(LEN(INDEX('Dealer pipeline'!$A$4:$A$503,_calc!$E$379))=0,"",INDEX('Dealer pipeline'!$A$4:$A$503,_calc!$E$379)))=0,"","Customer: "&amp;IF(LEN(INDEX('Dealer pipeline'!$A$4:$A$503,_calc!$E$379))=0,"",INDEX('Dealer pipeline'!$A$4:$A$503,_calc!$E$379))&amp;". ")&amp;IF(LEN(IF(LEN(INDEX('Dealer pipeline'!$B$4:$B$503,_calc!$E$379))=0,"",INDEX('Dealer pipeline'!$B$4:$B$503,_calc!$E$379)))=0,"","Contact: "&amp;IF(LEN(INDEX('Dealer pipeline'!$B$4:$B$503,_calc!$E$379))=0,"",INDEX('Dealer pipeline'!$B$4:$B$503,_calc!$E$379))&amp;". ")&amp;IF(LEN(IF(LEN(INDEX('Dealer pipeline'!$D$4:$D$503,_calc!$E$379))=0,"",INDEX('Dealer pipeline'!$D$4:$D$503,_calc!$E$379)))=0,"","Serial: "&amp;IF(LEN(INDEX('Dealer pipeline'!$D$4:$D$503,_calc!$E$379))=0,"",INDEX('Dealer pipeline'!$D$4:$D$503,_calc!$E$379))&amp;". ")&amp;IF(LEN(IF(ISNUMBER(INDEX('Dealer pipeline'!$J$4:$J$503,_calc!$E$379)),TEXT(INDEX('Dealer pipeline'!$J$4:$J$503,_calc!$E$379),"yyyy-mm-dd"),""))=0,"","Parts end: "&amp;IF(ISNUMBER(INDEX('Dealer pipeline'!$J$4:$J$503,_calc!$E$379)),TEXT(INDEX('Dealer pipeline'!$J$4:$J$503,_calc!$E$379),"yyyy-mm-dd"),"")&amp;". ")&amp;IF(LEN(IF(ISNUMBER(INDEX('Dealer pipeline'!$L$4:$L$503,_calc!$E$379)),TEXT(INDEX('Dealer pipeline'!$L$4:$L$503,_calc!$E$379),"yyyy-mm-dd"),""))=0,"","Labor end: "&amp;IF(ISNUMBER(INDEX('Dealer pipeline'!$L$4:$L$503,_calc!$E$379)),TEXT(INDEX('Dealer pipeline'!$L$4:$L$503,_calc!$E$379),"yyyy-mm-dd"),"")&amp;". ")&amp;IF(LEN(IF(LEN(INDEX('Dealer pipeline'!$Q$4:$Q$503,_calc!$E$379))=0,"",INDEX('Dealer pipeline'!$Q$4:$Q$503,_calc!$E$379)))=0,"","Status: "&amp;IF(LEN(INDEX('Dealer pipeline'!$Q$4:$Q$503,_calc!$E$379))=0,"",INDEX('Dealer pipeline'!$Q$4:$Q$503,_calc!$E$379))&amp;". ")&amp;IF(LEN(IF(LEN(INDEX('Dealer pipeline'!$P$4:$P$503,_calc!$E$379))=0,"",INDEX('Dealer pipeline'!$P$4:$P$503,_calc!$E$379)))=0,"","Last touch: "&amp;IF(LEN(INDEX('Dealer pipeline'!$P$4:$P$503,_calc!$E$379))=0,"",INDEX('Dealer pipeline'!$P$4:$P$503,_calc!$E$379))&amp;". ")&amp;IF(LEN(IF(LEN(INDEX('Dealer pipeline'!$R$4:$R$503,_calc!$E$379))=0,"",INDEX('Dealer pipeline'!$R$4:$R$503,_calc!$E$379)))=0,"","Owner: "&amp;IF(LEN(INDEX('Dealer pipeline'!$R$4:$R$503,_calc!$E$379))=0,"",INDEX('Dealer pipeline'!$R$4:$R$503,_calc!$E$379))&amp;". ")&amp;IF(LEN(IF(LEN(INDEX('Dealer pipeline'!$S$4:$S$503,_calc!$E$379))=0,"",INDEX('Dealer pipeline'!$S$4:$S$503,_calc!$E$379)))=0,"","Backup: "&amp;IF(LEN(INDEX('Dealer pipeline'!$S$4:$S$503,_calc!$E$379))=0,"",INDEX('Dealer pipeline'!$S$4:$S$503,_calc!$E$379))&amp;". ")&amp;IF(LEN(IF(LEN(INDEX('Dealer pipeline'!$T$4:$T$503,_calc!$E$379))=0,"",INDEX('Dealer pipeline'!$T$4:$T$503,_calc!$E$379)))=0,"",IF(LEN(INDEX('Dealer pipeline'!$T$4:$T$503,_calc!$E$379))=0,"",INDEX('Dealer pipeline'!$T$4:$T$503,_calc!$E$379)))),TRIM(IF(LEN(IF(LEN(INDEX('My equipment'!$C$4:$C$503,(_calc!$E$379-500)))=0,"",INDEX('My equipment'!$C$4:$C$503,(_calc!$E$379-500))))=0,"","Model: "&amp;IF(LEN(INDEX('My equipment'!$C$4:$C$503,(_calc!$E$379-500)))=0,"",INDEX('My equipment'!$C$4:$C$503,(_calc!$E$379-500)))&amp;". ")&amp;IF(LEN(IF(LEN(INDEX('My equipment'!$D$4:$D$503,(_calc!$E$379-500)))=0,"",INDEX('My equipment'!$D$4:$D$503,(_calc!$E$379-500))))=0,"","Serial: "&amp;IF(LEN(INDEX('My equipment'!$D$4:$D$503,(_calc!$E$379-500)))=0,"",INDEX('My equipment'!$D$4:$D$503,(_calc!$E$379-500)))&amp;". ")&amp;IF(LEN(IF(ISNUMBER(INDEX('My equipment'!$J$4:$J$503,(_calc!$E$379-500))),TEXT(INDEX('My equipment'!$J$4:$J$503,(_calc!$E$379-500)),"yyyy-mm-dd"),""))=0,"","Parts end: "&amp;IF(ISNUMBER(INDEX('My equipment'!$J$4:$J$503,(_calc!$E$379-500))),TEXT(INDEX('My equipment'!$J$4:$J$503,(_calc!$E$379-500)),"yyyy-mm-dd"),"")&amp;". ")&amp;IF(LEN(IF(ISNUMBER(INDEX('My equipment'!$L$4:$L$503,(_calc!$E$379-500))),TEXT(INDEX('My equipment'!$L$4:$L$503,(_calc!$E$379-500)),"yyyy-mm-dd"),""))=0,"","Labor end: "&amp;IF(ISNUMBER(INDEX('My equipment'!$L$4:$L$503,(_calc!$E$379-500))),TEXT(INDEX('My equipment'!$L$4:$L$503,(_calc!$E$379-500)),"yyyy-mm-dd"),"")&amp;". ")&amp;IF(LEN(IF(ISNUMBER(INDEX('My equipment'!$P$4:$P$503,(_calc!$E$379-500))),TEXT(INDEX('My equipment'!$P$4:$P$503,(_calc!$E$379-500)),"yyyy-mm-dd"),""))=0,"","Check by: "&amp;IF(ISNUMBER(INDEX('My equipment'!$P$4:$P$503,(_calc!$E$379-500))),TEXT(INDEX('My equipment'!$P$4:$P$503,(_calc!$E$379-500)),"yyyy-mm-dd"),"")&amp;". ")&amp;IF(LEN(IF(LEN(INDEX('My equipment'!$Q$4:$Q$503,(_calc!$E$379-500)))=0,"",INDEX('My equipment'!$Q$4:$Q$503,(_calc!$E$379-500))))=0,"","Claim status: "&amp;IF(LEN(INDEX('My equipment'!$Q$4:$Q$503,(_calc!$E$379-500)))=0,"",INDEX('My equipment'!$Q$4:$Q$503,(_calc!$E$379-500)))&amp;". ")&amp;IF(LEN(IF(LEN(INDEX('My equipment'!$R$4:$R$503,(_calc!$E$379-500)))=0,"",INDEX('My equipment'!$R$4:$R$503,(_calc!$E$379-500))))=0,"","Claims contact: "&amp;IF(LEN(INDEX('My equipment'!$R$4:$R$503,(_calc!$E$379-500)))=0,"",INDEX('My equipment'!$R$4:$R$503,(_calc!$E$379-500)))&amp;". ")&amp;IF(LEN(IF(LEN(INDEX('My equipment'!$S$4:$S$503,(_calc!$E$379-500)))=0,"",INDEX('My equipment'!$S$4:$S$503,(_calc!$E$379-500))))=0,"","Claims email: "&amp;IF(LEN(INDEX('My equipment'!$S$4:$S$503,(_calc!$E$379-500)))=0,"",INDEX('My equipment'!$S$4:$S$503,(_calc!$E$379-500)))&amp;". ")&amp;IF(LEN(IF(LEN(INDEX('My equipment'!$U$4:$U$503,(_calc!$E$379-500)))=0,"",INDEX('My equipment'!$U$4:$U$503,(_calc!$E$379-500))))=0,"","Registered: "&amp;IF(LEN(INDEX('My equipment'!$U$4:$U$503,(_calc!$E$379-500)))=0,"",INDEX('My equipment'!$U$4:$U$503,(_calc!$E$379-500)))&amp;". ")&amp;IF(LEN(IF(LEN(INDEX('My equipment'!$V$4:$V$503,(_calc!$E$379-500)))=0,"",INDEX('My equipment'!$V$4:$V$503,(_calc!$E$379-500))))=0,"","Proof on file: "&amp;IF(LEN(INDEX('My equipment'!$V$4:$V$503,(_calc!$E$379-500)))=0,"",INDEX('My equipment'!$V$4:$V$503,(_calc!$E$379-500)))&amp;". ")&amp;IF(LEN(IF(LEN(INDEX('My equipment'!$W$4:$W$503,(_calc!$E$379-500)))=0,"",INDEX('My equipment'!$W$4:$W$503,(_calc!$E$379-500))))=0,"","Claim ref: "&amp;IF(LEN(INDEX('My equipment'!$W$4:$W$503,(_calc!$E$379-500)))=0,"",INDEX('My equipment'!$W$4:$W$503,(_calc!$E$379-500)))&amp;". ")&amp;IF(LEN(IF(LEN(INDEX('My equipment'!$Y$4:$Y$503,(_calc!$E$379-500)))=0,"",INDEX('My equipment'!$Y$4:$Y$503,(_calc!$E$379-500))))=0,"",IF(LEN(INDEX('My equipment'!$Y$4:$Y$503,(_calc!$E$379-500)))=0,"",INDEX('My equipment'!$Y$4:$Y$503,(_calc!$E$379-500)))))))</f>
        <v/>
      </c>
      <c r="G377" s="54">
        <f>IF(_calc!$E$379="","",IF(_calc!$E$379&lt;=500,"",IF(LEN(INDEX('My equipment'!$X$4:$X$503,(_calc!$E$379-500)))=0,"",INDEX('My equipment'!$X$4:$X$503,(_calc!$E$379-500)))))</f>
        <v/>
      </c>
      <c r="K377" s="54">
        <f>IF(_calc!$E$379="","",IF(_calc!$E$379&lt;=500,"",IF(LEN(INDEX('My equipment'!$T$4:$T$503,(_calc!$E$379-500)))=0,"",INDEX('My equipment'!$T$4:$T$503,(_calc!$E$379-500)))))</f>
        <v/>
      </c>
    </row>
    <row r="378">
      <c r="A378" s="54">
        <f>IF(_calc!$E$380="","",IF(_calc!$E$380&lt;=500,"Warranty – "&amp;IF(LEN(INDEX('Dealer pipeline'!$C$4:$C$503,_calc!$E$380))=0,"",INDEX('Dealer pipeline'!$C$4:$C$503,_calc!$E$380))&amp;" – "&amp;IF(LEN(INDEX('Dealer pipeline'!$D$4:$D$503,_calc!$E$380))=0,"",INDEX('Dealer pipeline'!$D$4:$D$503,_calc!$E$380))&amp;" – "&amp;IF(LEN(INDEX('Dealer pipeline'!$A$4:$A$503,_calc!$E$380))=0,"",INDEX('Dealer pipeline'!$A$4:$A$503,_calc!$E$380)),"Warranty – "&amp;IF(LEN(INDEX('My equipment'!$A$4:$A$503,(_calc!$E$380-500)))=0,"",INDEX('My equipment'!$A$4:$A$503,(_calc!$E$380-500)))&amp;" – "&amp;IF(LEN(INDEX('My equipment'!$D$4:$D$503,(_calc!$E$380-500)))=0,"",INDEX('My equipment'!$D$4:$D$503,(_calc!$E$380-500)))))</f>
        <v/>
      </c>
      <c r="B378" s="54">
        <f>IF(_calc!$E$380="","",IF(_calc!$E$380&lt;=500,IF(ISNUMBER(INDEX('Dealer pipeline'!$M$4:$M$503,_calc!$E$380)),TEXT(INDEX('Dealer pipeline'!$M$4:$M$503,_calc!$E$380),"yyyy-mm-dd"),""),IF(ISNUMBER(INDEX('My equipment'!$M$4:$M$503,(_calc!$E$380-500))),TEXT(INDEX('My equipment'!$M$4:$M$503,(_calc!$E$380-500)),"yyyy-mm-dd"),"")))</f>
        <v/>
      </c>
      <c r="C378" s="54">
        <f>IF(_calc!$E$380="","",IF(_calc!$E$380&lt;=500,"Warranty","Warranty"))</f>
        <v/>
      </c>
      <c r="D378" s="54">
        <f>IF(_calc!$E$380="","",IF(_calc!$E$380&lt;=500,IF(ISNUMBER(INDEX('Dealer pipeline'!$H$4:$H$503,_calc!$E$380)),TEXT(INDEX('Dealer pipeline'!$H$4:$H$503,_calc!$E$380),"yyyy-mm-dd"),""),IF(ISNUMBER(INDEX('My equipment'!$H$4:$H$503,(_calc!$E$380-500))),TEXT(INDEX('My equipment'!$H$4:$H$503,(_calc!$E$380-500)),"yyyy-mm-dd"),"")))</f>
        <v/>
      </c>
      <c r="F378" s="54">
        <f>IF(_calc!$E$380="","",IF(_calc!$E$380&lt;=500,TRIM(IF(LEN(IF(LEN(INDEX('Dealer pipeline'!$A$4:$A$503,_calc!$E$380))=0,"",INDEX('Dealer pipeline'!$A$4:$A$503,_calc!$E$380)))=0,"","Customer: "&amp;IF(LEN(INDEX('Dealer pipeline'!$A$4:$A$503,_calc!$E$380))=0,"",INDEX('Dealer pipeline'!$A$4:$A$503,_calc!$E$380))&amp;". ")&amp;IF(LEN(IF(LEN(INDEX('Dealer pipeline'!$B$4:$B$503,_calc!$E$380))=0,"",INDEX('Dealer pipeline'!$B$4:$B$503,_calc!$E$380)))=0,"","Contact: "&amp;IF(LEN(INDEX('Dealer pipeline'!$B$4:$B$503,_calc!$E$380))=0,"",INDEX('Dealer pipeline'!$B$4:$B$503,_calc!$E$380))&amp;". ")&amp;IF(LEN(IF(LEN(INDEX('Dealer pipeline'!$D$4:$D$503,_calc!$E$380))=0,"",INDEX('Dealer pipeline'!$D$4:$D$503,_calc!$E$380)))=0,"","Serial: "&amp;IF(LEN(INDEX('Dealer pipeline'!$D$4:$D$503,_calc!$E$380))=0,"",INDEX('Dealer pipeline'!$D$4:$D$503,_calc!$E$380))&amp;". ")&amp;IF(LEN(IF(ISNUMBER(INDEX('Dealer pipeline'!$J$4:$J$503,_calc!$E$380)),TEXT(INDEX('Dealer pipeline'!$J$4:$J$503,_calc!$E$380),"yyyy-mm-dd"),""))=0,"","Parts end: "&amp;IF(ISNUMBER(INDEX('Dealer pipeline'!$J$4:$J$503,_calc!$E$380)),TEXT(INDEX('Dealer pipeline'!$J$4:$J$503,_calc!$E$380),"yyyy-mm-dd"),"")&amp;". ")&amp;IF(LEN(IF(ISNUMBER(INDEX('Dealer pipeline'!$L$4:$L$503,_calc!$E$380)),TEXT(INDEX('Dealer pipeline'!$L$4:$L$503,_calc!$E$380),"yyyy-mm-dd"),""))=0,"","Labor end: "&amp;IF(ISNUMBER(INDEX('Dealer pipeline'!$L$4:$L$503,_calc!$E$380)),TEXT(INDEX('Dealer pipeline'!$L$4:$L$503,_calc!$E$380),"yyyy-mm-dd"),"")&amp;". ")&amp;IF(LEN(IF(LEN(INDEX('Dealer pipeline'!$Q$4:$Q$503,_calc!$E$380))=0,"",INDEX('Dealer pipeline'!$Q$4:$Q$503,_calc!$E$380)))=0,"","Status: "&amp;IF(LEN(INDEX('Dealer pipeline'!$Q$4:$Q$503,_calc!$E$380))=0,"",INDEX('Dealer pipeline'!$Q$4:$Q$503,_calc!$E$380))&amp;". ")&amp;IF(LEN(IF(LEN(INDEX('Dealer pipeline'!$P$4:$P$503,_calc!$E$380))=0,"",INDEX('Dealer pipeline'!$P$4:$P$503,_calc!$E$380)))=0,"","Last touch: "&amp;IF(LEN(INDEX('Dealer pipeline'!$P$4:$P$503,_calc!$E$380))=0,"",INDEX('Dealer pipeline'!$P$4:$P$503,_calc!$E$380))&amp;". ")&amp;IF(LEN(IF(LEN(INDEX('Dealer pipeline'!$R$4:$R$503,_calc!$E$380))=0,"",INDEX('Dealer pipeline'!$R$4:$R$503,_calc!$E$380)))=0,"","Owner: "&amp;IF(LEN(INDEX('Dealer pipeline'!$R$4:$R$503,_calc!$E$380))=0,"",INDEX('Dealer pipeline'!$R$4:$R$503,_calc!$E$380))&amp;". ")&amp;IF(LEN(IF(LEN(INDEX('Dealer pipeline'!$S$4:$S$503,_calc!$E$380))=0,"",INDEX('Dealer pipeline'!$S$4:$S$503,_calc!$E$380)))=0,"","Backup: "&amp;IF(LEN(INDEX('Dealer pipeline'!$S$4:$S$503,_calc!$E$380))=0,"",INDEX('Dealer pipeline'!$S$4:$S$503,_calc!$E$380))&amp;". ")&amp;IF(LEN(IF(LEN(INDEX('Dealer pipeline'!$T$4:$T$503,_calc!$E$380))=0,"",INDEX('Dealer pipeline'!$T$4:$T$503,_calc!$E$380)))=0,"",IF(LEN(INDEX('Dealer pipeline'!$T$4:$T$503,_calc!$E$380))=0,"",INDEX('Dealer pipeline'!$T$4:$T$503,_calc!$E$380)))),TRIM(IF(LEN(IF(LEN(INDEX('My equipment'!$C$4:$C$503,(_calc!$E$380-500)))=0,"",INDEX('My equipment'!$C$4:$C$503,(_calc!$E$380-500))))=0,"","Model: "&amp;IF(LEN(INDEX('My equipment'!$C$4:$C$503,(_calc!$E$380-500)))=0,"",INDEX('My equipment'!$C$4:$C$503,(_calc!$E$380-500)))&amp;". ")&amp;IF(LEN(IF(LEN(INDEX('My equipment'!$D$4:$D$503,(_calc!$E$380-500)))=0,"",INDEX('My equipment'!$D$4:$D$503,(_calc!$E$380-500))))=0,"","Serial: "&amp;IF(LEN(INDEX('My equipment'!$D$4:$D$503,(_calc!$E$380-500)))=0,"",INDEX('My equipment'!$D$4:$D$503,(_calc!$E$380-500)))&amp;". ")&amp;IF(LEN(IF(ISNUMBER(INDEX('My equipment'!$J$4:$J$503,(_calc!$E$380-500))),TEXT(INDEX('My equipment'!$J$4:$J$503,(_calc!$E$380-500)),"yyyy-mm-dd"),""))=0,"","Parts end: "&amp;IF(ISNUMBER(INDEX('My equipment'!$J$4:$J$503,(_calc!$E$380-500))),TEXT(INDEX('My equipment'!$J$4:$J$503,(_calc!$E$380-500)),"yyyy-mm-dd"),"")&amp;". ")&amp;IF(LEN(IF(ISNUMBER(INDEX('My equipment'!$L$4:$L$503,(_calc!$E$380-500))),TEXT(INDEX('My equipment'!$L$4:$L$503,(_calc!$E$380-500)),"yyyy-mm-dd"),""))=0,"","Labor end: "&amp;IF(ISNUMBER(INDEX('My equipment'!$L$4:$L$503,(_calc!$E$380-500))),TEXT(INDEX('My equipment'!$L$4:$L$503,(_calc!$E$380-500)),"yyyy-mm-dd"),"")&amp;". ")&amp;IF(LEN(IF(ISNUMBER(INDEX('My equipment'!$P$4:$P$503,(_calc!$E$380-500))),TEXT(INDEX('My equipment'!$P$4:$P$503,(_calc!$E$380-500)),"yyyy-mm-dd"),""))=0,"","Check by: "&amp;IF(ISNUMBER(INDEX('My equipment'!$P$4:$P$503,(_calc!$E$380-500))),TEXT(INDEX('My equipment'!$P$4:$P$503,(_calc!$E$380-500)),"yyyy-mm-dd"),"")&amp;". ")&amp;IF(LEN(IF(LEN(INDEX('My equipment'!$Q$4:$Q$503,(_calc!$E$380-500)))=0,"",INDEX('My equipment'!$Q$4:$Q$503,(_calc!$E$380-500))))=0,"","Claim status: "&amp;IF(LEN(INDEX('My equipment'!$Q$4:$Q$503,(_calc!$E$380-500)))=0,"",INDEX('My equipment'!$Q$4:$Q$503,(_calc!$E$380-500)))&amp;". ")&amp;IF(LEN(IF(LEN(INDEX('My equipment'!$R$4:$R$503,(_calc!$E$380-500)))=0,"",INDEX('My equipment'!$R$4:$R$503,(_calc!$E$380-500))))=0,"","Claims contact: "&amp;IF(LEN(INDEX('My equipment'!$R$4:$R$503,(_calc!$E$380-500)))=0,"",INDEX('My equipment'!$R$4:$R$503,(_calc!$E$380-500)))&amp;". ")&amp;IF(LEN(IF(LEN(INDEX('My equipment'!$S$4:$S$503,(_calc!$E$380-500)))=0,"",INDEX('My equipment'!$S$4:$S$503,(_calc!$E$380-500))))=0,"","Claims email: "&amp;IF(LEN(INDEX('My equipment'!$S$4:$S$503,(_calc!$E$380-500)))=0,"",INDEX('My equipment'!$S$4:$S$503,(_calc!$E$380-500)))&amp;". ")&amp;IF(LEN(IF(LEN(INDEX('My equipment'!$U$4:$U$503,(_calc!$E$380-500)))=0,"",INDEX('My equipment'!$U$4:$U$503,(_calc!$E$380-500))))=0,"","Registered: "&amp;IF(LEN(INDEX('My equipment'!$U$4:$U$503,(_calc!$E$380-500)))=0,"",INDEX('My equipment'!$U$4:$U$503,(_calc!$E$380-500)))&amp;". ")&amp;IF(LEN(IF(LEN(INDEX('My equipment'!$V$4:$V$503,(_calc!$E$380-500)))=0,"",INDEX('My equipment'!$V$4:$V$503,(_calc!$E$380-500))))=0,"","Proof on file: "&amp;IF(LEN(INDEX('My equipment'!$V$4:$V$503,(_calc!$E$380-500)))=0,"",INDEX('My equipment'!$V$4:$V$503,(_calc!$E$380-500)))&amp;". ")&amp;IF(LEN(IF(LEN(INDEX('My equipment'!$W$4:$W$503,(_calc!$E$380-500)))=0,"",INDEX('My equipment'!$W$4:$W$503,(_calc!$E$380-500))))=0,"","Claim ref: "&amp;IF(LEN(INDEX('My equipment'!$W$4:$W$503,(_calc!$E$380-500)))=0,"",INDEX('My equipment'!$W$4:$W$503,(_calc!$E$380-500)))&amp;". ")&amp;IF(LEN(IF(LEN(INDEX('My equipment'!$Y$4:$Y$503,(_calc!$E$380-500)))=0,"",INDEX('My equipment'!$Y$4:$Y$503,(_calc!$E$380-500))))=0,"",IF(LEN(INDEX('My equipment'!$Y$4:$Y$503,(_calc!$E$380-500)))=0,"",INDEX('My equipment'!$Y$4:$Y$503,(_calc!$E$380-500)))))))</f>
        <v/>
      </c>
      <c r="G378" s="54">
        <f>IF(_calc!$E$380="","",IF(_calc!$E$380&lt;=500,"",IF(LEN(INDEX('My equipment'!$X$4:$X$503,(_calc!$E$380-500)))=0,"",INDEX('My equipment'!$X$4:$X$503,(_calc!$E$380-500)))))</f>
        <v/>
      </c>
      <c r="K378" s="54">
        <f>IF(_calc!$E$380="","",IF(_calc!$E$380&lt;=500,"",IF(LEN(INDEX('My equipment'!$T$4:$T$503,(_calc!$E$380-500)))=0,"",INDEX('My equipment'!$T$4:$T$503,(_calc!$E$380-500)))))</f>
        <v/>
      </c>
    </row>
    <row r="379">
      <c r="A379" s="54">
        <f>IF(_calc!$E$381="","",IF(_calc!$E$381&lt;=500,"Warranty – "&amp;IF(LEN(INDEX('Dealer pipeline'!$C$4:$C$503,_calc!$E$381))=0,"",INDEX('Dealer pipeline'!$C$4:$C$503,_calc!$E$381))&amp;" – "&amp;IF(LEN(INDEX('Dealer pipeline'!$D$4:$D$503,_calc!$E$381))=0,"",INDEX('Dealer pipeline'!$D$4:$D$503,_calc!$E$381))&amp;" – "&amp;IF(LEN(INDEX('Dealer pipeline'!$A$4:$A$503,_calc!$E$381))=0,"",INDEX('Dealer pipeline'!$A$4:$A$503,_calc!$E$381)),"Warranty – "&amp;IF(LEN(INDEX('My equipment'!$A$4:$A$503,(_calc!$E$381-500)))=0,"",INDEX('My equipment'!$A$4:$A$503,(_calc!$E$381-500)))&amp;" – "&amp;IF(LEN(INDEX('My equipment'!$D$4:$D$503,(_calc!$E$381-500)))=0,"",INDEX('My equipment'!$D$4:$D$503,(_calc!$E$381-500)))))</f>
        <v/>
      </c>
      <c r="B379" s="54">
        <f>IF(_calc!$E$381="","",IF(_calc!$E$381&lt;=500,IF(ISNUMBER(INDEX('Dealer pipeline'!$M$4:$M$503,_calc!$E$381)),TEXT(INDEX('Dealer pipeline'!$M$4:$M$503,_calc!$E$381),"yyyy-mm-dd"),""),IF(ISNUMBER(INDEX('My equipment'!$M$4:$M$503,(_calc!$E$381-500))),TEXT(INDEX('My equipment'!$M$4:$M$503,(_calc!$E$381-500)),"yyyy-mm-dd"),"")))</f>
        <v/>
      </c>
      <c r="C379" s="54">
        <f>IF(_calc!$E$381="","",IF(_calc!$E$381&lt;=500,"Warranty","Warranty"))</f>
        <v/>
      </c>
      <c r="D379" s="54">
        <f>IF(_calc!$E$381="","",IF(_calc!$E$381&lt;=500,IF(ISNUMBER(INDEX('Dealer pipeline'!$H$4:$H$503,_calc!$E$381)),TEXT(INDEX('Dealer pipeline'!$H$4:$H$503,_calc!$E$381),"yyyy-mm-dd"),""),IF(ISNUMBER(INDEX('My equipment'!$H$4:$H$503,(_calc!$E$381-500))),TEXT(INDEX('My equipment'!$H$4:$H$503,(_calc!$E$381-500)),"yyyy-mm-dd"),"")))</f>
        <v/>
      </c>
      <c r="F379" s="54">
        <f>IF(_calc!$E$381="","",IF(_calc!$E$381&lt;=500,TRIM(IF(LEN(IF(LEN(INDEX('Dealer pipeline'!$A$4:$A$503,_calc!$E$381))=0,"",INDEX('Dealer pipeline'!$A$4:$A$503,_calc!$E$381)))=0,"","Customer: "&amp;IF(LEN(INDEX('Dealer pipeline'!$A$4:$A$503,_calc!$E$381))=0,"",INDEX('Dealer pipeline'!$A$4:$A$503,_calc!$E$381))&amp;". ")&amp;IF(LEN(IF(LEN(INDEX('Dealer pipeline'!$B$4:$B$503,_calc!$E$381))=0,"",INDEX('Dealer pipeline'!$B$4:$B$503,_calc!$E$381)))=0,"","Contact: "&amp;IF(LEN(INDEX('Dealer pipeline'!$B$4:$B$503,_calc!$E$381))=0,"",INDEX('Dealer pipeline'!$B$4:$B$503,_calc!$E$381))&amp;". ")&amp;IF(LEN(IF(LEN(INDEX('Dealer pipeline'!$D$4:$D$503,_calc!$E$381))=0,"",INDEX('Dealer pipeline'!$D$4:$D$503,_calc!$E$381)))=0,"","Serial: "&amp;IF(LEN(INDEX('Dealer pipeline'!$D$4:$D$503,_calc!$E$381))=0,"",INDEX('Dealer pipeline'!$D$4:$D$503,_calc!$E$381))&amp;". ")&amp;IF(LEN(IF(ISNUMBER(INDEX('Dealer pipeline'!$J$4:$J$503,_calc!$E$381)),TEXT(INDEX('Dealer pipeline'!$J$4:$J$503,_calc!$E$381),"yyyy-mm-dd"),""))=0,"","Parts end: "&amp;IF(ISNUMBER(INDEX('Dealer pipeline'!$J$4:$J$503,_calc!$E$381)),TEXT(INDEX('Dealer pipeline'!$J$4:$J$503,_calc!$E$381),"yyyy-mm-dd"),"")&amp;". ")&amp;IF(LEN(IF(ISNUMBER(INDEX('Dealer pipeline'!$L$4:$L$503,_calc!$E$381)),TEXT(INDEX('Dealer pipeline'!$L$4:$L$503,_calc!$E$381),"yyyy-mm-dd"),""))=0,"","Labor end: "&amp;IF(ISNUMBER(INDEX('Dealer pipeline'!$L$4:$L$503,_calc!$E$381)),TEXT(INDEX('Dealer pipeline'!$L$4:$L$503,_calc!$E$381),"yyyy-mm-dd"),"")&amp;". ")&amp;IF(LEN(IF(LEN(INDEX('Dealer pipeline'!$Q$4:$Q$503,_calc!$E$381))=0,"",INDEX('Dealer pipeline'!$Q$4:$Q$503,_calc!$E$381)))=0,"","Status: "&amp;IF(LEN(INDEX('Dealer pipeline'!$Q$4:$Q$503,_calc!$E$381))=0,"",INDEX('Dealer pipeline'!$Q$4:$Q$503,_calc!$E$381))&amp;". ")&amp;IF(LEN(IF(LEN(INDEX('Dealer pipeline'!$P$4:$P$503,_calc!$E$381))=0,"",INDEX('Dealer pipeline'!$P$4:$P$503,_calc!$E$381)))=0,"","Last touch: "&amp;IF(LEN(INDEX('Dealer pipeline'!$P$4:$P$503,_calc!$E$381))=0,"",INDEX('Dealer pipeline'!$P$4:$P$503,_calc!$E$381))&amp;". ")&amp;IF(LEN(IF(LEN(INDEX('Dealer pipeline'!$R$4:$R$503,_calc!$E$381))=0,"",INDEX('Dealer pipeline'!$R$4:$R$503,_calc!$E$381)))=0,"","Owner: "&amp;IF(LEN(INDEX('Dealer pipeline'!$R$4:$R$503,_calc!$E$381))=0,"",INDEX('Dealer pipeline'!$R$4:$R$503,_calc!$E$381))&amp;". ")&amp;IF(LEN(IF(LEN(INDEX('Dealer pipeline'!$S$4:$S$503,_calc!$E$381))=0,"",INDEX('Dealer pipeline'!$S$4:$S$503,_calc!$E$381)))=0,"","Backup: "&amp;IF(LEN(INDEX('Dealer pipeline'!$S$4:$S$503,_calc!$E$381))=0,"",INDEX('Dealer pipeline'!$S$4:$S$503,_calc!$E$381))&amp;". ")&amp;IF(LEN(IF(LEN(INDEX('Dealer pipeline'!$T$4:$T$503,_calc!$E$381))=0,"",INDEX('Dealer pipeline'!$T$4:$T$503,_calc!$E$381)))=0,"",IF(LEN(INDEX('Dealer pipeline'!$T$4:$T$503,_calc!$E$381))=0,"",INDEX('Dealer pipeline'!$T$4:$T$503,_calc!$E$381)))),TRIM(IF(LEN(IF(LEN(INDEX('My equipment'!$C$4:$C$503,(_calc!$E$381-500)))=0,"",INDEX('My equipment'!$C$4:$C$503,(_calc!$E$381-500))))=0,"","Model: "&amp;IF(LEN(INDEX('My equipment'!$C$4:$C$503,(_calc!$E$381-500)))=0,"",INDEX('My equipment'!$C$4:$C$503,(_calc!$E$381-500)))&amp;". ")&amp;IF(LEN(IF(LEN(INDEX('My equipment'!$D$4:$D$503,(_calc!$E$381-500)))=0,"",INDEX('My equipment'!$D$4:$D$503,(_calc!$E$381-500))))=0,"","Serial: "&amp;IF(LEN(INDEX('My equipment'!$D$4:$D$503,(_calc!$E$381-500)))=0,"",INDEX('My equipment'!$D$4:$D$503,(_calc!$E$381-500)))&amp;". ")&amp;IF(LEN(IF(ISNUMBER(INDEX('My equipment'!$J$4:$J$503,(_calc!$E$381-500))),TEXT(INDEX('My equipment'!$J$4:$J$503,(_calc!$E$381-500)),"yyyy-mm-dd"),""))=0,"","Parts end: "&amp;IF(ISNUMBER(INDEX('My equipment'!$J$4:$J$503,(_calc!$E$381-500))),TEXT(INDEX('My equipment'!$J$4:$J$503,(_calc!$E$381-500)),"yyyy-mm-dd"),"")&amp;". ")&amp;IF(LEN(IF(ISNUMBER(INDEX('My equipment'!$L$4:$L$503,(_calc!$E$381-500))),TEXT(INDEX('My equipment'!$L$4:$L$503,(_calc!$E$381-500)),"yyyy-mm-dd"),""))=0,"","Labor end: "&amp;IF(ISNUMBER(INDEX('My equipment'!$L$4:$L$503,(_calc!$E$381-500))),TEXT(INDEX('My equipment'!$L$4:$L$503,(_calc!$E$381-500)),"yyyy-mm-dd"),"")&amp;". ")&amp;IF(LEN(IF(ISNUMBER(INDEX('My equipment'!$P$4:$P$503,(_calc!$E$381-500))),TEXT(INDEX('My equipment'!$P$4:$P$503,(_calc!$E$381-500)),"yyyy-mm-dd"),""))=0,"","Check by: "&amp;IF(ISNUMBER(INDEX('My equipment'!$P$4:$P$503,(_calc!$E$381-500))),TEXT(INDEX('My equipment'!$P$4:$P$503,(_calc!$E$381-500)),"yyyy-mm-dd"),"")&amp;". ")&amp;IF(LEN(IF(LEN(INDEX('My equipment'!$Q$4:$Q$503,(_calc!$E$381-500)))=0,"",INDEX('My equipment'!$Q$4:$Q$503,(_calc!$E$381-500))))=0,"","Claim status: "&amp;IF(LEN(INDEX('My equipment'!$Q$4:$Q$503,(_calc!$E$381-500)))=0,"",INDEX('My equipment'!$Q$4:$Q$503,(_calc!$E$381-500)))&amp;". ")&amp;IF(LEN(IF(LEN(INDEX('My equipment'!$R$4:$R$503,(_calc!$E$381-500)))=0,"",INDEX('My equipment'!$R$4:$R$503,(_calc!$E$381-500))))=0,"","Claims contact: "&amp;IF(LEN(INDEX('My equipment'!$R$4:$R$503,(_calc!$E$381-500)))=0,"",INDEX('My equipment'!$R$4:$R$503,(_calc!$E$381-500)))&amp;". ")&amp;IF(LEN(IF(LEN(INDEX('My equipment'!$S$4:$S$503,(_calc!$E$381-500)))=0,"",INDEX('My equipment'!$S$4:$S$503,(_calc!$E$381-500))))=0,"","Claims email: "&amp;IF(LEN(INDEX('My equipment'!$S$4:$S$503,(_calc!$E$381-500)))=0,"",INDEX('My equipment'!$S$4:$S$503,(_calc!$E$381-500)))&amp;". ")&amp;IF(LEN(IF(LEN(INDEX('My equipment'!$U$4:$U$503,(_calc!$E$381-500)))=0,"",INDEX('My equipment'!$U$4:$U$503,(_calc!$E$381-500))))=0,"","Registered: "&amp;IF(LEN(INDEX('My equipment'!$U$4:$U$503,(_calc!$E$381-500)))=0,"",INDEX('My equipment'!$U$4:$U$503,(_calc!$E$381-500)))&amp;". ")&amp;IF(LEN(IF(LEN(INDEX('My equipment'!$V$4:$V$503,(_calc!$E$381-500)))=0,"",INDEX('My equipment'!$V$4:$V$503,(_calc!$E$381-500))))=0,"","Proof on file: "&amp;IF(LEN(INDEX('My equipment'!$V$4:$V$503,(_calc!$E$381-500)))=0,"",INDEX('My equipment'!$V$4:$V$503,(_calc!$E$381-500)))&amp;". ")&amp;IF(LEN(IF(LEN(INDEX('My equipment'!$W$4:$W$503,(_calc!$E$381-500)))=0,"",INDEX('My equipment'!$W$4:$W$503,(_calc!$E$381-500))))=0,"","Claim ref: "&amp;IF(LEN(INDEX('My equipment'!$W$4:$W$503,(_calc!$E$381-500)))=0,"",INDEX('My equipment'!$W$4:$W$503,(_calc!$E$381-500)))&amp;". ")&amp;IF(LEN(IF(LEN(INDEX('My equipment'!$Y$4:$Y$503,(_calc!$E$381-500)))=0,"",INDEX('My equipment'!$Y$4:$Y$503,(_calc!$E$381-500))))=0,"",IF(LEN(INDEX('My equipment'!$Y$4:$Y$503,(_calc!$E$381-500)))=0,"",INDEX('My equipment'!$Y$4:$Y$503,(_calc!$E$381-500)))))))</f>
        <v/>
      </c>
      <c r="G379" s="54">
        <f>IF(_calc!$E$381="","",IF(_calc!$E$381&lt;=500,"",IF(LEN(INDEX('My equipment'!$X$4:$X$503,(_calc!$E$381-500)))=0,"",INDEX('My equipment'!$X$4:$X$503,(_calc!$E$381-500)))))</f>
        <v/>
      </c>
      <c r="K379" s="54">
        <f>IF(_calc!$E$381="","",IF(_calc!$E$381&lt;=500,"",IF(LEN(INDEX('My equipment'!$T$4:$T$503,(_calc!$E$381-500)))=0,"",INDEX('My equipment'!$T$4:$T$503,(_calc!$E$381-500)))))</f>
        <v/>
      </c>
    </row>
    <row r="380">
      <c r="A380" s="54">
        <f>IF(_calc!$E$382="","",IF(_calc!$E$382&lt;=500,"Warranty – "&amp;IF(LEN(INDEX('Dealer pipeline'!$C$4:$C$503,_calc!$E$382))=0,"",INDEX('Dealer pipeline'!$C$4:$C$503,_calc!$E$382))&amp;" – "&amp;IF(LEN(INDEX('Dealer pipeline'!$D$4:$D$503,_calc!$E$382))=0,"",INDEX('Dealer pipeline'!$D$4:$D$503,_calc!$E$382))&amp;" – "&amp;IF(LEN(INDEX('Dealer pipeline'!$A$4:$A$503,_calc!$E$382))=0,"",INDEX('Dealer pipeline'!$A$4:$A$503,_calc!$E$382)),"Warranty – "&amp;IF(LEN(INDEX('My equipment'!$A$4:$A$503,(_calc!$E$382-500)))=0,"",INDEX('My equipment'!$A$4:$A$503,(_calc!$E$382-500)))&amp;" – "&amp;IF(LEN(INDEX('My equipment'!$D$4:$D$503,(_calc!$E$382-500)))=0,"",INDEX('My equipment'!$D$4:$D$503,(_calc!$E$382-500)))))</f>
        <v/>
      </c>
      <c r="B380" s="54">
        <f>IF(_calc!$E$382="","",IF(_calc!$E$382&lt;=500,IF(ISNUMBER(INDEX('Dealer pipeline'!$M$4:$M$503,_calc!$E$382)),TEXT(INDEX('Dealer pipeline'!$M$4:$M$503,_calc!$E$382),"yyyy-mm-dd"),""),IF(ISNUMBER(INDEX('My equipment'!$M$4:$M$503,(_calc!$E$382-500))),TEXT(INDEX('My equipment'!$M$4:$M$503,(_calc!$E$382-500)),"yyyy-mm-dd"),"")))</f>
        <v/>
      </c>
      <c r="C380" s="54">
        <f>IF(_calc!$E$382="","",IF(_calc!$E$382&lt;=500,"Warranty","Warranty"))</f>
        <v/>
      </c>
      <c r="D380" s="54">
        <f>IF(_calc!$E$382="","",IF(_calc!$E$382&lt;=500,IF(ISNUMBER(INDEX('Dealer pipeline'!$H$4:$H$503,_calc!$E$382)),TEXT(INDEX('Dealer pipeline'!$H$4:$H$503,_calc!$E$382),"yyyy-mm-dd"),""),IF(ISNUMBER(INDEX('My equipment'!$H$4:$H$503,(_calc!$E$382-500))),TEXT(INDEX('My equipment'!$H$4:$H$503,(_calc!$E$382-500)),"yyyy-mm-dd"),"")))</f>
        <v/>
      </c>
      <c r="F380" s="54">
        <f>IF(_calc!$E$382="","",IF(_calc!$E$382&lt;=500,TRIM(IF(LEN(IF(LEN(INDEX('Dealer pipeline'!$A$4:$A$503,_calc!$E$382))=0,"",INDEX('Dealer pipeline'!$A$4:$A$503,_calc!$E$382)))=0,"","Customer: "&amp;IF(LEN(INDEX('Dealer pipeline'!$A$4:$A$503,_calc!$E$382))=0,"",INDEX('Dealer pipeline'!$A$4:$A$503,_calc!$E$382))&amp;". ")&amp;IF(LEN(IF(LEN(INDEX('Dealer pipeline'!$B$4:$B$503,_calc!$E$382))=0,"",INDEX('Dealer pipeline'!$B$4:$B$503,_calc!$E$382)))=0,"","Contact: "&amp;IF(LEN(INDEX('Dealer pipeline'!$B$4:$B$503,_calc!$E$382))=0,"",INDEX('Dealer pipeline'!$B$4:$B$503,_calc!$E$382))&amp;". ")&amp;IF(LEN(IF(LEN(INDEX('Dealer pipeline'!$D$4:$D$503,_calc!$E$382))=0,"",INDEX('Dealer pipeline'!$D$4:$D$503,_calc!$E$382)))=0,"","Serial: "&amp;IF(LEN(INDEX('Dealer pipeline'!$D$4:$D$503,_calc!$E$382))=0,"",INDEX('Dealer pipeline'!$D$4:$D$503,_calc!$E$382))&amp;". ")&amp;IF(LEN(IF(ISNUMBER(INDEX('Dealer pipeline'!$J$4:$J$503,_calc!$E$382)),TEXT(INDEX('Dealer pipeline'!$J$4:$J$503,_calc!$E$382),"yyyy-mm-dd"),""))=0,"","Parts end: "&amp;IF(ISNUMBER(INDEX('Dealer pipeline'!$J$4:$J$503,_calc!$E$382)),TEXT(INDEX('Dealer pipeline'!$J$4:$J$503,_calc!$E$382),"yyyy-mm-dd"),"")&amp;". ")&amp;IF(LEN(IF(ISNUMBER(INDEX('Dealer pipeline'!$L$4:$L$503,_calc!$E$382)),TEXT(INDEX('Dealer pipeline'!$L$4:$L$503,_calc!$E$382),"yyyy-mm-dd"),""))=0,"","Labor end: "&amp;IF(ISNUMBER(INDEX('Dealer pipeline'!$L$4:$L$503,_calc!$E$382)),TEXT(INDEX('Dealer pipeline'!$L$4:$L$503,_calc!$E$382),"yyyy-mm-dd"),"")&amp;". ")&amp;IF(LEN(IF(LEN(INDEX('Dealer pipeline'!$Q$4:$Q$503,_calc!$E$382))=0,"",INDEX('Dealer pipeline'!$Q$4:$Q$503,_calc!$E$382)))=0,"","Status: "&amp;IF(LEN(INDEX('Dealer pipeline'!$Q$4:$Q$503,_calc!$E$382))=0,"",INDEX('Dealer pipeline'!$Q$4:$Q$503,_calc!$E$382))&amp;". ")&amp;IF(LEN(IF(LEN(INDEX('Dealer pipeline'!$P$4:$P$503,_calc!$E$382))=0,"",INDEX('Dealer pipeline'!$P$4:$P$503,_calc!$E$382)))=0,"","Last touch: "&amp;IF(LEN(INDEX('Dealer pipeline'!$P$4:$P$503,_calc!$E$382))=0,"",INDEX('Dealer pipeline'!$P$4:$P$503,_calc!$E$382))&amp;". ")&amp;IF(LEN(IF(LEN(INDEX('Dealer pipeline'!$R$4:$R$503,_calc!$E$382))=0,"",INDEX('Dealer pipeline'!$R$4:$R$503,_calc!$E$382)))=0,"","Owner: "&amp;IF(LEN(INDEX('Dealer pipeline'!$R$4:$R$503,_calc!$E$382))=0,"",INDEX('Dealer pipeline'!$R$4:$R$503,_calc!$E$382))&amp;". ")&amp;IF(LEN(IF(LEN(INDEX('Dealer pipeline'!$S$4:$S$503,_calc!$E$382))=0,"",INDEX('Dealer pipeline'!$S$4:$S$503,_calc!$E$382)))=0,"","Backup: "&amp;IF(LEN(INDEX('Dealer pipeline'!$S$4:$S$503,_calc!$E$382))=0,"",INDEX('Dealer pipeline'!$S$4:$S$503,_calc!$E$382))&amp;". ")&amp;IF(LEN(IF(LEN(INDEX('Dealer pipeline'!$T$4:$T$503,_calc!$E$382))=0,"",INDEX('Dealer pipeline'!$T$4:$T$503,_calc!$E$382)))=0,"",IF(LEN(INDEX('Dealer pipeline'!$T$4:$T$503,_calc!$E$382))=0,"",INDEX('Dealer pipeline'!$T$4:$T$503,_calc!$E$382)))),TRIM(IF(LEN(IF(LEN(INDEX('My equipment'!$C$4:$C$503,(_calc!$E$382-500)))=0,"",INDEX('My equipment'!$C$4:$C$503,(_calc!$E$382-500))))=0,"","Model: "&amp;IF(LEN(INDEX('My equipment'!$C$4:$C$503,(_calc!$E$382-500)))=0,"",INDEX('My equipment'!$C$4:$C$503,(_calc!$E$382-500)))&amp;". ")&amp;IF(LEN(IF(LEN(INDEX('My equipment'!$D$4:$D$503,(_calc!$E$382-500)))=0,"",INDEX('My equipment'!$D$4:$D$503,(_calc!$E$382-500))))=0,"","Serial: "&amp;IF(LEN(INDEX('My equipment'!$D$4:$D$503,(_calc!$E$382-500)))=0,"",INDEX('My equipment'!$D$4:$D$503,(_calc!$E$382-500)))&amp;". ")&amp;IF(LEN(IF(ISNUMBER(INDEX('My equipment'!$J$4:$J$503,(_calc!$E$382-500))),TEXT(INDEX('My equipment'!$J$4:$J$503,(_calc!$E$382-500)),"yyyy-mm-dd"),""))=0,"","Parts end: "&amp;IF(ISNUMBER(INDEX('My equipment'!$J$4:$J$503,(_calc!$E$382-500))),TEXT(INDEX('My equipment'!$J$4:$J$503,(_calc!$E$382-500)),"yyyy-mm-dd"),"")&amp;". ")&amp;IF(LEN(IF(ISNUMBER(INDEX('My equipment'!$L$4:$L$503,(_calc!$E$382-500))),TEXT(INDEX('My equipment'!$L$4:$L$503,(_calc!$E$382-500)),"yyyy-mm-dd"),""))=0,"","Labor end: "&amp;IF(ISNUMBER(INDEX('My equipment'!$L$4:$L$503,(_calc!$E$382-500))),TEXT(INDEX('My equipment'!$L$4:$L$503,(_calc!$E$382-500)),"yyyy-mm-dd"),"")&amp;". ")&amp;IF(LEN(IF(ISNUMBER(INDEX('My equipment'!$P$4:$P$503,(_calc!$E$382-500))),TEXT(INDEX('My equipment'!$P$4:$P$503,(_calc!$E$382-500)),"yyyy-mm-dd"),""))=0,"","Check by: "&amp;IF(ISNUMBER(INDEX('My equipment'!$P$4:$P$503,(_calc!$E$382-500))),TEXT(INDEX('My equipment'!$P$4:$P$503,(_calc!$E$382-500)),"yyyy-mm-dd"),"")&amp;". ")&amp;IF(LEN(IF(LEN(INDEX('My equipment'!$Q$4:$Q$503,(_calc!$E$382-500)))=0,"",INDEX('My equipment'!$Q$4:$Q$503,(_calc!$E$382-500))))=0,"","Claim status: "&amp;IF(LEN(INDEX('My equipment'!$Q$4:$Q$503,(_calc!$E$382-500)))=0,"",INDEX('My equipment'!$Q$4:$Q$503,(_calc!$E$382-500)))&amp;". ")&amp;IF(LEN(IF(LEN(INDEX('My equipment'!$R$4:$R$503,(_calc!$E$382-500)))=0,"",INDEX('My equipment'!$R$4:$R$503,(_calc!$E$382-500))))=0,"","Claims contact: "&amp;IF(LEN(INDEX('My equipment'!$R$4:$R$503,(_calc!$E$382-500)))=0,"",INDEX('My equipment'!$R$4:$R$503,(_calc!$E$382-500)))&amp;". ")&amp;IF(LEN(IF(LEN(INDEX('My equipment'!$S$4:$S$503,(_calc!$E$382-500)))=0,"",INDEX('My equipment'!$S$4:$S$503,(_calc!$E$382-500))))=0,"","Claims email: "&amp;IF(LEN(INDEX('My equipment'!$S$4:$S$503,(_calc!$E$382-500)))=0,"",INDEX('My equipment'!$S$4:$S$503,(_calc!$E$382-500)))&amp;". ")&amp;IF(LEN(IF(LEN(INDEX('My equipment'!$U$4:$U$503,(_calc!$E$382-500)))=0,"",INDEX('My equipment'!$U$4:$U$503,(_calc!$E$382-500))))=0,"","Registered: "&amp;IF(LEN(INDEX('My equipment'!$U$4:$U$503,(_calc!$E$382-500)))=0,"",INDEX('My equipment'!$U$4:$U$503,(_calc!$E$382-500)))&amp;". ")&amp;IF(LEN(IF(LEN(INDEX('My equipment'!$V$4:$V$503,(_calc!$E$382-500)))=0,"",INDEX('My equipment'!$V$4:$V$503,(_calc!$E$382-500))))=0,"","Proof on file: "&amp;IF(LEN(INDEX('My equipment'!$V$4:$V$503,(_calc!$E$382-500)))=0,"",INDEX('My equipment'!$V$4:$V$503,(_calc!$E$382-500)))&amp;". ")&amp;IF(LEN(IF(LEN(INDEX('My equipment'!$W$4:$W$503,(_calc!$E$382-500)))=0,"",INDEX('My equipment'!$W$4:$W$503,(_calc!$E$382-500))))=0,"","Claim ref: "&amp;IF(LEN(INDEX('My equipment'!$W$4:$W$503,(_calc!$E$382-500)))=0,"",INDEX('My equipment'!$W$4:$W$503,(_calc!$E$382-500)))&amp;". ")&amp;IF(LEN(IF(LEN(INDEX('My equipment'!$Y$4:$Y$503,(_calc!$E$382-500)))=0,"",INDEX('My equipment'!$Y$4:$Y$503,(_calc!$E$382-500))))=0,"",IF(LEN(INDEX('My equipment'!$Y$4:$Y$503,(_calc!$E$382-500)))=0,"",INDEX('My equipment'!$Y$4:$Y$503,(_calc!$E$382-500)))))))</f>
        <v/>
      </c>
      <c r="G380" s="54">
        <f>IF(_calc!$E$382="","",IF(_calc!$E$382&lt;=500,"",IF(LEN(INDEX('My equipment'!$X$4:$X$503,(_calc!$E$382-500)))=0,"",INDEX('My equipment'!$X$4:$X$503,(_calc!$E$382-500)))))</f>
        <v/>
      </c>
      <c r="K380" s="54">
        <f>IF(_calc!$E$382="","",IF(_calc!$E$382&lt;=500,"",IF(LEN(INDEX('My equipment'!$T$4:$T$503,(_calc!$E$382-500)))=0,"",INDEX('My equipment'!$T$4:$T$503,(_calc!$E$382-500)))))</f>
        <v/>
      </c>
    </row>
    <row r="381">
      <c r="A381" s="54">
        <f>IF(_calc!$E$383="","",IF(_calc!$E$383&lt;=500,"Warranty – "&amp;IF(LEN(INDEX('Dealer pipeline'!$C$4:$C$503,_calc!$E$383))=0,"",INDEX('Dealer pipeline'!$C$4:$C$503,_calc!$E$383))&amp;" – "&amp;IF(LEN(INDEX('Dealer pipeline'!$D$4:$D$503,_calc!$E$383))=0,"",INDEX('Dealer pipeline'!$D$4:$D$503,_calc!$E$383))&amp;" – "&amp;IF(LEN(INDEX('Dealer pipeline'!$A$4:$A$503,_calc!$E$383))=0,"",INDEX('Dealer pipeline'!$A$4:$A$503,_calc!$E$383)),"Warranty – "&amp;IF(LEN(INDEX('My equipment'!$A$4:$A$503,(_calc!$E$383-500)))=0,"",INDEX('My equipment'!$A$4:$A$503,(_calc!$E$383-500)))&amp;" – "&amp;IF(LEN(INDEX('My equipment'!$D$4:$D$503,(_calc!$E$383-500)))=0,"",INDEX('My equipment'!$D$4:$D$503,(_calc!$E$383-500)))))</f>
        <v/>
      </c>
      <c r="B381" s="54">
        <f>IF(_calc!$E$383="","",IF(_calc!$E$383&lt;=500,IF(ISNUMBER(INDEX('Dealer pipeline'!$M$4:$M$503,_calc!$E$383)),TEXT(INDEX('Dealer pipeline'!$M$4:$M$503,_calc!$E$383),"yyyy-mm-dd"),""),IF(ISNUMBER(INDEX('My equipment'!$M$4:$M$503,(_calc!$E$383-500))),TEXT(INDEX('My equipment'!$M$4:$M$503,(_calc!$E$383-500)),"yyyy-mm-dd"),"")))</f>
        <v/>
      </c>
      <c r="C381" s="54">
        <f>IF(_calc!$E$383="","",IF(_calc!$E$383&lt;=500,"Warranty","Warranty"))</f>
        <v/>
      </c>
      <c r="D381" s="54">
        <f>IF(_calc!$E$383="","",IF(_calc!$E$383&lt;=500,IF(ISNUMBER(INDEX('Dealer pipeline'!$H$4:$H$503,_calc!$E$383)),TEXT(INDEX('Dealer pipeline'!$H$4:$H$503,_calc!$E$383),"yyyy-mm-dd"),""),IF(ISNUMBER(INDEX('My equipment'!$H$4:$H$503,(_calc!$E$383-500))),TEXT(INDEX('My equipment'!$H$4:$H$503,(_calc!$E$383-500)),"yyyy-mm-dd"),"")))</f>
        <v/>
      </c>
      <c r="F381" s="54">
        <f>IF(_calc!$E$383="","",IF(_calc!$E$383&lt;=500,TRIM(IF(LEN(IF(LEN(INDEX('Dealer pipeline'!$A$4:$A$503,_calc!$E$383))=0,"",INDEX('Dealer pipeline'!$A$4:$A$503,_calc!$E$383)))=0,"","Customer: "&amp;IF(LEN(INDEX('Dealer pipeline'!$A$4:$A$503,_calc!$E$383))=0,"",INDEX('Dealer pipeline'!$A$4:$A$503,_calc!$E$383))&amp;". ")&amp;IF(LEN(IF(LEN(INDEX('Dealer pipeline'!$B$4:$B$503,_calc!$E$383))=0,"",INDEX('Dealer pipeline'!$B$4:$B$503,_calc!$E$383)))=0,"","Contact: "&amp;IF(LEN(INDEX('Dealer pipeline'!$B$4:$B$503,_calc!$E$383))=0,"",INDEX('Dealer pipeline'!$B$4:$B$503,_calc!$E$383))&amp;". ")&amp;IF(LEN(IF(LEN(INDEX('Dealer pipeline'!$D$4:$D$503,_calc!$E$383))=0,"",INDEX('Dealer pipeline'!$D$4:$D$503,_calc!$E$383)))=0,"","Serial: "&amp;IF(LEN(INDEX('Dealer pipeline'!$D$4:$D$503,_calc!$E$383))=0,"",INDEX('Dealer pipeline'!$D$4:$D$503,_calc!$E$383))&amp;". ")&amp;IF(LEN(IF(ISNUMBER(INDEX('Dealer pipeline'!$J$4:$J$503,_calc!$E$383)),TEXT(INDEX('Dealer pipeline'!$J$4:$J$503,_calc!$E$383),"yyyy-mm-dd"),""))=0,"","Parts end: "&amp;IF(ISNUMBER(INDEX('Dealer pipeline'!$J$4:$J$503,_calc!$E$383)),TEXT(INDEX('Dealer pipeline'!$J$4:$J$503,_calc!$E$383),"yyyy-mm-dd"),"")&amp;". ")&amp;IF(LEN(IF(ISNUMBER(INDEX('Dealer pipeline'!$L$4:$L$503,_calc!$E$383)),TEXT(INDEX('Dealer pipeline'!$L$4:$L$503,_calc!$E$383),"yyyy-mm-dd"),""))=0,"","Labor end: "&amp;IF(ISNUMBER(INDEX('Dealer pipeline'!$L$4:$L$503,_calc!$E$383)),TEXT(INDEX('Dealer pipeline'!$L$4:$L$503,_calc!$E$383),"yyyy-mm-dd"),"")&amp;". ")&amp;IF(LEN(IF(LEN(INDEX('Dealer pipeline'!$Q$4:$Q$503,_calc!$E$383))=0,"",INDEX('Dealer pipeline'!$Q$4:$Q$503,_calc!$E$383)))=0,"","Status: "&amp;IF(LEN(INDEX('Dealer pipeline'!$Q$4:$Q$503,_calc!$E$383))=0,"",INDEX('Dealer pipeline'!$Q$4:$Q$503,_calc!$E$383))&amp;". ")&amp;IF(LEN(IF(LEN(INDEX('Dealer pipeline'!$P$4:$P$503,_calc!$E$383))=0,"",INDEX('Dealer pipeline'!$P$4:$P$503,_calc!$E$383)))=0,"","Last touch: "&amp;IF(LEN(INDEX('Dealer pipeline'!$P$4:$P$503,_calc!$E$383))=0,"",INDEX('Dealer pipeline'!$P$4:$P$503,_calc!$E$383))&amp;". ")&amp;IF(LEN(IF(LEN(INDEX('Dealer pipeline'!$R$4:$R$503,_calc!$E$383))=0,"",INDEX('Dealer pipeline'!$R$4:$R$503,_calc!$E$383)))=0,"","Owner: "&amp;IF(LEN(INDEX('Dealer pipeline'!$R$4:$R$503,_calc!$E$383))=0,"",INDEX('Dealer pipeline'!$R$4:$R$503,_calc!$E$383))&amp;". ")&amp;IF(LEN(IF(LEN(INDEX('Dealer pipeline'!$S$4:$S$503,_calc!$E$383))=0,"",INDEX('Dealer pipeline'!$S$4:$S$503,_calc!$E$383)))=0,"","Backup: "&amp;IF(LEN(INDEX('Dealer pipeline'!$S$4:$S$503,_calc!$E$383))=0,"",INDEX('Dealer pipeline'!$S$4:$S$503,_calc!$E$383))&amp;". ")&amp;IF(LEN(IF(LEN(INDEX('Dealer pipeline'!$T$4:$T$503,_calc!$E$383))=0,"",INDEX('Dealer pipeline'!$T$4:$T$503,_calc!$E$383)))=0,"",IF(LEN(INDEX('Dealer pipeline'!$T$4:$T$503,_calc!$E$383))=0,"",INDEX('Dealer pipeline'!$T$4:$T$503,_calc!$E$383)))),TRIM(IF(LEN(IF(LEN(INDEX('My equipment'!$C$4:$C$503,(_calc!$E$383-500)))=0,"",INDEX('My equipment'!$C$4:$C$503,(_calc!$E$383-500))))=0,"","Model: "&amp;IF(LEN(INDEX('My equipment'!$C$4:$C$503,(_calc!$E$383-500)))=0,"",INDEX('My equipment'!$C$4:$C$503,(_calc!$E$383-500)))&amp;". ")&amp;IF(LEN(IF(LEN(INDEX('My equipment'!$D$4:$D$503,(_calc!$E$383-500)))=0,"",INDEX('My equipment'!$D$4:$D$503,(_calc!$E$383-500))))=0,"","Serial: "&amp;IF(LEN(INDEX('My equipment'!$D$4:$D$503,(_calc!$E$383-500)))=0,"",INDEX('My equipment'!$D$4:$D$503,(_calc!$E$383-500)))&amp;". ")&amp;IF(LEN(IF(ISNUMBER(INDEX('My equipment'!$J$4:$J$503,(_calc!$E$383-500))),TEXT(INDEX('My equipment'!$J$4:$J$503,(_calc!$E$383-500)),"yyyy-mm-dd"),""))=0,"","Parts end: "&amp;IF(ISNUMBER(INDEX('My equipment'!$J$4:$J$503,(_calc!$E$383-500))),TEXT(INDEX('My equipment'!$J$4:$J$503,(_calc!$E$383-500)),"yyyy-mm-dd"),"")&amp;". ")&amp;IF(LEN(IF(ISNUMBER(INDEX('My equipment'!$L$4:$L$503,(_calc!$E$383-500))),TEXT(INDEX('My equipment'!$L$4:$L$503,(_calc!$E$383-500)),"yyyy-mm-dd"),""))=0,"","Labor end: "&amp;IF(ISNUMBER(INDEX('My equipment'!$L$4:$L$503,(_calc!$E$383-500))),TEXT(INDEX('My equipment'!$L$4:$L$503,(_calc!$E$383-500)),"yyyy-mm-dd"),"")&amp;". ")&amp;IF(LEN(IF(ISNUMBER(INDEX('My equipment'!$P$4:$P$503,(_calc!$E$383-500))),TEXT(INDEX('My equipment'!$P$4:$P$503,(_calc!$E$383-500)),"yyyy-mm-dd"),""))=0,"","Check by: "&amp;IF(ISNUMBER(INDEX('My equipment'!$P$4:$P$503,(_calc!$E$383-500))),TEXT(INDEX('My equipment'!$P$4:$P$503,(_calc!$E$383-500)),"yyyy-mm-dd"),"")&amp;". ")&amp;IF(LEN(IF(LEN(INDEX('My equipment'!$Q$4:$Q$503,(_calc!$E$383-500)))=0,"",INDEX('My equipment'!$Q$4:$Q$503,(_calc!$E$383-500))))=0,"","Claim status: "&amp;IF(LEN(INDEX('My equipment'!$Q$4:$Q$503,(_calc!$E$383-500)))=0,"",INDEX('My equipment'!$Q$4:$Q$503,(_calc!$E$383-500)))&amp;". ")&amp;IF(LEN(IF(LEN(INDEX('My equipment'!$R$4:$R$503,(_calc!$E$383-500)))=0,"",INDEX('My equipment'!$R$4:$R$503,(_calc!$E$383-500))))=0,"","Claims contact: "&amp;IF(LEN(INDEX('My equipment'!$R$4:$R$503,(_calc!$E$383-500)))=0,"",INDEX('My equipment'!$R$4:$R$503,(_calc!$E$383-500)))&amp;". ")&amp;IF(LEN(IF(LEN(INDEX('My equipment'!$S$4:$S$503,(_calc!$E$383-500)))=0,"",INDEX('My equipment'!$S$4:$S$503,(_calc!$E$383-500))))=0,"","Claims email: "&amp;IF(LEN(INDEX('My equipment'!$S$4:$S$503,(_calc!$E$383-500)))=0,"",INDEX('My equipment'!$S$4:$S$503,(_calc!$E$383-500)))&amp;". ")&amp;IF(LEN(IF(LEN(INDEX('My equipment'!$U$4:$U$503,(_calc!$E$383-500)))=0,"",INDEX('My equipment'!$U$4:$U$503,(_calc!$E$383-500))))=0,"","Registered: "&amp;IF(LEN(INDEX('My equipment'!$U$4:$U$503,(_calc!$E$383-500)))=0,"",INDEX('My equipment'!$U$4:$U$503,(_calc!$E$383-500)))&amp;". ")&amp;IF(LEN(IF(LEN(INDEX('My equipment'!$V$4:$V$503,(_calc!$E$383-500)))=0,"",INDEX('My equipment'!$V$4:$V$503,(_calc!$E$383-500))))=0,"","Proof on file: "&amp;IF(LEN(INDEX('My equipment'!$V$4:$V$503,(_calc!$E$383-500)))=0,"",INDEX('My equipment'!$V$4:$V$503,(_calc!$E$383-500)))&amp;". ")&amp;IF(LEN(IF(LEN(INDEX('My equipment'!$W$4:$W$503,(_calc!$E$383-500)))=0,"",INDEX('My equipment'!$W$4:$W$503,(_calc!$E$383-500))))=0,"","Claim ref: "&amp;IF(LEN(INDEX('My equipment'!$W$4:$W$503,(_calc!$E$383-500)))=0,"",INDEX('My equipment'!$W$4:$W$503,(_calc!$E$383-500)))&amp;". ")&amp;IF(LEN(IF(LEN(INDEX('My equipment'!$Y$4:$Y$503,(_calc!$E$383-500)))=0,"",INDEX('My equipment'!$Y$4:$Y$503,(_calc!$E$383-500))))=0,"",IF(LEN(INDEX('My equipment'!$Y$4:$Y$503,(_calc!$E$383-500)))=0,"",INDEX('My equipment'!$Y$4:$Y$503,(_calc!$E$383-500)))))))</f>
        <v/>
      </c>
      <c r="G381" s="54">
        <f>IF(_calc!$E$383="","",IF(_calc!$E$383&lt;=500,"",IF(LEN(INDEX('My equipment'!$X$4:$X$503,(_calc!$E$383-500)))=0,"",INDEX('My equipment'!$X$4:$X$503,(_calc!$E$383-500)))))</f>
        <v/>
      </c>
      <c r="K381" s="54">
        <f>IF(_calc!$E$383="","",IF(_calc!$E$383&lt;=500,"",IF(LEN(INDEX('My equipment'!$T$4:$T$503,(_calc!$E$383-500)))=0,"",INDEX('My equipment'!$T$4:$T$503,(_calc!$E$383-500)))))</f>
        <v/>
      </c>
    </row>
    <row r="382">
      <c r="A382" s="54">
        <f>IF(_calc!$E$384="","",IF(_calc!$E$384&lt;=500,"Warranty – "&amp;IF(LEN(INDEX('Dealer pipeline'!$C$4:$C$503,_calc!$E$384))=0,"",INDEX('Dealer pipeline'!$C$4:$C$503,_calc!$E$384))&amp;" – "&amp;IF(LEN(INDEX('Dealer pipeline'!$D$4:$D$503,_calc!$E$384))=0,"",INDEX('Dealer pipeline'!$D$4:$D$503,_calc!$E$384))&amp;" – "&amp;IF(LEN(INDEX('Dealer pipeline'!$A$4:$A$503,_calc!$E$384))=0,"",INDEX('Dealer pipeline'!$A$4:$A$503,_calc!$E$384)),"Warranty – "&amp;IF(LEN(INDEX('My equipment'!$A$4:$A$503,(_calc!$E$384-500)))=0,"",INDEX('My equipment'!$A$4:$A$503,(_calc!$E$384-500)))&amp;" – "&amp;IF(LEN(INDEX('My equipment'!$D$4:$D$503,(_calc!$E$384-500)))=0,"",INDEX('My equipment'!$D$4:$D$503,(_calc!$E$384-500)))))</f>
        <v/>
      </c>
      <c r="B382" s="54">
        <f>IF(_calc!$E$384="","",IF(_calc!$E$384&lt;=500,IF(ISNUMBER(INDEX('Dealer pipeline'!$M$4:$M$503,_calc!$E$384)),TEXT(INDEX('Dealer pipeline'!$M$4:$M$503,_calc!$E$384),"yyyy-mm-dd"),""),IF(ISNUMBER(INDEX('My equipment'!$M$4:$M$503,(_calc!$E$384-500))),TEXT(INDEX('My equipment'!$M$4:$M$503,(_calc!$E$384-500)),"yyyy-mm-dd"),"")))</f>
        <v/>
      </c>
      <c r="C382" s="54">
        <f>IF(_calc!$E$384="","",IF(_calc!$E$384&lt;=500,"Warranty","Warranty"))</f>
        <v/>
      </c>
      <c r="D382" s="54">
        <f>IF(_calc!$E$384="","",IF(_calc!$E$384&lt;=500,IF(ISNUMBER(INDEX('Dealer pipeline'!$H$4:$H$503,_calc!$E$384)),TEXT(INDEX('Dealer pipeline'!$H$4:$H$503,_calc!$E$384),"yyyy-mm-dd"),""),IF(ISNUMBER(INDEX('My equipment'!$H$4:$H$503,(_calc!$E$384-500))),TEXT(INDEX('My equipment'!$H$4:$H$503,(_calc!$E$384-500)),"yyyy-mm-dd"),"")))</f>
        <v/>
      </c>
      <c r="F382" s="54">
        <f>IF(_calc!$E$384="","",IF(_calc!$E$384&lt;=500,TRIM(IF(LEN(IF(LEN(INDEX('Dealer pipeline'!$A$4:$A$503,_calc!$E$384))=0,"",INDEX('Dealer pipeline'!$A$4:$A$503,_calc!$E$384)))=0,"","Customer: "&amp;IF(LEN(INDEX('Dealer pipeline'!$A$4:$A$503,_calc!$E$384))=0,"",INDEX('Dealer pipeline'!$A$4:$A$503,_calc!$E$384))&amp;". ")&amp;IF(LEN(IF(LEN(INDEX('Dealer pipeline'!$B$4:$B$503,_calc!$E$384))=0,"",INDEX('Dealer pipeline'!$B$4:$B$503,_calc!$E$384)))=0,"","Contact: "&amp;IF(LEN(INDEX('Dealer pipeline'!$B$4:$B$503,_calc!$E$384))=0,"",INDEX('Dealer pipeline'!$B$4:$B$503,_calc!$E$384))&amp;". ")&amp;IF(LEN(IF(LEN(INDEX('Dealer pipeline'!$D$4:$D$503,_calc!$E$384))=0,"",INDEX('Dealer pipeline'!$D$4:$D$503,_calc!$E$384)))=0,"","Serial: "&amp;IF(LEN(INDEX('Dealer pipeline'!$D$4:$D$503,_calc!$E$384))=0,"",INDEX('Dealer pipeline'!$D$4:$D$503,_calc!$E$384))&amp;". ")&amp;IF(LEN(IF(ISNUMBER(INDEX('Dealer pipeline'!$J$4:$J$503,_calc!$E$384)),TEXT(INDEX('Dealer pipeline'!$J$4:$J$503,_calc!$E$384),"yyyy-mm-dd"),""))=0,"","Parts end: "&amp;IF(ISNUMBER(INDEX('Dealer pipeline'!$J$4:$J$503,_calc!$E$384)),TEXT(INDEX('Dealer pipeline'!$J$4:$J$503,_calc!$E$384),"yyyy-mm-dd"),"")&amp;". ")&amp;IF(LEN(IF(ISNUMBER(INDEX('Dealer pipeline'!$L$4:$L$503,_calc!$E$384)),TEXT(INDEX('Dealer pipeline'!$L$4:$L$503,_calc!$E$384),"yyyy-mm-dd"),""))=0,"","Labor end: "&amp;IF(ISNUMBER(INDEX('Dealer pipeline'!$L$4:$L$503,_calc!$E$384)),TEXT(INDEX('Dealer pipeline'!$L$4:$L$503,_calc!$E$384),"yyyy-mm-dd"),"")&amp;". ")&amp;IF(LEN(IF(LEN(INDEX('Dealer pipeline'!$Q$4:$Q$503,_calc!$E$384))=0,"",INDEX('Dealer pipeline'!$Q$4:$Q$503,_calc!$E$384)))=0,"","Status: "&amp;IF(LEN(INDEX('Dealer pipeline'!$Q$4:$Q$503,_calc!$E$384))=0,"",INDEX('Dealer pipeline'!$Q$4:$Q$503,_calc!$E$384))&amp;". ")&amp;IF(LEN(IF(LEN(INDEX('Dealer pipeline'!$P$4:$P$503,_calc!$E$384))=0,"",INDEX('Dealer pipeline'!$P$4:$P$503,_calc!$E$384)))=0,"","Last touch: "&amp;IF(LEN(INDEX('Dealer pipeline'!$P$4:$P$503,_calc!$E$384))=0,"",INDEX('Dealer pipeline'!$P$4:$P$503,_calc!$E$384))&amp;". ")&amp;IF(LEN(IF(LEN(INDEX('Dealer pipeline'!$R$4:$R$503,_calc!$E$384))=0,"",INDEX('Dealer pipeline'!$R$4:$R$503,_calc!$E$384)))=0,"","Owner: "&amp;IF(LEN(INDEX('Dealer pipeline'!$R$4:$R$503,_calc!$E$384))=0,"",INDEX('Dealer pipeline'!$R$4:$R$503,_calc!$E$384))&amp;". ")&amp;IF(LEN(IF(LEN(INDEX('Dealer pipeline'!$S$4:$S$503,_calc!$E$384))=0,"",INDEX('Dealer pipeline'!$S$4:$S$503,_calc!$E$384)))=0,"","Backup: "&amp;IF(LEN(INDEX('Dealer pipeline'!$S$4:$S$503,_calc!$E$384))=0,"",INDEX('Dealer pipeline'!$S$4:$S$503,_calc!$E$384))&amp;". ")&amp;IF(LEN(IF(LEN(INDEX('Dealer pipeline'!$T$4:$T$503,_calc!$E$384))=0,"",INDEX('Dealer pipeline'!$T$4:$T$503,_calc!$E$384)))=0,"",IF(LEN(INDEX('Dealer pipeline'!$T$4:$T$503,_calc!$E$384))=0,"",INDEX('Dealer pipeline'!$T$4:$T$503,_calc!$E$384)))),TRIM(IF(LEN(IF(LEN(INDEX('My equipment'!$C$4:$C$503,(_calc!$E$384-500)))=0,"",INDEX('My equipment'!$C$4:$C$503,(_calc!$E$384-500))))=0,"","Model: "&amp;IF(LEN(INDEX('My equipment'!$C$4:$C$503,(_calc!$E$384-500)))=0,"",INDEX('My equipment'!$C$4:$C$503,(_calc!$E$384-500)))&amp;". ")&amp;IF(LEN(IF(LEN(INDEX('My equipment'!$D$4:$D$503,(_calc!$E$384-500)))=0,"",INDEX('My equipment'!$D$4:$D$503,(_calc!$E$384-500))))=0,"","Serial: "&amp;IF(LEN(INDEX('My equipment'!$D$4:$D$503,(_calc!$E$384-500)))=0,"",INDEX('My equipment'!$D$4:$D$503,(_calc!$E$384-500)))&amp;". ")&amp;IF(LEN(IF(ISNUMBER(INDEX('My equipment'!$J$4:$J$503,(_calc!$E$384-500))),TEXT(INDEX('My equipment'!$J$4:$J$503,(_calc!$E$384-500)),"yyyy-mm-dd"),""))=0,"","Parts end: "&amp;IF(ISNUMBER(INDEX('My equipment'!$J$4:$J$503,(_calc!$E$384-500))),TEXT(INDEX('My equipment'!$J$4:$J$503,(_calc!$E$384-500)),"yyyy-mm-dd"),"")&amp;". ")&amp;IF(LEN(IF(ISNUMBER(INDEX('My equipment'!$L$4:$L$503,(_calc!$E$384-500))),TEXT(INDEX('My equipment'!$L$4:$L$503,(_calc!$E$384-500)),"yyyy-mm-dd"),""))=0,"","Labor end: "&amp;IF(ISNUMBER(INDEX('My equipment'!$L$4:$L$503,(_calc!$E$384-500))),TEXT(INDEX('My equipment'!$L$4:$L$503,(_calc!$E$384-500)),"yyyy-mm-dd"),"")&amp;". ")&amp;IF(LEN(IF(ISNUMBER(INDEX('My equipment'!$P$4:$P$503,(_calc!$E$384-500))),TEXT(INDEX('My equipment'!$P$4:$P$503,(_calc!$E$384-500)),"yyyy-mm-dd"),""))=0,"","Check by: "&amp;IF(ISNUMBER(INDEX('My equipment'!$P$4:$P$503,(_calc!$E$384-500))),TEXT(INDEX('My equipment'!$P$4:$P$503,(_calc!$E$384-500)),"yyyy-mm-dd"),"")&amp;". ")&amp;IF(LEN(IF(LEN(INDEX('My equipment'!$Q$4:$Q$503,(_calc!$E$384-500)))=0,"",INDEX('My equipment'!$Q$4:$Q$503,(_calc!$E$384-500))))=0,"","Claim status: "&amp;IF(LEN(INDEX('My equipment'!$Q$4:$Q$503,(_calc!$E$384-500)))=0,"",INDEX('My equipment'!$Q$4:$Q$503,(_calc!$E$384-500)))&amp;". ")&amp;IF(LEN(IF(LEN(INDEX('My equipment'!$R$4:$R$503,(_calc!$E$384-500)))=0,"",INDEX('My equipment'!$R$4:$R$503,(_calc!$E$384-500))))=0,"","Claims contact: "&amp;IF(LEN(INDEX('My equipment'!$R$4:$R$503,(_calc!$E$384-500)))=0,"",INDEX('My equipment'!$R$4:$R$503,(_calc!$E$384-500)))&amp;". ")&amp;IF(LEN(IF(LEN(INDEX('My equipment'!$S$4:$S$503,(_calc!$E$384-500)))=0,"",INDEX('My equipment'!$S$4:$S$503,(_calc!$E$384-500))))=0,"","Claims email: "&amp;IF(LEN(INDEX('My equipment'!$S$4:$S$503,(_calc!$E$384-500)))=0,"",INDEX('My equipment'!$S$4:$S$503,(_calc!$E$384-500)))&amp;". ")&amp;IF(LEN(IF(LEN(INDEX('My equipment'!$U$4:$U$503,(_calc!$E$384-500)))=0,"",INDEX('My equipment'!$U$4:$U$503,(_calc!$E$384-500))))=0,"","Registered: "&amp;IF(LEN(INDEX('My equipment'!$U$4:$U$503,(_calc!$E$384-500)))=0,"",INDEX('My equipment'!$U$4:$U$503,(_calc!$E$384-500)))&amp;". ")&amp;IF(LEN(IF(LEN(INDEX('My equipment'!$V$4:$V$503,(_calc!$E$384-500)))=0,"",INDEX('My equipment'!$V$4:$V$503,(_calc!$E$384-500))))=0,"","Proof on file: "&amp;IF(LEN(INDEX('My equipment'!$V$4:$V$503,(_calc!$E$384-500)))=0,"",INDEX('My equipment'!$V$4:$V$503,(_calc!$E$384-500)))&amp;". ")&amp;IF(LEN(IF(LEN(INDEX('My equipment'!$W$4:$W$503,(_calc!$E$384-500)))=0,"",INDEX('My equipment'!$W$4:$W$503,(_calc!$E$384-500))))=0,"","Claim ref: "&amp;IF(LEN(INDEX('My equipment'!$W$4:$W$503,(_calc!$E$384-500)))=0,"",INDEX('My equipment'!$W$4:$W$503,(_calc!$E$384-500)))&amp;". ")&amp;IF(LEN(IF(LEN(INDEX('My equipment'!$Y$4:$Y$503,(_calc!$E$384-500)))=0,"",INDEX('My equipment'!$Y$4:$Y$503,(_calc!$E$384-500))))=0,"",IF(LEN(INDEX('My equipment'!$Y$4:$Y$503,(_calc!$E$384-500)))=0,"",INDEX('My equipment'!$Y$4:$Y$503,(_calc!$E$384-500)))))))</f>
        <v/>
      </c>
      <c r="G382" s="54">
        <f>IF(_calc!$E$384="","",IF(_calc!$E$384&lt;=500,"",IF(LEN(INDEX('My equipment'!$X$4:$X$503,(_calc!$E$384-500)))=0,"",INDEX('My equipment'!$X$4:$X$503,(_calc!$E$384-500)))))</f>
        <v/>
      </c>
      <c r="K382" s="54">
        <f>IF(_calc!$E$384="","",IF(_calc!$E$384&lt;=500,"",IF(LEN(INDEX('My equipment'!$T$4:$T$503,(_calc!$E$384-500)))=0,"",INDEX('My equipment'!$T$4:$T$503,(_calc!$E$384-500)))))</f>
        <v/>
      </c>
    </row>
    <row r="383">
      <c r="A383" s="54">
        <f>IF(_calc!$E$385="","",IF(_calc!$E$385&lt;=500,"Warranty – "&amp;IF(LEN(INDEX('Dealer pipeline'!$C$4:$C$503,_calc!$E$385))=0,"",INDEX('Dealer pipeline'!$C$4:$C$503,_calc!$E$385))&amp;" – "&amp;IF(LEN(INDEX('Dealer pipeline'!$D$4:$D$503,_calc!$E$385))=0,"",INDEX('Dealer pipeline'!$D$4:$D$503,_calc!$E$385))&amp;" – "&amp;IF(LEN(INDEX('Dealer pipeline'!$A$4:$A$503,_calc!$E$385))=0,"",INDEX('Dealer pipeline'!$A$4:$A$503,_calc!$E$385)),"Warranty – "&amp;IF(LEN(INDEX('My equipment'!$A$4:$A$503,(_calc!$E$385-500)))=0,"",INDEX('My equipment'!$A$4:$A$503,(_calc!$E$385-500)))&amp;" – "&amp;IF(LEN(INDEX('My equipment'!$D$4:$D$503,(_calc!$E$385-500)))=0,"",INDEX('My equipment'!$D$4:$D$503,(_calc!$E$385-500)))))</f>
        <v/>
      </c>
      <c r="B383" s="54">
        <f>IF(_calc!$E$385="","",IF(_calc!$E$385&lt;=500,IF(ISNUMBER(INDEX('Dealer pipeline'!$M$4:$M$503,_calc!$E$385)),TEXT(INDEX('Dealer pipeline'!$M$4:$M$503,_calc!$E$385),"yyyy-mm-dd"),""),IF(ISNUMBER(INDEX('My equipment'!$M$4:$M$503,(_calc!$E$385-500))),TEXT(INDEX('My equipment'!$M$4:$M$503,(_calc!$E$385-500)),"yyyy-mm-dd"),"")))</f>
        <v/>
      </c>
      <c r="C383" s="54">
        <f>IF(_calc!$E$385="","",IF(_calc!$E$385&lt;=500,"Warranty","Warranty"))</f>
        <v/>
      </c>
      <c r="D383" s="54">
        <f>IF(_calc!$E$385="","",IF(_calc!$E$385&lt;=500,IF(ISNUMBER(INDEX('Dealer pipeline'!$H$4:$H$503,_calc!$E$385)),TEXT(INDEX('Dealer pipeline'!$H$4:$H$503,_calc!$E$385),"yyyy-mm-dd"),""),IF(ISNUMBER(INDEX('My equipment'!$H$4:$H$503,(_calc!$E$385-500))),TEXT(INDEX('My equipment'!$H$4:$H$503,(_calc!$E$385-500)),"yyyy-mm-dd"),"")))</f>
        <v/>
      </c>
      <c r="F383" s="54">
        <f>IF(_calc!$E$385="","",IF(_calc!$E$385&lt;=500,TRIM(IF(LEN(IF(LEN(INDEX('Dealer pipeline'!$A$4:$A$503,_calc!$E$385))=0,"",INDEX('Dealer pipeline'!$A$4:$A$503,_calc!$E$385)))=0,"","Customer: "&amp;IF(LEN(INDEX('Dealer pipeline'!$A$4:$A$503,_calc!$E$385))=0,"",INDEX('Dealer pipeline'!$A$4:$A$503,_calc!$E$385))&amp;". ")&amp;IF(LEN(IF(LEN(INDEX('Dealer pipeline'!$B$4:$B$503,_calc!$E$385))=0,"",INDEX('Dealer pipeline'!$B$4:$B$503,_calc!$E$385)))=0,"","Contact: "&amp;IF(LEN(INDEX('Dealer pipeline'!$B$4:$B$503,_calc!$E$385))=0,"",INDEX('Dealer pipeline'!$B$4:$B$503,_calc!$E$385))&amp;". ")&amp;IF(LEN(IF(LEN(INDEX('Dealer pipeline'!$D$4:$D$503,_calc!$E$385))=0,"",INDEX('Dealer pipeline'!$D$4:$D$503,_calc!$E$385)))=0,"","Serial: "&amp;IF(LEN(INDEX('Dealer pipeline'!$D$4:$D$503,_calc!$E$385))=0,"",INDEX('Dealer pipeline'!$D$4:$D$503,_calc!$E$385))&amp;". ")&amp;IF(LEN(IF(ISNUMBER(INDEX('Dealer pipeline'!$J$4:$J$503,_calc!$E$385)),TEXT(INDEX('Dealer pipeline'!$J$4:$J$503,_calc!$E$385),"yyyy-mm-dd"),""))=0,"","Parts end: "&amp;IF(ISNUMBER(INDEX('Dealer pipeline'!$J$4:$J$503,_calc!$E$385)),TEXT(INDEX('Dealer pipeline'!$J$4:$J$503,_calc!$E$385),"yyyy-mm-dd"),"")&amp;". ")&amp;IF(LEN(IF(ISNUMBER(INDEX('Dealer pipeline'!$L$4:$L$503,_calc!$E$385)),TEXT(INDEX('Dealer pipeline'!$L$4:$L$503,_calc!$E$385),"yyyy-mm-dd"),""))=0,"","Labor end: "&amp;IF(ISNUMBER(INDEX('Dealer pipeline'!$L$4:$L$503,_calc!$E$385)),TEXT(INDEX('Dealer pipeline'!$L$4:$L$503,_calc!$E$385),"yyyy-mm-dd"),"")&amp;". ")&amp;IF(LEN(IF(LEN(INDEX('Dealer pipeline'!$Q$4:$Q$503,_calc!$E$385))=0,"",INDEX('Dealer pipeline'!$Q$4:$Q$503,_calc!$E$385)))=0,"","Status: "&amp;IF(LEN(INDEX('Dealer pipeline'!$Q$4:$Q$503,_calc!$E$385))=0,"",INDEX('Dealer pipeline'!$Q$4:$Q$503,_calc!$E$385))&amp;". ")&amp;IF(LEN(IF(LEN(INDEX('Dealer pipeline'!$P$4:$P$503,_calc!$E$385))=0,"",INDEX('Dealer pipeline'!$P$4:$P$503,_calc!$E$385)))=0,"","Last touch: "&amp;IF(LEN(INDEX('Dealer pipeline'!$P$4:$P$503,_calc!$E$385))=0,"",INDEX('Dealer pipeline'!$P$4:$P$503,_calc!$E$385))&amp;". ")&amp;IF(LEN(IF(LEN(INDEX('Dealer pipeline'!$R$4:$R$503,_calc!$E$385))=0,"",INDEX('Dealer pipeline'!$R$4:$R$503,_calc!$E$385)))=0,"","Owner: "&amp;IF(LEN(INDEX('Dealer pipeline'!$R$4:$R$503,_calc!$E$385))=0,"",INDEX('Dealer pipeline'!$R$4:$R$503,_calc!$E$385))&amp;". ")&amp;IF(LEN(IF(LEN(INDEX('Dealer pipeline'!$S$4:$S$503,_calc!$E$385))=0,"",INDEX('Dealer pipeline'!$S$4:$S$503,_calc!$E$385)))=0,"","Backup: "&amp;IF(LEN(INDEX('Dealer pipeline'!$S$4:$S$503,_calc!$E$385))=0,"",INDEX('Dealer pipeline'!$S$4:$S$503,_calc!$E$385))&amp;". ")&amp;IF(LEN(IF(LEN(INDEX('Dealer pipeline'!$T$4:$T$503,_calc!$E$385))=0,"",INDEX('Dealer pipeline'!$T$4:$T$503,_calc!$E$385)))=0,"",IF(LEN(INDEX('Dealer pipeline'!$T$4:$T$503,_calc!$E$385))=0,"",INDEX('Dealer pipeline'!$T$4:$T$503,_calc!$E$385)))),TRIM(IF(LEN(IF(LEN(INDEX('My equipment'!$C$4:$C$503,(_calc!$E$385-500)))=0,"",INDEX('My equipment'!$C$4:$C$503,(_calc!$E$385-500))))=0,"","Model: "&amp;IF(LEN(INDEX('My equipment'!$C$4:$C$503,(_calc!$E$385-500)))=0,"",INDEX('My equipment'!$C$4:$C$503,(_calc!$E$385-500)))&amp;". ")&amp;IF(LEN(IF(LEN(INDEX('My equipment'!$D$4:$D$503,(_calc!$E$385-500)))=0,"",INDEX('My equipment'!$D$4:$D$503,(_calc!$E$385-500))))=0,"","Serial: "&amp;IF(LEN(INDEX('My equipment'!$D$4:$D$503,(_calc!$E$385-500)))=0,"",INDEX('My equipment'!$D$4:$D$503,(_calc!$E$385-500)))&amp;". ")&amp;IF(LEN(IF(ISNUMBER(INDEX('My equipment'!$J$4:$J$503,(_calc!$E$385-500))),TEXT(INDEX('My equipment'!$J$4:$J$503,(_calc!$E$385-500)),"yyyy-mm-dd"),""))=0,"","Parts end: "&amp;IF(ISNUMBER(INDEX('My equipment'!$J$4:$J$503,(_calc!$E$385-500))),TEXT(INDEX('My equipment'!$J$4:$J$503,(_calc!$E$385-500)),"yyyy-mm-dd"),"")&amp;". ")&amp;IF(LEN(IF(ISNUMBER(INDEX('My equipment'!$L$4:$L$503,(_calc!$E$385-500))),TEXT(INDEX('My equipment'!$L$4:$L$503,(_calc!$E$385-500)),"yyyy-mm-dd"),""))=0,"","Labor end: "&amp;IF(ISNUMBER(INDEX('My equipment'!$L$4:$L$503,(_calc!$E$385-500))),TEXT(INDEX('My equipment'!$L$4:$L$503,(_calc!$E$385-500)),"yyyy-mm-dd"),"")&amp;". ")&amp;IF(LEN(IF(ISNUMBER(INDEX('My equipment'!$P$4:$P$503,(_calc!$E$385-500))),TEXT(INDEX('My equipment'!$P$4:$P$503,(_calc!$E$385-500)),"yyyy-mm-dd"),""))=0,"","Check by: "&amp;IF(ISNUMBER(INDEX('My equipment'!$P$4:$P$503,(_calc!$E$385-500))),TEXT(INDEX('My equipment'!$P$4:$P$503,(_calc!$E$385-500)),"yyyy-mm-dd"),"")&amp;". ")&amp;IF(LEN(IF(LEN(INDEX('My equipment'!$Q$4:$Q$503,(_calc!$E$385-500)))=0,"",INDEX('My equipment'!$Q$4:$Q$503,(_calc!$E$385-500))))=0,"","Claim status: "&amp;IF(LEN(INDEX('My equipment'!$Q$4:$Q$503,(_calc!$E$385-500)))=0,"",INDEX('My equipment'!$Q$4:$Q$503,(_calc!$E$385-500)))&amp;". ")&amp;IF(LEN(IF(LEN(INDEX('My equipment'!$R$4:$R$503,(_calc!$E$385-500)))=0,"",INDEX('My equipment'!$R$4:$R$503,(_calc!$E$385-500))))=0,"","Claims contact: "&amp;IF(LEN(INDEX('My equipment'!$R$4:$R$503,(_calc!$E$385-500)))=0,"",INDEX('My equipment'!$R$4:$R$503,(_calc!$E$385-500)))&amp;". ")&amp;IF(LEN(IF(LEN(INDEX('My equipment'!$S$4:$S$503,(_calc!$E$385-500)))=0,"",INDEX('My equipment'!$S$4:$S$503,(_calc!$E$385-500))))=0,"","Claims email: "&amp;IF(LEN(INDEX('My equipment'!$S$4:$S$503,(_calc!$E$385-500)))=0,"",INDEX('My equipment'!$S$4:$S$503,(_calc!$E$385-500)))&amp;". ")&amp;IF(LEN(IF(LEN(INDEX('My equipment'!$U$4:$U$503,(_calc!$E$385-500)))=0,"",INDEX('My equipment'!$U$4:$U$503,(_calc!$E$385-500))))=0,"","Registered: "&amp;IF(LEN(INDEX('My equipment'!$U$4:$U$503,(_calc!$E$385-500)))=0,"",INDEX('My equipment'!$U$4:$U$503,(_calc!$E$385-500)))&amp;". ")&amp;IF(LEN(IF(LEN(INDEX('My equipment'!$V$4:$V$503,(_calc!$E$385-500)))=0,"",INDEX('My equipment'!$V$4:$V$503,(_calc!$E$385-500))))=0,"","Proof on file: "&amp;IF(LEN(INDEX('My equipment'!$V$4:$V$503,(_calc!$E$385-500)))=0,"",INDEX('My equipment'!$V$4:$V$503,(_calc!$E$385-500)))&amp;". ")&amp;IF(LEN(IF(LEN(INDEX('My equipment'!$W$4:$W$503,(_calc!$E$385-500)))=0,"",INDEX('My equipment'!$W$4:$W$503,(_calc!$E$385-500))))=0,"","Claim ref: "&amp;IF(LEN(INDEX('My equipment'!$W$4:$W$503,(_calc!$E$385-500)))=0,"",INDEX('My equipment'!$W$4:$W$503,(_calc!$E$385-500)))&amp;". ")&amp;IF(LEN(IF(LEN(INDEX('My equipment'!$Y$4:$Y$503,(_calc!$E$385-500)))=0,"",INDEX('My equipment'!$Y$4:$Y$503,(_calc!$E$385-500))))=0,"",IF(LEN(INDEX('My equipment'!$Y$4:$Y$503,(_calc!$E$385-500)))=0,"",INDEX('My equipment'!$Y$4:$Y$503,(_calc!$E$385-500)))))))</f>
        <v/>
      </c>
      <c r="G383" s="54">
        <f>IF(_calc!$E$385="","",IF(_calc!$E$385&lt;=500,"",IF(LEN(INDEX('My equipment'!$X$4:$X$503,(_calc!$E$385-500)))=0,"",INDEX('My equipment'!$X$4:$X$503,(_calc!$E$385-500)))))</f>
        <v/>
      </c>
      <c r="K383" s="54">
        <f>IF(_calc!$E$385="","",IF(_calc!$E$385&lt;=500,"",IF(LEN(INDEX('My equipment'!$T$4:$T$503,(_calc!$E$385-500)))=0,"",INDEX('My equipment'!$T$4:$T$503,(_calc!$E$385-500)))))</f>
        <v/>
      </c>
    </row>
    <row r="384">
      <c r="A384" s="54">
        <f>IF(_calc!$E$386="","",IF(_calc!$E$386&lt;=500,"Warranty – "&amp;IF(LEN(INDEX('Dealer pipeline'!$C$4:$C$503,_calc!$E$386))=0,"",INDEX('Dealer pipeline'!$C$4:$C$503,_calc!$E$386))&amp;" – "&amp;IF(LEN(INDEX('Dealer pipeline'!$D$4:$D$503,_calc!$E$386))=0,"",INDEX('Dealer pipeline'!$D$4:$D$503,_calc!$E$386))&amp;" – "&amp;IF(LEN(INDEX('Dealer pipeline'!$A$4:$A$503,_calc!$E$386))=0,"",INDEX('Dealer pipeline'!$A$4:$A$503,_calc!$E$386)),"Warranty – "&amp;IF(LEN(INDEX('My equipment'!$A$4:$A$503,(_calc!$E$386-500)))=0,"",INDEX('My equipment'!$A$4:$A$503,(_calc!$E$386-500)))&amp;" – "&amp;IF(LEN(INDEX('My equipment'!$D$4:$D$503,(_calc!$E$386-500)))=0,"",INDEX('My equipment'!$D$4:$D$503,(_calc!$E$386-500)))))</f>
        <v/>
      </c>
      <c r="B384" s="54">
        <f>IF(_calc!$E$386="","",IF(_calc!$E$386&lt;=500,IF(ISNUMBER(INDEX('Dealer pipeline'!$M$4:$M$503,_calc!$E$386)),TEXT(INDEX('Dealer pipeline'!$M$4:$M$503,_calc!$E$386),"yyyy-mm-dd"),""),IF(ISNUMBER(INDEX('My equipment'!$M$4:$M$503,(_calc!$E$386-500))),TEXT(INDEX('My equipment'!$M$4:$M$503,(_calc!$E$386-500)),"yyyy-mm-dd"),"")))</f>
        <v/>
      </c>
      <c r="C384" s="54">
        <f>IF(_calc!$E$386="","",IF(_calc!$E$386&lt;=500,"Warranty","Warranty"))</f>
        <v/>
      </c>
      <c r="D384" s="54">
        <f>IF(_calc!$E$386="","",IF(_calc!$E$386&lt;=500,IF(ISNUMBER(INDEX('Dealer pipeline'!$H$4:$H$503,_calc!$E$386)),TEXT(INDEX('Dealer pipeline'!$H$4:$H$503,_calc!$E$386),"yyyy-mm-dd"),""),IF(ISNUMBER(INDEX('My equipment'!$H$4:$H$503,(_calc!$E$386-500))),TEXT(INDEX('My equipment'!$H$4:$H$503,(_calc!$E$386-500)),"yyyy-mm-dd"),"")))</f>
        <v/>
      </c>
      <c r="F384" s="54">
        <f>IF(_calc!$E$386="","",IF(_calc!$E$386&lt;=500,TRIM(IF(LEN(IF(LEN(INDEX('Dealer pipeline'!$A$4:$A$503,_calc!$E$386))=0,"",INDEX('Dealer pipeline'!$A$4:$A$503,_calc!$E$386)))=0,"","Customer: "&amp;IF(LEN(INDEX('Dealer pipeline'!$A$4:$A$503,_calc!$E$386))=0,"",INDEX('Dealer pipeline'!$A$4:$A$503,_calc!$E$386))&amp;". ")&amp;IF(LEN(IF(LEN(INDEX('Dealer pipeline'!$B$4:$B$503,_calc!$E$386))=0,"",INDEX('Dealer pipeline'!$B$4:$B$503,_calc!$E$386)))=0,"","Contact: "&amp;IF(LEN(INDEX('Dealer pipeline'!$B$4:$B$503,_calc!$E$386))=0,"",INDEX('Dealer pipeline'!$B$4:$B$503,_calc!$E$386))&amp;". ")&amp;IF(LEN(IF(LEN(INDEX('Dealer pipeline'!$D$4:$D$503,_calc!$E$386))=0,"",INDEX('Dealer pipeline'!$D$4:$D$503,_calc!$E$386)))=0,"","Serial: "&amp;IF(LEN(INDEX('Dealer pipeline'!$D$4:$D$503,_calc!$E$386))=0,"",INDEX('Dealer pipeline'!$D$4:$D$503,_calc!$E$386))&amp;". ")&amp;IF(LEN(IF(ISNUMBER(INDEX('Dealer pipeline'!$J$4:$J$503,_calc!$E$386)),TEXT(INDEX('Dealer pipeline'!$J$4:$J$503,_calc!$E$386),"yyyy-mm-dd"),""))=0,"","Parts end: "&amp;IF(ISNUMBER(INDEX('Dealer pipeline'!$J$4:$J$503,_calc!$E$386)),TEXT(INDEX('Dealer pipeline'!$J$4:$J$503,_calc!$E$386),"yyyy-mm-dd"),"")&amp;". ")&amp;IF(LEN(IF(ISNUMBER(INDEX('Dealer pipeline'!$L$4:$L$503,_calc!$E$386)),TEXT(INDEX('Dealer pipeline'!$L$4:$L$503,_calc!$E$386),"yyyy-mm-dd"),""))=0,"","Labor end: "&amp;IF(ISNUMBER(INDEX('Dealer pipeline'!$L$4:$L$503,_calc!$E$386)),TEXT(INDEX('Dealer pipeline'!$L$4:$L$503,_calc!$E$386),"yyyy-mm-dd"),"")&amp;". ")&amp;IF(LEN(IF(LEN(INDEX('Dealer pipeline'!$Q$4:$Q$503,_calc!$E$386))=0,"",INDEX('Dealer pipeline'!$Q$4:$Q$503,_calc!$E$386)))=0,"","Status: "&amp;IF(LEN(INDEX('Dealer pipeline'!$Q$4:$Q$503,_calc!$E$386))=0,"",INDEX('Dealer pipeline'!$Q$4:$Q$503,_calc!$E$386))&amp;". ")&amp;IF(LEN(IF(LEN(INDEX('Dealer pipeline'!$P$4:$P$503,_calc!$E$386))=0,"",INDEX('Dealer pipeline'!$P$4:$P$503,_calc!$E$386)))=0,"","Last touch: "&amp;IF(LEN(INDEX('Dealer pipeline'!$P$4:$P$503,_calc!$E$386))=0,"",INDEX('Dealer pipeline'!$P$4:$P$503,_calc!$E$386))&amp;". ")&amp;IF(LEN(IF(LEN(INDEX('Dealer pipeline'!$R$4:$R$503,_calc!$E$386))=0,"",INDEX('Dealer pipeline'!$R$4:$R$503,_calc!$E$386)))=0,"","Owner: "&amp;IF(LEN(INDEX('Dealer pipeline'!$R$4:$R$503,_calc!$E$386))=0,"",INDEX('Dealer pipeline'!$R$4:$R$503,_calc!$E$386))&amp;". ")&amp;IF(LEN(IF(LEN(INDEX('Dealer pipeline'!$S$4:$S$503,_calc!$E$386))=0,"",INDEX('Dealer pipeline'!$S$4:$S$503,_calc!$E$386)))=0,"","Backup: "&amp;IF(LEN(INDEX('Dealer pipeline'!$S$4:$S$503,_calc!$E$386))=0,"",INDEX('Dealer pipeline'!$S$4:$S$503,_calc!$E$386))&amp;". ")&amp;IF(LEN(IF(LEN(INDEX('Dealer pipeline'!$T$4:$T$503,_calc!$E$386))=0,"",INDEX('Dealer pipeline'!$T$4:$T$503,_calc!$E$386)))=0,"",IF(LEN(INDEX('Dealer pipeline'!$T$4:$T$503,_calc!$E$386))=0,"",INDEX('Dealer pipeline'!$T$4:$T$503,_calc!$E$386)))),TRIM(IF(LEN(IF(LEN(INDEX('My equipment'!$C$4:$C$503,(_calc!$E$386-500)))=0,"",INDEX('My equipment'!$C$4:$C$503,(_calc!$E$386-500))))=0,"","Model: "&amp;IF(LEN(INDEX('My equipment'!$C$4:$C$503,(_calc!$E$386-500)))=0,"",INDEX('My equipment'!$C$4:$C$503,(_calc!$E$386-500)))&amp;". ")&amp;IF(LEN(IF(LEN(INDEX('My equipment'!$D$4:$D$503,(_calc!$E$386-500)))=0,"",INDEX('My equipment'!$D$4:$D$503,(_calc!$E$386-500))))=0,"","Serial: "&amp;IF(LEN(INDEX('My equipment'!$D$4:$D$503,(_calc!$E$386-500)))=0,"",INDEX('My equipment'!$D$4:$D$503,(_calc!$E$386-500)))&amp;". ")&amp;IF(LEN(IF(ISNUMBER(INDEX('My equipment'!$J$4:$J$503,(_calc!$E$386-500))),TEXT(INDEX('My equipment'!$J$4:$J$503,(_calc!$E$386-500)),"yyyy-mm-dd"),""))=0,"","Parts end: "&amp;IF(ISNUMBER(INDEX('My equipment'!$J$4:$J$503,(_calc!$E$386-500))),TEXT(INDEX('My equipment'!$J$4:$J$503,(_calc!$E$386-500)),"yyyy-mm-dd"),"")&amp;". ")&amp;IF(LEN(IF(ISNUMBER(INDEX('My equipment'!$L$4:$L$503,(_calc!$E$386-500))),TEXT(INDEX('My equipment'!$L$4:$L$503,(_calc!$E$386-500)),"yyyy-mm-dd"),""))=0,"","Labor end: "&amp;IF(ISNUMBER(INDEX('My equipment'!$L$4:$L$503,(_calc!$E$386-500))),TEXT(INDEX('My equipment'!$L$4:$L$503,(_calc!$E$386-500)),"yyyy-mm-dd"),"")&amp;". ")&amp;IF(LEN(IF(ISNUMBER(INDEX('My equipment'!$P$4:$P$503,(_calc!$E$386-500))),TEXT(INDEX('My equipment'!$P$4:$P$503,(_calc!$E$386-500)),"yyyy-mm-dd"),""))=0,"","Check by: "&amp;IF(ISNUMBER(INDEX('My equipment'!$P$4:$P$503,(_calc!$E$386-500))),TEXT(INDEX('My equipment'!$P$4:$P$503,(_calc!$E$386-500)),"yyyy-mm-dd"),"")&amp;". ")&amp;IF(LEN(IF(LEN(INDEX('My equipment'!$Q$4:$Q$503,(_calc!$E$386-500)))=0,"",INDEX('My equipment'!$Q$4:$Q$503,(_calc!$E$386-500))))=0,"","Claim status: "&amp;IF(LEN(INDEX('My equipment'!$Q$4:$Q$503,(_calc!$E$386-500)))=0,"",INDEX('My equipment'!$Q$4:$Q$503,(_calc!$E$386-500)))&amp;". ")&amp;IF(LEN(IF(LEN(INDEX('My equipment'!$R$4:$R$503,(_calc!$E$386-500)))=0,"",INDEX('My equipment'!$R$4:$R$503,(_calc!$E$386-500))))=0,"","Claims contact: "&amp;IF(LEN(INDEX('My equipment'!$R$4:$R$503,(_calc!$E$386-500)))=0,"",INDEX('My equipment'!$R$4:$R$503,(_calc!$E$386-500)))&amp;". ")&amp;IF(LEN(IF(LEN(INDEX('My equipment'!$S$4:$S$503,(_calc!$E$386-500)))=0,"",INDEX('My equipment'!$S$4:$S$503,(_calc!$E$386-500))))=0,"","Claims email: "&amp;IF(LEN(INDEX('My equipment'!$S$4:$S$503,(_calc!$E$386-500)))=0,"",INDEX('My equipment'!$S$4:$S$503,(_calc!$E$386-500)))&amp;". ")&amp;IF(LEN(IF(LEN(INDEX('My equipment'!$U$4:$U$503,(_calc!$E$386-500)))=0,"",INDEX('My equipment'!$U$4:$U$503,(_calc!$E$386-500))))=0,"","Registered: "&amp;IF(LEN(INDEX('My equipment'!$U$4:$U$503,(_calc!$E$386-500)))=0,"",INDEX('My equipment'!$U$4:$U$503,(_calc!$E$386-500)))&amp;". ")&amp;IF(LEN(IF(LEN(INDEX('My equipment'!$V$4:$V$503,(_calc!$E$386-500)))=0,"",INDEX('My equipment'!$V$4:$V$503,(_calc!$E$386-500))))=0,"","Proof on file: "&amp;IF(LEN(INDEX('My equipment'!$V$4:$V$503,(_calc!$E$386-500)))=0,"",INDEX('My equipment'!$V$4:$V$503,(_calc!$E$386-500)))&amp;". ")&amp;IF(LEN(IF(LEN(INDEX('My equipment'!$W$4:$W$503,(_calc!$E$386-500)))=0,"",INDEX('My equipment'!$W$4:$W$503,(_calc!$E$386-500))))=0,"","Claim ref: "&amp;IF(LEN(INDEX('My equipment'!$W$4:$W$503,(_calc!$E$386-500)))=0,"",INDEX('My equipment'!$W$4:$W$503,(_calc!$E$386-500)))&amp;". ")&amp;IF(LEN(IF(LEN(INDEX('My equipment'!$Y$4:$Y$503,(_calc!$E$386-500)))=0,"",INDEX('My equipment'!$Y$4:$Y$503,(_calc!$E$386-500))))=0,"",IF(LEN(INDEX('My equipment'!$Y$4:$Y$503,(_calc!$E$386-500)))=0,"",INDEX('My equipment'!$Y$4:$Y$503,(_calc!$E$386-500)))))))</f>
        <v/>
      </c>
      <c r="G384" s="54">
        <f>IF(_calc!$E$386="","",IF(_calc!$E$386&lt;=500,"",IF(LEN(INDEX('My equipment'!$X$4:$X$503,(_calc!$E$386-500)))=0,"",INDEX('My equipment'!$X$4:$X$503,(_calc!$E$386-500)))))</f>
        <v/>
      </c>
      <c r="K384" s="54">
        <f>IF(_calc!$E$386="","",IF(_calc!$E$386&lt;=500,"",IF(LEN(INDEX('My equipment'!$T$4:$T$503,(_calc!$E$386-500)))=0,"",INDEX('My equipment'!$T$4:$T$503,(_calc!$E$386-500)))))</f>
        <v/>
      </c>
    </row>
    <row r="385">
      <c r="A385" s="54">
        <f>IF(_calc!$E$387="","",IF(_calc!$E$387&lt;=500,"Warranty – "&amp;IF(LEN(INDEX('Dealer pipeline'!$C$4:$C$503,_calc!$E$387))=0,"",INDEX('Dealer pipeline'!$C$4:$C$503,_calc!$E$387))&amp;" – "&amp;IF(LEN(INDEX('Dealer pipeline'!$D$4:$D$503,_calc!$E$387))=0,"",INDEX('Dealer pipeline'!$D$4:$D$503,_calc!$E$387))&amp;" – "&amp;IF(LEN(INDEX('Dealer pipeline'!$A$4:$A$503,_calc!$E$387))=0,"",INDEX('Dealer pipeline'!$A$4:$A$503,_calc!$E$387)),"Warranty – "&amp;IF(LEN(INDEX('My equipment'!$A$4:$A$503,(_calc!$E$387-500)))=0,"",INDEX('My equipment'!$A$4:$A$503,(_calc!$E$387-500)))&amp;" – "&amp;IF(LEN(INDEX('My equipment'!$D$4:$D$503,(_calc!$E$387-500)))=0,"",INDEX('My equipment'!$D$4:$D$503,(_calc!$E$387-500)))))</f>
        <v/>
      </c>
      <c r="B385" s="54">
        <f>IF(_calc!$E$387="","",IF(_calc!$E$387&lt;=500,IF(ISNUMBER(INDEX('Dealer pipeline'!$M$4:$M$503,_calc!$E$387)),TEXT(INDEX('Dealer pipeline'!$M$4:$M$503,_calc!$E$387),"yyyy-mm-dd"),""),IF(ISNUMBER(INDEX('My equipment'!$M$4:$M$503,(_calc!$E$387-500))),TEXT(INDEX('My equipment'!$M$4:$M$503,(_calc!$E$387-500)),"yyyy-mm-dd"),"")))</f>
        <v/>
      </c>
      <c r="C385" s="54">
        <f>IF(_calc!$E$387="","",IF(_calc!$E$387&lt;=500,"Warranty","Warranty"))</f>
        <v/>
      </c>
      <c r="D385" s="54">
        <f>IF(_calc!$E$387="","",IF(_calc!$E$387&lt;=500,IF(ISNUMBER(INDEX('Dealer pipeline'!$H$4:$H$503,_calc!$E$387)),TEXT(INDEX('Dealer pipeline'!$H$4:$H$503,_calc!$E$387),"yyyy-mm-dd"),""),IF(ISNUMBER(INDEX('My equipment'!$H$4:$H$503,(_calc!$E$387-500))),TEXT(INDEX('My equipment'!$H$4:$H$503,(_calc!$E$387-500)),"yyyy-mm-dd"),"")))</f>
        <v/>
      </c>
      <c r="F385" s="54">
        <f>IF(_calc!$E$387="","",IF(_calc!$E$387&lt;=500,TRIM(IF(LEN(IF(LEN(INDEX('Dealer pipeline'!$A$4:$A$503,_calc!$E$387))=0,"",INDEX('Dealer pipeline'!$A$4:$A$503,_calc!$E$387)))=0,"","Customer: "&amp;IF(LEN(INDEX('Dealer pipeline'!$A$4:$A$503,_calc!$E$387))=0,"",INDEX('Dealer pipeline'!$A$4:$A$503,_calc!$E$387))&amp;". ")&amp;IF(LEN(IF(LEN(INDEX('Dealer pipeline'!$B$4:$B$503,_calc!$E$387))=0,"",INDEX('Dealer pipeline'!$B$4:$B$503,_calc!$E$387)))=0,"","Contact: "&amp;IF(LEN(INDEX('Dealer pipeline'!$B$4:$B$503,_calc!$E$387))=0,"",INDEX('Dealer pipeline'!$B$4:$B$503,_calc!$E$387))&amp;". ")&amp;IF(LEN(IF(LEN(INDEX('Dealer pipeline'!$D$4:$D$503,_calc!$E$387))=0,"",INDEX('Dealer pipeline'!$D$4:$D$503,_calc!$E$387)))=0,"","Serial: "&amp;IF(LEN(INDEX('Dealer pipeline'!$D$4:$D$503,_calc!$E$387))=0,"",INDEX('Dealer pipeline'!$D$4:$D$503,_calc!$E$387))&amp;". ")&amp;IF(LEN(IF(ISNUMBER(INDEX('Dealer pipeline'!$J$4:$J$503,_calc!$E$387)),TEXT(INDEX('Dealer pipeline'!$J$4:$J$503,_calc!$E$387),"yyyy-mm-dd"),""))=0,"","Parts end: "&amp;IF(ISNUMBER(INDEX('Dealer pipeline'!$J$4:$J$503,_calc!$E$387)),TEXT(INDEX('Dealer pipeline'!$J$4:$J$503,_calc!$E$387),"yyyy-mm-dd"),"")&amp;". ")&amp;IF(LEN(IF(ISNUMBER(INDEX('Dealer pipeline'!$L$4:$L$503,_calc!$E$387)),TEXT(INDEX('Dealer pipeline'!$L$4:$L$503,_calc!$E$387),"yyyy-mm-dd"),""))=0,"","Labor end: "&amp;IF(ISNUMBER(INDEX('Dealer pipeline'!$L$4:$L$503,_calc!$E$387)),TEXT(INDEX('Dealer pipeline'!$L$4:$L$503,_calc!$E$387),"yyyy-mm-dd"),"")&amp;". ")&amp;IF(LEN(IF(LEN(INDEX('Dealer pipeline'!$Q$4:$Q$503,_calc!$E$387))=0,"",INDEX('Dealer pipeline'!$Q$4:$Q$503,_calc!$E$387)))=0,"","Status: "&amp;IF(LEN(INDEX('Dealer pipeline'!$Q$4:$Q$503,_calc!$E$387))=0,"",INDEX('Dealer pipeline'!$Q$4:$Q$503,_calc!$E$387))&amp;". ")&amp;IF(LEN(IF(LEN(INDEX('Dealer pipeline'!$P$4:$P$503,_calc!$E$387))=0,"",INDEX('Dealer pipeline'!$P$4:$P$503,_calc!$E$387)))=0,"","Last touch: "&amp;IF(LEN(INDEX('Dealer pipeline'!$P$4:$P$503,_calc!$E$387))=0,"",INDEX('Dealer pipeline'!$P$4:$P$503,_calc!$E$387))&amp;". ")&amp;IF(LEN(IF(LEN(INDEX('Dealer pipeline'!$R$4:$R$503,_calc!$E$387))=0,"",INDEX('Dealer pipeline'!$R$4:$R$503,_calc!$E$387)))=0,"","Owner: "&amp;IF(LEN(INDEX('Dealer pipeline'!$R$4:$R$503,_calc!$E$387))=0,"",INDEX('Dealer pipeline'!$R$4:$R$503,_calc!$E$387))&amp;". ")&amp;IF(LEN(IF(LEN(INDEX('Dealer pipeline'!$S$4:$S$503,_calc!$E$387))=0,"",INDEX('Dealer pipeline'!$S$4:$S$503,_calc!$E$387)))=0,"","Backup: "&amp;IF(LEN(INDEX('Dealer pipeline'!$S$4:$S$503,_calc!$E$387))=0,"",INDEX('Dealer pipeline'!$S$4:$S$503,_calc!$E$387))&amp;". ")&amp;IF(LEN(IF(LEN(INDEX('Dealer pipeline'!$T$4:$T$503,_calc!$E$387))=0,"",INDEX('Dealer pipeline'!$T$4:$T$503,_calc!$E$387)))=0,"",IF(LEN(INDEX('Dealer pipeline'!$T$4:$T$503,_calc!$E$387))=0,"",INDEX('Dealer pipeline'!$T$4:$T$503,_calc!$E$387)))),TRIM(IF(LEN(IF(LEN(INDEX('My equipment'!$C$4:$C$503,(_calc!$E$387-500)))=0,"",INDEX('My equipment'!$C$4:$C$503,(_calc!$E$387-500))))=0,"","Model: "&amp;IF(LEN(INDEX('My equipment'!$C$4:$C$503,(_calc!$E$387-500)))=0,"",INDEX('My equipment'!$C$4:$C$503,(_calc!$E$387-500)))&amp;". ")&amp;IF(LEN(IF(LEN(INDEX('My equipment'!$D$4:$D$503,(_calc!$E$387-500)))=0,"",INDEX('My equipment'!$D$4:$D$503,(_calc!$E$387-500))))=0,"","Serial: "&amp;IF(LEN(INDEX('My equipment'!$D$4:$D$503,(_calc!$E$387-500)))=0,"",INDEX('My equipment'!$D$4:$D$503,(_calc!$E$387-500)))&amp;". ")&amp;IF(LEN(IF(ISNUMBER(INDEX('My equipment'!$J$4:$J$503,(_calc!$E$387-500))),TEXT(INDEX('My equipment'!$J$4:$J$503,(_calc!$E$387-500)),"yyyy-mm-dd"),""))=0,"","Parts end: "&amp;IF(ISNUMBER(INDEX('My equipment'!$J$4:$J$503,(_calc!$E$387-500))),TEXT(INDEX('My equipment'!$J$4:$J$503,(_calc!$E$387-500)),"yyyy-mm-dd"),"")&amp;". ")&amp;IF(LEN(IF(ISNUMBER(INDEX('My equipment'!$L$4:$L$503,(_calc!$E$387-500))),TEXT(INDEX('My equipment'!$L$4:$L$503,(_calc!$E$387-500)),"yyyy-mm-dd"),""))=0,"","Labor end: "&amp;IF(ISNUMBER(INDEX('My equipment'!$L$4:$L$503,(_calc!$E$387-500))),TEXT(INDEX('My equipment'!$L$4:$L$503,(_calc!$E$387-500)),"yyyy-mm-dd"),"")&amp;". ")&amp;IF(LEN(IF(ISNUMBER(INDEX('My equipment'!$P$4:$P$503,(_calc!$E$387-500))),TEXT(INDEX('My equipment'!$P$4:$P$503,(_calc!$E$387-500)),"yyyy-mm-dd"),""))=0,"","Check by: "&amp;IF(ISNUMBER(INDEX('My equipment'!$P$4:$P$503,(_calc!$E$387-500))),TEXT(INDEX('My equipment'!$P$4:$P$503,(_calc!$E$387-500)),"yyyy-mm-dd"),"")&amp;". ")&amp;IF(LEN(IF(LEN(INDEX('My equipment'!$Q$4:$Q$503,(_calc!$E$387-500)))=0,"",INDEX('My equipment'!$Q$4:$Q$503,(_calc!$E$387-500))))=0,"","Claim status: "&amp;IF(LEN(INDEX('My equipment'!$Q$4:$Q$503,(_calc!$E$387-500)))=0,"",INDEX('My equipment'!$Q$4:$Q$503,(_calc!$E$387-500)))&amp;". ")&amp;IF(LEN(IF(LEN(INDEX('My equipment'!$R$4:$R$503,(_calc!$E$387-500)))=0,"",INDEX('My equipment'!$R$4:$R$503,(_calc!$E$387-500))))=0,"","Claims contact: "&amp;IF(LEN(INDEX('My equipment'!$R$4:$R$503,(_calc!$E$387-500)))=0,"",INDEX('My equipment'!$R$4:$R$503,(_calc!$E$387-500)))&amp;". ")&amp;IF(LEN(IF(LEN(INDEX('My equipment'!$S$4:$S$503,(_calc!$E$387-500)))=0,"",INDEX('My equipment'!$S$4:$S$503,(_calc!$E$387-500))))=0,"","Claims email: "&amp;IF(LEN(INDEX('My equipment'!$S$4:$S$503,(_calc!$E$387-500)))=0,"",INDEX('My equipment'!$S$4:$S$503,(_calc!$E$387-500)))&amp;". ")&amp;IF(LEN(IF(LEN(INDEX('My equipment'!$U$4:$U$503,(_calc!$E$387-500)))=0,"",INDEX('My equipment'!$U$4:$U$503,(_calc!$E$387-500))))=0,"","Registered: "&amp;IF(LEN(INDEX('My equipment'!$U$4:$U$503,(_calc!$E$387-500)))=0,"",INDEX('My equipment'!$U$4:$U$503,(_calc!$E$387-500)))&amp;". ")&amp;IF(LEN(IF(LEN(INDEX('My equipment'!$V$4:$V$503,(_calc!$E$387-500)))=0,"",INDEX('My equipment'!$V$4:$V$503,(_calc!$E$387-500))))=0,"","Proof on file: "&amp;IF(LEN(INDEX('My equipment'!$V$4:$V$503,(_calc!$E$387-500)))=0,"",INDEX('My equipment'!$V$4:$V$503,(_calc!$E$387-500)))&amp;". ")&amp;IF(LEN(IF(LEN(INDEX('My equipment'!$W$4:$W$503,(_calc!$E$387-500)))=0,"",INDEX('My equipment'!$W$4:$W$503,(_calc!$E$387-500))))=0,"","Claim ref: "&amp;IF(LEN(INDEX('My equipment'!$W$4:$W$503,(_calc!$E$387-500)))=0,"",INDEX('My equipment'!$W$4:$W$503,(_calc!$E$387-500)))&amp;". ")&amp;IF(LEN(IF(LEN(INDEX('My equipment'!$Y$4:$Y$503,(_calc!$E$387-500)))=0,"",INDEX('My equipment'!$Y$4:$Y$503,(_calc!$E$387-500))))=0,"",IF(LEN(INDEX('My equipment'!$Y$4:$Y$503,(_calc!$E$387-500)))=0,"",INDEX('My equipment'!$Y$4:$Y$503,(_calc!$E$387-500)))))))</f>
        <v/>
      </c>
      <c r="G385" s="54">
        <f>IF(_calc!$E$387="","",IF(_calc!$E$387&lt;=500,"",IF(LEN(INDEX('My equipment'!$X$4:$X$503,(_calc!$E$387-500)))=0,"",INDEX('My equipment'!$X$4:$X$503,(_calc!$E$387-500)))))</f>
        <v/>
      </c>
      <c r="K385" s="54">
        <f>IF(_calc!$E$387="","",IF(_calc!$E$387&lt;=500,"",IF(LEN(INDEX('My equipment'!$T$4:$T$503,(_calc!$E$387-500)))=0,"",INDEX('My equipment'!$T$4:$T$503,(_calc!$E$387-500)))))</f>
        <v/>
      </c>
    </row>
    <row r="386">
      <c r="A386" s="54">
        <f>IF(_calc!$E$388="","",IF(_calc!$E$388&lt;=500,"Warranty – "&amp;IF(LEN(INDEX('Dealer pipeline'!$C$4:$C$503,_calc!$E$388))=0,"",INDEX('Dealer pipeline'!$C$4:$C$503,_calc!$E$388))&amp;" – "&amp;IF(LEN(INDEX('Dealer pipeline'!$D$4:$D$503,_calc!$E$388))=0,"",INDEX('Dealer pipeline'!$D$4:$D$503,_calc!$E$388))&amp;" – "&amp;IF(LEN(INDEX('Dealer pipeline'!$A$4:$A$503,_calc!$E$388))=0,"",INDEX('Dealer pipeline'!$A$4:$A$503,_calc!$E$388)),"Warranty – "&amp;IF(LEN(INDEX('My equipment'!$A$4:$A$503,(_calc!$E$388-500)))=0,"",INDEX('My equipment'!$A$4:$A$503,(_calc!$E$388-500)))&amp;" – "&amp;IF(LEN(INDEX('My equipment'!$D$4:$D$503,(_calc!$E$388-500)))=0,"",INDEX('My equipment'!$D$4:$D$503,(_calc!$E$388-500)))))</f>
        <v/>
      </c>
      <c r="B386" s="54">
        <f>IF(_calc!$E$388="","",IF(_calc!$E$388&lt;=500,IF(ISNUMBER(INDEX('Dealer pipeline'!$M$4:$M$503,_calc!$E$388)),TEXT(INDEX('Dealer pipeline'!$M$4:$M$503,_calc!$E$388),"yyyy-mm-dd"),""),IF(ISNUMBER(INDEX('My equipment'!$M$4:$M$503,(_calc!$E$388-500))),TEXT(INDEX('My equipment'!$M$4:$M$503,(_calc!$E$388-500)),"yyyy-mm-dd"),"")))</f>
        <v/>
      </c>
      <c r="C386" s="54">
        <f>IF(_calc!$E$388="","",IF(_calc!$E$388&lt;=500,"Warranty","Warranty"))</f>
        <v/>
      </c>
      <c r="D386" s="54">
        <f>IF(_calc!$E$388="","",IF(_calc!$E$388&lt;=500,IF(ISNUMBER(INDEX('Dealer pipeline'!$H$4:$H$503,_calc!$E$388)),TEXT(INDEX('Dealer pipeline'!$H$4:$H$503,_calc!$E$388),"yyyy-mm-dd"),""),IF(ISNUMBER(INDEX('My equipment'!$H$4:$H$503,(_calc!$E$388-500))),TEXT(INDEX('My equipment'!$H$4:$H$503,(_calc!$E$388-500)),"yyyy-mm-dd"),"")))</f>
        <v/>
      </c>
      <c r="F386" s="54">
        <f>IF(_calc!$E$388="","",IF(_calc!$E$388&lt;=500,TRIM(IF(LEN(IF(LEN(INDEX('Dealer pipeline'!$A$4:$A$503,_calc!$E$388))=0,"",INDEX('Dealer pipeline'!$A$4:$A$503,_calc!$E$388)))=0,"","Customer: "&amp;IF(LEN(INDEX('Dealer pipeline'!$A$4:$A$503,_calc!$E$388))=0,"",INDEX('Dealer pipeline'!$A$4:$A$503,_calc!$E$388))&amp;". ")&amp;IF(LEN(IF(LEN(INDEX('Dealer pipeline'!$B$4:$B$503,_calc!$E$388))=0,"",INDEX('Dealer pipeline'!$B$4:$B$503,_calc!$E$388)))=0,"","Contact: "&amp;IF(LEN(INDEX('Dealer pipeline'!$B$4:$B$503,_calc!$E$388))=0,"",INDEX('Dealer pipeline'!$B$4:$B$503,_calc!$E$388))&amp;". ")&amp;IF(LEN(IF(LEN(INDEX('Dealer pipeline'!$D$4:$D$503,_calc!$E$388))=0,"",INDEX('Dealer pipeline'!$D$4:$D$503,_calc!$E$388)))=0,"","Serial: "&amp;IF(LEN(INDEX('Dealer pipeline'!$D$4:$D$503,_calc!$E$388))=0,"",INDEX('Dealer pipeline'!$D$4:$D$503,_calc!$E$388))&amp;". ")&amp;IF(LEN(IF(ISNUMBER(INDEX('Dealer pipeline'!$J$4:$J$503,_calc!$E$388)),TEXT(INDEX('Dealer pipeline'!$J$4:$J$503,_calc!$E$388),"yyyy-mm-dd"),""))=0,"","Parts end: "&amp;IF(ISNUMBER(INDEX('Dealer pipeline'!$J$4:$J$503,_calc!$E$388)),TEXT(INDEX('Dealer pipeline'!$J$4:$J$503,_calc!$E$388),"yyyy-mm-dd"),"")&amp;". ")&amp;IF(LEN(IF(ISNUMBER(INDEX('Dealer pipeline'!$L$4:$L$503,_calc!$E$388)),TEXT(INDEX('Dealer pipeline'!$L$4:$L$503,_calc!$E$388),"yyyy-mm-dd"),""))=0,"","Labor end: "&amp;IF(ISNUMBER(INDEX('Dealer pipeline'!$L$4:$L$503,_calc!$E$388)),TEXT(INDEX('Dealer pipeline'!$L$4:$L$503,_calc!$E$388),"yyyy-mm-dd"),"")&amp;". ")&amp;IF(LEN(IF(LEN(INDEX('Dealer pipeline'!$Q$4:$Q$503,_calc!$E$388))=0,"",INDEX('Dealer pipeline'!$Q$4:$Q$503,_calc!$E$388)))=0,"","Status: "&amp;IF(LEN(INDEX('Dealer pipeline'!$Q$4:$Q$503,_calc!$E$388))=0,"",INDEX('Dealer pipeline'!$Q$4:$Q$503,_calc!$E$388))&amp;". ")&amp;IF(LEN(IF(LEN(INDEX('Dealer pipeline'!$P$4:$P$503,_calc!$E$388))=0,"",INDEX('Dealer pipeline'!$P$4:$P$503,_calc!$E$388)))=0,"","Last touch: "&amp;IF(LEN(INDEX('Dealer pipeline'!$P$4:$P$503,_calc!$E$388))=0,"",INDEX('Dealer pipeline'!$P$4:$P$503,_calc!$E$388))&amp;". ")&amp;IF(LEN(IF(LEN(INDEX('Dealer pipeline'!$R$4:$R$503,_calc!$E$388))=0,"",INDEX('Dealer pipeline'!$R$4:$R$503,_calc!$E$388)))=0,"","Owner: "&amp;IF(LEN(INDEX('Dealer pipeline'!$R$4:$R$503,_calc!$E$388))=0,"",INDEX('Dealer pipeline'!$R$4:$R$503,_calc!$E$388))&amp;". ")&amp;IF(LEN(IF(LEN(INDEX('Dealer pipeline'!$S$4:$S$503,_calc!$E$388))=0,"",INDEX('Dealer pipeline'!$S$4:$S$503,_calc!$E$388)))=0,"","Backup: "&amp;IF(LEN(INDEX('Dealer pipeline'!$S$4:$S$503,_calc!$E$388))=0,"",INDEX('Dealer pipeline'!$S$4:$S$503,_calc!$E$388))&amp;". ")&amp;IF(LEN(IF(LEN(INDEX('Dealer pipeline'!$T$4:$T$503,_calc!$E$388))=0,"",INDEX('Dealer pipeline'!$T$4:$T$503,_calc!$E$388)))=0,"",IF(LEN(INDEX('Dealer pipeline'!$T$4:$T$503,_calc!$E$388))=0,"",INDEX('Dealer pipeline'!$T$4:$T$503,_calc!$E$388)))),TRIM(IF(LEN(IF(LEN(INDEX('My equipment'!$C$4:$C$503,(_calc!$E$388-500)))=0,"",INDEX('My equipment'!$C$4:$C$503,(_calc!$E$388-500))))=0,"","Model: "&amp;IF(LEN(INDEX('My equipment'!$C$4:$C$503,(_calc!$E$388-500)))=0,"",INDEX('My equipment'!$C$4:$C$503,(_calc!$E$388-500)))&amp;". ")&amp;IF(LEN(IF(LEN(INDEX('My equipment'!$D$4:$D$503,(_calc!$E$388-500)))=0,"",INDEX('My equipment'!$D$4:$D$503,(_calc!$E$388-500))))=0,"","Serial: "&amp;IF(LEN(INDEX('My equipment'!$D$4:$D$503,(_calc!$E$388-500)))=0,"",INDEX('My equipment'!$D$4:$D$503,(_calc!$E$388-500)))&amp;". ")&amp;IF(LEN(IF(ISNUMBER(INDEX('My equipment'!$J$4:$J$503,(_calc!$E$388-500))),TEXT(INDEX('My equipment'!$J$4:$J$503,(_calc!$E$388-500)),"yyyy-mm-dd"),""))=0,"","Parts end: "&amp;IF(ISNUMBER(INDEX('My equipment'!$J$4:$J$503,(_calc!$E$388-500))),TEXT(INDEX('My equipment'!$J$4:$J$503,(_calc!$E$388-500)),"yyyy-mm-dd"),"")&amp;". ")&amp;IF(LEN(IF(ISNUMBER(INDEX('My equipment'!$L$4:$L$503,(_calc!$E$388-500))),TEXT(INDEX('My equipment'!$L$4:$L$503,(_calc!$E$388-500)),"yyyy-mm-dd"),""))=0,"","Labor end: "&amp;IF(ISNUMBER(INDEX('My equipment'!$L$4:$L$503,(_calc!$E$388-500))),TEXT(INDEX('My equipment'!$L$4:$L$503,(_calc!$E$388-500)),"yyyy-mm-dd"),"")&amp;". ")&amp;IF(LEN(IF(ISNUMBER(INDEX('My equipment'!$P$4:$P$503,(_calc!$E$388-500))),TEXT(INDEX('My equipment'!$P$4:$P$503,(_calc!$E$388-500)),"yyyy-mm-dd"),""))=0,"","Check by: "&amp;IF(ISNUMBER(INDEX('My equipment'!$P$4:$P$503,(_calc!$E$388-500))),TEXT(INDEX('My equipment'!$P$4:$P$503,(_calc!$E$388-500)),"yyyy-mm-dd"),"")&amp;". ")&amp;IF(LEN(IF(LEN(INDEX('My equipment'!$Q$4:$Q$503,(_calc!$E$388-500)))=0,"",INDEX('My equipment'!$Q$4:$Q$503,(_calc!$E$388-500))))=0,"","Claim status: "&amp;IF(LEN(INDEX('My equipment'!$Q$4:$Q$503,(_calc!$E$388-500)))=0,"",INDEX('My equipment'!$Q$4:$Q$503,(_calc!$E$388-500)))&amp;". ")&amp;IF(LEN(IF(LEN(INDEX('My equipment'!$R$4:$R$503,(_calc!$E$388-500)))=0,"",INDEX('My equipment'!$R$4:$R$503,(_calc!$E$388-500))))=0,"","Claims contact: "&amp;IF(LEN(INDEX('My equipment'!$R$4:$R$503,(_calc!$E$388-500)))=0,"",INDEX('My equipment'!$R$4:$R$503,(_calc!$E$388-500)))&amp;". ")&amp;IF(LEN(IF(LEN(INDEX('My equipment'!$S$4:$S$503,(_calc!$E$388-500)))=0,"",INDEX('My equipment'!$S$4:$S$503,(_calc!$E$388-500))))=0,"","Claims email: "&amp;IF(LEN(INDEX('My equipment'!$S$4:$S$503,(_calc!$E$388-500)))=0,"",INDEX('My equipment'!$S$4:$S$503,(_calc!$E$388-500)))&amp;". ")&amp;IF(LEN(IF(LEN(INDEX('My equipment'!$U$4:$U$503,(_calc!$E$388-500)))=0,"",INDEX('My equipment'!$U$4:$U$503,(_calc!$E$388-500))))=0,"","Registered: "&amp;IF(LEN(INDEX('My equipment'!$U$4:$U$503,(_calc!$E$388-500)))=0,"",INDEX('My equipment'!$U$4:$U$503,(_calc!$E$388-500)))&amp;". ")&amp;IF(LEN(IF(LEN(INDEX('My equipment'!$V$4:$V$503,(_calc!$E$388-500)))=0,"",INDEX('My equipment'!$V$4:$V$503,(_calc!$E$388-500))))=0,"","Proof on file: "&amp;IF(LEN(INDEX('My equipment'!$V$4:$V$503,(_calc!$E$388-500)))=0,"",INDEX('My equipment'!$V$4:$V$503,(_calc!$E$388-500)))&amp;". ")&amp;IF(LEN(IF(LEN(INDEX('My equipment'!$W$4:$W$503,(_calc!$E$388-500)))=0,"",INDEX('My equipment'!$W$4:$W$503,(_calc!$E$388-500))))=0,"","Claim ref: "&amp;IF(LEN(INDEX('My equipment'!$W$4:$W$503,(_calc!$E$388-500)))=0,"",INDEX('My equipment'!$W$4:$W$503,(_calc!$E$388-500)))&amp;". ")&amp;IF(LEN(IF(LEN(INDEX('My equipment'!$Y$4:$Y$503,(_calc!$E$388-500)))=0,"",INDEX('My equipment'!$Y$4:$Y$503,(_calc!$E$388-500))))=0,"",IF(LEN(INDEX('My equipment'!$Y$4:$Y$503,(_calc!$E$388-500)))=0,"",INDEX('My equipment'!$Y$4:$Y$503,(_calc!$E$388-500)))))))</f>
        <v/>
      </c>
      <c r="G386" s="54">
        <f>IF(_calc!$E$388="","",IF(_calc!$E$388&lt;=500,"",IF(LEN(INDEX('My equipment'!$X$4:$X$503,(_calc!$E$388-500)))=0,"",INDEX('My equipment'!$X$4:$X$503,(_calc!$E$388-500)))))</f>
        <v/>
      </c>
      <c r="K386" s="54">
        <f>IF(_calc!$E$388="","",IF(_calc!$E$388&lt;=500,"",IF(LEN(INDEX('My equipment'!$T$4:$T$503,(_calc!$E$388-500)))=0,"",INDEX('My equipment'!$T$4:$T$503,(_calc!$E$388-500)))))</f>
        <v/>
      </c>
    </row>
    <row r="387">
      <c r="A387" s="54">
        <f>IF(_calc!$E$389="","",IF(_calc!$E$389&lt;=500,"Warranty – "&amp;IF(LEN(INDEX('Dealer pipeline'!$C$4:$C$503,_calc!$E$389))=0,"",INDEX('Dealer pipeline'!$C$4:$C$503,_calc!$E$389))&amp;" – "&amp;IF(LEN(INDEX('Dealer pipeline'!$D$4:$D$503,_calc!$E$389))=0,"",INDEX('Dealer pipeline'!$D$4:$D$503,_calc!$E$389))&amp;" – "&amp;IF(LEN(INDEX('Dealer pipeline'!$A$4:$A$503,_calc!$E$389))=0,"",INDEX('Dealer pipeline'!$A$4:$A$503,_calc!$E$389)),"Warranty – "&amp;IF(LEN(INDEX('My equipment'!$A$4:$A$503,(_calc!$E$389-500)))=0,"",INDEX('My equipment'!$A$4:$A$503,(_calc!$E$389-500)))&amp;" – "&amp;IF(LEN(INDEX('My equipment'!$D$4:$D$503,(_calc!$E$389-500)))=0,"",INDEX('My equipment'!$D$4:$D$503,(_calc!$E$389-500)))))</f>
        <v/>
      </c>
      <c r="B387" s="54">
        <f>IF(_calc!$E$389="","",IF(_calc!$E$389&lt;=500,IF(ISNUMBER(INDEX('Dealer pipeline'!$M$4:$M$503,_calc!$E$389)),TEXT(INDEX('Dealer pipeline'!$M$4:$M$503,_calc!$E$389),"yyyy-mm-dd"),""),IF(ISNUMBER(INDEX('My equipment'!$M$4:$M$503,(_calc!$E$389-500))),TEXT(INDEX('My equipment'!$M$4:$M$503,(_calc!$E$389-500)),"yyyy-mm-dd"),"")))</f>
        <v/>
      </c>
      <c r="C387" s="54">
        <f>IF(_calc!$E$389="","",IF(_calc!$E$389&lt;=500,"Warranty","Warranty"))</f>
        <v/>
      </c>
      <c r="D387" s="54">
        <f>IF(_calc!$E$389="","",IF(_calc!$E$389&lt;=500,IF(ISNUMBER(INDEX('Dealer pipeline'!$H$4:$H$503,_calc!$E$389)),TEXT(INDEX('Dealer pipeline'!$H$4:$H$503,_calc!$E$389),"yyyy-mm-dd"),""),IF(ISNUMBER(INDEX('My equipment'!$H$4:$H$503,(_calc!$E$389-500))),TEXT(INDEX('My equipment'!$H$4:$H$503,(_calc!$E$389-500)),"yyyy-mm-dd"),"")))</f>
        <v/>
      </c>
      <c r="F387" s="54">
        <f>IF(_calc!$E$389="","",IF(_calc!$E$389&lt;=500,TRIM(IF(LEN(IF(LEN(INDEX('Dealer pipeline'!$A$4:$A$503,_calc!$E$389))=0,"",INDEX('Dealer pipeline'!$A$4:$A$503,_calc!$E$389)))=0,"","Customer: "&amp;IF(LEN(INDEX('Dealer pipeline'!$A$4:$A$503,_calc!$E$389))=0,"",INDEX('Dealer pipeline'!$A$4:$A$503,_calc!$E$389))&amp;". ")&amp;IF(LEN(IF(LEN(INDEX('Dealer pipeline'!$B$4:$B$503,_calc!$E$389))=0,"",INDEX('Dealer pipeline'!$B$4:$B$503,_calc!$E$389)))=0,"","Contact: "&amp;IF(LEN(INDEX('Dealer pipeline'!$B$4:$B$503,_calc!$E$389))=0,"",INDEX('Dealer pipeline'!$B$4:$B$503,_calc!$E$389))&amp;". ")&amp;IF(LEN(IF(LEN(INDEX('Dealer pipeline'!$D$4:$D$503,_calc!$E$389))=0,"",INDEX('Dealer pipeline'!$D$4:$D$503,_calc!$E$389)))=0,"","Serial: "&amp;IF(LEN(INDEX('Dealer pipeline'!$D$4:$D$503,_calc!$E$389))=0,"",INDEX('Dealer pipeline'!$D$4:$D$503,_calc!$E$389))&amp;". ")&amp;IF(LEN(IF(ISNUMBER(INDEX('Dealer pipeline'!$J$4:$J$503,_calc!$E$389)),TEXT(INDEX('Dealer pipeline'!$J$4:$J$503,_calc!$E$389),"yyyy-mm-dd"),""))=0,"","Parts end: "&amp;IF(ISNUMBER(INDEX('Dealer pipeline'!$J$4:$J$503,_calc!$E$389)),TEXT(INDEX('Dealer pipeline'!$J$4:$J$503,_calc!$E$389),"yyyy-mm-dd"),"")&amp;". ")&amp;IF(LEN(IF(ISNUMBER(INDEX('Dealer pipeline'!$L$4:$L$503,_calc!$E$389)),TEXT(INDEX('Dealer pipeline'!$L$4:$L$503,_calc!$E$389),"yyyy-mm-dd"),""))=0,"","Labor end: "&amp;IF(ISNUMBER(INDEX('Dealer pipeline'!$L$4:$L$503,_calc!$E$389)),TEXT(INDEX('Dealer pipeline'!$L$4:$L$503,_calc!$E$389),"yyyy-mm-dd"),"")&amp;". ")&amp;IF(LEN(IF(LEN(INDEX('Dealer pipeline'!$Q$4:$Q$503,_calc!$E$389))=0,"",INDEX('Dealer pipeline'!$Q$4:$Q$503,_calc!$E$389)))=0,"","Status: "&amp;IF(LEN(INDEX('Dealer pipeline'!$Q$4:$Q$503,_calc!$E$389))=0,"",INDEX('Dealer pipeline'!$Q$4:$Q$503,_calc!$E$389))&amp;". ")&amp;IF(LEN(IF(LEN(INDEX('Dealer pipeline'!$P$4:$P$503,_calc!$E$389))=0,"",INDEX('Dealer pipeline'!$P$4:$P$503,_calc!$E$389)))=0,"","Last touch: "&amp;IF(LEN(INDEX('Dealer pipeline'!$P$4:$P$503,_calc!$E$389))=0,"",INDEX('Dealer pipeline'!$P$4:$P$503,_calc!$E$389))&amp;". ")&amp;IF(LEN(IF(LEN(INDEX('Dealer pipeline'!$R$4:$R$503,_calc!$E$389))=0,"",INDEX('Dealer pipeline'!$R$4:$R$503,_calc!$E$389)))=0,"","Owner: "&amp;IF(LEN(INDEX('Dealer pipeline'!$R$4:$R$503,_calc!$E$389))=0,"",INDEX('Dealer pipeline'!$R$4:$R$503,_calc!$E$389))&amp;". ")&amp;IF(LEN(IF(LEN(INDEX('Dealer pipeline'!$S$4:$S$503,_calc!$E$389))=0,"",INDEX('Dealer pipeline'!$S$4:$S$503,_calc!$E$389)))=0,"","Backup: "&amp;IF(LEN(INDEX('Dealer pipeline'!$S$4:$S$503,_calc!$E$389))=0,"",INDEX('Dealer pipeline'!$S$4:$S$503,_calc!$E$389))&amp;". ")&amp;IF(LEN(IF(LEN(INDEX('Dealer pipeline'!$T$4:$T$503,_calc!$E$389))=0,"",INDEX('Dealer pipeline'!$T$4:$T$503,_calc!$E$389)))=0,"",IF(LEN(INDEX('Dealer pipeline'!$T$4:$T$503,_calc!$E$389))=0,"",INDEX('Dealer pipeline'!$T$4:$T$503,_calc!$E$389)))),TRIM(IF(LEN(IF(LEN(INDEX('My equipment'!$C$4:$C$503,(_calc!$E$389-500)))=0,"",INDEX('My equipment'!$C$4:$C$503,(_calc!$E$389-500))))=0,"","Model: "&amp;IF(LEN(INDEX('My equipment'!$C$4:$C$503,(_calc!$E$389-500)))=0,"",INDEX('My equipment'!$C$4:$C$503,(_calc!$E$389-500)))&amp;". ")&amp;IF(LEN(IF(LEN(INDEX('My equipment'!$D$4:$D$503,(_calc!$E$389-500)))=0,"",INDEX('My equipment'!$D$4:$D$503,(_calc!$E$389-500))))=0,"","Serial: "&amp;IF(LEN(INDEX('My equipment'!$D$4:$D$503,(_calc!$E$389-500)))=0,"",INDEX('My equipment'!$D$4:$D$503,(_calc!$E$389-500)))&amp;". ")&amp;IF(LEN(IF(ISNUMBER(INDEX('My equipment'!$J$4:$J$503,(_calc!$E$389-500))),TEXT(INDEX('My equipment'!$J$4:$J$503,(_calc!$E$389-500)),"yyyy-mm-dd"),""))=0,"","Parts end: "&amp;IF(ISNUMBER(INDEX('My equipment'!$J$4:$J$503,(_calc!$E$389-500))),TEXT(INDEX('My equipment'!$J$4:$J$503,(_calc!$E$389-500)),"yyyy-mm-dd"),"")&amp;". ")&amp;IF(LEN(IF(ISNUMBER(INDEX('My equipment'!$L$4:$L$503,(_calc!$E$389-500))),TEXT(INDEX('My equipment'!$L$4:$L$503,(_calc!$E$389-500)),"yyyy-mm-dd"),""))=0,"","Labor end: "&amp;IF(ISNUMBER(INDEX('My equipment'!$L$4:$L$503,(_calc!$E$389-500))),TEXT(INDEX('My equipment'!$L$4:$L$503,(_calc!$E$389-500)),"yyyy-mm-dd"),"")&amp;". ")&amp;IF(LEN(IF(ISNUMBER(INDEX('My equipment'!$P$4:$P$503,(_calc!$E$389-500))),TEXT(INDEX('My equipment'!$P$4:$P$503,(_calc!$E$389-500)),"yyyy-mm-dd"),""))=0,"","Check by: "&amp;IF(ISNUMBER(INDEX('My equipment'!$P$4:$P$503,(_calc!$E$389-500))),TEXT(INDEX('My equipment'!$P$4:$P$503,(_calc!$E$389-500)),"yyyy-mm-dd"),"")&amp;". ")&amp;IF(LEN(IF(LEN(INDEX('My equipment'!$Q$4:$Q$503,(_calc!$E$389-500)))=0,"",INDEX('My equipment'!$Q$4:$Q$503,(_calc!$E$389-500))))=0,"","Claim status: "&amp;IF(LEN(INDEX('My equipment'!$Q$4:$Q$503,(_calc!$E$389-500)))=0,"",INDEX('My equipment'!$Q$4:$Q$503,(_calc!$E$389-500)))&amp;". ")&amp;IF(LEN(IF(LEN(INDEX('My equipment'!$R$4:$R$503,(_calc!$E$389-500)))=0,"",INDEX('My equipment'!$R$4:$R$503,(_calc!$E$389-500))))=0,"","Claims contact: "&amp;IF(LEN(INDEX('My equipment'!$R$4:$R$503,(_calc!$E$389-500)))=0,"",INDEX('My equipment'!$R$4:$R$503,(_calc!$E$389-500)))&amp;". ")&amp;IF(LEN(IF(LEN(INDEX('My equipment'!$S$4:$S$503,(_calc!$E$389-500)))=0,"",INDEX('My equipment'!$S$4:$S$503,(_calc!$E$389-500))))=0,"","Claims email: "&amp;IF(LEN(INDEX('My equipment'!$S$4:$S$503,(_calc!$E$389-500)))=0,"",INDEX('My equipment'!$S$4:$S$503,(_calc!$E$389-500)))&amp;". ")&amp;IF(LEN(IF(LEN(INDEX('My equipment'!$U$4:$U$503,(_calc!$E$389-500)))=0,"",INDEX('My equipment'!$U$4:$U$503,(_calc!$E$389-500))))=0,"","Registered: "&amp;IF(LEN(INDEX('My equipment'!$U$4:$U$503,(_calc!$E$389-500)))=0,"",INDEX('My equipment'!$U$4:$U$503,(_calc!$E$389-500)))&amp;". ")&amp;IF(LEN(IF(LEN(INDEX('My equipment'!$V$4:$V$503,(_calc!$E$389-500)))=0,"",INDEX('My equipment'!$V$4:$V$503,(_calc!$E$389-500))))=0,"","Proof on file: "&amp;IF(LEN(INDEX('My equipment'!$V$4:$V$503,(_calc!$E$389-500)))=0,"",INDEX('My equipment'!$V$4:$V$503,(_calc!$E$389-500)))&amp;". ")&amp;IF(LEN(IF(LEN(INDEX('My equipment'!$W$4:$W$503,(_calc!$E$389-500)))=0,"",INDEX('My equipment'!$W$4:$W$503,(_calc!$E$389-500))))=0,"","Claim ref: "&amp;IF(LEN(INDEX('My equipment'!$W$4:$W$503,(_calc!$E$389-500)))=0,"",INDEX('My equipment'!$W$4:$W$503,(_calc!$E$389-500)))&amp;". ")&amp;IF(LEN(IF(LEN(INDEX('My equipment'!$Y$4:$Y$503,(_calc!$E$389-500)))=0,"",INDEX('My equipment'!$Y$4:$Y$503,(_calc!$E$389-500))))=0,"",IF(LEN(INDEX('My equipment'!$Y$4:$Y$503,(_calc!$E$389-500)))=0,"",INDEX('My equipment'!$Y$4:$Y$503,(_calc!$E$389-500)))))))</f>
        <v/>
      </c>
      <c r="G387" s="54">
        <f>IF(_calc!$E$389="","",IF(_calc!$E$389&lt;=500,"",IF(LEN(INDEX('My equipment'!$X$4:$X$503,(_calc!$E$389-500)))=0,"",INDEX('My equipment'!$X$4:$X$503,(_calc!$E$389-500)))))</f>
        <v/>
      </c>
      <c r="K387" s="54">
        <f>IF(_calc!$E$389="","",IF(_calc!$E$389&lt;=500,"",IF(LEN(INDEX('My equipment'!$T$4:$T$503,(_calc!$E$389-500)))=0,"",INDEX('My equipment'!$T$4:$T$503,(_calc!$E$389-500)))))</f>
        <v/>
      </c>
    </row>
    <row r="388">
      <c r="A388" s="54">
        <f>IF(_calc!$E$390="","",IF(_calc!$E$390&lt;=500,"Warranty – "&amp;IF(LEN(INDEX('Dealer pipeline'!$C$4:$C$503,_calc!$E$390))=0,"",INDEX('Dealer pipeline'!$C$4:$C$503,_calc!$E$390))&amp;" – "&amp;IF(LEN(INDEX('Dealer pipeline'!$D$4:$D$503,_calc!$E$390))=0,"",INDEX('Dealer pipeline'!$D$4:$D$503,_calc!$E$390))&amp;" – "&amp;IF(LEN(INDEX('Dealer pipeline'!$A$4:$A$503,_calc!$E$390))=0,"",INDEX('Dealer pipeline'!$A$4:$A$503,_calc!$E$390)),"Warranty – "&amp;IF(LEN(INDEX('My equipment'!$A$4:$A$503,(_calc!$E$390-500)))=0,"",INDEX('My equipment'!$A$4:$A$503,(_calc!$E$390-500)))&amp;" – "&amp;IF(LEN(INDEX('My equipment'!$D$4:$D$503,(_calc!$E$390-500)))=0,"",INDEX('My equipment'!$D$4:$D$503,(_calc!$E$390-500)))))</f>
        <v/>
      </c>
      <c r="B388" s="54">
        <f>IF(_calc!$E$390="","",IF(_calc!$E$390&lt;=500,IF(ISNUMBER(INDEX('Dealer pipeline'!$M$4:$M$503,_calc!$E$390)),TEXT(INDEX('Dealer pipeline'!$M$4:$M$503,_calc!$E$390),"yyyy-mm-dd"),""),IF(ISNUMBER(INDEX('My equipment'!$M$4:$M$503,(_calc!$E$390-500))),TEXT(INDEX('My equipment'!$M$4:$M$503,(_calc!$E$390-500)),"yyyy-mm-dd"),"")))</f>
        <v/>
      </c>
      <c r="C388" s="54">
        <f>IF(_calc!$E$390="","",IF(_calc!$E$390&lt;=500,"Warranty","Warranty"))</f>
        <v/>
      </c>
      <c r="D388" s="54">
        <f>IF(_calc!$E$390="","",IF(_calc!$E$390&lt;=500,IF(ISNUMBER(INDEX('Dealer pipeline'!$H$4:$H$503,_calc!$E$390)),TEXT(INDEX('Dealer pipeline'!$H$4:$H$503,_calc!$E$390),"yyyy-mm-dd"),""),IF(ISNUMBER(INDEX('My equipment'!$H$4:$H$503,(_calc!$E$390-500))),TEXT(INDEX('My equipment'!$H$4:$H$503,(_calc!$E$390-500)),"yyyy-mm-dd"),"")))</f>
        <v/>
      </c>
      <c r="F388" s="54">
        <f>IF(_calc!$E$390="","",IF(_calc!$E$390&lt;=500,TRIM(IF(LEN(IF(LEN(INDEX('Dealer pipeline'!$A$4:$A$503,_calc!$E$390))=0,"",INDEX('Dealer pipeline'!$A$4:$A$503,_calc!$E$390)))=0,"","Customer: "&amp;IF(LEN(INDEX('Dealer pipeline'!$A$4:$A$503,_calc!$E$390))=0,"",INDEX('Dealer pipeline'!$A$4:$A$503,_calc!$E$390))&amp;". ")&amp;IF(LEN(IF(LEN(INDEX('Dealer pipeline'!$B$4:$B$503,_calc!$E$390))=0,"",INDEX('Dealer pipeline'!$B$4:$B$503,_calc!$E$390)))=0,"","Contact: "&amp;IF(LEN(INDEX('Dealer pipeline'!$B$4:$B$503,_calc!$E$390))=0,"",INDEX('Dealer pipeline'!$B$4:$B$503,_calc!$E$390))&amp;". ")&amp;IF(LEN(IF(LEN(INDEX('Dealer pipeline'!$D$4:$D$503,_calc!$E$390))=0,"",INDEX('Dealer pipeline'!$D$4:$D$503,_calc!$E$390)))=0,"","Serial: "&amp;IF(LEN(INDEX('Dealer pipeline'!$D$4:$D$503,_calc!$E$390))=0,"",INDEX('Dealer pipeline'!$D$4:$D$503,_calc!$E$390))&amp;". ")&amp;IF(LEN(IF(ISNUMBER(INDEX('Dealer pipeline'!$J$4:$J$503,_calc!$E$390)),TEXT(INDEX('Dealer pipeline'!$J$4:$J$503,_calc!$E$390),"yyyy-mm-dd"),""))=0,"","Parts end: "&amp;IF(ISNUMBER(INDEX('Dealer pipeline'!$J$4:$J$503,_calc!$E$390)),TEXT(INDEX('Dealer pipeline'!$J$4:$J$503,_calc!$E$390),"yyyy-mm-dd"),"")&amp;". ")&amp;IF(LEN(IF(ISNUMBER(INDEX('Dealer pipeline'!$L$4:$L$503,_calc!$E$390)),TEXT(INDEX('Dealer pipeline'!$L$4:$L$503,_calc!$E$390),"yyyy-mm-dd"),""))=0,"","Labor end: "&amp;IF(ISNUMBER(INDEX('Dealer pipeline'!$L$4:$L$503,_calc!$E$390)),TEXT(INDEX('Dealer pipeline'!$L$4:$L$503,_calc!$E$390),"yyyy-mm-dd"),"")&amp;". ")&amp;IF(LEN(IF(LEN(INDEX('Dealer pipeline'!$Q$4:$Q$503,_calc!$E$390))=0,"",INDEX('Dealer pipeline'!$Q$4:$Q$503,_calc!$E$390)))=0,"","Status: "&amp;IF(LEN(INDEX('Dealer pipeline'!$Q$4:$Q$503,_calc!$E$390))=0,"",INDEX('Dealer pipeline'!$Q$4:$Q$503,_calc!$E$390))&amp;". ")&amp;IF(LEN(IF(LEN(INDEX('Dealer pipeline'!$P$4:$P$503,_calc!$E$390))=0,"",INDEX('Dealer pipeline'!$P$4:$P$503,_calc!$E$390)))=0,"","Last touch: "&amp;IF(LEN(INDEX('Dealer pipeline'!$P$4:$P$503,_calc!$E$390))=0,"",INDEX('Dealer pipeline'!$P$4:$P$503,_calc!$E$390))&amp;". ")&amp;IF(LEN(IF(LEN(INDEX('Dealer pipeline'!$R$4:$R$503,_calc!$E$390))=0,"",INDEX('Dealer pipeline'!$R$4:$R$503,_calc!$E$390)))=0,"","Owner: "&amp;IF(LEN(INDEX('Dealer pipeline'!$R$4:$R$503,_calc!$E$390))=0,"",INDEX('Dealer pipeline'!$R$4:$R$503,_calc!$E$390))&amp;". ")&amp;IF(LEN(IF(LEN(INDEX('Dealer pipeline'!$S$4:$S$503,_calc!$E$390))=0,"",INDEX('Dealer pipeline'!$S$4:$S$503,_calc!$E$390)))=0,"","Backup: "&amp;IF(LEN(INDEX('Dealer pipeline'!$S$4:$S$503,_calc!$E$390))=0,"",INDEX('Dealer pipeline'!$S$4:$S$503,_calc!$E$390))&amp;". ")&amp;IF(LEN(IF(LEN(INDEX('Dealer pipeline'!$T$4:$T$503,_calc!$E$390))=0,"",INDEX('Dealer pipeline'!$T$4:$T$503,_calc!$E$390)))=0,"",IF(LEN(INDEX('Dealer pipeline'!$T$4:$T$503,_calc!$E$390))=0,"",INDEX('Dealer pipeline'!$T$4:$T$503,_calc!$E$390)))),TRIM(IF(LEN(IF(LEN(INDEX('My equipment'!$C$4:$C$503,(_calc!$E$390-500)))=0,"",INDEX('My equipment'!$C$4:$C$503,(_calc!$E$390-500))))=0,"","Model: "&amp;IF(LEN(INDEX('My equipment'!$C$4:$C$503,(_calc!$E$390-500)))=0,"",INDEX('My equipment'!$C$4:$C$503,(_calc!$E$390-500)))&amp;". ")&amp;IF(LEN(IF(LEN(INDEX('My equipment'!$D$4:$D$503,(_calc!$E$390-500)))=0,"",INDEX('My equipment'!$D$4:$D$503,(_calc!$E$390-500))))=0,"","Serial: "&amp;IF(LEN(INDEX('My equipment'!$D$4:$D$503,(_calc!$E$390-500)))=0,"",INDEX('My equipment'!$D$4:$D$503,(_calc!$E$390-500)))&amp;". ")&amp;IF(LEN(IF(ISNUMBER(INDEX('My equipment'!$J$4:$J$503,(_calc!$E$390-500))),TEXT(INDEX('My equipment'!$J$4:$J$503,(_calc!$E$390-500)),"yyyy-mm-dd"),""))=0,"","Parts end: "&amp;IF(ISNUMBER(INDEX('My equipment'!$J$4:$J$503,(_calc!$E$390-500))),TEXT(INDEX('My equipment'!$J$4:$J$503,(_calc!$E$390-500)),"yyyy-mm-dd"),"")&amp;". ")&amp;IF(LEN(IF(ISNUMBER(INDEX('My equipment'!$L$4:$L$503,(_calc!$E$390-500))),TEXT(INDEX('My equipment'!$L$4:$L$503,(_calc!$E$390-500)),"yyyy-mm-dd"),""))=0,"","Labor end: "&amp;IF(ISNUMBER(INDEX('My equipment'!$L$4:$L$503,(_calc!$E$390-500))),TEXT(INDEX('My equipment'!$L$4:$L$503,(_calc!$E$390-500)),"yyyy-mm-dd"),"")&amp;". ")&amp;IF(LEN(IF(ISNUMBER(INDEX('My equipment'!$P$4:$P$503,(_calc!$E$390-500))),TEXT(INDEX('My equipment'!$P$4:$P$503,(_calc!$E$390-500)),"yyyy-mm-dd"),""))=0,"","Check by: "&amp;IF(ISNUMBER(INDEX('My equipment'!$P$4:$P$503,(_calc!$E$390-500))),TEXT(INDEX('My equipment'!$P$4:$P$503,(_calc!$E$390-500)),"yyyy-mm-dd"),"")&amp;". ")&amp;IF(LEN(IF(LEN(INDEX('My equipment'!$Q$4:$Q$503,(_calc!$E$390-500)))=0,"",INDEX('My equipment'!$Q$4:$Q$503,(_calc!$E$390-500))))=0,"","Claim status: "&amp;IF(LEN(INDEX('My equipment'!$Q$4:$Q$503,(_calc!$E$390-500)))=0,"",INDEX('My equipment'!$Q$4:$Q$503,(_calc!$E$390-500)))&amp;". ")&amp;IF(LEN(IF(LEN(INDEX('My equipment'!$R$4:$R$503,(_calc!$E$390-500)))=0,"",INDEX('My equipment'!$R$4:$R$503,(_calc!$E$390-500))))=0,"","Claims contact: "&amp;IF(LEN(INDEX('My equipment'!$R$4:$R$503,(_calc!$E$390-500)))=0,"",INDEX('My equipment'!$R$4:$R$503,(_calc!$E$390-500)))&amp;". ")&amp;IF(LEN(IF(LEN(INDEX('My equipment'!$S$4:$S$503,(_calc!$E$390-500)))=0,"",INDEX('My equipment'!$S$4:$S$503,(_calc!$E$390-500))))=0,"","Claims email: "&amp;IF(LEN(INDEX('My equipment'!$S$4:$S$503,(_calc!$E$390-500)))=0,"",INDEX('My equipment'!$S$4:$S$503,(_calc!$E$390-500)))&amp;". ")&amp;IF(LEN(IF(LEN(INDEX('My equipment'!$U$4:$U$503,(_calc!$E$390-500)))=0,"",INDEX('My equipment'!$U$4:$U$503,(_calc!$E$390-500))))=0,"","Registered: "&amp;IF(LEN(INDEX('My equipment'!$U$4:$U$503,(_calc!$E$390-500)))=0,"",INDEX('My equipment'!$U$4:$U$503,(_calc!$E$390-500)))&amp;". ")&amp;IF(LEN(IF(LEN(INDEX('My equipment'!$V$4:$V$503,(_calc!$E$390-500)))=0,"",INDEX('My equipment'!$V$4:$V$503,(_calc!$E$390-500))))=0,"","Proof on file: "&amp;IF(LEN(INDEX('My equipment'!$V$4:$V$503,(_calc!$E$390-500)))=0,"",INDEX('My equipment'!$V$4:$V$503,(_calc!$E$390-500)))&amp;". ")&amp;IF(LEN(IF(LEN(INDEX('My equipment'!$W$4:$W$503,(_calc!$E$390-500)))=0,"",INDEX('My equipment'!$W$4:$W$503,(_calc!$E$390-500))))=0,"","Claim ref: "&amp;IF(LEN(INDEX('My equipment'!$W$4:$W$503,(_calc!$E$390-500)))=0,"",INDEX('My equipment'!$W$4:$W$503,(_calc!$E$390-500)))&amp;". ")&amp;IF(LEN(IF(LEN(INDEX('My equipment'!$Y$4:$Y$503,(_calc!$E$390-500)))=0,"",INDEX('My equipment'!$Y$4:$Y$503,(_calc!$E$390-500))))=0,"",IF(LEN(INDEX('My equipment'!$Y$4:$Y$503,(_calc!$E$390-500)))=0,"",INDEX('My equipment'!$Y$4:$Y$503,(_calc!$E$390-500)))))))</f>
        <v/>
      </c>
      <c r="G388" s="54">
        <f>IF(_calc!$E$390="","",IF(_calc!$E$390&lt;=500,"",IF(LEN(INDEX('My equipment'!$X$4:$X$503,(_calc!$E$390-500)))=0,"",INDEX('My equipment'!$X$4:$X$503,(_calc!$E$390-500)))))</f>
        <v/>
      </c>
      <c r="K388" s="54">
        <f>IF(_calc!$E$390="","",IF(_calc!$E$390&lt;=500,"",IF(LEN(INDEX('My equipment'!$T$4:$T$503,(_calc!$E$390-500)))=0,"",INDEX('My equipment'!$T$4:$T$503,(_calc!$E$390-500)))))</f>
        <v/>
      </c>
    </row>
    <row r="389">
      <c r="A389" s="54">
        <f>IF(_calc!$E$391="","",IF(_calc!$E$391&lt;=500,"Warranty – "&amp;IF(LEN(INDEX('Dealer pipeline'!$C$4:$C$503,_calc!$E$391))=0,"",INDEX('Dealer pipeline'!$C$4:$C$503,_calc!$E$391))&amp;" – "&amp;IF(LEN(INDEX('Dealer pipeline'!$D$4:$D$503,_calc!$E$391))=0,"",INDEX('Dealer pipeline'!$D$4:$D$503,_calc!$E$391))&amp;" – "&amp;IF(LEN(INDEX('Dealer pipeline'!$A$4:$A$503,_calc!$E$391))=0,"",INDEX('Dealer pipeline'!$A$4:$A$503,_calc!$E$391)),"Warranty – "&amp;IF(LEN(INDEX('My equipment'!$A$4:$A$503,(_calc!$E$391-500)))=0,"",INDEX('My equipment'!$A$4:$A$503,(_calc!$E$391-500)))&amp;" – "&amp;IF(LEN(INDEX('My equipment'!$D$4:$D$503,(_calc!$E$391-500)))=0,"",INDEX('My equipment'!$D$4:$D$503,(_calc!$E$391-500)))))</f>
        <v/>
      </c>
      <c r="B389" s="54">
        <f>IF(_calc!$E$391="","",IF(_calc!$E$391&lt;=500,IF(ISNUMBER(INDEX('Dealer pipeline'!$M$4:$M$503,_calc!$E$391)),TEXT(INDEX('Dealer pipeline'!$M$4:$M$503,_calc!$E$391),"yyyy-mm-dd"),""),IF(ISNUMBER(INDEX('My equipment'!$M$4:$M$503,(_calc!$E$391-500))),TEXT(INDEX('My equipment'!$M$4:$M$503,(_calc!$E$391-500)),"yyyy-mm-dd"),"")))</f>
        <v/>
      </c>
      <c r="C389" s="54">
        <f>IF(_calc!$E$391="","",IF(_calc!$E$391&lt;=500,"Warranty","Warranty"))</f>
        <v/>
      </c>
      <c r="D389" s="54">
        <f>IF(_calc!$E$391="","",IF(_calc!$E$391&lt;=500,IF(ISNUMBER(INDEX('Dealer pipeline'!$H$4:$H$503,_calc!$E$391)),TEXT(INDEX('Dealer pipeline'!$H$4:$H$503,_calc!$E$391),"yyyy-mm-dd"),""),IF(ISNUMBER(INDEX('My equipment'!$H$4:$H$503,(_calc!$E$391-500))),TEXT(INDEX('My equipment'!$H$4:$H$503,(_calc!$E$391-500)),"yyyy-mm-dd"),"")))</f>
        <v/>
      </c>
      <c r="F389" s="54">
        <f>IF(_calc!$E$391="","",IF(_calc!$E$391&lt;=500,TRIM(IF(LEN(IF(LEN(INDEX('Dealer pipeline'!$A$4:$A$503,_calc!$E$391))=0,"",INDEX('Dealer pipeline'!$A$4:$A$503,_calc!$E$391)))=0,"","Customer: "&amp;IF(LEN(INDEX('Dealer pipeline'!$A$4:$A$503,_calc!$E$391))=0,"",INDEX('Dealer pipeline'!$A$4:$A$503,_calc!$E$391))&amp;". ")&amp;IF(LEN(IF(LEN(INDEX('Dealer pipeline'!$B$4:$B$503,_calc!$E$391))=0,"",INDEX('Dealer pipeline'!$B$4:$B$503,_calc!$E$391)))=0,"","Contact: "&amp;IF(LEN(INDEX('Dealer pipeline'!$B$4:$B$503,_calc!$E$391))=0,"",INDEX('Dealer pipeline'!$B$4:$B$503,_calc!$E$391))&amp;". ")&amp;IF(LEN(IF(LEN(INDEX('Dealer pipeline'!$D$4:$D$503,_calc!$E$391))=0,"",INDEX('Dealer pipeline'!$D$4:$D$503,_calc!$E$391)))=0,"","Serial: "&amp;IF(LEN(INDEX('Dealer pipeline'!$D$4:$D$503,_calc!$E$391))=0,"",INDEX('Dealer pipeline'!$D$4:$D$503,_calc!$E$391))&amp;". ")&amp;IF(LEN(IF(ISNUMBER(INDEX('Dealer pipeline'!$J$4:$J$503,_calc!$E$391)),TEXT(INDEX('Dealer pipeline'!$J$4:$J$503,_calc!$E$391),"yyyy-mm-dd"),""))=0,"","Parts end: "&amp;IF(ISNUMBER(INDEX('Dealer pipeline'!$J$4:$J$503,_calc!$E$391)),TEXT(INDEX('Dealer pipeline'!$J$4:$J$503,_calc!$E$391),"yyyy-mm-dd"),"")&amp;". ")&amp;IF(LEN(IF(ISNUMBER(INDEX('Dealer pipeline'!$L$4:$L$503,_calc!$E$391)),TEXT(INDEX('Dealer pipeline'!$L$4:$L$503,_calc!$E$391),"yyyy-mm-dd"),""))=0,"","Labor end: "&amp;IF(ISNUMBER(INDEX('Dealer pipeline'!$L$4:$L$503,_calc!$E$391)),TEXT(INDEX('Dealer pipeline'!$L$4:$L$503,_calc!$E$391),"yyyy-mm-dd"),"")&amp;". ")&amp;IF(LEN(IF(LEN(INDEX('Dealer pipeline'!$Q$4:$Q$503,_calc!$E$391))=0,"",INDEX('Dealer pipeline'!$Q$4:$Q$503,_calc!$E$391)))=0,"","Status: "&amp;IF(LEN(INDEX('Dealer pipeline'!$Q$4:$Q$503,_calc!$E$391))=0,"",INDEX('Dealer pipeline'!$Q$4:$Q$503,_calc!$E$391))&amp;". ")&amp;IF(LEN(IF(LEN(INDEX('Dealer pipeline'!$P$4:$P$503,_calc!$E$391))=0,"",INDEX('Dealer pipeline'!$P$4:$P$503,_calc!$E$391)))=0,"","Last touch: "&amp;IF(LEN(INDEX('Dealer pipeline'!$P$4:$P$503,_calc!$E$391))=0,"",INDEX('Dealer pipeline'!$P$4:$P$503,_calc!$E$391))&amp;". ")&amp;IF(LEN(IF(LEN(INDEX('Dealer pipeline'!$R$4:$R$503,_calc!$E$391))=0,"",INDEX('Dealer pipeline'!$R$4:$R$503,_calc!$E$391)))=0,"","Owner: "&amp;IF(LEN(INDEX('Dealer pipeline'!$R$4:$R$503,_calc!$E$391))=0,"",INDEX('Dealer pipeline'!$R$4:$R$503,_calc!$E$391))&amp;". ")&amp;IF(LEN(IF(LEN(INDEX('Dealer pipeline'!$S$4:$S$503,_calc!$E$391))=0,"",INDEX('Dealer pipeline'!$S$4:$S$503,_calc!$E$391)))=0,"","Backup: "&amp;IF(LEN(INDEX('Dealer pipeline'!$S$4:$S$503,_calc!$E$391))=0,"",INDEX('Dealer pipeline'!$S$4:$S$503,_calc!$E$391))&amp;". ")&amp;IF(LEN(IF(LEN(INDEX('Dealer pipeline'!$T$4:$T$503,_calc!$E$391))=0,"",INDEX('Dealer pipeline'!$T$4:$T$503,_calc!$E$391)))=0,"",IF(LEN(INDEX('Dealer pipeline'!$T$4:$T$503,_calc!$E$391))=0,"",INDEX('Dealer pipeline'!$T$4:$T$503,_calc!$E$391)))),TRIM(IF(LEN(IF(LEN(INDEX('My equipment'!$C$4:$C$503,(_calc!$E$391-500)))=0,"",INDEX('My equipment'!$C$4:$C$503,(_calc!$E$391-500))))=0,"","Model: "&amp;IF(LEN(INDEX('My equipment'!$C$4:$C$503,(_calc!$E$391-500)))=0,"",INDEX('My equipment'!$C$4:$C$503,(_calc!$E$391-500)))&amp;". ")&amp;IF(LEN(IF(LEN(INDEX('My equipment'!$D$4:$D$503,(_calc!$E$391-500)))=0,"",INDEX('My equipment'!$D$4:$D$503,(_calc!$E$391-500))))=0,"","Serial: "&amp;IF(LEN(INDEX('My equipment'!$D$4:$D$503,(_calc!$E$391-500)))=0,"",INDEX('My equipment'!$D$4:$D$503,(_calc!$E$391-500)))&amp;". ")&amp;IF(LEN(IF(ISNUMBER(INDEX('My equipment'!$J$4:$J$503,(_calc!$E$391-500))),TEXT(INDEX('My equipment'!$J$4:$J$503,(_calc!$E$391-500)),"yyyy-mm-dd"),""))=0,"","Parts end: "&amp;IF(ISNUMBER(INDEX('My equipment'!$J$4:$J$503,(_calc!$E$391-500))),TEXT(INDEX('My equipment'!$J$4:$J$503,(_calc!$E$391-500)),"yyyy-mm-dd"),"")&amp;". ")&amp;IF(LEN(IF(ISNUMBER(INDEX('My equipment'!$L$4:$L$503,(_calc!$E$391-500))),TEXT(INDEX('My equipment'!$L$4:$L$503,(_calc!$E$391-500)),"yyyy-mm-dd"),""))=0,"","Labor end: "&amp;IF(ISNUMBER(INDEX('My equipment'!$L$4:$L$503,(_calc!$E$391-500))),TEXT(INDEX('My equipment'!$L$4:$L$503,(_calc!$E$391-500)),"yyyy-mm-dd"),"")&amp;". ")&amp;IF(LEN(IF(ISNUMBER(INDEX('My equipment'!$P$4:$P$503,(_calc!$E$391-500))),TEXT(INDEX('My equipment'!$P$4:$P$503,(_calc!$E$391-500)),"yyyy-mm-dd"),""))=0,"","Check by: "&amp;IF(ISNUMBER(INDEX('My equipment'!$P$4:$P$503,(_calc!$E$391-500))),TEXT(INDEX('My equipment'!$P$4:$P$503,(_calc!$E$391-500)),"yyyy-mm-dd"),"")&amp;". ")&amp;IF(LEN(IF(LEN(INDEX('My equipment'!$Q$4:$Q$503,(_calc!$E$391-500)))=0,"",INDEX('My equipment'!$Q$4:$Q$503,(_calc!$E$391-500))))=0,"","Claim status: "&amp;IF(LEN(INDEX('My equipment'!$Q$4:$Q$503,(_calc!$E$391-500)))=0,"",INDEX('My equipment'!$Q$4:$Q$503,(_calc!$E$391-500)))&amp;". ")&amp;IF(LEN(IF(LEN(INDEX('My equipment'!$R$4:$R$503,(_calc!$E$391-500)))=0,"",INDEX('My equipment'!$R$4:$R$503,(_calc!$E$391-500))))=0,"","Claims contact: "&amp;IF(LEN(INDEX('My equipment'!$R$4:$R$503,(_calc!$E$391-500)))=0,"",INDEX('My equipment'!$R$4:$R$503,(_calc!$E$391-500)))&amp;". ")&amp;IF(LEN(IF(LEN(INDEX('My equipment'!$S$4:$S$503,(_calc!$E$391-500)))=0,"",INDEX('My equipment'!$S$4:$S$503,(_calc!$E$391-500))))=0,"","Claims email: "&amp;IF(LEN(INDEX('My equipment'!$S$4:$S$503,(_calc!$E$391-500)))=0,"",INDEX('My equipment'!$S$4:$S$503,(_calc!$E$391-500)))&amp;". ")&amp;IF(LEN(IF(LEN(INDEX('My equipment'!$U$4:$U$503,(_calc!$E$391-500)))=0,"",INDEX('My equipment'!$U$4:$U$503,(_calc!$E$391-500))))=0,"","Registered: "&amp;IF(LEN(INDEX('My equipment'!$U$4:$U$503,(_calc!$E$391-500)))=0,"",INDEX('My equipment'!$U$4:$U$503,(_calc!$E$391-500)))&amp;". ")&amp;IF(LEN(IF(LEN(INDEX('My equipment'!$V$4:$V$503,(_calc!$E$391-500)))=0,"",INDEX('My equipment'!$V$4:$V$503,(_calc!$E$391-500))))=0,"","Proof on file: "&amp;IF(LEN(INDEX('My equipment'!$V$4:$V$503,(_calc!$E$391-500)))=0,"",INDEX('My equipment'!$V$4:$V$503,(_calc!$E$391-500)))&amp;". ")&amp;IF(LEN(IF(LEN(INDEX('My equipment'!$W$4:$W$503,(_calc!$E$391-500)))=0,"",INDEX('My equipment'!$W$4:$W$503,(_calc!$E$391-500))))=0,"","Claim ref: "&amp;IF(LEN(INDEX('My equipment'!$W$4:$W$503,(_calc!$E$391-500)))=0,"",INDEX('My equipment'!$W$4:$W$503,(_calc!$E$391-500)))&amp;". ")&amp;IF(LEN(IF(LEN(INDEX('My equipment'!$Y$4:$Y$503,(_calc!$E$391-500)))=0,"",INDEX('My equipment'!$Y$4:$Y$503,(_calc!$E$391-500))))=0,"",IF(LEN(INDEX('My equipment'!$Y$4:$Y$503,(_calc!$E$391-500)))=0,"",INDEX('My equipment'!$Y$4:$Y$503,(_calc!$E$391-500)))))))</f>
        <v/>
      </c>
      <c r="G389" s="54">
        <f>IF(_calc!$E$391="","",IF(_calc!$E$391&lt;=500,"",IF(LEN(INDEX('My equipment'!$X$4:$X$503,(_calc!$E$391-500)))=0,"",INDEX('My equipment'!$X$4:$X$503,(_calc!$E$391-500)))))</f>
        <v/>
      </c>
      <c r="K389" s="54">
        <f>IF(_calc!$E$391="","",IF(_calc!$E$391&lt;=500,"",IF(LEN(INDEX('My equipment'!$T$4:$T$503,(_calc!$E$391-500)))=0,"",INDEX('My equipment'!$T$4:$T$503,(_calc!$E$391-500)))))</f>
        <v/>
      </c>
    </row>
    <row r="390">
      <c r="A390" s="54">
        <f>IF(_calc!$E$392="","",IF(_calc!$E$392&lt;=500,"Warranty – "&amp;IF(LEN(INDEX('Dealer pipeline'!$C$4:$C$503,_calc!$E$392))=0,"",INDEX('Dealer pipeline'!$C$4:$C$503,_calc!$E$392))&amp;" – "&amp;IF(LEN(INDEX('Dealer pipeline'!$D$4:$D$503,_calc!$E$392))=0,"",INDEX('Dealer pipeline'!$D$4:$D$503,_calc!$E$392))&amp;" – "&amp;IF(LEN(INDEX('Dealer pipeline'!$A$4:$A$503,_calc!$E$392))=0,"",INDEX('Dealer pipeline'!$A$4:$A$503,_calc!$E$392)),"Warranty – "&amp;IF(LEN(INDEX('My equipment'!$A$4:$A$503,(_calc!$E$392-500)))=0,"",INDEX('My equipment'!$A$4:$A$503,(_calc!$E$392-500)))&amp;" – "&amp;IF(LEN(INDEX('My equipment'!$D$4:$D$503,(_calc!$E$392-500)))=0,"",INDEX('My equipment'!$D$4:$D$503,(_calc!$E$392-500)))))</f>
        <v/>
      </c>
      <c r="B390" s="54">
        <f>IF(_calc!$E$392="","",IF(_calc!$E$392&lt;=500,IF(ISNUMBER(INDEX('Dealer pipeline'!$M$4:$M$503,_calc!$E$392)),TEXT(INDEX('Dealer pipeline'!$M$4:$M$503,_calc!$E$392),"yyyy-mm-dd"),""),IF(ISNUMBER(INDEX('My equipment'!$M$4:$M$503,(_calc!$E$392-500))),TEXT(INDEX('My equipment'!$M$4:$M$503,(_calc!$E$392-500)),"yyyy-mm-dd"),"")))</f>
        <v/>
      </c>
      <c r="C390" s="54">
        <f>IF(_calc!$E$392="","",IF(_calc!$E$392&lt;=500,"Warranty","Warranty"))</f>
        <v/>
      </c>
      <c r="D390" s="54">
        <f>IF(_calc!$E$392="","",IF(_calc!$E$392&lt;=500,IF(ISNUMBER(INDEX('Dealer pipeline'!$H$4:$H$503,_calc!$E$392)),TEXT(INDEX('Dealer pipeline'!$H$4:$H$503,_calc!$E$392),"yyyy-mm-dd"),""),IF(ISNUMBER(INDEX('My equipment'!$H$4:$H$503,(_calc!$E$392-500))),TEXT(INDEX('My equipment'!$H$4:$H$503,(_calc!$E$392-500)),"yyyy-mm-dd"),"")))</f>
        <v/>
      </c>
      <c r="F390" s="54">
        <f>IF(_calc!$E$392="","",IF(_calc!$E$392&lt;=500,TRIM(IF(LEN(IF(LEN(INDEX('Dealer pipeline'!$A$4:$A$503,_calc!$E$392))=0,"",INDEX('Dealer pipeline'!$A$4:$A$503,_calc!$E$392)))=0,"","Customer: "&amp;IF(LEN(INDEX('Dealer pipeline'!$A$4:$A$503,_calc!$E$392))=0,"",INDEX('Dealer pipeline'!$A$4:$A$503,_calc!$E$392))&amp;". ")&amp;IF(LEN(IF(LEN(INDEX('Dealer pipeline'!$B$4:$B$503,_calc!$E$392))=0,"",INDEX('Dealer pipeline'!$B$4:$B$503,_calc!$E$392)))=0,"","Contact: "&amp;IF(LEN(INDEX('Dealer pipeline'!$B$4:$B$503,_calc!$E$392))=0,"",INDEX('Dealer pipeline'!$B$4:$B$503,_calc!$E$392))&amp;". ")&amp;IF(LEN(IF(LEN(INDEX('Dealer pipeline'!$D$4:$D$503,_calc!$E$392))=0,"",INDEX('Dealer pipeline'!$D$4:$D$503,_calc!$E$392)))=0,"","Serial: "&amp;IF(LEN(INDEX('Dealer pipeline'!$D$4:$D$503,_calc!$E$392))=0,"",INDEX('Dealer pipeline'!$D$4:$D$503,_calc!$E$392))&amp;". ")&amp;IF(LEN(IF(ISNUMBER(INDEX('Dealer pipeline'!$J$4:$J$503,_calc!$E$392)),TEXT(INDEX('Dealer pipeline'!$J$4:$J$503,_calc!$E$392),"yyyy-mm-dd"),""))=0,"","Parts end: "&amp;IF(ISNUMBER(INDEX('Dealer pipeline'!$J$4:$J$503,_calc!$E$392)),TEXT(INDEX('Dealer pipeline'!$J$4:$J$503,_calc!$E$392),"yyyy-mm-dd"),"")&amp;". ")&amp;IF(LEN(IF(ISNUMBER(INDEX('Dealer pipeline'!$L$4:$L$503,_calc!$E$392)),TEXT(INDEX('Dealer pipeline'!$L$4:$L$503,_calc!$E$392),"yyyy-mm-dd"),""))=0,"","Labor end: "&amp;IF(ISNUMBER(INDEX('Dealer pipeline'!$L$4:$L$503,_calc!$E$392)),TEXT(INDEX('Dealer pipeline'!$L$4:$L$503,_calc!$E$392),"yyyy-mm-dd"),"")&amp;". ")&amp;IF(LEN(IF(LEN(INDEX('Dealer pipeline'!$Q$4:$Q$503,_calc!$E$392))=0,"",INDEX('Dealer pipeline'!$Q$4:$Q$503,_calc!$E$392)))=0,"","Status: "&amp;IF(LEN(INDEX('Dealer pipeline'!$Q$4:$Q$503,_calc!$E$392))=0,"",INDEX('Dealer pipeline'!$Q$4:$Q$503,_calc!$E$392))&amp;". ")&amp;IF(LEN(IF(LEN(INDEX('Dealer pipeline'!$P$4:$P$503,_calc!$E$392))=0,"",INDEX('Dealer pipeline'!$P$4:$P$503,_calc!$E$392)))=0,"","Last touch: "&amp;IF(LEN(INDEX('Dealer pipeline'!$P$4:$P$503,_calc!$E$392))=0,"",INDEX('Dealer pipeline'!$P$4:$P$503,_calc!$E$392))&amp;". ")&amp;IF(LEN(IF(LEN(INDEX('Dealer pipeline'!$R$4:$R$503,_calc!$E$392))=0,"",INDEX('Dealer pipeline'!$R$4:$R$503,_calc!$E$392)))=0,"","Owner: "&amp;IF(LEN(INDEX('Dealer pipeline'!$R$4:$R$503,_calc!$E$392))=0,"",INDEX('Dealer pipeline'!$R$4:$R$503,_calc!$E$392))&amp;". ")&amp;IF(LEN(IF(LEN(INDEX('Dealer pipeline'!$S$4:$S$503,_calc!$E$392))=0,"",INDEX('Dealer pipeline'!$S$4:$S$503,_calc!$E$392)))=0,"","Backup: "&amp;IF(LEN(INDEX('Dealer pipeline'!$S$4:$S$503,_calc!$E$392))=0,"",INDEX('Dealer pipeline'!$S$4:$S$503,_calc!$E$392))&amp;". ")&amp;IF(LEN(IF(LEN(INDEX('Dealer pipeline'!$T$4:$T$503,_calc!$E$392))=0,"",INDEX('Dealer pipeline'!$T$4:$T$503,_calc!$E$392)))=0,"",IF(LEN(INDEX('Dealer pipeline'!$T$4:$T$503,_calc!$E$392))=0,"",INDEX('Dealer pipeline'!$T$4:$T$503,_calc!$E$392)))),TRIM(IF(LEN(IF(LEN(INDEX('My equipment'!$C$4:$C$503,(_calc!$E$392-500)))=0,"",INDEX('My equipment'!$C$4:$C$503,(_calc!$E$392-500))))=0,"","Model: "&amp;IF(LEN(INDEX('My equipment'!$C$4:$C$503,(_calc!$E$392-500)))=0,"",INDEX('My equipment'!$C$4:$C$503,(_calc!$E$392-500)))&amp;". ")&amp;IF(LEN(IF(LEN(INDEX('My equipment'!$D$4:$D$503,(_calc!$E$392-500)))=0,"",INDEX('My equipment'!$D$4:$D$503,(_calc!$E$392-500))))=0,"","Serial: "&amp;IF(LEN(INDEX('My equipment'!$D$4:$D$503,(_calc!$E$392-500)))=0,"",INDEX('My equipment'!$D$4:$D$503,(_calc!$E$392-500)))&amp;". ")&amp;IF(LEN(IF(ISNUMBER(INDEX('My equipment'!$J$4:$J$503,(_calc!$E$392-500))),TEXT(INDEX('My equipment'!$J$4:$J$503,(_calc!$E$392-500)),"yyyy-mm-dd"),""))=0,"","Parts end: "&amp;IF(ISNUMBER(INDEX('My equipment'!$J$4:$J$503,(_calc!$E$392-500))),TEXT(INDEX('My equipment'!$J$4:$J$503,(_calc!$E$392-500)),"yyyy-mm-dd"),"")&amp;". ")&amp;IF(LEN(IF(ISNUMBER(INDEX('My equipment'!$L$4:$L$503,(_calc!$E$392-500))),TEXT(INDEX('My equipment'!$L$4:$L$503,(_calc!$E$392-500)),"yyyy-mm-dd"),""))=0,"","Labor end: "&amp;IF(ISNUMBER(INDEX('My equipment'!$L$4:$L$503,(_calc!$E$392-500))),TEXT(INDEX('My equipment'!$L$4:$L$503,(_calc!$E$392-500)),"yyyy-mm-dd"),"")&amp;". ")&amp;IF(LEN(IF(ISNUMBER(INDEX('My equipment'!$P$4:$P$503,(_calc!$E$392-500))),TEXT(INDEX('My equipment'!$P$4:$P$503,(_calc!$E$392-500)),"yyyy-mm-dd"),""))=0,"","Check by: "&amp;IF(ISNUMBER(INDEX('My equipment'!$P$4:$P$503,(_calc!$E$392-500))),TEXT(INDEX('My equipment'!$P$4:$P$503,(_calc!$E$392-500)),"yyyy-mm-dd"),"")&amp;". ")&amp;IF(LEN(IF(LEN(INDEX('My equipment'!$Q$4:$Q$503,(_calc!$E$392-500)))=0,"",INDEX('My equipment'!$Q$4:$Q$503,(_calc!$E$392-500))))=0,"","Claim status: "&amp;IF(LEN(INDEX('My equipment'!$Q$4:$Q$503,(_calc!$E$392-500)))=0,"",INDEX('My equipment'!$Q$4:$Q$503,(_calc!$E$392-500)))&amp;". ")&amp;IF(LEN(IF(LEN(INDEX('My equipment'!$R$4:$R$503,(_calc!$E$392-500)))=0,"",INDEX('My equipment'!$R$4:$R$503,(_calc!$E$392-500))))=0,"","Claims contact: "&amp;IF(LEN(INDEX('My equipment'!$R$4:$R$503,(_calc!$E$392-500)))=0,"",INDEX('My equipment'!$R$4:$R$503,(_calc!$E$392-500)))&amp;". ")&amp;IF(LEN(IF(LEN(INDEX('My equipment'!$S$4:$S$503,(_calc!$E$392-500)))=0,"",INDEX('My equipment'!$S$4:$S$503,(_calc!$E$392-500))))=0,"","Claims email: "&amp;IF(LEN(INDEX('My equipment'!$S$4:$S$503,(_calc!$E$392-500)))=0,"",INDEX('My equipment'!$S$4:$S$503,(_calc!$E$392-500)))&amp;". ")&amp;IF(LEN(IF(LEN(INDEX('My equipment'!$U$4:$U$503,(_calc!$E$392-500)))=0,"",INDEX('My equipment'!$U$4:$U$503,(_calc!$E$392-500))))=0,"","Registered: "&amp;IF(LEN(INDEX('My equipment'!$U$4:$U$503,(_calc!$E$392-500)))=0,"",INDEX('My equipment'!$U$4:$U$503,(_calc!$E$392-500)))&amp;". ")&amp;IF(LEN(IF(LEN(INDEX('My equipment'!$V$4:$V$503,(_calc!$E$392-500)))=0,"",INDEX('My equipment'!$V$4:$V$503,(_calc!$E$392-500))))=0,"","Proof on file: "&amp;IF(LEN(INDEX('My equipment'!$V$4:$V$503,(_calc!$E$392-500)))=0,"",INDEX('My equipment'!$V$4:$V$503,(_calc!$E$392-500)))&amp;". ")&amp;IF(LEN(IF(LEN(INDEX('My equipment'!$W$4:$W$503,(_calc!$E$392-500)))=0,"",INDEX('My equipment'!$W$4:$W$503,(_calc!$E$392-500))))=0,"","Claim ref: "&amp;IF(LEN(INDEX('My equipment'!$W$4:$W$503,(_calc!$E$392-500)))=0,"",INDEX('My equipment'!$W$4:$W$503,(_calc!$E$392-500)))&amp;". ")&amp;IF(LEN(IF(LEN(INDEX('My equipment'!$Y$4:$Y$503,(_calc!$E$392-500)))=0,"",INDEX('My equipment'!$Y$4:$Y$503,(_calc!$E$392-500))))=0,"",IF(LEN(INDEX('My equipment'!$Y$4:$Y$503,(_calc!$E$392-500)))=0,"",INDEX('My equipment'!$Y$4:$Y$503,(_calc!$E$392-500)))))))</f>
        <v/>
      </c>
      <c r="G390" s="54">
        <f>IF(_calc!$E$392="","",IF(_calc!$E$392&lt;=500,"",IF(LEN(INDEX('My equipment'!$X$4:$X$503,(_calc!$E$392-500)))=0,"",INDEX('My equipment'!$X$4:$X$503,(_calc!$E$392-500)))))</f>
        <v/>
      </c>
      <c r="K390" s="54">
        <f>IF(_calc!$E$392="","",IF(_calc!$E$392&lt;=500,"",IF(LEN(INDEX('My equipment'!$T$4:$T$503,(_calc!$E$392-500)))=0,"",INDEX('My equipment'!$T$4:$T$503,(_calc!$E$392-500)))))</f>
        <v/>
      </c>
    </row>
    <row r="391">
      <c r="A391" s="54">
        <f>IF(_calc!$E$393="","",IF(_calc!$E$393&lt;=500,"Warranty – "&amp;IF(LEN(INDEX('Dealer pipeline'!$C$4:$C$503,_calc!$E$393))=0,"",INDEX('Dealer pipeline'!$C$4:$C$503,_calc!$E$393))&amp;" – "&amp;IF(LEN(INDEX('Dealer pipeline'!$D$4:$D$503,_calc!$E$393))=0,"",INDEX('Dealer pipeline'!$D$4:$D$503,_calc!$E$393))&amp;" – "&amp;IF(LEN(INDEX('Dealer pipeline'!$A$4:$A$503,_calc!$E$393))=0,"",INDEX('Dealer pipeline'!$A$4:$A$503,_calc!$E$393)),"Warranty – "&amp;IF(LEN(INDEX('My equipment'!$A$4:$A$503,(_calc!$E$393-500)))=0,"",INDEX('My equipment'!$A$4:$A$503,(_calc!$E$393-500)))&amp;" – "&amp;IF(LEN(INDEX('My equipment'!$D$4:$D$503,(_calc!$E$393-500)))=0,"",INDEX('My equipment'!$D$4:$D$503,(_calc!$E$393-500)))))</f>
        <v/>
      </c>
      <c r="B391" s="54">
        <f>IF(_calc!$E$393="","",IF(_calc!$E$393&lt;=500,IF(ISNUMBER(INDEX('Dealer pipeline'!$M$4:$M$503,_calc!$E$393)),TEXT(INDEX('Dealer pipeline'!$M$4:$M$503,_calc!$E$393),"yyyy-mm-dd"),""),IF(ISNUMBER(INDEX('My equipment'!$M$4:$M$503,(_calc!$E$393-500))),TEXT(INDEX('My equipment'!$M$4:$M$503,(_calc!$E$393-500)),"yyyy-mm-dd"),"")))</f>
        <v/>
      </c>
      <c r="C391" s="54">
        <f>IF(_calc!$E$393="","",IF(_calc!$E$393&lt;=500,"Warranty","Warranty"))</f>
        <v/>
      </c>
      <c r="D391" s="54">
        <f>IF(_calc!$E$393="","",IF(_calc!$E$393&lt;=500,IF(ISNUMBER(INDEX('Dealer pipeline'!$H$4:$H$503,_calc!$E$393)),TEXT(INDEX('Dealer pipeline'!$H$4:$H$503,_calc!$E$393),"yyyy-mm-dd"),""),IF(ISNUMBER(INDEX('My equipment'!$H$4:$H$503,(_calc!$E$393-500))),TEXT(INDEX('My equipment'!$H$4:$H$503,(_calc!$E$393-500)),"yyyy-mm-dd"),"")))</f>
        <v/>
      </c>
      <c r="F391" s="54">
        <f>IF(_calc!$E$393="","",IF(_calc!$E$393&lt;=500,TRIM(IF(LEN(IF(LEN(INDEX('Dealer pipeline'!$A$4:$A$503,_calc!$E$393))=0,"",INDEX('Dealer pipeline'!$A$4:$A$503,_calc!$E$393)))=0,"","Customer: "&amp;IF(LEN(INDEX('Dealer pipeline'!$A$4:$A$503,_calc!$E$393))=0,"",INDEX('Dealer pipeline'!$A$4:$A$503,_calc!$E$393))&amp;". ")&amp;IF(LEN(IF(LEN(INDEX('Dealer pipeline'!$B$4:$B$503,_calc!$E$393))=0,"",INDEX('Dealer pipeline'!$B$4:$B$503,_calc!$E$393)))=0,"","Contact: "&amp;IF(LEN(INDEX('Dealer pipeline'!$B$4:$B$503,_calc!$E$393))=0,"",INDEX('Dealer pipeline'!$B$4:$B$503,_calc!$E$393))&amp;". ")&amp;IF(LEN(IF(LEN(INDEX('Dealer pipeline'!$D$4:$D$503,_calc!$E$393))=0,"",INDEX('Dealer pipeline'!$D$4:$D$503,_calc!$E$393)))=0,"","Serial: "&amp;IF(LEN(INDEX('Dealer pipeline'!$D$4:$D$503,_calc!$E$393))=0,"",INDEX('Dealer pipeline'!$D$4:$D$503,_calc!$E$393))&amp;". ")&amp;IF(LEN(IF(ISNUMBER(INDEX('Dealer pipeline'!$J$4:$J$503,_calc!$E$393)),TEXT(INDEX('Dealer pipeline'!$J$4:$J$503,_calc!$E$393),"yyyy-mm-dd"),""))=0,"","Parts end: "&amp;IF(ISNUMBER(INDEX('Dealer pipeline'!$J$4:$J$503,_calc!$E$393)),TEXT(INDEX('Dealer pipeline'!$J$4:$J$503,_calc!$E$393),"yyyy-mm-dd"),"")&amp;". ")&amp;IF(LEN(IF(ISNUMBER(INDEX('Dealer pipeline'!$L$4:$L$503,_calc!$E$393)),TEXT(INDEX('Dealer pipeline'!$L$4:$L$503,_calc!$E$393),"yyyy-mm-dd"),""))=0,"","Labor end: "&amp;IF(ISNUMBER(INDEX('Dealer pipeline'!$L$4:$L$503,_calc!$E$393)),TEXT(INDEX('Dealer pipeline'!$L$4:$L$503,_calc!$E$393),"yyyy-mm-dd"),"")&amp;". ")&amp;IF(LEN(IF(LEN(INDEX('Dealer pipeline'!$Q$4:$Q$503,_calc!$E$393))=0,"",INDEX('Dealer pipeline'!$Q$4:$Q$503,_calc!$E$393)))=0,"","Status: "&amp;IF(LEN(INDEX('Dealer pipeline'!$Q$4:$Q$503,_calc!$E$393))=0,"",INDEX('Dealer pipeline'!$Q$4:$Q$503,_calc!$E$393))&amp;". ")&amp;IF(LEN(IF(LEN(INDEX('Dealer pipeline'!$P$4:$P$503,_calc!$E$393))=0,"",INDEX('Dealer pipeline'!$P$4:$P$503,_calc!$E$393)))=0,"","Last touch: "&amp;IF(LEN(INDEX('Dealer pipeline'!$P$4:$P$503,_calc!$E$393))=0,"",INDEX('Dealer pipeline'!$P$4:$P$503,_calc!$E$393))&amp;". ")&amp;IF(LEN(IF(LEN(INDEX('Dealer pipeline'!$R$4:$R$503,_calc!$E$393))=0,"",INDEX('Dealer pipeline'!$R$4:$R$503,_calc!$E$393)))=0,"","Owner: "&amp;IF(LEN(INDEX('Dealer pipeline'!$R$4:$R$503,_calc!$E$393))=0,"",INDEX('Dealer pipeline'!$R$4:$R$503,_calc!$E$393))&amp;". ")&amp;IF(LEN(IF(LEN(INDEX('Dealer pipeline'!$S$4:$S$503,_calc!$E$393))=0,"",INDEX('Dealer pipeline'!$S$4:$S$503,_calc!$E$393)))=0,"","Backup: "&amp;IF(LEN(INDEX('Dealer pipeline'!$S$4:$S$503,_calc!$E$393))=0,"",INDEX('Dealer pipeline'!$S$4:$S$503,_calc!$E$393))&amp;". ")&amp;IF(LEN(IF(LEN(INDEX('Dealer pipeline'!$T$4:$T$503,_calc!$E$393))=0,"",INDEX('Dealer pipeline'!$T$4:$T$503,_calc!$E$393)))=0,"",IF(LEN(INDEX('Dealer pipeline'!$T$4:$T$503,_calc!$E$393))=0,"",INDEX('Dealer pipeline'!$T$4:$T$503,_calc!$E$393)))),TRIM(IF(LEN(IF(LEN(INDEX('My equipment'!$C$4:$C$503,(_calc!$E$393-500)))=0,"",INDEX('My equipment'!$C$4:$C$503,(_calc!$E$393-500))))=0,"","Model: "&amp;IF(LEN(INDEX('My equipment'!$C$4:$C$503,(_calc!$E$393-500)))=0,"",INDEX('My equipment'!$C$4:$C$503,(_calc!$E$393-500)))&amp;". ")&amp;IF(LEN(IF(LEN(INDEX('My equipment'!$D$4:$D$503,(_calc!$E$393-500)))=0,"",INDEX('My equipment'!$D$4:$D$503,(_calc!$E$393-500))))=0,"","Serial: "&amp;IF(LEN(INDEX('My equipment'!$D$4:$D$503,(_calc!$E$393-500)))=0,"",INDEX('My equipment'!$D$4:$D$503,(_calc!$E$393-500)))&amp;". ")&amp;IF(LEN(IF(ISNUMBER(INDEX('My equipment'!$J$4:$J$503,(_calc!$E$393-500))),TEXT(INDEX('My equipment'!$J$4:$J$503,(_calc!$E$393-500)),"yyyy-mm-dd"),""))=0,"","Parts end: "&amp;IF(ISNUMBER(INDEX('My equipment'!$J$4:$J$503,(_calc!$E$393-500))),TEXT(INDEX('My equipment'!$J$4:$J$503,(_calc!$E$393-500)),"yyyy-mm-dd"),"")&amp;". ")&amp;IF(LEN(IF(ISNUMBER(INDEX('My equipment'!$L$4:$L$503,(_calc!$E$393-500))),TEXT(INDEX('My equipment'!$L$4:$L$503,(_calc!$E$393-500)),"yyyy-mm-dd"),""))=0,"","Labor end: "&amp;IF(ISNUMBER(INDEX('My equipment'!$L$4:$L$503,(_calc!$E$393-500))),TEXT(INDEX('My equipment'!$L$4:$L$503,(_calc!$E$393-500)),"yyyy-mm-dd"),"")&amp;". ")&amp;IF(LEN(IF(ISNUMBER(INDEX('My equipment'!$P$4:$P$503,(_calc!$E$393-500))),TEXT(INDEX('My equipment'!$P$4:$P$503,(_calc!$E$393-500)),"yyyy-mm-dd"),""))=0,"","Check by: "&amp;IF(ISNUMBER(INDEX('My equipment'!$P$4:$P$503,(_calc!$E$393-500))),TEXT(INDEX('My equipment'!$P$4:$P$503,(_calc!$E$393-500)),"yyyy-mm-dd"),"")&amp;". ")&amp;IF(LEN(IF(LEN(INDEX('My equipment'!$Q$4:$Q$503,(_calc!$E$393-500)))=0,"",INDEX('My equipment'!$Q$4:$Q$503,(_calc!$E$393-500))))=0,"","Claim status: "&amp;IF(LEN(INDEX('My equipment'!$Q$4:$Q$503,(_calc!$E$393-500)))=0,"",INDEX('My equipment'!$Q$4:$Q$503,(_calc!$E$393-500)))&amp;". ")&amp;IF(LEN(IF(LEN(INDEX('My equipment'!$R$4:$R$503,(_calc!$E$393-500)))=0,"",INDEX('My equipment'!$R$4:$R$503,(_calc!$E$393-500))))=0,"","Claims contact: "&amp;IF(LEN(INDEX('My equipment'!$R$4:$R$503,(_calc!$E$393-500)))=0,"",INDEX('My equipment'!$R$4:$R$503,(_calc!$E$393-500)))&amp;". ")&amp;IF(LEN(IF(LEN(INDEX('My equipment'!$S$4:$S$503,(_calc!$E$393-500)))=0,"",INDEX('My equipment'!$S$4:$S$503,(_calc!$E$393-500))))=0,"","Claims email: "&amp;IF(LEN(INDEX('My equipment'!$S$4:$S$503,(_calc!$E$393-500)))=0,"",INDEX('My equipment'!$S$4:$S$503,(_calc!$E$393-500)))&amp;". ")&amp;IF(LEN(IF(LEN(INDEX('My equipment'!$U$4:$U$503,(_calc!$E$393-500)))=0,"",INDEX('My equipment'!$U$4:$U$503,(_calc!$E$393-500))))=0,"","Registered: "&amp;IF(LEN(INDEX('My equipment'!$U$4:$U$503,(_calc!$E$393-500)))=0,"",INDEX('My equipment'!$U$4:$U$503,(_calc!$E$393-500)))&amp;". ")&amp;IF(LEN(IF(LEN(INDEX('My equipment'!$V$4:$V$503,(_calc!$E$393-500)))=0,"",INDEX('My equipment'!$V$4:$V$503,(_calc!$E$393-500))))=0,"","Proof on file: "&amp;IF(LEN(INDEX('My equipment'!$V$4:$V$503,(_calc!$E$393-500)))=0,"",INDEX('My equipment'!$V$4:$V$503,(_calc!$E$393-500)))&amp;". ")&amp;IF(LEN(IF(LEN(INDEX('My equipment'!$W$4:$W$503,(_calc!$E$393-500)))=0,"",INDEX('My equipment'!$W$4:$W$503,(_calc!$E$393-500))))=0,"","Claim ref: "&amp;IF(LEN(INDEX('My equipment'!$W$4:$W$503,(_calc!$E$393-500)))=0,"",INDEX('My equipment'!$W$4:$W$503,(_calc!$E$393-500)))&amp;". ")&amp;IF(LEN(IF(LEN(INDEX('My equipment'!$Y$4:$Y$503,(_calc!$E$393-500)))=0,"",INDEX('My equipment'!$Y$4:$Y$503,(_calc!$E$393-500))))=0,"",IF(LEN(INDEX('My equipment'!$Y$4:$Y$503,(_calc!$E$393-500)))=0,"",INDEX('My equipment'!$Y$4:$Y$503,(_calc!$E$393-500)))))))</f>
        <v/>
      </c>
      <c r="G391" s="54">
        <f>IF(_calc!$E$393="","",IF(_calc!$E$393&lt;=500,"",IF(LEN(INDEX('My equipment'!$X$4:$X$503,(_calc!$E$393-500)))=0,"",INDEX('My equipment'!$X$4:$X$503,(_calc!$E$393-500)))))</f>
        <v/>
      </c>
      <c r="K391" s="54">
        <f>IF(_calc!$E$393="","",IF(_calc!$E$393&lt;=500,"",IF(LEN(INDEX('My equipment'!$T$4:$T$503,(_calc!$E$393-500)))=0,"",INDEX('My equipment'!$T$4:$T$503,(_calc!$E$393-500)))))</f>
        <v/>
      </c>
    </row>
    <row r="392">
      <c r="A392" s="54">
        <f>IF(_calc!$E$394="","",IF(_calc!$E$394&lt;=500,"Warranty – "&amp;IF(LEN(INDEX('Dealer pipeline'!$C$4:$C$503,_calc!$E$394))=0,"",INDEX('Dealer pipeline'!$C$4:$C$503,_calc!$E$394))&amp;" – "&amp;IF(LEN(INDEX('Dealer pipeline'!$D$4:$D$503,_calc!$E$394))=0,"",INDEX('Dealer pipeline'!$D$4:$D$503,_calc!$E$394))&amp;" – "&amp;IF(LEN(INDEX('Dealer pipeline'!$A$4:$A$503,_calc!$E$394))=0,"",INDEX('Dealer pipeline'!$A$4:$A$503,_calc!$E$394)),"Warranty – "&amp;IF(LEN(INDEX('My equipment'!$A$4:$A$503,(_calc!$E$394-500)))=0,"",INDEX('My equipment'!$A$4:$A$503,(_calc!$E$394-500)))&amp;" – "&amp;IF(LEN(INDEX('My equipment'!$D$4:$D$503,(_calc!$E$394-500)))=0,"",INDEX('My equipment'!$D$4:$D$503,(_calc!$E$394-500)))))</f>
        <v/>
      </c>
      <c r="B392" s="54">
        <f>IF(_calc!$E$394="","",IF(_calc!$E$394&lt;=500,IF(ISNUMBER(INDEX('Dealer pipeline'!$M$4:$M$503,_calc!$E$394)),TEXT(INDEX('Dealer pipeline'!$M$4:$M$503,_calc!$E$394),"yyyy-mm-dd"),""),IF(ISNUMBER(INDEX('My equipment'!$M$4:$M$503,(_calc!$E$394-500))),TEXT(INDEX('My equipment'!$M$4:$M$503,(_calc!$E$394-500)),"yyyy-mm-dd"),"")))</f>
        <v/>
      </c>
      <c r="C392" s="54">
        <f>IF(_calc!$E$394="","",IF(_calc!$E$394&lt;=500,"Warranty","Warranty"))</f>
        <v/>
      </c>
      <c r="D392" s="54">
        <f>IF(_calc!$E$394="","",IF(_calc!$E$394&lt;=500,IF(ISNUMBER(INDEX('Dealer pipeline'!$H$4:$H$503,_calc!$E$394)),TEXT(INDEX('Dealer pipeline'!$H$4:$H$503,_calc!$E$394),"yyyy-mm-dd"),""),IF(ISNUMBER(INDEX('My equipment'!$H$4:$H$503,(_calc!$E$394-500))),TEXT(INDEX('My equipment'!$H$4:$H$503,(_calc!$E$394-500)),"yyyy-mm-dd"),"")))</f>
        <v/>
      </c>
      <c r="F392" s="54">
        <f>IF(_calc!$E$394="","",IF(_calc!$E$394&lt;=500,TRIM(IF(LEN(IF(LEN(INDEX('Dealer pipeline'!$A$4:$A$503,_calc!$E$394))=0,"",INDEX('Dealer pipeline'!$A$4:$A$503,_calc!$E$394)))=0,"","Customer: "&amp;IF(LEN(INDEX('Dealer pipeline'!$A$4:$A$503,_calc!$E$394))=0,"",INDEX('Dealer pipeline'!$A$4:$A$503,_calc!$E$394))&amp;". ")&amp;IF(LEN(IF(LEN(INDEX('Dealer pipeline'!$B$4:$B$503,_calc!$E$394))=0,"",INDEX('Dealer pipeline'!$B$4:$B$503,_calc!$E$394)))=0,"","Contact: "&amp;IF(LEN(INDEX('Dealer pipeline'!$B$4:$B$503,_calc!$E$394))=0,"",INDEX('Dealer pipeline'!$B$4:$B$503,_calc!$E$394))&amp;". ")&amp;IF(LEN(IF(LEN(INDEX('Dealer pipeline'!$D$4:$D$503,_calc!$E$394))=0,"",INDEX('Dealer pipeline'!$D$4:$D$503,_calc!$E$394)))=0,"","Serial: "&amp;IF(LEN(INDEX('Dealer pipeline'!$D$4:$D$503,_calc!$E$394))=0,"",INDEX('Dealer pipeline'!$D$4:$D$503,_calc!$E$394))&amp;". ")&amp;IF(LEN(IF(ISNUMBER(INDEX('Dealer pipeline'!$J$4:$J$503,_calc!$E$394)),TEXT(INDEX('Dealer pipeline'!$J$4:$J$503,_calc!$E$394),"yyyy-mm-dd"),""))=0,"","Parts end: "&amp;IF(ISNUMBER(INDEX('Dealer pipeline'!$J$4:$J$503,_calc!$E$394)),TEXT(INDEX('Dealer pipeline'!$J$4:$J$503,_calc!$E$394),"yyyy-mm-dd"),"")&amp;". ")&amp;IF(LEN(IF(ISNUMBER(INDEX('Dealer pipeline'!$L$4:$L$503,_calc!$E$394)),TEXT(INDEX('Dealer pipeline'!$L$4:$L$503,_calc!$E$394),"yyyy-mm-dd"),""))=0,"","Labor end: "&amp;IF(ISNUMBER(INDEX('Dealer pipeline'!$L$4:$L$503,_calc!$E$394)),TEXT(INDEX('Dealer pipeline'!$L$4:$L$503,_calc!$E$394),"yyyy-mm-dd"),"")&amp;". ")&amp;IF(LEN(IF(LEN(INDEX('Dealer pipeline'!$Q$4:$Q$503,_calc!$E$394))=0,"",INDEX('Dealer pipeline'!$Q$4:$Q$503,_calc!$E$394)))=0,"","Status: "&amp;IF(LEN(INDEX('Dealer pipeline'!$Q$4:$Q$503,_calc!$E$394))=0,"",INDEX('Dealer pipeline'!$Q$4:$Q$503,_calc!$E$394))&amp;". ")&amp;IF(LEN(IF(LEN(INDEX('Dealer pipeline'!$P$4:$P$503,_calc!$E$394))=0,"",INDEX('Dealer pipeline'!$P$4:$P$503,_calc!$E$394)))=0,"","Last touch: "&amp;IF(LEN(INDEX('Dealer pipeline'!$P$4:$P$503,_calc!$E$394))=0,"",INDEX('Dealer pipeline'!$P$4:$P$503,_calc!$E$394))&amp;". ")&amp;IF(LEN(IF(LEN(INDEX('Dealer pipeline'!$R$4:$R$503,_calc!$E$394))=0,"",INDEX('Dealer pipeline'!$R$4:$R$503,_calc!$E$394)))=0,"","Owner: "&amp;IF(LEN(INDEX('Dealer pipeline'!$R$4:$R$503,_calc!$E$394))=0,"",INDEX('Dealer pipeline'!$R$4:$R$503,_calc!$E$394))&amp;". ")&amp;IF(LEN(IF(LEN(INDEX('Dealer pipeline'!$S$4:$S$503,_calc!$E$394))=0,"",INDEX('Dealer pipeline'!$S$4:$S$503,_calc!$E$394)))=0,"","Backup: "&amp;IF(LEN(INDEX('Dealer pipeline'!$S$4:$S$503,_calc!$E$394))=0,"",INDEX('Dealer pipeline'!$S$4:$S$503,_calc!$E$394))&amp;". ")&amp;IF(LEN(IF(LEN(INDEX('Dealer pipeline'!$T$4:$T$503,_calc!$E$394))=0,"",INDEX('Dealer pipeline'!$T$4:$T$503,_calc!$E$394)))=0,"",IF(LEN(INDEX('Dealer pipeline'!$T$4:$T$503,_calc!$E$394))=0,"",INDEX('Dealer pipeline'!$T$4:$T$503,_calc!$E$394)))),TRIM(IF(LEN(IF(LEN(INDEX('My equipment'!$C$4:$C$503,(_calc!$E$394-500)))=0,"",INDEX('My equipment'!$C$4:$C$503,(_calc!$E$394-500))))=0,"","Model: "&amp;IF(LEN(INDEX('My equipment'!$C$4:$C$503,(_calc!$E$394-500)))=0,"",INDEX('My equipment'!$C$4:$C$503,(_calc!$E$394-500)))&amp;". ")&amp;IF(LEN(IF(LEN(INDEX('My equipment'!$D$4:$D$503,(_calc!$E$394-500)))=0,"",INDEX('My equipment'!$D$4:$D$503,(_calc!$E$394-500))))=0,"","Serial: "&amp;IF(LEN(INDEX('My equipment'!$D$4:$D$503,(_calc!$E$394-500)))=0,"",INDEX('My equipment'!$D$4:$D$503,(_calc!$E$394-500)))&amp;". ")&amp;IF(LEN(IF(ISNUMBER(INDEX('My equipment'!$J$4:$J$503,(_calc!$E$394-500))),TEXT(INDEX('My equipment'!$J$4:$J$503,(_calc!$E$394-500)),"yyyy-mm-dd"),""))=0,"","Parts end: "&amp;IF(ISNUMBER(INDEX('My equipment'!$J$4:$J$503,(_calc!$E$394-500))),TEXT(INDEX('My equipment'!$J$4:$J$503,(_calc!$E$394-500)),"yyyy-mm-dd"),"")&amp;". ")&amp;IF(LEN(IF(ISNUMBER(INDEX('My equipment'!$L$4:$L$503,(_calc!$E$394-500))),TEXT(INDEX('My equipment'!$L$4:$L$503,(_calc!$E$394-500)),"yyyy-mm-dd"),""))=0,"","Labor end: "&amp;IF(ISNUMBER(INDEX('My equipment'!$L$4:$L$503,(_calc!$E$394-500))),TEXT(INDEX('My equipment'!$L$4:$L$503,(_calc!$E$394-500)),"yyyy-mm-dd"),"")&amp;". ")&amp;IF(LEN(IF(ISNUMBER(INDEX('My equipment'!$P$4:$P$503,(_calc!$E$394-500))),TEXT(INDEX('My equipment'!$P$4:$P$503,(_calc!$E$394-500)),"yyyy-mm-dd"),""))=0,"","Check by: "&amp;IF(ISNUMBER(INDEX('My equipment'!$P$4:$P$503,(_calc!$E$394-500))),TEXT(INDEX('My equipment'!$P$4:$P$503,(_calc!$E$394-500)),"yyyy-mm-dd"),"")&amp;". ")&amp;IF(LEN(IF(LEN(INDEX('My equipment'!$Q$4:$Q$503,(_calc!$E$394-500)))=0,"",INDEX('My equipment'!$Q$4:$Q$503,(_calc!$E$394-500))))=0,"","Claim status: "&amp;IF(LEN(INDEX('My equipment'!$Q$4:$Q$503,(_calc!$E$394-500)))=0,"",INDEX('My equipment'!$Q$4:$Q$503,(_calc!$E$394-500)))&amp;". ")&amp;IF(LEN(IF(LEN(INDEX('My equipment'!$R$4:$R$503,(_calc!$E$394-500)))=0,"",INDEX('My equipment'!$R$4:$R$503,(_calc!$E$394-500))))=0,"","Claims contact: "&amp;IF(LEN(INDEX('My equipment'!$R$4:$R$503,(_calc!$E$394-500)))=0,"",INDEX('My equipment'!$R$4:$R$503,(_calc!$E$394-500)))&amp;". ")&amp;IF(LEN(IF(LEN(INDEX('My equipment'!$S$4:$S$503,(_calc!$E$394-500)))=0,"",INDEX('My equipment'!$S$4:$S$503,(_calc!$E$394-500))))=0,"","Claims email: "&amp;IF(LEN(INDEX('My equipment'!$S$4:$S$503,(_calc!$E$394-500)))=0,"",INDEX('My equipment'!$S$4:$S$503,(_calc!$E$394-500)))&amp;". ")&amp;IF(LEN(IF(LEN(INDEX('My equipment'!$U$4:$U$503,(_calc!$E$394-500)))=0,"",INDEX('My equipment'!$U$4:$U$503,(_calc!$E$394-500))))=0,"","Registered: "&amp;IF(LEN(INDEX('My equipment'!$U$4:$U$503,(_calc!$E$394-500)))=0,"",INDEX('My equipment'!$U$4:$U$503,(_calc!$E$394-500)))&amp;". ")&amp;IF(LEN(IF(LEN(INDEX('My equipment'!$V$4:$V$503,(_calc!$E$394-500)))=0,"",INDEX('My equipment'!$V$4:$V$503,(_calc!$E$394-500))))=0,"","Proof on file: "&amp;IF(LEN(INDEX('My equipment'!$V$4:$V$503,(_calc!$E$394-500)))=0,"",INDEX('My equipment'!$V$4:$V$503,(_calc!$E$394-500)))&amp;". ")&amp;IF(LEN(IF(LEN(INDEX('My equipment'!$W$4:$W$503,(_calc!$E$394-500)))=0,"",INDEX('My equipment'!$W$4:$W$503,(_calc!$E$394-500))))=0,"","Claim ref: "&amp;IF(LEN(INDEX('My equipment'!$W$4:$W$503,(_calc!$E$394-500)))=0,"",INDEX('My equipment'!$W$4:$W$503,(_calc!$E$394-500)))&amp;". ")&amp;IF(LEN(IF(LEN(INDEX('My equipment'!$Y$4:$Y$503,(_calc!$E$394-500)))=0,"",INDEX('My equipment'!$Y$4:$Y$503,(_calc!$E$394-500))))=0,"",IF(LEN(INDEX('My equipment'!$Y$4:$Y$503,(_calc!$E$394-500)))=0,"",INDEX('My equipment'!$Y$4:$Y$503,(_calc!$E$394-500)))))))</f>
        <v/>
      </c>
      <c r="G392" s="54">
        <f>IF(_calc!$E$394="","",IF(_calc!$E$394&lt;=500,"",IF(LEN(INDEX('My equipment'!$X$4:$X$503,(_calc!$E$394-500)))=0,"",INDEX('My equipment'!$X$4:$X$503,(_calc!$E$394-500)))))</f>
        <v/>
      </c>
      <c r="K392" s="54">
        <f>IF(_calc!$E$394="","",IF(_calc!$E$394&lt;=500,"",IF(LEN(INDEX('My equipment'!$T$4:$T$503,(_calc!$E$394-500)))=0,"",INDEX('My equipment'!$T$4:$T$503,(_calc!$E$394-500)))))</f>
        <v/>
      </c>
    </row>
    <row r="393">
      <c r="A393" s="54">
        <f>IF(_calc!$E$395="","",IF(_calc!$E$395&lt;=500,"Warranty – "&amp;IF(LEN(INDEX('Dealer pipeline'!$C$4:$C$503,_calc!$E$395))=0,"",INDEX('Dealer pipeline'!$C$4:$C$503,_calc!$E$395))&amp;" – "&amp;IF(LEN(INDEX('Dealer pipeline'!$D$4:$D$503,_calc!$E$395))=0,"",INDEX('Dealer pipeline'!$D$4:$D$503,_calc!$E$395))&amp;" – "&amp;IF(LEN(INDEX('Dealer pipeline'!$A$4:$A$503,_calc!$E$395))=0,"",INDEX('Dealer pipeline'!$A$4:$A$503,_calc!$E$395)),"Warranty – "&amp;IF(LEN(INDEX('My equipment'!$A$4:$A$503,(_calc!$E$395-500)))=0,"",INDEX('My equipment'!$A$4:$A$503,(_calc!$E$395-500)))&amp;" – "&amp;IF(LEN(INDEX('My equipment'!$D$4:$D$503,(_calc!$E$395-500)))=0,"",INDEX('My equipment'!$D$4:$D$503,(_calc!$E$395-500)))))</f>
        <v/>
      </c>
      <c r="B393" s="54">
        <f>IF(_calc!$E$395="","",IF(_calc!$E$395&lt;=500,IF(ISNUMBER(INDEX('Dealer pipeline'!$M$4:$M$503,_calc!$E$395)),TEXT(INDEX('Dealer pipeline'!$M$4:$M$503,_calc!$E$395),"yyyy-mm-dd"),""),IF(ISNUMBER(INDEX('My equipment'!$M$4:$M$503,(_calc!$E$395-500))),TEXT(INDEX('My equipment'!$M$4:$M$503,(_calc!$E$395-500)),"yyyy-mm-dd"),"")))</f>
        <v/>
      </c>
      <c r="C393" s="54">
        <f>IF(_calc!$E$395="","",IF(_calc!$E$395&lt;=500,"Warranty","Warranty"))</f>
        <v/>
      </c>
      <c r="D393" s="54">
        <f>IF(_calc!$E$395="","",IF(_calc!$E$395&lt;=500,IF(ISNUMBER(INDEX('Dealer pipeline'!$H$4:$H$503,_calc!$E$395)),TEXT(INDEX('Dealer pipeline'!$H$4:$H$503,_calc!$E$395),"yyyy-mm-dd"),""),IF(ISNUMBER(INDEX('My equipment'!$H$4:$H$503,(_calc!$E$395-500))),TEXT(INDEX('My equipment'!$H$4:$H$503,(_calc!$E$395-500)),"yyyy-mm-dd"),"")))</f>
        <v/>
      </c>
      <c r="F393" s="54">
        <f>IF(_calc!$E$395="","",IF(_calc!$E$395&lt;=500,TRIM(IF(LEN(IF(LEN(INDEX('Dealer pipeline'!$A$4:$A$503,_calc!$E$395))=0,"",INDEX('Dealer pipeline'!$A$4:$A$503,_calc!$E$395)))=0,"","Customer: "&amp;IF(LEN(INDEX('Dealer pipeline'!$A$4:$A$503,_calc!$E$395))=0,"",INDEX('Dealer pipeline'!$A$4:$A$503,_calc!$E$395))&amp;". ")&amp;IF(LEN(IF(LEN(INDEX('Dealer pipeline'!$B$4:$B$503,_calc!$E$395))=0,"",INDEX('Dealer pipeline'!$B$4:$B$503,_calc!$E$395)))=0,"","Contact: "&amp;IF(LEN(INDEX('Dealer pipeline'!$B$4:$B$503,_calc!$E$395))=0,"",INDEX('Dealer pipeline'!$B$4:$B$503,_calc!$E$395))&amp;". ")&amp;IF(LEN(IF(LEN(INDEX('Dealer pipeline'!$D$4:$D$503,_calc!$E$395))=0,"",INDEX('Dealer pipeline'!$D$4:$D$503,_calc!$E$395)))=0,"","Serial: "&amp;IF(LEN(INDEX('Dealer pipeline'!$D$4:$D$503,_calc!$E$395))=0,"",INDEX('Dealer pipeline'!$D$4:$D$503,_calc!$E$395))&amp;". ")&amp;IF(LEN(IF(ISNUMBER(INDEX('Dealer pipeline'!$J$4:$J$503,_calc!$E$395)),TEXT(INDEX('Dealer pipeline'!$J$4:$J$503,_calc!$E$395),"yyyy-mm-dd"),""))=0,"","Parts end: "&amp;IF(ISNUMBER(INDEX('Dealer pipeline'!$J$4:$J$503,_calc!$E$395)),TEXT(INDEX('Dealer pipeline'!$J$4:$J$503,_calc!$E$395),"yyyy-mm-dd"),"")&amp;". ")&amp;IF(LEN(IF(ISNUMBER(INDEX('Dealer pipeline'!$L$4:$L$503,_calc!$E$395)),TEXT(INDEX('Dealer pipeline'!$L$4:$L$503,_calc!$E$395),"yyyy-mm-dd"),""))=0,"","Labor end: "&amp;IF(ISNUMBER(INDEX('Dealer pipeline'!$L$4:$L$503,_calc!$E$395)),TEXT(INDEX('Dealer pipeline'!$L$4:$L$503,_calc!$E$395),"yyyy-mm-dd"),"")&amp;". ")&amp;IF(LEN(IF(LEN(INDEX('Dealer pipeline'!$Q$4:$Q$503,_calc!$E$395))=0,"",INDEX('Dealer pipeline'!$Q$4:$Q$503,_calc!$E$395)))=0,"","Status: "&amp;IF(LEN(INDEX('Dealer pipeline'!$Q$4:$Q$503,_calc!$E$395))=0,"",INDEX('Dealer pipeline'!$Q$4:$Q$503,_calc!$E$395))&amp;". ")&amp;IF(LEN(IF(LEN(INDEX('Dealer pipeline'!$P$4:$P$503,_calc!$E$395))=0,"",INDEX('Dealer pipeline'!$P$4:$P$503,_calc!$E$395)))=0,"","Last touch: "&amp;IF(LEN(INDEX('Dealer pipeline'!$P$4:$P$503,_calc!$E$395))=0,"",INDEX('Dealer pipeline'!$P$4:$P$503,_calc!$E$395))&amp;". ")&amp;IF(LEN(IF(LEN(INDEX('Dealer pipeline'!$R$4:$R$503,_calc!$E$395))=0,"",INDEX('Dealer pipeline'!$R$4:$R$503,_calc!$E$395)))=0,"","Owner: "&amp;IF(LEN(INDEX('Dealer pipeline'!$R$4:$R$503,_calc!$E$395))=0,"",INDEX('Dealer pipeline'!$R$4:$R$503,_calc!$E$395))&amp;". ")&amp;IF(LEN(IF(LEN(INDEX('Dealer pipeline'!$S$4:$S$503,_calc!$E$395))=0,"",INDEX('Dealer pipeline'!$S$4:$S$503,_calc!$E$395)))=0,"","Backup: "&amp;IF(LEN(INDEX('Dealer pipeline'!$S$4:$S$503,_calc!$E$395))=0,"",INDEX('Dealer pipeline'!$S$4:$S$503,_calc!$E$395))&amp;". ")&amp;IF(LEN(IF(LEN(INDEX('Dealer pipeline'!$T$4:$T$503,_calc!$E$395))=0,"",INDEX('Dealer pipeline'!$T$4:$T$503,_calc!$E$395)))=0,"",IF(LEN(INDEX('Dealer pipeline'!$T$4:$T$503,_calc!$E$395))=0,"",INDEX('Dealer pipeline'!$T$4:$T$503,_calc!$E$395)))),TRIM(IF(LEN(IF(LEN(INDEX('My equipment'!$C$4:$C$503,(_calc!$E$395-500)))=0,"",INDEX('My equipment'!$C$4:$C$503,(_calc!$E$395-500))))=0,"","Model: "&amp;IF(LEN(INDEX('My equipment'!$C$4:$C$503,(_calc!$E$395-500)))=0,"",INDEX('My equipment'!$C$4:$C$503,(_calc!$E$395-500)))&amp;". ")&amp;IF(LEN(IF(LEN(INDEX('My equipment'!$D$4:$D$503,(_calc!$E$395-500)))=0,"",INDEX('My equipment'!$D$4:$D$503,(_calc!$E$395-500))))=0,"","Serial: "&amp;IF(LEN(INDEX('My equipment'!$D$4:$D$503,(_calc!$E$395-500)))=0,"",INDEX('My equipment'!$D$4:$D$503,(_calc!$E$395-500)))&amp;". ")&amp;IF(LEN(IF(ISNUMBER(INDEX('My equipment'!$J$4:$J$503,(_calc!$E$395-500))),TEXT(INDEX('My equipment'!$J$4:$J$503,(_calc!$E$395-500)),"yyyy-mm-dd"),""))=0,"","Parts end: "&amp;IF(ISNUMBER(INDEX('My equipment'!$J$4:$J$503,(_calc!$E$395-500))),TEXT(INDEX('My equipment'!$J$4:$J$503,(_calc!$E$395-500)),"yyyy-mm-dd"),"")&amp;". ")&amp;IF(LEN(IF(ISNUMBER(INDEX('My equipment'!$L$4:$L$503,(_calc!$E$395-500))),TEXT(INDEX('My equipment'!$L$4:$L$503,(_calc!$E$395-500)),"yyyy-mm-dd"),""))=0,"","Labor end: "&amp;IF(ISNUMBER(INDEX('My equipment'!$L$4:$L$503,(_calc!$E$395-500))),TEXT(INDEX('My equipment'!$L$4:$L$503,(_calc!$E$395-500)),"yyyy-mm-dd"),"")&amp;". ")&amp;IF(LEN(IF(ISNUMBER(INDEX('My equipment'!$P$4:$P$503,(_calc!$E$395-500))),TEXT(INDEX('My equipment'!$P$4:$P$503,(_calc!$E$395-500)),"yyyy-mm-dd"),""))=0,"","Check by: "&amp;IF(ISNUMBER(INDEX('My equipment'!$P$4:$P$503,(_calc!$E$395-500))),TEXT(INDEX('My equipment'!$P$4:$P$503,(_calc!$E$395-500)),"yyyy-mm-dd"),"")&amp;". ")&amp;IF(LEN(IF(LEN(INDEX('My equipment'!$Q$4:$Q$503,(_calc!$E$395-500)))=0,"",INDEX('My equipment'!$Q$4:$Q$503,(_calc!$E$395-500))))=0,"","Claim status: "&amp;IF(LEN(INDEX('My equipment'!$Q$4:$Q$503,(_calc!$E$395-500)))=0,"",INDEX('My equipment'!$Q$4:$Q$503,(_calc!$E$395-500)))&amp;". ")&amp;IF(LEN(IF(LEN(INDEX('My equipment'!$R$4:$R$503,(_calc!$E$395-500)))=0,"",INDEX('My equipment'!$R$4:$R$503,(_calc!$E$395-500))))=0,"","Claims contact: "&amp;IF(LEN(INDEX('My equipment'!$R$4:$R$503,(_calc!$E$395-500)))=0,"",INDEX('My equipment'!$R$4:$R$503,(_calc!$E$395-500)))&amp;". ")&amp;IF(LEN(IF(LEN(INDEX('My equipment'!$S$4:$S$503,(_calc!$E$395-500)))=0,"",INDEX('My equipment'!$S$4:$S$503,(_calc!$E$395-500))))=0,"","Claims email: "&amp;IF(LEN(INDEX('My equipment'!$S$4:$S$503,(_calc!$E$395-500)))=0,"",INDEX('My equipment'!$S$4:$S$503,(_calc!$E$395-500)))&amp;". ")&amp;IF(LEN(IF(LEN(INDEX('My equipment'!$U$4:$U$503,(_calc!$E$395-500)))=0,"",INDEX('My equipment'!$U$4:$U$503,(_calc!$E$395-500))))=0,"","Registered: "&amp;IF(LEN(INDEX('My equipment'!$U$4:$U$503,(_calc!$E$395-500)))=0,"",INDEX('My equipment'!$U$4:$U$503,(_calc!$E$395-500)))&amp;". ")&amp;IF(LEN(IF(LEN(INDEX('My equipment'!$V$4:$V$503,(_calc!$E$395-500)))=0,"",INDEX('My equipment'!$V$4:$V$503,(_calc!$E$395-500))))=0,"","Proof on file: "&amp;IF(LEN(INDEX('My equipment'!$V$4:$V$503,(_calc!$E$395-500)))=0,"",INDEX('My equipment'!$V$4:$V$503,(_calc!$E$395-500)))&amp;". ")&amp;IF(LEN(IF(LEN(INDEX('My equipment'!$W$4:$W$503,(_calc!$E$395-500)))=0,"",INDEX('My equipment'!$W$4:$W$503,(_calc!$E$395-500))))=0,"","Claim ref: "&amp;IF(LEN(INDEX('My equipment'!$W$4:$W$503,(_calc!$E$395-500)))=0,"",INDEX('My equipment'!$W$4:$W$503,(_calc!$E$395-500)))&amp;". ")&amp;IF(LEN(IF(LEN(INDEX('My equipment'!$Y$4:$Y$503,(_calc!$E$395-500)))=0,"",INDEX('My equipment'!$Y$4:$Y$503,(_calc!$E$395-500))))=0,"",IF(LEN(INDEX('My equipment'!$Y$4:$Y$503,(_calc!$E$395-500)))=0,"",INDEX('My equipment'!$Y$4:$Y$503,(_calc!$E$395-500)))))))</f>
        <v/>
      </c>
      <c r="G393" s="54">
        <f>IF(_calc!$E$395="","",IF(_calc!$E$395&lt;=500,"",IF(LEN(INDEX('My equipment'!$X$4:$X$503,(_calc!$E$395-500)))=0,"",INDEX('My equipment'!$X$4:$X$503,(_calc!$E$395-500)))))</f>
        <v/>
      </c>
      <c r="K393" s="54">
        <f>IF(_calc!$E$395="","",IF(_calc!$E$395&lt;=500,"",IF(LEN(INDEX('My equipment'!$T$4:$T$503,(_calc!$E$395-500)))=0,"",INDEX('My equipment'!$T$4:$T$503,(_calc!$E$395-500)))))</f>
        <v/>
      </c>
    </row>
    <row r="394">
      <c r="A394" s="54">
        <f>IF(_calc!$E$396="","",IF(_calc!$E$396&lt;=500,"Warranty – "&amp;IF(LEN(INDEX('Dealer pipeline'!$C$4:$C$503,_calc!$E$396))=0,"",INDEX('Dealer pipeline'!$C$4:$C$503,_calc!$E$396))&amp;" – "&amp;IF(LEN(INDEX('Dealer pipeline'!$D$4:$D$503,_calc!$E$396))=0,"",INDEX('Dealer pipeline'!$D$4:$D$503,_calc!$E$396))&amp;" – "&amp;IF(LEN(INDEX('Dealer pipeline'!$A$4:$A$503,_calc!$E$396))=0,"",INDEX('Dealer pipeline'!$A$4:$A$503,_calc!$E$396)),"Warranty – "&amp;IF(LEN(INDEX('My equipment'!$A$4:$A$503,(_calc!$E$396-500)))=0,"",INDEX('My equipment'!$A$4:$A$503,(_calc!$E$396-500)))&amp;" – "&amp;IF(LEN(INDEX('My equipment'!$D$4:$D$503,(_calc!$E$396-500)))=0,"",INDEX('My equipment'!$D$4:$D$503,(_calc!$E$396-500)))))</f>
        <v/>
      </c>
      <c r="B394" s="54">
        <f>IF(_calc!$E$396="","",IF(_calc!$E$396&lt;=500,IF(ISNUMBER(INDEX('Dealer pipeline'!$M$4:$M$503,_calc!$E$396)),TEXT(INDEX('Dealer pipeline'!$M$4:$M$503,_calc!$E$396),"yyyy-mm-dd"),""),IF(ISNUMBER(INDEX('My equipment'!$M$4:$M$503,(_calc!$E$396-500))),TEXT(INDEX('My equipment'!$M$4:$M$503,(_calc!$E$396-500)),"yyyy-mm-dd"),"")))</f>
        <v/>
      </c>
      <c r="C394" s="54">
        <f>IF(_calc!$E$396="","",IF(_calc!$E$396&lt;=500,"Warranty","Warranty"))</f>
        <v/>
      </c>
      <c r="D394" s="54">
        <f>IF(_calc!$E$396="","",IF(_calc!$E$396&lt;=500,IF(ISNUMBER(INDEX('Dealer pipeline'!$H$4:$H$503,_calc!$E$396)),TEXT(INDEX('Dealer pipeline'!$H$4:$H$503,_calc!$E$396),"yyyy-mm-dd"),""),IF(ISNUMBER(INDEX('My equipment'!$H$4:$H$503,(_calc!$E$396-500))),TEXT(INDEX('My equipment'!$H$4:$H$503,(_calc!$E$396-500)),"yyyy-mm-dd"),"")))</f>
        <v/>
      </c>
      <c r="F394" s="54">
        <f>IF(_calc!$E$396="","",IF(_calc!$E$396&lt;=500,TRIM(IF(LEN(IF(LEN(INDEX('Dealer pipeline'!$A$4:$A$503,_calc!$E$396))=0,"",INDEX('Dealer pipeline'!$A$4:$A$503,_calc!$E$396)))=0,"","Customer: "&amp;IF(LEN(INDEX('Dealer pipeline'!$A$4:$A$503,_calc!$E$396))=0,"",INDEX('Dealer pipeline'!$A$4:$A$503,_calc!$E$396))&amp;". ")&amp;IF(LEN(IF(LEN(INDEX('Dealer pipeline'!$B$4:$B$503,_calc!$E$396))=0,"",INDEX('Dealer pipeline'!$B$4:$B$503,_calc!$E$396)))=0,"","Contact: "&amp;IF(LEN(INDEX('Dealer pipeline'!$B$4:$B$503,_calc!$E$396))=0,"",INDEX('Dealer pipeline'!$B$4:$B$503,_calc!$E$396))&amp;". ")&amp;IF(LEN(IF(LEN(INDEX('Dealer pipeline'!$D$4:$D$503,_calc!$E$396))=0,"",INDEX('Dealer pipeline'!$D$4:$D$503,_calc!$E$396)))=0,"","Serial: "&amp;IF(LEN(INDEX('Dealer pipeline'!$D$4:$D$503,_calc!$E$396))=0,"",INDEX('Dealer pipeline'!$D$4:$D$503,_calc!$E$396))&amp;". ")&amp;IF(LEN(IF(ISNUMBER(INDEX('Dealer pipeline'!$J$4:$J$503,_calc!$E$396)),TEXT(INDEX('Dealer pipeline'!$J$4:$J$503,_calc!$E$396),"yyyy-mm-dd"),""))=0,"","Parts end: "&amp;IF(ISNUMBER(INDEX('Dealer pipeline'!$J$4:$J$503,_calc!$E$396)),TEXT(INDEX('Dealer pipeline'!$J$4:$J$503,_calc!$E$396),"yyyy-mm-dd"),"")&amp;". ")&amp;IF(LEN(IF(ISNUMBER(INDEX('Dealer pipeline'!$L$4:$L$503,_calc!$E$396)),TEXT(INDEX('Dealer pipeline'!$L$4:$L$503,_calc!$E$396),"yyyy-mm-dd"),""))=0,"","Labor end: "&amp;IF(ISNUMBER(INDEX('Dealer pipeline'!$L$4:$L$503,_calc!$E$396)),TEXT(INDEX('Dealer pipeline'!$L$4:$L$503,_calc!$E$396),"yyyy-mm-dd"),"")&amp;". ")&amp;IF(LEN(IF(LEN(INDEX('Dealer pipeline'!$Q$4:$Q$503,_calc!$E$396))=0,"",INDEX('Dealer pipeline'!$Q$4:$Q$503,_calc!$E$396)))=0,"","Status: "&amp;IF(LEN(INDEX('Dealer pipeline'!$Q$4:$Q$503,_calc!$E$396))=0,"",INDEX('Dealer pipeline'!$Q$4:$Q$503,_calc!$E$396))&amp;". ")&amp;IF(LEN(IF(LEN(INDEX('Dealer pipeline'!$P$4:$P$503,_calc!$E$396))=0,"",INDEX('Dealer pipeline'!$P$4:$P$503,_calc!$E$396)))=0,"","Last touch: "&amp;IF(LEN(INDEX('Dealer pipeline'!$P$4:$P$503,_calc!$E$396))=0,"",INDEX('Dealer pipeline'!$P$4:$P$503,_calc!$E$396))&amp;". ")&amp;IF(LEN(IF(LEN(INDEX('Dealer pipeline'!$R$4:$R$503,_calc!$E$396))=0,"",INDEX('Dealer pipeline'!$R$4:$R$503,_calc!$E$396)))=0,"","Owner: "&amp;IF(LEN(INDEX('Dealer pipeline'!$R$4:$R$503,_calc!$E$396))=0,"",INDEX('Dealer pipeline'!$R$4:$R$503,_calc!$E$396))&amp;". ")&amp;IF(LEN(IF(LEN(INDEX('Dealer pipeline'!$S$4:$S$503,_calc!$E$396))=0,"",INDEX('Dealer pipeline'!$S$4:$S$503,_calc!$E$396)))=0,"","Backup: "&amp;IF(LEN(INDEX('Dealer pipeline'!$S$4:$S$503,_calc!$E$396))=0,"",INDEX('Dealer pipeline'!$S$4:$S$503,_calc!$E$396))&amp;". ")&amp;IF(LEN(IF(LEN(INDEX('Dealer pipeline'!$T$4:$T$503,_calc!$E$396))=0,"",INDEX('Dealer pipeline'!$T$4:$T$503,_calc!$E$396)))=0,"",IF(LEN(INDEX('Dealer pipeline'!$T$4:$T$503,_calc!$E$396))=0,"",INDEX('Dealer pipeline'!$T$4:$T$503,_calc!$E$396)))),TRIM(IF(LEN(IF(LEN(INDEX('My equipment'!$C$4:$C$503,(_calc!$E$396-500)))=0,"",INDEX('My equipment'!$C$4:$C$503,(_calc!$E$396-500))))=0,"","Model: "&amp;IF(LEN(INDEX('My equipment'!$C$4:$C$503,(_calc!$E$396-500)))=0,"",INDEX('My equipment'!$C$4:$C$503,(_calc!$E$396-500)))&amp;". ")&amp;IF(LEN(IF(LEN(INDEX('My equipment'!$D$4:$D$503,(_calc!$E$396-500)))=0,"",INDEX('My equipment'!$D$4:$D$503,(_calc!$E$396-500))))=0,"","Serial: "&amp;IF(LEN(INDEX('My equipment'!$D$4:$D$503,(_calc!$E$396-500)))=0,"",INDEX('My equipment'!$D$4:$D$503,(_calc!$E$396-500)))&amp;". ")&amp;IF(LEN(IF(ISNUMBER(INDEX('My equipment'!$J$4:$J$503,(_calc!$E$396-500))),TEXT(INDEX('My equipment'!$J$4:$J$503,(_calc!$E$396-500)),"yyyy-mm-dd"),""))=0,"","Parts end: "&amp;IF(ISNUMBER(INDEX('My equipment'!$J$4:$J$503,(_calc!$E$396-500))),TEXT(INDEX('My equipment'!$J$4:$J$503,(_calc!$E$396-500)),"yyyy-mm-dd"),"")&amp;". ")&amp;IF(LEN(IF(ISNUMBER(INDEX('My equipment'!$L$4:$L$503,(_calc!$E$396-500))),TEXT(INDEX('My equipment'!$L$4:$L$503,(_calc!$E$396-500)),"yyyy-mm-dd"),""))=0,"","Labor end: "&amp;IF(ISNUMBER(INDEX('My equipment'!$L$4:$L$503,(_calc!$E$396-500))),TEXT(INDEX('My equipment'!$L$4:$L$503,(_calc!$E$396-500)),"yyyy-mm-dd"),"")&amp;". ")&amp;IF(LEN(IF(ISNUMBER(INDEX('My equipment'!$P$4:$P$503,(_calc!$E$396-500))),TEXT(INDEX('My equipment'!$P$4:$P$503,(_calc!$E$396-500)),"yyyy-mm-dd"),""))=0,"","Check by: "&amp;IF(ISNUMBER(INDEX('My equipment'!$P$4:$P$503,(_calc!$E$396-500))),TEXT(INDEX('My equipment'!$P$4:$P$503,(_calc!$E$396-500)),"yyyy-mm-dd"),"")&amp;". ")&amp;IF(LEN(IF(LEN(INDEX('My equipment'!$Q$4:$Q$503,(_calc!$E$396-500)))=0,"",INDEX('My equipment'!$Q$4:$Q$503,(_calc!$E$396-500))))=0,"","Claim status: "&amp;IF(LEN(INDEX('My equipment'!$Q$4:$Q$503,(_calc!$E$396-500)))=0,"",INDEX('My equipment'!$Q$4:$Q$503,(_calc!$E$396-500)))&amp;". ")&amp;IF(LEN(IF(LEN(INDEX('My equipment'!$R$4:$R$503,(_calc!$E$396-500)))=0,"",INDEX('My equipment'!$R$4:$R$503,(_calc!$E$396-500))))=0,"","Claims contact: "&amp;IF(LEN(INDEX('My equipment'!$R$4:$R$503,(_calc!$E$396-500)))=0,"",INDEX('My equipment'!$R$4:$R$503,(_calc!$E$396-500)))&amp;". ")&amp;IF(LEN(IF(LEN(INDEX('My equipment'!$S$4:$S$503,(_calc!$E$396-500)))=0,"",INDEX('My equipment'!$S$4:$S$503,(_calc!$E$396-500))))=0,"","Claims email: "&amp;IF(LEN(INDEX('My equipment'!$S$4:$S$503,(_calc!$E$396-500)))=0,"",INDEX('My equipment'!$S$4:$S$503,(_calc!$E$396-500)))&amp;". ")&amp;IF(LEN(IF(LEN(INDEX('My equipment'!$U$4:$U$503,(_calc!$E$396-500)))=0,"",INDEX('My equipment'!$U$4:$U$503,(_calc!$E$396-500))))=0,"","Registered: "&amp;IF(LEN(INDEX('My equipment'!$U$4:$U$503,(_calc!$E$396-500)))=0,"",INDEX('My equipment'!$U$4:$U$503,(_calc!$E$396-500)))&amp;". ")&amp;IF(LEN(IF(LEN(INDEX('My equipment'!$V$4:$V$503,(_calc!$E$396-500)))=0,"",INDEX('My equipment'!$V$4:$V$503,(_calc!$E$396-500))))=0,"","Proof on file: "&amp;IF(LEN(INDEX('My equipment'!$V$4:$V$503,(_calc!$E$396-500)))=0,"",INDEX('My equipment'!$V$4:$V$503,(_calc!$E$396-500)))&amp;". ")&amp;IF(LEN(IF(LEN(INDEX('My equipment'!$W$4:$W$503,(_calc!$E$396-500)))=0,"",INDEX('My equipment'!$W$4:$W$503,(_calc!$E$396-500))))=0,"","Claim ref: "&amp;IF(LEN(INDEX('My equipment'!$W$4:$W$503,(_calc!$E$396-500)))=0,"",INDEX('My equipment'!$W$4:$W$503,(_calc!$E$396-500)))&amp;". ")&amp;IF(LEN(IF(LEN(INDEX('My equipment'!$Y$4:$Y$503,(_calc!$E$396-500)))=0,"",INDEX('My equipment'!$Y$4:$Y$503,(_calc!$E$396-500))))=0,"",IF(LEN(INDEX('My equipment'!$Y$4:$Y$503,(_calc!$E$396-500)))=0,"",INDEX('My equipment'!$Y$4:$Y$503,(_calc!$E$396-500)))))))</f>
        <v/>
      </c>
      <c r="G394" s="54">
        <f>IF(_calc!$E$396="","",IF(_calc!$E$396&lt;=500,"",IF(LEN(INDEX('My equipment'!$X$4:$X$503,(_calc!$E$396-500)))=0,"",INDEX('My equipment'!$X$4:$X$503,(_calc!$E$396-500)))))</f>
        <v/>
      </c>
      <c r="K394" s="54">
        <f>IF(_calc!$E$396="","",IF(_calc!$E$396&lt;=500,"",IF(LEN(INDEX('My equipment'!$T$4:$T$503,(_calc!$E$396-500)))=0,"",INDEX('My equipment'!$T$4:$T$503,(_calc!$E$396-500)))))</f>
        <v/>
      </c>
    </row>
    <row r="395">
      <c r="A395" s="54">
        <f>IF(_calc!$E$397="","",IF(_calc!$E$397&lt;=500,"Warranty – "&amp;IF(LEN(INDEX('Dealer pipeline'!$C$4:$C$503,_calc!$E$397))=0,"",INDEX('Dealer pipeline'!$C$4:$C$503,_calc!$E$397))&amp;" – "&amp;IF(LEN(INDEX('Dealer pipeline'!$D$4:$D$503,_calc!$E$397))=0,"",INDEX('Dealer pipeline'!$D$4:$D$503,_calc!$E$397))&amp;" – "&amp;IF(LEN(INDEX('Dealer pipeline'!$A$4:$A$503,_calc!$E$397))=0,"",INDEX('Dealer pipeline'!$A$4:$A$503,_calc!$E$397)),"Warranty – "&amp;IF(LEN(INDEX('My equipment'!$A$4:$A$503,(_calc!$E$397-500)))=0,"",INDEX('My equipment'!$A$4:$A$503,(_calc!$E$397-500)))&amp;" – "&amp;IF(LEN(INDEX('My equipment'!$D$4:$D$503,(_calc!$E$397-500)))=0,"",INDEX('My equipment'!$D$4:$D$503,(_calc!$E$397-500)))))</f>
        <v/>
      </c>
      <c r="B395" s="54">
        <f>IF(_calc!$E$397="","",IF(_calc!$E$397&lt;=500,IF(ISNUMBER(INDEX('Dealer pipeline'!$M$4:$M$503,_calc!$E$397)),TEXT(INDEX('Dealer pipeline'!$M$4:$M$503,_calc!$E$397),"yyyy-mm-dd"),""),IF(ISNUMBER(INDEX('My equipment'!$M$4:$M$503,(_calc!$E$397-500))),TEXT(INDEX('My equipment'!$M$4:$M$503,(_calc!$E$397-500)),"yyyy-mm-dd"),"")))</f>
        <v/>
      </c>
      <c r="C395" s="54">
        <f>IF(_calc!$E$397="","",IF(_calc!$E$397&lt;=500,"Warranty","Warranty"))</f>
        <v/>
      </c>
      <c r="D395" s="54">
        <f>IF(_calc!$E$397="","",IF(_calc!$E$397&lt;=500,IF(ISNUMBER(INDEX('Dealer pipeline'!$H$4:$H$503,_calc!$E$397)),TEXT(INDEX('Dealer pipeline'!$H$4:$H$503,_calc!$E$397),"yyyy-mm-dd"),""),IF(ISNUMBER(INDEX('My equipment'!$H$4:$H$503,(_calc!$E$397-500))),TEXT(INDEX('My equipment'!$H$4:$H$503,(_calc!$E$397-500)),"yyyy-mm-dd"),"")))</f>
        <v/>
      </c>
      <c r="F395" s="54">
        <f>IF(_calc!$E$397="","",IF(_calc!$E$397&lt;=500,TRIM(IF(LEN(IF(LEN(INDEX('Dealer pipeline'!$A$4:$A$503,_calc!$E$397))=0,"",INDEX('Dealer pipeline'!$A$4:$A$503,_calc!$E$397)))=0,"","Customer: "&amp;IF(LEN(INDEX('Dealer pipeline'!$A$4:$A$503,_calc!$E$397))=0,"",INDEX('Dealer pipeline'!$A$4:$A$503,_calc!$E$397))&amp;". ")&amp;IF(LEN(IF(LEN(INDEX('Dealer pipeline'!$B$4:$B$503,_calc!$E$397))=0,"",INDEX('Dealer pipeline'!$B$4:$B$503,_calc!$E$397)))=0,"","Contact: "&amp;IF(LEN(INDEX('Dealer pipeline'!$B$4:$B$503,_calc!$E$397))=0,"",INDEX('Dealer pipeline'!$B$4:$B$503,_calc!$E$397))&amp;". ")&amp;IF(LEN(IF(LEN(INDEX('Dealer pipeline'!$D$4:$D$503,_calc!$E$397))=0,"",INDEX('Dealer pipeline'!$D$4:$D$503,_calc!$E$397)))=0,"","Serial: "&amp;IF(LEN(INDEX('Dealer pipeline'!$D$4:$D$503,_calc!$E$397))=0,"",INDEX('Dealer pipeline'!$D$4:$D$503,_calc!$E$397))&amp;". ")&amp;IF(LEN(IF(ISNUMBER(INDEX('Dealer pipeline'!$J$4:$J$503,_calc!$E$397)),TEXT(INDEX('Dealer pipeline'!$J$4:$J$503,_calc!$E$397),"yyyy-mm-dd"),""))=0,"","Parts end: "&amp;IF(ISNUMBER(INDEX('Dealer pipeline'!$J$4:$J$503,_calc!$E$397)),TEXT(INDEX('Dealer pipeline'!$J$4:$J$503,_calc!$E$397),"yyyy-mm-dd"),"")&amp;". ")&amp;IF(LEN(IF(ISNUMBER(INDEX('Dealer pipeline'!$L$4:$L$503,_calc!$E$397)),TEXT(INDEX('Dealer pipeline'!$L$4:$L$503,_calc!$E$397),"yyyy-mm-dd"),""))=0,"","Labor end: "&amp;IF(ISNUMBER(INDEX('Dealer pipeline'!$L$4:$L$503,_calc!$E$397)),TEXT(INDEX('Dealer pipeline'!$L$4:$L$503,_calc!$E$397),"yyyy-mm-dd"),"")&amp;". ")&amp;IF(LEN(IF(LEN(INDEX('Dealer pipeline'!$Q$4:$Q$503,_calc!$E$397))=0,"",INDEX('Dealer pipeline'!$Q$4:$Q$503,_calc!$E$397)))=0,"","Status: "&amp;IF(LEN(INDEX('Dealer pipeline'!$Q$4:$Q$503,_calc!$E$397))=0,"",INDEX('Dealer pipeline'!$Q$4:$Q$503,_calc!$E$397))&amp;". ")&amp;IF(LEN(IF(LEN(INDEX('Dealer pipeline'!$P$4:$P$503,_calc!$E$397))=0,"",INDEX('Dealer pipeline'!$P$4:$P$503,_calc!$E$397)))=0,"","Last touch: "&amp;IF(LEN(INDEX('Dealer pipeline'!$P$4:$P$503,_calc!$E$397))=0,"",INDEX('Dealer pipeline'!$P$4:$P$503,_calc!$E$397))&amp;". ")&amp;IF(LEN(IF(LEN(INDEX('Dealer pipeline'!$R$4:$R$503,_calc!$E$397))=0,"",INDEX('Dealer pipeline'!$R$4:$R$503,_calc!$E$397)))=0,"","Owner: "&amp;IF(LEN(INDEX('Dealer pipeline'!$R$4:$R$503,_calc!$E$397))=0,"",INDEX('Dealer pipeline'!$R$4:$R$503,_calc!$E$397))&amp;". ")&amp;IF(LEN(IF(LEN(INDEX('Dealer pipeline'!$S$4:$S$503,_calc!$E$397))=0,"",INDEX('Dealer pipeline'!$S$4:$S$503,_calc!$E$397)))=0,"","Backup: "&amp;IF(LEN(INDEX('Dealer pipeline'!$S$4:$S$503,_calc!$E$397))=0,"",INDEX('Dealer pipeline'!$S$4:$S$503,_calc!$E$397))&amp;". ")&amp;IF(LEN(IF(LEN(INDEX('Dealer pipeline'!$T$4:$T$503,_calc!$E$397))=0,"",INDEX('Dealer pipeline'!$T$4:$T$503,_calc!$E$397)))=0,"",IF(LEN(INDEX('Dealer pipeline'!$T$4:$T$503,_calc!$E$397))=0,"",INDEX('Dealer pipeline'!$T$4:$T$503,_calc!$E$397)))),TRIM(IF(LEN(IF(LEN(INDEX('My equipment'!$C$4:$C$503,(_calc!$E$397-500)))=0,"",INDEX('My equipment'!$C$4:$C$503,(_calc!$E$397-500))))=0,"","Model: "&amp;IF(LEN(INDEX('My equipment'!$C$4:$C$503,(_calc!$E$397-500)))=0,"",INDEX('My equipment'!$C$4:$C$503,(_calc!$E$397-500)))&amp;". ")&amp;IF(LEN(IF(LEN(INDEX('My equipment'!$D$4:$D$503,(_calc!$E$397-500)))=0,"",INDEX('My equipment'!$D$4:$D$503,(_calc!$E$397-500))))=0,"","Serial: "&amp;IF(LEN(INDEX('My equipment'!$D$4:$D$503,(_calc!$E$397-500)))=0,"",INDEX('My equipment'!$D$4:$D$503,(_calc!$E$397-500)))&amp;". ")&amp;IF(LEN(IF(ISNUMBER(INDEX('My equipment'!$J$4:$J$503,(_calc!$E$397-500))),TEXT(INDEX('My equipment'!$J$4:$J$503,(_calc!$E$397-500)),"yyyy-mm-dd"),""))=0,"","Parts end: "&amp;IF(ISNUMBER(INDEX('My equipment'!$J$4:$J$503,(_calc!$E$397-500))),TEXT(INDEX('My equipment'!$J$4:$J$503,(_calc!$E$397-500)),"yyyy-mm-dd"),"")&amp;". ")&amp;IF(LEN(IF(ISNUMBER(INDEX('My equipment'!$L$4:$L$503,(_calc!$E$397-500))),TEXT(INDEX('My equipment'!$L$4:$L$503,(_calc!$E$397-500)),"yyyy-mm-dd"),""))=0,"","Labor end: "&amp;IF(ISNUMBER(INDEX('My equipment'!$L$4:$L$503,(_calc!$E$397-500))),TEXT(INDEX('My equipment'!$L$4:$L$503,(_calc!$E$397-500)),"yyyy-mm-dd"),"")&amp;". ")&amp;IF(LEN(IF(ISNUMBER(INDEX('My equipment'!$P$4:$P$503,(_calc!$E$397-500))),TEXT(INDEX('My equipment'!$P$4:$P$503,(_calc!$E$397-500)),"yyyy-mm-dd"),""))=0,"","Check by: "&amp;IF(ISNUMBER(INDEX('My equipment'!$P$4:$P$503,(_calc!$E$397-500))),TEXT(INDEX('My equipment'!$P$4:$P$503,(_calc!$E$397-500)),"yyyy-mm-dd"),"")&amp;". ")&amp;IF(LEN(IF(LEN(INDEX('My equipment'!$Q$4:$Q$503,(_calc!$E$397-500)))=0,"",INDEX('My equipment'!$Q$4:$Q$503,(_calc!$E$397-500))))=0,"","Claim status: "&amp;IF(LEN(INDEX('My equipment'!$Q$4:$Q$503,(_calc!$E$397-500)))=0,"",INDEX('My equipment'!$Q$4:$Q$503,(_calc!$E$397-500)))&amp;". ")&amp;IF(LEN(IF(LEN(INDEX('My equipment'!$R$4:$R$503,(_calc!$E$397-500)))=0,"",INDEX('My equipment'!$R$4:$R$503,(_calc!$E$397-500))))=0,"","Claims contact: "&amp;IF(LEN(INDEX('My equipment'!$R$4:$R$503,(_calc!$E$397-500)))=0,"",INDEX('My equipment'!$R$4:$R$503,(_calc!$E$397-500)))&amp;". ")&amp;IF(LEN(IF(LEN(INDEX('My equipment'!$S$4:$S$503,(_calc!$E$397-500)))=0,"",INDEX('My equipment'!$S$4:$S$503,(_calc!$E$397-500))))=0,"","Claims email: "&amp;IF(LEN(INDEX('My equipment'!$S$4:$S$503,(_calc!$E$397-500)))=0,"",INDEX('My equipment'!$S$4:$S$503,(_calc!$E$397-500)))&amp;". ")&amp;IF(LEN(IF(LEN(INDEX('My equipment'!$U$4:$U$503,(_calc!$E$397-500)))=0,"",INDEX('My equipment'!$U$4:$U$503,(_calc!$E$397-500))))=0,"","Registered: "&amp;IF(LEN(INDEX('My equipment'!$U$4:$U$503,(_calc!$E$397-500)))=0,"",INDEX('My equipment'!$U$4:$U$503,(_calc!$E$397-500)))&amp;". ")&amp;IF(LEN(IF(LEN(INDEX('My equipment'!$V$4:$V$503,(_calc!$E$397-500)))=0,"",INDEX('My equipment'!$V$4:$V$503,(_calc!$E$397-500))))=0,"","Proof on file: "&amp;IF(LEN(INDEX('My equipment'!$V$4:$V$503,(_calc!$E$397-500)))=0,"",INDEX('My equipment'!$V$4:$V$503,(_calc!$E$397-500)))&amp;". ")&amp;IF(LEN(IF(LEN(INDEX('My equipment'!$W$4:$W$503,(_calc!$E$397-500)))=0,"",INDEX('My equipment'!$W$4:$W$503,(_calc!$E$397-500))))=0,"","Claim ref: "&amp;IF(LEN(INDEX('My equipment'!$W$4:$W$503,(_calc!$E$397-500)))=0,"",INDEX('My equipment'!$W$4:$W$503,(_calc!$E$397-500)))&amp;". ")&amp;IF(LEN(IF(LEN(INDEX('My equipment'!$Y$4:$Y$503,(_calc!$E$397-500)))=0,"",INDEX('My equipment'!$Y$4:$Y$503,(_calc!$E$397-500))))=0,"",IF(LEN(INDEX('My equipment'!$Y$4:$Y$503,(_calc!$E$397-500)))=0,"",INDEX('My equipment'!$Y$4:$Y$503,(_calc!$E$397-500)))))))</f>
        <v/>
      </c>
      <c r="G395" s="54">
        <f>IF(_calc!$E$397="","",IF(_calc!$E$397&lt;=500,"",IF(LEN(INDEX('My equipment'!$X$4:$X$503,(_calc!$E$397-500)))=0,"",INDEX('My equipment'!$X$4:$X$503,(_calc!$E$397-500)))))</f>
        <v/>
      </c>
      <c r="K395" s="54">
        <f>IF(_calc!$E$397="","",IF(_calc!$E$397&lt;=500,"",IF(LEN(INDEX('My equipment'!$T$4:$T$503,(_calc!$E$397-500)))=0,"",INDEX('My equipment'!$T$4:$T$503,(_calc!$E$397-500)))))</f>
        <v/>
      </c>
    </row>
    <row r="396">
      <c r="A396" s="54">
        <f>IF(_calc!$E$398="","",IF(_calc!$E$398&lt;=500,"Warranty – "&amp;IF(LEN(INDEX('Dealer pipeline'!$C$4:$C$503,_calc!$E$398))=0,"",INDEX('Dealer pipeline'!$C$4:$C$503,_calc!$E$398))&amp;" – "&amp;IF(LEN(INDEX('Dealer pipeline'!$D$4:$D$503,_calc!$E$398))=0,"",INDEX('Dealer pipeline'!$D$4:$D$503,_calc!$E$398))&amp;" – "&amp;IF(LEN(INDEX('Dealer pipeline'!$A$4:$A$503,_calc!$E$398))=0,"",INDEX('Dealer pipeline'!$A$4:$A$503,_calc!$E$398)),"Warranty – "&amp;IF(LEN(INDEX('My equipment'!$A$4:$A$503,(_calc!$E$398-500)))=0,"",INDEX('My equipment'!$A$4:$A$503,(_calc!$E$398-500)))&amp;" – "&amp;IF(LEN(INDEX('My equipment'!$D$4:$D$503,(_calc!$E$398-500)))=0,"",INDEX('My equipment'!$D$4:$D$503,(_calc!$E$398-500)))))</f>
        <v/>
      </c>
      <c r="B396" s="54">
        <f>IF(_calc!$E$398="","",IF(_calc!$E$398&lt;=500,IF(ISNUMBER(INDEX('Dealer pipeline'!$M$4:$M$503,_calc!$E$398)),TEXT(INDEX('Dealer pipeline'!$M$4:$M$503,_calc!$E$398),"yyyy-mm-dd"),""),IF(ISNUMBER(INDEX('My equipment'!$M$4:$M$503,(_calc!$E$398-500))),TEXT(INDEX('My equipment'!$M$4:$M$503,(_calc!$E$398-500)),"yyyy-mm-dd"),"")))</f>
        <v/>
      </c>
      <c r="C396" s="54">
        <f>IF(_calc!$E$398="","",IF(_calc!$E$398&lt;=500,"Warranty","Warranty"))</f>
        <v/>
      </c>
      <c r="D396" s="54">
        <f>IF(_calc!$E$398="","",IF(_calc!$E$398&lt;=500,IF(ISNUMBER(INDEX('Dealer pipeline'!$H$4:$H$503,_calc!$E$398)),TEXT(INDEX('Dealer pipeline'!$H$4:$H$503,_calc!$E$398),"yyyy-mm-dd"),""),IF(ISNUMBER(INDEX('My equipment'!$H$4:$H$503,(_calc!$E$398-500))),TEXT(INDEX('My equipment'!$H$4:$H$503,(_calc!$E$398-500)),"yyyy-mm-dd"),"")))</f>
        <v/>
      </c>
      <c r="F396" s="54">
        <f>IF(_calc!$E$398="","",IF(_calc!$E$398&lt;=500,TRIM(IF(LEN(IF(LEN(INDEX('Dealer pipeline'!$A$4:$A$503,_calc!$E$398))=0,"",INDEX('Dealer pipeline'!$A$4:$A$503,_calc!$E$398)))=0,"","Customer: "&amp;IF(LEN(INDEX('Dealer pipeline'!$A$4:$A$503,_calc!$E$398))=0,"",INDEX('Dealer pipeline'!$A$4:$A$503,_calc!$E$398))&amp;". ")&amp;IF(LEN(IF(LEN(INDEX('Dealer pipeline'!$B$4:$B$503,_calc!$E$398))=0,"",INDEX('Dealer pipeline'!$B$4:$B$503,_calc!$E$398)))=0,"","Contact: "&amp;IF(LEN(INDEX('Dealer pipeline'!$B$4:$B$503,_calc!$E$398))=0,"",INDEX('Dealer pipeline'!$B$4:$B$503,_calc!$E$398))&amp;". ")&amp;IF(LEN(IF(LEN(INDEX('Dealer pipeline'!$D$4:$D$503,_calc!$E$398))=0,"",INDEX('Dealer pipeline'!$D$4:$D$503,_calc!$E$398)))=0,"","Serial: "&amp;IF(LEN(INDEX('Dealer pipeline'!$D$4:$D$503,_calc!$E$398))=0,"",INDEX('Dealer pipeline'!$D$4:$D$503,_calc!$E$398))&amp;". ")&amp;IF(LEN(IF(ISNUMBER(INDEX('Dealer pipeline'!$J$4:$J$503,_calc!$E$398)),TEXT(INDEX('Dealer pipeline'!$J$4:$J$503,_calc!$E$398),"yyyy-mm-dd"),""))=0,"","Parts end: "&amp;IF(ISNUMBER(INDEX('Dealer pipeline'!$J$4:$J$503,_calc!$E$398)),TEXT(INDEX('Dealer pipeline'!$J$4:$J$503,_calc!$E$398),"yyyy-mm-dd"),"")&amp;". ")&amp;IF(LEN(IF(ISNUMBER(INDEX('Dealer pipeline'!$L$4:$L$503,_calc!$E$398)),TEXT(INDEX('Dealer pipeline'!$L$4:$L$503,_calc!$E$398),"yyyy-mm-dd"),""))=0,"","Labor end: "&amp;IF(ISNUMBER(INDEX('Dealer pipeline'!$L$4:$L$503,_calc!$E$398)),TEXT(INDEX('Dealer pipeline'!$L$4:$L$503,_calc!$E$398),"yyyy-mm-dd"),"")&amp;". ")&amp;IF(LEN(IF(LEN(INDEX('Dealer pipeline'!$Q$4:$Q$503,_calc!$E$398))=0,"",INDEX('Dealer pipeline'!$Q$4:$Q$503,_calc!$E$398)))=0,"","Status: "&amp;IF(LEN(INDEX('Dealer pipeline'!$Q$4:$Q$503,_calc!$E$398))=0,"",INDEX('Dealer pipeline'!$Q$4:$Q$503,_calc!$E$398))&amp;". ")&amp;IF(LEN(IF(LEN(INDEX('Dealer pipeline'!$P$4:$P$503,_calc!$E$398))=0,"",INDEX('Dealer pipeline'!$P$4:$P$503,_calc!$E$398)))=0,"","Last touch: "&amp;IF(LEN(INDEX('Dealer pipeline'!$P$4:$P$503,_calc!$E$398))=0,"",INDEX('Dealer pipeline'!$P$4:$P$503,_calc!$E$398))&amp;". ")&amp;IF(LEN(IF(LEN(INDEX('Dealer pipeline'!$R$4:$R$503,_calc!$E$398))=0,"",INDEX('Dealer pipeline'!$R$4:$R$503,_calc!$E$398)))=0,"","Owner: "&amp;IF(LEN(INDEX('Dealer pipeline'!$R$4:$R$503,_calc!$E$398))=0,"",INDEX('Dealer pipeline'!$R$4:$R$503,_calc!$E$398))&amp;". ")&amp;IF(LEN(IF(LEN(INDEX('Dealer pipeline'!$S$4:$S$503,_calc!$E$398))=0,"",INDEX('Dealer pipeline'!$S$4:$S$503,_calc!$E$398)))=0,"","Backup: "&amp;IF(LEN(INDEX('Dealer pipeline'!$S$4:$S$503,_calc!$E$398))=0,"",INDEX('Dealer pipeline'!$S$4:$S$503,_calc!$E$398))&amp;". ")&amp;IF(LEN(IF(LEN(INDEX('Dealer pipeline'!$T$4:$T$503,_calc!$E$398))=0,"",INDEX('Dealer pipeline'!$T$4:$T$503,_calc!$E$398)))=0,"",IF(LEN(INDEX('Dealer pipeline'!$T$4:$T$503,_calc!$E$398))=0,"",INDEX('Dealer pipeline'!$T$4:$T$503,_calc!$E$398)))),TRIM(IF(LEN(IF(LEN(INDEX('My equipment'!$C$4:$C$503,(_calc!$E$398-500)))=0,"",INDEX('My equipment'!$C$4:$C$503,(_calc!$E$398-500))))=0,"","Model: "&amp;IF(LEN(INDEX('My equipment'!$C$4:$C$503,(_calc!$E$398-500)))=0,"",INDEX('My equipment'!$C$4:$C$503,(_calc!$E$398-500)))&amp;". ")&amp;IF(LEN(IF(LEN(INDEX('My equipment'!$D$4:$D$503,(_calc!$E$398-500)))=0,"",INDEX('My equipment'!$D$4:$D$503,(_calc!$E$398-500))))=0,"","Serial: "&amp;IF(LEN(INDEX('My equipment'!$D$4:$D$503,(_calc!$E$398-500)))=0,"",INDEX('My equipment'!$D$4:$D$503,(_calc!$E$398-500)))&amp;". ")&amp;IF(LEN(IF(ISNUMBER(INDEX('My equipment'!$J$4:$J$503,(_calc!$E$398-500))),TEXT(INDEX('My equipment'!$J$4:$J$503,(_calc!$E$398-500)),"yyyy-mm-dd"),""))=0,"","Parts end: "&amp;IF(ISNUMBER(INDEX('My equipment'!$J$4:$J$503,(_calc!$E$398-500))),TEXT(INDEX('My equipment'!$J$4:$J$503,(_calc!$E$398-500)),"yyyy-mm-dd"),"")&amp;". ")&amp;IF(LEN(IF(ISNUMBER(INDEX('My equipment'!$L$4:$L$503,(_calc!$E$398-500))),TEXT(INDEX('My equipment'!$L$4:$L$503,(_calc!$E$398-500)),"yyyy-mm-dd"),""))=0,"","Labor end: "&amp;IF(ISNUMBER(INDEX('My equipment'!$L$4:$L$503,(_calc!$E$398-500))),TEXT(INDEX('My equipment'!$L$4:$L$503,(_calc!$E$398-500)),"yyyy-mm-dd"),"")&amp;". ")&amp;IF(LEN(IF(ISNUMBER(INDEX('My equipment'!$P$4:$P$503,(_calc!$E$398-500))),TEXT(INDEX('My equipment'!$P$4:$P$503,(_calc!$E$398-500)),"yyyy-mm-dd"),""))=0,"","Check by: "&amp;IF(ISNUMBER(INDEX('My equipment'!$P$4:$P$503,(_calc!$E$398-500))),TEXT(INDEX('My equipment'!$P$4:$P$503,(_calc!$E$398-500)),"yyyy-mm-dd"),"")&amp;". ")&amp;IF(LEN(IF(LEN(INDEX('My equipment'!$Q$4:$Q$503,(_calc!$E$398-500)))=0,"",INDEX('My equipment'!$Q$4:$Q$503,(_calc!$E$398-500))))=0,"","Claim status: "&amp;IF(LEN(INDEX('My equipment'!$Q$4:$Q$503,(_calc!$E$398-500)))=0,"",INDEX('My equipment'!$Q$4:$Q$503,(_calc!$E$398-500)))&amp;". ")&amp;IF(LEN(IF(LEN(INDEX('My equipment'!$R$4:$R$503,(_calc!$E$398-500)))=0,"",INDEX('My equipment'!$R$4:$R$503,(_calc!$E$398-500))))=0,"","Claims contact: "&amp;IF(LEN(INDEX('My equipment'!$R$4:$R$503,(_calc!$E$398-500)))=0,"",INDEX('My equipment'!$R$4:$R$503,(_calc!$E$398-500)))&amp;". ")&amp;IF(LEN(IF(LEN(INDEX('My equipment'!$S$4:$S$503,(_calc!$E$398-500)))=0,"",INDEX('My equipment'!$S$4:$S$503,(_calc!$E$398-500))))=0,"","Claims email: "&amp;IF(LEN(INDEX('My equipment'!$S$4:$S$503,(_calc!$E$398-500)))=0,"",INDEX('My equipment'!$S$4:$S$503,(_calc!$E$398-500)))&amp;". ")&amp;IF(LEN(IF(LEN(INDEX('My equipment'!$U$4:$U$503,(_calc!$E$398-500)))=0,"",INDEX('My equipment'!$U$4:$U$503,(_calc!$E$398-500))))=0,"","Registered: "&amp;IF(LEN(INDEX('My equipment'!$U$4:$U$503,(_calc!$E$398-500)))=0,"",INDEX('My equipment'!$U$4:$U$503,(_calc!$E$398-500)))&amp;". ")&amp;IF(LEN(IF(LEN(INDEX('My equipment'!$V$4:$V$503,(_calc!$E$398-500)))=0,"",INDEX('My equipment'!$V$4:$V$503,(_calc!$E$398-500))))=0,"","Proof on file: "&amp;IF(LEN(INDEX('My equipment'!$V$4:$V$503,(_calc!$E$398-500)))=0,"",INDEX('My equipment'!$V$4:$V$503,(_calc!$E$398-500)))&amp;". ")&amp;IF(LEN(IF(LEN(INDEX('My equipment'!$W$4:$W$503,(_calc!$E$398-500)))=0,"",INDEX('My equipment'!$W$4:$W$503,(_calc!$E$398-500))))=0,"","Claim ref: "&amp;IF(LEN(INDEX('My equipment'!$W$4:$W$503,(_calc!$E$398-500)))=0,"",INDEX('My equipment'!$W$4:$W$503,(_calc!$E$398-500)))&amp;". ")&amp;IF(LEN(IF(LEN(INDEX('My equipment'!$Y$4:$Y$503,(_calc!$E$398-500)))=0,"",INDEX('My equipment'!$Y$4:$Y$503,(_calc!$E$398-500))))=0,"",IF(LEN(INDEX('My equipment'!$Y$4:$Y$503,(_calc!$E$398-500)))=0,"",INDEX('My equipment'!$Y$4:$Y$503,(_calc!$E$398-500)))))))</f>
        <v/>
      </c>
      <c r="G396" s="54">
        <f>IF(_calc!$E$398="","",IF(_calc!$E$398&lt;=500,"",IF(LEN(INDEX('My equipment'!$X$4:$X$503,(_calc!$E$398-500)))=0,"",INDEX('My equipment'!$X$4:$X$503,(_calc!$E$398-500)))))</f>
        <v/>
      </c>
      <c r="K396" s="54">
        <f>IF(_calc!$E$398="","",IF(_calc!$E$398&lt;=500,"",IF(LEN(INDEX('My equipment'!$T$4:$T$503,(_calc!$E$398-500)))=0,"",INDEX('My equipment'!$T$4:$T$503,(_calc!$E$398-500)))))</f>
        <v/>
      </c>
    </row>
    <row r="397">
      <c r="A397" s="54">
        <f>IF(_calc!$E$399="","",IF(_calc!$E$399&lt;=500,"Warranty – "&amp;IF(LEN(INDEX('Dealer pipeline'!$C$4:$C$503,_calc!$E$399))=0,"",INDEX('Dealer pipeline'!$C$4:$C$503,_calc!$E$399))&amp;" – "&amp;IF(LEN(INDEX('Dealer pipeline'!$D$4:$D$503,_calc!$E$399))=0,"",INDEX('Dealer pipeline'!$D$4:$D$503,_calc!$E$399))&amp;" – "&amp;IF(LEN(INDEX('Dealer pipeline'!$A$4:$A$503,_calc!$E$399))=0,"",INDEX('Dealer pipeline'!$A$4:$A$503,_calc!$E$399)),"Warranty – "&amp;IF(LEN(INDEX('My equipment'!$A$4:$A$503,(_calc!$E$399-500)))=0,"",INDEX('My equipment'!$A$4:$A$503,(_calc!$E$399-500)))&amp;" – "&amp;IF(LEN(INDEX('My equipment'!$D$4:$D$503,(_calc!$E$399-500)))=0,"",INDEX('My equipment'!$D$4:$D$503,(_calc!$E$399-500)))))</f>
        <v/>
      </c>
      <c r="B397" s="54">
        <f>IF(_calc!$E$399="","",IF(_calc!$E$399&lt;=500,IF(ISNUMBER(INDEX('Dealer pipeline'!$M$4:$M$503,_calc!$E$399)),TEXT(INDEX('Dealer pipeline'!$M$4:$M$503,_calc!$E$399),"yyyy-mm-dd"),""),IF(ISNUMBER(INDEX('My equipment'!$M$4:$M$503,(_calc!$E$399-500))),TEXT(INDEX('My equipment'!$M$4:$M$503,(_calc!$E$399-500)),"yyyy-mm-dd"),"")))</f>
        <v/>
      </c>
      <c r="C397" s="54">
        <f>IF(_calc!$E$399="","",IF(_calc!$E$399&lt;=500,"Warranty","Warranty"))</f>
        <v/>
      </c>
      <c r="D397" s="54">
        <f>IF(_calc!$E$399="","",IF(_calc!$E$399&lt;=500,IF(ISNUMBER(INDEX('Dealer pipeline'!$H$4:$H$503,_calc!$E$399)),TEXT(INDEX('Dealer pipeline'!$H$4:$H$503,_calc!$E$399),"yyyy-mm-dd"),""),IF(ISNUMBER(INDEX('My equipment'!$H$4:$H$503,(_calc!$E$399-500))),TEXT(INDEX('My equipment'!$H$4:$H$503,(_calc!$E$399-500)),"yyyy-mm-dd"),"")))</f>
        <v/>
      </c>
      <c r="F397" s="54">
        <f>IF(_calc!$E$399="","",IF(_calc!$E$399&lt;=500,TRIM(IF(LEN(IF(LEN(INDEX('Dealer pipeline'!$A$4:$A$503,_calc!$E$399))=0,"",INDEX('Dealer pipeline'!$A$4:$A$503,_calc!$E$399)))=0,"","Customer: "&amp;IF(LEN(INDEX('Dealer pipeline'!$A$4:$A$503,_calc!$E$399))=0,"",INDEX('Dealer pipeline'!$A$4:$A$503,_calc!$E$399))&amp;". ")&amp;IF(LEN(IF(LEN(INDEX('Dealer pipeline'!$B$4:$B$503,_calc!$E$399))=0,"",INDEX('Dealer pipeline'!$B$4:$B$503,_calc!$E$399)))=0,"","Contact: "&amp;IF(LEN(INDEX('Dealer pipeline'!$B$4:$B$503,_calc!$E$399))=0,"",INDEX('Dealer pipeline'!$B$4:$B$503,_calc!$E$399))&amp;". ")&amp;IF(LEN(IF(LEN(INDEX('Dealer pipeline'!$D$4:$D$503,_calc!$E$399))=0,"",INDEX('Dealer pipeline'!$D$4:$D$503,_calc!$E$399)))=0,"","Serial: "&amp;IF(LEN(INDEX('Dealer pipeline'!$D$4:$D$503,_calc!$E$399))=0,"",INDEX('Dealer pipeline'!$D$4:$D$503,_calc!$E$399))&amp;". ")&amp;IF(LEN(IF(ISNUMBER(INDEX('Dealer pipeline'!$J$4:$J$503,_calc!$E$399)),TEXT(INDEX('Dealer pipeline'!$J$4:$J$503,_calc!$E$399),"yyyy-mm-dd"),""))=0,"","Parts end: "&amp;IF(ISNUMBER(INDEX('Dealer pipeline'!$J$4:$J$503,_calc!$E$399)),TEXT(INDEX('Dealer pipeline'!$J$4:$J$503,_calc!$E$399),"yyyy-mm-dd"),"")&amp;". ")&amp;IF(LEN(IF(ISNUMBER(INDEX('Dealer pipeline'!$L$4:$L$503,_calc!$E$399)),TEXT(INDEX('Dealer pipeline'!$L$4:$L$503,_calc!$E$399),"yyyy-mm-dd"),""))=0,"","Labor end: "&amp;IF(ISNUMBER(INDEX('Dealer pipeline'!$L$4:$L$503,_calc!$E$399)),TEXT(INDEX('Dealer pipeline'!$L$4:$L$503,_calc!$E$399),"yyyy-mm-dd"),"")&amp;". ")&amp;IF(LEN(IF(LEN(INDEX('Dealer pipeline'!$Q$4:$Q$503,_calc!$E$399))=0,"",INDEX('Dealer pipeline'!$Q$4:$Q$503,_calc!$E$399)))=0,"","Status: "&amp;IF(LEN(INDEX('Dealer pipeline'!$Q$4:$Q$503,_calc!$E$399))=0,"",INDEX('Dealer pipeline'!$Q$4:$Q$503,_calc!$E$399))&amp;". ")&amp;IF(LEN(IF(LEN(INDEX('Dealer pipeline'!$P$4:$P$503,_calc!$E$399))=0,"",INDEX('Dealer pipeline'!$P$4:$P$503,_calc!$E$399)))=0,"","Last touch: "&amp;IF(LEN(INDEX('Dealer pipeline'!$P$4:$P$503,_calc!$E$399))=0,"",INDEX('Dealer pipeline'!$P$4:$P$503,_calc!$E$399))&amp;". ")&amp;IF(LEN(IF(LEN(INDEX('Dealer pipeline'!$R$4:$R$503,_calc!$E$399))=0,"",INDEX('Dealer pipeline'!$R$4:$R$503,_calc!$E$399)))=0,"","Owner: "&amp;IF(LEN(INDEX('Dealer pipeline'!$R$4:$R$503,_calc!$E$399))=0,"",INDEX('Dealer pipeline'!$R$4:$R$503,_calc!$E$399))&amp;". ")&amp;IF(LEN(IF(LEN(INDEX('Dealer pipeline'!$S$4:$S$503,_calc!$E$399))=0,"",INDEX('Dealer pipeline'!$S$4:$S$503,_calc!$E$399)))=0,"","Backup: "&amp;IF(LEN(INDEX('Dealer pipeline'!$S$4:$S$503,_calc!$E$399))=0,"",INDEX('Dealer pipeline'!$S$4:$S$503,_calc!$E$399))&amp;". ")&amp;IF(LEN(IF(LEN(INDEX('Dealer pipeline'!$T$4:$T$503,_calc!$E$399))=0,"",INDEX('Dealer pipeline'!$T$4:$T$503,_calc!$E$399)))=0,"",IF(LEN(INDEX('Dealer pipeline'!$T$4:$T$503,_calc!$E$399))=0,"",INDEX('Dealer pipeline'!$T$4:$T$503,_calc!$E$399)))),TRIM(IF(LEN(IF(LEN(INDEX('My equipment'!$C$4:$C$503,(_calc!$E$399-500)))=0,"",INDEX('My equipment'!$C$4:$C$503,(_calc!$E$399-500))))=0,"","Model: "&amp;IF(LEN(INDEX('My equipment'!$C$4:$C$503,(_calc!$E$399-500)))=0,"",INDEX('My equipment'!$C$4:$C$503,(_calc!$E$399-500)))&amp;". ")&amp;IF(LEN(IF(LEN(INDEX('My equipment'!$D$4:$D$503,(_calc!$E$399-500)))=0,"",INDEX('My equipment'!$D$4:$D$503,(_calc!$E$399-500))))=0,"","Serial: "&amp;IF(LEN(INDEX('My equipment'!$D$4:$D$503,(_calc!$E$399-500)))=0,"",INDEX('My equipment'!$D$4:$D$503,(_calc!$E$399-500)))&amp;". ")&amp;IF(LEN(IF(ISNUMBER(INDEX('My equipment'!$J$4:$J$503,(_calc!$E$399-500))),TEXT(INDEX('My equipment'!$J$4:$J$503,(_calc!$E$399-500)),"yyyy-mm-dd"),""))=0,"","Parts end: "&amp;IF(ISNUMBER(INDEX('My equipment'!$J$4:$J$503,(_calc!$E$399-500))),TEXT(INDEX('My equipment'!$J$4:$J$503,(_calc!$E$399-500)),"yyyy-mm-dd"),"")&amp;". ")&amp;IF(LEN(IF(ISNUMBER(INDEX('My equipment'!$L$4:$L$503,(_calc!$E$399-500))),TEXT(INDEX('My equipment'!$L$4:$L$503,(_calc!$E$399-500)),"yyyy-mm-dd"),""))=0,"","Labor end: "&amp;IF(ISNUMBER(INDEX('My equipment'!$L$4:$L$503,(_calc!$E$399-500))),TEXT(INDEX('My equipment'!$L$4:$L$503,(_calc!$E$399-500)),"yyyy-mm-dd"),"")&amp;". ")&amp;IF(LEN(IF(ISNUMBER(INDEX('My equipment'!$P$4:$P$503,(_calc!$E$399-500))),TEXT(INDEX('My equipment'!$P$4:$P$503,(_calc!$E$399-500)),"yyyy-mm-dd"),""))=0,"","Check by: "&amp;IF(ISNUMBER(INDEX('My equipment'!$P$4:$P$503,(_calc!$E$399-500))),TEXT(INDEX('My equipment'!$P$4:$P$503,(_calc!$E$399-500)),"yyyy-mm-dd"),"")&amp;". ")&amp;IF(LEN(IF(LEN(INDEX('My equipment'!$Q$4:$Q$503,(_calc!$E$399-500)))=0,"",INDEX('My equipment'!$Q$4:$Q$503,(_calc!$E$399-500))))=0,"","Claim status: "&amp;IF(LEN(INDEX('My equipment'!$Q$4:$Q$503,(_calc!$E$399-500)))=0,"",INDEX('My equipment'!$Q$4:$Q$503,(_calc!$E$399-500)))&amp;". ")&amp;IF(LEN(IF(LEN(INDEX('My equipment'!$R$4:$R$503,(_calc!$E$399-500)))=0,"",INDEX('My equipment'!$R$4:$R$503,(_calc!$E$399-500))))=0,"","Claims contact: "&amp;IF(LEN(INDEX('My equipment'!$R$4:$R$503,(_calc!$E$399-500)))=0,"",INDEX('My equipment'!$R$4:$R$503,(_calc!$E$399-500)))&amp;". ")&amp;IF(LEN(IF(LEN(INDEX('My equipment'!$S$4:$S$503,(_calc!$E$399-500)))=0,"",INDEX('My equipment'!$S$4:$S$503,(_calc!$E$399-500))))=0,"","Claims email: "&amp;IF(LEN(INDEX('My equipment'!$S$4:$S$503,(_calc!$E$399-500)))=0,"",INDEX('My equipment'!$S$4:$S$503,(_calc!$E$399-500)))&amp;". ")&amp;IF(LEN(IF(LEN(INDEX('My equipment'!$U$4:$U$503,(_calc!$E$399-500)))=0,"",INDEX('My equipment'!$U$4:$U$503,(_calc!$E$399-500))))=0,"","Registered: "&amp;IF(LEN(INDEX('My equipment'!$U$4:$U$503,(_calc!$E$399-500)))=0,"",INDEX('My equipment'!$U$4:$U$503,(_calc!$E$399-500)))&amp;". ")&amp;IF(LEN(IF(LEN(INDEX('My equipment'!$V$4:$V$503,(_calc!$E$399-500)))=0,"",INDEX('My equipment'!$V$4:$V$503,(_calc!$E$399-500))))=0,"","Proof on file: "&amp;IF(LEN(INDEX('My equipment'!$V$4:$V$503,(_calc!$E$399-500)))=0,"",INDEX('My equipment'!$V$4:$V$503,(_calc!$E$399-500)))&amp;". ")&amp;IF(LEN(IF(LEN(INDEX('My equipment'!$W$4:$W$503,(_calc!$E$399-500)))=0,"",INDEX('My equipment'!$W$4:$W$503,(_calc!$E$399-500))))=0,"","Claim ref: "&amp;IF(LEN(INDEX('My equipment'!$W$4:$W$503,(_calc!$E$399-500)))=0,"",INDEX('My equipment'!$W$4:$W$503,(_calc!$E$399-500)))&amp;". ")&amp;IF(LEN(IF(LEN(INDEX('My equipment'!$Y$4:$Y$503,(_calc!$E$399-500)))=0,"",INDEX('My equipment'!$Y$4:$Y$503,(_calc!$E$399-500))))=0,"",IF(LEN(INDEX('My equipment'!$Y$4:$Y$503,(_calc!$E$399-500)))=0,"",INDEX('My equipment'!$Y$4:$Y$503,(_calc!$E$399-500)))))))</f>
        <v/>
      </c>
      <c r="G397" s="54">
        <f>IF(_calc!$E$399="","",IF(_calc!$E$399&lt;=500,"",IF(LEN(INDEX('My equipment'!$X$4:$X$503,(_calc!$E$399-500)))=0,"",INDEX('My equipment'!$X$4:$X$503,(_calc!$E$399-500)))))</f>
        <v/>
      </c>
      <c r="K397" s="54">
        <f>IF(_calc!$E$399="","",IF(_calc!$E$399&lt;=500,"",IF(LEN(INDEX('My equipment'!$T$4:$T$503,(_calc!$E$399-500)))=0,"",INDEX('My equipment'!$T$4:$T$503,(_calc!$E$399-500)))))</f>
        <v/>
      </c>
    </row>
    <row r="398">
      <c r="A398" s="54">
        <f>IF(_calc!$E$400="","",IF(_calc!$E$400&lt;=500,"Warranty – "&amp;IF(LEN(INDEX('Dealer pipeline'!$C$4:$C$503,_calc!$E$400))=0,"",INDEX('Dealer pipeline'!$C$4:$C$503,_calc!$E$400))&amp;" – "&amp;IF(LEN(INDEX('Dealer pipeline'!$D$4:$D$503,_calc!$E$400))=0,"",INDEX('Dealer pipeline'!$D$4:$D$503,_calc!$E$400))&amp;" – "&amp;IF(LEN(INDEX('Dealer pipeline'!$A$4:$A$503,_calc!$E$400))=0,"",INDEX('Dealer pipeline'!$A$4:$A$503,_calc!$E$400)),"Warranty – "&amp;IF(LEN(INDEX('My equipment'!$A$4:$A$503,(_calc!$E$400-500)))=0,"",INDEX('My equipment'!$A$4:$A$503,(_calc!$E$400-500)))&amp;" – "&amp;IF(LEN(INDEX('My equipment'!$D$4:$D$503,(_calc!$E$400-500)))=0,"",INDEX('My equipment'!$D$4:$D$503,(_calc!$E$400-500)))))</f>
        <v/>
      </c>
      <c r="B398" s="54">
        <f>IF(_calc!$E$400="","",IF(_calc!$E$400&lt;=500,IF(ISNUMBER(INDEX('Dealer pipeline'!$M$4:$M$503,_calc!$E$400)),TEXT(INDEX('Dealer pipeline'!$M$4:$M$503,_calc!$E$400),"yyyy-mm-dd"),""),IF(ISNUMBER(INDEX('My equipment'!$M$4:$M$503,(_calc!$E$400-500))),TEXT(INDEX('My equipment'!$M$4:$M$503,(_calc!$E$400-500)),"yyyy-mm-dd"),"")))</f>
        <v/>
      </c>
      <c r="C398" s="54">
        <f>IF(_calc!$E$400="","",IF(_calc!$E$400&lt;=500,"Warranty","Warranty"))</f>
        <v/>
      </c>
      <c r="D398" s="54">
        <f>IF(_calc!$E$400="","",IF(_calc!$E$400&lt;=500,IF(ISNUMBER(INDEX('Dealer pipeline'!$H$4:$H$503,_calc!$E$400)),TEXT(INDEX('Dealer pipeline'!$H$4:$H$503,_calc!$E$400),"yyyy-mm-dd"),""),IF(ISNUMBER(INDEX('My equipment'!$H$4:$H$503,(_calc!$E$400-500))),TEXT(INDEX('My equipment'!$H$4:$H$503,(_calc!$E$400-500)),"yyyy-mm-dd"),"")))</f>
        <v/>
      </c>
      <c r="F398" s="54">
        <f>IF(_calc!$E$400="","",IF(_calc!$E$400&lt;=500,TRIM(IF(LEN(IF(LEN(INDEX('Dealer pipeline'!$A$4:$A$503,_calc!$E$400))=0,"",INDEX('Dealer pipeline'!$A$4:$A$503,_calc!$E$400)))=0,"","Customer: "&amp;IF(LEN(INDEX('Dealer pipeline'!$A$4:$A$503,_calc!$E$400))=0,"",INDEX('Dealer pipeline'!$A$4:$A$503,_calc!$E$400))&amp;". ")&amp;IF(LEN(IF(LEN(INDEX('Dealer pipeline'!$B$4:$B$503,_calc!$E$400))=0,"",INDEX('Dealer pipeline'!$B$4:$B$503,_calc!$E$400)))=0,"","Contact: "&amp;IF(LEN(INDEX('Dealer pipeline'!$B$4:$B$503,_calc!$E$400))=0,"",INDEX('Dealer pipeline'!$B$4:$B$503,_calc!$E$400))&amp;". ")&amp;IF(LEN(IF(LEN(INDEX('Dealer pipeline'!$D$4:$D$503,_calc!$E$400))=0,"",INDEX('Dealer pipeline'!$D$4:$D$503,_calc!$E$400)))=0,"","Serial: "&amp;IF(LEN(INDEX('Dealer pipeline'!$D$4:$D$503,_calc!$E$400))=0,"",INDEX('Dealer pipeline'!$D$4:$D$503,_calc!$E$400))&amp;". ")&amp;IF(LEN(IF(ISNUMBER(INDEX('Dealer pipeline'!$J$4:$J$503,_calc!$E$400)),TEXT(INDEX('Dealer pipeline'!$J$4:$J$503,_calc!$E$400),"yyyy-mm-dd"),""))=0,"","Parts end: "&amp;IF(ISNUMBER(INDEX('Dealer pipeline'!$J$4:$J$503,_calc!$E$400)),TEXT(INDEX('Dealer pipeline'!$J$4:$J$503,_calc!$E$400),"yyyy-mm-dd"),"")&amp;". ")&amp;IF(LEN(IF(ISNUMBER(INDEX('Dealer pipeline'!$L$4:$L$503,_calc!$E$400)),TEXT(INDEX('Dealer pipeline'!$L$4:$L$503,_calc!$E$400),"yyyy-mm-dd"),""))=0,"","Labor end: "&amp;IF(ISNUMBER(INDEX('Dealer pipeline'!$L$4:$L$503,_calc!$E$400)),TEXT(INDEX('Dealer pipeline'!$L$4:$L$503,_calc!$E$400),"yyyy-mm-dd"),"")&amp;". ")&amp;IF(LEN(IF(LEN(INDEX('Dealer pipeline'!$Q$4:$Q$503,_calc!$E$400))=0,"",INDEX('Dealer pipeline'!$Q$4:$Q$503,_calc!$E$400)))=0,"","Status: "&amp;IF(LEN(INDEX('Dealer pipeline'!$Q$4:$Q$503,_calc!$E$400))=0,"",INDEX('Dealer pipeline'!$Q$4:$Q$503,_calc!$E$400))&amp;". ")&amp;IF(LEN(IF(LEN(INDEX('Dealer pipeline'!$P$4:$P$503,_calc!$E$400))=0,"",INDEX('Dealer pipeline'!$P$4:$P$503,_calc!$E$400)))=0,"","Last touch: "&amp;IF(LEN(INDEX('Dealer pipeline'!$P$4:$P$503,_calc!$E$400))=0,"",INDEX('Dealer pipeline'!$P$4:$P$503,_calc!$E$400))&amp;". ")&amp;IF(LEN(IF(LEN(INDEX('Dealer pipeline'!$R$4:$R$503,_calc!$E$400))=0,"",INDEX('Dealer pipeline'!$R$4:$R$503,_calc!$E$400)))=0,"","Owner: "&amp;IF(LEN(INDEX('Dealer pipeline'!$R$4:$R$503,_calc!$E$400))=0,"",INDEX('Dealer pipeline'!$R$4:$R$503,_calc!$E$400))&amp;". ")&amp;IF(LEN(IF(LEN(INDEX('Dealer pipeline'!$S$4:$S$503,_calc!$E$400))=0,"",INDEX('Dealer pipeline'!$S$4:$S$503,_calc!$E$400)))=0,"","Backup: "&amp;IF(LEN(INDEX('Dealer pipeline'!$S$4:$S$503,_calc!$E$400))=0,"",INDEX('Dealer pipeline'!$S$4:$S$503,_calc!$E$400))&amp;". ")&amp;IF(LEN(IF(LEN(INDEX('Dealer pipeline'!$T$4:$T$503,_calc!$E$400))=0,"",INDEX('Dealer pipeline'!$T$4:$T$503,_calc!$E$400)))=0,"",IF(LEN(INDEX('Dealer pipeline'!$T$4:$T$503,_calc!$E$400))=0,"",INDEX('Dealer pipeline'!$T$4:$T$503,_calc!$E$400)))),TRIM(IF(LEN(IF(LEN(INDEX('My equipment'!$C$4:$C$503,(_calc!$E$400-500)))=0,"",INDEX('My equipment'!$C$4:$C$503,(_calc!$E$400-500))))=0,"","Model: "&amp;IF(LEN(INDEX('My equipment'!$C$4:$C$503,(_calc!$E$400-500)))=0,"",INDEX('My equipment'!$C$4:$C$503,(_calc!$E$400-500)))&amp;". ")&amp;IF(LEN(IF(LEN(INDEX('My equipment'!$D$4:$D$503,(_calc!$E$400-500)))=0,"",INDEX('My equipment'!$D$4:$D$503,(_calc!$E$400-500))))=0,"","Serial: "&amp;IF(LEN(INDEX('My equipment'!$D$4:$D$503,(_calc!$E$400-500)))=0,"",INDEX('My equipment'!$D$4:$D$503,(_calc!$E$400-500)))&amp;". ")&amp;IF(LEN(IF(ISNUMBER(INDEX('My equipment'!$J$4:$J$503,(_calc!$E$400-500))),TEXT(INDEX('My equipment'!$J$4:$J$503,(_calc!$E$400-500)),"yyyy-mm-dd"),""))=0,"","Parts end: "&amp;IF(ISNUMBER(INDEX('My equipment'!$J$4:$J$503,(_calc!$E$400-500))),TEXT(INDEX('My equipment'!$J$4:$J$503,(_calc!$E$400-500)),"yyyy-mm-dd"),"")&amp;". ")&amp;IF(LEN(IF(ISNUMBER(INDEX('My equipment'!$L$4:$L$503,(_calc!$E$400-500))),TEXT(INDEX('My equipment'!$L$4:$L$503,(_calc!$E$400-500)),"yyyy-mm-dd"),""))=0,"","Labor end: "&amp;IF(ISNUMBER(INDEX('My equipment'!$L$4:$L$503,(_calc!$E$400-500))),TEXT(INDEX('My equipment'!$L$4:$L$503,(_calc!$E$400-500)),"yyyy-mm-dd"),"")&amp;". ")&amp;IF(LEN(IF(ISNUMBER(INDEX('My equipment'!$P$4:$P$503,(_calc!$E$400-500))),TEXT(INDEX('My equipment'!$P$4:$P$503,(_calc!$E$400-500)),"yyyy-mm-dd"),""))=0,"","Check by: "&amp;IF(ISNUMBER(INDEX('My equipment'!$P$4:$P$503,(_calc!$E$400-500))),TEXT(INDEX('My equipment'!$P$4:$P$503,(_calc!$E$400-500)),"yyyy-mm-dd"),"")&amp;". ")&amp;IF(LEN(IF(LEN(INDEX('My equipment'!$Q$4:$Q$503,(_calc!$E$400-500)))=0,"",INDEX('My equipment'!$Q$4:$Q$503,(_calc!$E$400-500))))=0,"","Claim status: "&amp;IF(LEN(INDEX('My equipment'!$Q$4:$Q$503,(_calc!$E$400-500)))=0,"",INDEX('My equipment'!$Q$4:$Q$503,(_calc!$E$400-500)))&amp;". ")&amp;IF(LEN(IF(LEN(INDEX('My equipment'!$R$4:$R$503,(_calc!$E$400-500)))=0,"",INDEX('My equipment'!$R$4:$R$503,(_calc!$E$400-500))))=0,"","Claims contact: "&amp;IF(LEN(INDEX('My equipment'!$R$4:$R$503,(_calc!$E$400-500)))=0,"",INDEX('My equipment'!$R$4:$R$503,(_calc!$E$400-500)))&amp;". ")&amp;IF(LEN(IF(LEN(INDEX('My equipment'!$S$4:$S$503,(_calc!$E$400-500)))=0,"",INDEX('My equipment'!$S$4:$S$503,(_calc!$E$400-500))))=0,"","Claims email: "&amp;IF(LEN(INDEX('My equipment'!$S$4:$S$503,(_calc!$E$400-500)))=0,"",INDEX('My equipment'!$S$4:$S$503,(_calc!$E$400-500)))&amp;". ")&amp;IF(LEN(IF(LEN(INDEX('My equipment'!$U$4:$U$503,(_calc!$E$400-500)))=0,"",INDEX('My equipment'!$U$4:$U$503,(_calc!$E$400-500))))=0,"","Registered: "&amp;IF(LEN(INDEX('My equipment'!$U$4:$U$503,(_calc!$E$400-500)))=0,"",INDEX('My equipment'!$U$4:$U$503,(_calc!$E$400-500)))&amp;". ")&amp;IF(LEN(IF(LEN(INDEX('My equipment'!$V$4:$V$503,(_calc!$E$400-500)))=0,"",INDEX('My equipment'!$V$4:$V$503,(_calc!$E$400-500))))=0,"","Proof on file: "&amp;IF(LEN(INDEX('My equipment'!$V$4:$V$503,(_calc!$E$400-500)))=0,"",INDEX('My equipment'!$V$4:$V$503,(_calc!$E$400-500)))&amp;". ")&amp;IF(LEN(IF(LEN(INDEX('My equipment'!$W$4:$W$503,(_calc!$E$400-500)))=0,"",INDEX('My equipment'!$W$4:$W$503,(_calc!$E$400-500))))=0,"","Claim ref: "&amp;IF(LEN(INDEX('My equipment'!$W$4:$W$503,(_calc!$E$400-500)))=0,"",INDEX('My equipment'!$W$4:$W$503,(_calc!$E$400-500)))&amp;". ")&amp;IF(LEN(IF(LEN(INDEX('My equipment'!$Y$4:$Y$503,(_calc!$E$400-500)))=0,"",INDEX('My equipment'!$Y$4:$Y$503,(_calc!$E$400-500))))=0,"",IF(LEN(INDEX('My equipment'!$Y$4:$Y$503,(_calc!$E$400-500)))=0,"",INDEX('My equipment'!$Y$4:$Y$503,(_calc!$E$400-500)))))))</f>
        <v/>
      </c>
      <c r="G398" s="54">
        <f>IF(_calc!$E$400="","",IF(_calc!$E$400&lt;=500,"",IF(LEN(INDEX('My equipment'!$X$4:$X$503,(_calc!$E$400-500)))=0,"",INDEX('My equipment'!$X$4:$X$503,(_calc!$E$400-500)))))</f>
        <v/>
      </c>
      <c r="K398" s="54">
        <f>IF(_calc!$E$400="","",IF(_calc!$E$400&lt;=500,"",IF(LEN(INDEX('My equipment'!$T$4:$T$503,(_calc!$E$400-500)))=0,"",INDEX('My equipment'!$T$4:$T$503,(_calc!$E$400-500)))))</f>
        <v/>
      </c>
    </row>
    <row r="399">
      <c r="A399" s="54">
        <f>IF(_calc!$E$401="","",IF(_calc!$E$401&lt;=500,"Warranty – "&amp;IF(LEN(INDEX('Dealer pipeline'!$C$4:$C$503,_calc!$E$401))=0,"",INDEX('Dealer pipeline'!$C$4:$C$503,_calc!$E$401))&amp;" – "&amp;IF(LEN(INDEX('Dealer pipeline'!$D$4:$D$503,_calc!$E$401))=0,"",INDEX('Dealer pipeline'!$D$4:$D$503,_calc!$E$401))&amp;" – "&amp;IF(LEN(INDEX('Dealer pipeline'!$A$4:$A$503,_calc!$E$401))=0,"",INDEX('Dealer pipeline'!$A$4:$A$503,_calc!$E$401)),"Warranty – "&amp;IF(LEN(INDEX('My equipment'!$A$4:$A$503,(_calc!$E$401-500)))=0,"",INDEX('My equipment'!$A$4:$A$503,(_calc!$E$401-500)))&amp;" – "&amp;IF(LEN(INDEX('My equipment'!$D$4:$D$503,(_calc!$E$401-500)))=0,"",INDEX('My equipment'!$D$4:$D$503,(_calc!$E$401-500)))))</f>
        <v/>
      </c>
      <c r="B399" s="54">
        <f>IF(_calc!$E$401="","",IF(_calc!$E$401&lt;=500,IF(ISNUMBER(INDEX('Dealer pipeline'!$M$4:$M$503,_calc!$E$401)),TEXT(INDEX('Dealer pipeline'!$M$4:$M$503,_calc!$E$401),"yyyy-mm-dd"),""),IF(ISNUMBER(INDEX('My equipment'!$M$4:$M$503,(_calc!$E$401-500))),TEXT(INDEX('My equipment'!$M$4:$M$503,(_calc!$E$401-500)),"yyyy-mm-dd"),"")))</f>
        <v/>
      </c>
      <c r="C399" s="54">
        <f>IF(_calc!$E$401="","",IF(_calc!$E$401&lt;=500,"Warranty","Warranty"))</f>
        <v/>
      </c>
      <c r="D399" s="54">
        <f>IF(_calc!$E$401="","",IF(_calc!$E$401&lt;=500,IF(ISNUMBER(INDEX('Dealer pipeline'!$H$4:$H$503,_calc!$E$401)),TEXT(INDEX('Dealer pipeline'!$H$4:$H$503,_calc!$E$401),"yyyy-mm-dd"),""),IF(ISNUMBER(INDEX('My equipment'!$H$4:$H$503,(_calc!$E$401-500))),TEXT(INDEX('My equipment'!$H$4:$H$503,(_calc!$E$401-500)),"yyyy-mm-dd"),"")))</f>
        <v/>
      </c>
      <c r="F399" s="54">
        <f>IF(_calc!$E$401="","",IF(_calc!$E$401&lt;=500,TRIM(IF(LEN(IF(LEN(INDEX('Dealer pipeline'!$A$4:$A$503,_calc!$E$401))=0,"",INDEX('Dealer pipeline'!$A$4:$A$503,_calc!$E$401)))=0,"","Customer: "&amp;IF(LEN(INDEX('Dealer pipeline'!$A$4:$A$503,_calc!$E$401))=0,"",INDEX('Dealer pipeline'!$A$4:$A$503,_calc!$E$401))&amp;". ")&amp;IF(LEN(IF(LEN(INDEX('Dealer pipeline'!$B$4:$B$503,_calc!$E$401))=0,"",INDEX('Dealer pipeline'!$B$4:$B$503,_calc!$E$401)))=0,"","Contact: "&amp;IF(LEN(INDEX('Dealer pipeline'!$B$4:$B$503,_calc!$E$401))=0,"",INDEX('Dealer pipeline'!$B$4:$B$503,_calc!$E$401))&amp;". ")&amp;IF(LEN(IF(LEN(INDEX('Dealer pipeline'!$D$4:$D$503,_calc!$E$401))=0,"",INDEX('Dealer pipeline'!$D$4:$D$503,_calc!$E$401)))=0,"","Serial: "&amp;IF(LEN(INDEX('Dealer pipeline'!$D$4:$D$503,_calc!$E$401))=0,"",INDEX('Dealer pipeline'!$D$4:$D$503,_calc!$E$401))&amp;". ")&amp;IF(LEN(IF(ISNUMBER(INDEX('Dealer pipeline'!$J$4:$J$503,_calc!$E$401)),TEXT(INDEX('Dealer pipeline'!$J$4:$J$503,_calc!$E$401),"yyyy-mm-dd"),""))=0,"","Parts end: "&amp;IF(ISNUMBER(INDEX('Dealer pipeline'!$J$4:$J$503,_calc!$E$401)),TEXT(INDEX('Dealer pipeline'!$J$4:$J$503,_calc!$E$401),"yyyy-mm-dd"),"")&amp;". ")&amp;IF(LEN(IF(ISNUMBER(INDEX('Dealer pipeline'!$L$4:$L$503,_calc!$E$401)),TEXT(INDEX('Dealer pipeline'!$L$4:$L$503,_calc!$E$401),"yyyy-mm-dd"),""))=0,"","Labor end: "&amp;IF(ISNUMBER(INDEX('Dealer pipeline'!$L$4:$L$503,_calc!$E$401)),TEXT(INDEX('Dealer pipeline'!$L$4:$L$503,_calc!$E$401),"yyyy-mm-dd"),"")&amp;". ")&amp;IF(LEN(IF(LEN(INDEX('Dealer pipeline'!$Q$4:$Q$503,_calc!$E$401))=0,"",INDEX('Dealer pipeline'!$Q$4:$Q$503,_calc!$E$401)))=0,"","Status: "&amp;IF(LEN(INDEX('Dealer pipeline'!$Q$4:$Q$503,_calc!$E$401))=0,"",INDEX('Dealer pipeline'!$Q$4:$Q$503,_calc!$E$401))&amp;". ")&amp;IF(LEN(IF(LEN(INDEX('Dealer pipeline'!$P$4:$P$503,_calc!$E$401))=0,"",INDEX('Dealer pipeline'!$P$4:$P$503,_calc!$E$401)))=0,"","Last touch: "&amp;IF(LEN(INDEX('Dealer pipeline'!$P$4:$P$503,_calc!$E$401))=0,"",INDEX('Dealer pipeline'!$P$4:$P$503,_calc!$E$401))&amp;". ")&amp;IF(LEN(IF(LEN(INDEX('Dealer pipeline'!$R$4:$R$503,_calc!$E$401))=0,"",INDEX('Dealer pipeline'!$R$4:$R$503,_calc!$E$401)))=0,"","Owner: "&amp;IF(LEN(INDEX('Dealer pipeline'!$R$4:$R$503,_calc!$E$401))=0,"",INDEX('Dealer pipeline'!$R$4:$R$503,_calc!$E$401))&amp;". ")&amp;IF(LEN(IF(LEN(INDEX('Dealer pipeline'!$S$4:$S$503,_calc!$E$401))=0,"",INDEX('Dealer pipeline'!$S$4:$S$503,_calc!$E$401)))=0,"","Backup: "&amp;IF(LEN(INDEX('Dealer pipeline'!$S$4:$S$503,_calc!$E$401))=0,"",INDEX('Dealer pipeline'!$S$4:$S$503,_calc!$E$401))&amp;". ")&amp;IF(LEN(IF(LEN(INDEX('Dealer pipeline'!$T$4:$T$503,_calc!$E$401))=0,"",INDEX('Dealer pipeline'!$T$4:$T$503,_calc!$E$401)))=0,"",IF(LEN(INDEX('Dealer pipeline'!$T$4:$T$503,_calc!$E$401))=0,"",INDEX('Dealer pipeline'!$T$4:$T$503,_calc!$E$401)))),TRIM(IF(LEN(IF(LEN(INDEX('My equipment'!$C$4:$C$503,(_calc!$E$401-500)))=0,"",INDEX('My equipment'!$C$4:$C$503,(_calc!$E$401-500))))=0,"","Model: "&amp;IF(LEN(INDEX('My equipment'!$C$4:$C$503,(_calc!$E$401-500)))=0,"",INDEX('My equipment'!$C$4:$C$503,(_calc!$E$401-500)))&amp;". ")&amp;IF(LEN(IF(LEN(INDEX('My equipment'!$D$4:$D$503,(_calc!$E$401-500)))=0,"",INDEX('My equipment'!$D$4:$D$503,(_calc!$E$401-500))))=0,"","Serial: "&amp;IF(LEN(INDEX('My equipment'!$D$4:$D$503,(_calc!$E$401-500)))=0,"",INDEX('My equipment'!$D$4:$D$503,(_calc!$E$401-500)))&amp;". ")&amp;IF(LEN(IF(ISNUMBER(INDEX('My equipment'!$J$4:$J$503,(_calc!$E$401-500))),TEXT(INDEX('My equipment'!$J$4:$J$503,(_calc!$E$401-500)),"yyyy-mm-dd"),""))=0,"","Parts end: "&amp;IF(ISNUMBER(INDEX('My equipment'!$J$4:$J$503,(_calc!$E$401-500))),TEXT(INDEX('My equipment'!$J$4:$J$503,(_calc!$E$401-500)),"yyyy-mm-dd"),"")&amp;". ")&amp;IF(LEN(IF(ISNUMBER(INDEX('My equipment'!$L$4:$L$503,(_calc!$E$401-500))),TEXT(INDEX('My equipment'!$L$4:$L$503,(_calc!$E$401-500)),"yyyy-mm-dd"),""))=0,"","Labor end: "&amp;IF(ISNUMBER(INDEX('My equipment'!$L$4:$L$503,(_calc!$E$401-500))),TEXT(INDEX('My equipment'!$L$4:$L$503,(_calc!$E$401-500)),"yyyy-mm-dd"),"")&amp;". ")&amp;IF(LEN(IF(ISNUMBER(INDEX('My equipment'!$P$4:$P$503,(_calc!$E$401-500))),TEXT(INDEX('My equipment'!$P$4:$P$503,(_calc!$E$401-500)),"yyyy-mm-dd"),""))=0,"","Check by: "&amp;IF(ISNUMBER(INDEX('My equipment'!$P$4:$P$503,(_calc!$E$401-500))),TEXT(INDEX('My equipment'!$P$4:$P$503,(_calc!$E$401-500)),"yyyy-mm-dd"),"")&amp;". ")&amp;IF(LEN(IF(LEN(INDEX('My equipment'!$Q$4:$Q$503,(_calc!$E$401-500)))=0,"",INDEX('My equipment'!$Q$4:$Q$503,(_calc!$E$401-500))))=0,"","Claim status: "&amp;IF(LEN(INDEX('My equipment'!$Q$4:$Q$503,(_calc!$E$401-500)))=0,"",INDEX('My equipment'!$Q$4:$Q$503,(_calc!$E$401-500)))&amp;". ")&amp;IF(LEN(IF(LEN(INDEX('My equipment'!$R$4:$R$503,(_calc!$E$401-500)))=0,"",INDEX('My equipment'!$R$4:$R$503,(_calc!$E$401-500))))=0,"","Claims contact: "&amp;IF(LEN(INDEX('My equipment'!$R$4:$R$503,(_calc!$E$401-500)))=0,"",INDEX('My equipment'!$R$4:$R$503,(_calc!$E$401-500)))&amp;". ")&amp;IF(LEN(IF(LEN(INDEX('My equipment'!$S$4:$S$503,(_calc!$E$401-500)))=0,"",INDEX('My equipment'!$S$4:$S$503,(_calc!$E$401-500))))=0,"","Claims email: "&amp;IF(LEN(INDEX('My equipment'!$S$4:$S$503,(_calc!$E$401-500)))=0,"",INDEX('My equipment'!$S$4:$S$503,(_calc!$E$401-500)))&amp;". ")&amp;IF(LEN(IF(LEN(INDEX('My equipment'!$U$4:$U$503,(_calc!$E$401-500)))=0,"",INDEX('My equipment'!$U$4:$U$503,(_calc!$E$401-500))))=0,"","Registered: "&amp;IF(LEN(INDEX('My equipment'!$U$4:$U$503,(_calc!$E$401-500)))=0,"",INDEX('My equipment'!$U$4:$U$503,(_calc!$E$401-500)))&amp;". ")&amp;IF(LEN(IF(LEN(INDEX('My equipment'!$V$4:$V$503,(_calc!$E$401-500)))=0,"",INDEX('My equipment'!$V$4:$V$503,(_calc!$E$401-500))))=0,"","Proof on file: "&amp;IF(LEN(INDEX('My equipment'!$V$4:$V$503,(_calc!$E$401-500)))=0,"",INDEX('My equipment'!$V$4:$V$503,(_calc!$E$401-500)))&amp;". ")&amp;IF(LEN(IF(LEN(INDEX('My equipment'!$W$4:$W$503,(_calc!$E$401-500)))=0,"",INDEX('My equipment'!$W$4:$W$503,(_calc!$E$401-500))))=0,"","Claim ref: "&amp;IF(LEN(INDEX('My equipment'!$W$4:$W$503,(_calc!$E$401-500)))=0,"",INDEX('My equipment'!$W$4:$W$503,(_calc!$E$401-500)))&amp;". ")&amp;IF(LEN(IF(LEN(INDEX('My equipment'!$Y$4:$Y$503,(_calc!$E$401-500)))=0,"",INDEX('My equipment'!$Y$4:$Y$503,(_calc!$E$401-500))))=0,"",IF(LEN(INDEX('My equipment'!$Y$4:$Y$503,(_calc!$E$401-500)))=0,"",INDEX('My equipment'!$Y$4:$Y$503,(_calc!$E$401-500)))))))</f>
        <v/>
      </c>
      <c r="G399" s="54">
        <f>IF(_calc!$E$401="","",IF(_calc!$E$401&lt;=500,"",IF(LEN(INDEX('My equipment'!$X$4:$X$503,(_calc!$E$401-500)))=0,"",INDEX('My equipment'!$X$4:$X$503,(_calc!$E$401-500)))))</f>
        <v/>
      </c>
      <c r="K399" s="54">
        <f>IF(_calc!$E$401="","",IF(_calc!$E$401&lt;=500,"",IF(LEN(INDEX('My equipment'!$T$4:$T$503,(_calc!$E$401-500)))=0,"",INDEX('My equipment'!$T$4:$T$503,(_calc!$E$401-500)))))</f>
        <v/>
      </c>
    </row>
    <row r="400">
      <c r="A400" s="54">
        <f>IF(_calc!$E$402="","",IF(_calc!$E$402&lt;=500,"Warranty – "&amp;IF(LEN(INDEX('Dealer pipeline'!$C$4:$C$503,_calc!$E$402))=0,"",INDEX('Dealer pipeline'!$C$4:$C$503,_calc!$E$402))&amp;" – "&amp;IF(LEN(INDEX('Dealer pipeline'!$D$4:$D$503,_calc!$E$402))=0,"",INDEX('Dealer pipeline'!$D$4:$D$503,_calc!$E$402))&amp;" – "&amp;IF(LEN(INDEX('Dealer pipeline'!$A$4:$A$503,_calc!$E$402))=0,"",INDEX('Dealer pipeline'!$A$4:$A$503,_calc!$E$402)),"Warranty – "&amp;IF(LEN(INDEX('My equipment'!$A$4:$A$503,(_calc!$E$402-500)))=0,"",INDEX('My equipment'!$A$4:$A$503,(_calc!$E$402-500)))&amp;" – "&amp;IF(LEN(INDEX('My equipment'!$D$4:$D$503,(_calc!$E$402-500)))=0,"",INDEX('My equipment'!$D$4:$D$503,(_calc!$E$402-500)))))</f>
        <v/>
      </c>
      <c r="B400" s="54">
        <f>IF(_calc!$E$402="","",IF(_calc!$E$402&lt;=500,IF(ISNUMBER(INDEX('Dealer pipeline'!$M$4:$M$503,_calc!$E$402)),TEXT(INDEX('Dealer pipeline'!$M$4:$M$503,_calc!$E$402),"yyyy-mm-dd"),""),IF(ISNUMBER(INDEX('My equipment'!$M$4:$M$503,(_calc!$E$402-500))),TEXT(INDEX('My equipment'!$M$4:$M$503,(_calc!$E$402-500)),"yyyy-mm-dd"),"")))</f>
        <v/>
      </c>
      <c r="C400" s="54">
        <f>IF(_calc!$E$402="","",IF(_calc!$E$402&lt;=500,"Warranty","Warranty"))</f>
        <v/>
      </c>
      <c r="D400" s="54">
        <f>IF(_calc!$E$402="","",IF(_calc!$E$402&lt;=500,IF(ISNUMBER(INDEX('Dealer pipeline'!$H$4:$H$503,_calc!$E$402)),TEXT(INDEX('Dealer pipeline'!$H$4:$H$503,_calc!$E$402),"yyyy-mm-dd"),""),IF(ISNUMBER(INDEX('My equipment'!$H$4:$H$503,(_calc!$E$402-500))),TEXT(INDEX('My equipment'!$H$4:$H$503,(_calc!$E$402-500)),"yyyy-mm-dd"),"")))</f>
        <v/>
      </c>
      <c r="F400" s="54">
        <f>IF(_calc!$E$402="","",IF(_calc!$E$402&lt;=500,TRIM(IF(LEN(IF(LEN(INDEX('Dealer pipeline'!$A$4:$A$503,_calc!$E$402))=0,"",INDEX('Dealer pipeline'!$A$4:$A$503,_calc!$E$402)))=0,"","Customer: "&amp;IF(LEN(INDEX('Dealer pipeline'!$A$4:$A$503,_calc!$E$402))=0,"",INDEX('Dealer pipeline'!$A$4:$A$503,_calc!$E$402))&amp;". ")&amp;IF(LEN(IF(LEN(INDEX('Dealer pipeline'!$B$4:$B$503,_calc!$E$402))=0,"",INDEX('Dealer pipeline'!$B$4:$B$503,_calc!$E$402)))=0,"","Contact: "&amp;IF(LEN(INDEX('Dealer pipeline'!$B$4:$B$503,_calc!$E$402))=0,"",INDEX('Dealer pipeline'!$B$4:$B$503,_calc!$E$402))&amp;". ")&amp;IF(LEN(IF(LEN(INDEX('Dealer pipeline'!$D$4:$D$503,_calc!$E$402))=0,"",INDEX('Dealer pipeline'!$D$4:$D$503,_calc!$E$402)))=0,"","Serial: "&amp;IF(LEN(INDEX('Dealer pipeline'!$D$4:$D$503,_calc!$E$402))=0,"",INDEX('Dealer pipeline'!$D$4:$D$503,_calc!$E$402))&amp;". ")&amp;IF(LEN(IF(ISNUMBER(INDEX('Dealer pipeline'!$J$4:$J$503,_calc!$E$402)),TEXT(INDEX('Dealer pipeline'!$J$4:$J$503,_calc!$E$402),"yyyy-mm-dd"),""))=0,"","Parts end: "&amp;IF(ISNUMBER(INDEX('Dealer pipeline'!$J$4:$J$503,_calc!$E$402)),TEXT(INDEX('Dealer pipeline'!$J$4:$J$503,_calc!$E$402),"yyyy-mm-dd"),"")&amp;". ")&amp;IF(LEN(IF(ISNUMBER(INDEX('Dealer pipeline'!$L$4:$L$503,_calc!$E$402)),TEXT(INDEX('Dealer pipeline'!$L$4:$L$503,_calc!$E$402),"yyyy-mm-dd"),""))=0,"","Labor end: "&amp;IF(ISNUMBER(INDEX('Dealer pipeline'!$L$4:$L$503,_calc!$E$402)),TEXT(INDEX('Dealer pipeline'!$L$4:$L$503,_calc!$E$402),"yyyy-mm-dd"),"")&amp;". ")&amp;IF(LEN(IF(LEN(INDEX('Dealer pipeline'!$Q$4:$Q$503,_calc!$E$402))=0,"",INDEX('Dealer pipeline'!$Q$4:$Q$503,_calc!$E$402)))=0,"","Status: "&amp;IF(LEN(INDEX('Dealer pipeline'!$Q$4:$Q$503,_calc!$E$402))=0,"",INDEX('Dealer pipeline'!$Q$4:$Q$503,_calc!$E$402))&amp;". ")&amp;IF(LEN(IF(LEN(INDEX('Dealer pipeline'!$P$4:$P$503,_calc!$E$402))=0,"",INDEX('Dealer pipeline'!$P$4:$P$503,_calc!$E$402)))=0,"","Last touch: "&amp;IF(LEN(INDEX('Dealer pipeline'!$P$4:$P$503,_calc!$E$402))=0,"",INDEX('Dealer pipeline'!$P$4:$P$503,_calc!$E$402))&amp;". ")&amp;IF(LEN(IF(LEN(INDEX('Dealer pipeline'!$R$4:$R$503,_calc!$E$402))=0,"",INDEX('Dealer pipeline'!$R$4:$R$503,_calc!$E$402)))=0,"","Owner: "&amp;IF(LEN(INDEX('Dealer pipeline'!$R$4:$R$503,_calc!$E$402))=0,"",INDEX('Dealer pipeline'!$R$4:$R$503,_calc!$E$402))&amp;". ")&amp;IF(LEN(IF(LEN(INDEX('Dealer pipeline'!$S$4:$S$503,_calc!$E$402))=0,"",INDEX('Dealer pipeline'!$S$4:$S$503,_calc!$E$402)))=0,"","Backup: "&amp;IF(LEN(INDEX('Dealer pipeline'!$S$4:$S$503,_calc!$E$402))=0,"",INDEX('Dealer pipeline'!$S$4:$S$503,_calc!$E$402))&amp;". ")&amp;IF(LEN(IF(LEN(INDEX('Dealer pipeline'!$T$4:$T$503,_calc!$E$402))=0,"",INDEX('Dealer pipeline'!$T$4:$T$503,_calc!$E$402)))=0,"",IF(LEN(INDEX('Dealer pipeline'!$T$4:$T$503,_calc!$E$402))=0,"",INDEX('Dealer pipeline'!$T$4:$T$503,_calc!$E$402)))),TRIM(IF(LEN(IF(LEN(INDEX('My equipment'!$C$4:$C$503,(_calc!$E$402-500)))=0,"",INDEX('My equipment'!$C$4:$C$503,(_calc!$E$402-500))))=0,"","Model: "&amp;IF(LEN(INDEX('My equipment'!$C$4:$C$503,(_calc!$E$402-500)))=0,"",INDEX('My equipment'!$C$4:$C$503,(_calc!$E$402-500)))&amp;". ")&amp;IF(LEN(IF(LEN(INDEX('My equipment'!$D$4:$D$503,(_calc!$E$402-500)))=0,"",INDEX('My equipment'!$D$4:$D$503,(_calc!$E$402-500))))=0,"","Serial: "&amp;IF(LEN(INDEX('My equipment'!$D$4:$D$503,(_calc!$E$402-500)))=0,"",INDEX('My equipment'!$D$4:$D$503,(_calc!$E$402-500)))&amp;". ")&amp;IF(LEN(IF(ISNUMBER(INDEX('My equipment'!$J$4:$J$503,(_calc!$E$402-500))),TEXT(INDEX('My equipment'!$J$4:$J$503,(_calc!$E$402-500)),"yyyy-mm-dd"),""))=0,"","Parts end: "&amp;IF(ISNUMBER(INDEX('My equipment'!$J$4:$J$503,(_calc!$E$402-500))),TEXT(INDEX('My equipment'!$J$4:$J$503,(_calc!$E$402-500)),"yyyy-mm-dd"),"")&amp;". ")&amp;IF(LEN(IF(ISNUMBER(INDEX('My equipment'!$L$4:$L$503,(_calc!$E$402-500))),TEXT(INDEX('My equipment'!$L$4:$L$503,(_calc!$E$402-500)),"yyyy-mm-dd"),""))=0,"","Labor end: "&amp;IF(ISNUMBER(INDEX('My equipment'!$L$4:$L$503,(_calc!$E$402-500))),TEXT(INDEX('My equipment'!$L$4:$L$503,(_calc!$E$402-500)),"yyyy-mm-dd"),"")&amp;". ")&amp;IF(LEN(IF(ISNUMBER(INDEX('My equipment'!$P$4:$P$503,(_calc!$E$402-500))),TEXT(INDEX('My equipment'!$P$4:$P$503,(_calc!$E$402-500)),"yyyy-mm-dd"),""))=0,"","Check by: "&amp;IF(ISNUMBER(INDEX('My equipment'!$P$4:$P$503,(_calc!$E$402-500))),TEXT(INDEX('My equipment'!$P$4:$P$503,(_calc!$E$402-500)),"yyyy-mm-dd"),"")&amp;". ")&amp;IF(LEN(IF(LEN(INDEX('My equipment'!$Q$4:$Q$503,(_calc!$E$402-500)))=0,"",INDEX('My equipment'!$Q$4:$Q$503,(_calc!$E$402-500))))=0,"","Claim status: "&amp;IF(LEN(INDEX('My equipment'!$Q$4:$Q$503,(_calc!$E$402-500)))=0,"",INDEX('My equipment'!$Q$4:$Q$503,(_calc!$E$402-500)))&amp;". ")&amp;IF(LEN(IF(LEN(INDEX('My equipment'!$R$4:$R$503,(_calc!$E$402-500)))=0,"",INDEX('My equipment'!$R$4:$R$503,(_calc!$E$402-500))))=0,"","Claims contact: "&amp;IF(LEN(INDEX('My equipment'!$R$4:$R$503,(_calc!$E$402-500)))=0,"",INDEX('My equipment'!$R$4:$R$503,(_calc!$E$402-500)))&amp;". ")&amp;IF(LEN(IF(LEN(INDEX('My equipment'!$S$4:$S$503,(_calc!$E$402-500)))=0,"",INDEX('My equipment'!$S$4:$S$503,(_calc!$E$402-500))))=0,"","Claims email: "&amp;IF(LEN(INDEX('My equipment'!$S$4:$S$503,(_calc!$E$402-500)))=0,"",INDEX('My equipment'!$S$4:$S$503,(_calc!$E$402-500)))&amp;". ")&amp;IF(LEN(IF(LEN(INDEX('My equipment'!$U$4:$U$503,(_calc!$E$402-500)))=0,"",INDEX('My equipment'!$U$4:$U$503,(_calc!$E$402-500))))=0,"","Registered: "&amp;IF(LEN(INDEX('My equipment'!$U$4:$U$503,(_calc!$E$402-500)))=0,"",INDEX('My equipment'!$U$4:$U$503,(_calc!$E$402-500)))&amp;". ")&amp;IF(LEN(IF(LEN(INDEX('My equipment'!$V$4:$V$503,(_calc!$E$402-500)))=0,"",INDEX('My equipment'!$V$4:$V$503,(_calc!$E$402-500))))=0,"","Proof on file: "&amp;IF(LEN(INDEX('My equipment'!$V$4:$V$503,(_calc!$E$402-500)))=0,"",INDEX('My equipment'!$V$4:$V$503,(_calc!$E$402-500)))&amp;". ")&amp;IF(LEN(IF(LEN(INDEX('My equipment'!$W$4:$W$503,(_calc!$E$402-500)))=0,"",INDEX('My equipment'!$W$4:$W$503,(_calc!$E$402-500))))=0,"","Claim ref: "&amp;IF(LEN(INDEX('My equipment'!$W$4:$W$503,(_calc!$E$402-500)))=0,"",INDEX('My equipment'!$W$4:$W$503,(_calc!$E$402-500)))&amp;". ")&amp;IF(LEN(IF(LEN(INDEX('My equipment'!$Y$4:$Y$503,(_calc!$E$402-500)))=0,"",INDEX('My equipment'!$Y$4:$Y$503,(_calc!$E$402-500))))=0,"",IF(LEN(INDEX('My equipment'!$Y$4:$Y$503,(_calc!$E$402-500)))=0,"",INDEX('My equipment'!$Y$4:$Y$503,(_calc!$E$402-500)))))))</f>
        <v/>
      </c>
      <c r="G400" s="54">
        <f>IF(_calc!$E$402="","",IF(_calc!$E$402&lt;=500,"",IF(LEN(INDEX('My equipment'!$X$4:$X$503,(_calc!$E$402-500)))=0,"",INDEX('My equipment'!$X$4:$X$503,(_calc!$E$402-500)))))</f>
        <v/>
      </c>
      <c r="K400" s="54">
        <f>IF(_calc!$E$402="","",IF(_calc!$E$402&lt;=500,"",IF(LEN(INDEX('My equipment'!$T$4:$T$503,(_calc!$E$402-500)))=0,"",INDEX('My equipment'!$T$4:$T$503,(_calc!$E$402-500)))))</f>
        <v/>
      </c>
    </row>
    <row r="401">
      <c r="A401" s="54">
        <f>IF(_calc!$E$403="","",IF(_calc!$E$403&lt;=500,"Warranty – "&amp;IF(LEN(INDEX('Dealer pipeline'!$C$4:$C$503,_calc!$E$403))=0,"",INDEX('Dealer pipeline'!$C$4:$C$503,_calc!$E$403))&amp;" – "&amp;IF(LEN(INDEX('Dealer pipeline'!$D$4:$D$503,_calc!$E$403))=0,"",INDEX('Dealer pipeline'!$D$4:$D$503,_calc!$E$403))&amp;" – "&amp;IF(LEN(INDEX('Dealer pipeline'!$A$4:$A$503,_calc!$E$403))=0,"",INDEX('Dealer pipeline'!$A$4:$A$503,_calc!$E$403)),"Warranty – "&amp;IF(LEN(INDEX('My equipment'!$A$4:$A$503,(_calc!$E$403-500)))=0,"",INDEX('My equipment'!$A$4:$A$503,(_calc!$E$403-500)))&amp;" – "&amp;IF(LEN(INDEX('My equipment'!$D$4:$D$503,(_calc!$E$403-500)))=0,"",INDEX('My equipment'!$D$4:$D$503,(_calc!$E$403-500)))))</f>
        <v/>
      </c>
      <c r="B401" s="54">
        <f>IF(_calc!$E$403="","",IF(_calc!$E$403&lt;=500,IF(ISNUMBER(INDEX('Dealer pipeline'!$M$4:$M$503,_calc!$E$403)),TEXT(INDEX('Dealer pipeline'!$M$4:$M$503,_calc!$E$403),"yyyy-mm-dd"),""),IF(ISNUMBER(INDEX('My equipment'!$M$4:$M$503,(_calc!$E$403-500))),TEXT(INDEX('My equipment'!$M$4:$M$503,(_calc!$E$403-500)),"yyyy-mm-dd"),"")))</f>
        <v/>
      </c>
      <c r="C401" s="54">
        <f>IF(_calc!$E$403="","",IF(_calc!$E$403&lt;=500,"Warranty","Warranty"))</f>
        <v/>
      </c>
      <c r="D401" s="54">
        <f>IF(_calc!$E$403="","",IF(_calc!$E$403&lt;=500,IF(ISNUMBER(INDEX('Dealer pipeline'!$H$4:$H$503,_calc!$E$403)),TEXT(INDEX('Dealer pipeline'!$H$4:$H$503,_calc!$E$403),"yyyy-mm-dd"),""),IF(ISNUMBER(INDEX('My equipment'!$H$4:$H$503,(_calc!$E$403-500))),TEXT(INDEX('My equipment'!$H$4:$H$503,(_calc!$E$403-500)),"yyyy-mm-dd"),"")))</f>
        <v/>
      </c>
      <c r="F401" s="54">
        <f>IF(_calc!$E$403="","",IF(_calc!$E$403&lt;=500,TRIM(IF(LEN(IF(LEN(INDEX('Dealer pipeline'!$A$4:$A$503,_calc!$E$403))=0,"",INDEX('Dealer pipeline'!$A$4:$A$503,_calc!$E$403)))=0,"","Customer: "&amp;IF(LEN(INDEX('Dealer pipeline'!$A$4:$A$503,_calc!$E$403))=0,"",INDEX('Dealer pipeline'!$A$4:$A$503,_calc!$E$403))&amp;". ")&amp;IF(LEN(IF(LEN(INDEX('Dealer pipeline'!$B$4:$B$503,_calc!$E$403))=0,"",INDEX('Dealer pipeline'!$B$4:$B$503,_calc!$E$403)))=0,"","Contact: "&amp;IF(LEN(INDEX('Dealer pipeline'!$B$4:$B$503,_calc!$E$403))=0,"",INDEX('Dealer pipeline'!$B$4:$B$503,_calc!$E$403))&amp;". ")&amp;IF(LEN(IF(LEN(INDEX('Dealer pipeline'!$D$4:$D$503,_calc!$E$403))=0,"",INDEX('Dealer pipeline'!$D$4:$D$503,_calc!$E$403)))=0,"","Serial: "&amp;IF(LEN(INDEX('Dealer pipeline'!$D$4:$D$503,_calc!$E$403))=0,"",INDEX('Dealer pipeline'!$D$4:$D$503,_calc!$E$403))&amp;". ")&amp;IF(LEN(IF(ISNUMBER(INDEX('Dealer pipeline'!$J$4:$J$503,_calc!$E$403)),TEXT(INDEX('Dealer pipeline'!$J$4:$J$503,_calc!$E$403),"yyyy-mm-dd"),""))=0,"","Parts end: "&amp;IF(ISNUMBER(INDEX('Dealer pipeline'!$J$4:$J$503,_calc!$E$403)),TEXT(INDEX('Dealer pipeline'!$J$4:$J$503,_calc!$E$403),"yyyy-mm-dd"),"")&amp;". ")&amp;IF(LEN(IF(ISNUMBER(INDEX('Dealer pipeline'!$L$4:$L$503,_calc!$E$403)),TEXT(INDEX('Dealer pipeline'!$L$4:$L$503,_calc!$E$403),"yyyy-mm-dd"),""))=0,"","Labor end: "&amp;IF(ISNUMBER(INDEX('Dealer pipeline'!$L$4:$L$503,_calc!$E$403)),TEXT(INDEX('Dealer pipeline'!$L$4:$L$503,_calc!$E$403),"yyyy-mm-dd"),"")&amp;". ")&amp;IF(LEN(IF(LEN(INDEX('Dealer pipeline'!$Q$4:$Q$503,_calc!$E$403))=0,"",INDEX('Dealer pipeline'!$Q$4:$Q$503,_calc!$E$403)))=0,"","Status: "&amp;IF(LEN(INDEX('Dealer pipeline'!$Q$4:$Q$503,_calc!$E$403))=0,"",INDEX('Dealer pipeline'!$Q$4:$Q$503,_calc!$E$403))&amp;". ")&amp;IF(LEN(IF(LEN(INDEX('Dealer pipeline'!$P$4:$P$503,_calc!$E$403))=0,"",INDEX('Dealer pipeline'!$P$4:$P$503,_calc!$E$403)))=0,"","Last touch: "&amp;IF(LEN(INDEX('Dealer pipeline'!$P$4:$P$503,_calc!$E$403))=0,"",INDEX('Dealer pipeline'!$P$4:$P$503,_calc!$E$403))&amp;". ")&amp;IF(LEN(IF(LEN(INDEX('Dealer pipeline'!$R$4:$R$503,_calc!$E$403))=0,"",INDEX('Dealer pipeline'!$R$4:$R$503,_calc!$E$403)))=0,"","Owner: "&amp;IF(LEN(INDEX('Dealer pipeline'!$R$4:$R$503,_calc!$E$403))=0,"",INDEX('Dealer pipeline'!$R$4:$R$503,_calc!$E$403))&amp;". ")&amp;IF(LEN(IF(LEN(INDEX('Dealer pipeline'!$S$4:$S$503,_calc!$E$403))=0,"",INDEX('Dealer pipeline'!$S$4:$S$503,_calc!$E$403)))=0,"","Backup: "&amp;IF(LEN(INDEX('Dealer pipeline'!$S$4:$S$503,_calc!$E$403))=0,"",INDEX('Dealer pipeline'!$S$4:$S$503,_calc!$E$403))&amp;". ")&amp;IF(LEN(IF(LEN(INDEX('Dealer pipeline'!$T$4:$T$503,_calc!$E$403))=0,"",INDEX('Dealer pipeline'!$T$4:$T$503,_calc!$E$403)))=0,"",IF(LEN(INDEX('Dealer pipeline'!$T$4:$T$503,_calc!$E$403))=0,"",INDEX('Dealer pipeline'!$T$4:$T$503,_calc!$E$403)))),TRIM(IF(LEN(IF(LEN(INDEX('My equipment'!$C$4:$C$503,(_calc!$E$403-500)))=0,"",INDEX('My equipment'!$C$4:$C$503,(_calc!$E$403-500))))=0,"","Model: "&amp;IF(LEN(INDEX('My equipment'!$C$4:$C$503,(_calc!$E$403-500)))=0,"",INDEX('My equipment'!$C$4:$C$503,(_calc!$E$403-500)))&amp;". ")&amp;IF(LEN(IF(LEN(INDEX('My equipment'!$D$4:$D$503,(_calc!$E$403-500)))=0,"",INDEX('My equipment'!$D$4:$D$503,(_calc!$E$403-500))))=0,"","Serial: "&amp;IF(LEN(INDEX('My equipment'!$D$4:$D$503,(_calc!$E$403-500)))=0,"",INDEX('My equipment'!$D$4:$D$503,(_calc!$E$403-500)))&amp;". ")&amp;IF(LEN(IF(ISNUMBER(INDEX('My equipment'!$J$4:$J$503,(_calc!$E$403-500))),TEXT(INDEX('My equipment'!$J$4:$J$503,(_calc!$E$403-500)),"yyyy-mm-dd"),""))=0,"","Parts end: "&amp;IF(ISNUMBER(INDEX('My equipment'!$J$4:$J$503,(_calc!$E$403-500))),TEXT(INDEX('My equipment'!$J$4:$J$503,(_calc!$E$403-500)),"yyyy-mm-dd"),"")&amp;". ")&amp;IF(LEN(IF(ISNUMBER(INDEX('My equipment'!$L$4:$L$503,(_calc!$E$403-500))),TEXT(INDEX('My equipment'!$L$4:$L$503,(_calc!$E$403-500)),"yyyy-mm-dd"),""))=0,"","Labor end: "&amp;IF(ISNUMBER(INDEX('My equipment'!$L$4:$L$503,(_calc!$E$403-500))),TEXT(INDEX('My equipment'!$L$4:$L$503,(_calc!$E$403-500)),"yyyy-mm-dd"),"")&amp;". ")&amp;IF(LEN(IF(ISNUMBER(INDEX('My equipment'!$P$4:$P$503,(_calc!$E$403-500))),TEXT(INDEX('My equipment'!$P$4:$P$503,(_calc!$E$403-500)),"yyyy-mm-dd"),""))=0,"","Check by: "&amp;IF(ISNUMBER(INDEX('My equipment'!$P$4:$P$503,(_calc!$E$403-500))),TEXT(INDEX('My equipment'!$P$4:$P$503,(_calc!$E$403-500)),"yyyy-mm-dd"),"")&amp;". ")&amp;IF(LEN(IF(LEN(INDEX('My equipment'!$Q$4:$Q$503,(_calc!$E$403-500)))=0,"",INDEX('My equipment'!$Q$4:$Q$503,(_calc!$E$403-500))))=0,"","Claim status: "&amp;IF(LEN(INDEX('My equipment'!$Q$4:$Q$503,(_calc!$E$403-500)))=0,"",INDEX('My equipment'!$Q$4:$Q$503,(_calc!$E$403-500)))&amp;". ")&amp;IF(LEN(IF(LEN(INDEX('My equipment'!$R$4:$R$503,(_calc!$E$403-500)))=0,"",INDEX('My equipment'!$R$4:$R$503,(_calc!$E$403-500))))=0,"","Claims contact: "&amp;IF(LEN(INDEX('My equipment'!$R$4:$R$503,(_calc!$E$403-500)))=0,"",INDEX('My equipment'!$R$4:$R$503,(_calc!$E$403-500)))&amp;". ")&amp;IF(LEN(IF(LEN(INDEX('My equipment'!$S$4:$S$503,(_calc!$E$403-500)))=0,"",INDEX('My equipment'!$S$4:$S$503,(_calc!$E$403-500))))=0,"","Claims email: "&amp;IF(LEN(INDEX('My equipment'!$S$4:$S$503,(_calc!$E$403-500)))=0,"",INDEX('My equipment'!$S$4:$S$503,(_calc!$E$403-500)))&amp;". ")&amp;IF(LEN(IF(LEN(INDEX('My equipment'!$U$4:$U$503,(_calc!$E$403-500)))=0,"",INDEX('My equipment'!$U$4:$U$503,(_calc!$E$403-500))))=0,"","Registered: "&amp;IF(LEN(INDEX('My equipment'!$U$4:$U$503,(_calc!$E$403-500)))=0,"",INDEX('My equipment'!$U$4:$U$503,(_calc!$E$403-500)))&amp;". ")&amp;IF(LEN(IF(LEN(INDEX('My equipment'!$V$4:$V$503,(_calc!$E$403-500)))=0,"",INDEX('My equipment'!$V$4:$V$503,(_calc!$E$403-500))))=0,"","Proof on file: "&amp;IF(LEN(INDEX('My equipment'!$V$4:$V$503,(_calc!$E$403-500)))=0,"",INDEX('My equipment'!$V$4:$V$503,(_calc!$E$403-500)))&amp;". ")&amp;IF(LEN(IF(LEN(INDEX('My equipment'!$W$4:$W$503,(_calc!$E$403-500)))=0,"",INDEX('My equipment'!$W$4:$W$503,(_calc!$E$403-500))))=0,"","Claim ref: "&amp;IF(LEN(INDEX('My equipment'!$W$4:$W$503,(_calc!$E$403-500)))=0,"",INDEX('My equipment'!$W$4:$W$503,(_calc!$E$403-500)))&amp;". ")&amp;IF(LEN(IF(LEN(INDEX('My equipment'!$Y$4:$Y$503,(_calc!$E$403-500)))=0,"",INDEX('My equipment'!$Y$4:$Y$503,(_calc!$E$403-500))))=0,"",IF(LEN(INDEX('My equipment'!$Y$4:$Y$503,(_calc!$E$403-500)))=0,"",INDEX('My equipment'!$Y$4:$Y$503,(_calc!$E$403-500)))))))</f>
        <v/>
      </c>
      <c r="G401" s="54">
        <f>IF(_calc!$E$403="","",IF(_calc!$E$403&lt;=500,"",IF(LEN(INDEX('My equipment'!$X$4:$X$503,(_calc!$E$403-500)))=0,"",INDEX('My equipment'!$X$4:$X$503,(_calc!$E$403-500)))))</f>
        <v/>
      </c>
      <c r="K401" s="54">
        <f>IF(_calc!$E$403="","",IF(_calc!$E$403&lt;=500,"",IF(LEN(INDEX('My equipment'!$T$4:$T$503,(_calc!$E$403-500)))=0,"",INDEX('My equipment'!$T$4:$T$503,(_calc!$E$403-500)))))</f>
        <v/>
      </c>
    </row>
    <row r="402">
      <c r="A402" s="54">
        <f>IF(_calc!$E$404="","",IF(_calc!$E$404&lt;=500,"Warranty – "&amp;IF(LEN(INDEX('Dealer pipeline'!$C$4:$C$503,_calc!$E$404))=0,"",INDEX('Dealer pipeline'!$C$4:$C$503,_calc!$E$404))&amp;" – "&amp;IF(LEN(INDEX('Dealer pipeline'!$D$4:$D$503,_calc!$E$404))=0,"",INDEX('Dealer pipeline'!$D$4:$D$503,_calc!$E$404))&amp;" – "&amp;IF(LEN(INDEX('Dealer pipeline'!$A$4:$A$503,_calc!$E$404))=0,"",INDEX('Dealer pipeline'!$A$4:$A$503,_calc!$E$404)),"Warranty – "&amp;IF(LEN(INDEX('My equipment'!$A$4:$A$503,(_calc!$E$404-500)))=0,"",INDEX('My equipment'!$A$4:$A$503,(_calc!$E$404-500)))&amp;" – "&amp;IF(LEN(INDEX('My equipment'!$D$4:$D$503,(_calc!$E$404-500)))=0,"",INDEX('My equipment'!$D$4:$D$503,(_calc!$E$404-500)))))</f>
        <v/>
      </c>
      <c r="B402" s="54">
        <f>IF(_calc!$E$404="","",IF(_calc!$E$404&lt;=500,IF(ISNUMBER(INDEX('Dealer pipeline'!$M$4:$M$503,_calc!$E$404)),TEXT(INDEX('Dealer pipeline'!$M$4:$M$503,_calc!$E$404),"yyyy-mm-dd"),""),IF(ISNUMBER(INDEX('My equipment'!$M$4:$M$503,(_calc!$E$404-500))),TEXT(INDEX('My equipment'!$M$4:$M$503,(_calc!$E$404-500)),"yyyy-mm-dd"),"")))</f>
        <v/>
      </c>
      <c r="C402" s="54">
        <f>IF(_calc!$E$404="","",IF(_calc!$E$404&lt;=500,"Warranty","Warranty"))</f>
        <v/>
      </c>
      <c r="D402" s="54">
        <f>IF(_calc!$E$404="","",IF(_calc!$E$404&lt;=500,IF(ISNUMBER(INDEX('Dealer pipeline'!$H$4:$H$503,_calc!$E$404)),TEXT(INDEX('Dealer pipeline'!$H$4:$H$503,_calc!$E$404),"yyyy-mm-dd"),""),IF(ISNUMBER(INDEX('My equipment'!$H$4:$H$503,(_calc!$E$404-500))),TEXT(INDEX('My equipment'!$H$4:$H$503,(_calc!$E$404-500)),"yyyy-mm-dd"),"")))</f>
        <v/>
      </c>
      <c r="F402" s="54">
        <f>IF(_calc!$E$404="","",IF(_calc!$E$404&lt;=500,TRIM(IF(LEN(IF(LEN(INDEX('Dealer pipeline'!$A$4:$A$503,_calc!$E$404))=0,"",INDEX('Dealer pipeline'!$A$4:$A$503,_calc!$E$404)))=0,"","Customer: "&amp;IF(LEN(INDEX('Dealer pipeline'!$A$4:$A$503,_calc!$E$404))=0,"",INDEX('Dealer pipeline'!$A$4:$A$503,_calc!$E$404))&amp;". ")&amp;IF(LEN(IF(LEN(INDEX('Dealer pipeline'!$B$4:$B$503,_calc!$E$404))=0,"",INDEX('Dealer pipeline'!$B$4:$B$503,_calc!$E$404)))=0,"","Contact: "&amp;IF(LEN(INDEX('Dealer pipeline'!$B$4:$B$503,_calc!$E$404))=0,"",INDEX('Dealer pipeline'!$B$4:$B$503,_calc!$E$404))&amp;". ")&amp;IF(LEN(IF(LEN(INDEX('Dealer pipeline'!$D$4:$D$503,_calc!$E$404))=0,"",INDEX('Dealer pipeline'!$D$4:$D$503,_calc!$E$404)))=0,"","Serial: "&amp;IF(LEN(INDEX('Dealer pipeline'!$D$4:$D$503,_calc!$E$404))=0,"",INDEX('Dealer pipeline'!$D$4:$D$503,_calc!$E$404))&amp;". ")&amp;IF(LEN(IF(ISNUMBER(INDEX('Dealer pipeline'!$J$4:$J$503,_calc!$E$404)),TEXT(INDEX('Dealer pipeline'!$J$4:$J$503,_calc!$E$404),"yyyy-mm-dd"),""))=0,"","Parts end: "&amp;IF(ISNUMBER(INDEX('Dealer pipeline'!$J$4:$J$503,_calc!$E$404)),TEXT(INDEX('Dealer pipeline'!$J$4:$J$503,_calc!$E$404),"yyyy-mm-dd"),"")&amp;". ")&amp;IF(LEN(IF(ISNUMBER(INDEX('Dealer pipeline'!$L$4:$L$503,_calc!$E$404)),TEXT(INDEX('Dealer pipeline'!$L$4:$L$503,_calc!$E$404),"yyyy-mm-dd"),""))=0,"","Labor end: "&amp;IF(ISNUMBER(INDEX('Dealer pipeline'!$L$4:$L$503,_calc!$E$404)),TEXT(INDEX('Dealer pipeline'!$L$4:$L$503,_calc!$E$404),"yyyy-mm-dd"),"")&amp;". ")&amp;IF(LEN(IF(LEN(INDEX('Dealer pipeline'!$Q$4:$Q$503,_calc!$E$404))=0,"",INDEX('Dealer pipeline'!$Q$4:$Q$503,_calc!$E$404)))=0,"","Status: "&amp;IF(LEN(INDEX('Dealer pipeline'!$Q$4:$Q$503,_calc!$E$404))=0,"",INDEX('Dealer pipeline'!$Q$4:$Q$503,_calc!$E$404))&amp;". ")&amp;IF(LEN(IF(LEN(INDEX('Dealer pipeline'!$P$4:$P$503,_calc!$E$404))=0,"",INDEX('Dealer pipeline'!$P$4:$P$503,_calc!$E$404)))=0,"","Last touch: "&amp;IF(LEN(INDEX('Dealer pipeline'!$P$4:$P$503,_calc!$E$404))=0,"",INDEX('Dealer pipeline'!$P$4:$P$503,_calc!$E$404))&amp;". ")&amp;IF(LEN(IF(LEN(INDEX('Dealer pipeline'!$R$4:$R$503,_calc!$E$404))=0,"",INDEX('Dealer pipeline'!$R$4:$R$503,_calc!$E$404)))=0,"","Owner: "&amp;IF(LEN(INDEX('Dealer pipeline'!$R$4:$R$503,_calc!$E$404))=0,"",INDEX('Dealer pipeline'!$R$4:$R$503,_calc!$E$404))&amp;". ")&amp;IF(LEN(IF(LEN(INDEX('Dealer pipeline'!$S$4:$S$503,_calc!$E$404))=0,"",INDEX('Dealer pipeline'!$S$4:$S$503,_calc!$E$404)))=0,"","Backup: "&amp;IF(LEN(INDEX('Dealer pipeline'!$S$4:$S$503,_calc!$E$404))=0,"",INDEX('Dealer pipeline'!$S$4:$S$503,_calc!$E$404))&amp;". ")&amp;IF(LEN(IF(LEN(INDEX('Dealer pipeline'!$T$4:$T$503,_calc!$E$404))=0,"",INDEX('Dealer pipeline'!$T$4:$T$503,_calc!$E$404)))=0,"",IF(LEN(INDEX('Dealer pipeline'!$T$4:$T$503,_calc!$E$404))=0,"",INDEX('Dealer pipeline'!$T$4:$T$503,_calc!$E$404)))),TRIM(IF(LEN(IF(LEN(INDEX('My equipment'!$C$4:$C$503,(_calc!$E$404-500)))=0,"",INDEX('My equipment'!$C$4:$C$503,(_calc!$E$404-500))))=0,"","Model: "&amp;IF(LEN(INDEX('My equipment'!$C$4:$C$503,(_calc!$E$404-500)))=0,"",INDEX('My equipment'!$C$4:$C$503,(_calc!$E$404-500)))&amp;". ")&amp;IF(LEN(IF(LEN(INDEX('My equipment'!$D$4:$D$503,(_calc!$E$404-500)))=0,"",INDEX('My equipment'!$D$4:$D$503,(_calc!$E$404-500))))=0,"","Serial: "&amp;IF(LEN(INDEX('My equipment'!$D$4:$D$503,(_calc!$E$404-500)))=0,"",INDEX('My equipment'!$D$4:$D$503,(_calc!$E$404-500)))&amp;". ")&amp;IF(LEN(IF(ISNUMBER(INDEX('My equipment'!$J$4:$J$503,(_calc!$E$404-500))),TEXT(INDEX('My equipment'!$J$4:$J$503,(_calc!$E$404-500)),"yyyy-mm-dd"),""))=0,"","Parts end: "&amp;IF(ISNUMBER(INDEX('My equipment'!$J$4:$J$503,(_calc!$E$404-500))),TEXT(INDEX('My equipment'!$J$4:$J$503,(_calc!$E$404-500)),"yyyy-mm-dd"),"")&amp;". ")&amp;IF(LEN(IF(ISNUMBER(INDEX('My equipment'!$L$4:$L$503,(_calc!$E$404-500))),TEXT(INDEX('My equipment'!$L$4:$L$503,(_calc!$E$404-500)),"yyyy-mm-dd"),""))=0,"","Labor end: "&amp;IF(ISNUMBER(INDEX('My equipment'!$L$4:$L$503,(_calc!$E$404-500))),TEXT(INDEX('My equipment'!$L$4:$L$503,(_calc!$E$404-500)),"yyyy-mm-dd"),"")&amp;". ")&amp;IF(LEN(IF(ISNUMBER(INDEX('My equipment'!$P$4:$P$503,(_calc!$E$404-500))),TEXT(INDEX('My equipment'!$P$4:$P$503,(_calc!$E$404-500)),"yyyy-mm-dd"),""))=0,"","Check by: "&amp;IF(ISNUMBER(INDEX('My equipment'!$P$4:$P$503,(_calc!$E$404-500))),TEXT(INDEX('My equipment'!$P$4:$P$503,(_calc!$E$404-500)),"yyyy-mm-dd"),"")&amp;". ")&amp;IF(LEN(IF(LEN(INDEX('My equipment'!$Q$4:$Q$503,(_calc!$E$404-500)))=0,"",INDEX('My equipment'!$Q$4:$Q$503,(_calc!$E$404-500))))=0,"","Claim status: "&amp;IF(LEN(INDEX('My equipment'!$Q$4:$Q$503,(_calc!$E$404-500)))=0,"",INDEX('My equipment'!$Q$4:$Q$503,(_calc!$E$404-500)))&amp;". ")&amp;IF(LEN(IF(LEN(INDEX('My equipment'!$R$4:$R$503,(_calc!$E$404-500)))=0,"",INDEX('My equipment'!$R$4:$R$503,(_calc!$E$404-500))))=0,"","Claims contact: "&amp;IF(LEN(INDEX('My equipment'!$R$4:$R$503,(_calc!$E$404-500)))=0,"",INDEX('My equipment'!$R$4:$R$503,(_calc!$E$404-500)))&amp;". ")&amp;IF(LEN(IF(LEN(INDEX('My equipment'!$S$4:$S$503,(_calc!$E$404-500)))=0,"",INDEX('My equipment'!$S$4:$S$503,(_calc!$E$404-500))))=0,"","Claims email: "&amp;IF(LEN(INDEX('My equipment'!$S$4:$S$503,(_calc!$E$404-500)))=0,"",INDEX('My equipment'!$S$4:$S$503,(_calc!$E$404-500)))&amp;". ")&amp;IF(LEN(IF(LEN(INDEX('My equipment'!$U$4:$U$503,(_calc!$E$404-500)))=0,"",INDEX('My equipment'!$U$4:$U$503,(_calc!$E$404-500))))=0,"","Registered: "&amp;IF(LEN(INDEX('My equipment'!$U$4:$U$503,(_calc!$E$404-500)))=0,"",INDEX('My equipment'!$U$4:$U$503,(_calc!$E$404-500)))&amp;". ")&amp;IF(LEN(IF(LEN(INDEX('My equipment'!$V$4:$V$503,(_calc!$E$404-500)))=0,"",INDEX('My equipment'!$V$4:$V$503,(_calc!$E$404-500))))=0,"","Proof on file: "&amp;IF(LEN(INDEX('My equipment'!$V$4:$V$503,(_calc!$E$404-500)))=0,"",INDEX('My equipment'!$V$4:$V$503,(_calc!$E$404-500)))&amp;". ")&amp;IF(LEN(IF(LEN(INDEX('My equipment'!$W$4:$W$503,(_calc!$E$404-500)))=0,"",INDEX('My equipment'!$W$4:$W$503,(_calc!$E$404-500))))=0,"","Claim ref: "&amp;IF(LEN(INDEX('My equipment'!$W$4:$W$503,(_calc!$E$404-500)))=0,"",INDEX('My equipment'!$W$4:$W$503,(_calc!$E$404-500)))&amp;". ")&amp;IF(LEN(IF(LEN(INDEX('My equipment'!$Y$4:$Y$503,(_calc!$E$404-500)))=0,"",INDEX('My equipment'!$Y$4:$Y$503,(_calc!$E$404-500))))=0,"",IF(LEN(INDEX('My equipment'!$Y$4:$Y$503,(_calc!$E$404-500)))=0,"",INDEX('My equipment'!$Y$4:$Y$503,(_calc!$E$404-500)))))))</f>
        <v/>
      </c>
      <c r="G402" s="54">
        <f>IF(_calc!$E$404="","",IF(_calc!$E$404&lt;=500,"",IF(LEN(INDEX('My equipment'!$X$4:$X$503,(_calc!$E$404-500)))=0,"",INDEX('My equipment'!$X$4:$X$503,(_calc!$E$404-500)))))</f>
        <v/>
      </c>
      <c r="K402" s="54">
        <f>IF(_calc!$E$404="","",IF(_calc!$E$404&lt;=500,"",IF(LEN(INDEX('My equipment'!$T$4:$T$503,(_calc!$E$404-500)))=0,"",INDEX('My equipment'!$T$4:$T$503,(_calc!$E$404-500)))))</f>
        <v/>
      </c>
    </row>
    <row r="403">
      <c r="A403" s="54">
        <f>IF(_calc!$E$405="","",IF(_calc!$E$405&lt;=500,"Warranty – "&amp;IF(LEN(INDEX('Dealer pipeline'!$C$4:$C$503,_calc!$E$405))=0,"",INDEX('Dealer pipeline'!$C$4:$C$503,_calc!$E$405))&amp;" – "&amp;IF(LEN(INDEX('Dealer pipeline'!$D$4:$D$503,_calc!$E$405))=0,"",INDEX('Dealer pipeline'!$D$4:$D$503,_calc!$E$405))&amp;" – "&amp;IF(LEN(INDEX('Dealer pipeline'!$A$4:$A$503,_calc!$E$405))=0,"",INDEX('Dealer pipeline'!$A$4:$A$503,_calc!$E$405)),"Warranty – "&amp;IF(LEN(INDEX('My equipment'!$A$4:$A$503,(_calc!$E$405-500)))=0,"",INDEX('My equipment'!$A$4:$A$503,(_calc!$E$405-500)))&amp;" – "&amp;IF(LEN(INDEX('My equipment'!$D$4:$D$503,(_calc!$E$405-500)))=0,"",INDEX('My equipment'!$D$4:$D$503,(_calc!$E$405-500)))))</f>
        <v/>
      </c>
      <c r="B403" s="54">
        <f>IF(_calc!$E$405="","",IF(_calc!$E$405&lt;=500,IF(ISNUMBER(INDEX('Dealer pipeline'!$M$4:$M$503,_calc!$E$405)),TEXT(INDEX('Dealer pipeline'!$M$4:$M$503,_calc!$E$405),"yyyy-mm-dd"),""),IF(ISNUMBER(INDEX('My equipment'!$M$4:$M$503,(_calc!$E$405-500))),TEXT(INDEX('My equipment'!$M$4:$M$503,(_calc!$E$405-500)),"yyyy-mm-dd"),"")))</f>
        <v/>
      </c>
      <c r="C403" s="54">
        <f>IF(_calc!$E$405="","",IF(_calc!$E$405&lt;=500,"Warranty","Warranty"))</f>
        <v/>
      </c>
      <c r="D403" s="54">
        <f>IF(_calc!$E$405="","",IF(_calc!$E$405&lt;=500,IF(ISNUMBER(INDEX('Dealer pipeline'!$H$4:$H$503,_calc!$E$405)),TEXT(INDEX('Dealer pipeline'!$H$4:$H$503,_calc!$E$405),"yyyy-mm-dd"),""),IF(ISNUMBER(INDEX('My equipment'!$H$4:$H$503,(_calc!$E$405-500))),TEXT(INDEX('My equipment'!$H$4:$H$503,(_calc!$E$405-500)),"yyyy-mm-dd"),"")))</f>
        <v/>
      </c>
      <c r="F403" s="54">
        <f>IF(_calc!$E$405="","",IF(_calc!$E$405&lt;=500,TRIM(IF(LEN(IF(LEN(INDEX('Dealer pipeline'!$A$4:$A$503,_calc!$E$405))=0,"",INDEX('Dealer pipeline'!$A$4:$A$503,_calc!$E$405)))=0,"","Customer: "&amp;IF(LEN(INDEX('Dealer pipeline'!$A$4:$A$503,_calc!$E$405))=0,"",INDEX('Dealer pipeline'!$A$4:$A$503,_calc!$E$405))&amp;". ")&amp;IF(LEN(IF(LEN(INDEX('Dealer pipeline'!$B$4:$B$503,_calc!$E$405))=0,"",INDEX('Dealer pipeline'!$B$4:$B$503,_calc!$E$405)))=0,"","Contact: "&amp;IF(LEN(INDEX('Dealer pipeline'!$B$4:$B$503,_calc!$E$405))=0,"",INDEX('Dealer pipeline'!$B$4:$B$503,_calc!$E$405))&amp;". ")&amp;IF(LEN(IF(LEN(INDEX('Dealer pipeline'!$D$4:$D$503,_calc!$E$405))=0,"",INDEX('Dealer pipeline'!$D$4:$D$503,_calc!$E$405)))=0,"","Serial: "&amp;IF(LEN(INDEX('Dealer pipeline'!$D$4:$D$503,_calc!$E$405))=0,"",INDEX('Dealer pipeline'!$D$4:$D$503,_calc!$E$405))&amp;". ")&amp;IF(LEN(IF(ISNUMBER(INDEX('Dealer pipeline'!$J$4:$J$503,_calc!$E$405)),TEXT(INDEX('Dealer pipeline'!$J$4:$J$503,_calc!$E$405),"yyyy-mm-dd"),""))=0,"","Parts end: "&amp;IF(ISNUMBER(INDEX('Dealer pipeline'!$J$4:$J$503,_calc!$E$405)),TEXT(INDEX('Dealer pipeline'!$J$4:$J$503,_calc!$E$405),"yyyy-mm-dd"),"")&amp;". ")&amp;IF(LEN(IF(ISNUMBER(INDEX('Dealer pipeline'!$L$4:$L$503,_calc!$E$405)),TEXT(INDEX('Dealer pipeline'!$L$4:$L$503,_calc!$E$405),"yyyy-mm-dd"),""))=0,"","Labor end: "&amp;IF(ISNUMBER(INDEX('Dealer pipeline'!$L$4:$L$503,_calc!$E$405)),TEXT(INDEX('Dealer pipeline'!$L$4:$L$503,_calc!$E$405),"yyyy-mm-dd"),"")&amp;". ")&amp;IF(LEN(IF(LEN(INDEX('Dealer pipeline'!$Q$4:$Q$503,_calc!$E$405))=0,"",INDEX('Dealer pipeline'!$Q$4:$Q$503,_calc!$E$405)))=0,"","Status: "&amp;IF(LEN(INDEX('Dealer pipeline'!$Q$4:$Q$503,_calc!$E$405))=0,"",INDEX('Dealer pipeline'!$Q$4:$Q$503,_calc!$E$405))&amp;". ")&amp;IF(LEN(IF(LEN(INDEX('Dealer pipeline'!$P$4:$P$503,_calc!$E$405))=0,"",INDEX('Dealer pipeline'!$P$4:$P$503,_calc!$E$405)))=0,"","Last touch: "&amp;IF(LEN(INDEX('Dealer pipeline'!$P$4:$P$503,_calc!$E$405))=0,"",INDEX('Dealer pipeline'!$P$4:$P$503,_calc!$E$405))&amp;". ")&amp;IF(LEN(IF(LEN(INDEX('Dealer pipeline'!$R$4:$R$503,_calc!$E$405))=0,"",INDEX('Dealer pipeline'!$R$4:$R$503,_calc!$E$405)))=0,"","Owner: "&amp;IF(LEN(INDEX('Dealer pipeline'!$R$4:$R$503,_calc!$E$405))=0,"",INDEX('Dealer pipeline'!$R$4:$R$503,_calc!$E$405))&amp;". ")&amp;IF(LEN(IF(LEN(INDEX('Dealer pipeline'!$S$4:$S$503,_calc!$E$405))=0,"",INDEX('Dealer pipeline'!$S$4:$S$503,_calc!$E$405)))=0,"","Backup: "&amp;IF(LEN(INDEX('Dealer pipeline'!$S$4:$S$503,_calc!$E$405))=0,"",INDEX('Dealer pipeline'!$S$4:$S$503,_calc!$E$405))&amp;". ")&amp;IF(LEN(IF(LEN(INDEX('Dealer pipeline'!$T$4:$T$503,_calc!$E$405))=0,"",INDEX('Dealer pipeline'!$T$4:$T$503,_calc!$E$405)))=0,"",IF(LEN(INDEX('Dealer pipeline'!$T$4:$T$503,_calc!$E$405))=0,"",INDEX('Dealer pipeline'!$T$4:$T$503,_calc!$E$405)))),TRIM(IF(LEN(IF(LEN(INDEX('My equipment'!$C$4:$C$503,(_calc!$E$405-500)))=0,"",INDEX('My equipment'!$C$4:$C$503,(_calc!$E$405-500))))=0,"","Model: "&amp;IF(LEN(INDEX('My equipment'!$C$4:$C$503,(_calc!$E$405-500)))=0,"",INDEX('My equipment'!$C$4:$C$503,(_calc!$E$405-500)))&amp;". ")&amp;IF(LEN(IF(LEN(INDEX('My equipment'!$D$4:$D$503,(_calc!$E$405-500)))=0,"",INDEX('My equipment'!$D$4:$D$503,(_calc!$E$405-500))))=0,"","Serial: "&amp;IF(LEN(INDEX('My equipment'!$D$4:$D$503,(_calc!$E$405-500)))=0,"",INDEX('My equipment'!$D$4:$D$503,(_calc!$E$405-500)))&amp;". ")&amp;IF(LEN(IF(ISNUMBER(INDEX('My equipment'!$J$4:$J$503,(_calc!$E$405-500))),TEXT(INDEX('My equipment'!$J$4:$J$503,(_calc!$E$405-500)),"yyyy-mm-dd"),""))=0,"","Parts end: "&amp;IF(ISNUMBER(INDEX('My equipment'!$J$4:$J$503,(_calc!$E$405-500))),TEXT(INDEX('My equipment'!$J$4:$J$503,(_calc!$E$405-500)),"yyyy-mm-dd"),"")&amp;". ")&amp;IF(LEN(IF(ISNUMBER(INDEX('My equipment'!$L$4:$L$503,(_calc!$E$405-500))),TEXT(INDEX('My equipment'!$L$4:$L$503,(_calc!$E$405-500)),"yyyy-mm-dd"),""))=0,"","Labor end: "&amp;IF(ISNUMBER(INDEX('My equipment'!$L$4:$L$503,(_calc!$E$405-500))),TEXT(INDEX('My equipment'!$L$4:$L$503,(_calc!$E$405-500)),"yyyy-mm-dd"),"")&amp;". ")&amp;IF(LEN(IF(ISNUMBER(INDEX('My equipment'!$P$4:$P$503,(_calc!$E$405-500))),TEXT(INDEX('My equipment'!$P$4:$P$503,(_calc!$E$405-500)),"yyyy-mm-dd"),""))=0,"","Check by: "&amp;IF(ISNUMBER(INDEX('My equipment'!$P$4:$P$503,(_calc!$E$405-500))),TEXT(INDEX('My equipment'!$P$4:$P$503,(_calc!$E$405-500)),"yyyy-mm-dd"),"")&amp;". ")&amp;IF(LEN(IF(LEN(INDEX('My equipment'!$Q$4:$Q$503,(_calc!$E$405-500)))=0,"",INDEX('My equipment'!$Q$4:$Q$503,(_calc!$E$405-500))))=0,"","Claim status: "&amp;IF(LEN(INDEX('My equipment'!$Q$4:$Q$503,(_calc!$E$405-500)))=0,"",INDEX('My equipment'!$Q$4:$Q$503,(_calc!$E$405-500)))&amp;". ")&amp;IF(LEN(IF(LEN(INDEX('My equipment'!$R$4:$R$503,(_calc!$E$405-500)))=0,"",INDEX('My equipment'!$R$4:$R$503,(_calc!$E$405-500))))=0,"","Claims contact: "&amp;IF(LEN(INDEX('My equipment'!$R$4:$R$503,(_calc!$E$405-500)))=0,"",INDEX('My equipment'!$R$4:$R$503,(_calc!$E$405-500)))&amp;". ")&amp;IF(LEN(IF(LEN(INDEX('My equipment'!$S$4:$S$503,(_calc!$E$405-500)))=0,"",INDEX('My equipment'!$S$4:$S$503,(_calc!$E$405-500))))=0,"","Claims email: "&amp;IF(LEN(INDEX('My equipment'!$S$4:$S$503,(_calc!$E$405-500)))=0,"",INDEX('My equipment'!$S$4:$S$503,(_calc!$E$405-500)))&amp;". ")&amp;IF(LEN(IF(LEN(INDEX('My equipment'!$U$4:$U$503,(_calc!$E$405-500)))=0,"",INDEX('My equipment'!$U$4:$U$503,(_calc!$E$405-500))))=0,"","Registered: "&amp;IF(LEN(INDEX('My equipment'!$U$4:$U$503,(_calc!$E$405-500)))=0,"",INDEX('My equipment'!$U$4:$U$503,(_calc!$E$405-500)))&amp;". ")&amp;IF(LEN(IF(LEN(INDEX('My equipment'!$V$4:$V$503,(_calc!$E$405-500)))=0,"",INDEX('My equipment'!$V$4:$V$503,(_calc!$E$405-500))))=0,"","Proof on file: "&amp;IF(LEN(INDEX('My equipment'!$V$4:$V$503,(_calc!$E$405-500)))=0,"",INDEX('My equipment'!$V$4:$V$503,(_calc!$E$405-500)))&amp;". ")&amp;IF(LEN(IF(LEN(INDEX('My equipment'!$W$4:$W$503,(_calc!$E$405-500)))=0,"",INDEX('My equipment'!$W$4:$W$503,(_calc!$E$405-500))))=0,"","Claim ref: "&amp;IF(LEN(INDEX('My equipment'!$W$4:$W$503,(_calc!$E$405-500)))=0,"",INDEX('My equipment'!$W$4:$W$503,(_calc!$E$405-500)))&amp;". ")&amp;IF(LEN(IF(LEN(INDEX('My equipment'!$Y$4:$Y$503,(_calc!$E$405-500)))=0,"",INDEX('My equipment'!$Y$4:$Y$503,(_calc!$E$405-500))))=0,"",IF(LEN(INDEX('My equipment'!$Y$4:$Y$503,(_calc!$E$405-500)))=0,"",INDEX('My equipment'!$Y$4:$Y$503,(_calc!$E$405-500)))))))</f>
        <v/>
      </c>
      <c r="G403" s="54">
        <f>IF(_calc!$E$405="","",IF(_calc!$E$405&lt;=500,"",IF(LEN(INDEX('My equipment'!$X$4:$X$503,(_calc!$E$405-500)))=0,"",INDEX('My equipment'!$X$4:$X$503,(_calc!$E$405-500)))))</f>
        <v/>
      </c>
      <c r="K403" s="54">
        <f>IF(_calc!$E$405="","",IF(_calc!$E$405&lt;=500,"",IF(LEN(INDEX('My equipment'!$T$4:$T$503,(_calc!$E$405-500)))=0,"",INDEX('My equipment'!$T$4:$T$503,(_calc!$E$405-500)))))</f>
        <v/>
      </c>
    </row>
    <row r="404">
      <c r="A404" s="54">
        <f>IF(_calc!$E$406="","",IF(_calc!$E$406&lt;=500,"Warranty – "&amp;IF(LEN(INDEX('Dealer pipeline'!$C$4:$C$503,_calc!$E$406))=0,"",INDEX('Dealer pipeline'!$C$4:$C$503,_calc!$E$406))&amp;" – "&amp;IF(LEN(INDEX('Dealer pipeline'!$D$4:$D$503,_calc!$E$406))=0,"",INDEX('Dealer pipeline'!$D$4:$D$503,_calc!$E$406))&amp;" – "&amp;IF(LEN(INDEX('Dealer pipeline'!$A$4:$A$503,_calc!$E$406))=0,"",INDEX('Dealer pipeline'!$A$4:$A$503,_calc!$E$406)),"Warranty – "&amp;IF(LEN(INDEX('My equipment'!$A$4:$A$503,(_calc!$E$406-500)))=0,"",INDEX('My equipment'!$A$4:$A$503,(_calc!$E$406-500)))&amp;" – "&amp;IF(LEN(INDEX('My equipment'!$D$4:$D$503,(_calc!$E$406-500)))=0,"",INDEX('My equipment'!$D$4:$D$503,(_calc!$E$406-500)))))</f>
        <v/>
      </c>
      <c r="B404" s="54">
        <f>IF(_calc!$E$406="","",IF(_calc!$E$406&lt;=500,IF(ISNUMBER(INDEX('Dealer pipeline'!$M$4:$M$503,_calc!$E$406)),TEXT(INDEX('Dealer pipeline'!$M$4:$M$503,_calc!$E$406),"yyyy-mm-dd"),""),IF(ISNUMBER(INDEX('My equipment'!$M$4:$M$503,(_calc!$E$406-500))),TEXT(INDEX('My equipment'!$M$4:$M$503,(_calc!$E$406-500)),"yyyy-mm-dd"),"")))</f>
        <v/>
      </c>
      <c r="C404" s="54">
        <f>IF(_calc!$E$406="","",IF(_calc!$E$406&lt;=500,"Warranty","Warranty"))</f>
        <v/>
      </c>
      <c r="D404" s="54">
        <f>IF(_calc!$E$406="","",IF(_calc!$E$406&lt;=500,IF(ISNUMBER(INDEX('Dealer pipeline'!$H$4:$H$503,_calc!$E$406)),TEXT(INDEX('Dealer pipeline'!$H$4:$H$503,_calc!$E$406),"yyyy-mm-dd"),""),IF(ISNUMBER(INDEX('My equipment'!$H$4:$H$503,(_calc!$E$406-500))),TEXT(INDEX('My equipment'!$H$4:$H$503,(_calc!$E$406-500)),"yyyy-mm-dd"),"")))</f>
        <v/>
      </c>
      <c r="F404" s="54">
        <f>IF(_calc!$E$406="","",IF(_calc!$E$406&lt;=500,TRIM(IF(LEN(IF(LEN(INDEX('Dealer pipeline'!$A$4:$A$503,_calc!$E$406))=0,"",INDEX('Dealer pipeline'!$A$4:$A$503,_calc!$E$406)))=0,"","Customer: "&amp;IF(LEN(INDEX('Dealer pipeline'!$A$4:$A$503,_calc!$E$406))=0,"",INDEX('Dealer pipeline'!$A$4:$A$503,_calc!$E$406))&amp;". ")&amp;IF(LEN(IF(LEN(INDEX('Dealer pipeline'!$B$4:$B$503,_calc!$E$406))=0,"",INDEX('Dealer pipeline'!$B$4:$B$503,_calc!$E$406)))=0,"","Contact: "&amp;IF(LEN(INDEX('Dealer pipeline'!$B$4:$B$503,_calc!$E$406))=0,"",INDEX('Dealer pipeline'!$B$4:$B$503,_calc!$E$406))&amp;". ")&amp;IF(LEN(IF(LEN(INDEX('Dealer pipeline'!$D$4:$D$503,_calc!$E$406))=0,"",INDEX('Dealer pipeline'!$D$4:$D$503,_calc!$E$406)))=0,"","Serial: "&amp;IF(LEN(INDEX('Dealer pipeline'!$D$4:$D$503,_calc!$E$406))=0,"",INDEX('Dealer pipeline'!$D$4:$D$503,_calc!$E$406))&amp;". ")&amp;IF(LEN(IF(ISNUMBER(INDEX('Dealer pipeline'!$J$4:$J$503,_calc!$E$406)),TEXT(INDEX('Dealer pipeline'!$J$4:$J$503,_calc!$E$406),"yyyy-mm-dd"),""))=0,"","Parts end: "&amp;IF(ISNUMBER(INDEX('Dealer pipeline'!$J$4:$J$503,_calc!$E$406)),TEXT(INDEX('Dealer pipeline'!$J$4:$J$503,_calc!$E$406),"yyyy-mm-dd"),"")&amp;". ")&amp;IF(LEN(IF(ISNUMBER(INDEX('Dealer pipeline'!$L$4:$L$503,_calc!$E$406)),TEXT(INDEX('Dealer pipeline'!$L$4:$L$503,_calc!$E$406),"yyyy-mm-dd"),""))=0,"","Labor end: "&amp;IF(ISNUMBER(INDEX('Dealer pipeline'!$L$4:$L$503,_calc!$E$406)),TEXT(INDEX('Dealer pipeline'!$L$4:$L$503,_calc!$E$406),"yyyy-mm-dd"),"")&amp;". ")&amp;IF(LEN(IF(LEN(INDEX('Dealer pipeline'!$Q$4:$Q$503,_calc!$E$406))=0,"",INDEX('Dealer pipeline'!$Q$4:$Q$503,_calc!$E$406)))=0,"","Status: "&amp;IF(LEN(INDEX('Dealer pipeline'!$Q$4:$Q$503,_calc!$E$406))=0,"",INDEX('Dealer pipeline'!$Q$4:$Q$503,_calc!$E$406))&amp;". ")&amp;IF(LEN(IF(LEN(INDEX('Dealer pipeline'!$P$4:$P$503,_calc!$E$406))=0,"",INDEX('Dealer pipeline'!$P$4:$P$503,_calc!$E$406)))=0,"","Last touch: "&amp;IF(LEN(INDEX('Dealer pipeline'!$P$4:$P$503,_calc!$E$406))=0,"",INDEX('Dealer pipeline'!$P$4:$P$503,_calc!$E$406))&amp;". ")&amp;IF(LEN(IF(LEN(INDEX('Dealer pipeline'!$R$4:$R$503,_calc!$E$406))=0,"",INDEX('Dealer pipeline'!$R$4:$R$503,_calc!$E$406)))=0,"","Owner: "&amp;IF(LEN(INDEX('Dealer pipeline'!$R$4:$R$503,_calc!$E$406))=0,"",INDEX('Dealer pipeline'!$R$4:$R$503,_calc!$E$406))&amp;". ")&amp;IF(LEN(IF(LEN(INDEX('Dealer pipeline'!$S$4:$S$503,_calc!$E$406))=0,"",INDEX('Dealer pipeline'!$S$4:$S$503,_calc!$E$406)))=0,"","Backup: "&amp;IF(LEN(INDEX('Dealer pipeline'!$S$4:$S$503,_calc!$E$406))=0,"",INDEX('Dealer pipeline'!$S$4:$S$503,_calc!$E$406))&amp;". ")&amp;IF(LEN(IF(LEN(INDEX('Dealer pipeline'!$T$4:$T$503,_calc!$E$406))=0,"",INDEX('Dealer pipeline'!$T$4:$T$503,_calc!$E$406)))=0,"",IF(LEN(INDEX('Dealer pipeline'!$T$4:$T$503,_calc!$E$406))=0,"",INDEX('Dealer pipeline'!$T$4:$T$503,_calc!$E$406)))),TRIM(IF(LEN(IF(LEN(INDEX('My equipment'!$C$4:$C$503,(_calc!$E$406-500)))=0,"",INDEX('My equipment'!$C$4:$C$503,(_calc!$E$406-500))))=0,"","Model: "&amp;IF(LEN(INDEX('My equipment'!$C$4:$C$503,(_calc!$E$406-500)))=0,"",INDEX('My equipment'!$C$4:$C$503,(_calc!$E$406-500)))&amp;". ")&amp;IF(LEN(IF(LEN(INDEX('My equipment'!$D$4:$D$503,(_calc!$E$406-500)))=0,"",INDEX('My equipment'!$D$4:$D$503,(_calc!$E$406-500))))=0,"","Serial: "&amp;IF(LEN(INDEX('My equipment'!$D$4:$D$503,(_calc!$E$406-500)))=0,"",INDEX('My equipment'!$D$4:$D$503,(_calc!$E$406-500)))&amp;". ")&amp;IF(LEN(IF(ISNUMBER(INDEX('My equipment'!$J$4:$J$503,(_calc!$E$406-500))),TEXT(INDEX('My equipment'!$J$4:$J$503,(_calc!$E$406-500)),"yyyy-mm-dd"),""))=0,"","Parts end: "&amp;IF(ISNUMBER(INDEX('My equipment'!$J$4:$J$503,(_calc!$E$406-500))),TEXT(INDEX('My equipment'!$J$4:$J$503,(_calc!$E$406-500)),"yyyy-mm-dd"),"")&amp;". ")&amp;IF(LEN(IF(ISNUMBER(INDEX('My equipment'!$L$4:$L$503,(_calc!$E$406-500))),TEXT(INDEX('My equipment'!$L$4:$L$503,(_calc!$E$406-500)),"yyyy-mm-dd"),""))=0,"","Labor end: "&amp;IF(ISNUMBER(INDEX('My equipment'!$L$4:$L$503,(_calc!$E$406-500))),TEXT(INDEX('My equipment'!$L$4:$L$503,(_calc!$E$406-500)),"yyyy-mm-dd"),"")&amp;". ")&amp;IF(LEN(IF(ISNUMBER(INDEX('My equipment'!$P$4:$P$503,(_calc!$E$406-500))),TEXT(INDEX('My equipment'!$P$4:$P$503,(_calc!$E$406-500)),"yyyy-mm-dd"),""))=0,"","Check by: "&amp;IF(ISNUMBER(INDEX('My equipment'!$P$4:$P$503,(_calc!$E$406-500))),TEXT(INDEX('My equipment'!$P$4:$P$503,(_calc!$E$406-500)),"yyyy-mm-dd"),"")&amp;". ")&amp;IF(LEN(IF(LEN(INDEX('My equipment'!$Q$4:$Q$503,(_calc!$E$406-500)))=0,"",INDEX('My equipment'!$Q$4:$Q$503,(_calc!$E$406-500))))=0,"","Claim status: "&amp;IF(LEN(INDEX('My equipment'!$Q$4:$Q$503,(_calc!$E$406-500)))=0,"",INDEX('My equipment'!$Q$4:$Q$503,(_calc!$E$406-500)))&amp;". ")&amp;IF(LEN(IF(LEN(INDEX('My equipment'!$R$4:$R$503,(_calc!$E$406-500)))=0,"",INDEX('My equipment'!$R$4:$R$503,(_calc!$E$406-500))))=0,"","Claims contact: "&amp;IF(LEN(INDEX('My equipment'!$R$4:$R$503,(_calc!$E$406-500)))=0,"",INDEX('My equipment'!$R$4:$R$503,(_calc!$E$406-500)))&amp;". ")&amp;IF(LEN(IF(LEN(INDEX('My equipment'!$S$4:$S$503,(_calc!$E$406-500)))=0,"",INDEX('My equipment'!$S$4:$S$503,(_calc!$E$406-500))))=0,"","Claims email: "&amp;IF(LEN(INDEX('My equipment'!$S$4:$S$503,(_calc!$E$406-500)))=0,"",INDEX('My equipment'!$S$4:$S$503,(_calc!$E$406-500)))&amp;". ")&amp;IF(LEN(IF(LEN(INDEX('My equipment'!$U$4:$U$503,(_calc!$E$406-500)))=0,"",INDEX('My equipment'!$U$4:$U$503,(_calc!$E$406-500))))=0,"","Registered: "&amp;IF(LEN(INDEX('My equipment'!$U$4:$U$503,(_calc!$E$406-500)))=0,"",INDEX('My equipment'!$U$4:$U$503,(_calc!$E$406-500)))&amp;". ")&amp;IF(LEN(IF(LEN(INDEX('My equipment'!$V$4:$V$503,(_calc!$E$406-500)))=0,"",INDEX('My equipment'!$V$4:$V$503,(_calc!$E$406-500))))=0,"","Proof on file: "&amp;IF(LEN(INDEX('My equipment'!$V$4:$V$503,(_calc!$E$406-500)))=0,"",INDEX('My equipment'!$V$4:$V$503,(_calc!$E$406-500)))&amp;". ")&amp;IF(LEN(IF(LEN(INDEX('My equipment'!$W$4:$W$503,(_calc!$E$406-500)))=0,"",INDEX('My equipment'!$W$4:$W$503,(_calc!$E$406-500))))=0,"","Claim ref: "&amp;IF(LEN(INDEX('My equipment'!$W$4:$W$503,(_calc!$E$406-500)))=0,"",INDEX('My equipment'!$W$4:$W$503,(_calc!$E$406-500)))&amp;". ")&amp;IF(LEN(IF(LEN(INDEX('My equipment'!$Y$4:$Y$503,(_calc!$E$406-500)))=0,"",INDEX('My equipment'!$Y$4:$Y$503,(_calc!$E$406-500))))=0,"",IF(LEN(INDEX('My equipment'!$Y$4:$Y$503,(_calc!$E$406-500)))=0,"",INDEX('My equipment'!$Y$4:$Y$503,(_calc!$E$406-500)))))))</f>
        <v/>
      </c>
      <c r="G404" s="54">
        <f>IF(_calc!$E$406="","",IF(_calc!$E$406&lt;=500,"",IF(LEN(INDEX('My equipment'!$X$4:$X$503,(_calc!$E$406-500)))=0,"",INDEX('My equipment'!$X$4:$X$503,(_calc!$E$406-500)))))</f>
        <v/>
      </c>
      <c r="K404" s="54">
        <f>IF(_calc!$E$406="","",IF(_calc!$E$406&lt;=500,"",IF(LEN(INDEX('My equipment'!$T$4:$T$503,(_calc!$E$406-500)))=0,"",INDEX('My equipment'!$T$4:$T$503,(_calc!$E$406-500)))))</f>
        <v/>
      </c>
    </row>
    <row r="405">
      <c r="A405" s="54">
        <f>IF(_calc!$E$407="","",IF(_calc!$E$407&lt;=500,"Warranty – "&amp;IF(LEN(INDEX('Dealer pipeline'!$C$4:$C$503,_calc!$E$407))=0,"",INDEX('Dealer pipeline'!$C$4:$C$503,_calc!$E$407))&amp;" – "&amp;IF(LEN(INDEX('Dealer pipeline'!$D$4:$D$503,_calc!$E$407))=0,"",INDEX('Dealer pipeline'!$D$4:$D$503,_calc!$E$407))&amp;" – "&amp;IF(LEN(INDEX('Dealer pipeline'!$A$4:$A$503,_calc!$E$407))=0,"",INDEX('Dealer pipeline'!$A$4:$A$503,_calc!$E$407)),"Warranty – "&amp;IF(LEN(INDEX('My equipment'!$A$4:$A$503,(_calc!$E$407-500)))=0,"",INDEX('My equipment'!$A$4:$A$503,(_calc!$E$407-500)))&amp;" – "&amp;IF(LEN(INDEX('My equipment'!$D$4:$D$503,(_calc!$E$407-500)))=0,"",INDEX('My equipment'!$D$4:$D$503,(_calc!$E$407-500)))))</f>
        <v/>
      </c>
      <c r="B405" s="54">
        <f>IF(_calc!$E$407="","",IF(_calc!$E$407&lt;=500,IF(ISNUMBER(INDEX('Dealer pipeline'!$M$4:$M$503,_calc!$E$407)),TEXT(INDEX('Dealer pipeline'!$M$4:$M$503,_calc!$E$407),"yyyy-mm-dd"),""),IF(ISNUMBER(INDEX('My equipment'!$M$4:$M$503,(_calc!$E$407-500))),TEXT(INDEX('My equipment'!$M$4:$M$503,(_calc!$E$407-500)),"yyyy-mm-dd"),"")))</f>
        <v/>
      </c>
      <c r="C405" s="54">
        <f>IF(_calc!$E$407="","",IF(_calc!$E$407&lt;=500,"Warranty","Warranty"))</f>
        <v/>
      </c>
      <c r="D405" s="54">
        <f>IF(_calc!$E$407="","",IF(_calc!$E$407&lt;=500,IF(ISNUMBER(INDEX('Dealer pipeline'!$H$4:$H$503,_calc!$E$407)),TEXT(INDEX('Dealer pipeline'!$H$4:$H$503,_calc!$E$407),"yyyy-mm-dd"),""),IF(ISNUMBER(INDEX('My equipment'!$H$4:$H$503,(_calc!$E$407-500))),TEXT(INDEX('My equipment'!$H$4:$H$503,(_calc!$E$407-500)),"yyyy-mm-dd"),"")))</f>
        <v/>
      </c>
      <c r="F405" s="54">
        <f>IF(_calc!$E$407="","",IF(_calc!$E$407&lt;=500,TRIM(IF(LEN(IF(LEN(INDEX('Dealer pipeline'!$A$4:$A$503,_calc!$E$407))=0,"",INDEX('Dealer pipeline'!$A$4:$A$503,_calc!$E$407)))=0,"","Customer: "&amp;IF(LEN(INDEX('Dealer pipeline'!$A$4:$A$503,_calc!$E$407))=0,"",INDEX('Dealer pipeline'!$A$4:$A$503,_calc!$E$407))&amp;". ")&amp;IF(LEN(IF(LEN(INDEX('Dealer pipeline'!$B$4:$B$503,_calc!$E$407))=0,"",INDEX('Dealer pipeline'!$B$4:$B$503,_calc!$E$407)))=0,"","Contact: "&amp;IF(LEN(INDEX('Dealer pipeline'!$B$4:$B$503,_calc!$E$407))=0,"",INDEX('Dealer pipeline'!$B$4:$B$503,_calc!$E$407))&amp;". ")&amp;IF(LEN(IF(LEN(INDEX('Dealer pipeline'!$D$4:$D$503,_calc!$E$407))=0,"",INDEX('Dealer pipeline'!$D$4:$D$503,_calc!$E$407)))=0,"","Serial: "&amp;IF(LEN(INDEX('Dealer pipeline'!$D$4:$D$503,_calc!$E$407))=0,"",INDEX('Dealer pipeline'!$D$4:$D$503,_calc!$E$407))&amp;". ")&amp;IF(LEN(IF(ISNUMBER(INDEX('Dealer pipeline'!$J$4:$J$503,_calc!$E$407)),TEXT(INDEX('Dealer pipeline'!$J$4:$J$503,_calc!$E$407),"yyyy-mm-dd"),""))=0,"","Parts end: "&amp;IF(ISNUMBER(INDEX('Dealer pipeline'!$J$4:$J$503,_calc!$E$407)),TEXT(INDEX('Dealer pipeline'!$J$4:$J$503,_calc!$E$407),"yyyy-mm-dd"),"")&amp;". ")&amp;IF(LEN(IF(ISNUMBER(INDEX('Dealer pipeline'!$L$4:$L$503,_calc!$E$407)),TEXT(INDEX('Dealer pipeline'!$L$4:$L$503,_calc!$E$407),"yyyy-mm-dd"),""))=0,"","Labor end: "&amp;IF(ISNUMBER(INDEX('Dealer pipeline'!$L$4:$L$503,_calc!$E$407)),TEXT(INDEX('Dealer pipeline'!$L$4:$L$503,_calc!$E$407),"yyyy-mm-dd"),"")&amp;". ")&amp;IF(LEN(IF(LEN(INDEX('Dealer pipeline'!$Q$4:$Q$503,_calc!$E$407))=0,"",INDEX('Dealer pipeline'!$Q$4:$Q$503,_calc!$E$407)))=0,"","Status: "&amp;IF(LEN(INDEX('Dealer pipeline'!$Q$4:$Q$503,_calc!$E$407))=0,"",INDEX('Dealer pipeline'!$Q$4:$Q$503,_calc!$E$407))&amp;". ")&amp;IF(LEN(IF(LEN(INDEX('Dealer pipeline'!$P$4:$P$503,_calc!$E$407))=0,"",INDEX('Dealer pipeline'!$P$4:$P$503,_calc!$E$407)))=0,"","Last touch: "&amp;IF(LEN(INDEX('Dealer pipeline'!$P$4:$P$503,_calc!$E$407))=0,"",INDEX('Dealer pipeline'!$P$4:$P$503,_calc!$E$407))&amp;". ")&amp;IF(LEN(IF(LEN(INDEX('Dealer pipeline'!$R$4:$R$503,_calc!$E$407))=0,"",INDEX('Dealer pipeline'!$R$4:$R$503,_calc!$E$407)))=0,"","Owner: "&amp;IF(LEN(INDEX('Dealer pipeline'!$R$4:$R$503,_calc!$E$407))=0,"",INDEX('Dealer pipeline'!$R$4:$R$503,_calc!$E$407))&amp;". ")&amp;IF(LEN(IF(LEN(INDEX('Dealer pipeline'!$S$4:$S$503,_calc!$E$407))=0,"",INDEX('Dealer pipeline'!$S$4:$S$503,_calc!$E$407)))=0,"","Backup: "&amp;IF(LEN(INDEX('Dealer pipeline'!$S$4:$S$503,_calc!$E$407))=0,"",INDEX('Dealer pipeline'!$S$4:$S$503,_calc!$E$407))&amp;". ")&amp;IF(LEN(IF(LEN(INDEX('Dealer pipeline'!$T$4:$T$503,_calc!$E$407))=0,"",INDEX('Dealer pipeline'!$T$4:$T$503,_calc!$E$407)))=0,"",IF(LEN(INDEX('Dealer pipeline'!$T$4:$T$503,_calc!$E$407))=0,"",INDEX('Dealer pipeline'!$T$4:$T$503,_calc!$E$407)))),TRIM(IF(LEN(IF(LEN(INDEX('My equipment'!$C$4:$C$503,(_calc!$E$407-500)))=0,"",INDEX('My equipment'!$C$4:$C$503,(_calc!$E$407-500))))=0,"","Model: "&amp;IF(LEN(INDEX('My equipment'!$C$4:$C$503,(_calc!$E$407-500)))=0,"",INDEX('My equipment'!$C$4:$C$503,(_calc!$E$407-500)))&amp;". ")&amp;IF(LEN(IF(LEN(INDEX('My equipment'!$D$4:$D$503,(_calc!$E$407-500)))=0,"",INDEX('My equipment'!$D$4:$D$503,(_calc!$E$407-500))))=0,"","Serial: "&amp;IF(LEN(INDEX('My equipment'!$D$4:$D$503,(_calc!$E$407-500)))=0,"",INDEX('My equipment'!$D$4:$D$503,(_calc!$E$407-500)))&amp;". ")&amp;IF(LEN(IF(ISNUMBER(INDEX('My equipment'!$J$4:$J$503,(_calc!$E$407-500))),TEXT(INDEX('My equipment'!$J$4:$J$503,(_calc!$E$407-500)),"yyyy-mm-dd"),""))=0,"","Parts end: "&amp;IF(ISNUMBER(INDEX('My equipment'!$J$4:$J$503,(_calc!$E$407-500))),TEXT(INDEX('My equipment'!$J$4:$J$503,(_calc!$E$407-500)),"yyyy-mm-dd"),"")&amp;". ")&amp;IF(LEN(IF(ISNUMBER(INDEX('My equipment'!$L$4:$L$503,(_calc!$E$407-500))),TEXT(INDEX('My equipment'!$L$4:$L$503,(_calc!$E$407-500)),"yyyy-mm-dd"),""))=0,"","Labor end: "&amp;IF(ISNUMBER(INDEX('My equipment'!$L$4:$L$503,(_calc!$E$407-500))),TEXT(INDEX('My equipment'!$L$4:$L$503,(_calc!$E$407-500)),"yyyy-mm-dd"),"")&amp;". ")&amp;IF(LEN(IF(ISNUMBER(INDEX('My equipment'!$P$4:$P$503,(_calc!$E$407-500))),TEXT(INDEX('My equipment'!$P$4:$P$503,(_calc!$E$407-500)),"yyyy-mm-dd"),""))=0,"","Check by: "&amp;IF(ISNUMBER(INDEX('My equipment'!$P$4:$P$503,(_calc!$E$407-500))),TEXT(INDEX('My equipment'!$P$4:$P$503,(_calc!$E$407-500)),"yyyy-mm-dd"),"")&amp;". ")&amp;IF(LEN(IF(LEN(INDEX('My equipment'!$Q$4:$Q$503,(_calc!$E$407-500)))=0,"",INDEX('My equipment'!$Q$4:$Q$503,(_calc!$E$407-500))))=0,"","Claim status: "&amp;IF(LEN(INDEX('My equipment'!$Q$4:$Q$503,(_calc!$E$407-500)))=0,"",INDEX('My equipment'!$Q$4:$Q$503,(_calc!$E$407-500)))&amp;". ")&amp;IF(LEN(IF(LEN(INDEX('My equipment'!$R$4:$R$503,(_calc!$E$407-500)))=0,"",INDEX('My equipment'!$R$4:$R$503,(_calc!$E$407-500))))=0,"","Claims contact: "&amp;IF(LEN(INDEX('My equipment'!$R$4:$R$503,(_calc!$E$407-500)))=0,"",INDEX('My equipment'!$R$4:$R$503,(_calc!$E$407-500)))&amp;". ")&amp;IF(LEN(IF(LEN(INDEX('My equipment'!$S$4:$S$503,(_calc!$E$407-500)))=0,"",INDEX('My equipment'!$S$4:$S$503,(_calc!$E$407-500))))=0,"","Claims email: "&amp;IF(LEN(INDEX('My equipment'!$S$4:$S$503,(_calc!$E$407-500)))=0,"",INDEX('My equipment'!$S$4:$S$503,(_calc!$E$407-500)))&amp;". ")&amp;IF(LEN(IF(LEN(INDEX('My equipment'!$U$4:$U$503,(_calc!$E$407-500)))=0,"",INDEX('My equipment'!$U$4:$U$503,(_calc!$E$407-500))))=0,"","Registered: "&amp;IF(LEN(INDEX('My equipment'!$U$4:$U$503,(_calc!$E$407-500)))=0,"",INDEX('My equipment'!$U$4:$U$503,(_calc!$E$407-500)))&amp;". ")&amp;IF(LEN(IF(LEN(INDEX('My equipment'!$V$4:$V$503,(_calc!$E$407-500)))=0,"",INDEX('My equipment'!$V$4:$V$503,(_calc!$E$407-500))))=0,"","Proof on file: "&amp;IF(LEN(INDEX('My equipment'!$V$4:$V$503,(_calc!$E$407-500)))=0,"",INDEX('My equipment'!$V$4:$V$503,(_calc!$E$407-500)))&amp;". ")&amp;IF(LEN(IF(LEN(INDEX('My equipment'!$W$4:$W$503,(_calc!$E$407-500)))=0,"",INDEX('My equipment'!$W$4:$W$503,(_calc!$E$407-500))))=0,"","Claim ref: "&amp;IF(LEN(INDEX('My equipment'!$W$4:$W$503,(_calc!$E$407-500)))=0,"",INDEX('My equipment'!$W$4:$W$503,(_calc!$E$407-500)))&amp;". ")&amp;IF(LEN(IF(LEN(INDEX('My equipment'!$Y$4:$Y$503,(_calc!$E$407-500)))=0,"",INDEX('My equipment'!$Y$4:$Y$503,(_calc!$E$407-500))))=0,"",IF(LEN(INDEX('My equipment'!$Y$4:$Y$503,(_calc!$E$407-500)))=0,"",INDEX('My equipment'!$Y$4:$Y$503,(_calc!$E$407-500)))))))</f>
        <v/>
      </c>
      <c r="G405" s="54">
        <f>IF(_calc!$E$407="","",IF(_calc!$E$407&lt;=500,"",IF(LEN(INDEX('My equipment'!$X$4:$X$503,(_calc!$E$407-500)))=0,"",INDEX('My equipment'!$X$4:$X$503,(_calc!$E$407-500)))))</f>
        <v/>
      </c>
      <c r="K405" s="54">
        <f>IF(_calc!$E$407="","",IF(_calc!$E$407&lt;=500,"",IF(LEN(INDEX('My equipment'!$T$4:$T$503,(_calc!$E$407-500)))=0,"",INDEX('My equipment'!$T$4:$T$503,(_calc!$E$407-500)))))</f>
        <v/>
      </c>
    </row>
    <row r="406">
      <c r="A406" s="54">
        <f>IF(_calc!$E$408="","",IF(_calc!$E$408&lt;=500,"Warranty – "&amp;IF(LEN(INDEX('Dealer pipeline'!$C$4:$C$503,_calc!$E$408))=0,"",INDEX('Dealer pipeline'!$C$4:$C$503,_calc!$E$408))&amp;" – "&amp;IF(LEN(INDEX('Dealer pipeline'!$D$4:$D$503,_calc!$E$408))=0,"",INDEX('Dealer pipeline'!$D$4:$D$503,_calc!$E$408))&amp;" – "&amp;IF(LEN(INDEX('Dealer pipeline'!$A$4:$A$503,_calc!$E$408))=0,"",INDEX('Dealer pipeline'!$A$4:$A$503,_calc!$E$408)),"Warranty – "&amp;IF(LEN(INDEX('My equipment'!$A$4:$A$503,(_calc!$E$408-500)))=0,"",INDEX('My equipment'!$A$4:$A$503,(_calc!$E$408-500)))&amp;" – "&amp;IF(LEN(INDEX('My equipment'!$D$4:$D$503,(_calc!$E$408-500)))=0,"",INDEX('My equipment'!$D$4:$D$503,(_calc!$E$408-500)))))</f>
        <v/>
      </c>
      <c r="B406" s="54">
        <f>IF(_calc!$E$408="","",IF(_calc!$E$408&lt;=500,IF(ISNUMBER(INDEX('Dealer pipeline'!$M$4:$M$503,_calc!$E$408)),TEXT(INDEX('Dealer pipeline'!$M$4:$M$503,_calc!$E$408),"yyyy-mm-dd"),""),IF(ISNUMBER(INDEX('My equipment'!$M$4:$M$503,(_calc!$E$408-500))),TEXT(INDEX('My equipment'!$M$4:$M$503,(_calc!$E$408-500)),"yyyy-mm-dd"),"")))</f>
        <v/>
      </c>
      <c r="C406" s="54">
        <f>IF(_calc!$E$408="","",IF(_calc!$E$408&lt;=500,"Warranty","Warranty"))</f>
        <v/>
      </c>
      <c r="D406" s="54">
        <f>IF(_calc!$E$408="","",IF(_calc!$E$408&lt;=500,IF(ISNUMBER(INDEX('Dealer pipeline'!$H$4:$H$503,_calc!$E$408)),TEXT(INDEX('Dealer pipeline'!$H$4:$H$503,_calc!$E$408),"yyyy-mm-dd"),""),IF(ISNUMBER(INDEX('My equipment'!$H$4:$H$503,(_calc!$E$408-500))),TEXT(INDEX('My equipment'!$H$4:$H$503,(_calc!$E$408-500)),"yyyy-mm-dd"),"")))</f>
        <v/>
      </c>
      <c r="F406" s="54">
        <f>IF(_calc!$E$408="","",IF(_calc!$E$408&lt;=500,TRIM(IF(LEN(IF(LEN(INDEX('Dealer pipeline'!$A$4:$A$503,_calc!$E$408))=0,"",INDEX('Dealer pipeline'!$A$4:$A$503,_calc!$E$408)))=0,"","Customer: "&amp;IF(LEN(INDEX('Dealer pipeline'!$A$4:$A$503,_calc!$E$408))=0,"",INDEX('Dealer pipeline'!$A$4:$A$503,_calc!$E$408))&amp;". ")&amp;IF(LEN(IF(LEN(INDEX('Dealer pipeline'!$B$4:$B$503,_calc!$E$408))=0,"",INDEX('Dealer pipeline'!$B$4:$B$503,_calc!$E$408)))=0,"","Contact: "&amp;IF(LEN(INDEX('Dealer pipeline'!$B$4:$B$503,_calc!$E$408))=0,"",INDEX('Dealer pipeline'!$B$4:$B$503,_calc!$E$408))&amp;". ")&amp;IF(LEN(IF(LEN(INDEX('Dealer pipeline'!$D$4:$D$503,_calc!$E$408))=0,"",INDEX('Dealer pipeline'!$D$4:$D$503,_calc!$E$408)))=0,"","Serial: "&amp;IF(LEN(INDEX('Dealer pipeline'!$D$4:$D$503,_calc!$E$408))=0,"",INDEX('Dealer pipeline'!$D$4:$D$503,_calc!$E$408))&amp;". ")&amp;IF(LEN(IF(ISNUMBER(INDEX('Dealer pipeline'!$J$4:$J$503,_calc!$E$408)),TEXT(INDEX('Dealer pipeline'!$J$4:$J$503,_calc!$E$408),"yyyy-mm-dd"),""))=0,"","Parts end: "&amp;IF(ISNUMBER(INDEX('Dealer pipeline'!$J$4:$J$503,_calc!$E$408)),TEXT(INDEX('Dealer pipeline'!$J$4:$J$503,_calc!$E$408),"yyyy-mm-dd"),"")&amp;". ")&amp;IF(LEN(IF(ISNUMBER(INDEX('Dealer pipeline'!$L$4:$L$503,_calc!$E$408)),TEXT(INDEX('Dealer pipeline'!$L$4:$L$503,_calc!$E$408),"yyyy-mm-dd"),""))=0,"","Labor end: "&amp;IF(ISNUMBER(INDEX('Dealer pipeline'!$L$4:$L$503,_calc!$E$408)),TEXT(INDEX('Dealer pipeline'!$L$4:$L$503,_calc!$E$408),"yyyy-mm-dd"),"")&amp;". ")&amp;IF(LEN(IF(LEN(INDEX('Dealer pipeline'!$Q$4:$Q$503,_calc!$E$408))=0,"",INDEX('Dealer pipeline'!$Q$4:$Q$503,_calc!$E$408)))=0,"","Status: "&amp;IF(LEN(INDEX('Dealer pipeline'!$Q$4:$Q$503,_calc!$E$408))=0,"",INDEX('Dealer pipeline'!$Q$4:$Q$503,_calc!$E$408))&amp;". ")&amp;IF(LEN(IF(LEN(INDEX('Dealer pipeline'!$P$4:$P$503,_calc!$E$408))=0,"",INDEX('Dealer pipeline'!$P$4:$P$503,_calc!$E$408)))=0,"","Last touch: "&amp;IF(LEN(INDEX('Dealer pipeline'!$P$4:$P$503,_calc!$E$408))=0,"",INDEX('Dealer pipeline'!$P$4:$P$503,_calc!$E$408))&amp;". ")&amp;IF(LEN(IF(LEN(INDEX('Dealer pipeline'!$R$4:$R$503,_calc!$E$408))=0,"",INDEX('Dealer pipeline'!$R$4:$R$503,_calc!$E$408)))=0,"","Owner: "&amp;IF(LEN(INDEX('Dealer pipeline'!$R$4:$R$503,_calc!$E$408))=0,"",INDEX('Dealer pipeline'!$R$4:$R$503,_calc!$E$408))&amp;". ")&amp;IF(LEN(IF(LEN(INDEX('Dealer pipeline'!$S$4:$S$503,_calc!$E$408))=0,"",INDEX('Dealer pipeline'!$S$4:$S$503,_calc!$E$408)))=0,"","Backup: "&amp;IF(LEN(INDEX('Dealer pipeline'!$S$4:$S$503,_calc!$E$408))=0,"",INDEX('Dealer pipeline'!$S$4:$S$503,_calc!$E$408))&amp;". ")&amp;IF(LEN(IF(LEN(INDEX('Dealer pipeline'!$T$4:$T$503,_calc!$E$408))=0,"",INDEX('Dealer pipeline'!$T$4:$T$503,_calc!$E$408)))=0,"",IF(LEN(INDEX('Dealer pipeline'!$T$4:$T$503,_calc!$E$408))=0,"",INDEX('Dealer pipeline'!$T$4:$T$503,_calc!$E$408)))),TRIM(IF(LEN(IF(LEN(INDEX('My equipment'!$C$4:$C$503,(_calc!$E$408-500)))=0,"",INDEX('My equipment'!$C$4:$C$503,(_calc!$E$408-500))))=0,"","Model: "&amp;IF(LEN(INDEX('My equipment'!$C$4:$C$503,(_calc!$E$408-500)))=0,"",INDEX('My equipment'!$C$4:$C$503,(_calc!$E$408-500)))&amp;". ")&amp;IF(LEN(IF(LEN(INDEX('My equipment'!$D$4:$D$503,(_calc!$E$408-500)))=0,"",INDEX('My equipment'!$D$4:$D$503,(_calc!$E$408-500))))=0,"","Serial: "&amp;IF(LEN(INDEX('My equipment'!$D$4:$D$503,(_calc!$E$408-500)))=0,"",INDEX('My equipment'!$D$4:$D$503,(_calc!$E$408-500)))&amp;". ")&amp;IF(LEN(IF(ISNUMBER(INDEX('My equipment'!$J$4:$J$503,(_calc!$E$408-500))),TEXT(INDEX('My equipment'!$J$4:$J$503,(_calc!$E$408-500)),"yyyy-mm-dd"),""))=0,"","Parts end: "&amp;IF(ISNUMBER(INDEX('My equipment'!$J$4:$J$503,(_calc!$E$408-500))),TEXT(INDEX('My equipment'!$J$4:$J$503,(_calc!$E$408-500)),"yyyy-mm-dd"),"")&amp;". ")&amp;IF(LEN(IF(ISNUMBER(INDEX('My equipment'!$L$4:$L$503,(_calc!$E$408-500))),TEXT(INDEX('My equipment'!$L$4:$L$503,(_calc!$E$408-500)),"yyyy-mm-dd"),""))=0,"","Labor end: "&amp;IF(ISNUMBER(INDEX('My equipment'!$L$4:$L$503,(_calc!$E$408-500))),TEXT(INDEX('My equipment'!$L$4:$L$503,(_calc!$E$408-500)),"yyyy-mm-dd"),"")&amp;". ")&amp;IF(LEN(IF(ISNUMBER(INDEX('My equipment'!$P$4:$P$503,(_calc!$E$408-500))),TEXT(INDEX('My equipment'!$P$4:$P$503,(_calc!$E$408-500)),"yyyy-mm-dd"),""))=0,"","Check by: "&amp;IF(ISNUMBER(INDEX('My equipment'!$P$4:$P$503,(_calc!$E$408-500))),TEXT(INDEX('My equipment'!$P$4:$P$503,(_calc!$E$408-500)),"yyyy-mm-dd"),"")&amp;". ")&amp;IF(LEN(IF(LEN(INDEX('My equipment'!$Q$4:$Q$503,(_calc!$E$408-500)))=0,"",INDEX('My equipment'!$Q$4:$Q$503,(_calc!$E$408-500))))=0,"","Claim status: "&amp;IF(LEN(INDEX('My equipment'!$Q$4:$Q$503,(_calc!$E$408-500)))=0,"",INDEX('My equipment'!$Q$4:$Q$503,(_calc!$E$408-500)))&amp;". ")&amp;IF(LEN(IF(LEN(INDEX('My equipment'!$R$4:$R$503,(_calc!$E$408-500)))=0,"",INDEX('My equipment'!$R$4:$R$503,(_calc!$E$408-500))))=0,"","Claims contact: "&amp;IF(LEN(INDEX('My equipment'!$R$4:$R$503,(_calc!$E$408-500)))=0,"",INDEX('My equipment'!$R$4:$R$503,(_calc!$E$408-500)))&amp;". ")&amp;IF(LEN(IF(LEN(INDEX('My equipment'!$S$4:$S$503,(_calc!$E$408-500)))=0,"",INDEX('My equipment'!$S$4:$S$503,(_calc!$E$408-500))))=0,"","Claims email: "&amp;IF(LEN(INDEX('My equipment'!$S$4:$S$503,(_calc!$E$408-500)))=0,"",INDEX('My equipment'!$S$4:$S$503,(_calc!$E$408-500)))&amp;". ")&amp;IF(LEN(IF(LEN(INDEX('My equipment'!$U$4:$U$503,(_calc!$E$408-500)))=0,"",INDEX('My equipment'!$U$4:$U$503,(_calc!$E$408-500))))=0,"","Registered: "&amp;IF(LEN(INDEX('My equipment'!$U$4:$U$503,(_calc!$E$408-500)))=0,"",INDEX('My equipment'!$U$4:$U$503,(_calc!$E$408-500)))&amp;". ")&amp;IF(LEN(IF(LEN(INDEX('My equipment'!$V$4:$V$503,(_calc!$E$408-500)))=0,"",INDEX('My equipment'!$V$4:$V$503,(_calc!$E$408-500))))=0,"","Proof on file: "&amp;IF(LEN(INDEX('My equipment'!$V$4:$V$503,(_calc!$E$408-500)))=0,"",INDEX('My equipment'!$V$4:$V$503,(_calc!$E$408-500)))&amp;". ")&amp;IF(LEN(IF(LEN(INDEX('My equipment'!$W$4:$W$503,(_calc!$E$408-500)))=0,"",INDEX('My equipment'!$W$4:$W$503,(_calc!$E$408-500))))=0,"","Claim ref: "&amp;IF(LEN(INDEX('My equipment'!$W$4:$W$503,(_calc!$E$408-500)))=0,"",INDEX('My equipment'!$W$4:$W$503,(_calc!$E$408-500)))&amp;". ")&amp;IF(LEN(IF(LEN(INDEX('My equipment'!$Y$4:$Y$503,(_calc!$E$408-500)))=0,"",INDEX('My equipment'!$Y$4:$Y$503,(_calc!$E$408-500))))=0,"",IF(LEN(INDEX('My equipment'!$Y$4:$Y$503,(_calc!$E$408-500)))=0,"",INDEX('My equipment'!$Y$4:$Y$503,(_calc!$E$408-500)))))))</f>
        <v/>
      </c>
      <c r="G406" s="54">
        <f>IF(_calc!$E$408="","",IF(_calc!$E$408&lt;=500,"",IF(LEN(INDEX('My equipment'!$X$4:$X$503,(_calc!$E$408-500)))=0,"",INDEX('My equipment'!$X$4:$X$503,(_calc!$E$408-500)))))</f>
        <v/>
      </c>
      <c r="K406" s="54">
        <f>IF(_calc!$E$408="","",IF(_calc!$E$408&lt;=500,"",IF(LEN(INDEX('My equipment'!$T$4:$T$503,(_calc!$E$408-500)))=0,"",INDEX('My equipment'!$T$4:$T$503,(_calc!$E$408-500)))))</f>
        <v/>
      </c>
    </row>
    <row r="407">
      <c r="A407" s="54">
        <f>IF(_calc!$E$409="","",IF(_calc!$E$409&lt;=500,"Warranty – "&amp;IF(LEN(INDEX('Dealer pipeline'!$C$4:$C$503,_calc!$E$409))=0,"",INDEX('Dealer pipeline'!$C$4:$C$503,_calc!$E$409))&amp;" – "&amp;IF(LEN(INDEX('Dealer pipeline'!$D$4:$D$503,_calc!$E$409))=0,"",INDEX('Dealer pipeline'!$D$4:$D$503,_calc!$E$409))&amp;" – "&amp;IF(LEN(INDEX('Dealer pipeline'!$A$4:$A$503,_calc!$E$409))=0,"",INDEX('Dealer pipeline'!$A$4:$A$503,_calc!$E$409)),"Warranty – "&amp;IF(LEN(INDEX('My equipment'!$A$4:$A$503,(_calc!$E$409-500)))=0,"",INDEX('My equipment'!$A$4:$A$503,(_calc!$E$409-500)))&amp;" – "&amp;IF(LEN(INDEX('My equipment'!$D$4:$D$503,(_calc!$E$409-500)))=0,"",INDEX('My equipment'!$D$4:$D$503,(_calc!$E$409-500)))))</f>
        <v/>
      </c>
      <c r="B407" s="54">
        <f>IF(_calc!$E$409="","",IF(_calc!$E$409&lt;=500,IF(ISNUMBER(INDEX('Dealer pipeline'!$M$4:$M$503,_calc!$E$409)),TEXT(INDEX('Dealer pipeline'!$M$4:$M$503,_calc!$E$409),"yyyy-mm-dd"),""),IF(ISNUMBER(INDEX('My equipment'!$M$4:$M$503,(_calc!$E$409-500))),TEXT(INDEX('My equipment'!$M$4:$M$503,(_calc!$E$409-500)),"yyyy-mm-dd"),"")))</f>
        <v/>
      </c>
      <c r="C407" s="54">
        <f>IF(_calc!$E$409="","",IF(_calc!$E$409&lt;=500,"Warranty","Warranty"))</f>
        <v/>
      </c>
      <c r="D407" s="54">
        <f>IF(_calc!$E$409="","",IF(_calc!$E$409&lt;=500,IF(ISNUMBER(INDEX('Dealer pipeline'!$H$4:$H$503,_calc!$E$409)),TEXT(INDEX('Dealer pipeline'!$H$4:$H$503,_calc!$E$409),"yyyy-mm-dd"),""),IF(ISNUMBER(INDEX('My equipment'!$H$4:$H$503,(_calc!$E$409-500))),TEXT(INDEX('My equipment'!$H$4:$H$503,(_calc!$E$409-500)),"yyyy-mm-dd"),"")))</f>
        <v/>
      </c>
      <c r="F407" s="54">
        <f>IF(_calc!$E$409="","",IF(_calc!$E$409&lt;=500,TRIM(IF(LEN(IF(LEN(INDEX('Dealer pipeline'!$A$4:$A$503,_calc!$E$409))=0,"",INDEX('Dealer pipeline'!$A$4:$A$503,_calc!$E$409)))=0,"","Customer: "&amp;IF(LEN(INDEX('Dealer pipeline'!$A$4:$A$503,_calc!$E$409))=0,"",INDEX('Dealer pipeline'!$A$4:$A$503,_calc!$E$409))&amp;". ")&amp;IF(LEN(IF(LEN(INDEX('Dealer pipeline'!$B$4:$B$503,_calc!$E$409))=0,"",INDEX('Dealer pipeline'!$B$4:$B$503,_calc!$E$409)))=0,"","Contact: "&amp;IF(LEN(INDEX('Dealer pipeline'!$B$4:$B$503,_calc!$E$409))=0,"",INDEX('Dealer pipeline'!$B$4:$B$503,_calc!$E$409))&amp;". ")&amp;IF(LEN(IF(LEN(INDEX('Dealer pipeline'!$D$4:$D$503,_calc!$E$409))=0,"",INDEX('Dealer pipeline'!$D$4:$D$503,_calc!$E$409)))=0,"","Serial: "&amp;IF(LEN(INDEX('Dealer pipeline'!$D$4:$D$503,_calc!$E$409))=0,"",INDEX('Dealer pipeline'!$D$4:$D$503,_calc!$E$409))&amp;". ")&amp;IF(LEN(IF(ISNUMBER(INDEX('Dealer pipeline'!$J$4:$J$503,_calc!$E$409)),TEXT(INDEX('Dealer pipeline'!$J$4:$J$503,_calc!$E$409),"yyyy-mm-dd"),""))=0,"","Parts end: "&amp;IF(ISNUMBER(INDEX('Dealer pipeline'!$J$4:$J$503,_calc!$E$409)),TEXT(INDEX('Dealer pipeline'!$J$4:$J$503,_calc!$E$409),"yyyy-mm-dd"),"")&amp;". ")&amp;IF(LEN(IF(ISNUMBER(INDEX('Dealer pipeline'!$L$4:$L$503,_calc!$E$409)),TEXT(INDEX('Dealer pipeline'!$L$4:$L$503,_calc!$E$409),"yyyy-mm-dd"),""))=0,"","Labor end: "&amp;IF(ISNUMBER(INDEX('Dealer pipeline'!$L$4:$L$503,_calc!$E$409)),TEXT(INDEX('Dealer pipeline'!$L$4:$L$503,_calc!$E$409),"yyyy-mm-dd"),"")&amp;". ")&amp;IF(LEN(IF(LEN(INDEX('Dealer pipeline'!$Q$4:$Q$503,_calc!$E$409))=0,"",INDEX('Dealer pipeline'!$Q$4:$Q$503,_calc!$E$409)))=0,"","Status: "&amp;IF(LEN(INDEX('Dealer pipeline'!$Q$4:$Q$503,_calc!$E$409))=0,"",INDEX('Dealer pipeline'!$Q$4:$Q$503,_calc!$E$409))&amp;". ")&amp;IF(LEN(IF(LEN(INDEX('Dealer pipeline'!$P$4:$P$503,_calc!$E$409))=0,"",INDEX('Dealer pipeline'!$P$4:$P$503,_calc!$E$409)))=0,"","Last touch: "&amp;IF(LEN(INDEX('Dealer pipeline'!$P$4:$P$503,_calc!$E$409))=0,"",INDEX('Dealer pipeline'!$P$4:$P$503,_calc!$E$409))&amp;". ")&amp;IF(LEN(IF(LEN(INDEX('Dealer pipeline'!$R$4:$R$503,_calc!$E$409))=0,"",INDEX('Dealer pipeline'!$R$4:$R$503,_calc!$E$409)))=0,"","Owner: "&amp;IF(LEN(INDEX('Dealer pipeline'!$R$4:$R$503,_calc!$E$409))=0,"",INDEX('Dealer pipeline'!$R$4:$R$503,_calc!$E$409))&amp;". ")&amp;IF(LEN(IF(LEN(INDEX('Dealer pipeline'!$S$4:$S$503,_calc!$E$409))=0,"",INDEX('Dealer pipeline'!$S$4:$S$503,_calc!$E$409)))=0,"","Backup: "&amp;IF(LEN(INDEX('Dealer pipeline'!$S$4:$S$503,_calc!$E$409))=0,"",INDEX('Dealer pipeline'!$S$4:$S$503,_calc!$E$409))&amp;". ")&amp;IF(LEN(IF(LEN(INDEX('Dealer pipeline'!$T$4:$T$503,_calc!$E$409))=0,"",INDEX('Dealer pipeline'!$T$4:$T$503,_calc!$E$409)))=0,"",IF(LEN(INDEX('Dealer pipeline'!$T$4:$T$503,_calc!$E$409))=0,"",INDEX('Dealer pipeline'!$T$4:$T$503,_calc!$E$409)))),TRIM(IF(LEN(IF(LEN(INDEX('My equipment'!$C$4:$C$503,(_calc!$E$409-500)))=0,"",INDEX('My equipment'!$C$4:$C$503,(_calc!$E$409-500))))=0,"","Model: "&amp;IF(LEN(INDEX('My equipment'!$C$4:$C$503,(_calc!$E$409-500)))=0,"",INDEX('My equipment'!$C$4:$C$503,(_calc!$E$409-500)))&amp;". ")&amp;IF(LEN(IF(LEN(INDEX('My equipment'!$D$4:$D$503,(_calc!$E$409-500)))=0,"",INDEX('My equipment'!$D$4:$D$503,(_calc!$E$409-500))))=0,"","Serial: "&amp;IF(LEN(INDEX('My equipment'!$D$4:$D$503,(_calc!$E$409-500)))=0,"",INDEX('My equipment'!$D$4:$D$503,(_calc!$E$409-500)))&amp;". ")&amp;IF(LEN(IF(ISNUMBER(INDEX('My equipment'!$J$4:$J$503,(_calc!$E$409-500))),TEXT(INDEX('My equipment'!$J$4:$J$503,(_calc!$E$409-500)),"yyyy-mm-dd"),""))=0,"","Parts end: "&amp;IF(ISNUMBER(INDEX('My equipment'!$J$4:$J$503,(_calc!$E$409-500))),TEXT(INDEX('My equipment'!$J$4:$J$503,(_calc!$E$409-500)),"yyyy-mm-dd"),"")&amp;". ")&amp;IF(LEN(IF(ISNUMBER(INDEX('My equipment'!$L$4:$L$503,(_calc!$E$409-500))),TEXT(INDEX('My equipment'!$L$4:$L$503,(_calc!$E$409-500)),"yyyy-mm-dd"),""))=0,"","Labor end: "&amp;IF(ISNUMBER(INDEX('My equipment'!$L$4:$L$503,(_calc!$E$409-500))),TEXT(INDEX('My equipment'!$L$4:$L$503,(_calc!$E$409-500)),"yyyy-mm-dd"),"")&amp;". ")&amp;IF(LEN(IF(ISNUMBER(INDEX('My equipment'!$P$4:$P$503,(_calc!$E$409-500))),TEXT(INDEX('My equipment'!$P$4:$P$503,(_calc!$E$409-500)),"yyyy-mm-dd"),""))=0,"","Check by: "&amp;IF(ISNUMBER(INDEX('My equipment'!$P$4:$P$503,(_calc!$E$409-500))),TEXT(INDEX('My equipment'!$P$4:$P$503,(_calc!$E$409-500)),"yyyy-mm-dd"),"")&amp;". ")&amp;IF(LEN(IF(LEN(INDEX('My equipment'!$Q$4:$Q$503,(_calc!$E$409-500)))=0,"",INDEX('My equipment'!$Q$4:$Q$503,(_calc!$E$409-500))))=0,"","Claim status: "&amp;IF(LEN(INDEX('My equipment'!$Q$4:$Q$503,(_calc!$E$409-500)))=0,"",INDEX('My equipment'!$Q$4:$Q$503,(_calc!$E$409-500)))&amp;". ")&amp;IF(LEN(IF(LEN(INDEX('My equipment'!$R$4:$R$503,(_calc!$E$409-500)))=0,"",INDEX('My equipment'!$R$4:$R$503,(_calc!$E$409-500))))=0,"","Claims contact: "&amp;IF(LEN(INDEX('My equipment'!$R$4:$R$503,(_calc!$E$409-500)))=0,"",INDEX('My equipment'!$R$4:$R$503,(_calc!$E$409-500)))&amp;". ")&amp;IF(LEN(IF(LEN(INDEX('My equipment'!$S$4:$S$503,(_calc!$E$409-500)))=0,"",INDEX('My equipment'!$S$4:$S$503,(_calc!$E$409-500))))=0,"","Claims email: "&amp;IF(LEN(INDEX('My equipment'!$S$4:$S$503,(_calc!$E$409-500)))=0,"",INDEX('My equipment'!$S$4:$S$503,(_calc!$E$409-500)))&amp;". ")&amp;IF(LEN(IF(LEN(INDEX('My equipment'!$U$4:$U$503,(_calc!$E$409-500)))=0,"",INDEX('My equipment'!$U$4:$U$503,(_calc!$E$409-500))))=0,"","Registered: "&amp;IF(LEN(INDEX('My equipment'!$U$4:$U$503,(_calc!$E$409-500)))=0,"",INDEX('My equipment'!$U$4:$U$503,(_calc!$E$409-500)))&amp;". ")&amp;IF(LEN(IF(LEN(INDEX('My equipment'!$V$4:$V$503,(_calc!$E$409-500)))=0,"",INDEX('My equipment'!$V$4:$V$503,(_calc!$E$409-500))))=0,"","Proof on file: "&amp;IF(LEN(INDEX('My equipment'!$V$4:$V$503,(_calc!$E$409-500)))=0,"",INDEX('My equipment'!$V$4:$V$503,(_calc!$E$409-500)))&amp;". ")&amp;IF(LEN(IF(LEN(INDEX('My equipment'!$W$4:$W$503,(_calc!$E$409-500)))=0,"",INDEX('My equipment'!$W$4:$W$503,(_calc!$E$409-500))))=0,"","Claim ref: "&amp;IF(LEN(INDEX('My equipment'!$W$4:$W$503,(_calc!$E$409-500)))=0,"",INDEX('My equipment'!$W$4:$W$503,(_calc!$E$409-500)))&amp;". ")&amp;IF(LEN(IF(LEN(INDEX('My equipment'!$Y$4:$Y$503,(_calc!$E$409-500)))=0,"",INDEX('My equipment'!$Y$4:$Y$503,(_calc!$E$409-500))))=0,"",IF(LEN(INDEX('My equipment'!$Y$4:$Y$503,(_calc!$E$409-500)))=0,"",INDEX('My equipment'!$Y$4:$Y$503,(_calc!$E$409-500)))))))</f>
        <v/>
      </c>
      <c r="G407" s="54">
        <f>IF(_calc!$E$409="","",IF(_calc!$E$409&lt;=500,"",IF(LEN(INDEX('My equipment'!$X$4:$X$503,(_calc!$E$409-500)))=0,"",INDEX('My equipment'!$X$4:$X$503,(_calc!$E$409-500)))))</f>
        <v/>
      </c>
      <c r="K407" s="54">
        <f>IF(_calc!$E$409="","",IF(_calc!$E$409&lt;=500,"",IF(LEN(INDEX('My equipment'!$T$4:$T$503,(_calc!$E$409-500)))=0,"",INDEX('My equipment'!$T$4:$T$503,(_calc!$E$409-500)))))</f>
        <v/>
      </c>
    </row>
    <row r="408">
      <c r="A408" s="54">
        <f>IF(_calc!$E$410="","",IF(_calc!$E$410&lt;=500,"Warranty – "&amp;IF(LEN(INDEX('Dealer pipeline'!$C$4:$C$503,_calc!$E$410))=0,"",INDEX('Dealer pipeline'!$C$4:$C$503,_calc!$E$410))&amp;" – "&amp;IF(LEN(INDEX('Dealer pipeline'!$D$4:$D$503,_calc!$E$410))=0,"",INDEX('Dealer pipeline'!$D$4:$D$503,_calc!$E$410))&amp;" – "&amp;IF(LEN(INDEX('Dealer pipeline'!$A$4:$A$503,_calc!$E$410))=0,"",INDEX('Dealer pipeline'!$A$4:$A$503,_calc!$E$410)),"Warranty – "&amp;IF(LEN(INDEX('My equipment'!$A$4:$A$503,(_calc!$E$410-500)))=0,"",INDEX('My equipment'!$A$4:$A$503,(_calc!$E$410-500)))&amp;" – "&amp;IF(LEN(INDEX('My equipment'!$D$4:$D$503,(_calc!$E$410-500)))=0,"",INDEX('My equipment'!$D$4:$D$503,(_calc!$E$410-500)))))</f>
        <v/>
      </c>
      <c r="B408" s="54">
        <f>IF(_calc!$E$410="","",IF(_calc!$E$410&lt;=500,IF(ISNUMBER(INDEX('Dealer pipeline'!$M$4:$M$503,_calc!$E$410)),TEXT(INDEX('Dealer pipeline'!$M$4:$M$503,_calc!$E$410),"yyyy-mm-dd"),""),IF(ISNUMBER(INDEX('My equipment'!$M$4:$M$503,(_calc!$E$410-500))),TEXT(INDEX('My equipment'!$M$4:$M$503,(_calc!$E$410-500)),"yyyy-mm-dd"),"")))</f>
        <v/>
      </c>
      <c r="C408" s="54">
        <f>IF(_calc!$E$410="","",IF(_calc!$E$410&lt;=500,"Warranty","Warranty"))</f>
        <v/>
      </c>
      <c r="D408" s="54">
        <f>IF(_calc!$E$410="","",IF(_calc!$E$410&lt;=500,IF(ISNUMBER(INDEX('Dealer pipeline'!$H$4:$H$503,_calc!$E$410)),TEXT(INDEX('Dealer pipeline'!$H$4:$H$503,_calc!$E$410),"yyyy-mm-dd"),""),IF(ISNUMBER(INDEX('My equipment'!$H$4:$H$503,(_calc!$E$410-500))),TEXT(INDEX('My equipment'!$H$4:$H$503,(_calc!$E$410-500)),"yyyy-mm-dd"),"")))</f>
        <v/>
      </c>
      <c r="F408" s="54">
        <f>IF(_calc!$E$410="","",IF(_calc!$E$410&lt;=500,TRIM(IF(LEN(IF(LEN(INDEX('Dealer pipeline'!$A$4:$A$503,_calc!$E$410))=0,"",INDEX('Dealer pipeline'!$A$4:$A$503,_calc!$E$410)))=0,"","Customer: "&amp;IF(LEN(INDEX('Dealer pipeline'!$A$4:$A$503,_calc!$E$410))=0,"",INDEX('Dealer pipeline'!$A$4:$A$503,_calc!$E$410))&amp;". ")&amp;IF(LEN(IF(LEN(INDEX('Dealer pipeline'!$B$4:$B$503,_calc!$E$410))=0,"",INDEX('Dealer pipeline'!$B$4:$B$503,_calc!$E$410)))=0,"","Contact: "&amp;IF(LEN(INDEX('Dealer pipeline'!$B$4:$B$503,_calc!$E$410))=0,"",INDEX('Dealer pipeline'!$B$4:$B$503,_calc!$E$410))&amp;". ")&amp;IF(LEN(IF(LEN(INDEX('Dealer pipeline'!$D$4:$D$503,_calc!$E$410))=0,"",INDEX('Dealer pipeline'!$D$4:$D$503,_calc!$E$410)))=0,"","Serial: "&amp;IF(LEN(INDEX('Dealer pipeline'!$D$4:$D$503,_calc!$E$410))=0,"",INDEX('Dealer pipeline'!$D$4:$D$503,_calc!$E$410))&amp;". ")&amp;IF(LEN(IF(ISNUMBER(INDEX('Dealer pipeline'!$J$4:$J$503,_calc!$E$410)),TEXT(INDEX('Dealer pipeline'!$J$4:$J$503,_calc!$E$410),"yyyy-mm-dd"),""))=0,"","Parts end: "&amp;IF(ISNUMBER(INDEX('Dealer pipeline'!$J$4:$J$503,_calc!$E$410)),TEXT(INDEX('Dealer pipeline'!$J$4:$J$503,_calc!$E$410),"yyyy-mm-dd"),"")&amp;". ")&amp;IF(LEN(IF(ISNUMBER(INDEX('Dealer pipeline'!$L$4:$L$503,_calc!$E$410)),TEXT(INDEX('Dealer pipeline'!$L$4:$L$503,_calc!$E$410),"yyyy-mm-dd"),""))=0,"","Labor end: "&amp;IF(ISNUMBER(INDEX('Dealer pipeline'!$L$4:$L$503,_calc!$E$410)),TEXT(INDEX('Dealer pipeline'!$L$4:$L$503,_calc!$E$410),"yyyy-mm-dd"),"")&amp;". ")&amp;IF(LEN(IF(LEN(INDEX('Dealer pipeline'!$Q$4:$Q$503,_calc!$E$410))=0,"",INDEX('Dealer pipeline'!$Q$4:$Q$503,_calc!$E$410)))=0,"","Status: "&amp;IF(LEN(INDEX('Dealer pipeline'!$Q$4:$Q$503,_calc!$E$410))=0,"",INDEX('Dealer pipeline'!$Q$4:$Q$503,_calc!$E$410))&amp;". ")&amp;IF(LEN(IF(LEN(INDEX('Dealer pipeline'!$P$4:$P$503,_calc!$E$410))=0,"",INDEX('Dealer pipeline'!$P$4:$P$503,_calc!$E$410)))=0,"","Last touch: "&amp;IF(LEN(INDEX('Dealer pipeline'!$P$4:$P$503,_calc!$E$410))=0,"",INDEX('Dealer pipeline'!$P$4:$P$503,_calc!$E$410))&amp;". ")&amp;IF(LEN(IF(LEN(INDEX('Dealer pipeline'!$R$4:$R$503,_calc!$E$410))=0,"",INDEX('Dealer pipeline'!$R$4:$R$503,_calc!$E$410)))=0,"","Owner: "&amp;IF(LEN(INDEX('Dealer pipeline'!$R$4:$R$503,_calc!$E$410))=0,"",INDEX('Dealer pipeline'!$R$4:$R$503,_calc!$E$410))&amp;". ")&amp;IF(LEN(IF(LEN(INDEX('Dealer pipeline'!$S$4:$S$503,_calc!$E$410))=0,"",INDEX('Dealer pipeline'!$S$4:$S$503,_calc!$E$410)))=0,"","Backup: "&amp;IF(LEN(INDEX('Dealer pipeline'!$S$4:$S$503,_calc!$E$410))=0,"",INDEX('Dealer pipeline'!$S$4:$S$503,_calc!$E$410))&amp;". ")&amp;IF(LEN(IF(LEN(INDEX('Dealer pipeline'!$T$4:$T$503,_calc!$E$410))=0,"",INDEX('Dealer pipeline'!$T$4:$T$503,_calc!$E$410)))=0,"",IF(LEN(INDEX('Dealer pipeline'!$T$4:$T$503,_calc!$E$410))=0,"",INDEX('Dealer pipeline'!$T$4:$T$503,_calc!$E$410)))),TRIM(IF(LEN(IF(LEN(INDEX('My equipment'!$C$4:$C$503,(_calc!$E$410-500)))=0,"",INDEX('My equipment'!$C$4:$C$503,(_calc!$E$410-500))))=0,"","Model: "&amp;IF(LEN(INDEX('My equipment'!$C$4:$C$503,(_calc!$E$410-500)))=0,"",INDEX('My equipment'!$C$4:$C$503,(_calc!$E$410-500)))&amp;". ")&amp;IF(LEN(IF(LEN(INDEX('My equipment'!$D$4:$D$503,(_calc!$E$410-500)))=0,"",INDEX('My equipment'!$D$4:$D$503,(_calc!$E$410-500))))=0,"","Serial: "&amp;IF(LEN(INDEX('My equipment'!$D$4:$D$503,(_calc!$E$410-500)))=0,"",INDEX('My equipment'!$D$4:$D$503,(_calc!$E$410-500)))&amp;". ")&amp;IF(LEN(IF(ISNUMBER(INDEX('My equipment'!$J$4:$J$503,(_calc!$E$410-500))),TEXT(INDEX('My equipment'!$J$4:$J$503,(_calc!$E$410-500)),"yyyy-mm-dd"),""))=0,"","Parts end: "&amp;IF(ISNUMBER(INDEX('My equipment'!$J$4:$J$503,(_calc!$E$410-500))),TEXT(INDEX('My equipment'!$J$4:$J$503,(_calc!$E$410-500)),"yyyy-mm-dd"),"")&amp;". ")&amp;IF(LEN(IF(ISNUMBER(INDEX('My equipment'!$L$4:$L$503,(_calc!$E$410-500))),TEXT(INDEX('My equipment'!$L$4:$L$503,(_calc!$E$410-500)),"yyyy-mm-dd"),""))=0,"","Labor end: "&amp;IF(ISNUMBER(INDEX('My equipment'!$L$4:$L$503,(_calc!$E$410-500))),TEXT(INDEX('My equipment'!$L$4:$L$503,(_calc!$E$410-500)),"yyyy-mm-dd"),"")&amp;". ")&amp;IF(LEN(IF(ISNUMBER(INDEX('My equipment'!$P$4:$P$503,(_calc!$E$410-500))),TEXT(INDEX('My equipment'!$P$4:$P$503,(_calc!$E$410-500)),"yyyy-mm-dd"),""))=0,"","Check by: "&amp;IF(ISNUMBER(INDEX('My equipment'!$P$4:$P$503,(_calc!$E$410-500))),TEXT(INDEX('My equipment'!$P$4:$P$503,(_calc!$E$410-500)),"yyyy-mm-dd"),"")&amp;". ")&amp;IF(LEN(IF(LEN(INDEX('My equipment'!$Q$4:$Q$503,(_calc!$E$410-500)))=0,"",INDEX('My equipment'!$Q$4:$Q$503,(_calc!$E$410-500))))=0,"","Claim status: "&amp;IF(LEN(INDEX('My equipment'!$Q$4:$Q$503,(_calc!$E$410-500)))=0,"",INDEX('My equipment'!$Q$4:$Q$503,(_calc!$E$410-500)))&amp;". ")&amp;IF(LEN(IF(LEN(INDEX('My equipment'!$R$4:$R$503,(_calc!$E$410-500)))=0,"",INDEX('My equipment'!$R$4:$R$503,(_calc!$E$410-500))))=0,"","Claims contact: "&amp;IF(LEN(INDEX('My equipment'!$R$4:$R$503,(_calc!$E$410-500)))=0,"",INDEX('My equipment'!$R$4:$R$503,(_calc!$E$410-500)))&amp;". ")&amp;IF(LEN(IF(LEN(INDEX('My equipment'!$S$4:$S$503,(_calc!$E$410-500)))=0,"",INDEX('My equipment'!$S$4:$S$503,(_calc!$E$410-500))))=0,"","Claims email: "&amp;IF(LEN(INDEX('My equipment'!$S$4:$S$503,(_calc!$E$410-500)))=0,"",INDEX('My equipment'!$S$4:$S$503,(_calc!$E$410-500)))&amp;". ")&amp;IF(LEN(IF(LEN(INDEX('My equipment'!$U$4:$U$503,(_calc!$E$410-500)))=0,"",INDEX('My equipment'!$U$4:$U$503,(_calc!$E$410-500))))=0,"","Registered: "&amp;IF(LEN(INDEX('My equipment'!$U$4:$U$503,(_calc!$E$410-500)))=0,"",INDEX('My equipment'!$U$4:$U$503,(_calc!$E$410-500)))&amp;". ")&amp;IF(LEN(IF(LEN(INDEX('My equipment'!$V$4:$V$503,(_calc!$E$410-500)))=0,"",INDEX('My equipment'!$V$4:$V$503,(_calc!$E$410-500))))=0,"","Proof on file: "&amp;IF(LEN(INDEX('My equipment'!$V$4:$V$503,(_calc!$E$410-500)))=0,"",INDEX('My equipment'!$V$4:$V$503,(_calc!$E$410-500)))&amp;". ")&amp;IF(LEN(IF(LEN(INDEX('My equipment'!$W$4:$W$503,(_calc!$E$410-500)))=0,"",INDEX('My equipment'!$W$4:$W$503,(_calc!$E$410-500))))=0,"","Claim ref: "&amp;IF(LEN(INDEX('My equipment'!$W$4:$W$503,(_calc!$E$410-500)))=0,"",INDEX('My equipment'!$W$4:$W$503,(_calc!$E$410-500)))&amp;". ")&amp;IF(LEN(IF(LEN(INDEX('My equipment'!$Y$4:$Y$503,(_calc!$E$410-500)))=0,"",INDEX('My equipment'!$Y$4:$Y$503,(_calc!$E$410-500))))=0,"",IF(LEN(INDEX('My equipment'!$Y$4:$Y$503,(_calc!$E$410-500)))=0,"",INDEX('My equipment'!$Y$4:$Y$503,(_calc!$E$410-500)))))))</f>
        <v/>
      </c>
      <c r="G408" s="54">
        <f>IF(_calc!$E$410="","",IF(_calc!$E$410&lt;=500,"",IF(LEN(INDEX('My equipment'!$X$4:$X$503,(_calc!$E$410-500)))=0,"",INDEX('My equipment'!$X$4:$X$503,(_calc!$E$410-500)))))</f>
        <v/>
      </c>
      <c r="K408" s="54">
        <f>IF(_calc!$E$410="","",IF(_calc!$E$410&lt;=500,"",IF(LEN(INDEX('My equipment'!$T$4:$T$503,(_calc!$E$410-500)))=0,"",INDEX('My equipment'!$T$4:$T$503,(_calc!$E$410-500)))))</f>
        <v/>
      </c>
    </row>
    <row r="409">
      <c r="A409" s="54">
        <f>IF(_calc!$E$411="","",IF(_calc!$E$411&lt;=500,"Warranty – "&amp;IF(LEN(INDEX('Dealer pipeline'!$C$4:$C$503,_calc!$E$411))=0,"",INDEX('Dealer pipeline'!$C$4:$C$503,_calc!$E$411))&amp;" – "&amp;IF(LEN(INDEX('Dealer pipeline'!$D$4:$D$503,_calc!$E$411))=0,"",INDEX('Dealer pipeline'!$D$4:$D$503,_calc!$E$411))&amp;" – "&amp;IF(LEN(INDEX('Dealer pipeline'!$A$4:$A$503,_calc!$E$411))=0,"",INDEX('Dealer pipeline'!$A$4:$A$503,_calc!$E$411)),"Warranty – "&amp;IF(LEN(INDEX('My equipment'!$A$4:$A$503,(_calc!$E$411-500)))=0,"",INDEX('My equipment'!$A$4:$A$503,(_calc!$E$411-500)))&amp;" – "&amp;IF(LEN(INDEX('My equipment'!$D$4:$D$503,(_calc!$E$411-500)))=0,"",INDEX('My equipment'!$D$4:$D$503,(_calc!$E$411-500)))))</f>
        <v/>
      </c>
      <c r="B409" s="54">
        <f>IF(_calc!$E$411="","",IF(_calc!$E$411&lt;=500,IF(ISNUMBER(INDEX('Dealer pipeline'!$M$4:$M$503,_calc!$E$411)),TEXT(INDEX('Dealer pipeline'!$M$4:$M$503,_calc!$E$411),"yyyy-mm-dd"),""),IF(ISNUMBER(INDEX('My equipment'!$M$4:$M$503,(_calc!$E$411-500))),TEXT(INDEX('My equipment'!$M$4:$M$503,(_calc!$E$411-500)),"yyyy-mm-dd"),"")))</f>
        <v/>
      </c>
      <c r="C409" s="54">
        <f>IF(_calc!$E$411="","",IF(_calc!$E$411&lt;=500,"Warranty","Warranty"))</f>
        <v/>
      </c>
      <c r="D409" s="54">
        <f>IF(_calc!$E$411="","",IF(_calc!$E$411&lt;=500,IF(ISNUMBER(INDEX('Dealer pipeline'!$H$4:$H$503,_calc!$E$411)),TEXT(INDEX('Dealer pipeline'!$H$4:$H$503,_calc!$E$411),"yyyy-mm-dd"),""),IF(ISNUMBER(INDEX('My equipment'!$H$4:$H$503,(_calc!$E$411-500))),TEXT(INDEX('My equipment'!$H$4:$H$503,(_calc!$E$411-500)),"yyyy-mm-dd"),"")))</f>
        <v/>
      </c>
      <c r="F409" s="54">
        <f>IF(_calc!$E$411="","",IF(_calc!$E$411&lt;=500,TRIM(IF(LEN(IF(LEN(INDEX('Dealer pipeline'!$A$4:$A$503,_calc!$E$411))=0,"",INDEX('Dealer pipeline'!$A$4:$A$503,_calc!$E$411)))=0,"","Customer: "&amp;IF(LEN(INDEX('Dealer pipeline'!$A$4:$A$503,_calc!$E$411))=0,"",INDEX('Dealer pipeline'!$A$4:$A$503,_calc!$E$411))&amp;". ")&amp;IF(LEN(IF(LEN(INDEX('Dealer pipeline'!$B$4:$B$503,_calc!$E$411))=0,"",INDEX('Dealer pipeline'!$B$4:$B$503,_calc!$E$411)))=0,"","Contact: "&amp;IF(LEN(INDEX('Dealer pipeline'!$B$4:$B$503,_calc!$E$411))=0,"",INDEX('Dealer pipeline'!$B$4:$B$503,_calc!$E$411))&amp;". ")&amp;IF(LEN(IF(LEN(INDEX('Dealer pipeline'!$D$4:$D$503,_calc!$E$411))=0,"",INDEX('Dealer pipeline'!$D$4:$D$503,_calc!$E$411)))=0,"","Serial: "&amp;IF(LEN(INDEX('Dealer pipeline'!$D$4:$D$503,_calc!$E$411))=0,"",INDEX('Dealer pipeline'!$D$4:$D$503,_calc!$E$411))&amp;". ")&amp;IF(LEN(IF(ISNUMBER(INDEX('Dealer pipeline'!$J$4:$J$503,_calc!$E$411)),TEXT(INDEX('Dealer pipeline'!$J$4:$J$503,_calc!$E$411),"yyyy-mm-dd"),""))=0,"","Parts end: "&amp;IF(ISNUMBER(INDEX('Dealer pipeline'!$J$4:$J$503,_calc!$E$411)),TEXT(INDEX('Dealer pipeline'!$J$4:$J$503,_calc!$E$411),"yyyy-mm-dd"),"")&amp;". ")&amp;IF(LEN(IF(ISNUMBER(INDEX('Dealer pipeline'!$L$4:$L$503,_calc!$E$411)),TEXT(INDEX('Dealer pipeline'!$L$4:$L$503,_calc!$E$411),"yyyy-mm-dd"),""))=0,"","Labor end: "&amp;IF(ISNUMBER(INDEX('Dealer pipeline'!$L$4:$L$503,_calc!$E$411)),TEXT(INDEX('Dealer pipeline'!$L$4:$L$503,_calc!$E$411),"yyyy-mm-dd"),"")&amp;". ")&amp;IF(LEN(IF(LEN(INDEX('Dealer pipeline'!$Q$4:$Q$503,_calc!$E$411))=0,"",INDEX('Dealer pipeline'!$Q$4:$Q$503,_calc!$E$411)))=0,"","Status: "&amp;IF(LEN(INDEX('Dealer pipeline'!$Q$4:$Q$503,_calc!$E$411))=0,"",INDEX('Dealer pipeline'!$Q$4:$Q$503,_calc!$E$411))&amp;". ")&amp;IF(LEN(IF(LEN(INDEX('Dealer pipeline'!$P$4:$P$503,_calc!$E$411))=0,"",INDEX('Dealer pipeline'!$P$4:$P$503,_calc!$E$411)))=0,"","Last touch: "&amp;IF(LEN(INDEX('Dealer pipeline'!$P$4:$P$503,_calc!$E$411))=0,"",INDEX('Dealer pipeline'!$P$4:$P$503,_calc!$E$411))&amp;". ")&amp;IF(LEN(IF(LEN(INDEX('Dealer pipeline'!$R$4:$R$503,_calc!$E$411))=0,"",INDEX('Dealer pipeline'!$R$4:$R$503,_calc!$E$411)))=0,"","Owner: "&amp;IF(LEN(INDEX('Dealer pipeline'!$R$4:$R$503,_calc!$E$411))=0,"",INDEX('Dealer pipeline'!$R$4:$R$503,_calc!$E$411))&amp;". ")&amp;IF(LEN(IF(LEN(INDEX('Dealer pipeline'!$S$4:$S$503,_calc!$E$411))=0,"",INDEX('Dealer pipeline'!$S$4:$S$503,_calc!$E$411)))=0,"","Backup: "&amp;IF(LEN(INDEX('Dealer pipeline'!$S$4:$S$503,_calc!$E$411))=0,"",INDEX('Dealer pipeline'!$S$4:$S$503,_calc!$E$411))&amp;". ")&amp;IF(LEN(IF(LEN(INDEX('Dealer pipeline'!$T$4:$T$503,_calc!$E$411))=0,"",INDEX('Dealer pipeline'!$T$4:$T$503,_calc!$E$411)))=0,"",IF(LEN(INDEX('Dealer pipeline'!$T$4:$T$503,_calc!$E$411))=0,"",INDEX('Dealer pipeline'!$T$4:$T$503,_calc!$E$411)))),TRIM(IF(LEN(IF(LEN(INDEX('My equipment'!$C$4:$C$503,(_calc!$E$411-500)))=0,"",INDEX('My equipment'!$C$4:$C$503,(_calc!$E$411-500))))=0,"","Model: "&amp;IF(LEN(INDEX('My equipment'!$C$4:$C$503,(_calc!$E$411-500)))=0,"",INDEX('My equipment'!$C$4:$C$503,(_calc!$E$411-500)))&amp;". ")&amp;IF(LEN(IF(LEN(INDEX('My equipment'!$D$4:$D$503,(_calc!$E$411-500)))=0,"",INDEX('My equipment'!$D$4:$D$503,(_calc!$E$411-500))))=0,"","Serial: "&amp;IF(LEN(INDEX('My equipment'!$D$4:$D$503,(_calc!$E$411-500)))=0,"",INDEX('My equipment'!$D$4:$D$503,(_calc!$E$411-500)))&amp;". ")&amp;IF(LEN(IF(ISNUMBER(INDEX('My equipment'!$J$4:$J$503,(_calc!$E$411-500))),TEXT(INDEX('My equipment'!$J$4:$J$503,(_calc!$E$411-500)),"yyyy-mm-dd"),""))=0,"","Parts end: "&amp;IF(ISNUMBER(INDEX('My equipment'!$J$4:$J$503,(_calc!$E$411-500))),TEXT(INDEX('My equipment'!$J$4:$J$503,(_calc!$E$411-500)),"yyyy-mm-dd"),"")&amp;". ")&amp;IF(LEN(IF(ISNUMBER(INDEX('My equipment'!$L$4:$L$503,(_calc!$E$411-500))),TEXT(INDEX('My equipment'!$L$4:$L$503,(_calc!$E$411-500)),"yyyy-mm-dd"),""))=0,"","Labor end: "&amp;IF(ISNUMBER(INDEX('My equipment'!$L$4:$L$503,(_calc!$E$411-500))),TEXT(INDEX('My equipment'!$L$4:$L$503,(_calc!$E$411-500)),"yyyy-mm-dd"),"")&amp;". ")&amp;IF(LEN(IF(ISNUMBER(INDEX('My equipment'!$P$4:$P$503,(_calc!$E$411-500))),TEXT(INDEX('My equipment'!$P$4:$P$503,(_calc!$E$411-500)),"yyyy-mm-dd"),""))=0,"","Check by: "&amp;IF(ISNUMBER(INDEX('My equipment'!$P$4:$P$503,(_calc!$E$411-500))),TEXT(INDEX('My equipment'!$P$4:$P$503,(_calc!$E$411-500)),"yyyy-mm-dd"),"")&amp;". ")&amp;IF(LEN(IF(LEN(INDEX('My equipment'!$Q$4:$Q$503,(_calc!$E$411-500)))=0,"",INDEX('My equipment'!$Q$4:$Q$503,(_calc!$E$411-500))))=0,"","Claim status: "&amp;IF(LEN(INDEX('My equipment'!$Q$4:$Q$503,(_calc!$E$411-500)))=0,"",INDEX('My equipment'!$Q$4:$Q$503,(_calc!$E$411-500)))&amp;". ")&amp;IF(LEN(IF(LEN(INDEX('My equipment'!$R$4:$R$503,(_calc!$E$411-500)))=0,"",INDEX('My equipment'!$R$4:$R$503,(_calc!$E$411-500))))=0,"","Claims contact: "&amp;IF(LEN(INDEX('My equipment'!$R$4:$R$503,(_calc!$E$411-500)))=0,"",INDEX('My equipment'!$R$4:$R$503,(_calc!$E$411-500)))&amp;". ")&amp;IF(LEN(IF(LEN(INDEX('My equipment'!$S$4:$S$503,(_calc!$E$411-500)))=0,"",INDEX('My equipment'!$S$4:$S$503,(_calc!$E$411-500))))=0,"","Claims email: "&amp;IF(LEN(INDEX('My equipment'!$S$4:$S$503,(_calc!$E$411-500)))=0,"",INDEX('My equipment'!$S$4:$S$503,(_calc!$E$411-500)))&amp;". ")&amp;IF(LEN(IF(LEN(INDEX('My equipment'!$U$4:$U$503,(_calc!$E$411-500)))=0,"",INDEX('My equipment'!$U$4:$U$503,(_calc!$E$411-500))))=0,"","Registered: "&amp;IF(LEN(INDEX('My equipment'!$U$4:$U$503,(_calc!$E$411-500)))=0,"",INDEX('My equipment'!$U$4:$U$503,(_calc!$E$411-500)))&amp;". ")&amp;IF(LEN(IF(LEN(INDEX('My equipment'!$V$4:$V$503,(_calc!$E$411-500)))=0,"",INDEX('My equipment'!$V$4:$V$503,(_calc!$E$411-500))))=0,"","Proof on file: "&amp;IF(LEN(INDEX('My equipment'!$V$4:$V$503,(_calc!$E$411-500)))=0,"",INDEX('My equipment'!$V$4:$V$503,(_calc!$E$411-500)))&amp;". ")&amp;IF(LEN(IF(LEN(INDEX('My equipment'!$W$4:$W$503,(_calc!$E$411-500)))=0,"",INDEX('My equipment'!$W$4:$W$503,(_calc!$E$411-500))))=0,"","Claim ref: "&amp;IF(LEN(INDEX('My equipment'!$W$4:$W$503,(_calc!$E$411-500)))=0,"",INDEX('My equipment'!$W$4:$W$503,(_calc!$E$411-500)))&amp;". ")&amp;IF(LEN(IF(LEN(INDEX('My equipment'!$Y$4:$Y$503,(_calc!$E$411-500)))=0,"",INDEX('My equipment'!$Y$4:$Y$503,(_calc!$E$411-500))))=0,"",IF(LEN(INDEX('My equipment'!$Y$4:$Y$503,(_calc!$E$411-500)))=0,"",INDEX('My equipment'!$Y$4:$Y$503,(_calc!$E$411-500)))))))</f>
        <v/>
      </c>
      <c r="G409" s="54">
        <f>IF(_calc!$E$411="","",IF(_calc!$E$411&lt;=500,"",IF(LEN(INDEX('My equipment'!$X$4:$X$503,(_calc!$E$411-500)))=0,"",INDEX('My equipment'!$X$4:$X$503,(_calc!$E$411-500)))))</f>
        <v/>
      </c>
      <c r="K409" s="54">
        <f>IF(_calc!$E$411="","",IF(_calc!$E$411&lt;=500,"",IF(LEN(INDEX('My equipment'!$T$4:$T$503,(_calc!$E$411-500)))=0,"",INDEX('My equipment'!$T$4:$T$503,(_calc!$E$411-500)))))</f>
        <v/>
      </c>
    </row>
    <row r="410">
      <c r="A410" s="54">
        <f>IF(_calc!$E$412="","",IF(_calc!$E$412&lt;=500,"Warranty – "&amp;IF(LEN(INDEX('Dealer pipeline'!$C$4:$C$503,_calc!$E$412))=0,"",INDEX('Dealer pipeline'!$C$4:$C$503,_calc!$E$412))&amp;" – "&amp;IF(LEN(INDEX('Dealer pipeline'!$D$4:$D$503,_calc!$E$412))=0,"",INDEX('Dealer pipeline'!$D$4:$D$503,_calc!$E$412))&amp;" – "&amp;IF(LEN(INDEX('Dealer pipeline'!$A$4:$A$503,_calc!$E$412))=0,"",INDEX('Dealer pipeline'!$A$4:$A$503,_calc!$E$412)),"Warranty – "&amp;IF(LEN(INDEX('My equipment'!$A$4:$A$503,(_calc!$E$412-500)))=0,"",INDEX('My equipment'!$A$4:$A$503,(_calc!$E$412-500)))&amp;" – "&amp;IF(LEN(INDEX('My equipment'!$D$4:$D$503,(_calc!$E$412-500)))=0,"",INDEX('My equipment'!$D$4:$D$503,(_calc!$E$412-500)))))</f>
        <v/>
      </c>
      <c r="B410" s="54">
        <f>IF(_calc!$E$412="","",IF(_calc!$E$412&lt;=500,IF(ISNUMBER(INDEX('Dealer pipeline'!$M$4:$M$503,_calc!$E$412)),TEXT(INDEX('Dealer pipeline'!$M$4:$M$503,_calc!$E$412),"yyyy-mm-dd"),""),IF(ISNUMBER(INDEX('My equipment'!$M$4:$M$503,(_calc!$E$412-500))),TEXT(INDEX('My equipment'!$M$4:$M$503,(_calc!$E$412-500)),"yyyy-mm-dd"),"")))</f>
        <v/>
      </c>
      <c r="C410" s="54">
        <f>IF(_calc!$E$412="","",IF(_calc!$E$412&lt;=500,"Warranty","Warranty"))</f>
        <v/>
      </c>
      <c r="D410" s="54">
        <f>IF(_calc!$E$412="","",IF(_calc!$E$412&lt;=500,IF(ISNUMBER(INDEX('Dealer pipeline'!$H$4:$H$503,_calc!$E$412)),TEXT(INDEX('Dealer pipeline'!$H$4:$H$503,_calc!$E$412),"yyyy-mm-dd"),""),IF(ISNUMBER(INDEX('My equipment'!$H$4:$H$503,(_calc!$E$412-500))),TEXT(INDEX('My equipment'!$H$4:$H$503,(_calc!$E$412-500)),"yyyy-mm-dd"),"")))</f>
        <v/>
      </c>
      <c r="F410" s="54">
        <f>IF(_calc!$E$412="","",IF(_calc!$E$412&lt;=500,TRIM(IF(LEN(IF(LEN(INDEX('Dealer pipeline'!$A$4:$A$503,_calc!$E$412))=0,"",INDEX('Dealer pipeline'!$A$4:$A$503,_calc!$E$412)))=0,"","Customer: "&amp;IF(LEN(INDEX('Dealer pipeline'!$A$4:$A$503,_calc!$E$412))=0,"",INDEX('Dealer pipeline'!$A$4:$A$503,_calc!$E$412))&amp;". ")&amp;IF(LEN(IF(LEN(INDEX('Dealer pipeline'!$B$4:$B$503,_calc!$E$412))=0,"",INDEX('Dealer pipeline'!$B$4:$B$503,_calc!$E$412)))=0,"","Contact: "&amp;IF(LEN(INDEX('Dealer pipeline'!$B$4:$B$503,_calc!$E$412))=0,"",INDEX('Dealer pipeline'!$B$4:$B$503,_calc!$E$412))&amp;". ")&amp;IF(LEN(IF(LEN(INDEX('Dealer pipeline'!$D$4:$D$503,_calc!$E$412))=0,"",INDEX('Dealer pipeline'!$D$4:$D$503,_calc!$E$412)))=0,"","Serial: "&amp;IF(LEN(INDEX('Dealer pipeline'!$D$4:$D$503,_calc!$E$412))=0,"",INDEX('Dealer pipeline'!$D$4:$D$503,_calc!$E$412))&amp;". ")&amp;IF(LEN(IF(ISNUMBER(INDEX('Dealer pipeline'!$J$4:$J$503,_calc!$E$412)),TEXT(INDEX('Dealer pipeline'!$J$4:$J$503,_calc!$E$412),"yyyy-mm-dd"),""))=0,"","Parts end: "&amp;IF(ISNUMBER(INDEX('Dealer pipeline'!$J$4:$J$503,_calc!$E$412)),TEXT(INDEX('Dealer pipeline'!$J$4:$J$503,_calc!$E$412),"yyyy-mm-dd"),"")&amp;". ")&amp;IF(LEN(IF(ISNUMBER(INDEX('Dealer pipeline'!$L$4:$L$503,_calc!$E$412)),TEXT(INDEX('Dealer pipeline'!$L$4:$L$503,_calc!$E$412),"yyyy-mm-dd"),""))=0,"","Labor end: "&amp;IF(ISNUMBER(INDEX('Dealer pipeline'!$L$4:$L$503,_calc!$E$412)),TEXT(INDEX('Dealer pipeline'!$L$4:$L$503,_calc!$E$412),"yyyy-mm-dd"),"")&amp;". ")&amp;IF(LEN(IF(LEN(INDEX('Dealer pipeline'!$Q$4:$Q$503,_calc!$E$412))=0,"",INDEX('Dealer pipeline'!$Q$4:$Q$503,_calc!$E$412)))=0,"","Status: "&amp;IF(LEN(INDEX('Dealer pipeline'!$Q$4:$Q$503,_calc!$E$412))=0,"",INDEX('Dealer pipeline'!$Q$4:$Q$503,_calc!$E$412))&amp;". ")&amp;IF(LEN(IF(LEN(INDEX('Dealer pipeline'!$P$4:$P$503,_calc!$E$412))=0,"",INDEX('Dealer pipeline'!$P$4:$P$503,_calc!$E$412)))=0,"","Last touch: "&amp;IF(LEN(INDEX('Dealer pipeline'!$P$4:$P$503,_calc!$E$412))=0,"",INDEX('Dealer pipeline'!$P$4:$P$503,_calc!$E$412))&amp;". ")&amp;IF(LEN(IF(LEN(INDEX('Dealer pipeline'!$R$4:$R$503,_calc!$E$412))=0,"",INDEX('Dealer pipeline'!$R$4:$R$503,_calc!$E$412)))=0,"","Owner: "&amp;IF(LEN(INDEX('Dealer pipeline'!$R$4:$R$503,_calc!$E$412))=0,"",INDEX('Dealer pipeline'!$R$4:$R$503,_calc!$E$412))&amp;". ")&amp;IF(LEN(IF(LEN(INDEX('Dealer pipeline'!$S$4:$S$503,_calc!$E$412))=0,"",INDEX('Dealer pipeline'!$S$4:$S$503,_calc!$E$412)))=0,"","Backup: "&amp;IF(LEN(INDEX('Dealer pipeline'!$S$4:$S$503,_calc!$E$412))=0,"",INDEX('Dealer pipeline'!$S$4:$S$503,_calc!$E$412))&amp;". ")&amp;IF(LEN(IF(LEN(INDEX('Dealer pipeline'!$T$4:$T$503,_calc!$E$412))=0,"",INDEX('Dealer pipeline'!$T$4:$T$503,_calc!$E$412)))=0,"",IF(LEN(INDEX('Dealer pipeline'!$T$4:$T$503,_calc!$E$412))=0,"",INDEX('Dealer pipeline'!$T$4:$T$503,_calc!$E$412)))),TRIM(IF(LEN(IF(LEN(INDEX('My equipment'!$C$4:$C$503,(_calc!$E$412-500)))=0,"",INDEX('My equipment'!$C$4:$C$503,(_calc!$E$412-500))))=0,"","Model: "&amp;IF(LEN(INDEX('My equipment'!$C$4:$C$503,(_calc!$E$412-500)))=0,"",INDEX('My equipment'!$C$4:$C$503,(_calc!$E$412-500)))&amp;". ")&amp;IF(LEN(IF(LEN(INDEX('My equipment'!$D$4:$D$503,(_calc!$E$412-500)))=0,"",INDEX('My equipment'!$D$4:$D$503,(_calc!$E$412-500))))=0,"","Serial: "&amp;IF(LEN(INDEX('My equipment'!$D$4:$D$503,(_calc!$E$412-500)))=0,"",INDEX('My equipment'!$D$4:$D$503,(_calc!$E$412-500)))&amp;". ")&amp;IF(LEN(IF(ISNUMBER(INDEX('My equipment'!$J$4:$J$503,(_calc!$E$412-500))),TEXT(INDEX('My equipment'!$J$4:$J$503,(_calc!$E$412-500)),"yyyy-mm-dd"),""))=0,"","Parts end: "&amp;IF(ISNUMBER(INDEX('My equipment'!$J$4:$J$503,(_calc!$E$412-500))),TEXT(INDEX('My equipment'!$J$4:$J$503,(_calc!$E$412-500)),"yyyy-mm-dd"),"")&amp;". ")&amp;IF(LEN(IF(ISNUMBER(INDEX('My equipment'!$L$4:$L$503,(_calc!$E$412-500))),TEXT(INDEX('My equipment'!$L$4:$L$503,(_calc!$E$412-500)),"yyyy-mm-dd"),""))=0,"","Labor end: "&amp;IF(ISNUMBER(INDEX('My equipment'!$L$4:$L$503,(_calc!$E$412-500))),TEXT(INDEX('My equipment'!$L$4:$L$503,(_calc!$E$412-500)),"yyyy-mm-dd"),"")&amp;". ")&amp;IF(LEN(IF(ISNUMBER(INDEX('My equipment'!$P$4:$P$503,(_calc!$E$412-500))),TEXT(INDEX('My equipment'!$P$4:$P$503,(_calc!$E$412-500)),"yyyy-mm-dd"),""))=0,"","Check by: "&amp;IF(ISNUMBER(INDEX('My equipment'!$P$4:$P$503,(_calc!$E$412-500))),TEXT(INDEX('My equipment'!$P$4:$P$503,(_calc!$E$412-500)),"yyyy-mm-dd"),"")&amp;". ")&amp;IF(LEN(IF(LEN(INDEX('My equipment'!$Q$4:$Q$503,(_calc!$E$412-500)))=0,"",INDEX('My equipment'!$Q$4:$Q$503,(_calc!$E$412-500))))=0,"","Claim status: "&amp;IF(LEN(INDEX('My equipment'!$Q$4:$Q$503,(_calc!$E$412-500)))=0,"",INDEX('My equipment'!$Q$4:$Q$503,(_calc!$E$412-500)))&amp;". ")&amp;IF(LEN(IF(LEN(INDEX('My equipment'!$R$4:$R$503,(_calc!$E$412-500)))=0,"",INDEX('My equipment'!$R$4:$R$503,(_calc!$E$412-500))))=0,"","Claims contact: "&amp;IF(LEN(INDEX('My equipment'!$R$4:$R$503,(_calc!$E$412-500)))=0,"",INDEX('My equipment'!$R$4:$R$503,(_calc!$E$412-500)))&amp;". ")&amp;IF(LEN(IF(LEN(INDEX('My equipment'!$S$4:$S$503,(_calc!$E$412-500)))=0,"",INDEX('My equipment'!$S$4:$S$503,(_calc!$E$412-500))))=0,"","Claims email: "&amp;IF(LEN(INDEX('My equipment'!$S$4:$S$503,(_calc!$E$412-500)))=0,"",INDEX('My equipment'!$S$4:$S$503,(_calc!$E$412-500)))&amp;". ")&amp;IF(LEN(IF(LEN(INDEX('My equipment'!$U$4:$U$503,(_calc!$E$412-500)))=0,"",INDEX('My equipment'!$U$4:$U$503,(_calc!$E$412-500))))=0,"","Registered: "&amp;IF(LEN(INDEX('My equipment'!$U$4:$U$503,(_calc!$E$412-500)))=0,"",INDEX('My equipment'!$U$4:$U$503,(_calc!$E$412-500)))&amp;". ")&amp;IF(LEN(IF(LEN(INDEX('My equipment'!$V$4:$V$503,(_calc!$E$412-500)))=0,"",INDEX('My equipment'!$V$4:$V$503,(_calc!$E$412-500))))=0,"","Proof on file: "&amp;IF(LEN(INDEX('My equipment'!$V$4:$V$503,(_calc!$E$412-500)))=0,"",INDEX('My equipment'!$V$4:$V$503,(_calc!$E$412-500)))&amp;". ")&amp;IF(LEN(IF(LEN(INDEX('My equipment'!$W$4:$W$503,(_calc!$E$412-500)))=0,"",INDEX('My equipment'!$W$4:$W$503,(_calc!$E$412-500))))=0,"","Claim ref: "&amp;IF(LEN(INDEX('My equipment'!$W$4:$W$503,(_calc!$E$412-500)))=0,"",INDEX('My equipment'!$W$4:$W$503,(_calc!$E$412-500)))&amp;". ")&amp;IF(LEN(IF(LEN(INDEX('My equipment'!$Y$4:$Y$503,(_calc!$E$412-500)))=0,"",INDEX('My equipment'!$Y$4:$Y$503,(_calc!$E$412-500))))=0,"",IF(LEN(INDEX('My equipment'!$Y$4:$Y$503,(_calc!$E$412-500)))=0,"",INDEX('My equipment'!$Y$4:$Y$503,(_calc!$E$412-500)))))))</f>
        <v/>
      </c>
      <c r="G410" s="54">
        <f>IF(_calc!$E$412="","",IF(_calc!$E$412&lt;=500,"",IF(LEN(INDEX('My equipment'!$X$4:$X$503,(_calc!$E$412-500)))=0,"",INDEX('My equipment'!$X$4:$X$503,(_calc!$E$412-500)))))</f>
        <v/>
      </c>
      <c r="K410" s="54">
        <f>IF(_calc!$E$412="","",IF(_calc!$E$412&lt;=500,"",IF(LEN(INDEX('My equipment'!$T$4:$T$503,(_calc!$E$412-500)))=0,"",INDEX('My equipment'!$T$4:$T$503,(_calc!$E$412-500)))))</f>
        <v/>
      </c>
    </row>
    <row r="411">
      <c r="A411" s="54">
        <f>IF(_calc!$E$413="","",IF(_calc!$E$413&lt;=500,"Warranty – "&amp;IF(LEN(INDEX('Dealer pipeline'!$C$4:$C$503,_calc!$E$413))=0,"",INDEX('Dealer pipeline'!$C$4:$C$503,_calc!$E$413))&amp;" – "&amp;IF(LEN(INDEX('Dealer pipeline'!$D$4:$D$503,_calc!$E$413))=0,"",INDEX('Dealer pipeline'!$D$4:$D$503,_calc!$E$413))&amp;" – "&amp;IF(LEN(INDEX('Dealer pipeline'!$A$4:$A$503,_calc!$E$413))=0,"",INDEX('Dealer pipeline'!$A$4:$A$503,_calc!$E$413)),"Warranty – "&amp;IF(LEN(INDEX('My equipment'!$A$4:$A$503,(_calc!$E$413-500)))=0,"",INDEX('My equipment'!$A$4:$A$503,(_calc!$E$413-500)))&amp;" – "&amp;IF(LEN(INDEX('My equipment'!$D$4:$D$503,(_calc!$E$413-500)))=0,"",INDEX('My equipment'!$D$4:$D$503,(_calc!$E$413-500)))))</f>
        <v/>
      </c>
      <c r="B411" s="54">
        <f>IF(_calc!$E$413="","",IF(_calc!$E$413&lt;=500,IF(ISNUMBER(INDEX('Dealer pipeline'!$M$4:$M$503,_calc!$E$413)),TEXT(INDEX('Dealer pipeline'!$M$4:$M$503,_calc!$E$413),"yyyy-mm-dd"),""),IF(ISNUMBER(INDEX('My equipment'!$M$4:$M$503,(_calc!$E$413-500))),TEXT(INDEX('My equipment'!$M$4:$M$503,(_calc!$E$413-500)),"yyyy-mm-dd"),"")))</f>
        <v/>
      </c>
      <c r="C411" s="54">
        <f>IF(_calc!$E$413="","",IF(_calc!$E$413&lt;=500,"Warranty","Warranty"))</f>
        <v/>
      </c>
      <c r="D411" s="54">
        <f>IF(_calc!$E$413="","",IF(_calc!$E$413&lt;=500,IF(ISNUMBER(INDEX('Dealer pipeline'!$H$4:$H$503,_calc!$E$413)),TEXT(INDEX('Dealer pipeline'!$H$4:$H$503,_calc!$E$413),"yyyy-mm-dd"),""),IF(ISNUMBER(INDEX('My equipment'!$H$4:$H$503,(_calc!$E$413-500))),TEXT(INDEX('My equipment'!$H$4:$H$503,(_calc!$E$413-500)),"yyyy-mm-dd"),"")))</f>
        <v/>
      </c>
      <c r="F411" s="54">
        <f>IF(_calc!$E$413="","",IF(_calc!$E$413&lt;=500,TRIM(IF(LEN(IF(LEN(INDEX('Dealer pipeline'!$A$4:$A$503,_calc!$E$413))=0,"",INDEX('Dealer pipeline'!$A$4:$A$503,_calc!$E$413)))=0,"","Customer: "&amp;IF(LEN(INDEX('Dealer pipeline'!$A$4:$A$503,_calc!$E$413))=0,"",INDEX('Dealer pipeline'!$A$4:$A$503,_calc!$E$413))&amp;". ")&amp;IF(LEN(IF(LEN(INDEX('Dealer pipeline'!$B$4:$B$503,_calc!$E$413))=0,"",INDEX('Dealer pipeline'!$B$4:$B$503,_calc!$E$413)))=0,"","Contact: "&amp;IF(LEN(INDEX('Dealer pipeline'!$B$4:$B$503,_calc!$E$413))=0,"",INDEX('Dealer pipeline'!$B$4:$B$503,_calc!$E$413))&amp;". ")&amp;IF(LEN(IF(LEN(INDEX('Dealer pipeline'!$D$4:$D$503,_calc!$E$413))=0,"",INDEX('Dealer pipeline'!$D$4:$D$503,_calc!$E$413)))=0,"","Serial: "&amp;IF(LEN(INDEX('Dealer pipeline'!$D$4:$D$503,_calc!$E$413))=0,"",INDEX('Dealer pipeline'!$D$4:$D$503,_calc!$E$413))&amp;". ")&amp;IF(LEN(IF(ISNUMBER(INDEX('Dealer pipeline'!$J$4:$J$503,_calc!$E$413)),TEXT(INDEX('Dealer pipeline'!$J$4:$J$503,_calc!$E$413),"yyyy-mm-dd"),""))=0,"","Parts end: "&amp;IF(ISNUMBER(INDEX('Dealer pipeline'!$J$4:$J$503,_calc!$E$413)),TEXT(INDEX('Dealer pipeline'!$J$4:$J$503,_calc!$E$413),"yyyy-mm-dd"),"")&amp;". ")&amp;IF(LEN(IF(ISNUMBER(INDEX('Dealer pipeline'!$L$4:$L$503,_calc!$E$413)),TEXT(INDEX('Dealer pipeline'!$L$4:$L$503,_calc!$E$413),"yyyy-mm-dd"),""))=0,"","Labor end: "&amp;IF(ISNUMBER(INDEX('Dealer pipeline'!$L$4:$L$503,_calc!$E$413)),TEXT(INDEX('Dealer pipeline'!$L$4:$L$503,_calc!$E$413),"yyyy-mm-dd"),"")&amp;". ")&amp;IF(LEN(IF(LEN(INDEX('Dealer pipeline'!$Q$4:$Q$503,_calc!$E$413))=0,"",INDEX('Dealer pipeline'!$Q$4:$Q$503,_calc!$E$413)))=0,"","Status: "&amp;IF(LEN(INDEX('Dealer pipeline'!$Q$4:$Q$503,_calc!$E$413))=0,"",INDEX('Dealer pipeline'!$Q$4:$Q$503,_calc!$E$413))&amp;". ")&amp;IF(LEN(IF(LEN(INDEX('Dealer pipeline'!$P$4:$P$503,_calc!$E$413))=0,"",INDEX('Dealer pipeline'!$P$4:$P$503,_calc!$E$413)))=0,"","Last touch: "&amp;IF(LEN(INDEX('Dealer pipeline'!$P$4:$P$503,_calc!$E$413))=0,"",INDEX('Dealer pipeline'!$P$4:$P$503,_calc!$E$413))&amp;". ")&amp;IF(LEN(IF(LEN(INDEX('Dealer pipeline'!$R$4:$R$503,_calc!$E$413))=0,"",INDEX('Dealer pipeline'!$R$4:$R$503,_calc!$E$413)))=0,"","Owner: "&amp;IF(LEN(INDEX('Dealer pipeline'!$R$4:$R$503,_calc!$E$413))=0,"",INDEX('Dealer pipeline'!$R$4:$R$503,_calc!$E$413))&amp;". ")&amp;IF(LEN(IF(LEN(INDEX('Dealer pipeline'!$S$4:$S$503,_calc!$E$413))=0,"",INDEX('Dealer pipeline'!$S$4:$S$503,_calc!$E$413)))=0,"","Backup: "&amp;IF(LEN(INDEX('Dealer pipeline'!$S$4:$S$503,_calc!$E$413))=0,"",INDEX('Dealer pipeline'!$S$4:$S$503,_calc!$E$413))&amp;". ")&amp;IF(LEN(IF(LEN(INDEX('Dealer pipeline'!$T$4:$T$503,_calc!$E$413))=0,"",INDEX('Dealer pipeline'!$T$4:$T$503,_calc!$E$413)))=0,"",IF(LEN(INDEX('Dealer pipeline'!$T$4:$T$503,_calc!$E$413))=0,"",INDEX('Dealer pipeline'!$T$4:$T$503,_calc!$E$413)))),TRIM(IF(LEN(IF(LEN(INDEX('My equipment'!$C$4:$C$503,(_calc!$E$413-500)))=0,"",INDEX('My equipment'!$C$4:$C$503,(_calc!$E$413-500))))=0,"","Model: "&amp;IF(LEN(INDEX('My equipment'!$C$4:$C$503,(_calc!$E$413-500)))=0,"",INDEX('My equipment'!$C$4:$C$503,(_calc!$E$413-500)))&amp;". ")&amp;IF(LEN(IF(LEN(INDEX('My equipment'!$D$4:$D$503,(_calc!$E$413-500)))=0,"",INDEX('My equipment'!$D$4:$D$503,(_calc!$E$413-500))))=0,"","Serial: "&amp;IF(LEN(INDEX('My equipment'!$D$4:$D$503,(_calc!$E$413-500)))=0,"",INDEX('My equipment'!$D$4:$D$503,(_calc!$E$413-500)))&amp;". ")&amp;IF(LEN(IF(ISNUMBER(INDEX('My equipment'!$J$4:$J$503,(_calc!$E$413-500))),TEXT(INDEX('My equipment'!$J$4:$J$503,(_calc!$E$413-500)),"yyyy-mm-dd"),""))=0,"","Parts end: "&amp;IF(ISNUMBER(INDEX('My equipment'!$J$4:$J$503,(_calc!$E$413-500))),TEXT(INDEX('My equipment'!$J$4:$J$503,(_calc!$E$413-500)),"yyyy-mm-dd"),"")&amp;". ")&amp;IF(LEN(IF(ISNUMBER(INDEX('My equipment'!$L$4:$L$503,(_calc!$E$413-500))),TEXT(INDEX('My equipment'!$L$4:$L$503,(_calc!$E$413-500)),"yyyy-mm-dd"),""))=0,"","Labor end: "&amp;IF(ISNUMBER(INDEX('My equipment'!$L$4:$L$503,(_calc!$E$413-500))),TEXT(INDEX('My equipment'!$L$4:$L$503,(_calc!$E$413-500)),"yyyy-mm-dd"),"")&amp;". ")&amp;IF(LEN(IF(ISNUMBER(INDEX('My equipment'!$P$4:$P$503,(_calc!$E$413-500))),TEXT(INDEX('My equipment'!$P$4:$P$503,(_calc!$E$413-500)),"yyyy-mm-dd"),""))=0,"","Check by: "&amp;IF(ISNUMBER(INDEX('My equipment'!$P$4:$P$503,(_calc!$E$413-500))),TEXT(INDEX('My equipment'!$P$4:$P$503,(_calc!$E$413-500)),"yyyy-mm-dd"),"")&amp;". ")&amp;IF(LEN(IF(LEN(INDEX('My equipment'!$Q$4:$Q$503,(_calc!$E$413-500)))=0,"",INDEX('My equipment'!$Q$4:$Q$503,(_calc!$E$413-500))))=0,"","Claim status: "&amp;IF(LEN(INDEX('My equipment'!$Q$4:$Q$503,(_calc!$E$413-500)))=0,"",INDEX('My equipment'!$Q$4:$Q$503,(_calc!$E$413-500)))&amp;". ")&amp;IF(LEN(IF(LEN(INDEX('My equipment'!$R$4:$R$503,(_calc!$E$413-500)))=0,"",INDEX('My equipment'!$R$4:$R$503,(_calc!$E$413-500))))=0,"","Claims contact: "&amp;IF(LEN(INDEX('My equipment'!$R$4:$R$503,(_calc!$E$413-500)))=0,"",INDEX('My equipment'!$R$4:$R$503,(_calc!$E$413-500)))&amp;". ")&amp;IF(LEN(IF(LEN(INDEX('My equipment'!$S$4:$S$503,(_calc!$E$413-500)))=0,"",INDEX('My equipment'!$S$4:$S$503,(_calc!$E$413-500))))=0,"","Claims email: "&amp;IF(LEN(INDEX('My equipment'!$S$4:$S$503,(_calc!$E$413-500)))=0,"",INDEX('My equipment'!$S$4:$S$503,(_calc!$E$413-500)))&amp;". ")&amp;IF(LEN(IF(LEN(INDEX('My equipment'!$U$4:$U$503,(_calc!$E$413-500)))=0,"",INDEX('My equipment'!$U$4:$U$503,(_calc!$E$413-500))))=0,"","Registered: "&amp;IF(LEN(INDEX('My equipment'!$U$4:$U$503,(_calc!$E$413-500)))=0,"",INDEX('My equipment'!$U$4:$U$503,(_calc!$E$413-500)))&amp;". ")&amp;IF(LEN(IF(LEN(INDEX('My equipment'!$V$4:$V$503,(_calc!$E$413-500)))=0,"",INDEX('My equipment'!$V$4:$V$503,(_calc!$E$413-500))))=0,"","Proof on file: "&amp;IF(LEN(INDEX('My equipment'!$V$4:$V$503,(_calc!$E$413-500)))=0,"",INDEX('My equipment'!$V$4:$V$503,(_calc!$E$413-500)))&amp;". ")&amp;IF(LEN(IF(LEN(INDEX('My equipment'!$W$4:$W$503,(_calc!$E$413-500)))=0,"",INDEX('My equipment'!$W$4:$W$503,(_calc!$E$413-500))))=0,"","Claim ref: "&amp;IF(LEN(INDEX('My equipment'!$W$4:$W$503,(_calc!$E$413-500)))=0,"",INDEX('My equipment'!$W$4:$W$503,(_calc!$E$413-500)))&amp;". ")&amp;IF(LEN(IF(LEN(INDEX('My equipment'!$Y$4:$Y$503,(_calc!$E$413-500)))=0,"",INDEX('My equipment'!$Y$4:$Y$503,(_calc!$E$413-500))))=0,"",IF(LEN(INDEX('My equipment'!$Y$4:$Y$503,(_calc!$E$413-500)))=0,"",INDEX('My equipment'!$Y$4:$Y$503,(_calc!$E$413-500)))))))</f>
        <v/>
      </c>
      <c r="G411" s="54">
        <f>IF(_calc!$E$413="","",IF(_calc!$E$413&lt;=500,"",IF(LEN(INDEX('My equipment'!$X$4:$X$503,(_calc!$E$413-500)))=0,"",INDEX('My equipment'!$X$4:$X$503,(_calc!$E$413-500)))))</f>
        <v/>
      </c>
      <c r="K411" s="54">
        <f>IF(_calc!$E$413="","",IF(_calc!$E$413&lt;=500,"",IF(LEN(INDEX('My equipment'!$T$4:$T$503,(_calc!$E$413-500)))=0,"",INDEX('My equipment'!$T$4:$T$503,(_calc!$E$413-500)))))</f>
        <v/>
      </c>
    </row>
    <row r="412">
      <c r="A412" s="54">
        <f>IF(_calc!$E$414="","",IF(_calc!$E$414&lt;=500,"Warranty – "&amp;IF(LEN(INDEX('Dealer pipeline'!$C$4:$C$503,_calc!$E$414))=0,"",INDEX('Dealer pipeline'!$C$4:$C$503,_calc!$E$414))&amp;" – "&amp;IF(LEN(INDEX('Dealer pipeline'!$D$4:$D$503,_calc!$E$414))=0,"",INDEX('Dealer pipeline'!$D$4:$D$503,_calc!$E$414))&amp;" – "&amp;IF(LEN(INDEX('Dealer pipeline'!$A$4:$A$503,_calc!$E$414))=0,"",INDEX('Dealer pipeline'!$A$4:$A$503,_calc!$E$414)),"Warranty – "&amp;IF(LEN(INDEX('My equipment'!$A$4:$A$503,(_calc!$E$414-500)))=0,"",INDEX('My equipment'!$A$4:$A$503,(_calc!$E$414-500)))&amp;" – "&amp;IF(LEN(INDEX('My equipment'!$D$4:$D$503,(_calc!$E$414-500)))=0,"",INDEX('My equipment'!$D$4:$D$503,(_calc!$E$414-500)))))</f>
        <v/>
      </c>
      <c r="B412" s="54">
        <f>IF(_calc!$E$414="","",IF(_calc!$E$414&lt;=500,IF(ISNUMBER(INDEX('Dealer pipeline'!$M$4:$M$503,_calc!$E$414)),TEXT(INDEX('Dealer pipeline'!$M$4:$M$503,_calc!$E$414),"yyyy-mm-dd"),""),IF(ISNUMBER(INDEX('My equipment'!$M$4:$M$503,(_calc!$E$414-500))),TEXT(INDEX('My equipment'!$M$4:$M$503,(_calc!$E$414-500)),"yyyy-mm-dd"),"")))</f>
        <v/>
      </c>
      <c r="C412" s="54">
        <f>IF(_calc!$E$414="","",IF(_calc!$E$414&lt;=500,"Warranty","Warranty"))</f>
        <v/>
      </c>
      <c r="D412" s="54">
        <f>IF(_calc!$E$414="","",IF(_calc!$E$414&lt;=500,IF(ISNUMBER(INDEX('Dealer pipeline'!$H$4:$H$503,_calc!$E$414)),TEXT(INDEX('Dealer pipeline'!$H$4:$H$503,_calc!$E$414),"yyyy-mm-dd"),""),IF(ISNUMBER(INDEX('My equipment'!$H$4:$H$503,(_calc!$E$414-500))),TEXT(INDEX('My equipment'!$H$4:$H$503,(_calc!$E$414-500)),"yyyy-mm-dd"),"")))</f>
        <v/>
      </c>
      <c r="F412" s="54">
        <f>IF(_calc!$E$414="","",IF(_calc!$E$414&lt;=500,TRIM(IF(LEN(IF(LEN(INDEX('Dealer pipeline'!$A$4:$A$503,_calc!$E$414))=0,"",INDEX('Dealer pipeline'!$A$4:$A$503,_calc!$E$414)))=0,"","Customer: "&amp;IF(LEN(INDEX('Dealer pipeline'!$A$4:$A$503,_calc!$E$414))=0,"",INDEX('Dealer pipeline'!$A$4:$A$503,_calc!$E$414))&amp;". ")&amp;IF(LEN(IF(LEN(INDEX('Dealer pipeline'!$B$4:$B$503,_calc!$E$414))=0,"",INDEX('Dealer pipeline'!$B$4:$B$503,_calc!$E$414)))=0,"","Contact: "&amp;IF(LEN(INDEX('Dealer pipeline'!$B$4:$B$503,_calc!$E$414))=0,"",INDEX('Dealer pipeline'!$B$4:$B$503,_calc!$E$414))&amp;". ")&amp;IF(LEN(IF(LEN(INDEX('Dealer pipeline'!$D$4:$D$503,_calc!$E$414))=0,"",INDEX('Dealer pipeline'!$D$4:$D$503,_calc!$E$414)))=0,"","Serial: "&amp;IF(LEN(INDEX('Dealer pipeline'!$D$4:$D$503,_calc!$E$414))=0,"",INDEX('Dealer pipeline'!$D$4:$D$503,_calc!$E$414))&amp;". ")&amp;IF(LEN(IF(ISNUMBER(INDEX('Dealer pipeline'!$J$4:$J$503,_calc!$E$414)),TEXT(INDEX('Dealer pipeline'!$J$4:$J$503,_calc!$E$414),"yyyy-mm-dd"),""))=0,"","Parts end: "&amp;IF(ISNUMBER(INDEX('Dealer pipeline'!$J$4:$J$503,_calc!$E$414)),TEXT(INDEX('Dealer pipeline'!$J$4:$J$503,_calc!$E$414),"yyyy-mm-dd"),"")&amp;". ")&amp;IF(LEN(IF(ISNUMBER(INDEX('Dealer pipeline'!$L$4:$L$503,_calc!$E$414)),TEXT(INDEX('Dealer pipeline'!$L$4:$L$503,_calc!$E$414),"yyyy-mm-dd"),""))=0,"","Labor end: "&amp;IF(ISNUMBER(INDEX('Dealer pipeline'!$L$4:$L$503,_calc!$E$414)),TEXT(INDEX('Dealer pipeline'!$L$4:$L$503,_calc!$E$414),"yyyy-mm-dd"),"")&amp;". ")&amp;IF(LEN(IF(LEN(INDEX('Dealer pipeline'!$Q$4:$Q$503,_calc!$E$414))=0,"",INDEX('Dealer pipeline'!$Q$4:$Q$503,_calc!$E$414)))=0,"","Status: "&amp;IF(LEN(INDEX('Dealer pipeline'!$Q$4:$Q$503,_calc!$E$414))=0,"",INDEX('Dealer pipeline'!$Q$4:$Q$503,_calc!$E$414))&amp;". ")&amp;IF(LEN(IF(LEN(INDEX('Dealer pipeline'!$P$4:$P$503,_calc!$E$414))=0,"",INDEX('Dealer pipeline'!$P$4:$P$503,_calc!$E$414)))=0,"","Last touch: "&amp;IF(LEN(INDEX('Dealer pipeline'!$P$4:$P$503,_calc!$E$414))=0,"",INDEX('Dealer pipeline'!$P$4:$P$503,_calc!$E$414))&amp;". ")&amp;IF(LEN(IF(LEN(INDEX('Dealer pipeline'!$R$4:$R$503,_calc!$E$414))=0,"",INDEX('Dealer pipeline'!$R$4:$R$503,_calc!$E$414)))=0,"","Owner: "&amp;IF(LEN(INDEX('Dealer pipeline'!$R$4:$R$503,_calc!$E$414))=0,"",INDEX('Dealer pipeline'!$R$4:$R$503,_calc!$E$414))&amp;". ")&amp;IF(LEN(IF(LEN(INDEX('Dealer pipeline'!$S$4:$S$503,_calc!$E$414))=0,"",INDEX('Dealer pipeline'!$S$4:$S$503,_calc!$E$414)))=0,"","Backup: "&amp;IF(LEN(INDEX('Dealer pipeline'!$S$4:$S$503,_calc!$E$414))=0,"",INDEX('Dealer pipeline'!$S$4:$S$503,_calc!$E$414))&amp;". ")&amp;IF(LEN(IF(LEN(INDEX('Dealer pipeline'!$T$4:$T$503,_calc!$E$414))=0,"",INDEX('Dealer pipeline'!$T$4:$T$503,_calc!$E$414)))=0,"",IF(LEN(INDEX('Dealer pipeline'!$T$4:$T$503,_calc!$E$414))=0,"",INDEX('Dealer pipeline'!$T$4:$T$503,_calc!$E$414)))),TRIM(IF(LEN(IF(LEN(INDEX('My equipment'!$C$4:$C$503,(_calc!$E$414-500)))=0,"",INDEX('My equipment'!$C$4:$C$503,(_calc!$E$414-500))))=0,"","Model: "&amp;IF(LEN(INDEX('My equipment'!$C$4:$C$503,(_calc!$E$414-500)))=0,"",INDEX('My equipment'!$C$4:$C$503,(_calc!$E$414-500)))&amp;". ")&amp;IF(LEN(IF(LEN(INDEX('My equipment'!$D$4:$D$503,(_calc!$E$414-500)))=0,"",INDEX('My equipment'!$D$4:$D$503,(_calc!$E$414-500))))=0,"","Serial: "&amp;IF(LEN(INDEX('My equipment'!$D$4:$D$503,(_calc!$E$414-500)))=0,"",INDEX('My equipment'!$D$4:$D$503,(_calc!$E$414-500)))&amp;". ")&amp;IF(LEN(IF(ISNUMBER(INDEX('My equipment'!$J$4:$J$503,(_calc!$E$414-500))),TEXT(INDEX('My equipment'!$J$4:$J$503,(_calc!$E$414-500)),"yyyy-mm-dd"),""))=0,"","Parts end: "&amp;IF(ISNUMBER(INDEX('My equipment'!$J$4:$J$503,(_calc!$E$414-500))),TEXT(INDEX('My equipment'!$J$4:$J$503,(_calc!$E$414-500)),"yyyy-mm-dd"),"")&amp;". ")&amp;IF(LEN(IF(ISNUMBER(INDEX('My equipment'!$L$4:$L$503,(_calc!$E$414-500))),TEXT(INDEX('My equipment'!$L$4:$L$503,(_calc!$E$414-500)),"yyyy-mm-dd"),""))=0,"","Labor end: "&amp;IF(ISNUMBER(INDEX('My equipment'!$L$4:$L$503,(_calc!$E$414-500))),TEXT(INDEX('My equipment'!$L$4:$L$503,(_calc!$E$414-500)),"yyyy-mm-dd"),"")&amp;". ")&amp;IF(LEN(IF(ISNUMBER(INDEX('My equipment'!$P$4:$P$503,(_calc!$E$414-500))),TEXT(INDEX('My equipment'!$P$4:$P$503,(_calc!$E$414-500)),"yyyy-mm-dd"),""))=0,"","Check by: "&amp;IF(ISNUMBER(INDEX('My equipment'!$P$4:$P$503,(_calc!$E$414-500))),TEXT(INDEX('My equipment'!$P$4:$P$503,(_calc!$E$414-500)),"yyyy-mm-dd"),"")&amp;". ")&amp;IF(LEN(IF(LEN(INDEX('My equipment'!$Q$4:$Q$503,(_calc!$E$414-500)))=0,"",INDEX('My equipment'!$Q$4:$Q$503,(_calc!$E$414-500))))=0,"","Claim status: "&amp;IF(LEN(INDEX('My equipment'!$Q$4:$Q$503,(_calc!$E$414-500)))=0,"",INDEX('My equipment'!$Q$4:$Q$503,(_calc!$E$414-500)))&amp;". ")&amp;IF(LEN(IF(LEN(INDEX('My equipment'!$R$4:$R$503,(_calc!$E$414-500)))=0,"",INDEX('My equipment'!$R$4:$R$503,(_calc!$E$414-500))))=0,"","Claims contact: "&amp;IF(LEN(INDEX('My equipment'!$R$4:$R$503,(_calc!$E$414-500)))=0,"",INDEX('My equipment'!$R$4:$R$503,(_calc!$E$414-500)))&amp;". ")&amp;IF(LEN(IF(LEN(INDEX('My equipment'!$S$4:$S$503,(_calc!$E$414-500)))=0,"",INDEX('My equipment'!$S$4:$S$503,(_calc!$E$414-500))))=0,"","Claims email: "&amp;IF(LEN(INDEX('My equipment'!$S$4:$S$503,(_calc!$E$414-500)))=0,"",INDEX('My equipment'!$S$4:$S$503,(_calc!$E$414-500)))&amp;". ")&amp;IF(LEN(IF(LEN(INDEX('My equipment'!$U$4:$U$503,(_calc!$E$414-500)))=0,"",INDEX('My equipment'!$U$4:$U$503,(_calc!$E$414-500))))=0,"","Registered: "&amp;IF(LEN(INDEX('My equipment'!$U$4:$U$503,(_calc!$E$414-500)))=0,"",INDEX('My equipment'!$U$4:$U$503,(_calc!$E$414-500)))&amp;". ")&amp;IF(LEN(IF(LEN(INDEX('My equipment'!$V$4:$V$503,(_calc!$E$414-500)))=0,"",INDEX('My equipment'!$V$4:$V$503,(_calc!$E$414-500))))=0,"","Proof on file: "&amp;IF(LEN(INDEX('My equipment'!$V$4:$V$503,(_calc!$E$414-500)))=0,"",INDEX('My equipment'!$V$4:$V$503,(_calc!$E$414-500)))&amp;". ")&amp;IF(LEN(IF(LEN(INDEX('My equipment'!$W$4:$W$503,(_calc!$E$414-500)))=0,"",INDEX('My equipment'!$W$4:$W$503,(_calc!$E$414-500))))=0,"","Claim ref: "&amp;IF(LEN(INDEX('My equipment'!$W$4:$W$503,(_calc!$E$414-500)))=0,"",INDEX('My equipment'!$W$4:$W$503,(_calc!$E$414-500)))&amp;". ")&amp;IF(LEN(IF(LEN(INDEX('My equipment'!$Y$4:$Y$503,(_calc!$E$414-500)))=0,"",INDEX('My equipment'!$Y$4:$Y$503,(_calc!$E$414-500))))=0,"",IF(LEN(INDEX('My equipment'!$Y$4:$Y$503,(_calc!$E$414-500)))=0,"",INDEX('My equipment'!$Y$4:$Y$503,(_calc!$E$414-500)))))))</f>
        <v/>
      </c>
      <c r="G412" s="54">
        <f>IF(_calc!$E$414="","",IF(_calc!$E$414&lt;=500,"",IF(LEN(INDEX('My equipment'!$X$4:$X$503,(_calc!$E$414-500)))=0,"",INDEX('My equipment'!$X$4:$X$503,(_calc!$E$414-500)))))</f>
        <v/>
      </c>
      <c r="K412" s="54">
        <f>IF(_calc!$E$414="","",IF(_calc!$E$414&lt;=500,"",IF(LEN(INDEX('My equipment'!$T$4:$T$503,(_calc!$E$414-500)))=0,"",INDEX('My equipment'!$T$4:$T$503,(_calc!$E$414-500)))))</f>
        <v/>
      </c>
    </row>
    <row r="413">
      <c r="A413" s="54">
        <f>IF(_calc!$E$415="","",IF(_calc!$E$415&lt;=500,"Warranty – "&amp;IF(LEN(INDEX('Dealer pipeline'!$C$4:$C$503,_calc!$E$415))=0,"",INDEX('Dealer pipeline'!$C$4:$C$503,_calc!$E$415))&amp;" – "&amp;IF(LEN(INDEX('Dealer pipeline'!$D$4:$D$503,_calc!$E$415))=0,"",INDEX('Dealer pipeline'!$D$4:$D$503,_calc!$E$415))&amp;" – "&amp;IF(LEN(INDEX('Dealer pipeline'!$A$4:$A$503,_calc!$E$415))=0,"",INDEX('Dealer pipeline'!$A$4:$A$503,_calc!$E$415)),"Warranty – "&amp;IF(LEN(INDEX('My equipment'!$A$4:$A$503,(_calc!$E$415-500)))=0,"",INDEX('My equipment'!$A$4:$A$503,(_calc!$E$415-500)))&amp;" – "&amp;IF(LEN(INDEX('My equipment'!$D$4:$D$503,(_calc!$E$415-500)))=0,"",INDEX('My equipment'!$D$4:$D$503,(_calc!$E$415-500)))))</f>
        <v/>
      </c>
      <c r="B413" s="54">
        <f>IF(_calc!$E$415="","",IF(_calc!$E$415&lt;=500,IF(ISNUMBER(INDEX('Dealer pipeline'!$M$4:$M$503,_calc!$E$415)),TEXT(INDEX('Dealer pipeline'!$M$4:$M$503,_calc!$E$415),"yyyy-mm-dd"),""),IF(ISNUMBER(INDEX('My equipment'!$M$4:$M$503,(_calc!$E$415-500))),TEXT(INDEX('My equipment'!$M$4:$M$503,(_calc!$E$415-500)),"yyyy-mm-dd"),"")))</f>
        <v/>
      </c>
      <c r="C413" s="54">
        <f>IF(_calc!$E$415="","",IF(_calc!$E$415&lt;=500,"Warranty","Warranty"))</f>
        <v/>
      </c>
      <c r="D413" s="54">
        <f>IF(_calc!$E$415="","",IF(_calc!$E$415&lt;=500,IF(ISNUMBER(INDEX('Dealer pipeline'!$H$4:$H$503,_calc!$E$415)),TEXT(INDEX('Dealer pipeline'!$H$4:$H$503,_calc!$E$415),"yyyy-mm-dd"),""),IF(ISNUMBER(INDEX('My equipment'!$H$4:$H$503,(_calc!$E$415-500))),TEXT(INDEX('My equipment'!$H$4:$H$503,(_calc!$E$415-500)),"yyyy-mm-dd"),"")))</f>
        <v/>
      </c>
      <c r="F413" s="54">
        <f>IF(_calc!$E$415="","",IF(_calc!$E$415&lt;=500,TRIM(IF(LEN(IF(LEN(INDEX('Dealer pipeline'!$A$4:$A$503,_calc!$E$415))=0,"",INDEX('Dealer pipeline'!$A$4:$A$503,_calc!$E$415)))=0,"","Customer: "&amp;IF(LEN(INDEX('Dealer pipeline'!$A$4:$A$503,_calc!$E$415))=0,"",INDEX('Dealer pipeline'!$A$4:$A$503,_calc!$E$415))&amp;". ")&amp;IF(LEN(IF(LEN(INDEX('Dealer pipeline'!$B$4:$B$503,_calc!$E$415))=0,"",INDEX('Dealer pipeline'!$B$4:$B$503,_calc!$E$415)))=0,"","Contact: "&amp;IF(LEN(INDEX('Dealer pipeline'!$B$4:$B$503,_calc!$E$415))=0,"",INDEX('Dealer pipeline'!$B$4:$B$503,_calc!$E$415))&amp;". ")&amp;IF(LEN(IF(LEN(INDEX('Dealer pipeline'!$D$4:$D$503,_calc!$E$415))=0,"",INDEX('Dealer pipeline'!$D$4:$D$503,_calc!$E$415)))=0,"","Serial: "&amp;IF(LEN(INDEX('Dealer pipeline'!$D$4:$D$503,_calc!$E$415))=0,"",INDEX('Dealer pipeline'!$D$4:$D$503,_calc!$E$415))&amp;". ")&amp;IF(LEN(IF(ISNUMBER(INDEX('Dealer pipeline'!$J$4:$J$503,_calc!$E$415)),TEXT(INDEX('Dealer pipeline'!$J$4:$J$503,_calc!$E$415),"yyyy-mm-dd"),""))=0,"","Parts end: "&amp;IF(ISNUMBER(INDEX('Dealer pipeline'!$J$4:$J$503,_calc!$E$415)),TEXT(INDEX('Dealer pipeline'!$J$4:$J$503,_calc!$E$415),"yyyy-mm-dd"),"")&amp;". ")&amp;IF(LEN(IF(ISNUMBER(INDEX('Dealer pipeline'!$L$4:$L$503,_calc!$E$415)),TEXT(INDEX('Dealer pipeline'!$L$4:$L$503,_calc!$E$415),"yyyy-mm-dd"),""))=0,"","Labor end: "&amp;IF(ISNUMBER(INDEX('Dealer pipeline'!$L$4:$L$503,_calc!$E$415)),TEXT(INDEX('Dealer pipeline'!$L$4:$L$503,_calc!$E$415),"yyyy-mm-dd"),"")&amp;". ")&amp;IF(LEN(IF(LEN(INDEX('Dealer pipeline'!$Q$4:$Q$503,_calc!$E$415))=0,"",INDEX('Dealer pipeline'!$Q$4:$Q$503,_calc!$E$415)))=0,"","Status: "&amp;IF(LEN(INDEX('Dealer pipeline'!$Q$4:$Q$503,_calc!$E$415))=0,"",INDEX('Dealer pipeline'!$Q$4:$Q$503,_calc!$E$415))&amp;". ")&amp;IF(LEN(IF(LEN(INDEX('Dealer pipeline'!$P$4:$P$503,_calc!$E$415))=0,"",INDEX('Dealer pipeline'!$P$4:$P$503,_calc!$E$415)))=0,"","Last touch: "&amp;IF(LEN(INDEX('Dealer pipeline'!$P$4:$P$503,_calc!$E$415))=0,"",INDEX('Dealer pipeline'!$P$4:$P$503,_calc!$E$415))&amp;". ")&amp;IF(LEN(IF(LEN(INDEX('Dealer pipeline'!$R$4:$R$503,_calc!$E$415))=0,"",INDEX('Dealer pipeline'!$R$4:$R$503,_calc!$E$415)))=0,"","Owner: "&amp;IF(LEN(INDEX('Dealer pipeline'!$R$4:$R$503,_calc!$E$415))=0,"",INDEX('Dealer pipeline'!$R$4:$R$503,_calc!$E$415))&amp;". ")&amp;IF(LEN(IF(LEN(INDEX('Dealer pipeline'!$S$4:$S$503,_calc!$E$415))=0,"",INDEX('Dealer pipeline'!$S$4:$S$503,_calc!$E$415)))=0,"","Backup: "&amp;IF(LEN(INDEX('Dealer pipeline'!$S$4:$S$503,_calc!$E$415))=0,"",INDEX('Dealer pipeline'!$S$4:$S$503,_calc!$E$415))&amp;". ")&amp;IF(LEN(IF(LEN(INDEX('Dealer pipeline'!$T$4:$T$503,_calc!$E$415))=0,"",INDEX('Dealer pipeline'!$T$4:$T$503,_calc!$E$415)))=0,"",IF(LEN(INDEX('Dealer pipeline'!$T$4:$T$503,_calc!$E$415))=0,"",INDEX('Dealer pipeline'!$T$4:$T$503,_calc!$E$415)))),TRIM(IF(LEN(IF(LEN(INDEX('My equipment'!$C$4:$C$503,(_calc!$E$415-500)))=0,"",INDEX('My equipment'!$C$4:$C$503,(_calc!$E$415-500))))=0,"","Model: "&amp;IF(LEN(INDEX('My equipment'!$C$4:$C$503,(_calc!$E$415-500)))=0,"",INDEX('My equipment'!$C$4:$C$503,(_calc!$E$415-500)))&amp;". ")&amp;IF(LEN(IF(LEN(INDEX('My equipment'!$D$4:$D$503,(_calc!$E$415-500)))=0,"",INDEX('My equipment'!$D$4:$D$503,(_calc!$E$415-500))))=0,"","Serial: "&amp;IF(LEN(INDEX('My equipment'!$D$4:$D$503,(_calc!$E$415-500)))=0,"",INDEX('My equipment'!$D$4:$D$503,(_calc!$E$415-500)))&amp;". ")&amp;IF(LEN(IF(ISNUMBER(INDEX('My equipment'!$J$4:$J$503,(_calc!$E$415-500))),TEXT(INDEX('My equipment'!$J$4:$J$503,(_calc!$E$415-500)),"yyyy-mm-dd"),""))=0,"","Parts end: "&amp;IF(ISNUMBER(INDEX('My equipment'!$J$4:$J$503,(_calc!$E$415-500))),TEXT(INDEX('My equipment'!$J$4:$J$503,(_calc!$E$415-500)),"yyyy-mm-dd"),"")&amp;". ")&amp;IF(LEN(IF(ISNUMBER(INDEX('My equipment'!$L$4:$L$503,(_calc!$E$415-500))),TEXT(INDEX('My equipment'!$L$4:$L$503,(_calc!$E$415-500)),"yyyy-mm-dd"),""))=0,"","Labor end: "&amp;IF(ISNUMBER(INDEX('My equipment'!$L$4:$L$503,(_calc!$E$415-500))),TEXT(INDEX('My equipment'!$L$4:$L$503,(_calc!$E$415-500)),"yyyy-mm-dd"),"")&amp;". ")&amp;IF(LEN(IF(ISNUMBER(INDEX('My equipment'!$P$4:$P$503,(_calc!$E$415-500))),TEXT(INDEX('My equipment'!$P$4:$P$503,(_calc!$E$415-500)),"yyyy-mm-dd"),""))=0,"","Check by: "&amp;IF(ISNUMBER(INDEX('My equipment'!$P$4:$P$503,(_calc!$E$415-500))),TEXT(INDEX('My equipment'!$P$4:$P$503,(_calc!$E$415-500)),"yyyy-mm-dd"),"")&amp;". ")&amp;IF(LEN(IF(LEN(INDEX('My equipment'!$Q$4:$Q$503,(_calc!$E$415-500)))=0,"",INDEX('My equipment'!$Q$4:$Q$503,(_calc!$E$415-500))))=0,"","Claim status: "&amp;IF(LEN(INDEX('My equipment'!$Q$4:$Q$503,(_calc!$E$415-500)))=0,"",INDEX('My equipment'!$Q$4:$Q$503,(_calc!$E$415-500)))&amp;". ")&amp;IF(LEN(IF(LEN(INDEX('My equipment'!$R$4:$R$503,(_calc!$E$415-500)))=0,"",INDEX('My equipment'!$R$4:$R$503,(_calc!$E$415-500))))=0,"","Claims contact: "&amp;IF(LEN(INDEX('My equipment'!$R$4:$R$503,(_calc!$E$415-500)))=0,"",INDEX('My equipment'!$R$4:$R$503,(_calc!$E$415-500)))&amp;". ")&amp;IF(LEN(IF(LEN(INDEX('My equipment'!$S$4:$S$503,(_calc!$E$415-500)))=0,"",INDEX('My equipment'!$S$4:$S$503,(_calc!$E$415-500))))=0,"","Claims email: "&amp;IF(LEN(INDEX('My equipment'!$S$4:$S$503,(_calc!$E$415-500)))=0,"",INDEX('My equipment'!$S$4:$S$503,(_calc!$E$415-500)))&amp;". ")&amp;IF(LEN(IF(LEN(INDEX('My equipment'!$U$4:$U$503,(_calc!$E$415-500)))=0,"",INDEX('My equipment'!$U$4:$U$503,(_calc!$E$415-500))))=0,"","Registered: "&amp;IF(LEN(INDEX('My equipment'!$U$4:$U$503,(_calc!$E$415-500)))=0,"",INDEX('My equipment'!$U$4:$U$503,(_calc!$E$415-500)))&amp;". ")&amp;IF(LEN(IF(LEN(INDEX('My equipment'!$V$4:$V$503,(_calc!$E$415-500)))=0,"",INDEX('My equipment'!$V$4:$V$503,(_calc!$E$415-500))))=0,"","Proof on file: "&amp;IF(LEN(INDEX('My equipment'!$V$4:$V$503,(_calc!$E$415-500)))=0,"",INDEX('My equipment'!$V$4:$V$503,(_calc!$E$415-500)))&amp;". ")&amp;IF(LEN(IF(LEN(INDEX('My equipment'!$W$4:$W$503,(_calc!$E$415-500)))=0,"",INDEX('My equipment'!$W$4:$W$503,(_calc!$E$415-500))))=0,"","Claim ref: "&amp;IF(LEN(INDEX('My equipment'!$W$4:$W$503,(_calc!$E$415-500)))=0,"",INDEX('My equipment'!$W$4:$W$503,(_calc!$E$415-500)))&amp;". ")&amp;IF(LEN(IF(LEN(INDEX('My equipment'!$Y$4:$Y$503,(_calc!$E$415-500)))=0,"",INDEX('My equipment'!$Y$4:$Y$503,(_calc!$E$415-500))))=0,"",IF(LEN(INDEX('My equipment'!$Y$4:$Y$503,(_calc!$E$415-500)))=0,"",INDEX('My equipment'!$Y$4:$Y$503,(_calc!$E$415-500)))))))</f>
        <v/>
      </c>
      <c r="G413" s="54">
        <f>IF(_calc!$E$415="","",IF(_calc!$E$415&lt;=500,"",IF(LEN(INDEX('My equipment'!$X$4:$X$503,(_calc!$E$415-500)))=0,"",INDEX('My equipment'!$X$4:$X$503,(_calc!$E$415-500)))))</f>
        <v/>
      </c>
      <c r="K413" s="54">
        <f>IF(_calc!$E$415="","",IF(_calc!$E$415&lt;=500,"",IF(LEN(INDEX('My equipment'!$T$4:$T$503,(_calc!$E$415-500)))=0,"",INDEX('My equipment'!$T$4:$T$503,(_calc!$E$415-500)))))</f>
        <v/>
      </c>
    </row>
    <row r="414">
      <c r="A414" s="54">
        <f>IF(_calc!$E$416="","",IF(_calc!$E$416&lt;=500,"Warranty – "&amp;IF(LEN(INDEX('Dealer pipeline'!$C$4:$C$503,_calc!$E$416))=0,"",INDEX('Dealer pipeline'!$C$4:$C$503,_calc!$E$416))&amp;" – "&amp;IF(LEN(INDEX('Dealer pipeline'!$D$4:$D$503,_calc!$E$416))=0,"",INDEX('Dealer pipeline'!$D$4:$D$503,_calc!$E$416))&amp;" – "&amp;IF(LEN(INDEX('Dealer pipeline'!$A$4:$A$503,_calc!$E$416))=0,"",INDEX('Dealer pipeline'!$A$4:$A$503,_calc!$E$416)),"Warranty – "&amp;IF(LEN(INDEX('My equipment'!$A$4:$A$503,(_calc!$E$416-500)))=0,"",INDEX('My equipment'!$A$4:$A$503,(_calc!$E$416-500)))&amp;" – "&amp;IF(LEN(INDEX('My equipment'!$D$4:$D$503,(_calc!$E$416-500)))=0,"",INDEX('My equipment'!$D$4:$D$503,(_calc!$E$416-500)))))</f>
        <v/>
      </c>
      <c r="B414" s="54">
        <f>IF(_calc!$E$416="","",IF(_calc!$E$416&lt;=500,IF(ISNUMBER(INDEX('Dealer pipeline'!$M$4:$M$503,_calc!$E$416)),TEXT(INDEX('Dealer pipeline'!$M$4:$M$503,_calc!$E$416),"yyyy-mm-dd"),""),IF(ISNUMBER(INDEX('My equipment'!$M$4:$M$503,(_calc!$E$416-500))),TEXT(INDEX('My equipment'!$M$4:$M$503,(_calc!$E$416-500)),"yyyy-mm-dd"),"")))</f>
        <v/>
      </c>
      <c r="C414" s="54">
        <f>IF(_calc!$E$416="","",IF(_calc!$E$416&lt;=500,"Warranty","Warranty"))</f>
        <v/>
      </c>
      <c r="D414" s="54">
        <f>IF(_calc!$E$416="","",IF(_calc!$E$416&lt;=500,IF(ISNUMBER(INDEX('Dealer pipeline'!$H$4:$H$503,_calc!$E$416)),TEXT(INDEX('Dealer pipeline'!$H$4:$H$503,_calc!$E$416),"yyyy-mm-dd"),""),IF(ISNUMBER(INDEX('My equipment'!$H$4:$H$503,(_calc!$E$416-500))),TEXT(INDEX('My equipment'!$H$4:$H$503,(_calc!$E$416-500)),"yyyy-mm-dd"),"")))</f>
        <v/>
      </c>
      <c r="F414" s="54">
        <f>IF(_calc!$E$416="","",IF(_calc!$E$416&lt;=500,TRIM(IF(LEN(IF(LEN(INDEX('Dealer pipeline'!$A$4:$A$503,_calc!$E$416))=0,"",INDEX('Dealer pipeline'!$A$4:$A$503,_calc!$E$416)))=0,"","Customer: "&amp;IF(LEN(INDEX('Dealer pipeline'!$A$4:$A$503,_calc!$E$416))=0,"",INDEX('Dealer pipeline'!$A$4:$A$503,_calc!$E$416))&amp;". ")&amp;IF(LEN(IF(LEN(INDEX('Dealer pipeline'!$B$4:$B$503,_calc!$E$416))=0,"",INDEX('Dealer pipeline'!$B$4:$B$503,_calc!$E$416)))=0,"","Contact: "&amp;IF(LEN(INDEX('Dealer pipeline'!$B$4:$B$503,_calc!$E$416))=0,"",INDEX('Dealer pipeline'!$B$4:$B$503,_calc!$E$416))&amp;". ")&amp;IF(LEN(IF(LEN(INDEX('Dealer pipeline'!$D$4:$D$503,_calc!$E$416))=0,"",INDEX('Dealer pipeline'!$D$4:$D$503,_calc!$E$416)))=0,"","Serial: "&amp;IF(LEN(INDEX('Dealer pipeline'!$D$4:$D$503,_calc!$E$416))=0,"",INDEX('Dealer pipeline'!$D$4:$D$503,_calc!$E$416))&amp;". ")&amp;IF(LEN(IF(ISNUMBER(INDEX('Dealer pipeline'!$J$4:$J$503,_calc!$E$416)),TEXT(INDEX('Dealer pipeline'!$J$4:$J$503,_calc!$E$416),"yyyy-mm-dd"),""))=0,"","Parts end: "&amp;IF(ISNUMBER(INDEX('Dealer pipeline'!$J$4:$J$503,_calc!$E$416)),TEXT(INDEX('Dealer pipeline'!$J$4:$J$503,_calc!$E$416),"yyyy-mm-dd"),"")&amp;". ")&amp;IF(LEN(IF(ISNUMBER(INDEX('Dealer pipeline'!$L$4:$L$503,_calc!$E$416)),TEXT(INDEX('Dealer pipeline'!$L$4:$L$503,_calc!$E$416),"yyyy-mm-dd"),""))=0,"","Labor end: "&amp;IF(ISNUMBER(INDEX('Dealer pipeline'!$L$4:$L$503,_calc!$E$416)),TEXT(INDEX('Dealer pipeline'!$L$4:$L$503,_calc!$E$416),"yyyy-mm-dd"),"")&amp;". ")&amp;IF(LEN(IF(LEN(INDEX('Dealer pipeline'!$Q$4:$Q$503,_calc!$E$416))=0,"",INDEX('Dealer pipeline'!$Q$4:$Q$503,_calc!$E$416)))=0,"","Status: "&amp;IF(LEN(INDEX('Dealer pipeline'!$Q$4:$Q$503,_calc!$E$416))=0,"",INDEX('Dealer pipeline'!$Q$4:$Q$503,_calc!$E$416))&amp;". ")&amp;IF(LEN(IF(LEN(INDEX('Dealer pipeline'!$P$4:$P$503,_calc!$E$416))=0,"",INDEX('Dealer pipeline'!$P$4:$P$503,_calc!$E$416)))=0,"","Last touch: "&amp;IF(LEN(INDEX('Dealer pipeline'!$P$4:$P$503,_calc!$E$416))=0,"",INDEX('Dealer pipeline'!$P$4:$P$503,_calc!$E$416))&amp;". ")&amp;IF(LEN(IF(LEN(INDEX('Dealer pipeline'!$R$4:$R$503,_calc!$E$416))=0,"",INDEX('Dealer pipeline'!$R$4:$R$503,_calc!$E$416)))=0,"","Owner: "&amp;IF(LEN(INDEX('Dealer pipeline'!$R$4:$R$503,_calc!$E$416))=0,"",INDEX('Dealer pipeline'!$R$4:$R$503,_calc!$E$416))&amp;". ")&amp;IF(LEN(IF(LEN(INDEX('Dealer pipeline'!$S$4:$S$503,_calc!$E$416))=0,"",INDEX('Dealer pipeline'!$S$4:$S$503,_calc!$E$416)))=0,"","Backup: "&amp;IF(LEN(INDEX('Dealer pipeline'!$S$4:$S$503,_calc!$E$416))=0,"",INDEX('Dealer pipeline'!$S$4:$S$503,_calc!$E$416))&amp;". ")&amp;IF(LEN(IF(LEN(INDEX('Dealer pipeline'!$T$4:$T$503,_calc!$E$416))=0,"",INDEX('Dealer pipeline'!$T$4:$T$503,_calc!$E$416)))=0,"",IF(LEN(INDEX('Dealer pipeline'!$T$4:$T$503,_calc!$E$416))=0,"",INDEX('Dealer pipeline'!$T$4:$T$503,_calc!$E$416)))),TRIM(IF(LEN(IF(LEN(INDEX('My equipment'!$C$4:$C$503,(_calc!$E$416-500)))=0,"",INDEX('My equipment'!$C$4:$C$503,(_calc!$E$416-500))))=0,"","Model: "&amp;IF(LEN(INDEX('My equipment'!$C$4:$C$503,(_calc!$E$416-500)))=0,"",INDEX('My equipment'!$C$4:$C$503,(_calc!$E$416-500)))&amp;". ")&amp;IF(LEN(IF(LEN(INDEX('My equipment'!$D$4:$D$503,(_calc!$E$416-500)))=0,"",INDEX('My equipment'!$D$4:$D$503,(_calc!$E$416-500))))=0,"","Serial: "&amp;IF(LEN(INDEX('My equipment'!$D$4:$D$503,(_calc!$E$416-500)))=0,"",INDEX('My equipment'!$D$4:$D$503,(_calc!$E$416-500)))&amp;". ")&amp;IF(LEN(IF(ISNUMBER(INDEX('My equipment'!$J$4:$J$503,(_calc!$E$416-500))),TEXT(INDEX('My equipment'!$J$4:$J$503,(_calc!$E$416-500)),"yyyy-mm-dd"),""))=0,"","Parts end: "&amp;IF(ISNUMBER(INDEX('My equipment'!$J$4:$J$503,(_calc!$E$416-500))),TEXT(INDEX('My equipment'!$J$4:$J$503,(_calc!$E$416-500)),"yyyy-mm-dd"),"")&amp;". ")&amp;IF(LEN(IF(ISNUMBER(INDEX('My equipment'!$L$4:$L$503,(_calc!$E$416-500))),TEXT(INDEX('My equipment'!$L$4:$L$503,(_calc!$E$416-500)),"yyyy-mm-dd"),""))=0,"","Labor end: "&amp;IF(ISNUMBER(INDEX('My equipment'!$L$4:$L$503,(_calc!$E$416-500))),TEXT(INDEX('My equipment'!$L$4:$L$503,(_calc!$E$416-500)),"yyyy-mm-dd"),"")&amp;". ")&amp;IF(LEN(IF(ISNUMBER(INDEX('My equipment'!$P$4:$P$503,(_calc!$E$416-500))),TEXT(INDEX('My equipment'!$P$4:$P$503,(_calc!$E$416-500)),"yyyy-mm-dd"),""))=0,"","Check by: "&amp;IF(ISNUMBER(INDEX('My equipment'!$P$4:$P$503,(_calc!$E$416-500))),TEXT(INDEX('My equipment'!$P$4:$P$503,(_calc!$E$416-500)),"yyyy-mm-dd"),"")&amp;". ")&amp;IF(LEN(IF(LEN(INDEX('My equipment'!$Q$4:$Q$503,(_calc!$E$416-500)))=0,"",INDEX('My equipment'!$Q$4:$Q$503,(_calc!$E$416-500))))=0,"","Claim status: "&amp;IF(LEN(INDEX('My equipment'!$Q$4:$Q$503,(_calc!$E$416-500)))=0,"",INDEX('My equipment'!$Q$4:$Q$503,(_calc!$E$416-500)))&amp;". ")&amp;IF(LEN(IF(LEN(INDEX('My equipment'!$R$4:$R$503,(_calc!$E$416-500)))=0,"",INDEX('My equipment'!$R$4:$R$503,(_calc!$E$416-500))))=0,"","Claims contact: "&amp;IF(LEN(INDEX('My equipment'!$R$4:$R$503,(_calc!$E$416-500)))=0,"",INDEX('My equipment'!$R$4:$R$503,(_calc!$E$416-500)))&amp;". ")&amp;IF(LEN(IF(LEN(INDEX('My equipment'!$S$4:$S$503,(_calc!$E$416-500)))=0,"",INDEX('My equipment'!$S$4:$S$503,(_calc!$E$416-500))))=0,"","Claims email: "&amp;IF(LEN(INDEX('My equipment'!$S$4:$S$503,(_calc!$E$416-500)))=0,"",INDEX('My equipment'!$S$4:$S$503,(_calc!$E$416-500)))&amp;". ")&amp;IF(LEN(IF(LEN(INDEX('My equipment'!$U$4:$U$503,(_calc!$E$416-500)))=0,"",INDEX('My equipment'!$U$4:$U$503,(_calc!$E$416-500))))=0,"","Registered: "&amp;IF(LEN(INDEX('My equipment'!$U$4:$U$503,(_calc!$E$416-500)))=0,"",INDEX('My equipment'!$U$4:$U$503,(_calc!$E$416-500)))&amp;". ")&amp;IF(LEN(IF(LEN(INDEX('My equipment'!$V$4:$V$503,(_calc!$E$416-500)))=0,"",INDEX('My equipment'!$V$4:$V$503,(_calc!$E$416-500))))=0,"","Proof on file: "&amp;IF(LEN(INDEX('My equipment'!$V$4:$V$503,(_calc!$E$416-500)))=0,"",INDEX('My equipment'!$V$4:$V$503,(_calc!$E$416-500)))&amp;". ")&amp;IF(LEN(IF(LEN(INDEX('My equipment'!$W$4:$W$503,(_calc!$E$416-500)))=0,"",INDEX('My equipment'!$W$4:$W$503,(_calc!$E$416-500))))=0,"","Claim ref: "&amp;IF(LEN(INDEX('My equipment'!$W$4:$W$503,(_calc!$E$416-500)))=0,"",INDEX('My equipment'!$W$4:$W$503,(_calc!$E$416-500)))&amp;". ")&amp;IF(LEN(IF(LEN(INDEX('My equipment'!$Y$4:$Y$503,(_calc!$E$416-500)))=0,"",INDEX('My equipment'!$Y$4:$Y$503,(_calc!$E$416-500))))=0,"",IF(LEN(INDEX('My equipment'!$Y$4:$Y$503,(_calc!$E$416-500)))=0,"",INDEX('My equipment'!$Y$4:$Y$503,(_calc!$E$416-500)))))))</f>
        <v/>
      </c>
      <c r="G414" s="54">
        <f>IF(_calc!$E$416="","",IF(_calc!$E$416&lt;=500,"",IF(LEN(INDEX('My equipment'!$X$4:$X$503,(_calc!$E$416-500)))=0,"",INDEX('My equipment'!$X$4:$X$503,(_calc!$E$416-500)))))</f>
        <v/>
      </c>
      <c r="K414" s="54">
        <f>IF(_calc!$E$416="","",IF(_calc!$E$416&lt;=500,"",IF(LEN(INDEX('My equipment'!$T$4:$T$503,(_calc!$E$416-500)))=0,"",INDEX('My equipment'!$T$4:$T$503,(_calc!$E$416-500)))))</f>
        <v/>
      </c>
    </row>
    <row r="415">
      <c r="A415" s="54">
        <f>IF(_calc!$E$417="","",IF(_calc!$E$417&lt;=500,"Warranty – "&amp;IF(LEN(INDEX('Dealer pipeline'!$C$4:$C$503,_calc!$E$417))=0,"",INDEX('Dealer pipeline'!$C$4:$C$503,_calc!$E$417))&amp;" – "&amp;IF(LEN(INDEX('Dealer pipeline'!$D$4:$D$503,_calc!$E$417))=0,"",INDEX('Dealer pipeline'!$D$4:$D$503,_calc!$E$417))&amp;" – "&amp;IF(LEN(INDEX('Dealer pipeline'!$A$4:$A$503,_calc!$E$417))=0,"",INDEX('Dealer pipeline'!$A$4:$A$503,_calc!$E$417)),"Warranty – "&amp;IF(LEN(INDEX('My equipment'!$A$4:$A$503,(_calc!$E$417-500)))=0,"",INDEX('My equipment'!$A$4:$A$503,(_calc!$E$417-500)))&amp;" – "&amp;IF(LEN(INDEX('My equipment'!$D$4:$D$503,(_calc!$E$417-500)))=0,"",INDEX('My equipment'!$D$4:$D$503,(_calc!$E$417-500)))))</f>
        <v/>
      </c>
      <c r="B415" s="54">
        <f>IF(_calc!$E$417="","",IF(_calc!$E$417&lt;=500,IF(ISNUMBER(INDEX('Dealer pipeline'!$M$4:$M$503,_calc!$E$417)),TEXT(INDEX('Dealer pipeline'!$M$4:$M$503,_calc!$E$417),"yyyy-mm-dd"),""),IF(ISNUMBER(INDEX('My equipment'!$M$4:$M$503,(_calc!$E$417-500))),TEXT(INDEX('My equipment'!$M$4:$M$503,(_calc!$E$417-500)),"yyyy-mm-dd"),"")))</f>
        <v/>
      </c>
      <c r="C415" s="54">
        <f>IF(_calc!$E$417="","",IF(_calc!$E$417&lt;=500,"Warranty","Warranty"))</f>
        <v/>
      </c>
      <c r="D415" s="54">
        <f>IF(_calc!$E$417="","",IF(_calc!$E$417&lt;=500,IF(ISNUMBER(INDEX('Dealer pipeline'!$H$4:$H$503,_calc!$E$417)),TEXT(INDEX('Dealer pipeline'!$H$4:$H$503,_calc!$E$417),"yyyy-mm-dd"),""),IF(ISNUMBER(INDEX('My equipment'!$H$4:$H$503,(_calc!$E$417-500))),TEXT(INDEX('My equipment'!$H$4:$H$503,(_calc!$E$417-500)),"yyyy-mm-dd"),"")))</f>
        <v/>
      </c>
      <c r="F415" s="54">
        <f>IF(_calc!$E$417="","",IF(_calc!$E$417&lt;=500,TRIM(IF(LEN(IF(LEN(INDEX('Dealer pipeline'!$A$4:$A$503,_calc!$E$417))=0,"",INDEX('Dealer pipeline'!$A$4:$A$503,_calc!$E$417)))=0,"","Customer: "&amp;IF(LEN(INDEX('Dealer pipeline'!$A$4:$A$503,_calc!$E$417))=0,"",INDEX('Dealer pipeline'!$A$4:$A$503,_calc!$E$417))&amp;". ")&amp;IF(LEN(IF(LEN(INDEX('Dealer pipeline'!$B$4:$B$503,_calc!$E$417))=0,"",INDEX('Dealer pipeline'!$B$4:$B$503,_calc!$E$417)))=0,"","Contact: "&amp;IF(LEN(INDEX('Dealer pipeline'!$B$4:$B$503,_calc!$E$417))=0,"",INDEX('Dealer pipeline'!$B$4:$B$503,_calc!$E$417))&amp;". ")&amp;IF(LEN(IF(LEN(INDEX('Dealer pipeline'!$D$4:$D$503,_calc!$E$417))=0,"",INDEX('Dealer pipeline'!$D$4:$D$503,_calc!$E$417)))=0,"","Serial: "&amp;IF(LEN(INDEX('Dealer pipeline'!$D$4:$D$503,_calc!$E$417))=0,"",INDEX('Dealer pipeline'!$D$4:$D$503,_calc!$E$417))&amp;". ")&amp;IF(LEN(IF(ISNUMBER(INDEX('Dealer pipeline'!$J$4:$J$503,_calc!$E$417)),TEXT(INDEX('Dealer pipeline'!$J$4:$J$503,_calc!$E$417),"yyyy-mm-dd"),""))=0,"","Parts end: "&amp;IF(ISNUMBER(INDEX('Dealer pipeline'!$J$4:$J$503,_calc!$E$417)),TEXT(INDEX('Dealer pipeline'!$J$4:$J$503,_calc!$E$417),"yyyy-mm-dd"),"")&amp;". ")&amp;IF(LEN(IF(ISNUMBER(INDEX('Dealer pipeline'!$L$4:$L$503,_calc!$E$417)),TEXT(INDEX('Dealer pipeline'!$L$4:$L$503,_calc!$E$417),"yyyy-mm-dd"),""))=0,"","Labor end: "&amp;IF(ISNUMBER(INDEX('Dealer pipeline'!$L$4:$L$503,_calc!$E$417)),TEXT(INDEX('Dealer pipeline'!$L$4:$L$503,_calc!$E$417),"yyyy-mm-dd"),"")&amp;". ")&amp;IF(LEN(IF(LEN(INDEX('Dealer pipeline'!$Q$4:$Q$503,_calc!$E$417))=0,"",INDEX('Dealer pipeline'!$Q$4:$Q$503,_calc!$E$417)))=0,"","Status: "&amp;IF(LEN(INDEX('Dealer pipeline'!$Q$4:$Q$503,_calc!$E$417))=0,"",INDEX('Dealer pipeline'!$Q$4:$Q$503,_calc!$E$417))&amp;". ")&amp;IF(LEN(IF(LEN(INDEX('Dealer pipeline'!$P$4:$P$503,_calc!$E$417))=0,"",INDEX('Dealer pipeline'!$P$4:$P$503,_calc!$E$417)))=0,"","Last touch: "&amp;IF(LEN(INDEX('Dealer pipeline'!$P$4:$P$503,_calc!$E$417))=0,"",INDEX('Dealer pipeline'!$P$4:$P$503,_calc!$E$417))&amp;". ")&amp;IF(LEN(IF(LEN(INDEX('Dealer pipeline'!$R$4:$R$503,_calc!$E$417))=0,"",INDEX('Dealer pipeline'!$R$4:$R$503,_calc!$E$417)))=0,"","Owner: "&amp;IF(LEN(INDEX('Dealer pipeline'!$R$4:$R$503,_calc!$E$417))=0,"",INDEX('Dealer pipeline'!$R$4:$R$503,_calc!$E$417))&amp;". ")&amp;IF(LEN(IF(LEN(INDEX('Dealer pipeline'!$S$4:$S$503,_calc!$E$417))=0,"",INDEX('Dealer pipeline'!$S$4:$S$503,_calc!$E$417)))=0,"","Backup: "&amp;IF(LEN(INDEX('Dealer pipeline'!$S$4:$S$503,_calc!$E$417))=0,"",INDEX('Dealer pipeline'!$S$4:$S$503,_calc!$E$417))&amp;". ")&amp;IF(LEN(IF(LEN(INDEX('Dealer pipeline'!$T$4:$T$503,_calc!$E$417))=0,"",INDEX('Dealer pipeline'!$T$4:$T$503,_calc!$E$417)))=0,"",IF(LEN(INDEX('Dealer pipeline'!$T$4:$T$503,_calc!$E$417))=0,"",INDEX('Dealer pipeline'!$T$4:$T$503,_calc!$E$417)))),TRIM(IF(LEN(IF(LEN(INDEX('My equipment'!$C$4:$C$503,(_calc!$E$417-500)))=0,"",INDEX('My equipment'!$C$4:$C$503,(_calc!$E$417-500))))=0,"","Model: "&amp;IF(LEN(INDEX('My equipment'!$C$4:$C$503,(_calc!$E$417-500)))=0,"",INDEX('My equipment'!$C$4:$C$503,(_calc!$E$417-500)))&amp;". ")&amp;IF(LEN(IF(LEN(INDEX('My equipment'!$D$4:$D$503,(_calc!$E$417-500)))=0,"",INDEX('My equipment'!$D$4:$D$503,(_calc!$E$417-500))))=0,"","Serial: "&amp;IF(LEN(INDEX('My equipment'!$D$4:$D$503,(_calc!$E$417-500)))=0,"",INDEX('My equipment'!$D$4:$D$503,(_calc!$E$417-500)))&amp;". ")&amp;IF(LEN(IF(ISNUMBER(INDEX('My equipment'!$J$4:$J$503,(_calc!$E$417-500))),TEXT(INDEX('My equipment'!$J$4:$J$503,(_calc!$E$417-500)),"yyyy-mm-dd"),""))=0,"","Parts end: "&amp;IF(ISNUMBER(INDEX('My equipment'!$J$4:$J$503,(_calc!$E$417-500))),TEXT(INDEX('My equipment'!$J$4:$J$503,(_calc!$E$417-500)),"yyyy-mm-dd"),"")&amp;". ")&amp;IF(LEN(IF(ISNUMBER(INDEX('My equipment'!$L$4:$L$503,(_calc!$E$417-500))),TEXT(INDEX('My equipment'!$L$4:$L$503,(_calc!$E$417-500)),"yyyy-mm-dd"),""))=0,"","Labor end: "&amp;IF(ISNUMBER(INDEX('My equipment'!$L$4:$L$503,(_calc!$E$417-500))),TEXT(INDEX('My equipment'!$L$4:$L$503,(_calc!$E$417-500)),"yyyy-mm-dd"),"")&amp;". ")&amp;IF(LEN(IF(ISNUMBER(INDEX('My equipment'!$P$4:$P$503,(_calc!$E$417-500))),TEXT(INDEX('My equipment'!$P$4:$P$503,(_calc!$E$417-500)),"yyyy-mm-dd"),""))=0,"","Check by: "&amp;IF(ISNUMBER(INDEX('My equipment'!$P$4:$P$503,(_calc!$E$417-500))),TEXT(INDEX('My equipment'!$P$4:$P$503,(_calc!$E$417-500)),"yyyy-mm-dd"),"")&amp;". ")&amp;IF(LEN(IF(LEN(INDEX('My equipment'!$Q$4:$Q$503,(_calc!$E$417-500)))=0,"",INDEX('My equipment'!$Q$4:$Q$503,(_calc!$E$417-500))))=0,"","Claim status: "&amp;IF(LEN(INDEX('My equipment'!$Q$4:$Q$503,(_calc!$E$417-500)))=0,"",INDEX('My equipment'!$Q$4:$Q$503,(_calc!$E$417-500)))&amp;". ")&amp;IF(LEN(IF(LEN(INDEX('My equipment'!$R$4:$R$503,(_calc!$E$417-500)))=0,"",INDEX('My equipment'!$R$4:$R$503,(_calc!$E$417-500))))=0,"","Claims contact: "&amp;IF(LEN(INDEX('My equipment'!$R$4:$R$503,(_calc!$E$417-500)))=0,"",INDEX('My equipment'!$R$4:$R$503,(_calc!$E$417-500)))&amp;". ")&amp;IF(LEN(IF(LEN(INDEX('My equipment'!$S$4:$S$503,(_calc!$E$417-500)))=0,"",INDEX('My equipment'!$S$4:$S$503,(_calc!$E$417-500))))=0,"","Claims email: "&amp;IF(LEN(INDEX('My equipment'!$S$4:$S$503,(_calc!$E$417-500)))=0,"",INDEX('My equipment'!$S$4:$S$503,(_calc!$E$417-500)))&amp;". ")&amp;IF(LEN(IF(LEN(INDEX('My equipment'!$U$4:$U$503,(_calc!$E$417-500)))=0,"",INDEX('My equipment'!$U$4:$U$503,(_calc!$E$417-500))))=0,"","Registered: "&amp;IF(LEN(INDEX('My equipment'!$U$4:$U$503,(_calc!$E$417-500)))=0,"",INDEX('My equipment'!$U$4:$U$503,(_calc!$E$417-500)))&amp;". ")&amp;IF(LEN(IF(LEN(INDEX('My equipment'!$V$4:$V$503,(_calc!$E$417-500)))=0,"",INDEX('My equipment'!$V$4:$V$503,(_calc!$E$417-500))))=0,"","Proof on file: "&amp;IF(LEN(INDEX('My equipment'!$V$4:$V$503,(_calc!$E$417-500)))=0,"",INDEX('My equipment'!$V$4:$V$503,(_calc!$E$417-500)))&amp;". ")&amp;IF(LEN(IF(LEN(INDEX('My equipment'!$W$4:$W$503,(_calc!$E$417-500)))=0,"",INDEX('My equipment'!$W$4:$W$503,(_calc!$E$417-500))))=0,"","Claim ref: "&amp;IF(LEN(INDEX('My equipment'!$W$4:$W$503,(_calc!$E$417-500)))=0,"",INDEX('My equipment'!$W$4:$W$503,(_calc!$E$417-500)))&amp;". ")&amp;IF(LEN(IF(LEN(INDEX('My equipment'!$Y$4:$Y$503,(_calc!$E$417-500)))=0,"",INDEX('My equipment'!$Y$4:$Y$503,(_calc!$E$417-500))))=0,"",IF(LEN(INDEX('My equipment'!$Y$4:$Y$503,(_calc!$E$417-500)))=0,"",INDEX('My equipment'!$Y$4:$Y$503,(_calc!$E$417-500)))))))</f>
        <v/>
      </c>
      <c r="G415" s="54">
        <f>IF(_calc!$E$417="","",IF(_calc!$E$417&lt;=500,"",IF(LEN(INDEX('My equipment'!$X$4:$X$503,(_calc!$E$417-500)))=0,"",INDEX('My equipment'!$X$4:$X$503,(_calc!$E$417-500)))))</f>
        <v/>
      </c>
      <c r="K415" s="54">
        <f>IF(_calc!$E$417="","",IF(_calc!$E$417&lt;=500,"",IF(LEN(INDEX('My equipment'!$T$4:$T$503,(_calc!$E$417-500)))=0,"",INDEX('My equipment'!$T$4:$T$503,(_calc!$E$417-500)))))</f>
        <v/>
      </c>
    </row>
    <row r="416">
      <c r="A416" s="54">
        <f>IF(_calc!$E$418="","",IF(_calc!$E$418&lt;=500,"Warranty – "&amp;IF(LEN(INDEX('Dealer pipeline'!$C$4:$C$503,_calc!$E$418))=0,"",INDEX('Dealer pipeline'!$C$4:$C$503,_calc!$E$418))&amp;" – "&amp;IF(LEN(INDEX('Dealer pipeline'!$D$4:$D$503,_calc!$E$418))=0,"",INDEX('Dealer pipeline'!$D$4:$D$503,_calc!$E$418))&amp;" – "&amp;IF(LEN(INDEX('Dealer pipeline'!$A$4:$A$503,_calc!$E$418))=0,"",INDEX('Dealer pipeline'!$A$4:$A$503,_calc!$E$418)),"Warranty – "&amp;IF(LEN(INDEX('My equipment'!$A$4:$A$503,(_calc!$E$418-500)))=0,"",INDEX('My equipment'!$A$4:$A$503,(_calc!$E$418-500)))&amp;" – "&amp;IF(LEN(INDEX('My equipment'!$D$4:$D$503,(_calc!$E$418-500)))=0,"",INDEX('My equipment'!$D$4:$D$503,(_calc!$E$418-500)))))</f>
        <v/>
      </c>
      <c r="B416" s="54">
        <f>IF(_calc!$E$418="","",IF(_calc!$E$418&lt;=500,IF(ISNUMBER(INDEX('Dealer pipeline'!$M$4:$M$503,_calc!$E$418)),TEXT(INDEX('Dealer pipeline'!$M$4:$M$503,_calc!$E$418),"yyyy-mm-dd"),""),IF(ISNUMBER(INDEX('My equipment'!$M$4:$M$503,(_calc!$E$418-500))),TEXT(INDEX('My equipment'!$M$4:$M$503,(_calc!$E$418-500)),"yyyy-mm-dd"),"")))</f>
        <v/>
      </c>
      <c r="C416" s="54">
        <f>IF(_calc!$E$418="","",IF(_calc!$E$418&lt;=500,"Warranty","Warranty"))</f>
        <v/>
      </c>
      <c r="D416" s="54">
        <f>IF(_calc!$E$418="","",IF(_calc!$E$418&lt;=500,IF(ISNUMBER(INDEX('Dealer pipeline'!$H$4:$H$503,_calc!$E$418)),TEXT(INDEX('Dealer pipeline'!$H$4:$H$503,_calc!$E$418),"yyyy-mm-dd"),""),IF(ISNUMBER(INDEX('My equipment'!$H$4:$H$503,(_calc!$E$418-500))),TEXT(INDEX('My equipment'!$H$4:$H$503,(_calc!$E$418-500)),"yyyy-mm-dd"),"")))</f>
        <v/>
      </c>
      <c r="F416" s="54">
        <f>IF(_calc!$E$418="","",IF(_calc!$E$418&lt;=500,TRIM(IF(LEN(IF(LEN(INDEX('Dealer pipeline'!$A$4:$A$503,_calc!$E$418))=0,"",INDEX('Dealer pipeline'!$A$4:$A$503,_calc!$E$418)))=0,"","Customer: "&amp;IF(LEN(INDEX('Dealer pipeline'!$A$4:$A$503,_calc!$E$418))=0,"",INDEX('Dealer pipeline'!$A$4:$A$503,_calc!$E$418))&amp;". ")&amp;IF(LEN(IF(LEN(INDEX('Dealer pipeline'!$B$4:$B$503,_calc!$E$418))=0,"",INDEX('Dealer pipeline'!$B$4:$B$503,_calc!$E$418)))=0,"","Contact: "&amp;IF(LEN(INDEX('Dealer pipeline'!$B$4:$B$503,_calc!$E$418))=0,"",INDEX('Dealer pipeline'!$B$4:$B$503,_calc!$E$418))&amp;". ")&amp;IF(LEN(IF(LEN(INDEX('Dealer pipeline'!$D$4:$D$503,_calc!$E$418))=0,"",INDEX('Dealer pipeline'!$D$4:$D$503,_calc!$E$418)))=0,"","Serial: "&amp;IF(LEN(INDEX('Dealer pipeline'!$D$4:$D$503,_calc!$E$418))=0,"",INDEX('Dealer pipeline'!$D$4:$D$503,_calc!$E$418))&amp;". ")&amp;IF(LEN(IF(ISNUMBER(INDEX('Dealer pipeline'!$J$4:$J$503,_calc!$E$418)),TEXT(INDEX('Dealer pipeline'!$J$4:$J$503,_calc!$E$418),"yyyy-mm-dd"),""))=0,"","Parts end: "&amp;IF(ISNUMBER(INDEX('Dealer pipeline'!$J$4:$J$503,_calc!$E$418)),TEXT(INDEX('Dealer pipeline'!$J$4:$J$503,_calc!$E$418),"yyyy-mm-dd"),"")&amp;". ")&amp;IF(LEN(IF(ISNUMBER(INDEX('Dealer pipeline'!$L$4:$L$503,_calc!$E$418)),TEXT(INDEX('Dealer pipeline'!$L$4:$L$503,_calc!$E$418),"yyyy-mm-dd"),""))=0,"","Labor end: "&amp;IF(ISNUMBER(INDEX('Dealer pipeline'!$L$4:$L$503,_calc!$E$418)),TEXT(INDEX('Dealer pipeline'!$L$4:$L$503,_calc!$E$418),"yyyy-mm-dd"),"")&amp;". ")&amp;IF(LEN(IF(LEN(INDEX('Dealer pipeline'!$Q$4:$Q$503,_calc!$E$418))=0,"",INDEX('Dealer pipeline'!$Q$4:$Q$503,_calc!$E$418)))=0,"","Status: "&amp;IF(LEN(INDEX('Dealer pipeline'!$Q$4:$Q$503,_calc!$E$418))=0,"",INDEX('Dealer pipeline'!$Q$4:$Q$503,_calc!$E$418))&amp;". ")&amp;IF(LEN(IF(LEN(INDEX('Dealer pipeline'!$P$4:$P$503,_calc!$E$418))=0,"",INDEX('Dealer pipeline'!$P$4:$P$503,_calc!$E$418)))=0,"","Last touch: "&amp;IF(LEN(INDEX('Dealer pipeline'!$P$4:$P$503,_calc!$E$418))=0,"",INDEX('Dealer pipeline'!$P$4:$P$503,_calc!$E$418))&amp;". ")&amp;IF(LEN(IF(LEN(INDEX('Dealer pipeline'!$R$4:$R$503,_calc!$E$418))=0,"",INDEX('Dealer pipeline'!$R$4:$R$503,_calc!$E$418)))=0,"","Owner: "&amp;IF(LEN(INDEX('Dealer pipeline'!$R$4:$R$503,_calc!$E$418))=0,"",INDEX('Dealer pipeline'!$R$4:$R$503,_calc!$E$418))&amp;". ")&amp;IF(LEN(IF(LEN(INDEX('Dealer pipeline'!$S$4:$S$503,_calc!$E$418))=0,"",INDEX('Dealer pipeline'!$S$4:$S$503,_calc!$E$418)))=0,"","Backup: "&amp;IF(LEN(INDEX('Dealer pipeline'!$S$4:$S$503,_calc!$E$418))=0,"",INDEX('Dealer pipeline'!$S$4:$S$503,_calc!$E$418))&amp;". ")&amp;IF(LEN(IF(LEN(INDEX('Dealer pipeline'!$T$4:$T$503,_calc!$E$418))=0,"",INDEX('Dealer pipeline'!$T$4:$T$503,_calc!$E$418)))=0,"",IF(LEN(INDEX('Dealer pipeline'!$T$4:$T$503,_calc!$E$418))=0,"",INDEX('Dealer pipeline'!$T$4:$T$503,_calc!$E$418)))),TRIM(IF(LEN(IF(LEN(INDEX('My equipment'!$C$4:$C$503,(_calc!$E$418-500)))=0,"",INDEX('My equipment'!$C$4:$C$503,(_calc!$E$418-500))))=0,"","Model: "&amp;IF(LEN(INDEX('My equipment'!$C$4:$C$503,(_calc!$E$418-500)))=0,"",INDEX('My equipment'!$C$4:$C$503,(_calc!$E$418-500)))&amp;". ")&amp;IF(LEN(IF(LEN(INDEX('My equipment'!$D$4:$D$503,(_calc!$E$418-500)))=0,"",INDEX('My equipment'!$D$4:$D$503,(_calc!$E$418-500))))=0,"","Serial: "&amp;IF(LEN(INDEX('My equipment'!$D$4:$D$503,(_calc!$E$418-500)))=0,"",INDEX('My equipment'!$D$4:$D$503,(_calc!$E$418-500)))&amp;". ")&amp;IF(LEN(IF(ISNUMBER(INDEX('My equipment'!$J$4:$J$503,(_calc!$E$418-500))),TEXT(INDEX('My equipment'!$J$4:$J$503,(_calc!$E$418-500)),"yyyy-mm-dd"),""))=0,"","Parts end: "&amp;IF(ISNUMBER(INDEX('My equipment'!$J$4:$J$503,(_calc!$E$418-500))),TEXT(INDEX('My equipment'!$J$4:$J$503,(_calc!$E$418-500)),"yyyy-mm-dd"),"")&amp;". ")&amp;IF(LEN(IF(ISNUMBER(INDEX('My equipment'!$L$4:$L$503,(_calc!$E$418-500))),TEXT(INDEX('My equipment'!$L$4:$L$503,(_calc!$E$418-500)),"yyyy-mm-dd"),""))=0,"","Labor end: "&amp;IF(ISNUMBER(INDEX('My equipment'!$L$4:$L$503,(_calc!$E$418-500))),TEXT(INDEX('My equipment'!$L$4:$L$503,(_calc!$E$418-500)),"yyyy-mm-dd"),"")&amp;". ")&amp;IF(LEN(IF(ISNUMBER(INDEX('My equipment'!$P$4:$P$503,(_calc!$E$418-500))),TEXT(INDEX('My equipment'!$P$4:$P$503,(_calc!$E$418-500)),"yyyy-mm-dd"),""))=0,"","Check by: "&amp;IF(ISNUMBER(INDEX('My equipment'!$P$4:$P$503,(_calc!$E$418-500))),TEXT(INDEX('My equipment'!$P$4:$P$503,(_calc!$E$418-500)),"yyyy-mm-dd"),"")&amp;". ")&amp;IF(LEN(IF(LEN(INDEX('My equipment'!$Q$4:$Q$503,(_calc!$E$418-500)))=0,"",INDEX('My equipment'!$Q$4:$Q$503,(_calc!$E$418-500))))=0,"","Claim status: "&amp;IF(LEN(INDEX('My equipment'!$Q$4:$Q$503,(_calc!$E$418-500)))=0,"",INDEX('My equipment'!$Q$4:$Q$503,(_calc!$E$418-500)))&amp;". ")&amp;IF(LEN(IF(LEN(INDEX('My equipment'!$R$4:$R$503,(_calc!$E$418-500)))=0,"",INDEX('My equipment'!$R$4:$R$503,(_calc!$E$418-500))))=0,"","Claims contact: "&amp;IF(LEN(INDEX('My equipment'!$R$4:$R$503,(_calc!$E$418-500)))=0,"",INDEX('My equipment'!$R$4:$R$503,(_calc!$E$418-500)))&amp;". ")&amp;IF(LEN(IF(LEN(INDEX('My equipment'!$S$4:$S$503,(_calc!$E$418-500)))=0,"",INDEX('My equipment'!$S$4:$S$503,(_calc!$E$418-500))))=0,"","Claims email: "&amp;IF(LEN(INDEX('My equipment'!$S$4:$S$503,(_calc!$E$418-500)))=0,"",INDEX('My equipment'!$S$4:$S$503,(_calc!$E$418-500)))&amp;". ")&amp;IF(LEN(IF(LEN(INDEX('My equipment'!$U$4:$U$503,(_calc!$E$418-500)))=0,"",INDEX('My equipment'!$U$4:$U$503,(_calc!$E$418-500))))=0,"","Registered: "&amp;IF(LEN(INDEX('My equipment'!$U$4:$U$503,(_calc!$E$418-500)))=0,"",INDEX('My equipment'!$U$4:$U$503,(_calc!$E$418-500)))&amp;". ")&amp;IF(LEN(IF(LEN(INDEX('My equipment'!$V$4:$V$503,(_calc!$E$418-500)))=0,"",INDEX('My equipment'!$V$4:$V$503,(_calc!$E$418-500))))=0,"","Proof on file: "&amp;IF(LEN(INDEX('My equipment'!$V$4:$V$503,(_calc!$E$418-500)))=0,"",INDEX('My equipment'!$V$4:$V$503,(_calc!$E$418-500)))&amp;". ")&amp;IF(LEN(IF(LEN(INDEX('My equipment'!$W$4:$W$503,(_calc!$E$418-500)))=0,"",INDEX('My equipment'!$W$4:$W$503,(_calc!$E$418-500))))=0,"","Claim ref: "&amp;IF(LEN(INDEX('My equipment'!$W$4:$W$503,(_calc!$E$418-500)))=0,"",INDEX('My equipment'!$W$4:$W$503,(_calc!$E$418-500)))&amp;". ")&amp;IF(LEN(IF(LEN(INDEX('My equipment'!$Y$4:$Y$503,(_calc!$E$418-500)))=0,"",INDEX('My equipment'!$Y$4:$Y$503,(_calc!$E$418-500))))=0,"",IF(LEN(INDEX('My equipment'!$Y$4:$Y$503,(_calc!$E$418-500)))=0,"",INDEX('My equipment'!$Y$4:$Y$503,(_calc!$E$418-500)))))))</f>
        <v/>
      </c>
      <c r="G416" s="54">
        <f>IF(_calc!$E$418="","",IF(_calc!$E$418&lt;=500,"",IF(LEN(INDEX('My equipment'!$X$4:$X$503,(_calc!$E$418-500)))=0,"",INDEX('My equipment'!$X$4:$X$503,(_calc!$E$418-500)))))</f>
        <v/>
      </c>
      <c r="K416" s="54">
        <f>IF(_calc!$E$418="","",IF(_calc!$E$418&lt;=500,"",IF(LEN(INDEX('My equipment'!$T$4:$T$503,(_calc!$E$418-500)))=0,"",INDEX('My equipment'!$T$4:$T$503,(_calc!$E$418-500)))))</f>
        <v/>
      </c>
    </row>
    <row r="417">
      <c r="A417" s="54">
        <f>IF(_calc!$E$419="","",IF(_calc!$E$419&lt;=500,"Warranty – "&amp;IF(LEN(INDEX('Dealer pipeline'!$C$4:$C$503,_calc!$E$419))=0,"",INDEX('Dealer pipeline'!$C$4:$C$503,_calc!$E$419))&amp;" – "&amp;IF(LEN(INDEX('Dealer pipeline'!$D$4:$D$503,_calc!$E$419))=0,"",INDEX('Dealer pipeline'!$D$4:$D$503,_calc!$E$419))&amp;" – "&amp;IF(LEN(INDEX('Dealer pipeline'!$A$4:$A$503,_calc!$E$419))=0,"",INDEX('Dealer pipeline'!$A$4:$A$503,_calc!$E$419)),"Warranty – "&amp;IF(LEN(INDEX('My equipment'!$A$4:$A$503,(_calc!$E$419-500)))=0,"",INDEX('My equipment'!$A$4:$A$503,(_calc!$E$419-500)))&amp;" – "&amp;IF(LEN(INDEX('My equipment'!$D$4:$D$503,(_calc!$E$419-500)))=0,"",INDEX('My equipment'!$D$4:$D$503,(_calc!$E$419-500)))))</f>
        <v/>
      </c>
      <c r="B417" s="54">
        <f>IF(_calc!$E$419="","",IF(_calc!$E$419&lt;=500,IF(ISNUMBER(INDEX('Dealer pipeline'!$M$4:$M$503,_calc!$E$419)),TEXT(INDEX('Dealer pipeline'!$M$4:$M$503,_calc!$E$419),"yyyy-mm-dd"),""),IF(ISNUMBER(INDEX('My equipment'!$M$4:$M$503,(_calc!$E$419-500))),TEXT(INDEX('My equipment'!$M$4:$M$503,(_calc!$E$419-500)),"yyyy-mm-dd"),"")))</f>
        <v/>
      </c>
      <c r="C417" s="54">
        <f>IF(_calc!$E$419="","",IF(_calc!$E$419&lt;=500,"Warranty","Warranty"))</f>
        <v/>
      </c>
      <c r="D417" s="54">
        <f>IF(_calc!$E$419="","",IF(_calc!$E$419&lt;=500,IF(ISNUMBER(INDEX('Dealer pipeline'!$H$4:$H$503,_calc!$E$419)),TEXT(INDEX('Dealer pipeline'!$H$4:$H$503,_calc!$E$419),"yyyy-mm-dd"),""),IF(ISNUMBER(INDEX('My equipment'!$H$4:$H$503,(_calc!$E$419-500))),TEXT(INDEX('My equipment'!$H$4:$H$503,(_calc!$E$419-500)),"yyyy-mm-dd"),"")))</f>
        <v/>
      </c>
      <c r="F417" s="54">
        <f>IF(_calc!$E$419="","",IF(_calc!$E$419&lt;=500,TRIM(IF(LEN(IF(LEN(INDEX('Dealer pipeline'!$A$4:$A$503,_calc!$E$419))=0,"",INDEX('Dealer pipeline'!$A$4:$A$503,_calc!$E$419)))=0,"","Customer: "&amp;IF(LEN(INDEX('Dealer pipeline'!$A$4:$A$503,_calc!$E$419))=0,"",INDEX('Dealer pipeline'!$A$4:$A$503,_calc!$E$419))&amp;". ")&amp;IF(LEN(IF(LEN(INDEX('Dealer pipeline'!$B$4:$B$503,_calc!$E$419))=0,"",INDEX('Dealer pipeline'!$B$4:$B$503,_calc!$E$419)))=0,"","Contact: "&amp;IF(LEN(INDEX('Dealer pipeline'!$B$4:$B$503,_calc!$E$419))=0,"",INDEX('Dealer pipeline'!$B$4:$B$503,_calc!$E$419))&amp;". ")&amp;IF(LEN(IF(LEN(INDEX('Dealer pipeline'!$D$4:$D$503,_calc!$E$419))=0,"",INDEX('Dealer pipeline'!$D$4:$D$503,_calc!$E$419)))=0,"","Serial: "&amp;IF(LEN(INDEX('Dealer pipeline'!$D$4:$D$503,_calc!$E$419))=0,"",INDEX('Dealer pipeline'!$D$4:$D$503,_calc!$E$419))&amp;". ")&amp;IF(LEN(IF(ISNUMBER(INDEX('Dealer pipeline'!$J$4:$J$503,_calc!$E$419)),TEXT(INDEX('Dealer pipeline'!$J$4:$J$503,_calc!$E$419),"yyyy-mm-dd"),""))=0,"","Parts end: "&amp;IF(ISNUMBER(INDEX('Dealer pipeline'!$J$4:$J$503,_calc!$E$419)),TEXT(INDEX('Dealer pipeline'!$J$4:$J$503,_calc!$E$419),"yyyy-mm-dd"),"")&amp;". ")&amp;IF(LEN(IF(ISNUMBER(INDEX('Dealer pipeline'!$L$4:$L$503,_calc!$E$419)),TEXT(INDEX('Dealer pipeline'!$L$4:$L$503,_calc!$E$419),"yyyy-mm-dd"),""))=0,"","Labor end: "&amp;IF(ISNUMBER(INDEX('Dealer pipeline'!$L$4:$L$503,_calc!$E$419)),TEXT(INDEX('Dealer pipeline'!$L$4:$L$503,_calc!$E$419),"yyyy-mm-dd"),"")&amp;". ")&amp;IF(LEN(IF(LEN(INDEX('Dealer pipeline'!$Q$4:$Q$503,_calc!$E$419))=0,"",INDEX('Dealer pipeline'!$Q$4:$Q$503,_calc!$E$419)))=0,"","Status: "&amp;IF(LEN(INDEX('Dealer pipeline'!$Q$4:$Q$503,_calc!$E$419))=0,"",INDEX('Dealer pipeline'!$Q$4:$Q$503,_calc!$E$419))&amp;". ")&amp;IF(LEN(IF(LEN(INDEX('Dealer pipeline'!$P$4:$P$503,_calc!$E$419))=0,"",INDEX('Dealer pipeline'!$P$4:$P$503,_calc!$E$419)))=0,"","Last touch: "&amp;IF(LEN(INDEX('Dealer pipeline'!$P$4:$P$503,_calc!$E$419))=0,"",INDEX('Dealer pipeline'!$P$4:$P$503,_calc!$E$419))&amp;". ")&amp;IF(LEN(IF(LEN(INDEX('Dealer pipeline'!$R$4:$R$503,_calc!$E$419))=0,"",INDEX('Dealer pipeline'!$R$4:$R$503,_calc!$E$419)))=0,"","Owner: "&amp;IF(LEN(INDEX('Dealer pipeline'!$R$4:$R$503,_calc!$E$419))=0,"",INDEX('Dealer pipeline'!$R$4:$R$503,_calc!$E$419))&amp;". ")&amp;IF(LEN(IF(LEN(INDEX('Dealer pipeline'!$S$4:$S$503,_calc!$E$419))=0,"",INDEX('Dealer pipeline'!$S$4:$S$503,_calc!$E$419)))=0,"","Backup: "&amp;IF(LEN(INDEX('Dealer pipeline'!$S$4:$S$503,_calc!$E$419))=0,"",INDEX('Dealer pipeline'!$S$4:$S$503,_calc!$E$419))&amp;". ")&amp;IF(LEN(IF(LEN(INDEX('Dealer pipeline'!$T$4:$T$503,_calc!$E$419))=0,"",INDEX('Dealer pipeline'!$T$4:$T$503,_calc!$E$419)))=0,"",IF(LEN(INDEX('Dealer pipeline'!$T$4:$T$503,_calc!$E$419))=0,"",INDEX('Dealer pipeline'!$T$4:$T$503,_calc!$E$419)))),TRIM(IF(LEN(IF(LEN(INDEX('My equipment'!$C$4:$C$503,(_calc!$E$419-500)))=0,"",INDEX('My equipment'!$C$4:$C$503,(_calc!$E$419-500))))=0,"","Model: "&amp;IF(LEN(INDEX('My equipment'!$C$4:$C$503,(_calc!$E$419-500)))=0,"",INDEX('My equipment'!$C$4:$C$503,(_calc!$E$419-500)))&amp;". ")&amp;IF(LEN(IF(LEN(INDEX('My equipment'!$D$4:$D$503,(_calc!$E$419-500)))=0,"",INDEX('My equipment'!$D$4:$D$503,(_calc!$E$419-500))))=0,"","Serial: "&amp;IF(LEN(INDEX('My equipment'!$D$4:$D$503,(_calc!$E$419-500)))=0,"",INDEX('My equipment'!$D$4:$D$503,(_calc!$E$419-500)))&amp;". ")&amp;IF(LEN(IF(ISNUMBER(INDEX('My equipment'!$J$4:$J$503,(_calc!$E$419-500))),TEXT(INDEX('My equipment'!$J$4:$J$503,(_calc!$E$419-500)),"yyyy-mm-dd"),""))=0,"","Parts end: "&amp;IF(ISNUMBER(INDEX('My equipment'!$J$4:$J$503,(_calc!$E$419-500))),TEXT(INDEX('My equipment'!$J$4:$J$503,(_calc!$E$419-500)),"yyyy-mm-dd"),"")&amp;". ")&amp;IF(LEN(IF(ISNUMBER(INDEX('My equipment'!$L$4:$L$503,(_calc!$E$419-500))),TEXT(INDEX('My equipment'!$L$4:$L$503,(_calc!$E$419-500)),"yyyy-mm-dd"),""))=0,"","Labor end: "&amp;IF(ISNUMBER(INDEX('My equipment'!$L$4:$L$503,(_calc!$E$419-500))),TEXT(INDEX('My equipment'!$L$4:$L$503,(_calc!$E$419-500)),"yyyy-mm-dd"),"")&amp;". ")&amp;IF(LEN(IF(ISNUMBER(INDEX('My equipment'!$P$4:$P$503,(_calc!$E$419-500))),TEXT(INDEX('My equipment'!$P$4:$P$503,(_calc!$E$419-500)),"yyyy-mm-dd"),""))=0,"","Check by: "&amp;IF(ISNUMBER(INDEX('My equipment'!$P$4:$P$503,(_calc!$E$419-500))),TEXT(INDEX('My equipment'!$P$4:$P$503,(_calc!$E$419-500)),"yyyy-mm-dd"),"")&amp;". ")&amp;IF(LEN(IF(LEN(INDEX('My equipment'!$Q$4:$Q$503,(_calc!$E$419-500)))=0,"",INDEX('My equipment'!$Q$4:$Q$503,(_calc!$E$419-500))))=0,"","Claim status: "&amp;IF(LEN(INDEX('My equipment'!$Q$4:$Q$503,(_calc!$E$419-500)))=0,"",INDEX('My equipment'!$Q$4:$Q$503,(_calc!$E$419-500)))&amp;". ")&amp;IF(LEN(IF(LEN(INDEX('My equipment'!$R$4:$R$503,(_calc!$E$419-500)))=0,"",INDEX('My equipment'!$R$4:$R$503,(_calc!$E$419-500))))=0,"","Claims contact: "&amp;IF(LEN(INDEX('My equipment'!$R$4:$R$503,(_calc!$E$419-500)))=0,"",INDEX('My equipment'!$R$4:$R$503,(_calc!$E$419-500)))&amp;". ")&amp;IF(LEN(IF(LEN(INDEX('My equipment'!$S$4:$S$503,(_calc!$E$419-500)))=0,"",INDEX('My equipment'!$S$4:$S$503,(_calc!$E$419-500))))=0,"","Claims email: "&amp;IF(LEN(INDEX('My equipment'!$S$4:$S$503,(_calc!$E$419-500)))=0,"",INDEX('My equipment'!$S$4:$S$503,(_calc!$E$419-500)))&amp;". ")&amp;IF(LEN(IF(LEN(INDEX('My equipment'!$U$4:$U$503,(_calc!$E$419-500)))=0,"",INDEX('My equipment'!$U$4:$U$503,(_calc!$E$419-500))))=0,"","Registered: "&amp;IF(LEN(INDEX('My equipment'!$U$4:$U$503,(_calc!$E$419-500)))=0,"",INDEX('My equipment'!$U$4:$U$503,(_calc!$E$419-500)))&amp;". ")&amp;IF(LEN(IF(LEN(INDEX('My equipment'!$V$4:$V$503,(_calc!$E$419-500)))=0,"",INDEX('My equipment'!$V$4:$V$503,(_calc!$E$419-500))))=0,"","Proof on file: "&amp;IF(LEN(INDEX('My equipment'!$V$4:$V$503,(_calc!$E$419-500)))=0,"",INDEX('My equipment'!$V$4:$V$503,(_calc!$E$419-500)))&amp;". ")&amp;IF(LEN(IF(LEN(INDEX('My equipment'!$W$4:$W$503,(_calc!$E$419-500)))=0,"",INDEX('My equipment'!$W$4:$W$503,(_calc!$E$419-500))))=0,"","Claim ref: "&amp;IF(LEN(INDEX('My equipment'!$W$4:$W$503,(_calc!$E$419-500)))=0,"",INDEX('My equipment'!$W$4:$W$503,(_calc!$E$419-500)))&amp;". ")&amp;IF(LEN(IF(LEN(INDEX('My equipment'!$Y$4:$Y$503,(_calc!$E$419-500)))=0,"",INDEX('My equipment'!$Y$4:$Y$503,(_calc!$E$419-500))))=0,"",IF(LEN(INDEX('My equipment'!$Y$4:$Y$503,(_calc!$E$419-500)))=0,"",INDEX('My equipment'!$Y$4:$Y$503,(_calc!$E$419-500)))))))</f>
        <v/>
      </c>
      <c r="G417" s="54">
        <f>IF(_calc!$E$419="","",IF(_calc!$E$419&lt;=500,"",IF(LEN(INDEX('My equipment'!$X$4:$X$503,(_calc!$E$419-500)))=0,"",INDEX('My equipment'!$X$4:$X$503,(_calc!$E$419-500)))))</f>
        <v/>
      </c>
      <c r="K417" s="54">
        <f>IF(_calc!$E$419="","",IF(_calc!$E$419&lt;=500,"",IF(LEN(INDEX('My equipment'!$T$4:$T$503,(_calc!$E$419-500)))=0,"",INDEX('My equipment'!$T$4:$T$503,(_calc!$E$419-500)))))</f>
        <v/>
      </c>
    </row>
    <row r="418">
      <c r="A418" s="54">
        <f>IF(_calc!$E$420="","",IF(_calc!$E$420&lt;=500,"Warranty – "&amp;IF(LEN(INDEX('Dealer pipeline'!$C$4:$C$503,_calc!$E$420))=0,"",INDEX('Dealer pipeline'!$C$4:$C$503,_calc!$E$420))&amp;" – "&amp;IF(LEN(INDEX('Dealer pipeline'!$D$4:$D$503,_calc!$E$420))=0,"",INDEX('Dealer pipeline'!$D$4:$D$503,_calc!$E$420))&amp;" – "&amp;IF(LEN(INDEX('Dealer pipeline'!$A$4:$A$503,_calc!$E$420))=0,"",INDEX('Dealer pipeline'!$A$4:$A$503,_calc!$E$420)),"Warranty – "&amp;IF(LEN(INDEX('My equipment'!$A$4:$A$503,(_calc!$E$420-500)))=0,"",INDEX('My equipment'!$A$4:$A$503,(_calc!$E$420-500)))&amp;" – "&amp;IF(LEN(INDEX('My equipment'!$D$4:$D$503,(_calc!$E$420-500)))=0,"",INDEX('My equipment'!$D$4:$D$503,(_calc!$E$420-500)))))</f>
        <v/>
      </c>
      <c r="B418" s="54">
        <f>IF(_calc!$E$420="","",IF(_calc!$E$420&lt;=500,IF(ISNUMBER(INDEX('Dealer pipeline'!$M$4:$M$503,_calc!$E$420)),TEXT(INDEX('Dealer pipeline'!$M$4:$M$503,_calc!$E$420),"yyyy-mm-dd"),""),IF(ISNUMBER(INDEX('My equipment'!$M$4:$M$503,(_calc!$E$420-500))),TEXT(INDEX('My equipment'!$M$4:$M$503,(_calc!$E$420-500)),"yyyy-mm-dd"),"")))</f>
        <v/>
      </c>
      <c r="C418" s="54">
        <f>IF(_calc!$E$420="","",IF(_calc!$E$420&lt;=500,"Warranty","Warranty"))</f>
        <v/>
      </c>
      <c r="D418" s="54">
        <f>IF(_calc!$E$420="","",IF(_calc!$E$420&lt;=500,IF(ISNUMBER(INDEX('Dealer pipeline'!$H$4:$H$503,_calc!$E$420)),TEXT(INDEX('Dealer pipeline'!$H$4:$H$503,_calc!$E$420),"yyyy-mm-dd"),""),IF(ISNUMBER(INDEX('My equipment'!$H$4:$H$503,(_calc!$E$420-500))),TEXT(INDEX('My equipment'!$H$4:$H$503,(_calc!$E$420-500)),"yyyy-mm-dd"),"")))</f>
        <v/>
      </c>
      <c r="F418" s="54">
        <f>IF(_calc!$E$420="","",IF(_calc!$E$420&lt;=500,TRIM(IF(LEN(IF(LEN(INDEX('Dealer pipeline'!$A$4:$A$503,_calc!$E$420))=0,"",INDEX('Dealer pipeline'!$A$4:$A$503,_calc!$E$420)))=0,"","Customer: "&amp;IF(LEN(INDEX('Dealer pipeline'!$A$4:$A$503,_calc!$E$420))=0,"",INDEX('Dealer pipeline'!$A$4:$A$503,_calc!$E$420))&amp;". ")&amp;IF(LEN(IF(LEN(INDEX('Dealer pipeline'!$B$4:$B$503,_calc!$E$420))=0,"",INDEX('Dealer pipeline'!$B$4:$B$503,_calc!$E$420)))=0,"","Contact: "&amp;IF(LEN(INDEX('Dealer pipeline'!$B$4:$B$503,_calc!$E$420))=0,"",INDEX('Dealer pipeline'!$B$4:$B$503,_calc!$E$420))&amp;". ")&amp;IF(LEN(IF(LEN(INDEX('Dealer pipeline'!$D$4:$D$503,_calc!$E$420))=0,"",INDEX('Dealer pipeline'!$D$4:$D$503,_calc!$E$420)))=0,"","Serial: "&amp;IF(LEN(INDEX('Dealer pipeline'!$D$4:$D$503,_calc!$E$420))=0,"",INDEX('Dealer pipeline'!$D$4:$D$503,_calc!$E$420))&amp;". ")&amp;IF(LEN(IF(ISNUMBER(INDEX('Dealer pipeline'!$J$4:$J$503,_calc!$E$420)),TEXT(INDEX('Dealer pipeline'!$J$4:$J$503,_calc!$E$420),"yyyy-mm-dd"),""))=0,"","Parts end: "&amp;IF(ISNUMBER(INDEX('Dealer pipeline'!$J$4:$J$503,_calc!$E$420)),TEXT(INDEX('Dealer pipeline'!$J$4:$J$503,_calc!$E$420),"yyyy-mm-dd"),"")&amp;". ")&amp;IF(LEN(IF(ISNUMBER(INDEX('Dealer pipeline'!$L$4:$L$503,_calc!$E$420)),TEXT(INDEX('Dealer pipeline'!$L$4:$L$503,_calc!$E$420),"yyyy-mm-dd"),""))=0,"","Labor end: "&amp;IF(ISNUMBER(INDEX('Dealer pipeline'!$L$4:$L$503,_calc!$E$420)),TEXT(INDEX('Dealer pipeline'!$L$4:$L$503,_calc!$E$420),"yyyy-mm-dd"),"")&amp;". ")&amp;IF(LEN(IF(LEN(INDEX('Dealer pipeline'!$Q$4:$Q$503,_calc!$E$420))=0,"",INDEX('Dealer pipeline'!$Q$4:$Q$503,_calc!$E$420)))=0,"","Status: "&amp;IF(LEN(INDEX('Dealer pipeline'!$Q$4:$Q$503,_calc!$E$420))=0,"",INDEX('Dealer pipeline'!$Q$4:$Q$503,_calc!$E$420))&amp;". ")&amp;IF(LEN(IF(LEN(INDEX('Dealer pipeline'!$P$4:$P$503,_calc!$E$420))=0,"",INDEX('Dealer pipeline'!$P$4:$P$503,_calc!$E$420)))=0,"","Last touch: "&amp;IF(LEN(INDEX('Dealer pipeline'!$P$4:$P$503,_calc!$E$420))=0,"",INDEX('Dealer pipeline'!$P$4:$P$503,_calc!$E$420))&amp;". ")&amp;IF(LEN(IF(LEN(INDEX('Dealer pipeline'!$R$4:$R$503,_calc!$E$420))=0,"",INDEX('Dealer pipeline'!$R$4:$R$503,_calc!$E$420)))=0,"","Owner: "&amp;IF(LEN(INDEX('Dealer pipeline'!$R$4:$R$503,_calc!$E$420))=0,"",INDEX('Dealer pipeline'!$R$4:$R$503,_calc!$E$420))&amp;". ")&amp;IF(LEN(IF(LEN(INDEX('Dealer pipeline'!$S$4:$S$503,_calc!$E$420))=0,"",INDEX('Dealer pipeline'!$S$4:$S$503,_calc!$E$420)))=0,"","Backup: "&amp;IF(LEN(INDEX('Dealer pipeline'!$S$4:$S$503,_calc!$E$420))=0,"",INDEX('Dealer pipeline'!$S$4:$S$503,_calc!$E$420))&amp;". ")&amp;IF(LEN(IF(LEN(INDEX('Dealer pipeline'!$T$4:$T$503,_calc!$E$420))=0,"",INDEX('Dealer pipeline'!$T$4:$T$503,_calc!$E$420)))=0,"",IF(LEN(INDEX('Dealer pipeline'!$T$4:$T$503,_calc!$E$420))=0,"",INDEX('Dealer pipeline'!$T$4:$T$503,_calc!$E$420)))),TRIM(IF(LEN(IF(LEN(INDEX('My equipment'!$C$4:$C$503,(_calc!$E$420-500)))=0,"",INDEX('My equipment'!$C$4:$C$503,(_calc!$E$420-500))))=0,"","Model: "&amp;IF(LEN(INDEX('My equipment'!$C$4:$C$503,(_calc!$E$420-500)))=0,"",INDEX('My equipment'!$C$4:$C$503,(_calc!$E$420-500)))&amp;". ")&amp;IF(LEN(IF(LEN(INDEX('My equipment'!$D$4:$D$503,(_calc!$E$420-500)))=0,"",INDEX('My equipment'!$D$4:$D$503,(_calc!$E$420-500))))=0,"","Serial: "&amp;IF(LEN(INDEX('My equipment'!$D$4:$D$503,(_calc!$E$420-500)))=0,"",INDEX('My equipment'!$D$4:$D$503,(_calc!$E$420-500)))&amp;". ")&amp;IF(LEN(IF(ISNUMBER(INDEX('My equipment'!$J$4:$J$503,(_calc!$E$420-500))),TEXT(INDEX('My equipment'!$J$4:$J$503,(_calc!$E$420-500)),"yyyy-mm-dd"),""))=0,"","Parts end: "&amp;IF(ISNUMBER(INDEX('My equipment'!$J$4:$J$503,(_calc!$E$420-500))),TEXT(INDEX('My equipment'!$J$4:$J$503,(_calc!$E$420-500)),"yyyy-mm-dd"),"")&amp;". ")&amp;IF(LEN(IF(ISNUMBER(INDEX('My equipment'!$L$4:$L$503,(_calc!$E$420-500))),TEXT(INDEX('My equipment'!$L$4:$L$503,(_calc!$E$420-500)),"yyyy-mm-dd"),""))=0,"","Labor end: "&amp;IF(ISNUMBER(INDEX('My equipment'!$L$4:$L$503,(_calc!$E$420-500))),TEXT(INDEX('My equipment'!$L$4:$L$503,(_calc!$E$420-500)),"yyyy-mm-dd"),"")&amp;". ")&amp;IF(LEN(IF(ISNUMBER(INDEX('My equipment'!$P$4:$P$503,(_calc!$E$420-500))),TEXT(INDEX('My equipment'!$P$4:$P$503,(_calc!$E$420-500)),"yyyy-mm-dd"),""))=0,"","Check by: "&amp;IF(ISNUMBER(INDEX('My equipment'!$P$4:$P$503,(_calc!$E$420-500))),TEXT(INDEX('My equipment'!$P$4:$P$503,(_calc!$E$420-500)),"yyyy-mm-dd"),"")&amp;". ")&amp;IF(LEN(IF(LEN(INDEX('My equipment'!$Q$4:$Q$503,(_calc!$E$420-500)))=0,"",INDEX('My equipment'!$Q$4:$Q$503,(_calc!$E$420-500))))=0,"","Claim status: "&amp;IF(LEN(INDEX('My equipment'!$Q$4:$Q$503,(_calc!$E$420-500)))=0,"",INDEX('My equipment'!$Q$4:$Q$503,(_calc!$E$420-500)))&amp;". ")&amp;IF(LEN(IF(LEN(INDEX('My equipment'!$R$4:$R$503,(_calc!$E$420-500)))=0,"",INDEX('My equipment'!$R$4:$R$503,(_calc!$E$420-500))))=0,"","Claims contact: "&amp;IF(LEN(INDEX('My equipment'!$R$4:$R$503,(_calc!$E$420-500)))=0,"",INDEX('My equipment'!$R$4:$R$503,(_calc!$E$420-500)))&amp;". ")&amp;IF(LEN(IF(LEN(INDEX('My equipment'!$S$4:$S$503,(_calc!$E$420-500)))=0,"",INDEX('My equipment'!$S$4:$S$503,(_calc!$E$420-500))))=0,"","Claims email: "&amp;IF(LEN(INDEX('My equipment'!$S$4:$S$503,(_calc!$E$420-500)))=0,"",INDEX('My equipment'!$S$4:$S$503,(_calc!$E$420-500)))&amp;". ")&amp;IF(LEN(IF(LEN(INDEX('My equipment'!$U$4:$U$503,(_calc!$E$420-500)))=0,"",INDEX('My equipment'!$U$4:$U$503,(_calc!$E$420-500))))=0,"","Registered: "&amp;IF(LEN(INDEX('My equipment'!$U$4:$U$503,(_calc!$E$420-500)))=0,"",INDEX('My equipment'!$U$4:$U$503,(_calc!$E$420-500)))&amp;". ")&amp;IF(LEN(IF(LEN(INDEX('My equipment'!$V$4:$V$503,(_calc!$E$420-500)))=0,"",INDEX('My equipment'!$V$4:$V$503,(_calc!$E$420-500))))=0,"","Proof on file: "&amp;IF(LEN(INDEX('My equipment'!$V$4:$V$503,(_calc!$E$420-500)))=0,"",INDEX('My equipment'!$V$4:$V$503,(_calc!$E$420-500)))&amp;". ")&amp;IF(LEN(IF(LEN(INDEX('My equipment'!$W$4:$W$503,(_calc!$E$420-500)))=0,"",INDEX('My equipment'!$W$4:$W$503,(_calc!$E$420-500))))=0,"","Claim ref: "&amp;IF(LEN(INDEX('My equipment'!$W$4:$W$503,(_calc!$E$420-500)))=0,"",INDEX('My equipment'!$W$4:$W$503,(_calc!$E$420-500)))&amp;". ")&amp;IF(LEN(IF(LEN(INDEX('My equipment'!$Y$4:$Y$503,(_calc!$E$420-500)))=0,"",INDEX('My equipment'!$Y$4:$Y$503,(_calc!$E$420-500))))=0,"",IF(LEN(INDEX('My equipment'!$Y$4:$Y$503,(_calc!$E$420-500)))=0,"",INDEX('My equipment'!$Y$4:$Y$503,(_calc!$E$420-500)))))))</f>
        <v/>
      </c>
      <c r="G418" s="54">
        <f>IF(_calc!$E$420="","",IF(_calc!$E$420&lt;=500,"",IF(LEN(INDEX('My equipment'!$X$4:$X$503,(_calc!$E$420-500)))=0,"",INDEX('My equipment'!$X$4:$X$503,(_calc!$E$420-500)))))</f>
        <v/>
      </c>
      <c r="K418" s="54">
        <f>IF(_calc!$E$420="","",IF(_calc!$E$420&lt;=500,"",IF(LEN(INDEX('My equipment'!$T$4:$T$503,(_calc!$E$420-500)))=0,"",INDEX('My equipment'!$T$4:$T$503,(_calc!$E$420-500)))))</f>
        <v/>
      </c>
    </row>
    <row r="419">
      <c r="A419" s="54">
        <f>IF(_calc!$E$421="","",IF(_calc!$E$421&lt;=500,"Warranty – "&amp;IF(LEN(INDEX('Dealer pipeline'!$C$4:$C$503,_calc!$E$421))=0,"",INDEX('Dealer pipeline'!$C$4:$C$503,_calc!$E$421))&amp;" – "&amp;IF(LEN(INDEX('Dealer pipeline'!$D$4:$D$503,_calc!$E$421))=0,"",INDEX('Dealer pipeline'!$D$4:$D$503,_calc!$E$421))&amp;" – "&amp;IF(LEN(INDEX('Dealer pipeline'!$A$4:$A$503,_calc!$E$421))=0,"",INDEX('Dealer pipeline'!$A$4:$A$503,_calc!$E$421)),"Warranty – "&amp;IF(LEN(INDEX('My equipment'!$A$4:$A$503,(_calc!$E$421-500)))=0,"",INDEX('My equipment'!$A$4:$A$503,(_calc!$E$421-500)))&amp;" – "&amp;IF(LEN(INDEX('My equipment'!$D$4:$D$503,(_calc!$E$421-500)))=0,"",INDEX('My equipment'!$D$4:$D$503,(_calc!$E$421-500)))))</f>
        <v/>
      </c>
      <c r="B419" s="54">
        <f>IF(_calc!$E$421="","",IF(_calc!$E$421&lt;=500,IF(ISNUMBER(INDEX('Dealer pipeline'!$M$4:$M$503,_calc!$E$421)),TEXT(INDEX('Dealer pipeline'!$M$4:$M$503,_calc!$E$421),"yyyy-mm-dd"),""),IF(ISNUMBER(INDEX('My equipment'!$M$4:$M$503,(_calc!$E$421-500))),TEXT(INDEX('My equipment'!$M$4:$M$503,(_calc!$E$421-500)),"yyyy-mm-dd"),"")))</f>
        <v/>
      </c>
      <c r="C419" s="54">
        <f>IF(_calc!$E$421="","",IF(_calc!$E$421&lt;=500,"Warranty","Warranty"))</f>
        <v/>
      </c>
      <c r="D419" s="54">
        <f>IF(_calc!$E$421="","",IF(_calc!$E$421&lt;=500,IF(ISNUMBER(INDEX('Dealer pipeline'!$H$4:$H$503,_calc!$E$421)),TEXT(INDEX('Dealer pipeline'!$H$4:$H$503,_calc!$E$421),"yyyy-mm-dd"),""),IF(ISNUMBER(INDEX('My equipment'!$H$4:$H$503,(_calc!$E$421-500))),TEXT(INDEX('My equipment'!$H$4:$H$503,(_calc!$E$421-500)),"yyyy-mm-dd"),"")))</f>
        <v/>
      </c>
      <c r="F419" s="54">
        <f>IF(_calc!$E$421="","",IF(_calc!$E$421&lt;=500,TRIM(IF(LEN(IF(LEN(INDEX('Dealer pipeline'!$A$4:$A$503,_calc!$E$421))=0,"",INDEX('Dealer pipeline'!$A$4:$A$503,_calc!$E$421)))=0,"","Customer: "&amp;IF(LEN(INDEX('Dealer pipeline'!$A$4:$A$503,_calc!$E$421))=0,"",INDEX('Dealer pipeline'!$A$4:$A$503,_calc!$E$421))&amp;". ")&amp;IF(LEN(IF(LEN(INDEX('Dealer pipeline'!$B$4:$B$503,_calc!$E$421))=0,"",INDEX('Dealer pipeline'!$B$4:$B$503,_calc!$E$421)))=0,"","Contact: "&amp;IF(LEN(INDEX('Dealer pipeline'!$B$4:$B$503,_calc!$E$421))=0,"",INDEX('Dealer pipeline'!$B$4:$B$503,_calc!$E$421))&amp;". ")&amp;IF(LEN(IF(LEN(INDEX('Dealer pipeline'!$D$4:$D$503,_calc!$E$421))=0,"",INDEX('Dealer pipeline'!$D$4:$D$503,_calc!$E$421)))=0,"","Serial: "&amp;IF(LEN(INDEX('Dealer pipeline'!$D$4:$D$503,_calc!$E$421))=0,"",INDEX('Dealer pipeline'!$D$4:$D$503,_calc!$E$421))&amp;". ")&amp;IF(LEN(IF(ISNUMBER(INDEX('Dealer pipeline'!$J$4:$J$503,_calc!$E$421)),TEXT(INDEX('Dealer pipeline'!$J$4:$J$503,_calc!$E$421),"yyyy-mm-dd"),""))=0,"","Parts end: "&amp;IF(ISNUMBER(INDEX('Dealer pipeline'!$J$4:$J$503,_calc!$E$421)),TEXT(INDEX('Dealer pipeline'!$J$4:$J$503,_calc!$E$421),"yyyy-mm-dd"),"")&amp;". ")&amp;IF(LEN(IF(ISNUMBER(INDEX('Dealer pipeline'!$L$4:$L$503,_calc!$E$421)),TEXT(INDEX('Dealer pipeline'!$L$4:$L$503,_calc!$E$421),"yyyy-mm-dd"),""))=0,"","Labor end: "&amp;IF(ISNUMBER(INDEX('Dealer pipeline'!$L$4:$L$503,_calc!$E$421)),TEXT(INDEX('Dealer pipeline'!$L$4:$L$503,_calc!$E$421),"yyyy-mm-dd"),"")&amp;". ")&amp;IF(LEN(IF(LEN(INDEX('Dealer pipeline'!$Q$4:$Q$503,_calc!$E$421))=0,"",INDEX('Dealer pipeline'!$Q$4:$Q$503,_calc!$E$421)))=0,"","Status: "&amp;IF(LEN(INDEX('Dealer pipeline'!$Q$4:$Q$503,_calc!$E$421))=0,"",INDEX('Dealer pipeline'!$Q$4:$Q$503,_calc!$E$421))&amp;". ")&amp;IF(LEN(IF(LEN(INDEX('Dealer pipeline'!$P$4:$P$503,_calc!$E$421))=0,"",INDEX('Dealer pipeline'!$P$4:$P$503,_calc!$E$421)))=0,"","Last touch: "&amp;IF(LEN(INDEX('Dealer pipeline'!$P$4:$P$503,_calc!$E$421))=0,"",INDEX('Dealer pipeline'!$P$4:$P$503,_calc!$E$421))&amp;". ")&amp;IF(LEN(IF(LEN(INDEX('Dealer pipeline'!$R$4:$R$503,_calc!$E$421))=0,"",INDEX('Dealer pipeline'!$R$4:$R$503,_calc!$E$421)))=0,"","Owner: "&amp;IF(LEN(INDEX('Dealer pipeline'!$R$4:$R$503,_calc!$E$421))=0,"",INDEX('Dealer pipeline'!$R$4:$R$503,_calc!$E$421))&amp;". ")&amp;IF(LEN(IF(LEN(INDEX('Dealer pipeline'!$S$4:$S$503,_calc!$E$421))=0,"",INDEX('Dealer pipeline'!$S$4:$S$503,_calc!$E$421)))=0,"","Backup: "&amp;IF(LEN(INDEX('Dealer pipeline'!$S$4:$S$503,_calc!$E$421))=0,"",INDEX('Dealer pipeline'!$S$4:$S$503,_calc!$E$421))&amp;". ")&amp;IF(LEN(IF(LEN(INDEX('Dealer pipeline'!$T$4:$T$503,_calc!$E$421))=0,"",INDEX('Dealer pipeline'!$T$4:$T$503,_calc!$E$421)))=0,"",IF(LEN(INDEX('Dealer pipeline'!$T$4:$T$503,_calc!$E$421))=0,"",INDEX('Dealer pipeline'!$T$4:$T$503,_calc!$E$421)))),TRIM(IF(LEN(IF(LEN(INDEX('My equipment'!$C$4:$C$503,(_calc!$E$421-500)))=0,"",INDEX('My equipment'!$C$4:$C$503,(_calc!$E$421-500))))=0,"","Model: "&amp;IF(LEN(INDEX('My equipment'!$C$4:$C$503,(_calc!$E$421-500)))=0,"",INDEX('My equipment'!$C$4:$C$503,(_calc!$E$421-500)))&amp;". ")&amp;IF(LEN(IF(LEN(INDEX('My equipment'!$D$4:$D$503,(_calc!$E$421-500)))=0,"",INDEX('My equipment'!$D$4:$D$503,(_calc!$E$421-500))))=0,"","Serial: "&amp;IF(LEN(INDEX('My equipment'!$D$4:$D$503,(_calc!$E$421-500)))=0,"",INDEX('My equipment'!$D$4:$D$503,(_calc!$E$421-500)))&amp;". ")&amp;IF(LEN(IF(ISNUMBER(INDEX('My equipment'!$J$4:$J$503,(_calc!$E$421-500))),TEXT(INDEX('My equipment'!$J$4:$J$503,(_calc!$E$421-500)),"yyyy-mm-dd"),""))=0,"","Parts end: "&amp;IF(ISNUMBER(INDEX('My equipment'!$J$4:$J$503,(_calc!$E$421-500))),TEXT(INDEX('My equipment'!$J$4:$J$503,(_calc!$E$421-500)),"yyyy-mm-dd"),"")&amp;". ")&amp;IF(LEN(IF(ISNUMBER(INDEX('My equipment'!$L$4:$L$503,(_calc!$E$421-500))),TEXT(INDEX('My equipment'!$L$4:$L$503,(_calc!$E$421-500)),"yyyy-mm-dd"),""))=0,"","Labor end: "&amp;IF(ISNUMBER(INDEX('My equipment'!$L$4:$L$503,(_calc!$E$421-500))),TEXT(INDEX('My equipment'!$L$4:$L$503,(_calc!$E$421-500)),"yyyy-mm-dd"),"")&amp;". ")&amp;IF(LEN(IF(ISNUMBER(INDEX('My equipment'!$P$4:$P$503,(_calc!$E$421-500))),TEXT(INDEX('My equipment'!$P$4:$P$503,(_calc!$E$421-500)),"yyyy-mm-dd"),""))=0,"","Check by: "&amp;IF(ISNUMBER(INDEX('My equipment'!$P$4:$P$503,(_calc!$E$421-500))),TEXT(INDEX('My equipment'!$P$4:$P$503,(_calc!$E$421-500)),"yyyy-mm-dd"),"")&amp;". ")&amp;IF(LEN(IF(LEN(INDEX('My equipment'!$Q$4:$Q$503,(_calc!$E$421-500)))=0,"",INDEX('My equipment'!$Q$4:$Q$503,(_calc!$E$421-500))))=0,"","Claim status: "&amp;IF(LEN(INDEX('My equipment'!$Q$4:$Q$503,(_calc!$E$421-500)))=0,"",INDEX('My equipment'!$Q$4:$Q$503,(_calc!$E$421-500)))&amp;". ")&amp;IF(LEN(IF(LEN(INDEX('My equipment'!$R$4:$R$503,(_calc!$E$421-500)))=0,"",INDEX('My equipment'!$R$4:$R$503,(_calc!$E$421-500))))=0,"","Claims contact: "&amp;IF(LEN(INDEX('My equipment'!$R$4:$R$503,(_calc!$E$421-500)))=0,"",INDEX('My equipment'!$R$4:$R$503,(_calc!$E$421-500)))&amp;". ")&amp;IF(LEN(IF(LEN(INDEX('My equipment'!$S$4:$S$503,(_calc!$E$421-500)))=0,"",INDEX('My equipment'!$S$4:$S$503,(_calc!$E$421-500))))=0,"","Claims email: "&amp;IF(LEN(INDEX('My equipment'!$S$4:$S$503,(_calc!$E$421-500)))=0,"",INDEX('My equipment'!$S$4:$S$503,(_calc!$E$421-500)))&amp;". ")&amp;IF(LEN(IF(LEN(INDEX('My equipment'!$U$4:$U$503,(_calc!$E$421-500)))=0,"",INDEX('My equipment'!$U$4:$U$503,(_calc!$E$421-500))))=0,"","Registered: "&amp;IF(LEN(INDEX('My equipment'!$U$4:$U$503,(_calc!$E$421-500)))=0,"",INDEX('My equipment'!$U$4:$U$503,(_calc!$E$421-500)))&amp;". ")&amp;IF(LEN(IF(LEN(INDEX('My equipment'!$V$4:$V$503,(_calc!$E$421-500)))=0,"",INDEX('My equipment'!$V$4:$V$503,(_calc!$E$421-500))))=0,"","Proof on file: "&amp;IF(LEN(INDEX('My equipment'!$V$4:$V$503,(_calc!$E$421-500)))=0,"",INDEX('My equipment'!$V$4:$V$503,(_calc!$E$421-500)))&amp;". ")&amp;IF(LEN(IF(LEN(INDEX('My equipment'!$W$4:$W$503,(_calc!$E$421-500)))=0,"",INDEX('My equipment'!$W$4:$W$503,(_calc!$E$421-500))))=0,"","Claim ref: "&amp;IF(LEN(INDEX('My equipment'!$W$4:$W$503,(_calc!$E$421-500)))=0,"",INDEX('My equipment'!$W$4:$W$503,(_calc!$E$421-500)))&amp;". ")&amp;IF(LEN(IF(LEN(INDEX('My equipment'!$Y$4:$Y$503,(_calc!$E$421-500)))=0,"",INDEX('My equipment'!$Y$4:$Y$503,(_calc!$E$421-500))))=0,"",IF(LEN(INDEX('My equipment'!$Y$4:$Y$503,(_calc!$E$421-500)))=0,"",INDEX('My equipment'!$Y$4:$Y$503,(_calc!$E$421-500)))))))</f>
        <v/>
      </c>
      <c r="G419" s="54">
        <f>IF(_calc!$E$421="","",IF(_calc!$E$421&lt;=500,"",IF(LEN(INDEX('My equipment'!$X$4:$X$503,(_calc!$E$421-500)))=0,"",INDEX('My equipment'!$X$4:$X$503,(_calc!$E$421-500)))))</f>
        <v/>
      </c>
      <c r="K419" s="54">
        <f>IF(_calc!$E$421="","",IF(_calc!$E$421&lt;=500,"",IF(LEN(INDEX('My equipment'!$T$4:$T$503,(_calc!$E$421-500)))=0,"",INDEX('My equipment'!$T$4:$T$503,(_calc!$E$421-500)))))</f>
        <v/>
      </c>
    </row>
    <row r="420">
      <c r="A420" s="54">
        <f>IF(_calc!$E$422="","",IF(_calc!$E$422&lt;=500,"Warranty – "&amp;IF(LEN(INDEX('Dealer pipeline'!$C$4:$C$503,_calc!$E$422))=0,"",INDEX('Dealer pipeline'!$C$4:$C$503,_calc!$E$422))&amp;" – "&amp;IF(LEN(INDEX('Dealer pipeline'!$D$4:$D$503,_calc!$E$422))=0,"",INDEX('Dealer pipeline'!$D$4:$D$503,_calc!$E$422))&amp;" – "&amp;IF(LEN(INDEX('Dealer pipeline'!$A$4:$A$503,_calc!$E$422))=0,"",INDEX('Dealer pipeline'!$A$4:$A$503,_calc!$E$422)),"Warranty – "&amp;IF(LEN(INDEX('My equipment'!$A$4:$A$503,(_calc!$E$422-500)))=0,"",INDEX('My equipment'!$A$4:$A$503,(_calc!$E$422-500)))&amp;" – "&amp;IF(LEN(INDEX('My equipment'!$D$4:$D$503,(_calc!$E$422-500)))=0,"",INDEX('My equipment'!$D$4:$D$503,(_calc!$E$422-500)))))</f>
        <v/>
      </c>
      <c r="B420" s="54">
        <f>IF(_calc!$E$422="","",IF(_calc!$E$422&lt;=500,IF(ISNUMBER(INDEX('Dealer pipeline'!$M$4:$M$503,_calc!$E$422)),TEXT(INDEX('Dealer pipeline'!$M$4:$M$503,_calc!$E$422),"yyyy-mm-dd"),""),IF(ISNUMBER(INDEX('My equipment'!$M$4:$M$503,(_calc!$E$422-500))),TEXT(INDEX('My equipment'!$M$4:$M$503,(_calc!$E$422-500)),"yyyy-mm-dd"),"")))</f>
        <v/>
      </c>
      <c r="C420" s="54">
        <f>IF(_calc!$E$422="","",IF(_calc!$E$422&lt;=500,"Warranty","Warranty"))</f>
        <v/>
      </c>
      <c r="D420" s="54">
        <f>IF(_calc!$E$422="","",IF(_calc!$E$422&lt;=500,IF(ISNUMBER(INDEX('Dealer pipeline'!$H$4:$H$503,_calc!$E$422)),TEXT(INDEX('Dealer pipeline'!$H$4:$H$503,_calc!$E$422),"yyyy-mm-dd"),""),IF(ISNUMBER(INDEX('My equipment'!$H$4:$H$503,(_calc!$E$422-500))),TEXT(INDEX('My equipment'!$H$4:$H$503,(_calc!$E$422-500)),"yyyy-mm-dd"),"")))</f>
        <v/>
      </c>
      <c r="F420" s="54">
        <f>IF(_calc!$E$422="","",IF(_calc!$E$422&lt;=500,TRIM(IF(LEN(IF(LEN(INDEX('Dealer pipeline'!$A$4:$A$503,_calc!$E$422))=0,"",INDEX('Dealer pipeline'!$A$4:$A$503,_calc!$E$422)))=0,"","Customer: "&amp;IF(LEN(INDEX('Dealer pipeline'!$A$4:$A$503,_calc!$E$422))=0,"",INDEX('Dealer pipeline'!$A$4:$A$503,_calc!$E$422))&amp;". ")&amp;IF(LEN(IF(LEN(INDEX('Dealer pipeline'!$B$4:$B$503,_calc!$E$422))=0,"",INDEX('Dealer pipeline'!$B$4:$B$503,_calc!$E$422)))=0,"","Contact: "&amp;IF(LEN(INDEX('Dealer pipeline'!$B$4:$B$503,_calc!$E$422))=0,"",INDEX('Dealer pipeline'!$B$4:$B$503,_calc!$E$422))&amp;". ")&amp;IF(LEN(IF(LEN(INDEX('Dealer pipeline'!$D$4:$D$503,_calc!$E$422))=0,"",INDEX('Dealer pipeline'!$D$4:$D$503,_calc!$E$422)))=0,"","Serial: "&amp;IF(LEN(INDEX('Dealer pipeline'!$D$4:$D$503,_calc!$E$422))=0,"",INDEX('Dealer pipeline'!$D$4:$D$503,_calc!$E$422))&amp;". ")&amp;IF(LEN(IF(ISNUMBER(INDEX('Dealer pipeline'!$J$4:$J$503,_calc!$E$422)),TEXT(INDEX('Dealer pipeline'!$J$4:$J$503,_calc!$E$422),"yyyy-mm-dd"),""))=0,"","Parts end: "&amp;IF(ISNUMBER(INDEX('Dealer pipeline'!$J$4:$J$503,_calc!$E$422)),TEXT(INDEX('Dealer pipeline'!$J$4:$J$503,_calc!$E$422),"yyyy-mm-dd"),"")&amp;". ")&amp;IF(LEN(IF(ISNUMBER(INDEX('Dealer pipeline'!$L$4:$L$503,_calc!$E$422)),TEXT(INDEX('Dealer pipeline'!$L$4:$L$503,_calc!$E$422),"yyyy-mm-dd"),""))=0,"","Labor end: "&amp;IF(ISNUMBER(INDEX('Dealer pipeline'!$L$4:$L$503,_calc!$E$422)),TEXT(INDEX('Dealer pipeline'!$L$4:$L$503,_calc!$E$422),"yyyy-mm-dd"),"")&amp;". ")&amp;IF(LEN(IF(LEN(INDEX('Dealer pipeline'!$Q$4:$Q$503,_calc!$E$422))=0,"",INDEX('Dealer pipeline'!$Q$4:$Q$503,_calc!$E$422)))=0,"","Status: "&amp;IF(LEN(INDEX('Dealer pipeline'!$Q$4:$Q$503,_calc!$E$422))=0,"",INDEX('Dealer pipeline'!$Q$4:$Q$503,_calc!$E$422))&amp;". ")&amp;IF(LEN(IF(LEN(INDEX('Dealer pipeline'!$P$4:$P$503,_calc!$E$422))=0,"",INDEX('Dealer pipeline'!$P$4:$P$503,_calc!$E$422)))=0,"","Last touch: "&amp;IF(LEN(INDEX('Dealer pipeline'!$P$4:$P$503,_calc!$E$422))=0,"",INDEX('Dealer pipeline'!$P$4:$P$503,_calc!$E$422))&amp;". ")&amp;IF(LEN(IF(LEN(INDEX('Dealer pipeline'!$R$4:$R$503,_calc!$E$422))=0,"",INDEX('Dealer pipeline'!$R$4:$R$503,_calc!$E$422)))=0,"","Owner: "&amp;IF(LEN(INDEX('Dealer pipeline'!$R$4:$R$503,_calc!$E$422))=0,"",INDEX('Dealer pipeline'!$R$4:$R$503,_calc!$E$422))&amp;". ")&amp;IF(LEN(IF(LEN(INDEX('Dealer pipeline'!$S$4:$S$503,_calc!$E$422))=0,"",INDEX('Dealer pipeline'!$S$4:$S$503,_calc!$E$422)))=0,"","Backup: "&amp;IF(LEN(INDEX('Dealer pipeline'!$S$4:$S$503,_calc!$E$422))=0,"",INDEX('Dealer pipeline'!$S$4:$S$503,_calc!$E$422))&amp;". ")&amp;IF(LEN(IF(LEN(INDEX('Dealer pipeline'!$T$4:$T$503,_calc!$E$422))=0,"",INDEX('Dealer pipeline'!$T$4:$T$503,_calc!$E$422)))=0,"",IF(LEN(INDEX('Dealer pipeline'!$T$4:$T$503,_calc!$E$422))=0,"",INDEX('Dealer pipeline'!$T$4:$T$503,_calc!$E$422)))),TRIM(IF(LEN(IF(LEN(INDEX('My equipment'!$C$4:$C$503,(_calc!$E$422-500)))=0,"",INDEX('My equipment'!$C$4:$C$503,(_calc!$E$422-500))))=0,"","Model: "&amp;IF(LEN(INDEX('My equipment'!$C$4:$C$503,(_calc!$E$422-500)))=0,"",INDEX('My equipment'!$C$4:$C$503,(_calc!$E$422-500)))&amp;". ")&amp;IF(LEN(IF(LEN(INDEX('My equipment'!$D$4:$D$503,(_calc!$E$422-500)))=0,"",INDEX('My equipment'!$D$4:$D$503,(_calc!$E$422-500))))=0,"","Serial: "&amp;IF(LEN(INDEX('My equipment'!$D$4:$D$503,(_calc!$E$422-500)))=0,"",INDEX('My equipment'!$D$4:$D$503,(_calc!$E$422-500)))&amp;". ")&amp;IF(LEN(IF(ISNUMBER(INDEX('My equipment'!$J$4:$J$503,(_calc!$E$422-500))),TEXT(INDEX('My equipment'!$J$4:$J$503,(_calc!$E$422-500)),"yyyy-mm-dd"),""))=0,"","Parts end: "&amp;IF(ISNUMBER(INDEX('My equipment'!$J$4:$J$503,(_calc!$E$422-500))),TEXT(INDEX('My equipment'!$J$4:$J$503,(_calc!$E$422-500)),"yyyy-mm-dd"),"")&amp;". ")&amp;IF(LEN(IF(ISNUMBER(INDEX('My equipment'!$L$4:$L$503,(_calc!$E$422-500))),TEXT(INDEX('My equipment'!$L$4:$L$503,(_calc!$E$422-500)),"yyyy-mm-dd"),""))=0,"","Labor end: "&amp;IF(ISNUMBER(INDEX('My equipment'!$L$4:$L$503,(_calc!$E$422-500))),TEXT(INDEX('My equipment'!$L$4:$L$503,(_calc!$E$422-500)),"yyyy-mm-dd"),"")&amp;". ")&amp;IF(LEN(IF(ISNUMBER(INDEX('My equipment'!$P$4:$P$503,(_calc!$E$422-500))),TEXT(INDEX('My equipment'!$P$4:$P$503,(_calc!$E$422-500)),"yyyy-mm-dd"),""))=0,"","Check by: "&amp;IF(ISNUMBER(INDEX('My equipment'!$P$4:$P$503,(_calc!$E$422-500))),TEXT(INDEX('My equipment'!$P$4:$P$503,(_calc!$E$422-500)),"yyyy-mm-dd"),"")&amp;". ")&amp;IF(LEN(IF(LEN(INDEX('My equipment'!$Q$4:$Q$503,(_calc!$E$422-500)))=0,"",INDEX('My equipment'!$Q$4:$Q$503,(_calc!$E$422-500))))=0,"","Claim status: "&amp;IF(LEN(INDEX('My equipment'!$Q$4:$Q$503,(_calc!$E$422-500)))=0,"",INDEX('My equipment'!$Q$4:$Q$503,(_calc!$E$422-500)))&amp;". ")&amp;IF(LEN(IF(LEN(INDEX('My equipment'!$R$4:$R$503,(_calc!$E$422-500)))=0,"",INDEX('My equipment'!$R$4:$R$503,(_calc!$E$422-500))))=0,"","Claims contact: "&amp;IF(LEN(INDEX('My equipment'!$R$4:$R$503,(_calc!$E$422-500)))=0,"",INDEX('My equipment'!$R$4:$R$503,(_calc!$E$422-500)))&amp;". ")&amp;IF(LEN(IF(LEN(INDEX('My equipment'!$S$4:$S$503,(_calc!$E$422-500)))=0,"",INDEX('My equipment'!$S$4:$S$503,(_calc!$E$422-500))))=0,"","Claims email: "&amp;IF(LEN(INDEX('My equipment'!$S$4:$S$503,(_calc!$E$422-500)))=0,"",INDEX('My equipment'!$S$4:$S$503,(_calc!$E$422-500)))&amp;". ")&amp;IF(LEN(IF(LEN(INDEX('My equipment'!$U$4:$U$503,(_calc!$E$422-500)))=0,"",INDEX('My equipment'!$U$4:$U$503,(_calc!$E$422-500))))=0,"","Registered: "&amp;IF(LEN(INDEX('My equipment'!$U$4:$U$503,(_calc!$E$422-500)))=0,"",INDEX('My equipment'!$U$4:$U$503,(_calc!$E$422-500)))&amp;". ")&amp;IF(LEN(IF(LEN(INDEX('My equipment'!$V$4:$V$503,(_calc!$E$422-500)))=0,"",INDEX('My equipment'!$V$4:$V$503,(_calc!$E$422-500))))=0,"","Proof on file: "&amp;IF(LEN(INDEX('My equipment'!$V$4:$V$503,(_calc!$E$422-500)))=0,"",INDEX('My equipment'!$V$4:$V$503,(_calc!$E$422-500)))&amp;". ")&amp;IF(LEN(IF(LEN(INDEX('My equipment'!$W$4:$W$503,(_calc!$E$422-500)))=0,"",INDEX('My equipment'!$W$4:$W$503,(_calc!$E$422-500))))=0,"","Claim ref: "&amp;IF(LEN(INDEX('My equipment'!$W$4:$W$503,(_calc!$E$422-500)))=0,"",INDEX('My equipment'!$W$4:$W$503,(_calc!$E$422-500)))&amp;". ")&amp;IF(LEN(IF(LEN(INDEX('My equipment'!$Y$4:$Y$503,(_calc!$E$422-500)))=0,"",INDEX('My equipment'!$Y$4:$Y$503,(_calc!$E$422-500))))=0,"",IF(LEN(INDEX('My equipment'!$Y$4:$Y$503,(_calc!$E$422-500)))=0,"",INDEX('My equipment'!$Y$4:$Y$503,(_calc!$E$422-500)))))))</f>
        <v/>
      </c>
      <c r="G420" s="54">
        <f>IF(_calc!$E$422="","",IF(_calc!$E$422&lt;=500,"",IF(LEN(INDEX('My equipment'!$X$4:$X$503,(_calc!$E$422-500)))=0,"",INDEX('My equipment'!$X$4:$X$503,(_calc!$E$422-500)))))</f>
        <v/>
      </c>
      <c r="K420" s="54">
        <f>IF(_calc!$E$422="","",IF(_calc!$E$422&lt;=500,"",IF(LEN(INDEX('My equipment'!$T$4:$T$503,(_calc!$E$422-500)))=0,"",INDEX('My equipment'!$T$4:$T$503,(_calc!$E$422-500)))))</f>
        <v/>
      </c>
    </row>
    <row r="421">
      <c r="A421" s="54">
        <f>IF(_calc!$E$423="","",IF(_calc!$E$423&lt;=500,"Warranty – "&amp;IF(LEN(INDEX('Dealer pipeline'!$C$4:$C$503,_calc!$E$423))=0,"",INDEX('Dealer pipeline'!$C$4:$C$503,_calc!$E$423))&amp;" – "&amp;IF(LEN(INDEX('Dealer pipeline'!$D$4:$D$503,_calc!$E$423))=0,"",INDEX('Dealer pipeline'!$D$4:$D$503,_calc!$E$423))&amp;" – "&amp;IF(LEN(INDEX('Dealer pipeline'!$A$4:$A$503,_calc!$E$423))=0,"",INDEX('Dealer pipeline'!$A$4:$A$503,_calc!$E$423)),"Warranty – "&amp;IF(LEN(INDEX('My equipment'!$A$4:$A$503,(_calc!$E$423-500)))=0,"",INDEX('My equipment'!$A$4:$A$503,(_calc!$E$423-500)))&amp;" – "&amp;IF(LEN(INDEX('My equipment'!$D$4:$D$503,(_calc!$E$423-500)))=0,"",INDEX('My equipment'!$D$4:$D$503,(_calc!$E$423-500)))))</f>
        <v/>
      </c>
      <c r="B421" s="54">
        <f>IF(_calc!$E$423="","",IF(_calc!$E$423&lt;=500,IF(ISNUMBER(INDEX('Dealer pipeline'!$M$4:$M$503,_calc!$E$423)),TEXT(INDEX('Dealer pipeline'!$M$4:$M$503,_calc!$E$423),"yyyy-mm-dd"),""),IF(ISNUMBER(INDEX('My equipment'!$M$4:$M$503,(_calc!$E$423-500))),TEXT(INDEX('My equipment'!$M$4:$M$503,(_calc!$E$423-500)),"yyyy-mm-dd"),"")))</f>
        <v/>
      </c>
      <c r="C421" s="54">
        <f>IF(_calc!$E$423="","",IF(_calc!$E$423&lt;=500,"Warranty","Warranty"))</f>
        <v/>
      </c>
      <c r="D421" s="54">
        <f>IF(_calc!$E$423="","",IF(_calc!$E$423&lt;=500,IF(ISNUMBER(INDEX('Dealer pipeline'!$H$4:$H$503,_calc!$E$423)),TEXT(INDEX('Dealer pipeline'!$H$4:$H$503,_calc!$E$423),"yyyy-mm-dd"),""),IF(ISNUMBER(INDEX('My equipment'!$H$4:$H$503,(_calc!$E$423-500))),TEXT(INDEX('My equipment'!$H$4:$H$503,(_calc!$E$423-500)),"yyyy-mm-dd"),"")))</f>
        <v/>
      </c>
      <c r="F421" s="54">
        <f>IF(_calc!$E$423="","",IF(_calc!$E$423&lt;=500,TRIM(IF(LEN(IF(LEN(INDEX('Dealer pipeline'!$A$4:$A$503,_calc!$E$423))=0,"",INDEX('Dealer pipeline'!$A$4:$A$503,_calc!$E$423)))=0,"","Customer: "&amp;IF(LEN(INDEX('Dealer pipeline'!$A$4:$A$503,_calc!$E$423))=0,"",INDEX('Dealer pipeline'!$A$4:$A$503,_calc!$E$423))&amp;". ")&amp;IF(LEN(IF(LEN(INDEX('Dealer pipeline'!$B$4:$B$503,_calc!$E$423))=0,"",INDEX('Dealer pipeline'!$B$4:$B$503,_calc!$E$423)))=0,"","Contact: "&amp;IF(LEN(INDEX('Dealer pipeline'!$B$4:$B$503,_calc!$E$423))=0,"",INDEX('Dealer pipeline'!$B$4:$B$503,_calc!$E$423))&amp;". ")&amp;IF(LEN(IF(LEN(INDEX('Dealer pipeline'!$D$4:$D$503,_calc!$E$423))=0,"",INDEX('Dealer pipeline'!$D$4:$D$503,_calc!$E$423)))=0,"","Serial: "&amp;IF(LEN(INDEX('Dealer pipeline'!$D$4:$D$503,_calc!$E$423))=0,"",INDEX('Dealer pipeline'!$D$4:$D$503,_calc!$E$423))&amp;". ")&amp;IF(LEN(IF(ISNUMBER(INDEX('Dealer pipeline'!$J$4:$J$503,_calc!$E$423)),TEXT(INDEX('Dealer pipeline'!$J$4:$J$503,_calc!$E$423),"yyyy-mm-dd"),""))=0,"","Parts end: "&amp;IF(ISNUMBER(INDEX('Dealer pipeline'!$J$4:$J$503,_calc!$E$423)),TEXT(INDEX('Dealer pipeline'!$J$4:$J$503,_calc!$E$423),"yyyy-mm-dd"),"")&amp;". ")&amp;IF(LEN(IF(ISNUMBER(INDEX('Dealer pipeline'!$L$4:$L$503,_calc!$E$423)),TEXT(INDEX('Dealer pipeline'!$L$4:$L$503,_calc!$E$423),"yyyy-mm-dd"),""))=0,"","Labor end: "&amp;IF(ISNUMBER(INDEX('Dealer pipeline'!$L$4:$L$503,_calc!$E$423)),TEXT(INDEX('Dealer pipeline'!$L$4:$L$503,_calc!$E$423),"yyyy-mm-dd"),"")&amp;". ")&amp;IF(LEN(IF(LEN(INDEX('Dealer pipeline'!$Q$4:$Q$503,_calc!$E$423))=0,"",INDEX('Dealer pipeline'!$Q$4:$Q$503,_calc!$E$423)))=0,"","Status: "&amp;IF(LEN(INDEX('Dealer pipeline'!$Q$4:$Q$503,_calc!$E$423))=0,"",INDEX('Dealer pipeline'!$Q$4:$Q$503,_calc!$E$423))&amp;". ")&amp;IF(LEN(IF(LEN(INDEX('Dealer pipeline'!$P$4:$P$503,_calc!$E$423))=0,"",INDEX('Dealer pipeline'!$P$4:$P$503,_calc!$E$423)))=0,"","Last touch: "&amp;IF(LEN(INDEX('Dealer pipeline'!$P$4:$P$503,_calc!$E$423))=0,"",INDEX('Dealer pipeline'!$P$4:$P$503,_calc!$E$423))&amp;". ")&amp;IF(LEN(IF(LEN(INDEX('Dealer pipeline'!$R$4:$R$503,_calc!$E$423))=0,"",INDEX('Dealer pipeline'!$R$4:$R$503,_calc!$E$423)))=0,"","Owner: "&amp;IF(LEN(INDEX('Dealer pipeline'!$R$4:$R$503,_calc!$E$423))=0,"",INDEX('Dealer pipeline'!$R$4:$R$503,_calc!$E$423))&amp;". ")&amp;IF(LEN(IF(LEN(INDEX('Dealer pipeline'!$S$4:$S$503,_calc!$E$423))=0,"",INDEX('Dealer pipeline'!$S$4:$S$503,_calc!$E$423)))=0,"","Backup: "&amp;IF(LEN(INDEX('Dealer pipeline'!$S$4:$S$503,_calc!$E$423))=0,"",INDEX('Dealer pipeline'!$S$4:$S$503,_calc!$E$423))&amp;". ")&amp;IF(LEN(IF(LEN(INDEX('Dealer pipeline'!$T$4:$T$503,_calc!$E$423))=0,"",INDEX('Dealer pipeline'!$T$4:$T$503,_calc!$E$423)))=0,"",IF(LEN(INDEX('Dealer pipeline'!$T$4:$T$503,_calc!$E$423))=0,"",INDEX('Dealer pipeline'!$T$4:$T$503,_calc!$E$423)))),TRIM(IF(LEN(IF(LEN(INDEX('My equipment'!$C$4:$C$503,(_calc!$E$423-500)))=0,"",INDEX('My equipment'!$C$4:$C$503,(_calc!$E$423-500))))=0,"","Model: "&amp;IF(LEN(INDEX('My equipment'!$C$4:$C$503,(_calc!$E$423-500)))=0,"",INDEX('My equipment'!$C$4:$C$503,(_calc!$E$423-500)))&amp;". ")&amp;IF(LEN(IF(LEN(INDEX('My equipment'!$D$4:$D$503,(_calc!$E$423-500)))=0,"",INDEX('My equipment'!$D$4:$D$503,(_calc!$E$423-500))))=0,"","Serial: "&amp;IF(LEN(INDEX('My equipment'!$D$4:$D$503,(_calc!$E$423-500)))=0,"",INDEX('My equipment'!$D$4:$D$503,(_calc!$E$423-500)))&amp;". ")&amp;IF(LEN(IF(ISNUMBER(INDEX('My equipment'!$J$4:$J$503,(_calc!$E$423-500))),TEXT(INDEX('My equipment'!$J$4:$J$503,(_calc!$E$423-500)),"yyyy-mm-dd"),""))=0,"","Parts end: "&amp;IF(ISNUMBER(INDEX('My equipment'!$J$4:$J$503,(_calc!$E$423-500))),TEXT(INDEX('My equipment'!$J$4:$J$503,(_calc!$E$423-500)),"yyyy-mm-dd"),"")&amp;". ")&amp;IF(LEN(IF(ISNUMBER(INDEX('My equipment'!$L$4:$L$503,(_calc!$E$423-500))),TEXT(INDEX('My equipment'!$L$4:$L$503,(_calc!$E$423-500)),"yyyy-mm-dd"),""))=0,"","Labor end: "&amp;IF(ISNUMBER(INDEX('My equipment'!$L$4:$L$503,(_calc!$E$423-500))),TEXT(INDEX('My equipment'!$L$4:$L$503,(_calc!$E$423-500)),"yyyy-mm-dd"),"")&amp;". ")&amp;IF(LEN(IF(ISNUMBER(INDEX('My equipment'!$P$4:$P$503,(_calc!$E$423-500))),TEXT(INDEX('My equipment'!$P$4:$P$503,(_calc!$E$423-500)),"yyyy-mm-dd"),""))=0,"","Check by: "&amp;IF(ISNUMBER(INDEX('My equipment'!$P$4:$P$503,(_calc!$E$423-500))),TEXT(INDEX('My equipment'!$P$4:$P$503,(_calc!$E$423-500)),"yyyy-mm-dd"),"")&amp;". ")&amp;IF(LEN(IF(LEN(INDEX('My equipment'!$Q$4:$Q$503,(_calc!$E$423-500)))=0,"",INDEX('My equipment'!$Q$4:$Q$503,(_calc!$E$423-500))))=0,"","Claim status: "&amp;IF(LEN(INDEX('My equipment'!$Q$4:$Q$503,(_calc!$E$423-500)))=0,"",INDEX('My equipment'!$Q$4:$Q$503,(_calc!$E$423-500)))&amp;". ")&amp;IF(LEN(IF(LEN(INDEX('My equipment'!$R$4:$R$503,(_calc!$E$423-500)))=0,"",INDEX('My equipment'!$R$4:$R$503,(_calc!$E$423-500))))=0,"","Claims contact: "&amp;IF(LEN(INDEX('My equipment'!$R$4:$R$503,(_calc!$E$423-500)))=0,"",INDEX('My equipment'!$R$4:$R$503,(_calc!$E$423-500)))&amp;". ")&amp;IF(LEN(IF(LEN(INDEX('My equipment'!$S$4:$S$503,(_calc!$E$423-500)))=0,"",INDEX('My equipment'!$S$4:$S$503,(_calc!$E$423-500))))=0,"","Claims email: "&amp;IF(LEN(INDEX('My equipment'!$S$4:$S$503,(_calc!$E$423-500)))=0,"",INDEX('My equipment'!$S$4:$S$503,(_calc!$E$423-500)))&amp;". ")&amp;IF(LEN(IF(LEN(INDEX('My equipment'!$U$4:$U$503,(_calc!$E$423-500)))=0,"",INDEX('My equipment'!$U$4:$U$503,(_calc!$E$423-500))))=0,"","Registered: "&amp;IF(LEN(INDEX('My equipment'!$U$4:$U$503,(_calc!$E$423-500)))=0,"",INDEX('My equipment'!$U$4:$U$503,(_calc!$E$423-500)))&amp;". ")&amp;IF(LEN(IF(LEN(INDEX('My equipment'!$V$4:$V$503,(_calc!$E$423-500)))=0,"",INDEX('My equipment'!$V$4:$V$503,(_calc!$E$423-500))))=0,"","Proof on file: "&amp;IF(LEN(INDEX('My equipment'!$V$4:$V$503,(_calc!$E$423-500)))=0,"",INDEX('My equipment'!$V$4:$V$503,(_calc!$E$423-500)))&amp;". ")&amp;IF(LEN(IF(LEN(INDEX('My equipment'!$W$4:$W$503,(_calc!$E$423-500)))=0,"",INDEX('My equipment'!$W$4:$W$503,(_calc!$E$423-500))))=0,"","Claim ref: "&amp;IF(LEN(INDEX('My equipment'!$W$4:$W$503,(_calc!$E$423-500)))=0,"",INDEX('My equipment'!$W$4:$W$503,(_calc!$E$423-500)))&amp;". ")&amp;IF(LEN(IF(LEN(INDEX('My equipment'!$Y$4:$Y$503,(_calc!$E$423-500)))=0,"",INDEX('My equipment'!$Y$4:$Y$503,(_calc!$E$423-500))))=0,"",IF(LEN(INDEX('My equipment'!$Y$4:$Y$503,(_calc!$E$423-500)))=0,"",INDEX('My equipment'!$Y$4:$Y$503,(_calc!$E$423-500)))))))</f>
        <v/>
      </c>
      <c r="G421" s="54">
        <f>IF(_calc!$E$423="","",IF(_calc!$E$423&lt;=500,"",IF(LEN(INDEX('My equipment'!$X$4:$X$503,(_calc!$E$423-500)))=0,"",INDEX('My equipment'!$X$4:$X$503,(_calc!$E$423-500)))))</f>
        <v/>
      </c>
      <c r="K421" s="54">
        <f>IF(_calc!$E$423="","",IF(_calc!$E$423&lt;=500,"",IF(LEN(INDEX('My equipment'!$T$4:$T$503,(_calc!$E$423-500)))=0,"",INDEX('My equipment'!$T$4:$T$503,(_calc!$E$423-500)))))</f>
        <v/>
      </c>
    </row>
    <row r="422">
      <c r="A422" s="54">
        <f>IF(_calc!$E$424="","",IF(_calc!$E$424&lt;=500,"Warranty – "&amp;IF(LEN(INDEX('Dealer pipeline'!$C$4:$C$503,_calc!$E$424))=0,"",INDEX('Dealer pipeline'!$C$4:$C$503,_calc!$E$424))&amp;" – "&amp;IF(LEN(INDEX('Dealer pipeline'!$D$4:$D$503,_calc!$E$424))=0,"",INDEX('Dealer pipeline'!$D$4:$D$503,_calc!$E$424))&amp;" – "&amp;IF(LEN(INDEX('Dealer pipeline'!$A$4:$A$503,_calc!$E$424))=0,"",INDEX('Dealer pipeline'!$A$4:$A$503,_calc!$E$424)),"Warranty – "&amp;IF(LEN(INDEX('My equipment'!$A$4:$A$503,(_calc!$E$424-500)))=0,"",INDEX('My equipment'!$A$4:$A$503,(_calc!$E$424-500)))&amp;" – "&amp;IF(LEN(INDEX('My equipment'!$D$4:$D$503,(_calc!$E$424-500)))=0,"",INDEX('My equipment'!$D$4:$D$503,(_calc!$E$424-500)))))</f>
        <v/>
      </c>
      <c r="B422" s="54">
        <f>IF(_calc!$E$424="","",IF(_calc!$E$424&lt;=500,IF(ISNUMBER(INDEX('Dealer pipeline'!$M$4:$M$503,_calc!$E$424)),TEXT(INDEX('Dealer pipeline'!$M$4:$M$503,_calc!$E$424),"yyyy-mm-dd"),""),IF(ISNUMBER(INDEX('My equipment'!$M$4:$M$503,(_calc!$E$424-500))),TEXT(INDEX('My equipment'!$M$4:$M$503,(_calc!$E$424-500)),"yyyy-mm-dd"),"")))</f>
        <v/>
      </c>
      <c r="C422" s="54">
        <f>IF(_calc!$E$424="","",IF(_calc!$E$424&lt;=500,"Warranty","Warranty"))</f>
        <v/>
      </c>
      <c r="D422" s="54">
        <f>IF(_calc!$E$424="","",IF(_calc!$E$424&lt;=500,IF(ISNUMBER(INDEX('Dealer pipeline'!$H$4:$H$503,_calc!$E$424)),TEXT(INDEX('Dealer pipeline'!$H$4:$H$503,_calc!$E$424),"yyyy-mm-dd"),""),IF(ISNUMBER(INDEX('My equipment'!$H$4:$H$503,(_calc!$E$424-500))),TEXT(INDEX('My equipment'!$H$4:$H$503,(_calc!$E$424-500)),"yyyy-mm-dd"),"")))</f>
        <v/>
      </c>
      <c r="F422" s="54">
        <f>IF(_calc!$E$424="","",IF(_calc!$E$424&lt;=500,TRIM(IF(LEN(IF(LEN(INDEX('Dealer pipeline'!$A$4:$A$503,_calc!$E$424))=0,"",INDEX('Dealer pipeline'!$A$4:$A$503,_calc!$E$424)))=0,"","Customer: "&amp;IF(LEN(INDEX('Dealer pipeline'!$A$4:$A$503,_calc!$E$424))=0,"",INDEX('Dealer pipeline'!$A$4:$A$503,_calc!$E$424))&amp;". ")&amp;IF(LEN(IF(LEN(INDEX('Dealer pipeline'!$B$4:$B$503,_calc!$E$424))=0,"",INDEX('Dealer pipeline'!$B$4:$B$503,_calc!$E$424)))=0,"","Contact: "&amp;IF(LEN(INDEX('Dealer pipeline'!$B$4:$B$503,_calc!$E$424))=0,"",INDEX('Dealer pipeline'!$B$4:$B$503,_calc!$E$424))&amp;". ")&amp;IF(LEN(IF(LEN(INDEX('Dealer pipeline'!$D$4:$D$503,_calc!$E$424))=0,"",INDEX('Dealer pipeline'!$D$4:$D$503,_calc!$E$424)))=0,"","Serial: "&amp;IF(LEN(INDEX('Dealer pipeline'!$D$4:$D$503,_calc!$E$424))=0,"",INDEX('Dealer pipeline'!$D$4:$D$503,_calc!$E$424))&amp;". ")&amp;IF(LEN(IF(ISNUMBER(INDEX('Dealer pipeline'!$J$4:$J$503,_calc!$E$424)),TEXT(INDEX('Dealer pipeline'!$J$4:$J$503,_calc!$E$424),"yyyy-mm-dd"),""))=0,"","Parts end: "&amp;IF(ISNUMBER(INDEX('Dealer pipeline'!$J$4:$J$503,_calc!$E$424)),TEXT(INDEX('Dealer pipeline'!$J$4:$J$503,_calc!$E$424),"yyyy-mm-dd"),"")&amp;". ")&amp;IF(LEN(IF(ISNUMBER(INDEX('Dealer pipeline'!$L$4:$L$503,_calc!$E$424)),TEXT(INDEX('Dealer pipeline'!$L$4:$L$503,_calc!$E$424),"yyyy-mm-dd"),""))=0,"","Labor end: "&amp;IF(ISNUMBER(INDEX('Dealer pipeline'!$L$4:$L$503,_calc!$E$424)),TEXT(INDEX('Dealer pipeline'!$L$4:$L$503,_calc!$E$424),"yyyy-mm-dd"),"")&amp;". ")&amp;IF(LEN(IF(LEN(INDEX('Dealer pipeline'!$Q$4:$Q$503,_calc!$E$424))=0,"",INDEX('Dealer pipeline'!$Q$4:$Q$503,_calc!$E$424)))=0,"","Status: "&amp;IF(LEN(INDEX('Dealer pipeline'!$Q$4:$Q$503,_calc!$E$424))=0,"",INDEX('Dealer pipeline'!$Q$4:$Q$503,_calc!$E$424))&amp;". ")&amp;IF(LEN(IF(LEN(INDEX('Dealer pipeline'!$P$4:$P$503,_calc!$E$424))=0,"",INDEX('Dealer pipeline'!$P$4:$P$503,_calc!$E$424)))=0,"","Last touch: "&amp;IF(LEN(INDEX('Dealer pipeline'!$P$4:$P$503,_calc!$E$424))=0,"",INDEX('Dealer pipeline'!$P$4:$P$503,_calc!$E$424))&amp;". ")&amp;IF(LEN(IF(LEN(INDEX('Dealer pipeline'!$R$4:$R$503,_calc!$E$424))=0,"",INDEX('Dealer pipeline'!$R$4:$R$503,_calc!$E$424)))=0,"","Owner: "&amp;IF(LEN(INDEX('Dealer pipeline'!$R$4:$R$503,_calc!$E$424))=0,"",INDEX('Dealer pipeline'!$R$4:$R$503,_calc!$E$424))&amp;". ")&amp;IF(LEN(IF(LEN(INDEX('Dealer pipeline'!$S$4:$S$503,_calc!$E$424))=0,"",INDEX('Dealer pipeline'!$S$4:$S$503,_calc!$E$424)))=0,"","Backup: "&amp;IF(LEN(INDEX('Dealer pipeline'!$S$4:$S$503,_calc!$E$424))=0,"",INDEX('Dealer pipeline'!$S$4:$S$503,_calc!$E$424))&amp;". ")&amp;IF(LEN(IF(LEN(INDEX('Dealer pipeline'!$T$4:$T$503,_calc!$E$424))=0,"",INDEX('Dealer pipeline'!$T$4:$T$503,_calc!$E$424)))=0,"",IF(LEN(INDEX('Dealer pipeline'!$T$4:$T$503,_calc!$E$424))=0,"",INDEX('Dealer pipeline'!$T$4:$T$503,_calc!$E$424)))),TRIM(IF(LEN(IF(LEN(INDEX('My equipment'!$C$4:$C$503,(_calc!$E$424-500)))=0,"",INDEX('My equipment'!$C$4:$C$503,(_calc!$E$424-500))))=0,"","Model: "&amp;IF(LEN(INDEX('My equipment'!$C$4:$C$503,(_calc!$E$424-500)))=0,"",INDEX('My equipment'!$C$4:$C$503,(_calc!$E$424-500)))&amp;". ")&amp;IF(LEN(IF(LEN(INDEX('My equipment'!$D$4:$D$503,(_calc!$E$424-500)))=0,"",INDEX('My equipment'!$D$4:$D$503,(_calc!$E$424-500))))=0,"","Serial: "&amp;IF(LEN(INDEX('My equipment'!$D$4:$D$503,(_calc!$E$424-500)))=0,"",INDEX('My equipment'!$D$4:$D$503,(_calc!$E$424-500)))&amp;". ")&amp;IF(LEN(IF(ISNUMBER(INDEX('My equipment'!$J$4:$J$503,(_calc!$E$424-500))),TEXT(INDEX('My equipment'!$J$4:$J$503,(_calc!$E$424-500)),"yyyy-mm-dd"),""))=0,"","Parts end: "&amp;IF(ISNUMBER(INDEX('My equipment'!$J$4:$J$503,(_calc!$E$424-500))),TEXT(INDEX('My equipment'!$J$4:$J$503,(_calc!$E$424-500)),"yyyy-mm-dd"),"")&amp;". ")&amp;IF(LEN(IF(ISNUMBER(INDEX('My equipment'!$L$4:$L$503,(_calc!$E$424-500))),TEXT(INDEX('My equipment'!$L$4:$L$503,(_calc!$E$424-500)),"yyyy-mm-dd"),""))=0,"","Labor end: "&amp;IF(ISNUMBER(INDEX('My equipment'!$L$4:$L$503,(_calc!$E$424-500))),TEXT(INDEX('My equipment'!$L$4:$L$503,(_calc!$E$424-500)),"yyyy-mm-dd"),"")&amp;". ")&amp;IF(LEN(IF(ISNUMBER(INDEX('My equipment'!$P$4:$P$503,(_calc!$E$424-500))),TEXT(INDEX('My equipment'!$P$4:$P$503,(_calc!$E$424-500)),"yyyy-mm-dd"),""))=0,"","Check by: "&amp;IF(ISNUMBER(INDEX('My equipment'!$P$4:$P$503,(_calc!$E$424-500))),TEXT(INDEX('My equipment'!$P$4:$P$503,(_calc!$E$424-500)),"yyyy-mm-dd"),"")&amp;". ")&amp;IF(LEN(IF(LEN(INDEX('My equipment'!$Q$4:$Q$503,(_calc!$E$424-500)))=0,"",INDEX('My equipment'!$Q$4:$Q$503,(_calc!$E$424-500))))=0,"","Claim status: "&amp;IF(LEN(INDEX('My equipment'!$Q$4:$Q$503,(_calc!$E$424-500)))=0,"",INDEX('My equipment'!$Q$4:$Q$503,(_calc!$E$424-500)))&amp;". ")&amp;IF(LEN(IF(LEN(INDEX('My equipment'!$R$4:$R$503,(_calc!$E$424-500)))=0,"",INDEX('My equipment'!$R$4:$R$503,(_calc!$E$424-500))))=0,"","Claims contact: "&amp;IF(LEN(INDEX('My equipment'!$R$4:$R$503,(_calc!$E$424-500)))=0,"",INDEX('My equipment'!$R$4:$R$503,(_calc!$E$424-500)))&amp;". ")&amp;IF(LEN(IF(LEN(INDEX('My equipment'!$S$4:$S$503,(_calc!$E$424-500)))=0,"",INDEX('My equipment'!$S$4:$S$503,(_calc!$E$424-500))))=0,"","Claims email: "&amp;IF(LEN(INDEX('My equipment'!$S$4:$S$503,(_calc!$E$424-500)))=0,"",INDEX('My equipment'!$S$4:$S$503,(_calc!$E$424-500)))&amp;". ")&amp;IF(LEN(IF(LEN(INDEX('My equipment'!$U$4:$U$503,(_calc!$E$424-500)))=0,"",INDEX('My equipment'!$U$4:$U$503,(_calc!$E$424-500))))=0,"","Registered: "&amp;IF(LEN(INDEX('My equipment'!$U$4:$U$503,(_calc!$E$424-500)))=0,"",INDEX('My equipment'!$U$4:$U$503,(_calc!$E$424-500)))&amp;". ")&amp;IF(LEN(IF(LEN(INDEX('My equipment'!$V$4:$V$503,(_calc!$E$424-500)))=0,"",INDEX('My equipment'!$V$4:$V$503,(_calc!$E$424-500))))=0,"","Proof on file: "&amp;IF(LEN(INDEX('My equipment'!$V$4:$V$503,(_calc!$E$424-500)))=0,"",INDEX('My equipment'!$V$4:$V$503,(_calc!$E$424-500)))&amp;". ")&amp;IF(LEN(IF(LEN(INDEX('My equipment'!$W$4:$W$503,(_calc!$E$424-500)))=0,"",INDEX('My equipment'!$W$4:$W$503,(_calc!$E$424-500))))=0,"","Claim ref: "&amp;IF(LEN(INDEX('My equipment'!$W$4:$W$503,(_calc!$E$424-500)))=0,"",INDEX('My equipment'!$W$4:$W$503,(_calc!$E$424-500)))&amp;". ")&amp;IF(LEN(IF(LEN(INDEX('My equipment'!$Y$4:$Y$503,(_calc!$E$424-500)))=0,"",INDEX('My equipment'!$Y$4:$Y$503,(_calc!$E$424-500))))=0,"",IF(LEN(INDEX('My equipment'!$Y$4:$Y$503,(_calc!$E$424-500)))=0,"",INDEX('My equipment'!$Y$4:$Y$503,(_calc!$E$424-500)))))))</f>
        <v/>
      </c>
      <c r="G422" s="54">
        <f>IF(_calc!$E$424="","",IF(_calc!$E$424&lt;=500,"",IF(LEN(INDEX('My equipment'!$X$4:$X$503,(_calc!$E$424-500)))=0,"",INDEX('My equipment'!$X$4:$X$503,(_calc!$E$424-500)))))</f>
        <v/>
      </c>
      <c r="K422" s="54">
        <f>IF(_calc!$E$424="","",IF(_calc!$E$424&lt;=500,"",IF(LEN(INDEX('My equipment'!$T$4:$T$503,(_calc!$E$424-500)))=0,"",INDEX('My equipment'!$T$4:$T$503,(_calc!$E$424-500)))))</f>
        <v/>
      </c>
    </row>
    <row r="423">
      <c r="A423" s="54">
        <f>IF(_calc!$E$425="","",IF(_calc!$E$425&lt;=500,"Warranty – "&amp;IF(LEN(INDEX('Dealer pipeline'!$C$4:$C$503,_calc!$E$425))=0,"",INDEX('Dealer pipeline'!$C$4:$C$503,_calc!$E$425))&amp;" – "&amp;IF(LEN(INDEX('Dealer pipeline'!$D$4:$D$503,_calc!$E$425))=0,"",INDEX('Dealer pipeline'!$D$4:$D$503,_calc!$E$425))&amp;" – "&amp;IF(LEN(INDEX('Dealer pipeline'!$A$4:$A$503,_calc!$E$425))=0,"",INDEX('Dealer pipeline'!$A$4:$A$503,_calc!$E$425)),"Warranty – "&amp;IF(LEN(INDEX('My equipment'!$A$4:$A$503,(_calc!$E$425-500)))=0,"",INDEX('My equipment'!$A$4:$A$503,(_calc!$E$425-500)))&amp;" – "&amp;IF(LEN(INDEX('My equipment'!$D$4:$D$503,(_calc!$E$425-500)))=0,"",INDEX('My equipment'!$D$4:$D$503,(_calc!$E$425-500)))))</f>
        <v/>
      </c>
      <c r="B423" s="54">
        <f>IF(_calc!$E$425="","",IF(_calc!$E$425&lt;=500,IF(ISNUMBER(INDEX('Dealer pipeline'!$M$4:$M$503,_calc!$E$425)),TEXT(INDEX('Dealer pipeline'!$M$4:$M$503,_calc!$E$425),"yyyy-mm-dd"),""),IF(ISNUMBER(INDEX('My equipment'!$M$4:$M$503,(_calc!$E$425-500))),TEXT(INDEX('My equipment'!$M$4:$M$503,(_calc!$E$425-500)),"yyyy-mm-dd"),"")))</f>
        <v/>
      </c>
      <c r="C423" s="54">
        <f>IF(_calc!$E$425="","",IF(_calc!$E$425&lt;=500,"Warranty","Warranty"))</f>
        <v/>
      </c>
      <c r="D423" s="54">
        <f>IF(_calc!$E$425="","",IF(_calc!$E$425&lt;=500,IF(ISNUMBER(INDEX('Dealer pipeline'!$H$4:$H$503,_calc!$E$425)),TEXT(INDEX('Dealer pipeline'!$H$4:$H$503,_calc!$E$425),"yyyy-mm-dd"),""),IF(ISNUMBER(INDEX('My equipment'!$H$4:$H$503,(_calc!$E$425-500))),TEXT(INDEX('My equipment'!$H$4:$H$503,(_calc!$E$425-500)),"yyyy-mm-dd"),"")))</f>
        <v/>
      </c>
      <c r="F423" s="54">
        <f>IF(_calc!$E$425="","",IF(_calc!$E$425&lt;=500,TRIM(IF(LEN(IF(LEN(INDEX('Dealer pipeline'!$A$4:$A$503,_calc!$E$425))=0,"",INDEX('Dealer pipeline'!$A$4:$A$503,_calc!$E$425)))=0,"","Customer: "&amp;IF(LEN(INDEX('Dealer pipeline'!$A$4:$A$503,_calc!$E$425))=0,"",INDEX('Dealer pipeline'!$A$4:$A$503,_calc!$E$425))&amp;". ")&amp;IF(LEN(IF(LEN(INDEX('Dealer pipeline'!$B$4:$B$503,_calc!$E$425))=0,"",INDEX('Dealer pipeline'!$B$4:$B$503,_calc!$E$425)))=0,"","Contact: "&amp;IF(LEN(INDEX('Dealer pipeline'!$B$4:$B$503,_calc!$E$425))=0,"",INDEX('Dealer pipeline'!$B$4:$B$503,_calc!$E$425))&amp;". ")&amp;IF(LEN(IF(LEN(INDEX('Dealer pipeline'!$D$4:$D$503,_calc!$E$425))=0,"",INDEX('Dealer pipeline'!$D$4:$D$503,_calc!$E$425)))=0,"","Serial: "&amp;IF(LEN(INDEX('Dealer pipeline'!$D$4:$D$503,_calc!$E$425))=0,"",INDEX('Dealer pipeline'!$D$4:$D$503,_calc!$E$425))&amp;". ")&amp;IF(LEN(IF(ISNUMBER(INDEX('Dealer pipeline'!$J$4:$J$503,_calc!$E$425)),TEXT(INDEX('Dealer pipeline'!$J$4:$J$503,_calc!$E$425),"yyyy-mm-dd"),""))=0,"","Parts end: "&amp;IF(ISNUMBER(INDEX('Dealer pipeline'!$J$4:$J$503,_calc!$E$425)),TEXT(INDEX('Dealer pipeline'!$J$4:$J$503,_calc!$E$425),"yyyy-mm-dd"),"")&amp;". ")&amp;IF(LEN(IF(ISNUMBER(INDEX('Dealer pipeline'!$L$4:$L$503,_calc!$E$425)),TEXT(INDEX('Dealer pipeline'!$L$4:$L$503,_calc!$E$425),"yyyy-mm-dd"),""))=0,"","Labor end: "&amp;IF(ISNUMBER(INDEX('Dealer pipeline'!$L$4:$L$503,_calc!$E$425)),TEXT(INDEX('Dealer pipeline'!$L$4:$L$503,_calc!$E$425),"yyyy-mm-dd"),"")&amp;". ")&amp;IF(LEN(IF(LEN(INDEX('Dealer pipeline'!$Q$4:$Q$503,_calc!$E$425))=0,"",INDEX('Dealer pipeline'!$Q$4:$Q$503,_calc!$E$425)))=0,"","Status: "&amp;IF(LEN(INDEX('Dealer pipeline'!$Q$4:$Q$503,_calc!$E$425))=0,"",INDEX('Dealer pipeline'!$Q$4:$Q$503,_calc!$E$425))&amp;". ")&amp;IF(LEN(IF(LEN(INDEX('Dealer pipeline'!$P$4:$P$503,_calc!$E$425))=0,"",INDEX('Dealer pipeline'!$P$4:$P$503,_calc!$E$425)))=0,"","Last touch: "&amp;IF(LEN(INDEX('Dealer pipeline'!$P$4:$P$503,_calc!$E$425))=0,"",INDEX('Dealer pipeline'!$P$4:$P$503,_calc!$E$425))&amp;". ")&amp;IF(LEN(IF(LEN(INDEX('Dealer pipeline'!$R$4:$R$503,_calc!$E$425))=0,"",INDEX('Dealer pipeline'!$R$4:$R$503,_calc!$E$425)))=0,"","Owner: "&amp;IF(LEN(INDEX('Dealer pipeline'!$R$4:$R$503,_calc!$E$425))=0,"",INDEX('Dealer pipeline'!$R$4:$R$503,_calc!$E$425))&amp;". ")&amp;IF(LEN(IF(LEN(INDEX('Dealer pipeline'!$S$4:$S$503,_calc!$E$425))=0,"",INDEX('Dealer pipeline'!$S$4:$S$503,_calc!$E$425)))=0,"","Backup: "&amp;IF(LEN(INDEX('Dealer pipeline'!$S$4:$S$503,_calc!$E$425))=0,"",INDEX('Dealer pipeline'!$S$4:$S$503,_calc!$E$425))&amp;". ")&amp;IF(LEN(IF(LEN(INDEX('Dealer pipeline'!$T$4:$T$503,_calc!$E$425))=0,"",INDEX('Dealer pipeline'!$T$4:$T$503,_calc!$E$425)))=0,"",IF(LEN(INDEX('Dealer pipeline'!$T$4:$T$503,_calc!$E$425))=0,"",INDEX('Dealer pipeline'!$T$4:$T$503,_calc!$E$425)))),TRIM(IF(LEN(IF(LEN(INDEX('My equipment'!$C$4:$C$503,(_calc!$E$425-500)))=0,"",INDEX('My equipment'!$C$4:$C$503,(_calc!$E$425-500))))=0,"","Model: "&amp;IF(LEN(INDEX('My equipment'!$C$4:$C$503,(_calc!$E$425-500)))=0,"",INDEX('My equipment'!$C$4:$C$503,(_calc!$E$425-500)))&amp;". ")&amp;IF(LEN(IF(LEN(INDEX('My equipment'!$D$4:$D$503,(_calc!$E$425-500)))=0,"",INDEX('My equipment'!$D$4:$D$503,(_calc!$E$425-500))))=0,"","Serial: "&amp;IF(LEN(INDEX('My equipment'!$D$4:$D$503,(_calc!$E$425-500)))=0,"",INDEX('My equipment'!$D$4:$D$503,(_calc!$E$425-500)))&amp;". ")&amp;IF(LEN(IF(ISNUMBER(INDEX('My equipment'!$J$4:$J$503,(_calc!$E$425-500))),TEXT(INDEX('My equipment'!$J$4:$J$503,(_calc!$E$425-500)),"yyyy-mm-dd"),""))=0,"","Parts end: "&amp;IF(ISNUMBER(INDEX('My equipment'!$J$4:$J$503,(_calc!$E$425-500))),TEXT(INDEX('My equipment'!$J$4:$J$503,(_calc!$E$425-500)),"yyyy-mm-dd"),"")&amp;". ")&amp;IF(LEN(IF(ISNUMBER(INDEX('My equipment'!$L$4:$L$503,(_calc!$E$425-500))),TEXT(INDEX('My equipment'!$L$4:$L$503,(_calc!$E$425-500)),"yyyy-mm-dd"),""))=0,"","Labor end: "&amp;IF(ISNUMBER(INDEX('My equipment'!$L$4:$L$503,(_calc!$E$425-500))),TEXT(INDEX('My equipment'!$L$4:$L$503,(_calc!$E$425-500)),"yyyy-mm-dd"),"")&amp;". ")&amp;IF(LEN(IF(ISNUMBER(INDEX('My equipment'!$P$4:$P$503,(_calc!$E$425-500))),TEXT(INDEX('My equipment'!$P$4:$P$503,(_calc!$E$425-500)),"yyyy-mm-dd"),""))=0,"","Check by: "&amp;IF(ISNUMBER(INDEX('My equipment'!$P$4:$P$503,(_calc!$E$425-500))),TEXT(INDEX('My equipment'!$P$4:$P$503,(_calc!$E$425-500)),"yyyy-mm-dd"),"")&amp;". ")&amp;IF(LEN(IF(LEN(INDEX('My equipment'!$Q$4:$Q$503,(_calc!$E$425-500)))=0,"",INDEX('My equipment'!$Q$4:$Q$503,(_calc!$E$425-500))))=0,"","Claim status: "&amp;IF(LEN(INDEX('My equipment'!$Q$4:$Q$503,(_calc!$E$425-500)))=0,"",INDEX('My equipment'!$Q$4:$Q$503,(_calc!$E$425-500)))&amp;". ")&amp;IF(LEN(IF(LEN(INDEX('My equipment'!$R$4:$R$503,(_calc!$E$425-500)))=0,"",INDEX('My equipment'!$R$4:$R$503,(_calc!$E$425-500))))=0,"","Claims contact: "&amp;IF(LEN(INDEX('My equipment'!$R$4:$R$503,(_calc!$E$425-500)))=0,"",INDEX('My equipment'!$R$4:$R$503,(_calc!$E$425-500)))&amp;". ")&amp;IF(LEN(IF(LEN(INDEX('My equipment'!$S$4:$S$503,(_calc!$E$425-500)))=0,"",INDEX('My equipment'!$S$4:$S$503,(_calc!$E$425-500))))=0,"","Claims email: "&amp;IF(LEN(INDEX('My equipment'!$S$4:$S$503,(_calc!$E$425-500)))=0,"",INDEX('My equipment'!$S$4:$S$503,(_calc!$E$425-500)))&amp;". ")&amp;IF(LEN(IF(LEN(INDEX('My equipment'!$U$4:$U$503,(_calc!$E$425-500)))=0,"",INDEX('My equipment'!$U$4:$U$503,(_calc!$E$425-500))))=0,"","Registered: "&amp;IF(LEN(INDEX('My equipment'!$U$4:$U$503,(_calc!$E$425-500)))=0,"",INDEX('My equipment'!$U$4:$U$503,(_calc!$E$425-500)))&amp;". ")&amp;IF(LEN(IF(LEN(INDEX('My equipment'!$V$4:$V$503,(_calc!$E$425-500)))=0,"",INDEX('My equipment'!$V$4:$V$503,(_calc!$E$425-500))))=0,"","Proof on file: "&amp;IF(LEN(INDEX('My equipment'!$V$4:$V$503,(_calc!$E$425-500)))=0,"",INDEX('My equipment'!$V$4:$V$503,(_calc!$E$425-500)))&amp;". ")&amp;IF(LEN(IF(LEN(INDEX('My equipment'!$W$4:$W$503,(_calc!$E$425-500)))=0,"",INDEX('My equipment'!$W$4:$W$503,(_calc!$E$425-500))))=0,"","Claim ref: "&amp;IF(LEN(INDEX('My equipment'!$W$4:$W$503,(_calc!$E$425-500)))=0,"",INDEX('My equipment'!$W$4:$W$503,(_calc!$E$425-500)))&amp;". ")&amp;IF(LEN(IF(LEN(INDEX('My equipment'!$Y$4:$Y$503,(_calc!$E$425-500)))=0,"",INDEX('My equipment'!$Y$4:$Y$503,(_calc!$E$425-500))))=0,"",IF(LEN(INDEX('My equipment'!$Y$4:$Y$503,(_calc!$E$425-500)))=0,"",INDEX('My equipment'!$Y$4:$Y$503,(_calc!$E$425-500)))))))</f>
        <v/>
      </c>
      <c r="G423" s="54">
        <f>IF(_calc!$E$425="","",IF(_calc!$E$425&lt;=500,"",IF(LEN(INDEX('My equipment'!$X$4:$X$503,(_calc!$E$425-500)))=0,"",INDEX('My equipment'!$X$4:$X$503,(_calc!$E$425-500)))))</f>
        <v/>
      </c>
      <c r="K423" s="54">
        <f>IF(_calc!$E$425="","",IF(_calc!$E$425&lt;=500,"",IF(LEN(INDEX('My equipment'!$T$4:$T$503,(_calc!$E$425-500)))=0,"",INDEX('My equipment'!$T$4:$T$503,(_calc!$E$425-500)))))</f>
        <v/>
      </c>
    </row>
    <row r="424">
      <c r="A424" s="54">
        <f>IF(_calc!$E$426="","",IF(_calc!$E$426&lt;=500,"Warranty – "&amp;IF(LEN(INDEX('Dealer pipeline'!$C$4:$C$503,_calc!$E$426))=0,"",INDEX('Dealer pipeline'!$C$4:$C$503,_calc!$E$426))&amp;" – "&amp;IF(LEN(INDEX('Dealer pipeline'!$D$4:$D$503,_calc!$E$426))=0,"",INDEX('Dealer pipeline'!$D$4:$D$503,_calc!$E$426))&amp;" – "&amp;IF(LEN(INDEX('Dealer pipeline'!$A$4:$A$503,_calc!$E$426))=0,"",INDEX('Dealer pipeline'!$A$4:$A$503,_calc!$E$426)),"Warranty – "&amp;IF(LEN(INDEX('My equipment'!$A$4:$A$503,(_calc!$E$426-500)))=0,"",INDEX('My equipment'!$A$4:$A$503,(_calc!$E$426-500)))&amp;" – "&amp;IF(LEN(INDEX('My equipment'!$D$4:$D$503,(_calc!$E$426-500)))=0,"",INDEX('My equipment'!$D$4:$D$503,(_calc!$E$426-500)))))</f>
        <v/>
      </c>
      <c r="B424" s="54">
        <f>IF(_calc!$E$426="","",IF(_calc!$E$426&lt;=500,IF(ISNUMBER(INDEX('Dealer pipeline'!$M$4:$M$503,_calc!$E$426)),TEXT(INDEX('Dealer pipeline'!$M$4:$M$503,_calc!$E$426),"yyyy-mm-dd"),""),IF(ISNUMBER(INDEX('My equipment'!$M$4:$M$503,(_calc!$E$426-500))),TEXT(INDEX('My equipment'!$M$4:$M$503,(_calc!$E$426-500)),"yyyy-mm-dd"),"")))</f>
        <v/>
      </c>
      <c r="C424" s="54">
        <f>IF(_calc!$E$426="","",IF(_calc!$E$426&lt;=500,"Warranty","Warranty"))</f>
        <v/>
      </c>
      <c r="D424" s="54">
        <f>IF(_calc!$E$426="","",IF(_calc!$E$426&lt;=500,IF(ISNUMBER(INDEX('Dealer pipeline'!$H$4:$H$503,_calc!$E$426)),TEXT(INDEX('Dealer pipeline'!$H$4:$H$503,_calc!$E$426),"yyyy-mm-dd"),""),IF(ISNUMBER(INDEX('My equipment'!$H$4:$H$503,(_calc!$E$426-500))),TEXT(INDEX('My equipment'!$H$4:$H$503,(_calc!$E$426-500)),"yyyy-mm-dd"),"")))</f>
        <v/>
      </c>
      <c r="F424" s="54">
        <f>IF(_calc!$E$426="","",IF(_calc!$E$426&lt;=500,TRIM(IF(LEN(IF(LEN(INDEX('Dealer pipeline'!$A$4:$A$503,_calc!$E$426))=0,"",INDEX('Dealer pipeline'!$A$4:$A$503,_calc!$E$426)))=0,"","Customer: "&amp;IF(LEN(INDEX('Dealer pipeline'!$A$4:$A$503,_calc!$E$426))=0,"",INDEX('Dealer pipeline'!$A$4:$A$503,_calc!$E$426))&amp;". ")&amp;IF(LEN(IF(LEN(INDEX('Dealer pipeline'!$B$4:$B$503,_calc!$E$426))=0,"",INDEX('Dealer pipeline'!$B$4:$B$503,_calc!$E$426)))=0,"","Contact: "&amp;IF(LEN(INDEX('Dealer pipeline'!$B$4:$B$503,_calc!$E$426))=0,"",INDEX('Dealer pipeline'!$B$4:$B$503,_calc!$E$426))&amp;". ")&amp;IF(LEN(IF(LEN(INDEX('Dealer pipeline'!$D$4:$D$503,_calc!$E$426))=0,"",INDEX('Dealer pipeline'!$D$4:$D$503,_calc!$E$426)))=0,"","Serial: "&amp;IF(LEN(INDEX('Dealer pipeline'!$D$4:$D$503,_calc!$E$426))=0,"",INDEX('Dealer pipeline'!$D$4:$D$503,_calc!$E$426))&amp;". ")&amp;IF(LEN(IF(ISNUMBER(INDEX('Dealer pipeline'!$J$4:$J$503,_calc!$E$426)),TEXT(INDEX('Dealer pipeline'!$J$4:$J$503,_calc!$E$426),"yyyy-mm-dd"),""))=0,"","Parts end: "&amp;IF(ISNUMBER(INDEX('Dealer pipeline'!$J$4:$J$503,_calc!$E$426)),TEXT(INDEX('Dealer pipeline'!$J$4:$J$503,_calc!$E$426),"yyyy-mm-dd"),"")&amp;". ")&amp;IF(LEN(IF(ISNUMBER(INDEX('Dealer pipeline'!$L$4:$L$503,_calc!$E$426)),TEXT(INDEX('Dealer pipeline'!$L$4:$L$503,_calc!$E$426),"yyyy-mm-dd"),""))=0,"","Labor end: "&amp;IF(ISNUMBER(INDEX('Dealer pipeline'!$L$4:$L$503,_calc!$E$426)),TEXT(INDEX('Dealer pipeline'!$L$4:$L$503,_calc!$E$426),"yyyy-mm-dd"),"")&amp;". ")&amp;IF(LEN(IF(LEN(INDEX('Dealer pipeline'!$Q$4:$Q$503,_calc!$E$426))=0,"",INDEX('Dealer pipeline'!$Q$4:$Q$503,_calc!$E$426)))=0,"","Status: "&amp;IF(LEN(INDEX('Dealer pipeline'!$Q$4:$Q$503,_calc!$E$426))=0,"",INDEX('Dealer pipeline'!$Q$4:$Q$503,_calc!$E$426))&amp;". ")&amp;IF(LEN(IF(LEN(INDEX('Dealer pipeline'!$P$4:$P$503,_calc!$E$426))=0,"",INDEX('Dealer pipeline'!$P$4:$P$503,_calc!$E$426)))=0,"","Last touch: "&amp;IF(LEN(INDEX('Dealer pipeline'!$P$4:$P$503,_calc!$E$426))=0,"",INDEX('Dealer pipeline'!$P$4:$P$503,_calc!$E$426))&amp;". ")&amp;IF(LEN(IF(LEN(INDEX('Dealer pipeline'!$R$4:$R$503,_calc!$E$426))=0,"",INDEX('Dealer pipeline'!$R$4:$R$503,_calc!$E$426)))=0,"","Owner: "&amp;IF(LEN(INDEX('Dealer pipeline'!$R$4:$R$503,_calc!$E$426))=0,"",INDEX('Dealer pipeline'!$R$4:$R$503,_calc!$E$426))&amp;". ")&amp;IF(LEN(IF(LEN(INDEX('Dealer pipeline'!$S$4:$S$503,_calc!$E$426))=0,"",INDEX('Dealer pipeline'!$S$4:$S$503,_calc!$E$426)))=0,"","Backup: "&amp;IF(LEN(INDEX('Dealer pipeline'!$S$4:$S$503,_calc!$E$426))=0,"",INDEX('Dealer pipeline'!$S$4:$S$503,_calc!$E$426))&amp;". ")&amp;IF(LEN(IF(LEN(INDEX('Dealer pipeline'!$T$4:$T$503,_calc!$E$426))=0,"",INDEX('Dealer pipeline'!$T$4:$T$503,_calc!$E$426)))=0,"",IF(LEN(INDEX('Dealer pipeline'!$T$4:$T$503,_calc!$E$426))=0,"",INDEX('Dealer pipeline'!$T$4:$T$503,_calc!$E$426)))),TRIM(IF(LEN(IF(LEN(INDEX('My equipment'!$C$4:$C$503,(_calc!$E$426-500)))=0,"",INDEX('My equipment'!$C$4:$C$503,(_calc!$E$426-500))))=0,"","Model: "&amp;IF(LEN(INDEX('My equipment'!$C$4:$C$503,(_calc!$E$426-500)))=0,"",INDEX('My equipment'!$C$4:$C$503,(_calc!$E$426-500)))&amp;". ")&amp;IF(LEN(IF(LEN(INDEX('My equipment'!$D$4:$D$503,(_calc!$E$426-500)))=0,"",INDEX('My equipment'!$D$4:$D$503,(_calc!$E$426-500))))=0,"","Serial: "&amp;IF(LEN(INDEX('My equipment'!$D$4:$D$503,(_calc!$E$426-500)))=0,"",INDEX('My equipment'!$D$4:$D$503,(_calc!$E$426-500)))&amp;". ")&amp;IF(LEN(IF(ISNUMBER(INDEX('My equipment'!$J$4:$J$503,(_calc!$E$426-500))),TEXT(INDEX('My equipment'!$J$4:$J$503,(_calc!$E$426-500)),"yyyy-mm-dd"),""))=0,"","Parts end: "&amp;IF(ISNUMBER(INDEX('My equipment'!$J$4:$J$503,(_calc!$E$426-500))),TEXT(INDEX('My equipment'!$J$4:$J$503,(_calc!$E$426-500)),"yyyy-mm-dd"),"")&amp;". ")&amp;IF(LEN(IF(ISNUMBER(INDEX('My equipment'!$L$4:$L$503,(_calc!$E$426-500))),TEXT(INDEX('My equipment'!$L$4:$L$503,(_calc!$E$426-500)),"yyyy-mm-dd"),""))=0,"","Labor end: "&amp;IF(ISNUMBER(INDEX('My equipment'!$L$4:$L$503,(_calc!$E$426-500))),TEXT(INDEX('My equipment'!$L$4:$L$503,(_calc!$E$426-500)),"yyyy-mm-dd"),"")&amp;". ")&amp;IF(LEN(IF(ISNUMBER(INDEX('My equipment'!$P$4:$P$503,(_calc!$E$426-500))),TEXT(INDEX('My equipment'!$P$4:$P$503,(_calc!$E$426-500)),"yyyy-mm-dd"),""))=0,"","Check by: "&amp;IF(ISNUMBER(INDEX('My equipment'!$P$4:$P$503,(_calc!$E$426-500))),TEXT(INDEX('My equipment'!$P$4:$P$503,(_calc!$E$426-500)),"yyyy-mm-dd"),"")&amp;". ")&amp;IF(LEN(IF(LEN(INDEX('My equipment'!$Q$4:$Q$503,(_calc!$E$426-500)))=0,"",INDEX('My equipment'!$Q$4:$Q$503,(_calc!$E$426-500))))=0,"","Claim status: "&amp;IF(LEN(INDEX('My equipment'!$Q$4:$Q$503,(_calc!$E$426-500)))=0,"",INDEX('My equipment'!$Q$4:$Q$503,(_calc!$E$426-500)))&amp;". ")&amp;IF(LEN(IF(LEN(INDEX('My equipment'!$R$4:$R$503,(_calc!$E$426-500)))=0,"",INDEX('My equipment'!$R$4:$R$503,(_calc!$E$426-500))))=0,"","Claims contact: "&amp;IF(LEN(INDEX('My equipment'!$R$4:$R$503,(_calc!$E$426-500)))=0,"",INDEX('My equipment'!$R$4:$R$503,(_calc!$E$426-500)))&amp;". ")&amp;IF(LEN(IF(LEN(INDEX('My equipment'!$S$4:$S$503,(_calc!$E$426-500)))=0,"",INDEX('My equipment'!$S$4:$S$503,(_calc!$E$426-500))))=0,"","Claims email: "&amp;IF(LEN(INDEX('My equipment'!$S$4:$S$503,(_calc!$E$426-500)))=0,"",INDEX('My equipment'!$S$4:$S$503,(_calc!$E$426-500)))&amp;". ")&amp;IF(LEN(IF(LEN(INDEX('My equipment'!$U$4:$U$503,(_calc!$E$426-500)))=0,"",INDEX('My equipment'!$U$4:$U$503,(_calc!$E$426-500))))=0,"","Registered: "&amp;IF(LEN(INDEX('My equipment'!$U$4:$U$503,(_calc!$E$426-500)))=0,"",INDEX('My equipment'!$U$4:$U$503,(_calc!$E$426-500)))&amp;". ")&amp;IF(LEN(IF(LEN(INDEX('My equipment'!$V$4:$V$503,(_calc!$E$426-500)))=0,"",INDEX('My equipment'!$V$4:$V$503,(_calc!$E$426-500))))=0,"","Proof on file: "&amp;IF(LEN(INDEX('My equipment'!$V$4:$V$503,(_calc!$E$426-500)))=0,"",INDEX('My equipment'!$V$4:$V$503,(_calc!$E$426-500)))&amp;". ")&amp;IF(LEN(IF(LEN(INDEX('My equipment'!$W$4:$W$503,(_calc!$E$426-500)))=0,"",INDEX('My equipment'!$W$4:$W$503,(_calc!$E$426-500))))=0,"","Claim ref: "&amp;IF(LEN(INDEX('My equipment'!$W$4:$W$503,(_calc!$E$426-500)))=0,"",INDEX('My equipment'!$W$4:$W$503,(_calc!$E$426-500)))&amp;". ")&amp;IF(LEN(IF(LEN(INDEX('My equipment'!$Y$4:$Y$503,(_calc!$E$426-500)))=0,"",INDEX('My equipment'!$Y$4:$Y$503,(_calc!$E$426-500))))=0,"",IF(LEN(INDEX('My equipment'!$Y$4:$Y$503,(_calc!$E$426-500)))=0,"",INDEX('My equipment'!$Y$4:$Y$503,(_calc!$E$426-500)))))))</f>
        <v/>
      </c>
      <c r="G424" s="54">
        <f>IF(_calc!$E$426="","",IF(_calc!$E$426&lt;=500,"",IF(LEN(INDEX('My equipment'!$X$4:$X$503,(_calc!$E$426-500)))=0,"",INDEX('My equipment'!$X$4:$X$503,(_calc!$E$426-500)))))</f>
        <v/>
      </c>
      <c r="K424" s="54">
        <f>IF(_calc!$E$426="","",IF(_calc!$E$426&lt;=500,"",IF(LEN(INDEX('My equipment'!$T$4:$T$503,(_calc!$E$426-500)))=0,"",INDEX('My equipment'!$T$4:$T$503,(_calc!$E$426-500)))))</f>
        <v/>
      </c>
    </row>
    <row r="425">
      <c r="A425" s="54">
        <f>IF(_calc!$E$427="","",IF(_calc!$E$427&lt;=500,"Warranty – "&amp;IF(LEN(INDEX('Dealer pipeline'!$C$4:$C$503,_calc!$E$427))=0,"",INDEX('Dealer pipeline'!$C$4:$C$503,_calc!$E$427))&amp;" – "&amp;IF(LEN(INDEX('Dealer pipeline'!$D$4:$D$503,_calc!$E$427))=0,"",INDEX('Dealer pipeline'!$D$4:$D$503,_calc!$E$427))&amp;" – "&amp;IF(LEN(INDEX('Dealer pipeline'!$A$4:$A$503,_calc!$E$427))=0,"",INDEX('Dealer pipeline'!$A$4:$A$503,_calc!$E$427)),"Warranty – "&amp;IF(LEN(INDEX('My equipment'!$A$4:$A$503,(_calc!$E$427-500)))=0,"",INDEX('My equipment'!$A$4:$A$503,(_calc!$E$427-500)))&amp;" – "&amp;IF(LEN(INDEX('My equipment'!$D$4:$D$503,(_calc!$E$427-500)))=0,"",INDEX('My equipment'!$D$4:$D$503,(_calc!$E$427-500)))))</f>
        <v/>
      </c>
      <c r="B425" s="54">
        <f>IF(_calc!$E$427="","",IF(_calc!$E$427&lt;=500,IF(ISNUMBER(INDEX('Dealer pipeline'!$M$4:$M$503,_calc!$E$427)),TEXT(INDEX('Dealer pipeline'!$M$4:$M$503,_calc!$E$427),"yyyy-mm-dd"),""),IF(ISNUMBER(INDEX('My equipment'!$M$4:$M$503,(_calc!$E$427-500))),TEXT(INDEX('My equipment'!$M$4:$M$503,(_calc!$E$427-500)),"yyyy-mm-dd"),"")))</f>
        <v/>
      </c>
      <c r="C425" s="54">
        <f>IF(_calc!$E$427="","",IF(_calc!$E$427&lt;=500,"Warranty","Warranty"))</f>
        <v/>
      </c>
      <c r="D425" s="54">
        <f>IF(_calc!$E$427="","",IF(_calc!$E$427&lt;=500,IF(ISNUMBER(INDEX('Dealer pipeline'!$H$4:$H$503,_calc!$E$427)),TEXT(INDEX('Dealer pipeline'!$H$4:$H$503,_calc!$E$427),"yyyy-mm-dd"),""),IF(ISNUMBER(INDEX('My equipment'!$H$4:$H$503,(_calc!$E$427-500))),TEXT(INDEX('My equipment'!$H$4:$H$503,(_calc!$E$427-500)),"yyyy-mm-dd"),"")))</f>
        <v/>
      </c>
      <c r="F425" s="54">
        <f>IF(_calc!$E$427="","",IF(_calc!$E$427&lt;=500,TRIM(IF(LEN(IF(LEN(INDEX('Dealer pipeline'!$A$4:$A$503,_calc!$E$427))=0,"",INDEX('Dealer pipeline'!$A$4:$A$503,_calc!$E$427)))=0,"","Customer: "&amp;IF(LEN(INDEX('Dealer pipeline'!$A$4:$A$503,_calc!$E$427))=0,"",INDEX('Dealer pipeline'!$A$4:$A$503,_calc!$E$427))&amp;". ")&amp;IF(LEN(IF(LEN(INDEX('Dealer pipeline'!$B$4:$B$503,_calc!$E$427))=0,"",INDEX('Dealer pipeline'!$B$4:$B$503,_calc!$E$427)))=0,"","Contact: "&amp;IF(LEN(INDEX('Dealer pipeline'!$B$4:$B$503,_calc!$E$427))=0,"",INDEX('Dealer pipeline'!$B$4:$B$503,_calc!$E$427))&amp;". ")&amp;IF(LEN(IF(LEN(INDEX('Dealer pipeline'!$D$4:$D$503,_calc!$E$427))=0,"",INDEX('Dealer pipeline'!$D$4:$D$503,_calc!$E$427)))=0,"","Serial: "&amp;IF(LEN(INDEX('Dealer pipeline'!$D$4:$D$503,_calc!$E$427))=0,"",INDEX('Dealer pipeline'!$D$4:$D$503,_calc!$E$427))&amp;". ")&amp;IF(LEN(IF(ISNUMBER(INDEX('Dealer pipeline'!$J$4:$J$503,_calc!$E$427)),TEXT(INDEX('Dealer pipeline'!$J$4:$J$503,_calc!$E$427),"yyyy-mm-dd"),""))=0,"","Parts end: "&amp;IF(ISNUMBER(INDEX('Dealer pipeline'!$J$4:$J$503,_calc!$E$427)),TEXT(INDEX('Dealer pipeline'!$J$4:$J$503,_calc!$E$427),"yyyy-mm-dd"),"")&amp;". ")&amp;IF(LEN(IF(ISNUMBER(INDEX('Dealer pipeline'!$L$4:$L$503,_calc!$E$427)),TEXT(INDEX('Dealer pipeline'!$L$4:$L$503,_calc!$E$427),"yyyy-mm-dd"),""))=0,"","Labor end: "&amp;IF(ISNUMBER(INDEX('Dealer pipeline'!$L$4:$L$503,_calc!$E$427)),TEXT(INDEX('Dealer pipeline'!$L$4:$L$503,_calc!$E$427),"yyyy-mm-dd"),"")&amp;". ")&amp;IF(LEN(IF(LEN(INDEX('Dealer pipeline'!$Q$4:$Q$503,_calc!$E$427))=0,"",INDEX('Dealer pipeline'!$Q$4:$Q$503,_calc!$E$427)))=0,"","Status: "&amp;IF(LEN(INDEX('Dealer pipeline'!$Q$4:$Q$503,_calc!$E$427))=0,"",INDEX('Dealer pipeline'!$Q$4:$Q$503,_calc!$E$427))&amp;". ")&amp;IF(LEN(IF(LEN(INDEX('Dealer pipeline'!$P$4:$P$503,_calc!$E$427))=0,"",INDEX('Dealer pipeline'!$P$4:$P$503,_calc!$E$427)))=0,"","Last touch: "&amp;IF(LEN(INDEX('Dealer pipeline'!$P$4:$P$503,_calc!$E$427))=0,"",INDEX('Dealer pipeline'!$P$4:$P$503,_calc!$E$427))&amp;". ")&amp;IF(LEN(IF(LEN(INDEX('Dealer pipeline'!$R$4:$R$503,_calc!$E$427))=0,"",INDEX('Dealer pipeline'!$R$4:$R$503,_calc!$E$427)))=0,"","Owner: "&amp;IF(LEN(INDEX('Dealer pipeline'!$R$4:$R$503,_calc!$E$427))=0,"",INDEX('Dealer pipeline'!$R$4:$R$503,_calc!$E$427))&amp;". ")&amp;IF(LEN(IF(LEN(INDEX('Dealer pipeline'!$S$4:$S$503,_calc!$E$427))=0,"",INDEX('Dealer pipeline'!$S$4:$S$503,_calc!$E$427)))=0,"","Backup: "&amp;IF(LEN(INDEX('Dealer pipeline'!$S$4:$S$503,_calc!$E$427))=0,"",INDEX('Dealer pipeline'!$S$4:$S$503,_calc!$E$427))&amp;". ")&amp;IF(LEN(IF(LEN(INDEX('Dealer pipeline'!$T$4:$T$503,_calc!$E$427))=0,"",INDEX('Dealer pipeline'!$T$4:$T$503,_calc!$E$427)))=0,"",IF(LEN(INDEX('Dealer pipeline'!$T$4:$T$503,_calc!$E$427))=0,"",INDEX('Dealer pipeline'!$T$4:$T$503,_calc!$E$427)))),TRIM(IF(LEN(IF(LEN(INDEX('My equipment'!$C$4:$C$503,(_calc!$E$427-500)))=0,"",INDEX('My equipment'!$C$4:$C$503,(_calc!$E$427-500))))=0,"","Model: "&amp;IF(LEN(INDEX('My equipment'!$C$4:$C$503,(_calc!$E$427-500)))=0,"",INDEX('My equipment'!$C$4:$C$503,(_calc!$E$427-500)))&amp;". ")&amp;IF(LEN(IF(LEN(INDEX('My equipment'!$D$4:$D$503,(_calc!$E$427-500)))=0,"",INDEX('My equipment'!$D$4:$D$503,(_calc!$E$427-500))))=0,"","Serial: "&amp;IF(LEN(INDEX('My equipment'!$D$4:$D$503,(_calc!$E$427-500)))=0,"",INDEX('My equipment'!$D$4:$D$503,(_calc!$E$427-500)))&amp;". ")&amp;IF(LEN(IF(ISNUMBER(INDEX('My equipment'!$J$4:$J$503,(_calc!$E$427-500))),TEXT(INDEX('My equipment'!$J$4:$J$503,(_calc!$E$427-500)),"yyyy-mm-dd"),""))=0,"","Parts end: "&amp;IF(ISNUMBER(INDEX('My equipment'!$J$4:$J$503,(_calc!$E$427-500))),TEXT(INDEX('My equipment'!$J$4:$J$503,(_calc!$E$427-500)),"yyyy-mm-dd"),"")&amp;". ")&amp;IF(LEN(IF(ISNUMBER(INDEX('My equipment'!$L$4:$L$503,(_calc!$E$427-500))),TEXT(INDEX('My equipment'!$L$4:$L$503,(_calc!$E$427-500)),"yyyy-mm-dd"),""))=0,"","Labor end: "&amp;IF(ISNUMBER(INDEX('My equipment'!$L$4:$L$503,(_calc!$E$427-500))),TEXT(INDEX('My equipment'!$L$4:$L$503,(_calc!$E$427-500)),"yyyy-mm-dd"),"")&amp;". ")&amp;IF(LEN(IF(ISNUMBER(INDEX('My equipment'!$P$4:$P$503,(_calc!$E$427-500))),TEXT(INDEX('My equipment'!$P$4:$P$503,(_calc!$E$427-500)),"yyyy-mm-dd"),""))=0,"","Check by: "&amp;IF(ISNUMBER(INDEX('My equipment'!$P$4:$P$503,(_calc!$E$427-500))),TEXT(INDEX('My equipment'!$P$4:$P$503,(_calc!$E$427-500)),"yyyy-mm-dd"),"")&amp;". ")&amp;IF(LEN(IF(LEN(INDEX('My equipment'!$Q$4:$Q$503,(_calc!$E$427-500)))=0,"",INDEX('My equipment'!$Q$4:$Q$503,(_calc!$E$427-500))))=0,"","Claim status: "&amp;IF(LEN(INDEX('My equipment'!$Q$4:$Q$503,(_calc!$E$427-500)))=0,"",INDEX('My equipment'!$Q$4:$Q$503,(_calc!$E$427-500)))&amp;". ")&amp;IF(LEN(IF(LEN(INDEX('My equipment'!$R$4:$R$503,(_calc!$E$427-500)))=0,"",INDEX('My equipment'!$R$4:$R$503,(_calc!$E$427-500))))=0,"","Claims contact: "&amp;IF(LEN(INDEX('My equipment'!$R$4:$R$503,(_calc!$E$427-500)))=0,"",INDEX('My equipment'!$R$4:$R$503,(_calc!$E$427-500)))&amp;". ")&amp;IF(LEN(IF(LEN(INDEX('My equipment'!$S$4:$S$503,(_calc!$E$427-500)))=0,"",INDEX('My equipment'!$S$4:$S$503,(_calc!$E$427-500))))=0,"","Claims email: "&amp;IF(LEN(INDEX('My equipment'!$S$4:$S$503,(_calc!$E$427-500)))=0,"",INDEX('My equipment'!$S$4:$S$503,(_calc!$E$427-500)))&amp;". ")&amp;IF(LEN(IF(LEN(INDEX('My equipment'!$U$4:$U$503,(_calc!$E$427-500)))=0,"",INDEX('My equipment'!$U$4:$U$503,(_calc!$E$427-500))))=0,"","Registered: "&amp;IF(LEN(INDEX('My equipment'!$U$4:$U$503,(_calc!$E$427-500)))=0,"",INDEX('My equipment'!$U$4:$U$503,(_calc!$E$427-500)))&amp;". ")&amp;IF(LEN(IF(LEN(INDEX('My equipment'!$V$4:$V$503,(_calc!$E$427-500)))=0,"",INDEX('My equipment'!$V$4:$V$503,(_calc!$E$427-500))))=0,"","Proof on file: "&amp;IF(LEN(INDEX('My equipment'!$V$4:$V$503,(_calc!$E$427-500)))=0,"",INDEX('My equipment'!$V$4:$V$503,(_calc!$E$427-500)))&amp;". ")&amp;IF(LEN(IF(LEN(INDEX('My equipment'!$W$4:$W$503,(_calc!$E$427-500)))=0,"",INDEX('My equipment'!$W$4:$W$503,(_calc!$E$427-500))))=0,"","Claim ref: "&amp;IF(LEN(INDEX('My equipment'!$W$4:$W$503,(_calc!$E$427-500)))=0,"",INDEX('My equipment'!$W$4:$W$503,(_calc!$E$427-500)))&amp;". ")&amp;IF(LEN(IF(LEN(INDEX('My equipment'!$Y$4:$Y$503,(_calc!$E$427-500)))=0,"",INDEX('My equipment'!$Y$4:$Y$503,(_calc!$E$427-500))))=0,"",IF(LEN(INDEX('My equipment'!$Y$4:$Y$503,(_calc!$E$427-500)))=0,"",INDEX('My equipment'!$Y$4:$Y$503,(_calc!$E$427-500)))))))</f>
        <v/>
      </c>
      <c r="G425" s="54">
        <f>IF(_calc!$E$427="","",IF(_calc!$E$427&lt;=500,"",IF(LEN(INDEX('My equipment'!$X$4:$X$503,(_calc!$E$427-500)))=0,"",INDEX('My equipment'!$X$4:$X$503,(_calc!$E$427-500)))))</f>
        <v/>
      </c>
      <c r="K425" s="54">
        <f>IF(_calc!$E$427="","",IF(_calc!$E$427&lt;=500,"",IF(LEN(INDEX('My equipment'!$T$4:$T$503,(_calc!$E$427-500)))=0,"",INDEX('My equipment'!$T$4:$T$503,(_calc!$E$427-500)))))</f>
        <v/>
      </c>
    </row>
    <row r="426">
      <c r="A426" s="54">
        <f>IF(_calc!$E$428="","",IF(_calc!$E$428&lt;=500,"Warranty – "&amp;IF(LEN(INDEX('Dealer pipeline'!$C$4:$C$503,_calc!$E$428))=0,"",INDEX('Dealer pipeline'!$C$4:$C$503,_calc!$E$428))&amp;" – "&amp;IF(LEN(INDEX('Dealer pipeline'!$D$4:$D$503,_calc!$E$428))=0,"",INDEX('Dealer pipeline'!$D$4:$D$503,_calc!$E$428))&amp;" – "&amp;IF(LEN(INDEX('Dealer pipeline'!$A$4:$A$503,_calc!$E$428))=0,"",INDEX('Dealer pipeline'!$A$4:$A$503,_calc!$E$428)),"Warranty – "&amp;IF(LEN(INDEX('My equipment'!$A$4:$A$503,(_calc!$E$428-500)))=0,"",INDEX('My equipment'!$A$4:$A$503,(_calc!$E$428-500)))&amp;" – "&amp;IF(LEN(INDEX('My equipment'!$D$4:$D$503,(_calc!$E$428-500)))=0,"",INDEX('My equipment'!$D$4:$D$503,(_calc!$E$428-500)))))</f>
        <v/>
      </c>
      <c r="B426" s="54">
        <f>IF(_calc!$E$428="","",IF(_calc!$E$428&lt;=500,IF(ISNUMBER(INDEX('Dealer pipeline'!$M$4:$M$503,_calc!$E$428)),TEXT(INDEX('Dealer pipeline'!$M$4:$M$503,_calc!$E$428),"yyyy-mm-dd"),""),IF(ISNUMBER(INDEX('My equipment'!$M$4:$M$503,(_calc!$E$428-500))),TEXT(INDEX('My equipment'!$M$4:$M$503,(_calc!$E$428-500)),"yyyy-mm-dd"),"")))</f>
        <v/>
      </c>
      <c r="C426" s="54">
        <f>IF(_calc!$E$428="","",IF(_calc!$E$428&lt;=500,"Warranty","Warranty"))</f>
        <v/>
      </c>
      <c r="D426" s="54">
        <f>IF(_calc!$E$428="","",IF(_calc!$E$428&lt;=500,IF(ISNUMBER(INDEX('Dealer pipeline'!$H$4:$H$503,_calc!$E$428)),TEXT(INDEX('Dealer pipeline'!$H$4:$H$503,_calc!$E$428),"yyyy-mm-dd"),""),IF(ISNUMBER(INDEX('My equipment'!$H$4:$H$503,(_calc!$E$428-500))),TEXT(INDEX('My equipment'!$H$4:$H$503,(_calc!$E$428-500)),"yyyy-mm-dd"),"")))</f>
        <v/>
      </c>
      <c r="F426" s="54">
        <f>IF(_calc!$E$428="","",IF(_calc!$E$428&lt;=500,TRIM(IF(LEN(IF(LEN(INDEX('Dealer pipeline'!$A$4:$A$503,_calc!$E$428))=0,"",INDEX('Dealer pipeline'!$A$4:$A$503,_calc!$E$428)))=0,"","Customer: "&amp;IF(LEN(INDEX('Dealer pipeline'!$A$4:$A$503,_calc!$E$428))=0,"",INDEX('Dealer pipeline'!$A$4:$A$503,_calc!$E$428))&amp;". ")&amp;IF(LEN(IF(LEN(INDEX('Dealer pipeline'!$B$4:$B$503,_calc!$E$428))=0,"",INDEX('Dealer pipeline'!$B$4:$B$503,_calc!$E$428)))=0,"","Contact: "&amp;IF(LEN(INDEX('Dealer pipeline'!$B$4:$B$503,_calc!$E$428))=0,"",INDEX('Dealer pipeline'!$B$4:$B$503,_calc!$E$428))&amp;". ")&amp;IF(LEN(IF(LEN(INDEX('Dealer pipeline'!$D$4:$D$503,_calc!$E$428))=0,"",INDEX('Dealer pipeline'!$D$4:$D$503,_calc!$E$428)))=0,"","Serial: "&amp;IF(LEN(INDEX('Dealer pipeline'!$D$4:$D$503,_calc!$E$428))=0,"",INDEX('Dealer pipeline'!$D$4:$D$503,_calc!$E$428))&amp;". ")&amp;IF(LEN(IF(ISNUMBER(INDEX('Dealer pipeline'!$J$4:$J$503,_calc!$E$428)),TEXT(INDEX('Dealer pipeline'!$J$4:$J$503,_calc!$E$428),"yyyy-mm-dd"),""))=0,"","Parts end: "&amp;IF(ISNUMBER(INDEX('Dealer pipeline'!$J$4:$J$503,_calc!$E$428)),TEXT(INDEX('Dealer pipeline'!$J$4:$J$503,_calc!$E$428),"yyyy-mm-dd"),"")&amp;". ")&amp;IF(LEN(IF(ISNUMBER(INDEX('Dealer pipeline'!$L$4:$L$503,_calc!$E$428)),TEXT(INDEX('Dealer pipeline'!$L$4:$L$503,_calc!$E$428),"yyyy-mm-dd"),""))=0,"","Labor end: "&amp;IF(ISNUMBER(INDEX('Dealer pipeline'!$L$4:$L$503,_calc!$E$428)),TEXT(INDEX('Dealer pipeline'!$L$4:$L$503,_calc!$E$428),"yyyy-mm-dd"),"")&amp;". ")&amp;IF(LEN(IF(LEN(INDEX('Dealer pipeline'!$Q$4:$Q$503,_calc!$E$428))=0,"",INDEX('Dealer pipeline'!$Q$4:$Q$503,_calc!$E$428)))=0,"","Status: "&amp;IF(LEN(INDEX('Dealer pipeline'!$Q$4:$Q$503,_calc!$E$428))=0,"",INDEX('Dealer pipeline'!$Q$4:$Q$503,_calc!$E$428))&amp;". ")&amp;IF(LEN(IF(LEN(INDEX('Dealer pipeline'!$P$4:$P$503,_calc!$E$428))=0,"",INDEX('Dealer pipeline'!$P$4:$P$503,_calc!$E$428)))=0,"","Last touch: "&amp;IF(LEN(INDEX('Dealer pipeline'!$P$4:$P$503,_calc!$E$428))=0,"",INDEX('Dealer pipeline'!$P$4:$P$503,_calc!$E$428))&amp;". ")&amp;IF(LEN(IF(LEN(INDEX('Dealer pipeline'!$R$4:$R$503,_calc!$E$428))=0,"",INDEX('Dealer pipeline'!$R$4:$R$503,_calc!$E$428)))=0,"","Owner: "&amp;IF(LEN(INDEX('Dealer pipeline'!$R$4:$R$503,_calc!$E$428))=0,"",INDEX('Dealer pipeline'!$R$4:$R$503,_calc!$E$428))&amp;". ")&amp;IF(LEN(IF(LEN(INDEX('Dealer pipeline'!$S$4:$S$503,_calc!$E$428))=0,"",INDEX('Dealer pipeline'!$S$4:$S$503,_calc!$E$428)))=0,"","Backup: "&amp;IF(LEN(INDEX('Dealer pipeline'!$S$4:$S$503,_calc!$E$428))=0,"",INDEX('Dealer pipeline'!$S$4:$S$503,_calc!$E$428))&amp;". ")&amp;IF(LEN(IF(LEN(INDEX('Dealer pipeline'!$T$4:$T$503,_calc!$E$428))=0,"",INDEX('Dealer pipeline'!$T$4:$T$503,_calc!$E$428)))=0,"",IF(LEN(INDEX('Dealer pipeline'!$T$4:$T$503,_calc!$E$428))=0,"",INDEX('Dealer pipeline'!$T$4:$T$503,_calc!$E$428)))),TRIM(IF(LEN(IF(LEN(INDEX('My equipment'!$C$4:$C$503,(_calc!$E$428-500)))=0,"",INDEX('My equipment'!$C$4:$C$503,(_calc!$E$428-500))))=0,"","Model: "&amp;IF(LEN(INDEX('My equipment'!$C$4:$C$503,(_calc!$E$428-500)))=0,"",INDEX('My equipment'!$C$4:$C$503,(_calc!$E$428-500)))&amp;". ")&amp;IF(LEN(IF(LEN(INDEX('My equipment'!$D$4:$D$503,(_calc!$E$428-500)))=0,"",INDEX('My equipment'!$D$4:$D$503,(_calc!$E$428-500))))=0,"","Serial: "&amp;IF(LEN(INDEX('My equipment'!$D$4:$D$503,(_calc!$E$428-500)))=0,"",INDEX('My equipment'!$D$4:$D$503,(_calc!$E$428-500)))&amp;". ")&amp;IF(LEN(IF(ISNUMBER(INDEX('My equipment'!$J$4:$J$503,(_calc!$E$428-500))),TEXT(INDEX('My equipment'!$J$4:$J$503,(_calc!$E$428-500)),"yyyy-mm-dd"),""))=0,"","Parts end: "&amp;IF(ISNUMBER(INDEX('My equipment'!$J$4:$J$503,(_calc!$E$428-500))),TEXT(INDEX('My equipment'!$J$4:$J$503,(_calc!$E$428-500)),"yyyy-mm-dd"),"")&amp;". ")&amp;IF(LEN(IF(ISNUMBER(INDEX('My equipment'!$L$4:$L$503,(_calc!$E$428-500))),TEXT(INDEX('My equipment'!$L$4:$L$503,(_calc!$E$428-500)),"yyyy-mm-dd"),""))=0,"","Labor end: "&amp;IF(ISNUMBER(INDEX('My equipment'!$L$4:$L$503,(_calc!$E$428-500))),TEXT(INDEX('My equipment'!$L$4:$L$503,(_calc!$E$428-500)),"yyyy-mm-dd"),"")&amp;". ")&amp;IF(LEN(IF(ISNUMBER(INDEX('My equipment'!$P$4:$P$503,(_calc!$E$428-500))),TEXT(INDEX('My equipment'!$P$4:$P$503,(_calc!$E$428-500)),"yyyy-mm-dd"),""))=0,"","Check by: "&amp;IF(ISNUMBER(INDEX('My equipment'!$P$4:$P$503,(_calc!$E$428-500))),TEXT(INDEX('My equipment'!$P$4:$P$503,(_calc!$E$428-500)),"yyyy-mm-dd"),"")&amp;". ")&amp;IF(LEN(IF(LEN(INDEX('My equipment'!$Q$4:$Q$503,(_calc!$E$428-500)))=0,"",INDEX('My equipment'!$Q$4:$Q$503,(_calc!$E$428-500))))=0,"","Claim status: "&amp;IF(LEN(INDEX('My equipment'!$Q$4:$Q$503,(_calc!$E$428-500)))=0,"",INDEX('My equipment'!$Q$4:$Q$503,(_calc!$E$428-500)))&amp;". ")&amp;IF(LEN(IF(LEN(INDEX('My equipment'!$R$4:$R$503,(_calc!$E$428-500)))=0,"",INDEX('My equipment'!$R$4:$R$503,(_calc!$E$428-500))))=0,"","Claims contact: "&amp;IF(LEN(INDEX('My equipment'!$R$4:$R$503,(_calc!$E$428-500)))=0,"",INDEX('My equipment'!$R$4:$R$503,(_calc!$E$428-500)))&amp;". ")&amp;IF(LEN(IF(LEN(INDEX('My equipment'!$S$4:$S$503,(_calc!$E$428-500)))=0,"",INDEX('My equipment'!$S$4:$S$503,(_calc!$E$428-500))))=0,"","Claims email: "&amp;IF(LEN(INDEX('My equipment'!$S$4:$S$503,(_calc!$E$428-500)))=0,"",INDEX('My equipment'!$S$4:$S$503,(_calc!$E$428-500)))&amp;". ")&amp;IF(LEN(IF(LEN(INDEX('My equipment'!$U$4:$U$503,(_calc!$E$428-500)))=0,"",INDEX('My equipment'!$U$4:$U$503,(_calc!$E$428-500))))=0,"","Registered: "&amp;IF(LEN(INDEX('My equipment'!$U$4:$U$503,(_calc!$E$428-500)))=0,"",INDEX('My equipment'!$U$4:$U$503,(_calc!$E$428-500)))&amp;". ")&amp;IF(LEN(IF(LEN(INDEX('My equipment'!$V$4:$V$503,(_calc!$E$428-500)))=0,"",INDEX('My equipment'!$V$4:$V$503,(_calc!$E$428-500))))=0,"","Proof on file: "&amp;IF(LEN(INDEX('My equipment'!$V$4:$V$503,(_calc!$E$428-500)))=0,"",INDEX('My equipment'!$V$4:$V$503,(_calc!$E$428-500)))&amp;". ")&amp;IF(LEN(IF(LEN(INDEX('My equipment'!$W$4:$W$503,(_calc!$E$428-500)))=0,"",INDEX('My equipment'!$W$4:$W$503,(_calc!$E$428-500))))=0,"","Claim ref: "&amp;IF(LEN(INDEX('My equipment'!$W$4:$W$503,(_calc!$E$428-500)))=0,"",INDEX('My equipment'!$W$4:$W$503,(_calc!$E$428-500)))&amp;". ")&amp;IF(LEN(IF(LEN(INDEX('My equipment'!$Y$4:$Y$503,(_calc!$E$428-500)))=0,"",INDEX('My equipment'!$Y$4:$Y$503,(_calc!$E$428-500))))=0,"",IF(LEN(INDEX('My equipment'!$Y$4:$Y$503,(_calc!$E$428-500)))=0,"",INDEX('My equipment'!$Y$4:$Y$503,(_calc!$E$428-500)))))))</f>
        <v/>
      </c>
      <c r="G426" s="54">
        <f>IF(_calc!$E$428="","",IF(_calc!$E$428&lt;=500,"",IF(LEN(INDEX('My equipment'!$X$4:$X$503,(_calc!$E$428-500)))=0,"",INDEX('My equipment'!$X$4:$X$503,(_calc!$E$428-500)))))</f>
        <v/>
      </c>
      <c r="K426" s="54">
        <f>IF(_calc!$E$428="","",IF(_calc!$E$428&lt;=500,"",IF(LEN(INDEX('My equipment'!$T$4:$T$503,(_calc!$E$428-500)))=0,"",INDEX('My equipment'!$T$4:$T$503,(_calc!$E$428-500)))))</f>
        <v/>
      </c>
    </row>
    <row r="427">
      <c r="A427" s="54">
        <f>IF(_calc!$E$429="","",IF(_calc!$E$429&lt;=500,"Warranty – "&amp;IF(LEN(INDEX('Dealer pipeline'!$C$4:$C$503,_calc!$E$429))=0,"",INDEX('Dealer pipeline'!$C$4:$C$503,_calc!$E$429))&amp;" – "&amp;IF(LEN(INDEX('Dealer pipeline'!$D$4:$D$503,_calc!$E$429))=0,"",INDEX('Dealer pipeline'!$D$4:$D$503,_calc!$E$429))&amp;" – "&amp;IF(LEN(INDEX('Dealer pipeline'!$A$4:$A$503,_calc!$E$429))=0,"",INDEX('Dealer pipeline'!$A$4:$A$503,_calc!$E$429)),"Warranty – "&amp;IF(LEN(INDEX('My equipment'!$A$4:$A$503,(_calc!$E$429-500)))=0,"",INDEX('My equipment'!$A$4:$A$503,(_calc!$E$429-500)))&amp;" – "&amp;IF(LEN(INDEX('My equipment'!$D$4:$D$503,(_calc!$E$429-500)))=0,"",INDEX('My equipment'!$D$4:$D$503,(_calc!$E$429-500)))))</f>
        <v/>
      </c>
      <c r="B427" s="54">
        <f>IF(_calc!$E$429="","",IF(_calc!$E$429&lt;=500,IF(ISNUMBER(INDEX('Dealer pipeline'!$M$4:$M$503,_calc!$E$429)),TEXT(INDEX('Dealer pipeline'!$M$4:$M$503,_calc!$E$429),"yyyy-mm-dd"),""),IF(ISNUMBER(INDEX('My equipment'!$M$4:$M$503,(_calc!$E$429-500))),TEXT(INDEX('My equipment'!$M$4:$M$503,(_calc!$E$429-500)),"yyyy-mm-dd"),"")))</f>
        <v/>
      </c>
      <c r="C427" s="54">
        <f>IF(_calc!$E$429="","",IF(_calc!$E$429&lt;=500,"Warranty","Warranty"))</f>
        <v/>
      </c>
      <c r="D427" s="54">
        <f>IF(_calc!$E$429="","",IF(_calc!$E$429&lt;=500,IF(ISNUMBER(INDEX('Dealer pipeline'!$H$4:$H$503,_calc!$E$429)),TEXT(INDEX('Dealer pipeline'!$H$4:$H$503,_calc!$E$429),"yyyy-mm-dd"),""),IF(ISNUMBER(INDEX('My equipment'!$H$4:$H$503,(_calc!$E$429-500))),TEXT(INDEX('My equipment'!$H$4:$H$503,(_calc!$E$429-500)),"yyyy-mm-dd"),"")))</f>
        <v/>
      </c>
      <c r="F427" s="54">
        <f>IF(_calc!$E$429="","",IF(_calc!$E$429&lt;=500,TRIM(IF(LEN(IF(LEN(INDEX('Dealer pipeline'!$A$4:$A$503,_calc!$E$429))=0,"",INDEX('Dealer pipeline'!$A$4:$A$503,_calc!$E$429)))=0,"","Customer: "&amp;IF(LEN(INDEX('Dealer pipeline'!$A$4:$A$503,_calc!$E$429))=0,"",INDEX('Dealer pipeline'!$A$4:$A$503,_calc!$E$429))&amp;". ")&amp;IF(LEN(IF(LEN(INDEX('Dealer pipeline'!$B$4:$B$503,_calc!$E$429))=0,"",INDEX('Dealer pipeline'!$B$4:$B$503,_calc!$E$429)))=0,"","Contact: "&amp;IF(LEN(INDEX('Dealer pipeline'!$B$4:$B$503,_calc!$E$429))=0,"",INDEX('Dealer pipeline'!$B$4:$B$503,_calc!$E$429))&amp;". ")&amp;IF(LEN(IF(LEN(INDEX('Dealer pipeline'!$D$4:$D$503,_calc!$E$429))=0,"",INDEX('Dealer pipeline'!$D$4:$D$503,_calc!$E$429)))=0,"","Serial: "&amp;IF(LEN(INDEX('Dealer pipeline'!$D$4:$D$503,_calc!$E$429))=0,"",INDEX('Dealer pipeline'!$D$4:$D$503,_calc!$E$429))&amp;". ")&amp;IF(LEN(IF(ISNUMBER(INDEX('Dealer pipeline'!$J$4:$J$503,_calc!$E$429)),TEXT(INDEX('Dealer pipeline'!$J$4:$J$503,_calc!$E$429),"yyyy-mm-dd"),""))=0,"","Parts end: "&amp;IF(ISNUMBER(INDEX('Dealer pipeline'!$J$4:$J$503,_calc!$E$429)),TEXT(INDEX('Dealer pipeline'!$J$4:$J$503,_calc!$E$429),"yyyy-mm-dd"),"")&amp;". ")&amp;IF(LEN(IF(ISNUMBER(INDEX('Dealer pipeline'!$L$4:$L$503,_calc!$E$429)),TEXT(INDEX('Dealer pipeline'!$L$4:$L$503,_calc!$E$429),"yyyy-mm-dd"),""))=0,"","Labor end: "&amp;IF(ISNUMBER(INDEX('Dealer pipeline'!$L$4:$L$503,_calc!$E$429)),TEXT(INDEX('Dealer pipeline'!$L$4:$L$503,_calc!$E$429),"yyyy-mm-dd"),"")&amp;". ")&amp;IF(LEN(IF(LEN(INDEX('Dealer pipeline'!$Q$4:$Q$503,_calc!$E$429))=0,"",INDEX('Dealer pipeline'!$Q$4:$Q$503,_calc!$E$429)))=0,"","Status: "&amp;IF(LEN(INDEX('Dealer pipeline'!$Q$4:$Q$503,_calc!$E$429))=0,"",INDEX('Dealer pipeline'!$Q$4:$Q$503,_calc!$E$429))&amp;". ")&amp;IF(LEN(IF(LEN(INDEX('Dealer pipeline'!$P$4:$P$503,_calc!$E$429))=0,"",INDEX('Dealer pipeline'!$P$4:$P$503,_calc!$E$429)))=0,"","Last touch: "&amp;IF(LEN(INDEX('Dealer pipeline'!$P$4:$P$503,_calc!$E$429))=0,"",INDEX('Dealer pipeline'!$P$4:$P$503,_calc!$E$429))&amp;". ")&amp;IF(LEN(IF(LEN(INDEX('Dealer pipeline'!$R$4:$R$503,_calc!$E$429))=0,"",INDEX('Dealer pipeline'!$R$4:$R$503,_calc!$E$429)))=0,"","Owner: "&amp;IF(LEN(INDEX('Dealer pipeline'!$R$4:$R$503,_calc!$E$429))=0,"",INDEX('Dealer pipeline'!$R$4:$R$503,_calc!$E$429))&amp;". ")&amp;IF(LEN(IF(LEN(INDEX('Dealer pipeline'!$S$4:$S$503,_calc!$E$429))=0,"",INDEX('Dealer pipeline'!$S$4:$S$503,_calc!$E$429)))=0,"","Backup: "&amp;IF(LEN(INDEX('Dealer pipeline'!$S$4:$S$503,_calc!$E$429))=0,"",INDEX('Dealer pipeline'!$S$4:$S$503,_calc!$E$429))&amp;". ")&amp;IF(LEN(IF(LEN(INDEX('Dealer pipeline'!$T$4:$T$503,_calc!$E$429))=0,"",INDEX('Dealer pipeline'!$T$4:$T$503,_calc!$E$429)))=0,"",IF(LEN(INDEX('Dealer pipeline'!$T$4:$T$503,_calc!$E$429))=0,"",INDEX('Dealer pipeline'!$T$4:$T$503,_calc!$E$429)))),TRIM(IF(LEN(IF(LEN(INDEX('My equipment'!$C$4:$C$503,(_calc!$E$429-500)))=0,"",INDEX('My equipment'!$C$4:$C$503,(_calc!$E$429-500))))=0,"","Model: "&amp;IF(LEN(INDEX('My equipment'!$C$4:$C$503,(_calc!$E$429-500)))=0,"",INDEX('My equipment'!$C$4:$C$503,(_calc!$E$429-500)))&amp;". ")&amp;IF(LEN(IF(LEN(INDEX('My equipment'!$D$4:$D$503,(_calc!$E$429-500)))=0,"",INDEX('My equipment'!$D$4:$D$503,(_calc!$E$429-500))))=0,"","Serial: "&amp;IF(LEN(INDEX('My equipment'!$D$4:$D$503,(_calc!$E$429-500)))=0,"",INDEX('My equipment'!$D$4:$D$503,(_calc!$E$429-500)))&amp;". ")&amp;IF(LEN(IF(ISNUMBER(INDEX('My equipment'!$J$4:$J$503,(_calc!$E$429-500))),TEXT(INDEX('My equipment'!$J$4:$J$503,(_calc!$E$429-500)),"yyyy-mm-dd"),""))=0,"","Parts end: "&amp;IF(ISNUMBER(INDEX('My equipment'!$J$4:$J$503,(_calc!$E$429-500))),TEXT(INDEX('My equipment'!$J$4:$J$503,(_calc!$E$429-500)),"yyyy-mm-dd"),"")&amp;". ")&amp;IF(LEN(IF(ISNUMBER(INDEX('My equipment'!$L$4:$L$503,(_calc!$E$429-500))),TEXT(INDEX('My equipment'!$L$4:$L$503,(_calc!$E$429-500)),"yyyy-mm-dd"),""))=0,"","Labor end: "&amp;IF(ISNUMBER(INDEX('My equipment'!$L$4:$L$503,(_calc!$E$429-500))),TEXT(INDEX('My equipment'!$L$4:$L$503,(_calc!$E$429-500)),"yyyy-mm-dd"),"")&amp;". ")&amp;IF(LEN(IF(ISNUMBER(INDEX('My equipment'!$P$4:$P$503,(_calc!$E$429-500))),TEXT(INDEX('My equipment'!$P$4:$P$503,(_calc!$E$429-500)),"yyyy-mm-dd"),""))=0,"","Check by: "&amp;IF(ISNUMBER(INDEX('My equipment'!$P$4:$P$503,(_calc!$E$429-500))),TEXT(INDEX('My equipment'!$P$4:$P$503,(_calc!$E$429-500)),"yyyy-mm-dd"),"")&amp;". ")&amp;IF(LEN(IF(LEN(INDEX('My equipment'!$Q$4:$Q$503,(_calc!$E$429-500)))=0,"",INDEX('My equipment'!$Q$4:$Q$503,(_calc!$E$429-500))))=0,"","Claim status: "&amp;IF(LEN(INDEX('My equipment'!$Q$4:$Q$503,(_calc!$E$429-500)))=0,"",INDEX('My equipment'!$Q$4:$Q$503,(_calc!$E$429-500)))&amp;". ")&amp;IF(LEN(IF(LEN(INDEX('My equipment'!$R$4:$R$503,(_calc!$E$429-500)))=0,"",INDEX('My equipment'!$R$4:$R$503,(_calc!$E$429-500))))=0,"","Claims contact: "&amp;IF(LEN(INDEX('My equipment'!$R$4:$R$503,(_calc!$E$429-500)))=0,"",INDEX('My equipment'!$R$4:$R$503,(_calc!$E$429-500)))&amp;". ")&amp;IF(LEN(IF(LEN(INDEX('My equipment'!$S$4:$S$503,(_calc!$E$429-500)))=0,"",INDEX('My equipment'!$S$4:$S$503,(_calc!$E$429-500))))=0,"","Claims email: "&amp;IF(LEN(INDEX('My equipment'!$S$4:$S$503,(_calc!$E$429-500)))=0,"",INDEX('My equipment'!$S$4:$S$503,(_calc!$E$429-500)))&amp;". ")&amp;IF(LEN(IF(LEN(INDEX('My equipment'!$U$4:$U$503,(_calc!$E$429-500)))=0,"",INDEX('My equipment'!$U$4:$U$503,(_calc!$E$429-500))))=0,"","Registered: "&amp;IF(LEN(INDEX('My equipment'!$U$4:$U$503,(_calc!$E$429-500)))=0,"",INDEX('My equipment'!$U$4:$U$503,(_calc!$E$429-500)))&amp;". ")&amp;IF(LEN(IF(LEN(INDEX('My equipment'!$V$4:$V$503,(_calc!$E$429-500)))=0,"",INDEX('My equipment'!$V$4:$V$503,(_calc!$E$429-500))))=0,"","Proof on file: "&amp;IF(LEN(INDEX('My equipment'!$V$4:$V$503,(_calc!$E$429-500)))=0,"",INDEX('My equipment'!$V$4:$V$503,(_calc!$E$429-500)))&amp;". ")&amp;IF(LEN(IF(LEN(INDEX('My equipment'!$W$4:$W$503,(_calc!$E$429-500)))=0,"",INDEX('My equipment'!$W$4:$W$503,(_calc!$E$429-500))))=0,"","Claim ref: "&amp;IF(LEN(INDEX('My equipment'!$W$4:$W$503,(_calc!$E$429-500)))=0,"",INDEX('My equipment'!$W$4:$W$503,(_calc!$E$429-500)))&amp;". ")&amp;IF(LEN(IF(LEN(INDEX('My equipment'!$Y$4:$Y$503,(_calc!$E$429-500)))=0,"",INDEX('My equipment'!$Y$4:$Y$503,(_calc!$E$429-500))))=0,"",IF(LEN(INDEX('My equipment'!$Y$4:$Y$503,(_calc!$E$429-500)))=0,"",INDEX('My equipment'!$Y$4:$Y$503,(_calc!$E$429-500)))))))</f>
        <v/>
      </c>
      <c r="G427" s="54">
        <f>IF(_calc!$E$429="","",IF(_calc!$E$429&lt;=500,"",IF(LEN(INDEX('My equipment'!$X$4:$X$503,(_calc!$E$429-500)))=0,"",INDEX('My equipment'!$X$4:$X$503,(_calc!$E$429-500)))))</f>
        <v/>
      </c>
      <c r="K427" s="54">
        <f>IF(_calc!$E$429="","",IF(_calc!$E$429&lt;=500,"",IF(LEN(INDEX('My equipment'!$T$4:$T$503,(_calc!$E$429-500)))=0,"",INDEX('My equipment'!$T$4:$T$503,(_calc!$E$429-500)))))</f>
        <v/>
      </c>
    </row>
    <row r="428">
      <c r="A428" s="54">
        <f>IF(_calc!$E$430="","",IF(_calc!$E$430&lt;=500,"Warranty – "&amp;IF(LEN(INDEX('Dealer pipeline'!$C$4:$C$503,_calc!$E$430))=0,"",INDEX('Dealer pipeline'!$C$4:$C$503,_calc!$E$430))&amp;" – "&amp;IF(LEN(INDEX('Dealer pipeline'!$D$4:$D$503,_calc!$E$430))=0,"",INDEX('Dealer pipeline'!$D$4:$D$503,_calc!$E$430))&amp;" – "&amp;IF(LEN(INDEX('Dealer pipeline'!$A$4:$A$503,_calc!$E$430))=0,"",INDEX('Dealer pipeline'!$A$4:$A$503,_calc!$E$430)),"Warranty – "&amp;IF(LEN(INDEX('My equipment'!$A$4:$A$503,(_calc!$E$430-500)))=0,"",INDEX('My equipment'!$A$4:$A$503,(_calc!$E$430-500)))&amp;" – "&amp;IF(LEN(INDEX('My equipment'!$D$4:$D$503,(_calc!$E$430-500)))=0,"",INDEX('My equipment'!$D$4:$D$503,(_calc!$E$430-500)))))</f>
        <v/>
      </c>
      <c r="B428" s="54">
        <f>IF(_calc!$E$430="","",IF(_calc!$E$430&lt;=500,IF(ISNUMBER(INDEX('Dealer pipeline'!$M$4:$M$503,_calc!$E$430)),TEXT(INDEX('Dealer pipeline'!$M$4:$M$503,_calc!$E$430),"yyyy-mm-dd"),""),IF(ISNUMBER(INDEX('My equipment'!$M$4:$M$503,(_calc!$E$430-500))),TEXT(INDEX('My equipment'!$M$4:$M$503,(_calc!$E$430-500)),"yyyy-mm-dd"),"")))</f>
        <v/>
      </c>
      <c r="C428" s="54">
        <f>IF(_calc!$E$430="","",IF(_calc!$E$430&lt;=500,"Warranty","Warranty"))</f>
        <v/>
      </c>
      <c r="D428" s="54">
        <f>IF(_calc!$E$430="","",IF(_calc!$E$430&lt;=500,IF(ISNUMBER(INDEX('Dealer pipeline'!$H$4:$H$503,_calc!$E$430)),TEXT(INDEX('Dealer pipeline'!$H$4:$H$503,_calc!$E$430),"yyyy-mm-dd"),""),IF(ISNUMBER(INDEX('My equipment'!$H$4:$H$503,(_calc!$E$430-500))),TEXT(INDEX('My equipment'!$H$4:$H$503,(_calc!$E$430-500)),"yyyy-mm-dd"),"")))</f>
        <v/>
      </c>
      <c r="F428" s="54">
        <f>IF(_calc!$E$430="","",IF(_calc!$E$430&lt;=500,TRIM(IF(LEN(IF(LEN(INDEX('Dealer pipeline'!$A$4:$A$503,_calc!$E$430))=0,"",INDEX('Dealer pipeline'!$A$4:$A$503,_calc!$E$430)))=0,"","Customer: "&amp;IF(LEN(INDEX('Dealer pipeline'!$A$4:$A$503,_calc!$E$430))=0,"",INDEX('Dealer pipeline'!$A$4:$A$503,_calc!$E$430))&amp;". ")&amp;IF(LEN(IF(LEN(INDEX('Dealer pipeline'!$B$4:$B$503,_calc!$E$430))=0,"",INDEX('Dealer pipeline'!$B$4:$B$503,_calc!$E$430)))=0,"","Contact: "&amp;IF(LEN(INDEX('Dealer pipeline'!$B$4:$B$503,_calc!$E$430))=0,"",INDEX('Dealer pipeline'!$B$4:$B$503,_calc!$E$430))&amp;". ")&amp;IF(LEN(IF(LEN(INDEX('Dealer pipeline'!$D$4:$D$503,_calc!$E$430))=0,"",INDEX('Dealer pipeline'!$D$4:$D$503,_calc!$E$430)))=0,"","Serial: "&amp;IF(LEN(INDEX('Dealer pipeline'!$D$4:$D$503,_calc!$E$430))=0,"",INDEX('Dealer pipeline'!$D$4:$D$503,_calc!$E$430))&amp;". ")&amp;IF(LEN(IF(ISNUMBER(INDEX('Dealer pipeline'!$J$4:$J$503,_calc!$E$430)),TEXT(INDEX('Dealer pipeline'!$J$4:$J$503,_calc!$E$430),"yyyy-mm-dd"),""))=0,"","Parts end: "&amp;IF(ISNUMBER(INDEX('Dealer pipeline'!$J$4:$J$503,_calc!$E$430)),TEXT(INDEX('Dealer pipeline'!$J$4:$J$503,_calc!$E$430),"yyyy-mm-dd"),"")&amp;". ")&amp;IF(LEN(IF(ISNUMBER(INDEX('Dealer pipeline'!$L$4:$L$503,_calc!$E$430)),TEXT(INDEX('Dealer pipeline'!$L$4:$L$503,_calc!$E$430),"yyyy-mm-dd"),""))=0,"","Labor end: "&amp;IF(ISNUMBER(INDEX('Dealer pipeline'!$L$4:$L$503,_calc!$E$430)),TEXT(INDEX('Dealer pipeline'!$L$4:$L$503,_calc!$E$430),"yyyy-mm-dd"),"")&amp;". ")&amp;IF(LEN(IF(LEN(INDEX('Dealer pipeline'!$Q$4:$Q$503,_calc!$E$430))=0,"",INDEX('Dealer pipeline'!$Q$4:$Q$503,_calc!$E$430)))=0,"","Status: "&amp;IF(LEN(INDEX('Dealer pipeline'!$Q$4:$Q$503,_calc!$E$430))=0,"",INDEX('Dealer pipeline'!$Q$4:$Q$503,_calc!$E$430))&amp;". ")&amp;IF(LEN(IF(LEN(INDEX('Dealer pipeline'!$P$4:$P$503,_calc!$E$430))=0,"",INDEX('Dealer pipeline'!$P$4:$P$503,_calc!$E$430)))=0,"","Last touch: "&amp;IF(LEN(INDEX('Dealer pipeline'!$P$4:$P$503,_calc!$E$430))=0,"",INDEX('Dealer pipeline'!$P$4:$P$503,_calc!$E$430))&amp;". ")&amp;IF(LEN(IF(LEN(INDEX('Dealer pipeline'!$R$4:$R$503,_calc!$E$430))=0,"",INDEX('Dealer pipeline'!$R$4:$R$503,_calc!$E$430)))=0,"","Owner: "&amp;IF(LEN(INDEX('Dealer pipeline'!$R$4:$R$503,_calc!$E$430))=0,"",INDEX('Dealer pipeline'!$R$4:$R$503,_calc!$E$430))&amp;". ")&amp;IF(LEN(IF(LEN(INDEX('Dealer pipeline'!$S$4:$S$503,_calc!$E$430))=0,"",INDEX('Dealer pipeline'!$S$4:$S$503,_calc!$E$430)))=0,"","Backup: "&amp;IF(LEN(INDEX('Dealer pipeline'!$S$4:$S$503,_calc!$E$430))=0,"",INDEX('Dealer pipeline'!$S$4:$S$503,_calc!$E$430))&amp;". ")&amp;IF(LEN(IF(LEN(INDEX('Dealer pipeline'!$T$4:$T$503,_calc!$E$430))=0,"",INDEX('Dealer pipeline'!$T$4:$T$503,_calc!$E$430)))=0,"",IF(LEN(INDEX('Dealer pipeline'!$T$4:$T$503,_calc!$E$430))=0,"",INDEX('Dealer pipeline'!$T$4:$T$503,_calc!$E$430)))),TRIM(IF(LEN(IF(LEN(INDEX('My equipment'!$C$4:$C$503,(_calc!$E$430-500)))=0,"",INDEX('My equipment'!$C$4:$C$503,(_calc!$E$430-500))))=0,"","Model: "&amp;IF(LEN(INDEX('My equipment'!$C$4:$C$503,(_calc!$E$430-500)))=0,"",INDEX('My equipment'!$C$4:$C$503,(_calc!$E$430-500)))&amp;". ")&amp;IF(LEN(IF(LEN(INDEX('My equipment'!$D$4:$D$503,(_calc!$E$430-500)))=0,"",INDEX('My equipment'!$D$4:$D$503,(_calc!$E$430-500))))=0,"","Serial: "&amp;IF(LEN(INDEX('My equipment'!$D$4:$D$503,(_calc!$E$430-500)))=0,"",INDEX('My equipment'!$D$4:$D$503,(_calc!$E$430-500)))&amp;". ")&amp;IF(LEN(IF(ISNUMBER(INDEX('My equipment'!$J$4:$J$503,(_calc!$E$430-500))),TEXT(INDEX('My equipment'!$J$4:$J$503,(_calc!$E$430-500)),"yyyy-mm-dd"),""))=0,"","Parts end: "&amp;IF(ISNUMBER(INDEX('My equipment'!$J$4:$J$503,(_calc!$E$430-500))),TEXT(INDEX('My equipment'!$J$4:$J$503,(_calc!$E$430-500)),"yyyy-mm-dd"),"")&amp;". ")&amp;IF(LEN(IF(ISNUMBER(INDEX('My equipment'!$L$4:$L$503,(_calc!$E$430-500))),TEXT(INDEX('My equipment'!$L$4:$L$503,(_calc!$E$430-500)),"yyyy-mm-dd"),""))=0,"","Labor end: "&amp;IF(ISNUMBER(INDEX('My equipment'!$L$4:$L$503,(_calc!$E$430-500))),TEXT(INDEX('My equipment'!$L$4:$L$503,(_calc!$E$430-500)),"yyyy-mm-dd"),"")&amp;". ")&amp;IF(LEN(IF(ISNUMBER(INDEX('My equipment'!$P$4:$P$503,(_calc!$E$430-500))),TEXT(INDEX('My equipment'!$P$4:$P$503,(_calc!$E$430-500)),"yyyy-mm-dd"),""))=0,"","Check by: "&amp;IF(ISNUMBER(INDEX('My equipment'!$P$4:$P$503,(_calc!$E$430-500))),TEXT(INDEX('My equipment'!$P$4:$P$503,(_calc!$E$430-500)),"yyyy-mm-dd"),"")&amp;". ")&amp;IF(LEN(IF(LEN(INDEX('My equipment'!$Q$4:$Q$503,(_calc!$E$430-500)))=0,"",INDEX('My equipment'!$Q$4:$Q$503,(_calc!$E$430-500))))=0,"","Claim status: "&amp;IF(LEN(INDEX('My equipment'!$Q$4:$Q$503,(_calc!$E$430-500)))=0,"",INDEX('My equipment'!$Q$4:$Q$503,(_calc!$E$430-500)))&amp;". ")&amp;IF(LEN(IF(LEN(INDEX('My equipment'!$R$4:$R$503,(_calc!$E$430-500)))=0,"",INDEX('My equipment'!$R$4:$R$503,(_calc!$E$430-500))))=0,"","Claims contact: "&amp;IF(LEN(INDEX('My equipment'!$R$4:$R$503,(_calc!$E$430-500)))=0,"",INDEX('My equipment'!$R$4:$R$503,(_calc!$E$430-500)))&amp;". ")&amp;IF(LEN(IF(LEN(INDEX('My equipment'!$S$4:$S$503,(_calc!$E$430-500)))=0,"",INDEX('My equipment'!$S$4:$S$503,(_calc!$E$430-500))))=0,"","Claims email: "&amp;IF(LEN(INDEX('My equipment'!$S$4:$S$503,(_calc!$E$430-500)))=0,"",INDEX('My equipment'!$S$4:$S$503,(_calc!$E$430-500)))&amp;". ")&amp;IF(LEN(IF(LEN(INDEX('My equipment'!$U$4:$U$503,(_calc!$E$430-500)))=0,"",INDEX('My equipment'!$U$4:$U$503,(_calc!$E$430-500))))=0,"","Registered: "&amp;IF(LEN(INDEX('My equipment'!$U$4:$U$503,(_calc!$E$430-500)))=0,"",INDEX('My equipment'!$U$4:$U$503,(_calc!$E$430-500)))&amp;". ")&amp;IF(LEN(IF(LEN(INDEX('My equipment'!$V$4:$V$503,(_calc!$E$430-500)))=0,"",INDEX('My equipment'!$V$4:$V$503,(_calc!$E$430-500))))=0,"","Proof on file: "&amp;IF(LEN(INDEX('My equipment'!$V$4:$V$503,(_calc!$E$430-500)))=0,"",INDEX('My equipment'!$V$4:$V$503,(_calc!$E$430-500)))&amp;". ")&amp;IF(LEN(IF(LEN(INDEX('My equipment'!$W$4:$W$503,(_calc!$E$430-500)))=0,"",INDEX('My equipment'!$W$4:$W$503,(_calc!$E$430-500))))=0,"","Claim ref: "&amp;IF(LEN(INDEX('My equipment'!$W$4:$W$503,(_calc!$E$430-500)))=0,"",INDEX('My equipment'!$W$4:$W$503,(_calc!$E$430-500)))&amp;". ")&amp;IF(LEN(IF(LEN(INDEX('My equipment'!$Y$4:$Y$503,(_calc!$E$430-500)))=0,"",INDEX('My equipment'!$Y$4:$Y$503,(_calc!$E$430-500))))=0,"",IF(LEN(INDEX('My equipment'!$Y$4:$Y$503,(_calc!$E$430-500)))=0,"",INDEX('My equipment'!$Y$4:$Y$503,(_calc!$E$430-500)))))))</f>
        <v/>
      </c>
      <c r="G428" s="54">
        <f>IF(_calc!$E$430="","",IF(_calc!$E$430&lt;=500,"",IF(LEN(INDEX('My equipment'!$X$4:$X$503,(_calc!$E$430-500)))=0,"",INDEX('My equipment'!$X$4:$X$503,(_calc!$E$430-500)))))</f>
        <v/>
      </c>
      <c r="K428" s="54">
        <f>IF(_calc!$E$430="","",IF(_calc!$E$430&lt;=500,"",IF(LEN(INDEX('My equipment'!$T$4:$T$503,(_calc!$E$430-500)))=0,"",INDEX('My equipment'!$T$4:$T$503,(_calc!$E$430-500)))))</f>
        <v/>
      </c>
    </row>
    <row r="429">
      <c r="A429" s="54">
        <f>IF(_calc!$E$431="","",IF(_calc!$E$431&lt;=500,"Warranty – "&amp;IF(LEN(INDEX('Dealer pipeline'!$C$4:$C$503,_calc!$E$431))=0,"",INDEX('Dealer pipeline'!$C$4:$C$503,_calc!$E$431))&amp;" – "&amp;IF(LEN(INDEX('Dealer pipeline'!$D$4:$D$503,_calc!$E$431))=0,"",INDEX('Dealer pipeline'!$D$4:$D$503,_calc!$E$431))&amp;" – "&amp;IF(LEN(INDEX('Dealer pipeline'!$A$4:$A$503,_calc!$E$431))=0,"",INDEX('Dealer pipeline'!$A$4:$A$503,_calc!$E$431)),"Warranty – "&amp;IF(LEN(INDEX('My equipment'!$A$4:$A$503,(_calc!$E$431-500)))=0,"",INDEX('My equipment'!$A$4:$A$503,(_calc!$E$431-500)))&amp;" – "&amp;IF(LEN(INDEX('My equipment'!$D$4:$D$503,(_calc!$E$431-500)))=0,"",INDEX('My equipment'!$D$4:$D$503,(_calc!$E$431-500)))))</f>
        <v/>
      </c>
      <c r="B429" s="54">
        <f>IF(_calc!$E$431="","",IF(_calc!$E$431&lt;=500,IF(ISNUMBER(INDEX('Dealer pipeline'!$M$4:$M$503,_calc!$E$431)),TEXT(INDEX('Dealer pipeline'!$M$4:$M$503,_calc!$E$431),"yyyy-mm-dd"),""),IF(ISNUMBER(INDEX('My equipment'!$M$4:$M$503,(_calc!$E$431-500))),TEXT(INDEX('My equipment'!$M$4:$M$503,(_calc!$E$431-500)),"yyyy-mm-dd"),"")))</f>
        <v/>
      </c>
      <c r="C429" s="54">
        <f>IF(_calc!$E$431="","",IF(_calc!$E$431&lt;=500,"Warranty","Warranty"))</f>
        <v/>
      </c>
      <c r="D429" s="54">
        <f>IF(_calc!$E$431="","",IF(_calc!$E$431&lt;=500,IF(ISNUMBER(INDEX('Dealer pipeline'!$H$4:$H$503,_calc!$E$431)),TEXT(INDEX('Dealer pipeline'!$H$4:$H$503,_calc!$E$431),"yyyy-mm-dd"),""),IF(ISNUMBER(INDEX('My equipment'!$H$4:$H$503,(_calc!$E$431-500))),TEXT(INDEX('My equipment'!$H$4:$H$503,(_calc!$E$431-500)),"yyyy-mm-dd"),"")))</f>
        <v/>
      </c>
      <c r="F429" s="54">
        <f>IF(_calc!$E$431="","",IF(_calc!$E$431&lt;=500,TRIM(IF(LEN(IF(LEN(INDEX('Dealer pipeline'!$A$4:$A$503,_calc!$E$431))=0,"",INDEX('Dealer pipeline'!$A$4:$A$503,_calc!$E$431)))=0,"","Customer: "&amp;IF(LEN(INDEX('Dealer pipeline'!$A$4:$A$503,_calc!$E$431))=0,"",INDEX('Dealer pipeline'!$A$4:$A$503,_calc!$E$431))&amp;". ")&amp;IF(LEN(IF(LEN(INDEX('Dealer pipeline'!$B$4:$B$503,_calc!$E$431))=0,"",INDEX('Dealer pipeline'!$B$4:$B$503,_calc!$E$431)))=0,"","Contact: "&amp;IF(LEN(INDEX('Dealer pipeline'!$B$4:$B$503,_calc!$E$431))=0,"",INDEX('Dealer pipeline'!$B$4:$B$503,_calc!$E$431))&amp;". ")&amp;IF(LEN(IF(LEN(INDEX('Dealer pipeline'!$D$4:$D$503,_calc!$E$431))=0,"",INDEX('Dealer pipeline'!$D$4:$D$503,_calc!$E$431)))=0,"","Serial: "&amp;IF(LEN(INDEX('Dealer pipeline'!$D$4:$D$503,_calc!$E$431))=0,"",INDEX('Dealer pipeline'!$D$4:$D$503,_calc!$E$431))&amp;". ")&amp;IF(LEN(IF(ISNUMBER(INDEX('Dealer pipeline'!$J$4:$J$503,_calc!$E$431)),TEXT(INDEX('Dealer pipeline'!$J$4:$J$503,_calc!$E$431),"yyyy-mm-dd"),""))=0,"","Parts end: "&amp;IF(ISNUMBER(INDEX('Dealer pipeline'!$J$4:$J$503,_calc!$E$431)),TEXT(INDEX('Dealer pipeline'!$J$4:$J$503,_calc!$E$431),"yyyy-mm-dd"),"")&amp;". ")&amp;IF(LEN(IF(ISNUMBER(INDEX('Dealer pipeline'!$L$4:$L$503,_calc!$E$431)),TEXT(INDEX('Dealer pipeline'!$L$4:$L$503,_calc!$E$431),"yyyy-mm-dd"),""))=0,"","Labor end: "&amp;IF(ISNUMBER(INDEX('Dealer pipeline'!$L$4:$L$503,_calc!$E$431)),TEXT(INDEX('Dealer pipeline'!$L$4:$L$503,_calc!$E$431),"yyyy-mm-dd"),"")&amp;". ")&amp;IF(LEN(IF(LEN(INDEX('Dealer pipeline'!$Q$4:$Q$503,_calc!$E$431))=0,"",INDEX('Dealer pipeline'!$Q$4:$Q$503,_calc!$E$431)))=0,"","Status: "&amp;IF(LEN(INDEX('Dealer pipeline'!$Q$4:$Q$503,_calc!$E$431))=0,"",INDEX('Dealer pipeline'!$Q$4:$Q$503,_calc!$E$431))&amp;". ")&amp;IF(LEN(IF(LEN(INDEX('Dealer pipeline'!$P$4:$P$503,_calc!$E$431))=0,"",INDEX('Dealer pipeline'!$P$4:$P$503,_calc!$E$431)))=0,"","Last touch: "&amp;IF(LEN(INDEX('Dealer pipeline'!$P$4:$P$503,_calc!$E$431))=0,"",INDEX('Dealer pipeline'!$P$4:$P$503,_calc!$E$431))&amp;". ")&amp;IF(LEN(IF(LEN(INDEX('Dealer pipeline'!$R$4:$R$503,_calc!$E$431))=0,"",INDEX('Dealer pipeline'!$R$4:$R$503,_calc!$E$431)))=0,"","Owner: "&amp;IF(LEN(INDEX('Dealer pipeline'!$R$4:$R$503,_calc!$E$431))=0,"",INDEX('Dealer pipeline'!$R$4:$R$503,_calc!$E$431))&amp;". ")&amp;IF(LEN(IF(LEN(INDEX('Dealer pipeline'!$S$4:$S$503,_calc!$E$431))=0,"",INDEX('Dealer pipeline'!$S$4:$S$503,_calc!$E$431)))=0,"","Backup: "&amp;IF(LEN(INDEX('Dealer pipeline'!$S$4:$S$503,_calc!$E$431))=0,"",INDEX('Dealer pipeline'!$S$4:$S$503,_calc!$E$431))&amp;". ")&amp;IF(LEN(IF(LEN(INDEX('Dealer pipeline'!$T$4:$T$503,_calc!$E$431))=0,"",INDEX('Dealer pipeline'!$T$4:$T$503,_calc!$E$431)))=0,"",IF(LEN(INDEX('Dealer pipeline'!$T$4:$T$503,_calc!$E$431))=0,"",INDEX('Dealer pipeline'!$T$4:$T$503,_calc!$E$431)))),TRIM(IF(LEN(IF(LEN(INDEX('My equipment'!$C$4:$C$503,(_calc!$E$431-500)))=0,"",INDEX('My equipment'!$C$4:$C$503,(_calc!$E$431-500))))=0,"","Model: "&amp;IF(LEN(INDEX('My equipment'!$C$4:$C$503,(_calc!$E$431-500)))=0,"",INDEX('My equipment'!$C$4:$C$503,(_calc!$E$431-500)))&amp;". ")&amp;IF(LEN(IF(LEN(INDEX('My equipment'!$D$4:$D$503,(_calc!$E$431-500)))=0,"",INDEX('My equipment'!$D$4:$D$503,(_calc!$E$431-500))))=0,"","Serial: "&amp;IF(LEN(INDEX('My equipment'!$D$4:$D$503,(_calc!$E$431-500)))=0,"",INDEX('My equipment'!$D$4:$D$503,(_calc!$E$431-500)))&amp;". ")&amp;IF(LEN(IF(ISNUMBER(INDEX('My equipment'!$J$4:$J$503,(_calc!$E$431-500))),TEXT(INDEX('My equipment'!$J$4:$J$503,(_calc!$E$431-500)),"yyyy-mm-dd"),""))=0,"","Parts end: "&amp;IF(ISNUMBER(INDEX('My equipment'!$J$4:$J$503,(_calc!$E$431-500))),TEXT(INDEX('My equipment'!$J$4:$J$503,(_calc!$E$431-500)),"yyyy-mm-dd"),"")&amp;". ")&amp;IF(LEN(IF(ISNUMBER(INDEX('My equipment'!$L$4:$L$503,(_calc!$E$431-500))),TEXT(INDEX('My equipment'!$L$4:$L$503,(_calc!$E$431-500)),"yyyy-mm-dd"),""))=0,"","Labor end: "&amp;IF(ISNUMBER(INDEX('My equipment'!$L$4:$L$503,(_calc!$E$431-500))),TEXT(INDEX('My equipment'!$L$4:$L$503,(_calc!$E$431-500)),"yyyy-mm-dd"),"")&amp;". ")&amp;IF(LEN(IF(ISNUMBER(INDEX('My equipment'!$P$4:$P$503,(_calc!$E$431-500))),TEXT(INDEX('My equipment'!$P$4:$P$503,(_calc!$E$431-500)),"yyyy-mm-dd"),""))=0,"","Check by: "&amp;IF(ISNUMBER(INDEX('My equipment'!$P$4:$P$503,(_calc!$E$431-500))),TEXT(INDEX('My equipment'!$P$4:$P$503,(_calc!$E$431-500)),"yyyy-mm-dd"),"")&amp;". ")&amp;IF(LEN(IF(LEN(INDEX('My equipment'!$Q$4:$Q$503,(_calc!$E$431-500)))=0,"",INDEX('My equipment'!$Q$4:$Q$503,(_calc!$E$431-500))))=0,"","Claim status: "&amp;IF(LEN(INDEX('My equipment'!$Q$4:$Q$503,(_calc!$E$431-500)))=0,"",INDEX('My equipment'!$Q$4:$Q$503,(_calc!$E$431-500)))&amp;". ")&amp;IF(LEN(IF(LEN(INDEX('My equipment'!$R$4:$R$503,(_calc!$E$431-500)))=0,"",INDEX('My equipment'!$R$4:$R$503,(_calc!$E$431-500))))=0,"","Claims contact: "&amp;IF(LEN(INDEX('My equipment'!$R$4:$R$503,(_calc!$E$431-500)))=0,"",INDEX('My equipment'!$R$4:$R$503,(_calc!$E$431-500)))&amp;". ")&amp;IF(LEN(IF(LEN(INDEX('My equipment'!$S$4:$S$503,(_calc!$E$431-500)))=0,"",INDEX('My equipment'!$S$4:$S$503,(_calc!$E$431-500))))=0,"","Claims email: "&amp;IF(LEN(INDEX('My equipment'!$S$4:$S$503,(_calc!$E$431-500)))=0,"",INDEX('My equipment'!$S$4:$S$503,(_calc!$E$431-500)))&amp;". ")&amp;IF(LEN(IF(LEN(INDEX('My equipment'!$U$4:$U$503,(_calc!$E$431-500)))=0,"",INDEX('My equipment'!$U$4:$U$503,(_calc!$E$431-500))))=0,"","Registered: "&amp;IF(LEN(INDEX('My equipment'!$U$4:$U$503,(_calc!$E$431-500)))=0,"",INDEX('My equipment'!$U$4:$U$503,(_calc!$E$431-500)))&amp;". ")&amp;IF(LEN(IF(LEN(INDEX('My equipment'!$V$4:$V$503,(_calc!$E$431-500)))=0,"",INDEX('My equipment'!$V$4:$V$503,(_calc!$E$431-500))))=0,"","Proof on file: "&amp;IF(LEN(INDEX('My equipment'!$V$4:$V$503,(_calc!$E$431-500)))=0,"",INDEX('My equipment'!$V$4:$V$503,(_calc!$E$431-500)))&amp;". ")&amp;IF(LEN(IF(LEN(INDEX('My equipment'!$W$4:$W$503,(_calc!$E$431-500)))=0,"",INDEX('My equipment'!$W$4:$W$503,(_calc!$E$431-500))))=0,"","Claim ref: "&amp;IF(LEN(INDEX('My equipment'!$W$4:$W$503,(_calc!$E$431-500)))=0,"",INDEX('My equipment'!$W$4:$W$503,(_calc!$E$431-500)))&amp;". ")&amp;IF(LEN(IF(LEN(INDEX('My equipment'!$Y$4:$Y$503,(_calc!$E$431-500)))=0,"",INDEX('My equipment'!$Y$4:$Y$503,(_calc!$E$431-500))))=0,"",IF(LEN(INDEX('My equipment'!$Y$4:$Y$503,(_calc!$E$431-500)))=0,"",INDEX('My equipment'!$Y$4:$Y$503,(_calc!$E$431-500)))))))</f>
        <v/>
      </c>
      <c r="G429" s="54">
        <f>IF(_calc!$E$431="","",IF(_calc!$E$431&lt;=500,"",IF(LEN(INDEX('My equipment'!$X$4:$X$503,(_calc!$E$431-500)))=0,"",INDEX('My equipment'!$X$4:$X$503,(_calc!$E$431-500)))))</f>
        <v/>
      </c>
      <c r="K429" s="54">
        <f>IF(_calc!$E$431="","",IF(_calc!$E$431&lt;=500,"",IF(LEN(INDEX('My equipment'!$T$4:$T$503,(_calc!$E$431-500)))=0,"",INDEX('My equipment'!$T$4:$T$503,(_calc!$E$431-500)))))</f>
        <v/>
      </c>
    </row>
    <row r="430">
      <c r="A430" s="54">
        <f>IF(_calc!$E$432="","",IF(_calc!$E$432&lt;=500,"Warranty – "&amp;IF(LEN(INDEX('Dealer pipeline'!$C$4:$C$503,_calc!$E$432))=0,"",INDEX('Dealer pipeline'!$C$4:$C$503,_calc!$E$432))&amp;" – "&amp;IF(LEN(INDEX('Dealer pipeline'!$D$4:$D$503,_calc!$E$432))=0,"",INDEX('Dealer pipeline'!$D$4:$D$503,_calc!$E$432))&amp;" – "&amp;IF(LEN(INDEX('Dealer pipeline'!$A$4:$A$503,_calc!$E$432))=0,"",INDEX('Dealer pipeline'!$A$4:$A$503,_calc!$E$432)),"Warranty – "&amp;IF(LEN(INDEX('My equipment'!$A$4:$A$503,(_calc!$E$432-500)))=0,"",INDEX('My equipment'!$A$4:$A$503,(_calc!$E$432-500)))&amp;" – "&amp;IF(LEN(INDEX('My equipment'!$D$4:$D$503,(_calc!$E$432-500)))=0,"",INDEX('My equipment'!$D$4:$D$503,(_calc!$E$432-500)))))</f>
        <v/>
      </c>
      <c r="B430" s="54">
        <f>IF(_calc!$E$432="","",IF(_calc!$E$432&lt;=500,IF(ISNUMBER(INDEX('Dealer pipeline'!$M$4:$M$503,_calc!$E$432)),TEXT(INDEX('Dealer pipeline'!$M$4:$M$503,_calc!$E$432),"yyyy-mm-dd"),""),IF(ISNUMBER(INDEX('My equipment'!$M$4:$M$503,(_calc!$E$432-500))),TEXT(INDEX('My equipment'!$M$4:$M$503,(_calc!$E$432-500)),"yyyy-mm-dd"),"")))</f>
        <v/>
      </c>
      <c r="C430" s="54">
        <f>IF(_calc!$E$432="","",IF(_calc!$E$432&lt;=500,"Warranty","Warranty"))</f>
        <v/>
      </c>
      <c r="D430" s="54">
        <f>IF(_calc!$E$432="","",IF(_calc!$E$432&lt;=500,IF(ISNUMBER(INDEX('Dealer pipeline'!$H$4:$H$503,_calc!$E$432)),TEXT(INDEX('Dealer pipeline'!$H$4:$H$503,_calc!$E$432),"yyyy-mm-dd"),""),IF(ISNUMBER(INDEX('My equipment'!$H$4:$H$503,(_calc!$E$432-500))),TEXT(INDEX('My equipment'!$H$4:$H$503,(_calc!$E$432-500)),"yyyy-mm-dd"),"")))</f>
        <v/>
      </c>
      <c r="F430" s="54">
        <f>IF(_calc!$E$432="","",IF(_calc!$E$432&lt;=500,TRIM(IF(LEN(IF(LEN(INDEX('Dealer pipeline'!$A$4:$A$503,_calc!$E$432))=0,"",INDEX('Dealer pipeline'!$A$4:$A$503,_calc!$E$432)))=0,"","Customer: "&amp;IF(LEN(INDEX('Dealer pipeline'!$A$4:$A$503,_calc!$E$432))=0,"",INDEX('Dealer pipeline'!$A$4:$A$503,_calc!$E$432))&amp;". ")&amp;IF(LEN(IF(LEN(INDEX('Dealer pipeline'!$B$4:$B$503,_calc!$E$432))=0,"",INDEX('Dealer pipeline'!$B$4:$B$503,_calc!$E$432)))=0,"","Contact: "&amp;IF(LEN(INDEX('Dealer pipeline'!$B$4:$B$503,_calc!$E$432))=0,"",INDEX('Dealer pipeline'!$B$4:$B$503,_calc!$E$432))&amp;". ")&amp;IF(LEN(IF(LEN(INDEX('Dealer pipeline'!$D$4:$D$503,_calc!$E$432))=0,"",INDEX('Dealer pipeline'!$D$4:$D$503,_calc!$E$432)))=0,"","Serial: "&amp;IF(LEN(INDEX('Dealer pipeline'!$D$4:$D$503,_calc!$E$432))=0,"",INDEX('Dealer pipeline'!$D$4:$D$503,_calc!$E$432))&amp;". ")&amp;IF(LEN(IF(ISNUMBER(INDEX('Dealer pipeline'!$J$4:$J$503,_calc!$E$432)),TEXT(INDEX('Dealer pipeline'!$J$4:$J$503,_calc!$E$432),"yyyy-mm-dd"),""))=0,"","Parts end: "&amp;IF(ISNUMBER(INDEX('Dealer pipeline'!$J$4:$J$503,_calc!$E$432)),TEXT(INDEX('Dealer pipeline'!$J$4:$J$503,_calc!$E$432),"yyyy-mm-dd"),"")&amp;". ")&amp;IF(LEN(IF(ISNUMBER(INDEX('Dealer pipeline'!$L$4:$L$503,_calc!$E$432)),TEXT(INDEX('Dealer pipeline'!$L$4:$L$503,_calc!$E$432),"yyyy-mm-dd"),""))=0,"","Labor end: "&amp;IF(ISNUMBER(INDEX('Dealer pipeline'!$L$4:$L$503,_calc!$E$432)),TEXT(INDEX('Dealer pipeline'!$L$4:$L$503,_calc!$E$432),"yyyy-mm-dd"),"")&amp;". ")&amp;IF(LEN(IF(LEN(INDEX('Dealer pipeline'!$Q$4:$Q$503,_calc!$E$432))=0,"",INDEX('Dealer pipeline'!$Q$4:$Q$503,_calc!$E$432)))=0,"","Status: "&amp;IF(LEN(INDEX('Dealer pipeline'!$Q$4:$Q$503,_calc!$E$432))=0,"",INDEX('Dealer pipeline'!$Q$4:$Q$503,_calc!$E$432))&amp;". ")&amp;IF(LEN(IF(LEN(INDEX('Dealer pipeline'!$P$4:$P$503,_calc!$E$432))=0,"",INDEX('Dealer pipeline'!$P$4:$P$503,_calc!$E$432)))=0,"","Last touch: "&amp;IF(LEN(INDEX('Dealer pipeline'!$P$4:$P$503,_calc!$E$432))=0,"",INDEX('Dealer pipeline'!$P$4:$P$503,_calc!$E$432))&amp;". ")&amp;IF(LEN(IF(LEN(INDEX('Dealer pipeline'!$R$4:$R$503,_calc!$E$432))=0,"",INDEX('Dealer pipeline'!$R$4:$R$503,_calc!$E$432)))=0,"","Owner: "&amp;IF(LEN(INDEX('Dealer pipeline'!$R$4:$R$503,_calc!$E$432))=0,"",INDEX('Dealer pipeline'!$R$4:$R$503,_calc!$E$432))&amp;". ")&amp;IF(LEN(IF(LEN(INDEX('Dealer pipeline'!$S$4:$S$503,_calc!$E$432))=0,"",INDEX('Dealer pipeline'!$S$4:$S$503,_calc!$E$432)))=0,"","Backup: "&amp;IF(LEN(INDEX('Dealer pipeline'!$S$4:$S$503,_calc!$E$432))=0,"",INDEX('Dealer pipeline'!$S$4:$S$503,_calc!$E$432))&amp;". ")&amp;IF(LEN(IF(LEN(INDEX('Dealer pipeline'!$T$4:$T$503,_calc!$E$432))=0,"",INDEX('Dealer pipeline'!$T$4:$T$503,_calc!$E$432)))=0,"",IF(LEN(INDEX('Dealer pipeline'!$T$4:$T$503,_calc!$E$432))=0,"",INDEX('Dealer pipeline'!$T$4:$T$503,_calc!$E$432)))),TRIM(IF(LEN(IF(LEN(INDEX('My equipment'!$C$4:$C$503,(_calc!$E$432-500)))=0,"",INDEX('My equipment'!$C$4:$C$503,(_calc!$E$432-500))))=0,"","Model: "&amp;IF(LEN(INDEX('My equipment'!$C$4:$C$503,(_calc!$E$432-500)))=0,"",INDEX('My equipment'!$C$4:$C$503,(_calc!$E$432-500)))&amp;". ")&amp;IF(LEN(IF(LEN(INDEX('My equipment'!$D$4:$D$503,(_calc!$E$432-500)))=0,"",INDEX('My equipment'!$D$4:$D$503,(_calc!$E$432-500))))=0,"","Serial: "&amp;IF(LEN(INDEX('My equipment'!$D$4:$D$503,(_calc!$E$432-500)))=0,"",INDEX('My equipment'!$D$4:$D$503,(_calc!$E$432-500)))&amp;". ")&amp;IF(LEN(IF(ISNUMBER(INDEX('My equipment'!$J$4:$J$503,(_calc!$E$432-500))),TEXT(INDEX('My equipment'!$J$4:$J$503,(_calc!$E$432-500)),"yyyy-mm-dd"),""))=0,"","Parts end: "&amp;IF(ISNUMBER(INDEX('My equipment'!$J$4:$J$503,(_calc!$E$432-500))),TEXT(INDEX('My equipment'!$J$4:$J$503,(_calc!$E$432-500)),"yyyy-mm-dd"),"")&amp;". ")&amp;IF(LEN(IF(ISNUMBER(INDEX('My equipment'!$L$4:$L$503,(_calc!$E$432-500))),TEXT(INDEX('My equipment'!$L$4:$L$503,(_calc!$E$432-500)),"yyyy-mm-dd"),""))=0,"","Labor end: "&amp;IF(ISNUMBER(INDEX('My equipment'!$L$4:$L$503,(_calc!$E$432-500))),TEXT(INDEX('My equipment'!$L$4:$L$503,(_calc!$E$432-500)),"yyyy-mm-dd"),"")&amp;". ")&amp;IF(LEN(IF(ISNUMBER(INDEX('My equipment'!$P$4:$P$503,(_calc!$E$432-500))),TEXT(INDEX('My equipment'!$P$4:$P$503,(_calc!$E$432-500)),"yyyy-mm-dd"),""))=0,"","Check by: "&amp;IF(ISNUMBER(INDEX('My equipment'!$P$4:$P$503,(_calc!$E$432-500))),TEXT(INDEX('My equipment'!$P$4:$P$503,(_calc!$E$432-500)),"yyyy-mm-dd"),"")&amp;". ")&amp;IF(LEN(IF(LEN(INDEX('My equipment'!$Q$4:$Q$503,(_calc!$E$432-500)))=0,"",INDEX('My equipment'!$Q$4:$Q$503,(_calc!$E$432-500))))=0,"","Claim status: "&amp;IF(LEN(INDEX('My equipment'!$Q$4:$Q$503,(_calc!$E$432-500)))=0,"",INDEX('My equipment'!$Q$4:$Q$503,(_calc!$E$432-500)))&amp;". ")&amp;IF(LEN(IF(LEN(INDEX('My equipment'!$R$4:$R$503,(_calc!$E$432-500)))=0,"",INDEX('My equipment'!$R$4:$R$503,(_calc!$E$432-500))))=0,"","Claims contact: "&amp;IF(LEN(INDEX('My equipment'!$R$4:$R$503,(_calc!$E$432-500)))=0,"",INDEX('My equipment'!$R$4:$R$503,(_calc!$E$432-500)))&amp;". ")&amp;IF(LEN(IF(LEN(INDEX('My equipment'!$S$4:$S$503,(_calc!$E$432-500)))=0,"",INDEX('My equipment'!$S$4:$S$503,(_calc!$E$432-500))))=0,"","Claims email: "&amp;IF(LEN(INDEX('My equipment'!$S$4:$S$503,(_calc!$E$432-500)))=0,"",INDEX('My equipment'!$S$4:$S$503,(_calc!$E$432-500)))&amp;". ")&amp;IF(LEN(IF(LEN(INDEX('My equipment'!$U$4:$U$503,(_calc!$E$432-500)))=0,"",INDEX('My equipment'!$U$4:$U$503,(_calc!$E$432-500))))=0,"","Registered: "&amp;IF(LEN(INDEX('My equipment'!$U$4:$U$503,(_calc!$E$432-500)))=0,"",INDEX('My equipment'!$U$4:$U$503,(_calc!$E$432-500)))&amp;". ")&amp;IF(LEN(IF(LEN(INDEX('My equipment'!$V$4:$V$503,(_calc!$E$432-500)))=0,"",INDEX('My equipment'!$V$4:$V$503,(_calc!$E$432-500))))=0,"","Proof on file: "&amp;IF(LEN(INDEX('My equipment'!$V$4:$V$503,(_calc!$E$432-500)))=0,"",INDEX('My equipment'!$V$4:$V$503,(_calc!$E$432-500)))&amp;". ")&amp;IF(LEN(IF(LEN(INDEX('My equipment'!$W$4:$W$503,(_calc!$E$432-500)))=0,"",INDEX('My equipment'!$W$4:$W$503,(_calc!$E$432-500))))=0,"","Claim ref: "&amp;IF(LEN(INDEX('My equipment'!$W$4:$W$503,(_calc!$E$432-500)))=0,"",INDEX('My equipment'!$W$4:$W$503,(_calc!$E$432-500)))&amp;". ")&amp;IF(LEN(IF(LEN(INDEX('My equipment'!$Y$4:$Y$503,(_calc!$E$432-500)))=0,"",INDEX('My equipment'!$Y$4:$Y$503,(_calc!$E$432-500))))=0,"",IF(LEN(INDEX('My equipment'!$Y$4:$Y$503,(_calc!$E$432-500)))=0,"",INDEX('My equipment'!$Y$4:$Y$503,(_calc!$E$432-500)))))))</f>
        <v/>
      </c>
      <c r="G430" s="54">
        <f>IF(_calc!$E$432="","",IF(_calc!$E$432&lt;=500,"",IF(LEN(INDEX('My equipment'!$X$4:$X$503,(_calc!$E$432-500)))=0,"",INDEX('My equipment'!$X$4:$X$503,(_calc!$E$432-500)))))</f>
        <v/>
      </c>
      <c r="K430" s="54">
        <f>IF(_calc!$E$432="","",IF(_calc!$E$432&lt;=500,"",IF(LEN(INDEX('My equipment'!$T$4:$T$503,(_calc!$E$432-500)))=0,"",INDEX('My equipment'!$T$4:$T$503,(_calc!$E$432-500)))))</f>
        <v/>
      </c>
    </row>
    <row r="431">
      <c r="A431" s="54">
        <f>IF(_calc!$E$433="","",IF(_calc!$E$433&lt;=500,"Warranty – "&amp;IF(LEN(INDEX('Dealer pipeline'!$C$4:$C$503,_calc!$E$433))=0,"",INDEX('Dealer pipeline'!$C$4:$C$503,_calc!$E$433))&amp;" – "&amp;IF(LEN(INDEX('Dealer pipeline'!$D$4:$D$503,_calc!$E$433))=0,"",INDEX('Dealer pipeline'!$D$4:$D$503,_calc!$E$433))&amp;" – "&amp;IF(LEN(INDEX('Dealer pipeline'!$A$4:$A$503,_calc!$E$433))=0,"",INDEX('Dealer pipeline'!$A$4:$A$503,_calc!$E$433)),"Warranty – "&amp;IF(LEN(INDEX('My equipment'!$A$4:$A$503,(_calc!$E$433-500)))=0,"",INDEX('My equipment'!$A$4:$A$503,(_calc!$E$433-500)))&amp;" – "&amp;IF(LEN(INDEX('My equipment'!$D$4:$D$503,(_calc!$E$433-500)))=0,"",INDEX('My equipment'!$D$4:$D$503,(_calc!$E$433-500)))))</f>
        <v/>
      </c>
      <c r="B431" s="54">
        <f>IF(_calc!$E$433="","",IF(_calc!$E$433&lt;=500,IF(ISNUMBER(INDEX('Dealer pipeline'!$M$4:$M$503,_calc!$E$433)),TEXT(INDEX('Dealer pipeline'!$M$4:$M$503,_calc!$E$433),"yyyy-mm-dd"),""),IF(ISNUMBER(INDEX('My equipment'!$M$4:$M$503,(_calc!$E$433-500))),TEXT(INDEX('My equipment'!$M$4:$M$503,(_calc!$E$433-500)),"yyyy-mm-dd"),"")))</f>
        <v/>
      </c>
      <c r="C431" s="54">
        <f>IF(_calc!$E$433="","",IF(_calc!$E$433&lt;=500,"Warranty","Warranty"))</f>
        <v/>
      </c>
      <c r="D431" s="54">
        <f>IF(_calc!$E$433="","",IF(_calc!$E$433&lt;=500,IF(ISNUMBER(INDEX('Dealer pipeline'!$H$4:$H$503,_calc!$E$433)),TEXT(INDEX('Dealer pipeline'!$H$4:$H$503,_calc!$E$433),"yyyy-mm-dd"),""),IF(ISNUMBER(INDEX('My equipment'!$H$4:$H$503,(_calc!$E$433-500))),TEXT(INDEX('My equipment'!$H$4:$H$503,(_calc!$E$433-500)),"yyyy-mm-dd"),"")))</f>
        <v/>
      </c>
      <c r="F431" s="54">
        <f>IF(_calc!$E$433="","",IF(_calc!$E$433&lt;=500,TRIM(IF(LEN(IF(LEN(INDEX('Dealer pipeline'!$A$4:$A$503,_calc!$E$433))=0,"",INDEX('Dealer pipeline'!$A$4:$A$503,_calc!$E$433)))=0,"","Customer: "&amp;IF(LEN(INDEX('Dealer pipeline'!$A$4:$A$503,_calc!$E$433))=0,"",INDEX('Dealer pipeline'!$A$4:$A$503,_calc!$E$433))&amp;". ")&amp;IF(LEN(IF(LEN(INDEX('Dealer pipeline'!$B$4:$B$503,_calc!$E$433))=0,"",INDEX('Dealer pipeline'!$B$4:$B$503,_calc!$E$433)))=0,"","Contact: "&amp;IF(LEN(INDEX('Dealer pipeline'!$B$4:$B$503,_calc!$E$433))=0,"",INDEX('Dealer pipeline'!$B$4:$B$503,_calc!$E$433))&amp;". ")&amp;IF(LEN(IF(LEN(INDEX('Dealer pipeline'!$D$4:$D$503,_calc!$E$433))=0,"",INDEX('Dealer pipeline'!$D$4:$D$503,_calc!$E$433)))=0,"","Serial: "&amp;IF(LEN(INDEX('Dealer pipeline'!$D$4:$D$503,_calc!$E$433))=0,"",INDEX('Dealer pipeline'!$D$4:$D$503,_calc!$E$433))&amp;". ")&amp;IF(LEN(IF(ISNUMBER(INDEX('Dealer pipeline'!$J$4:$J$503,_calc!$E$433)),TEXT(INDEX('Dealer pipeline'!$J$4:$J$503,_calc!$E$433),"yyyy-mm-dd"),""))=0,"","Parts end: "&amp;IF(ISNUMBER(INDEX('Dealer pipeline'!$J$4:$J$503,_calc!$E$433)),TEXT(INDEX('Dealer pipeline'!$J$4:$J$503,_calc!$E$433),"yyyy-mm-dd"),"")&amp;". ")&amp;IF(LEN(IF(ISNUMBER(INDEX('Dealer pipeline'!$L$4:$L$503,_calc!$E$433)),TEXT(INDEX('Dealer pipeline'!$L$4:$L$503,_calc!$E$433),"yyyy-mm-dd"),""))=0,"","Labor end: "&amp;IF(ISNUMBER(INDEX('Dealer pipeline'!$L$4:$L$503,_calc!$E$433)),TEXT(INDEX('Dealer pipeline'!$L$4:$L$503,_calc!$E$433),"yyyy-mm-dd"),"")&amp;". ")&amp;IF(LEN(IF(LEN(INDEX('Dealer pipeline'!$Q$4:$Q$503,_calc!$E$433))=0,"",INDEX('Dealer pipeline'!$Q$4:$Q$503,_calc!$E$433)))=0,"","Status: "&amp;IF(LEN(INDEX('Dealer pipeline'!$Q$4:$Q$503,_calc!$E$433))=0,"",INDEX('Dealer pipeline'!$Q$4:$Q$503,_calc!$E$433))&amp;". ")&amp;IF(LEN(IF(LEN(INDEX('Dealer pipeline'!$P$4:$P$503,_calc!$E$433))=0,"",INDEX('Dealer pipeline'!$P$4:$P$503,_calc!$E$433)))=0,"","Last touch: "&amp;IF(LEN(INDEX('Dealer pipeline'!$P$4:$P$503,_calc!$E$433))=0,"",INDEX('Dealer pipeline'!$P$4:$P$503,_calc!$E$433))&amp;". ")&amp;IF(LEN(IF(LEN(INDEX('Dealer pipeline'!$R$4:$R$503,_calc!$E$433))=0,"",INDEX('Dealer pipeline'!$R$4:$R$503,_calc!$E$433)))=0,"","Owner: "&amp;IF(LEN(INDEX('Dealer pipeline'!$R$4:$R$503,_calc!$E$433))=0,"",INDEX('Dealer pipeline'!$R$4:$R$503,_calc!$E$433))&amp;". ")&amp;IF(LEN(IF(LEN(INDEX('Dealer pipeline'!$S$4:$S$503,_calc!$E$433))=0,"",INDEX('Dealer pipeline'!$S$4:$S$503,_calc!$E$433)))=0,"","Backup: "&amp;IF(LEN(INDEX('Dealer pipeline'!$S$4:$S$503,_calc!$E$433))=0,"",INDEX('Dealer pipeline'!$S$4:$S$503,_calc!$E$433))&amp;". ")&amp;IF(LEN(IF(LEN(INDEX('Dealer pipeline'!$T$4:$T$503,_calc!$E$433))=0,"",INDEX('Dealer pipeline'!$T$4:$T$503,_calc!$E$433)))=0,"",IF(LEN(INDEX('Dealer pipeline'!$T$4:$T$503,_calc!$E$433))=0,"",INDEX('Dealer pipeline'!$T$4:$T$503,_calc!$E$433)))),TRIM(IF(LEN(IF(LEN(INDEX('My equipment'!$C$4:$C$503,(_calc!$E$433-500)))=0,"",INDEX('My equipment'!$C$4:$C$503,(_calc!$E$433-500))))=0,"","Model: "&amp;IF(LEN(INDEX('My equipment'!$C$4:$C$503,(_calc!$E$433-500)))=0,"",INDEX('My equipment'!$C$4:$C$503,(_calc!$E$433-500)))&amp;". ")&amp;IF(LEN(IF(LEN(INDEX('My equipment'!$D$4:$D$503,(_calc!$E$433-500)))=0,"",INDEX('My equipment'!$D$4:$D$503,(_calc!$E$433-500))))=0,"","Serial: "&amp;IF(LEN(INDEX('My equipment'!$D$4:$D$503,(_calc!$E$433-500)))=0,"",INDEX('My equipment'!$D$4:$D$503,(_calc!$E$433-500)))&amp;". ")&amp;IF(LEN(IF(ISNUMBER(INDEX('My equipment'!$J$4:$J$503,(_calc!$E$433-500))),TEXT(INDEX('My equipment'!$J$4:$J$503,(_calc!$E$433-500)),"yyyy-mm-dd"),""))=0,"","Parts end: "&amp;IF(ISNUMBER(INDEX('My equipment'!$J$4:$J$503,(_calc!$E$433-500))),TEXT(INDEX('My equipment'!$J$4:$J$503,(_calc!$E$433-500)),"yyyy-mm-dd"),"")&amp;". ")&amp;IF(LEN(IF(ISNUMBER(INDEX('My equipment'!$L$4:$L$503,(_calc!$E$433-500))),TEXT(INDEX('My equipment'!$L$4:$L$503,(_calc!$E$433-500)),"yyyy-mm-dd"),""))=0,"","Labor end: "&amp;IF(ISNUMBER(INDEX('My equipment'!$L$4:$L$503,(_calc!$E$433-500))),TEXT(INDEX('My equipment'!$L$4:$L$503,(_calc!$E$433-500)),"yyyy-mm-dd"),"")&amp;". ")&amp;IF(LEN(IF(ISNUMBER(INDEX('My equipment'!$P$4:$P$503,(_calc!$E$433-500))),TEXT(INDEX('My equipment'!$P$4:$P$503,(_calc!$E$433-500)),"yyyy-mm-dd"),""))=0,"","Check by: "&amp;IF(ISNUMBER(INDEX('My equipment'!$P$4:$P$503,(_calc!$E$433-500))),TEXT(INDEX('My equipment'!$P$4:$P$503,(_calc!$E$433-500)),"yyyy-mm-dd"),"")&amp;". ")&amp;IF(LEN(IF(LEN(INDEX('My equipment'!$Q$4:$Q$503,(_calc!$E$433-500)))=0,"",INDEX('My equipment'!$Q$4:$Q$503,(_calc!$E$433-500))))=0,"","Claim status: "&amp;IF(LEN(INDEX('My equipment'!$Q$4:$Q$503,(_calc!$E$433-500)))=0,"",INDEX('My equipment'!$Q$4:$Q$503,(_calc!$E$433-500)))&amp;". ")&amp;IF(LEN(IF(LEN(INDEX('My equipment'!$R$4:$R$503,(_calc!$E$433-500)))=0,"",INDEX('My equipment'!$R$4:$R$503,(_calc!$E$433-500))))=0,"","Claims contact: "&amp;IF(LEN(INDEX('My equipment'!$R$4:$R$503,(_calc!$E$433-500)))=0,"",INDEX('My equipment'!$R$4:$R$503,(_calc!$E$433-500)))&amp;". ")&amp;IF(LEN(IF(LEN(INDEX('My equipment'!$S$4:$S$503,(_calc!$E$433-500)))=0,"",INDEX('My equipment'!$S$4:$S$503,(_calc!$E$433-500))))=0,"","Claims email: "&amp;IF(LEN(INDEX('My equipment'!$S$4:$S$503,(_calc!$E$433-500)))=0,"",INDEX('My equipment'!$S$4:$S$503,(_calc!$E$433-500)))&amp;". ")&amp;IF(LEN(IF(LEN(INDEX('My equipment'!$U$4:$U$503,(_calc!$E$433-500)))=0,"",INDEX('My equipment'!$U$4:$U$503,(_calc!$E$433-500))))=0,"","Registered: "&amp;IF(LEN(INDEX('My equipment'!$U$4:$U$503,(_calc!$E$433-500)))=0,"",INDEX('My equipment'!$U$4:$U$503,(_calc!$E$433-500)))&amp;". ")&amp;IF(LEN(IF(LEN(INDEX('My equipment'!$V$4:$V$503,(_calc!$E$433-500)))=0,"",INDEX('My equipment'!$V$4:$V$503,(_calc!$E$433-500))))=0,"","Proof on file: "&amp;IF(LEN(INDEX('My equipment'!$V$4:$V$503,(_calc!$E$433-500)))=0,"",INDEX('My equipment'!$V$4:$V$503,(_calc!$E$433-500)))&amp;". ")&amp;IF(LEN(IF(LEN(INDEX('My equipment'!$W$4:$W$503,(_calc!$E$433-500)))=0,"",INDEX('My equipment'!$W$4:$W$503,(_calc!$E$433-500))))=0,"","Claim ref: "&amp;IF(LEN(INDEX('My equipment'!$W$4:$W$503,(_calc!$E$433-500)))=0,"",INDEX('My equipment'!$W$4:$W$503,(_calc!$E$433-500)))&amp;". ")&amp;IF(LEN(IF(LEN(INDEX('My equipment'!$Y$4:$Y$503,(_calc!$E$433-500)))=0,"",INDEX('My equipment'!$Y$4:$Y$503,(_calc!$E$433-500))))=0,"",IF(LEN(INDEX('My equipment'!$Y$4:$Y$503,(_calc!$E$433-500)))=0,"",INDEX('My equipment'!$Y$4:$Y$503,(_calc!$E$433-500)))))))</f>
        <v/>
      </c>
      <c r="G431" s="54">
        <f>IF(_calc!$E$433="","",IF(_calc!$E$433&lt;=500,"",IF(LEN(INDEX('My equipment'!$X$4:$X$503,(_calc!$E$433-500)))=0,"",INDEX('My equipment'!$X$4:$X$503,(_calc!$E$433-500)))))</f>
        <v/>
      </c>
      <c r="K431" s="54">
        <f>IF(_calc!$E$433="","",IF(_calc!$E$433&lt;=500,"",IF(LEN(INDEX('My equipment'!$T$4:$T$503,(_calc!$E$433-500)))=0,"",INDEX('My equipment'!$T$4:$T$503,(_calc!$E$433-500)))))</f>
        <v/>
      </c>
    </row>
    <row r="432">
      <c r="A432" s="54">
        <f>IF(_calc!$E$434="","",IF(_calc!$E$434&lt;=500,"Warranty – "&amp;IF(LEN(INDEX('Dealer pipeline'!$C$4:$C$503,_calc!$E$434))=0,"",INDEX('Dealer pipeline'!$C$4:$C$503,_calc!$E$434))&amp;" – "&amp;IF(LEN(INDEX('Dealer pipeline'!$D$4:$D$503,_calc!$E$434))=0,"",INDEX('Dealer pipeline'!$D$4:$D$503,_calc!$E$434))&amp;" – "&amp;IF(LEN(INDEX('Dealer pipeline'!$A$4:$A$503,_calc!$E$434))=0,"",INDEX('Dealer pipeline'!$A$4:$A$503,_calc!$E$434)),"Warranty – "&amp;IF(LEN(INDEX('My equipment'!$A$4:$A$503,(_calc!$E$434-500)))=0,"",INDEX('My equipment'!$A$4:$A$503,(_calc!$E$434-500)))&amp;" – "&amp;IF(LEN(INDEX('My equipment'!$D$4:$D$503,(_calc!$E$434-500)))=0,"",INDEX('My equipment'!$D$4:$D$503,(_calc!$E$434-500)))))</f>
        <v/>
      </c>
      <c r="B432" s="54">
        <f>IF(_calc!$E$434="","",IF(_calc!$E$434&lt;=500,IF(ISNUMBER(INDEX('Dealer pipeline'!$M$4:$M$503,_calc!$E$434)),TEXT(INDEX('Dealer pipeline'!$M$4:$M$503,_calc!$E$434),"yyyy-mm-dd"),""),IF(ISNUMBER(INDEX('My equipment'!$M$4:$M$503,(_calc!$E$434-500))),TEXT(INDEX('My equipment'!$M$4:$M$503,(_calc!$E$434-500)),"yyyy-mm-dd"),"")))</f>
        <v/>
      </c>
      <c r="C432" s="54">
        <f>IF(_calc!$E$434="","",IF(_calc!$E$434&lt;=500,"Warranty","Warranty"))</f>
        <v/>
      </c>
      <c r="D432" s="54">
        <f>IF(_calc!$E$434="","",IF(_calc!$E$434&lt;=500,IF(ISNUMBER(INDEX('Dealer pipeline'!$H$4:$H$503,_calc!$E$434)),TEXT(INDEX('Dealer pipeline'!$H$4:$H$503,_calc!$E$434),"yyyy-mm-dd"),""),IF(ISNUMBER(INDEX('My equipment'!$H$4:$H$503,(_calc!$E$434-500))),TEXT(INDEX('My equipment'!$H$4:$H$503,(_calc!$E$434-500)),"yyyy-mm-dd"),"")))</f>
        <v/>
      </c>
      <c r="F432" s="54">
        <f>IF(_calc!$E$434="","",IF(_calc!$E$434&lt;=500,TRIM(IF(LEN(IF(LEN(INDEX('Dealer pipeline'!$A$4:$A$503,_calc!$E$434))=0,"",INDEX('Dealer pipeline'!$A$4:$A$503,_calc!$E$434)))=0,"","Customer: "&amp;IF(LEN(INDEX('Dealer pipeline'!$A$4:$A$503,_calc!$E$434))=0,"",INDEX('Dealer pipeline'!$A$4:$A$503,_calc!$E$434))&amp;". ")&amp;IF(LEN(IF(LEN(INDEX('Dealer pipeline'!$B$4:$B$503,_calc!$E$434))=0,"",INDEX('Dealer pipeline'!$B$4:$B$503,_calc!$E$434)))=0,"","Contact: "&amp;IF(LEN(INDEX('Dealer pipeline'!$B$4:$B$503,_calc!$E$434))=0,"",INDEX('Dealer pipeline'!$B$4:$B$503,_calc!$E$434))&amp;". ")&amp;IF(LEN(IF(LEN(INDEX('Dealer pipeline'!$D$4:$D$503,_calc!$E$434))=0,"",INDEX('Dealer pipeline'!$D$4:$D$503,_calc!$E$434)))=0,"","Serial: "&amp;IF(LEN(INDEX('Dealer pipeline'!$D$4:$D$503,_calc!$E$434))=0,"",INDEX('Dealer pipeline'!$D$4:$D$503,_calc!$E$434))&amp;". ")&amp;IF(LEN(IF(ISNUMBER(INDEX('Dealer pipeline'!$J$4:$J$503,_calc!$E$434)),TEXT(INDEX('Dealer pipeline'!$J$4:$J$503,_calc!$E$434),"yyyy-mm-dd"),""))=0,"","Parts end: "&amp;IF(ISNUMBER(INDEX('Dealer pipeline'!$J$4:$J$503,_calc!$E$434)),TEXT(INDEX('Dealer pipeline'!$J$4:$J$503,_calc!$E$434),"yyyy-mm-dd"),"")&amp;". ")&amp;IF(LEN(IF(ISNUMBER(INDEX('Dealer pipeline'!$L$4:$L$503,_calc!$E$434)),TEXT(INDEX('Dealer pipeline'!$L$4:$L$503,_calc!$E$434),"yyyy-mm-dd"),""))=0,"","Labor end: "&amp;IF(ISNUMBER(INDEX('Dealer pipeline'!$L$4:$L$503,_calc!$E$434)),TEXT(INDEX('Dealer pipeline'!$L$4:$L$503,_calc!$E$434),"yyyy-mm-dd"),"")&amp;". ")&amp;IF(LEN(IF(LEN(INDEX('Dealer pipeline'!$Q$4:$Q$503,_calc!$E$434))=0,"",INDEX('Dealer pipeline'!$Q$4:$Q$503,_calc!$E$434)))=0,"","Status: "&amp;IF(LEN(INDEX('Dealer pipeline'!$Q$4:$Q$503,_calc!$E$434))=0,"",INDEX('Dealer pipeline'!$Q$4:$Q$503,_calc!$E$434))&amp;". ")&amp;IF(LEN(IF(LEN(INDEX('Dealer pipeline'!$P$4:$P$503,_calc!$E$434))=0,"",INDEX('Dealer pipeline'!$P$4:$P$503,_calc!$E$434)))=0,"","Last touch: "&amp;IF(LEN(INDEX('Dealer pipeline'!$P$4:$P$503,_calc!$E$434))=0,"",INDEX('Dealer pipeline'!$P$4:$P$503,_calc!$E$434))&amp;". ")&amp;IF(LEN(IF(LEN(INDEX('Dealer pipeline'!$R$4:$R$503,_calc!$E$434))=0,"",INDEX('Dealer pipeline'!$R$4:$R$503,_calc!$E$434)))=0,"","Owner: "&amp;IF(LEN(INDEX('Dealer pipeline'!$R$4:$R$503,_calc!$E$434))=0,"",INDEX('Dealer pipeline'!$R$4:$R$503,_calc!$E$434))&amp;". ")&amp;IF(LEN(IF(LEN(INDEX('Dealer pipeline'!$S$4:$S$503,_calc!$E$434))=0,"",INDEX('Dealer pipeline'!$S$4:$S$503,_calc!$E$434)))=0,"","Backup: "&amp;IF(LEN(INDEX('Dealer pipeline'!$S$4:$S$503,_calc!$E$434))=0,"",INDEX('Dealer pipeline'!$S$4:$S$503,_calc!$E$434))&amp;". ")&amp;IF(LEN(IF(LEN(INDEX('Dealer pipeline'!$T$4:$T$503,_calc!$E$434))=0,"",INDEX('Dealer pipeline'!$T$4:$T$503,_calc!$E$434)))=0,"",IF(LEN(INDEX('Dealer pipeline'!$T$4:$T$503,_calc!$E$434))=0,"",INDEX('Dealer pipeline'!$T$4:$T$503,_calc!$E$434)))),TRIM(IF(LEN(IF(LEN(INDEX('My equipment'!$C$4:$C$503,(_calc!$E$434-500)))=0,"",INDEX('My equipment'!$C$4:$C$503,(_calc!$E$434-500))))=0,"","Model: "&amp;IF(LEN(INDEX('My equipment'!$C$4:$C$503,(_calc!$E$434-500)))=0,"",INDEX('My equipment'!$C$4:$C$503,(_calc!$E$434-500)))&amp;". ")&amp;IF(LEN(IF(LEN(INDEX('My equipment'!$D$4:$D$503,(_calc!$E$434-500)))=0,"",INDEX('My equipment'!$D$4:$D$503,(_calc!$E$434-500))))=0,"","Serial: "&amp;IF(LEN(INDEX('My equipment'!$D$4:$D$503,(_calc!$E$434-500)))=0,"",INDEX('My equipment'!$D$4:$D$503,(_calc!$E$434-500)))&amp;". ")&amp;IF(LEN(IF(ISNUMBER(INDEX('My equipment'!$J$4:$J$503,(_calc!$E$434-500))),TEXT(INDEX('My equipment'!$J$4:$J$503,(_calc!$E$434-500)),"yyyy-mm-dd"),""))=0,"","Parts end: "&amp;IF(ISNUMBER(INDEX('My equipment'!$J$4:$J$503,(_calc!$E$434-500))),TEXT(INDEX('My equipment'!$J$4:$J$503,(_calc!$E$434-500)),"yyyy-mm-dd"),"")&amp;". ")&amp;IF(LEN(IF(ISNUMBER(INDEX('My equipment'!$L$4:$L$503,(_calc!$E$434-500))),TEXT(INDEX('My equipment'!$L$4:$L$503,(_calc!$E$434-500)),"yyyy-mm-dd"),""))=0,"","Labor end: "&amp;IF(ISNUMBER(INDEX('My equipment'!$L$4:$L$503,(_calc!$E$434-500))),TEXT(INDEX('My equipment'!$L$4:$L$503,(_calc!$E$434-500)),"yyyy-mm-dd"),"")&amp;". ")&amp;IF(LEN(IF(ISNUMBER(INDEX('My equipment'!$P$4:$P$503,(_calc!$E$434-500))),TEXT(INDEX('My equipment'!$P$4:$P$503,(_calc!$E$434-500)),"yyyy-mm-dd"),""))=0,"","Check by: "&amp;IF(ISNUMBER(INDEX('My equipment'!$P$4:$P$503,(_calc!$E$434-500))),TEXT(INDEX('My equipment'!$P$4:$P$503,(_calc!$E$434-500)),"yyyy-mm-dd"),"")&amp;". ")&amp;IF(LEN(IF(LEN(INDEX('My equipment'!$Q$4:$Q$503,(_calc!$E$434-500)))=0,"",INDEX('My equipment'!$Q$4:$Q$503,(_calc!$E$434-500))))=0,"","Claim status: "&amp;IF(LEN(INDEX('My equipment'!$Q$4:$Q$503,(_calc!$E$434-500)))=0,"",INDEX('My equipment'!$Q$4:$Q$503,(_calc!$E$434-500)))&amp;". ")&amp;IF(LEN(IF(LEN(INDEX('My equipment'!$R$4:$R$503,(_calc!$E$434-500)))=0,"",INDEX('My equipment'!$R$4:$R$503,(_calc!$E$434-500))))=0,"","Claims contact: "&amp;IF(LEN(INDEX('My equipment'!$R$4:$R$503,(_calc!$E$434-500)))=0,"",INDEX('My equipment'!$R$4:$R$503,(_calc!$E$434-500)))&amp;". ")&amp;IF(LEN(IF(LEN(INDEX('My equipment'!$S$4:$S$503,(_calc!$E$434-500)))=0,"",INDEX('My equipment'!$S$4:$S$503,(_calc!$E$434-500))))=0,"","Claims email: "&amp;IF(LEN(INDEX('My equipment'!$S$4:$S$503,(_calc!$E$434-500)))=0,"",INDEX('My equipment'!$S$4:$S$503,(_calc!$E$434-500)))&amp;". ")&amp;IF(LEN(IF(LEN(INDEX('My equipment'!$U$4:$U$503,(_calc!$E$434-500)))=0,"",INDEX('My equipment'!$U$4:$U$503,(_calc!$E$434-500))))=0,"","Registered: "&amp;IF(LEN(INDEX('My equipment'!$U$4:$U$503,(_calc!$E$434-500)))=0,"",INDEX('My equipment'!$U$4:$U$503,(_calc!$E$434-500)))&amp;". ")&amp;IF(LEN(IF(LEN(INDEX('My equipment'!$V$4:$V$503,(_calc!$E$434-500)))=0,"",INDEX('My equipment'!$V$4:$V$503,(_calc!$E$434-500))))=0,"","Proof on file: "&amp;IF(LEN(INDEX('My equipment'!$V$4:$V$503,(_calc!$E$434-500)))=0,"",INDEX('My equipment'!$V$4:$V$503,(_calc!$E$434-500)))&amp;". ")&amp;IF(LEN(IF(LEN(INDEX('My equipment'!$W$4:$W$503,(_calc!$E$434-500)))=0,"",INDEX('My equipment'!$W$4:$W$503,(_calc!$E$434-500))))=0,"","Claim ref: "&amp;IF(LEN(INDEX('My equipment'!$W$4:$W$503,(_calc!$E$434-500)))=0,"",INDEX('My equipment'!$W$4:$W$503,(_calc!$E$434-500)))&amp;". ")&amp;IF(LEN(IF(LEN(INDEX('My equipment'!$Y$4:$Y$503,(_calc!$E$434-500)))=0,"",INDEX('My equipment'!$Y$4:$Y$503,(_calc!$E$434-500))))=0,"",IF(LEN(INDEX('My equipment'!$Y$4:$Y$503,(_calc!$E$434-500)))=0,"",INDEX('My equipment'!$Y$4:$Y$503,(_calc!$E$434-500)))))))</f>
        <v/>
      </c>
      <c r="G432" s="54">
        <f>IF(_calc!$E$434="","",IF(_calc!$E$434&lt;=500,"",IF(LEN(INDEX('My equipment'!$X$4:$X$503,(_calc!$E$434-500)))=0,"",INDEX('My equipment'!$X$4:$X$503,(_calc!$E$434-500)))))</f>
        <v/>
      </c>
      <c r="K432" s="54">
        <f>IF(_calc!$E$434="","",IF(_calc!$E$434&lt;=500,"",IF(LEN(INDEX('My equipment'!$T$4:$T$503,(_calc!$E$434-500)))=0,"",INDEX('My equipment'!$T$4:$T$503,(_calc!$E$434-500)))))</f>
        <v/>
      </c>
    </row>
    <row r="433">
      <c r="A433" s="54">
        <f>IF(_calc!$E$435="","",IF(_calc!$E$435&lt;=500,"Warranty – "&amp;IF(LEN(INDEX('Dealer pipeline'!$C$4:$C$503,_calc!$E$435))=0,"",INDEX('Dealer pipeline'!$C$4:$C$503,_calc!$E$435))&amp;" – "&amp;IF(LEN(INDEX('Dealer pipeline'!$D$4:$D$503,_calc!$E$435))=0,"",INDEX('Dealer pipeline'!$D$4:$D$503,_calc!$E$435))&amp;" – "&amp;IF(LEN(INDEX('Dealer pipeline'!$A$4:$A$503,_calc!$E$435))=0,"",INDEX('Dealer pipeline'!$A$4:$A$503,_calc!$E$435)),"Warranty – "&amp;IF(LEN(INDEX('My equipment'!$A$4:$A$503,(_calc!$E$435-500)))=0,"",INDEX('My equipment'!$A$4:$A$503,(_calc!$E$435-500)))&amp;" – "&amp;IF(LEN(INDEX('My equipment'!$D$4:$D$503,(_calc!$E$435-500)))=0,"",INDEX('My equipment'!$D$4:$D$503,(_calc!$E$435-500)))))</f>
        <v/>
      </c>
      <c r="B433" s="54">
        <f>IF(_calc!$E$435="","",IF(_calc!$E$435&lt;=500,IF(ISNUMBER(INDEX('Dealer pipeline'!$M$4:$M$503,_calc!$E$435)),TEXT(INDEX('Dealer pipeline'!$M$4:$M$503,_calc!$E$435),"yyyy-mm-dd"),""),IF(ISNUMBER(INDEX('My equipment'!$M$4:$M$503,(_calc!$E$435-500))),TEXT(INDEX('My equipment'!$M$4:$M$503,(_calc!$E$435-500)),"yyyy-mm-dd"),"")))</f>
        <v/>
      </c>
      <c r="C433" s="54">
        <f>IF(_calc!$E$435="","",IF(_calc!$E$435&lt;=500,"Warranty","Warranty"))</f>
        <v/>
      </c>
      <c r="D433" s="54">
        <f>IF(_calc!$E$435="","",IF(_calc!$E$435&lt;=500,IF(ISNUMBER(INDEX('Dealer pipeline'!$H$4:$H$503,_calc!$E$435)),TEXT(INDEX('Dealer pipeline'!$H$4:$H$503,_calc!$E$435),"yyyy-mm-dd"),""),IF(ISNUMBER(INDEX('My equipment'!$H$4:$H$503,(_calc!$E$435-500))),TEXT(INDEX('My equipment'!$H$4:$H$503,(_calc!$E$435-500)),"yyyy-mm-dd"),"")))</f>
        <v/>
      </c>
      <c r="F433" s="54">
        <f>IF(_calc!$E$435="","",IF(_calc!$E$435&lt;=500,TRIM(IF(LEN(IF(LEN(INDEX('Dealer pipeline'!$A$4:$A$503,_calc!$E$435))=0,"",INDEX('Dealer pipeline'!$A$4:$A$503,_calc!$E$435)))=0,"","Customer: "&amp;IF(LEN(INDEX('Dealer pipeline'!$A$4:$A$503,_calc!$E$435))=0,"",INDEX('Dealer pipeline'!$A$4:$A$503,_calc!$E$435))&amp;". ")&amp;IF(LEN(IF(LEN(INDEX('Dealer pipeline'!$B$4:$B$503,_calc!$E$435))=0,"",INDEX('Dealer pipeline'!$B$4:$B$503,_calc!$E$435)))=0,"","Contact: "&amp;IF(LEN(INDEX('Dealer pipeline'!$B$4:$B$503,_calc!$E$435))=0,"",INDEX('Dealer pipeline'!$B$4:$B$503,_calc!$E$435))&amp;". ")&amp;IF(LEN(IF(LEN(INDEX('Dealer pipeline'!$D$4:$D$503,_calc!$E$435))=0,"",INDEX('Dealer pipeline'!$D$4:$D$503,_calc!$E$435)))=0,"","Serial: "&amp;IF(LEN(INDEX('Dealer pipeline'!$D$4:$D$503,_calc!$E$435))=0,"",INDEX('Dealer pipeline'!$D$4:$D$503,_calc!$E$435))&amp;". ")&amp;IF(LEN(IF(ISNUMBER(INDEX('Dealer pipeline'!$J$4:$J$503,_calc!$E$435)),TEXT(INDEX('Dealer pipeline'!$J$4:$J$503,_calc!$E$435),"yyyy-mm-dd"),""))=0,"","Parts end: "&amp;IF(ISNUMBER(INDEX('Dealer pipeline'!$J$4:$J$503,_calc!$E$435)),TEXT(INDEX('Dealer pipeline'!$J$4:$J$503,_calc!$E$435),"yyyy-mm-dd"),"")&amp;". ")&amp;IF(LEN(IF(ISNUMBER(INDEX('Dealer pipeline'!$L$4:$L$503,_calc!$E$435)),TEXT(INDEX('Dealer pipeline'!$L$4:$L$503,_calc!$E$435),"yyyy-mm-dd"),""))=0,"","Labor end: "&amp;IF(ISNUMBER(INDEX('Dealer pipeline'!$L$4:$L$503,_calc!$E$435)),TEXT(INDEX('Dealer pipeline'!$L$4:$L$503,_calc!$E$435),"yyyy-mm-dd"),"")&amp;". ")&amp;IF(LEN(IF(LEN(INDEX('Dealer pipeline'!$Q$4:$Q$503,_calc!$E$435))=0,"",INDEX('Dealer pipeline'!$Q$4:$Q$503,_calc!$E$435)))=0,"","Status: "&amp;IF(LEN(INDEX('Dealer pipeline'!$Q$4:$Q$503,_calc!$E$435))=0,"",INDEX('Dealer pipeline'!$Q$4:$Q$503,_calc!$E$435))&amp;". ")&amp;IF(LEN(IF(LEN(INDEX('Dealer pipeline'!$P$4:$P$503,_calc!$E$435))=0,"",INDEX('Dealer pipeline'!$P$4:$P$503,_calc!$E$435)))=0,"","Last touch: "&amp;IF(LEN(INDEX('Dealer pipeline'!$P$4:$P$503,_calc!$E$435))=0,"",INDEX('Dealer pipeline'!$P$4:$P$503,_calc!$E$435))&amp;". ")&amp;IF(LEN(IF(LEN(INDEX('Dealer pipeline'!$R$4:$R$503,_calc!$E$435))=0,"",INDEX('Dealer pipeline'!$R$4:$R$503,_calc!$E$435)))=0,"","Owner: "&amp;IF(LEN(INDEX('Dealer pipeline'!$R$4:$R$503,_calc!$E$435))=0,"",INDEX('Dealer pipeline'!$R$4:$R$503,_calc!$E$435))&amp;". ")&amp;IF(LEN(IF(LEN(INDEX('Dealer pipeline'!$S$4:$S$503,_calc!$E$435))=0,"",INDEX('Dealer pipeline'!$S$4:$S$503,_calc!$E$435)))=0,"","Backup: "&amp;IF(LEN(INDEX('Dealer pipeline'!$S$4:$S$503,_calc!$E$435))=0,"",INDEX('Dealer pipeline'!$S$4:$S$503,_calc!$E$435))&amp;". ")&amp;IF(LEN(IF(LEN(INDEX('Dealer pipeline'!$T$4:$T$503,_calc!$E$435))=0,"",INDEX('Dealer pipeline'!$T$4:$T$503,_calc!$E$435)))=0,"",IF(LEN(INDEX('Dealer pipeline'!$T$4:$T$503,_calc!$E$435))=0,"",INDEX('Dealer pipeline'!$T$4:$T$503,_calc!$E$435)))),TRIM(IF(LEN(IF(LEN(INDEX('My equipment'!$C$4:$C$503,(_calc!$E$435-500)))=0,"",INDEX('My equipment'!$C$4:$C$503,(_calc!$E$435-500))))=0,"","Model: "&amp;IF(LEN(INDEX('My equipment'!$C$4:$C$503,(_calc!$E$435-500)))=0,"",INDEX('My equipment'!$C$4:$C$503,(_calc!$E$435-500)))&amp;". ")&amp;IF(LEN(IF(LEN(INDEX('My equipment'!$D$4:$D$503,(_calc!$E$435-500)))=0,"",INDEX('My equipment'!$D$4:$D$503,(_calc!$E$435-500))))=0,"","Serial: "&amp;IF(LEN(INDEX('My equipment'!$D$4:$D$503,(_calc!$E$435-500)))=0,"",INDEX('My equipment'!$D$4:$D$503,(_calc!$E$435-500)))&amp;". ")&amp;IF(LEN(IF(ISNUMBER(INDEX('My equipment'!$J$4:$J$503,(_calc!$E$435-500))),TEXT(INDEX('My equipment'!$J$4:$J$503,(_calc!$E$435-500)),"yyyy-mm-dd"),""))=0,"","Parts end: "&amp;IF(ISNUMBER(INDEX('My equipment'!$J$4:$J$503,(_calc!$E$435-500))),TEXT(INDEX('My equipment'!$J$4:$J$503,(_calc!$E$435-500)),"yyyy-mm-dd"),"")&amp;". ")&amp;IF(LEN(IF(ISNUMBER(INDEX('My equipment'!$L$4:$L$503,(_calc!$E$435-500))),TEXT(INDEX('My equipment'!$L$4:$L$503,(_calc!$E$435-500)),"yyyy-mm-dd"),""))=0,"","Labor end: "&amp;IF(ISNUMBER(INDEX('My equipment'!$L$4:$L$503,(_calc!$E$435-500))),TEXT(INDEX('My equipment'!$L$4:$L$503,(_calc!$E$435-500)),"yyyy-mm-dd"),"")&amp;". ")&amp;IF(LEN(IF(ISNUMBER(INDEX('My equipment'!$P$4:$P$503,(_calc!$E$435-500))),TEXT(INDEX('My equipment'!$P$4:$P$503,(_calc!$E$435-500)),"yyyy-mm-dd"),""))=0,"","Check by: "&amp;IF(ISNUMBER(INDEX('My equipment'!$P$4:$P$503,(_calc!$E$435-500))),TEXT(INDEX('My equipment'!$P$4:$P$503,(_calc!$E$435-500)),"yyyy-mm-dd"),"")&amp;". ")&amp;IF(LEN(IF(LEN(INDEX('My equipment'!$Q$4:$Q$503,(_calc!$E$435-500)))=0,"",INDEX('My equipment'!$Q$4:$Q$503,(_calc!$E$435-500))))=0,"","Claim status: "&amp;IF(LEN(INDEX('My equipment'!$Q$4:$Q$503,(_calc!$E$435-500)))=0,"",INDEX('My equipment'!$Q$4:$Q$503,(_calc!$E$435-500)))&amp;". ")&amp;IF(LEN(IF(LEN(INDEX('My equipment'!$R$4:$R$503,(_calc!$E$435-500)))=0,"",INDEX('My equipment'!$R$4:$R$503,(_calc!$E$435-500))))=0,"","Claims contact: "&amp;IF(LEN(INDEX('My equipment'!$R$4:$R$503,(_calc!$E$435-500)))=0,"",INDEX('My equipment'!$R$4:$R$503,(_calc!$E$435-500)))&amp;". ")&amp;IF(LEN(IF(LEN(INDEX('My equipment'!$S$4:$S$503,(_calc!$E$435-500)))=0,"",INDEX('My equipment'!$S$4:$S$503,(_calc!$E$435-500))))=0,"","Claims email: "&amp;IF(LEN(INDEX('My equipment'!$S$4:$S$503,(_calc!$E$435-500)))=0,"",INDEX('My equipment'!$S$4:$S$503,(_calc!$E$435-500)))&amp;". ")&amp;IF(LEN(IF(LEN(INDEX('My equipment'!$U$4:$U$503,(_calc!$E$435-500)))=0,"",INDEX('My equipment'!$U$4:$U$503,(_calc!$E$435-500))))=0,"","Registered: "&amp;IF(LEN(INDEX('My equipment'!$U$4:$U$503,(_calc!$E$435-500)))=0,"",INDEX('My equipment'!$U$4:$U$503,(_calc!$E$435-500)))&amp;". ")&amp;IF(LEN(IF(LEN(INDEX('My equipment'!$V$4:$V$503,(_calc!$E$435-500)))=0,"",INDEX('My equipment'!$V$4:$V$503,(_calc!$E$435-500))))=0,"","Proof on file: "&amp;IF(LEN(INDEX('My equipment'!$V$4:$V$503,(_calc!$E$435-500)))=0,"",INDEX('My equipment'!$V$4:$V$503,(_calc!$E$435-500)))&amp;". ")&amp;IF(LEN(IF(LEN(INDEX('My equipment'!$W$4:$W$503,(_calc!$E$435-500)))=0,"",INDEX('My equipment'!$W$4:$W$503,(_calc!$E$435-500))))=0,"","Claim ref: "&amp;IF(LEN(INDEX('My equipment'!$W$4:$W$503,(_calc!$E$435-500)))=0,"",INDEX('My equipment'!$W$4:$W$503,(_calc!$E$435-500)))&amp;". ")&amp;IF(LEN(IF(LEN(INDEX('My equipment'!$Y$4:$Y$503,(_calc!$E$435-500)))=0,"",INDEX('My equipment'!$Y$4:$Y$503,(_calc!$E$435-500))))=0,"",IF(LEN(INDEX('My equipment'!$Y$4:$Y$503,(_calc!$E$435-500)))=0,"",INDEX('My equipment'!$Y$4:$Y$503,(_calc!$E$435-500)))))))</f>
        <v/>
      </c>
      <c r="G433" s="54">
        <f>IF(_calc!$E$435="","",IF(_calc!$E$435&lt;=500,"",IF(LEN(INDEX('My equipment'!$X$4:$X$503,(_calc!$E$435-500)))=0,"",INDEX('My equipment'!$X$4:$X$503,(_calc!$E$435-500)))))</f>
        <v/>
      </c>
      <c r="K433" s="54">
        <f>IF(_calc!$E$435="","",IF(_calc!$E$435&lt;=500,"",IF(LEN(INDEX('My equipment'!$T$4:$T$503,(_calc!$E$435-500)))=0,"",INDEX('My equipment'!$T$4:$T$503,(_calc!$E$435-500)))))</f>
        <v/>
      </c>
    </row>
    <row r="434">
      <c r="A434" s="54">
        <f>IF(_calc!$E$436="","",IF(_calc!$E$436&lt;=500,"Warranty – "&amp;IF(LEN(INDEX('Dealer pipeline'!$C$4:$C$503,_calc!$E$436))=0,"",INDEX('Dealer pipeline'!$C$4:$C$503,_calc!$E$436))&amp;" – "&amp;IF(LEN(INDEX('Dealer pipeline'!$D$4:$D$503,_calc!$E$436))=0,"",INDEX('Dealer pipeline'!$D$4:$D$503,_calc!$E$436))&amp;" – "&amp;IF(LEN(INDEX('Dealer pipeline'!$A$4:$A$503,_calc!$E$436))=0,"",INDEX('Dealer pipeline'!$A$4:$A$503,_calc!$E$436)),"Warranty – "&amp;IF(LEN(INDEX('My equipment'!$A$4:$A$503,(_calc!$E$436-500)))=0,"",INDEX('My equipment'!$A$4:$A$503,(_calc!$E$436-500)))&amp;" – "&amp;IF(LEN(INDEX('My equipment'!$D$4:$D$503,(_calc!$E$436-500)))=0,"",INDEX('My equipment'!$D$4:$D$503,(_calc!$E$436-500)))))</f>
        <v/>
      </c>
      <c r="B434" s="54">
        <f>IF(_calc!$E$436="","",IF(_calc!$E$436&lt;=500,IF(ISNUMBER(INDEX('Dealer pipeline'!$M$4:$M$503,_calc!$E$436)),TEXT(INDEX('Dealer pipeline'!$M$4:$M$503,_calc!$E$436),"yyyy-mm-dd"),""),IF(ISNUMBER(INDEX('My equipment'!$M$4:$M$503,(_calc!$E$436-500))),TEXT(INDEX('My equipment'!$M$4:$M$503,(_calc!$E$436-500)),"yyyy-mm-dd"),"")))</f>
        <v/>
      </c>
      <c r="C434" s="54">
        <f>IF(_calc!$E$436="","",IF(_calc!$E$436&lt;=500,"Warranty","Warranty"))</f>
        <v/>
      </c>
      <c r="D434" s="54">
        <f>IF(_calc!$E$436="","",IF(_calc!$E$436&lt;=500,IF(ISNUMBER(INDEX('Dealer pipeline'!$H$4:$H$503,_calc!$E$436)),TEXT(INDEX('Dealer pipeline'!$H$4:$H$503,_calc!$E$436),"yyyy-mm-dd"),""),IF(ISNUMBER(INDEX('My equipment'!$H$4:$H$503,(_calc!$E$436-500))),TEXT(INDEX('My equipment'!$H$4:$H$503,(_calc!$E$436-500)),"yyyy-mm-dd"),"")))</f>
        <v/>
      </c>
      <c r="F434" s="54">
        <f>IF(_calc!$E$436="","",IF(_calc!$E$436&lt;=500,TRIM(IF(LEN(IF(LEN(INDEX('Dealer pipeline'!$A$4:$A$503,_calc!$E$436))=0,"",INDEX('Dealer pipeline'!$A$4:$A$503,_calc!$E$436)))=0,"","Customer: "&amp;IF(LEN(INDEX('Dealer pipeline'!$A$4:$A$503,_calc!$E$436))=0,"",INDEX('Dealer pipeline'!$A$4:$A$503,_calc!$E$436))&amp;". ")&amp;IF(LEN(IF(LEN(INDEX('Dealer pipeline'!$B$4:$B$503,_calc!$E$436))=0,"",INDEX('Dealer pipeline'!$B$4:$B$503,_calc!$E$436)))=0,"","Contact: "&amp;IF(LEN(INDEX('Dealer pipeline'!$B$4:$B$503,_calc!$E$436))=0,"",INDEX('Dealer pipeline'!$B$4:$B$503,_calc!$E$436))&amp;". ")&amp;IF(LEN(IF(LEN(INDEX('Dealer pipeline'!$D$4:$D$503,_calc!$E$436))=0,"",INDEX('Dealer pipeline'!$D$4:$D$503,_calc!$E$436)))=0,"","Serial: "&amp;IF(LEN(INDEX('Dealer pipeline'!$D$4:$D$503,_calc!$E$436))=0,"",INDEX('Dealer pipeline'!$D$4:$D$503,_calc!$E$436))&amp;". ")&amp;IF(LEN(IF(ISNUMBER(INDEX('Dealer pipeline'!$J$4:$J$503,_calc!$E$436)),TEXT(INDEX('Dealer pipeline'!$J$4:$J$503,_calc!$E$436),"yyyy-mm-dd"),""))=0,"","Parts end: "&amp;IF(ISNUMBER(INDEX('Dealer pipeline'!$J$4:$J$503,_calc!$E$436)),TEXT(INDEX('Dealer pipeline'!$J$4:$J$503,_calc!$E$436),"yyyy-mm-dd"),"")&amp;". ")&amp;IF(LEN(IF(ISNUMBER(INDEX('Dealer pipeline'!$L$4:$L$503,_calc!$E$436)),TEXT(INDEX('Dealer pipeline'!$L$4:$L$503,_calc!$E$436),"yyyy-mm-dd"),""))=0,"","Labor end: "&amp;IF(ISNUMBER(INDEX('Dealer pipeline'!$L$4:$L$503,_calc!$E$436)),TEXT(INDEX('Dealer pipeline'!$L$4:$L$503,_calc!$E$436),"yyyy-mm-dd"),"")&amp;". ")&amp;IF(LEN(IF(LEN(INDEX('Dealer pipeline'!$Q$4:$Q$503,_calc!$E$436))=0,"",INDEX('Dealer pipeline'!$Q$4:$Q$503,_calc!$E$436)))=0,"","Status: "&amp;IF(LEN(INDEX('Dealer pipeline'!$Q$4:$Q$503,_calc!$E$436))=0,"",INDEX('Dealer pipeline'!$Q$4:$Q$503,_calc!$E$436))&amp;". ")&amp;IF(LEN(IF(LEN(INDEX('Dealer pipeline'!$P$4:$P$503,_calc!$E$436))=0,"",INDEX('Dealer pipeline'!$P$4:$P$503,_calc!$E$436)))=0,"","Last touch: "&amp;IF(LEN(INDEX('Dealer pipeline'!$P$4:$P$503,_calc!$E$436))=0,"",INDEX('Dealer pipeline'!$P$4:$P$503,_calc!$E$436))&amp;". ")&amp;IF(LEN(IF(LEN(INDEX('Dealer pipeline'!$R$4:$R$503,_calc!$E$436))=0,"",INDEX('Dealer pipeline'!$R$4:$R$503,_calc!$E$436)))=0,"","Owner: "&amp;IF(LEN(INDEX('Dealer pipeline'!$R$4:$R$503,_calc!$E$436))=0,"",INDEX('Dealer pipeline'!$R$4:$R$503,_calc!$E$436))&amp;". ")&amp;IF(LEN(IF(LEN(INDEX('Dealer pipeline'!$S$4:$S$503,_calc!$E$436))=0,"",INDEX('Dealer pipeline'!$S$4:$S$503,_calc!$E$436)))=0,"","Backup: "&amp;IF(LEN(INDEX('Dealer pipeline'!$S$4:$S$503,_calc!$E$436))=0,"",INDEX('Dealer pipeline'!$S$4:$S$503,_calc!$E$436))&amp;". ")&amp;IF(LEN(IF(LEN(INDEX('Dealer pipeline'!$T$4:$T$503,_calc!$E$436))=0,"",INDEX('Dealer pipeline'!$T$4:$T$503,_calc!$E$436)))=0,"",IF(LEN(INDEX('Dealer pipeline'!$T$4:$T$503,_calc!$E$436))=0,"",INDEX('Dealer pipeline'!$T$4:$T$503,_calc!$E$436)))),TRIM(IF(LEN(IF(LEN(INDEX('My equipment'!$C$4:$C$503,(_calc!$E$436-500)))=0,"",INDEX('My equipment'!$C$4:$C$503,(_calc!$E$436-500))))=0,"","Model: "&amp;IF(LEN(INDEX('My equipment'!$C$4:$C$503,(_calc!$E$436-500)))=0,"",INDEX('My equipment'!$C$4:$C$503,(_calc!$E$436-500)))&amp;". ")&amp;IF(LEN(IF(LEN(INDEX('My equipment'!$D$4:$D$503,(_calc!$E$436-500)))=0,"",INDEX('My equipment'!$D$4:$D$503,(_calc!$E$436-500))))=0,"","Serial: "&amp;IF(LEN(INDEX('My equipment'!$D$4:$D$503,(_calc!$E$436-500)))=0,"",INDEX('My equipment'!$D$4:$D$503,(_calc!$E$436-500)))&amp;". ")&amp;IF(LEN(IF(ISNUMBER(INDEX('My equipment'!$J$4:$J$503,(_calc!$E$436-500))),TEXT(INDEX('My equipment'!$J$4:$J$503,(_calc!$E$436-500)),"yyyy-mm-dd"),""))=0,"","Parts end: "&amp;IF(ISNUMBER(INDEX('My equipment'!$J$4:$J$503,(_calc!$E$436-500))),TEXT(INDEX('My equipment'!$J$4:$J$503,(_calc!$E$436-500)),"yyyy-mm-dd"),"")&amp;". ")&amp;IF(LEN(IF(ISNUMBER(INDEX('My equipment'!$L$4:$L$503,(_calc!$E$436-500))),TEXT(INDEX('My equipment'!$L$4:$L$503,(_calc!$E$436-500)),"yyyy-mm-dd"),""))=0,"","Labor end: "&amp;IF(ISNUMBER(INDEX('My equipment'!$L$4:$L$503,(_calc!$E$436-500))),TEXT(INDEX('My equipment'!$L$4:$L$503,(_calc!$E$436-500)),"yyyy-mm-dd"),"")&amp;". ")&amp;IF(LEN(IF(ISNUMBER(INDEX('My equipment'!$P$4:$P$503,(_calc!$E$436-500))),TEXT(INDEX('My equipment'!$P$4:$P$503,(_calc!$E$436-500)),"yyyy-mm-dd"),""))=0,"","Check by: "&amp;IF(ISNUMBER(INDEX('My equipment'!$P$4:$P$503,(_calc!$E$436-500))),TEXT(INDEX('My equipment'!$P$4:$P$503,(_calc!$E$436-500)),"yyyy-mm-dd"),"")&amp;". ")&amp;IF(LEN(IF(LEN(INDEX('My equipment'!$Q$4:$Q$503,(_calc!$E$436-500)))=0,"",INDEX('My equipment'!$Q$4:$Q$503,(_calc!$E$436-500))))=0,"","Claim status: "&amp;IF(LEN(INDEX('My equipment'!$Q$4:$Q$503,(_calc!$E$436-500)))=0,"",INDEX('My equipment'!$Q$4:$Q$503,(_calc!$E$436-500)))&amp;". ")&amp;IF(LEN(IF(LEN(INDEX('My equipment'!$R$4:$R$503,(_calc!$E$436-500)))=0,"",INDEX('My equipment'!$R$4:$R$503,(_calc!$E$436-500))))=0,"","Claims contact: "&amp;IF(LEN(INDEX('My equipment'!$R$4:$R$503,(_calc!$E$436-500)))=0,"",INDEX('My equipment'!$R$4:$R$503,(_calc!$E$436-500)))&amp;". ")&amp;IF(LEN(IF(LEN(INDEX('My equipment'!$S$4:$S$503,(_calc!$E$436-500)))=0,"",INDEX('My equipment'!$S$4:$S$503,(_calc!$E$436-500))))=0,"","Claims email: "&amp;IF(LEN(INDEX('My equipment'!$S$4:$S$503,(_calc!$E$436-500)))=0,"",INDEX('My equipment'!$S$4:$S$503,(_calc!$E$436-500)))&amp;". ")&amp;IF(LEN(IF(LEN(INDEX('My equipment'!$U$4:$U$503,(_calc!$E$436-500)))=0,"",INDEX('My equipment'!$U$4:$U$503,(_calc!$E$436-500))))=0,"","Registered: "&amp;IF(LEN(INDEX('My equipment'!$U$4:$U$503,(_calc!$E$436-500)))=0,"",INDEX('My equipment'!$U$4:$U$503,(_calc!$E$436-500)))&amp;". ")&amp;IF(LEN(IF(LEN(INDEX('My equipment'!$V$4:$V$503,(_calc!$E$436-500)))=0,"",INDEX('My equipment'!$V$4:$V$503,(_calc!$E$436-500))))=0,"","Proof on file: "&amp;IF(LEN(INDEX('My equipment'!$V$4:$V$503,(_calc!$E$436-500)))=0,"",INDEX('My equipment'!$V$4:$V$503,(_calc!$E$436-500)))&amp;". ")&amp;IF(LEN(IF(LEN(INDEX('My equipment'!$W$4:$W$503,(_calc!$E$436-500)))=0,"",INDEX('My equipment'!$W$4:$W$503,(_calc!$E$436-500))))=0,"","Claim ref: "&amp;IF(LEN(INDEX('My equipment'!$W$4:$W$503,(_calc!$E$436-500)))=0,"",INDEX('My equipment'!$W$4:$W$503,(_calc!$E$436-500)))&amp;". ")&amp;IF(LEN(IF(LEN(INDEX('My equipment'!$Y$4:$Y$503,(_calc!$E$436-500)))=0,"",INDEX('My equipment'!$Y$4:$Y$503,(_calc!$E$436-500))))=0,"",IF(LEN(INDEX('My equipment'!$Y$4:$Y$503,(_calc!$E$436-500)))=0,"",INDEX('My equipment'!$Y$4:$Y$503,(_calc!$E$436-500)))))))</f>
        <v/>
      </c>
      <c r="G434" s="54">
        <f>IF(_calc!$E$436="","",IF(_calc!$E$436&lt;=500,"",IF(LEN(INDEX('My equipment'!$X$4:$X$503,(_calc!$E$436-500)))=0,"",INDEX('My equipment'!$X$4:$X$503,(_calc!$E$436-500)))))</f>
        <v/>
      </c>
      <c r="K434" s="54">
        <f>IF(_calc!$E$436="","",IF(_calc!$E$436&lt;=500,"",IF(LEN(INDEX('My equipment'!$T$4:$T$503,(_calc!$E$436-500)))=0,"",INDEX('My equipment'!$T$4:$T$503,(_calc!$E$436-500)))))</f>
        <v/>
      </c>
    </row>
    <row r="435">
      <c r="A435" s="54">
        <f>IF(_calc!$E$437="","",IF(_calc!$E$437&lt;=500,"Warranty – "&amp;IF(LEN(INDEX('Dealer pipeline'!$C$4:$C$503,_calc!$E$437))=0,"",INDEX('Dealer pipeline'!$C$4:$C$503,_calc!$E$437))&amp;" – "&amp;IF(LEN(INDEX('Dealer pipeline'!$D$4:$D$503,_calc!$E$437))=0,"",INDEX('Dealer pipeline'!$D$4:$D$503,_calc!$E$437))&amp;" – "&amp;IF(LEN(INDEX('Dealer pipeline'!$A$4:$A$503,_calc!$E$437))=0,"",INDEX('Dealer pipeline'!$A$4:$A$503,_calc!$E$437)),"Warranty – "&amp;IF(LEN(INDEX('My equipment'!$A$4:$A$503,(_calc!$E$437-500)))=0,"",INDEX('My equipment'!$A$4:$A$503,(_calc!$E$437-500)))&amp;" – "&amp;IF(LEN(INDEX('My equipment'!$D$4:$D$503,(_calc!$E$437-500)))=0,"",INDEX('My equipment'!$D$4:$D$503,(_calc!$E$437-500)))))</f>
        <v/>
      </c>
      <c r="B435" s="54">
        <f>IF(_calc!$E$437="","",IF(_calc!$E$437&lt;=500,IF(ISNUMBER(INDEX('Dealer pipeline'!$M$4:$M$503,_calc!$E$437)),TEXT(INDEX('Dealer pipeline'!$M$4:$M$503,_calc!$E$437),"yyyy-mm-dd"),""),IF(ISNUMBER(INDEX('My equipment'!$M$4:$M$503,(_calc!$E$437-500))),TEXT(INDEX('My equipment'!$M$4:$M$503,(_calc!$E$437-500)),"yyyy-mm-dd"),"")))</f>
        <v/>
      </c>
      <c r="C435" s="54">
        <f>IF(_calc!$E$437="","",IF(_calc!$E$437&lt;=500,"Warranty","Warranty"))</f>
        <v/>
      </c>
      <c r="D435" s="54">
        <f>IF(_calc!$E$437="","",IF(_calc!$E$437&lt;=500,IF(ISNUMBER(INDEX('Dealer pipeline'!$H$4:$H$503,_calc!$E$437)),TEXT(INDEX('Dealer pipeline'!$H$4:$H$503,_calc!$E$437),"yyyy-mm-dd"),""),IF(ISNUMBER(INDEX('My equipment'!$H$4:$H$503,(_calc!$E$437-500))),TEXT(INDEX('My equipment'!$H$4:$H$503,(_calc!$E$437-500)),"yyyy-mm-dd"),"")))</f>
        <v/>
      </c>
      <c r="F435" s="54">
        <f>IF(_calc!$E$437="","",IF(_calc!$E$437&lt;=500,TRIM(IF(LEN(IF(LEN(INDEX('Dealer pipeline'!$A$4:$A$503,_calc!$E$437))=0,"",INDEX('Dealer pipeline'!$A$4:$A$503,_calc!$E$437)))=0,"","Customer: "&amp;IF(LEN(INDEX('Dealer pipeline'!$A$4:$A$503,_calc!$E$437))=0,"",INDEX('Dealer pipeline'!$A$4:$A$503,_calc!$E$437))&amp;". ")&amp;IF(LEN(IF(LEN(INDEX('Dealer pipeline'!$B$4:$B$503,_calc!$E$437))=0,"",INDEX('Dealer pipeline'!$B$4:$B$503,_calc!$E$437)))=0,"","Contact: "&amp;IF(LEN(INDEX('Dealer pipeline'!$B$4:$B$503,_calc!$E$437))=0,"",INDEX('Dealer pipeline'!$B$4:$B$503,_calc!$E$437))&amp;". ")&amp;IF(LEN(IF(LEN(INDEX('Dealer pipeline'!$D$4:$D$503,_calc!$E$437))=0,"",INDEX('Dealer pipeline'!$D$4:$D$503,_calc!$E$437)))=0,"","Serial: "&amp;IF(LEN(INDEX('Dealer pipeline'!$D$4:$D$503,_calc!$E$437))=0,"",INDEX('Dealer pipeline'!$D$4:$D$503,_calc!$E$437))&amp;". ")&amp;IF(LEN(IF(ISNUMBER(INDEX('Dealer pipeline'!$J$4:$J$503,_calc!$E$437)),TEXT(INDEX('Dealer pipeline'!$J$4:$J$503,_calc!$E$437),"yyyy-mm-dd"),""))=0,"","Parts end: "&amp;IF(ISNUMBER(INDEX('Dealer pipeline'!$J$4:$J$503,_calc!$E$437)),TEXT(INDEX('Dealer pipeline'!$J$4:$J$503,_calc!$E$437),"yyyy-mm-dd"),"")&amp;". ")&amp;IF(LEN(IF(ISNUMBER(INDEX('Dealer pipeline'!$L$4:$L$503,_calc!$E$437)),TEXT(INDEX('Dealer pipeline'!$L$4:$L$503,_calc!$E$437),"yyyy-mm-dd"),""))=0,"","Labor end: "&amp;IF(ISNUMBER(INDEX('Dealer pipeline'!$L$4:$L$503,_calc!$E$437)),TEXT(INDEX('Dealer pipeline'!$L$4:$L$503,_calc!$E$437),"yyyy-mm-dd"),"")&amp;". ")&amp;IF(LEN(IF(LEN(INDEX('Dealer pipeline'!$Q$4:$Q$503,_calc!$E$437))=0,"",INDEX('Dealer pipeline'!$Q$4:$Q$503,_calc!$E$437)))=0,"","Status: "&amp;IF(LEN(INDEX('Dealer pipeline'!$Q$4:$Q$503,_calc!$E$437))=0,"",INDEX('Dealer pipeline'!$Q$4:$Q$503,_calc!$E$437))&amp;". ")&amp;IF(LEN(IF(LEN(INDEX('Dealer pipeline'!$P$4:$P$503,_calc!$E$437))=0,"",INDEX('Dealer pipeline'!$P$4:$P$503,_calc!$E$437)))=0,"","Last touch: "&amp;IF(LEN(INDEX('Dealer pipeline'!$P$4:$P$503,_calc!$E$437))=0,"",INDEX('Dealer pipeline'!$P$4:$P$503,_calc!$E$437))&amp;". ")&amp;IF(LEN(IF(LEN(INDEX('Dealer pipeline'!$R$4:$R$503,_calc!$E$437))=0,"",INDEX('Dealer pipeline'!$R$4:$R$503,_calc!$E$437)))=0,"","Owner: "&amp;IF(LEN(INDEX('Dealer pipeline'!$R$4:$R$503,_calc!$E$437))=0,"",INDEX('Dealer pipeline'!$R$4:$R$503,_calc!$E$437))&amp;". ")&amp;IF(LEN(IF(LEN(INDEX('Dealer pipeline'!$S$4:$S$503,_calc!$E$437))=0,"",INDEX('Dealer pipeline'!$S$4:$S$503,_calc!$E$437)))=0,"","Backup: "&amp;IF(LEN(INDEX('Dealer pipeline'!$S$4:$S$503,_calc!$E$437))=0,"",INDEX('Dealer pipeline'!$S$4:$S$503,_calc!$E$437))&amp;". ")&amp;IF(LEN(IF(LEN(INDEX('Dealer pipeline'!$T$4:$T$503,_calc!$E$437))=0,"",INDEX('Dealer pipeline'!$T$4:$T$503,_calc!$E$437)))=0,"",IF(LEN(INDEX('Dealer pipeline'!$T$4:$T$503,_calc!$E$437))=0,"",INDEX('Dealer pipeline'!$T$4:$T$503,_calc!$E$437)))),TRIM(IF(LEN(IF(LEN(INDEX('My equipment'!$C$4:$C$503,(_calc!$E$437-500)))=0,"",INDEX('My equipment'!$C$4:$C$503,(_calc!$E$437-500))))=0,"","Model: "&amp;IF(LEN(INDEX('My equipment'!$C$4:$C$503,(_calc!$E$437-500)))=0,"",INDEX('My equipment'!$C$4:$C$503,(_calc!$E$437-500)))&amp;". ")&amp;IF(LEN(IF(LEN(INDEX('My equipment'!$D$4:$D$503,(_calc!$E$437-500)))=0,"",INDEX('My equipment'!$D$4:$D$503,(_calc!$E$437-500))))=0,"","Serial: "&amp;IF(LEN(INDEX('My equipment'!$D$4:$D$503,(_calc!$E$437-500)))=0,"",INDEX('My equipment'!$D$4:$D$503,(_calc!$E$437-500)))&amp;". ")&amp;IF(LEN(IF(ISNUMBER(INDEX('My equipment'!$J$4:$J$503,(_calc!$E$437-500))),TEXT(INDEX('My equipment'!$J$4:$J$503,(_calc!$E$437-500)),"yyyy-mm-dd"),""))=0,"","Parts end: "&amp;IF(ISNUMBER(INDEX('My equipment'!$J$4:$J$503,(_calc!$E$437-500))),TEXT(INDEX('My equipment'!$J$4:$J$503,(_calc!$E$437-500)),"yyyy-mm-dd"),"")&amp;". ")&amp;IF(LEN(IF(ISNUMBER(INDEX('My equipment'!$L$4:$L$503,(_calc!$E$437-500))),TEXT(INDEX('My equipment'!$L$4:$L$503,(_calc!$E$437-500)),"yyyy-mm-dd"),""))=0,"","Labor end: "&amp;IF(ISNUMBER(INDEX('My equipment'!$L$4:$L$503,(_calc!$E$437-500))),TEXT(INDEX('My equipment'!$L$4:$L$503,(_calc!$E$437-500)),"yyyy-mm-dd"),"")&amp;". ")&amp;IF(LEN(IF(ISNUMBER(INDEX('My equipment'!$P$4:$P$503,(_calc!$E$437-500))),TEXT(INDEX('My equipment'!$P$4:$P$503,(_calc!$E$437-500)),"yyyy-mm-dd"),""))=0,"","Check by: "&amp;IF(ISNUMBER(INDEX('My equipment'!$P$4:$P$503,(_calc!$E$437-500))),TEXT(INDEX('My equipment'!$P$4:$P$503,(_calc!$E$437-500)),"yyyy-mm-dd"),"")&amp;". ")&amp;IF(LEN(IF(LEN(INDEX('My equipment'!$Q$4:$Q$503,(_calc!$E$437-500)))=0,"",INDEX('My equipment'!$Q$4:$Q$503,(_calc!$E$437-500))))=0,"","Claim status: "&amp;IF(LEN(INDEX('My equipment'!$Q$4:$Q$503,(_calc!$E$437-500)))=0,"",INDEX('My equipment'!$Q$4:$Q$503,(_calc!$E$437-500)))&amp;". ")&amp;IF(LEN(IF(LEN(INDEX('My equipment'!$R$4:$R$503,(_calc!$E$437-500)))=0,"",INDEX('My equipment'!$R$4:$R$503,(_calc!$E$437-500))))=0,"","Claims contact: "&amp;IF(LEN(INDEX('My equipment'!$R$4:$R$503,(_calc!$E$437-500)))=0,"",INDEX('My equipment'!$R$4:$R$503,(_calc!$E$437-500)))&amp;". ")&amp;IF(LEN(IF(LEN(INDEX('My equipment'!$S$4:$S$503,(_calc!$E$437-500)))=0,"",INDEX('My equipment'!$S$4:$S$503,(_calc!$E$437-500))))=0,"","Claims email: "&amp;IF(LEN(INDEX('My equipment'!$S$4:$S$503,(_calc!$E$437-500)))=0,"",INDEX('My equipment'!$S$4:$S$503,(_calc!$E$437-500)))&amp;". ")&amp;IF(LEN(IF(LEN(INDEX('My equipment'!$U$4:$U$503,(_calc!$E$437-500)))=0,"",INDEX('My equipment'!$U$4:$U$503,(_calc!$E$437-500))))=0,"","Registered: "&amp;IF(LEN(INDEX('My equipment'!$U$4:$U$503,(_calc!$E$437-500)))=0,"",INDEX('My equipment'!$U$4:$U$503,(_calc!$E$437-500)))&amp;". ")&amp;IF(LEN(IF(LEN(INDEX('My equipment'!$V$4:$V$503,(_calc!$E$437-500)))=0,"",INDEX('My equipment'!$V$4:$V$503,(_calc!$E$437-500))))=0,"","Proof on file: "&amp;IF(LEN(INDEX('My equipment'!$V$4:$V$503,(_calc!$E$437-500)))=0,"",INDEX('My equipment'!$V$4:$V$503,(_calc!$E$437-500)))&amp;". ")&amp;IF(LEN(IF(LEN(INDEX('My equipment'!$W$4:$W$503,(_calc!$E$437-500)))=0,"",INDEX('My equipment'!$W$4:$W$503,(_calc!$E$437-500))))=0,"","Claim ref: "&amp;IF(LEN(INDEX('My equipment'!$W$4:$W$503,(_calc!$E$437-500)))=0,"",INDEX('My equipment'!$W$4:$W$503,(_calc!$E$437-500)))&amp;". ")&amp;IF(LEN(IF(LEN(INDEX('My equipment'!$Y$4:$Y$503,(_calc!$E$437-500)))=0,"",INDEX('My equipment'!$Y$4:$Y$503,(_calc!$E$437-500))))=0,"",IF(LEN(INDEX('My equipment'!$Y$4:$Y$503,(_calc!$E$437-500)))=0,"",INDEX('My equipment'!$Y$4:$Y$503,(_calc!$E$437-500)))))))</f>
        <v/>
      </c>
      <c r="G435" s="54">
        <f>IF(_calc!$E$437="","",IF(_calc!$E$437&lt;=500,"",IF(LEN(INDEX('My equipment'!$X$4:$X$503,(_calc!$E$437-500)))=0,"",INDEX('My equipment'!$X$4:$X$503,(_calc!$E$437-500)))))</f>
        <v/>
      </c>
      <c r="K435" s="54">
        <f>IF(_calc!$E$437="","",IF(_calc!$E$437&lt;=500,"",IF(LEN(INDEX('My equipment'!$T$4:$T$503,(_calc!$E$437-500)))=0,"",INDEX('My equipment'!$T$4:$T$503,(_calc!$E$437-500)))))</f>
        <v/>
      </c>
    </row>
    <row r="436">
      <c r="A436" s="54">
        <f>IF(_calc!$E$438="","",IF(_calc!$E$438&lt;=500,"Warranty – "&amp;IF(LEN(INDEX('Dealer pipeline'!$C$4:$C$503,_calc!$E$438))=0,"",INDEX('Dealer pipeline'!$C$4:$C$503,_calc!$E$438))&amp;" – "&amp;IF(LEN(INDEX('Dealer pipeline'!$D$4:$D$503,_calc!$E$438))=0,"",INDEX('Dealer pipeline'!$D$4:$D$503,_calc!$E$438))&amp;" – "&amp;IF(LEN(INDEX('Dealer pipeline'!$A$4:$A$503,_calc!$E$438))=0,"",INDEX('Dealer pipeline'!$A$4:$A$503,_calc!$E$438)),"Warranty – "&amp;IF(LEN(INDEX('My equipment'!$A$4:$A$503,(_calc!$E$438-500)))=0,"",INDEX('My equipment'!$A$4:$A$503,(_calc!$E$438-500)))&amp;" – "&amp;IF(LEN(INDEX('My equipment'!$D$4:$D$503,(_calc!$E$438-500)))=0,"",INDEX('My equipment'!$D$4:$D$503,(_calc!$E$438-500)))))</f>
        <v/>
      </c>
      <c r="B436" s="54">
        <f>IF(_calc!$E$438="","",IF(_calc!$E$438&lt;=500,IF(ISNUMBER(INDEX('Dealer pipeline'!$M$4:$M$503,_calc!$E$438)),TEXT(INDEX('Dealer pipeline'!$M$4:$M$503,_calc!$E$438),"yyyy-mm-dd"),""),IF(ISNUMBER(INDEX('My equipment'!$M$4:$M$503,(_calc!$E$438-500))),TEXT(INDEX('My equipment'!$M$4:$M$503,(_calc!$E$438-500)),"yyyy-mm-dd"),"")))</f>
        <v/>
      </c>
      <c r="C436" s="54">
        <f>IF(_calc!$E$438="","",IF(_calc!$E$438&lt;=500,"Warranty","Warranty"))</f>
        <v/>
      </c>
      <c r="D436" s="54">
        <f>IF(_calc!$E$438="","",IF(_calc!$E$438&lt;=500,IF(ISNUMBER(INDEX('Dealer pipeline'!$H$4:$H$503,_calc!$E$438)),TEXT(INDEX('Dealer pipeline'!$H$4:$H$503,_calc!$E$438),"yyyy-mm-dd"),""),IF(ISNUMBER(INDEX('My equipment'!$H$4:$H$503,(_calc!$E$438-500))),TEXT(INDEX('My equipment'!$H$4:$H$503,(_calc!$E$438-500)),"yyyy-mm-dd"),"")))</f>
        <v/>
      </c>
      <c r="F436" s="54">
        <f>IF(_calc!$E$438="","",IF(_calc!$E$438&lt;=500,TRIM(IF(LEN(IF(LEN(INDEX('Dealer pipeline'!$A$4:$A$503,_calc!$E$438))=0,"",INDEX('Dealer pipeline'!$A$4:$A$503,_calc!$E$438)))=0,"","Customer: "&amp;IF(LEN(INDEX('Dealer pipeline'!$A$4:$A$503,_calc!$E$438))=0,"",INDEX('Dealer pipeline'!$A$4:$A$503,_calc!$E$438))&amp;". ")&amp;IF(LEN(IF(LEN(INDEX('Dealer pipeline'!$B$4:$B$503,_calc!$E$438))=0,"",INDEX('Dealer pipeline'!$B$4:$B$503,_calc!$E$438)))=0,"","Contact: "&amp;IF(LEN(INDEX('Dealer pipeline'!$B$4:$B$503,_calc!$E$438))=0,"",INDEX('Dealer pipeline'!$B$4:$B$503,_calc!$E$438))&amp;". ")&amp;IF(LEN(IF(LEN(INDEX('Dealer pipeline'!$D$4:$D$503,_calc!$E$438))=0,"",INDEX('Dealer pipeline'!$D$4:$D$503,_calc!$E$438)))=0,"","Serial: "&amp;IF(LEN(INDEX('Dealer pipeline'!$D$4:$D$503,_calc!$E$438))=0,"",INDEX('Dealer pipeline'!$D$4:$D$503,_calc!$E$438))&amp;". ")&amp;IF(LEN(IF(ISNUMBER(INDEX('Dealer pipeline'!$J$4:$J$503,_calc!$E$438)),TEXT(INDEX('Dealer pipeline'!$J$4:$J$503,_calc!$E$438),"yyyy-mm-dd"),""))=0,"","Parts end: "&amp;IF(ISNUMBER(INDEX('Dealer pipeline'!$J$4:$J$503,_calc!$E$438)),TEXT(INDEX('Dealer pipeline'!$J$4:$J$503,_calc!$E$438),"yyyy-mm-dd"),"")&amp;". ")&amp;IF(LEN(IF(ISNUMBER(INDEX('Dealer pipeline'!$L$4:$L$503,_calc!$E$438)),TEXT(INDEX('Dealer pipeline'!$L$4:$L$503,_calc!$E$438),"yyyy-mm-dd"),""))=0,"","Labor end: "&amp;IF(ISNUMBER(INDEX('Dealer pipeline'!$L$4:$L$503,_calc!$E$438)),TEXT(INDEX('Dealer pipeline'!$L$4:$L$503,_calc!$E$438),"yyyy-mm-dd"),"")&amp;". ")&amp;IF(LEN(IF(LEN(INDEX('Dealer pipeline'!$Q$4:$Q$503,_calc!$E$438))=0,"",INDEX('Dealer pipeline'!$Q$4:$Q$503,_calc!$E$438)))=0,"","Status: "&amp;IF(LEN(INDEX('Dealer pipeline'!$Q$4:$Q$503,_calc!$E$438))=0,"",INDEX('Dealer pipeline'!$Q$4:$Q$503,_calc!$E$438))&amp;". ")&amp;IF(LEN(IF(LEN(INDEX('Dealer pipeline'!$P$4:$P$503,_calc!$E$438))=0,"",INDEX('Dealer pipeline'!$P$4:$P$503,_calc!$E$438)))=0,"","Last touch: "&amp;IF(LEN(INDEX('Dealer pipeline'!$P$4:$P$503,_calc!$E$438))=0,"",INDEX('Dealer pipeline'!$P$4:$P$503,_calc!$E$438))&amp;". ")&amp;IF(LEN(IF(LEN(INDEX('Dealer pipeline'!$R$4:$R$503,_calc!$E$438))=0,"",INDEX('Dealer pipeline'!$R$4:$R$503,_calc!$E$438)))=0,"","Owner: "&amp;IF(LEN(INDEX('Dealer pipeline'!$R$4:$R$503,_calc!$E$438))=0,"",INDEX('Dealer pipeline'!$R$4:$R$503,_calc!$E$438))&amp;". ")&amp;IF(LEN(IF(LEN(INDEX('Dealer pipeline'!$S$4:$S$503,_calc!$E$438))=0,"",INDEX('Dealer pipeline'!$S$4:$S$503,_calc!$E$438)))=0,"","Backup: "&amp;IF(LEN(INDEX('Dealer pipeline'!$S$4:$S$503,_calc!$E$438))=0,"",INDEX('Dealer pipeline'!$S$4:$S$503,_calc!$E$438))&amp;". ")&amp;IF(LEN(IF(LEN(INDEX('Dealer pipeline'!$T$4:$T$503,_calc!$E$438))=0,"",INDEX('Dealer pipeline'!$T$4:$T$503,_calc!$E$438)))=0,"",IF(LEN(INDEX('Dealer pipeline'!$T$4:$T$503,_calc!$E$438))=0,"",INDEX('Dealer pipeline'!$T$4:$T$503,_calc!$E$438)))),TRIM(IF(LEN(IF(LEN(INDEX('My equipment'!$C$4:$C$503,(_calc!$E$438-500)))=0,"",INDEX('My equipment'!$C$4:$C$503,(_calc!$E$438-500))))=0,"","Model: "&amp;IF(LEN(INDEX('My equipment'!$C$4:$C$503,(_calc!$E$438-500)))=0,"",INDEX('My equipment'!$C$4:$C$503,(_calc!$E$438-500)))&amp;". ")&amp;IF(LEN(IF(LEN(INDEX('My equipment'!$D$4:$D$503,(_calc!$E$438-500)))=0,"",INDEX('My equipment'!$D$4:$D$503,(_calc!$E$438-500))))=0,"","Serial: "&amp;IF(LEN(INDEX('My equipment'!$D$4:$D$503,(_calc!$E$438-500)))=0,"",INDEX('My equipment'!$D$4:$D$503,(_calc!$E$438-500)))&amp;". ")&amp;IF(LEN(IF(ISNUMBER(INDEX('My equipment'!$J$4:$J$503,(_calc!$E$438-500))),TEXT(INDEX('My equipment'!$J$4:$J$503,(_calc!$E$438-500)),"yyyy-mm-dd"),""))=0,"","Parts end: "&amp;IF(ISNUMBER(INDEX('My equipment'!$J$4:$J$503,(_calc!$E$438-500))),TEXT(INDEX('My equipment'!$J$4:$J$503,(_calc!$E$438-500)),"yyyy-mm-dd"),"")&amp;". ")&amp;IF(LEN(IF(ISNUMBER(INDEX('My equipment'!$L$4:$L$503,(_calc!$E$438-500))),TEXT(INDEX('My equipment'!$L$4:$L$503,(_calc!$E$438-500)),"yyyy-mm-dd"),""))=0,"","Labor end: "&amp;IF(ISNUMBER(INDEX('My equipment'!$L$4:$L$503,(_calc!$E$438-500))),TEXT(INDEX('My equipment'!$L$4:$L$503,(_calc!$E$438-500)),"yyyy-mm-dd"),"")&amp;". ")&amp;IF(LEN(IF(ISNUMBER(INDEX('My equipment'!$P$4:$P$503,(_calc!$E$438-500))),TEXT(INDEX('My equipment'!$P$4:$P$503,(_calc!$E$438-500)),"yyyy-mm-dd"),""))=0,"","Check by: "&amp;IF(ISNUMBER(INDEX('My equipment'!$P$4:$P$503,(_calc!$E$438-500))),TEXT(INDEX('My equipment'!$P$4:$P$503,(_calc!$E$438-500)),"yyyy-mm-dd"),"")&amp;". ")&amp;IF(LEN(IF(LEN(INDEX('My equipment'!$Q$4:$Q$503,(_calc!$E$438-500)))=0,"",INDEX('My equipment'!$Q$4:$Q$503,(_calc!$E$438-500))))=0,"","Claim status: "&amp;IF(LEN(INDEX('My equipment'!$Q$4:$Q$503,(_calc!$E$438-500)))=0,"",INDEX('My equipment'!$Q$4:$Q$503,(_calc!$E$438-500)))&amp;". ")&amp;IF(LEN(IF(LEN(INDEX('My equipment'!$R$4:$R$503,(_calc!$E$438-500)))=0,"",INDEX('My equipment'!$R$4:$R$503,(_calc!$E$438-500))))=0,"","Claims contact: "&amp;IF(LEN(INDEX('My equipment'!$R$4:$R$503,(_calc!$E$438-500)))=0,"",INDEX('My equipment'!$R$4:$R$503,(_calc!$E$438-500)))&amp;". ")&amp;IF(LEN(IF(LEN(INDEX('My equipment'!$S$4:$S$503,(_calc!$E$438-500)))=0,"",INDEX('My equipment'!$S$4:$S$503,(_calc!$E$438-500))))=0,"","Claims email: "&amp;IF(LEN(INDEX('My equipment'!$S$4:$S$503,(_calc!$E$438-500)))=0,"",INDEX('My equipment'!$S$4:$S$503,(_calc!$E$438-500)))&amp;". ")&amp;IF(LEN(IF(LEN(INDEX('My equipment'!$U$4:$U$503,(_calc!$E$438-500)))=0,"",INDEX('My equipment'!$U$4:$U$503,(_calc!$E$438-500))))=0,"","Registered: "&amp;IF(LEN(INDEX('My equipment'!$U$4:$U$503,(_calc!$E$438-500)))=0,"",INDEX('My equipment'!$U$4:$U$503,(_calc!$E$438-500)))&amp;". ")&amp;IF(LEN(IF(LEN(INDEX('My equipment'!$V$4:$V$503,(_calc!$E$438-500)))=0,"",INDEX('My equipment'!$V$4:$V$503,(_calc!$E$438-500))))=0,"","Proof on file: "&amp;IF(LEN(INDEX('My equipment'!$V$4:$V$503,(_calc!$E$438-500)))=0,"",INDEX('My equipment'!$V$4:$V$503,(_calc!$E$438-500)))&amp;". ")&amp;IF(LEN(IF(LEN(INDEX('My equipment'!$W$4:$W$503,(_calc!$E$438-500)))=0,"",INDEX('My equipment'!$W$4:$W$503,(_calc!$E$438-500))))=0,"","Claim ref: "&amp;IF(LEN(INDEX('My equipment'!$W$4:$W$503,(_calc!$E$438-500)))=0,"",INDEX('My equipment'!$W$4:$W$503,(_calc!$E$438-500)))&amp;". ")&amp;IF(LEN(IF(LEN(INDEX('My equipment'!$Y$4:$Y$503,(_calc!$E$438-500)))=0,"",INDEX('My equipment'!$Y$4:$Y$503,(_calc!$E$438-500))))=0,"",IF(LEN(INDEX('My equipment'!$Y$4:$Y$503,(_calc!$E$438-500)))=0,"",INDEX('My equipment'!$Y$4:$Y$503,(_calc!$E$438-500)))))))</f>
        <v/>
      </c>
      <c r="G436" s="54">
        <f>IF(_calc!$E$438="","",IF(_calc!$E$438&lt;=500,"",IF(LEN(INDEX('My equipment'!$X$4:$X$503,(_calc!$E$438-500)))=0,"",INDEX('My equipment'!$X$4:$X$503,(_calc!$E$438-500)))))</f>
        <v/>
      </c>
      <c r="K436" s="54">
        <f>IF(_calc!$E$438="","",IF(_calc!$E$438&lt;=500,"",IF(LEN(INDEX('My equipment'!$T$4:$T$503,(_calc!$E$438-500)))=0,"",INDEX('My equipment'!$T$4:$T$503,(_calc!$E$438-500)))))</f>
        <v/>
      </c>
    </row>
    <row r="437">
      <c r="A437" s="54">
        <f>IF(_calc!$E$439="","",IF(_calc!$E$439&lt;=500,"Warranty – "&amp;IF(LEN(INDEX('Dealer pipeline'!$C$4:$C$503,_calc!$E$439))=0,"",INDEX('Dealer pipeline'!$C$4:$C$503,_calc!$E$439))&amp;" – "&amp;IF(LEN(INDEX('Dealer pipeline'!$D$4:$D$503,_calc!$E$439))=0,"",INDEX('Dealer pipeline'!$D$4:$D$503,_calc!$E$439))&amp;" – "&amp;IF(LEN(INDEX('Dealer pipeline'!$A$4:$A$503,_calc!$E$439))=0,"",INDEX('Dealer pipeline'!$A$4:$A$503,_calc!$E$439)),"Warranty – "&amp;IF(LEN(INDEX('My equipment'!$A$4:$A$503,(_calc!$E$439-500)))=0,"",INDEX('My equipment'!$A$4:$A$503,(_calc!$E$439-500)))&amp;" – "&amp;IF(LEN(INDEX('My equipment'!$D$4:$D$503,(_calc!$E$439-500)))=0,"",INDEX('My equipment'!$D$4:$D$503,(_calc!$E$439-500)))))</f>
        <v/>
      </c>
      <c r="B437" s="54">
        <f>IF(_calc!$E$439="","",IF(_calc!$E$439&lt;=500,IF(ISNUMBER(INDEX('Dealer pipeline'!$M$4:$M$503,_calc!$E$439)),TEXT(INDEX('Dealer pipeline'!$M$4:$M$503,_calc!$E$439),"yyyy-mm-dd"),""),IF(ISNUMBER(INDEX('My equipment'!$M$4:$M$503,(_calc!$E$439-500))),TEXT(INDEX('My equipment'!$M$4:$M$503,(_calc!$E$439-500)),"yyyy-mm-dd"),"")))</f>
        <v/>
      </c>
      <c r="C437" s="54">
        <f>IF(_calc!$E$439="","",IF(_calc!$E$439&lt;=500,"Warranty","Warranty"))</f>
        <v/>
      </c>
      <c r="D437" s="54">
        <f>IF(_calc!$E$439="","",IF(_calc!$E$439&lt;=500,IF(ISNUMBER(INDEX('Dealer pipeline'!$H$4:$H$503,_calc!$E$439)),TEXT(INDEX('Dealer pipeline'!$H$4:$H$503,_calc!$E$439),"yyyy-mm-dd"),""),IF(ISNUMBER(INDEX('My equipment'!$H$4:$H$503,(_calc!$E$439-500))),TEXT(INDEX('My equipment'!$H$4:$H$503,(_calc!$E$439-500)),"yyyy-mm-dd"),"")))</f>
        <v/>
      </c>
      <c r="F437" s="54">
        <f>IF(_calc!$E$439="","",IF(_calc!$E$439&lt;=500,TRIM(IF(LEN(IF(LEN(INDEX('Dealer pipeline'!$A$4:$A$503,_calc!$E$439))=0,"",INDEX('Dealer pipeline'!$A$4:$A$503,_calc!$E$439)))=0,"","Customer: "&amp;IF(LEN(INDEX('Dealer pipeline'!$A$4:$A$503,_calc!$E$439))=0,"",INDEX('Dealer pipeline'!$A$4:$A$503,_calc!$E$439))&amp;". ")&amp;IF(LEN(IF(LEN(INDEX('Dealer pipeline'!$B$4:$B$503,_calc!$E$439))=0,"",INDEX('Dealer pipeline'!$B$4:$B$503,_calc!$E$439)))=0,"","Contact: "&amp;IF(LEN(INDEX('Dealer pipeline'!$B$4:$B$503,_calc!$E$439))=0,"",INDEX('Dealer pipeline'!$B$4:$B$503,_calc!$E$439))&amp;". ")&amp;IF(LEN(IF(LEN(INDEX('Dealer pipeline'!$D$4:$D$503,_calc!$E$439))=0,"",INDEX('Dealer pipeline'!$D$4:$D$503,_calc!$E$439)))=0,"","Serial: "&amp;IF(LEN(INDEX('Dealer pipeline'!$D$4:$D$503,_calc!$E$439))=0,"",INDEX('Dealer pipeline'!$D$4:$D$503,_calc!$E$439))&amp;". ")&amp;IF(LEN(IF(ISNUMBER(INDEX('Dealer pipeline'!$J$4:$J$503,_calc!$E$439)),TEXT(INDEX('Dealer pipeline'!$J$4:$J$503,_calc!$E$439),"yyyy-mm-dd"),""))=0,"","Parts end: "&amp;IF(ISNUMBER(INDEX('Dealer pipeline'!$J$4:$J$503,_calc!$E$439)),TEXT(INDEX('Dealer pipeline'!$J$4:$J$503,_calc!$E$439),"yyyy-mm-dd"),"")&amp;". ")&amp;IF(LEN(IF(ISNUMBER(INDEX('Dealer pipeline'!$L$4:$L$503,_calc!$E$439)),TEXT(INDEX('Dealer pipeline'!$L$4:$L$503,_calc!$E$439),"yyyy-mm-dd"),""))=0,"","Labor end: "&amp;IF(ISNUMBER(INDEX('Dealer pipeline'!$L$4:$L$503,_calc!$E$439)),TEXT(INDEX('Dealer pipeline'!$L$4:$L$503,_calc!$E$439),"yyyy-mm-dd"),"")&amp;". ")&amp;IF(LEN(IF(LEN(INDEX('Dealer pipeline'!$Q$4:$Q$503,_calc!$E$439))=0,"",INDEX('Dealer pipeline'!$Q$4:$Q$503,_calc!$E$439)))=0,"","Status: "&amp;IF(LEN(INDEX('Dealer pipeline'!$Q$4:$Q$503,_calc!$E$439))=0,"",INDEX('Dealer pipeline'!$Q$4:$Q$503,_calc!$E$439))&amp;". ")&amp;IF(LEN(IF(LEN(INDEX('Dealer pipeline'!$P$4:$P$503,_calc!$E$439))=0,"",INDEX('Dealer pipeline'!$P$4:$P$503,_calc!$E$439)))=0,"","Last touch: "&amp;IF(LEN(INDEX('Dealer pipeline'!$P$4:$P$503,_calc!$E$439))=0,"",INDEX('Dealer pipeline'!$P$4:$P$503,_calc!$E$439))&amp;". ")&amp;IF(LEN(IF(LEN(INDEX('Dealer pipeline'!$R$4:$R$503,_calc!$E$439))=0,"",INDEX('Dealer pipeline'!$R$4:$R$503,_calc!$E$439)))=0,"","Owner: "&amp;IF(LEN(INDEX('Dealer pipeline'!$R$4:$R$503,_calc!$E$439))=0,"",INDEX('Dealer pipeline'!$R$4:$R$503,_calc!$E$439))&amp;". ")&amp;IF(LEN(IF(LEN(INDEX('Dealer pipeline'!$S$4:$S$503,_calc!$E$439))=0,"",INDEX('Dealer pipeline'!$S$4:$S$503,_calc!$E$439)))=0,"","Backup: "&amp;IF(LEN(INDEX('Dealer pipeline'!$S$4:$S$503,_calc!$E$439))=0,"",INDEX('Dealer pipeline'!$S$4:$S$503,_calc!$E$439))&amp;". ")&amp;IF(LEN(IF(LEN(INDEX('Dealer pipeline'!$T$4:$T$503,_calc!$E$439))=0,"",INDEX('Dealer pipeline'!$T$4:$T$503,_calc!$E$439)))=0,"",IF(LEN(INDEX('Dealer pipeline'!$T$4:$T$503,_calc!$E$439))=0,"",INDEX('Dealer pipeline'!$T$4:$T$503,_calc!$E$439)))),TRIM(IF(LEN(IF(LEN(INDEX('My equipment'!$C$4:$C$503,(_calc!$E$439-500)))=0,"",INDEX('My equipment'!$C$4:$C$503,(_calc!$E$439-500))))=0,"","Model: "&amp;IF(LEN(INDEX('My equipment'!$C$4:$C$503,(_calc!$E$439-500)))=0,"",INDEX('My equipment'!$C$4:$C$503,(_calc!$E$439-500)))&amp;". ")&amp;IF(LEN(IF(LEN(INDEX('My equipment'!$D$4:$D$503,(_calc!$E$439-500)))=0,"",INDEX('My equipment'!$D$4:$D$503,(_calc!$E$439-500))))=0,"","Serial: "&amp;IF(LEN(INDEX('My equipment'!$D$4:$D$503,(_calc!$E$439-500)))=0,"",INDEX('My equipment'!$D$4:$D$503,(_calc!$E$439-500)))&amp;". ")&amp;IF(LEN(IF(ISNUMBER(INDEX('My equipment'!$J$4:$J$503,(_calc!$E$439-500))),TEXT(INDEX('My equipment'!$J$4:$J$503,(_calc!$E$439-500)),"yyyy-mm-dd"),""))=0,"","Parts end: "&amp;IF(ISNUMBER(INDEX('My equipment'!$J$4:$J$503,(_calc!$E$439-500))),TEXT(INDEX('My equipment'!$J$4:$J$503,(_calc!$E$439-500)),"yyyy-mm-dd"),"")&amp;". ")&amp;IF(LEN(IF(ISNUMBER(INDEX('My equipment'!$L$4:$L$503,(_calc!$E$439-500))),TEXT(INDEX('My equipment'!$L$4:$L$503,(_calc!$E$439-500)),"yyyy-mm-dd"),""))=0,"","Labor end: "&amp;IF(ISNUMBER(INDEX('My equipment'!$L$4:$L$503,(_calc!$E$439-500))),TEXT(INDEX('My equipment'!$L$4:$L$503,(_calc!$E$439-500)),"yyyy-mm-dd"),"")&amp;". ")&amp;IF(LEN(IF(ISNUMBER(INDEX('My equipment'!$P$4:$P$503,(_calc!$E$439-500))),TEXT(INDEX('My equipment'!$P$4:$P$503,(_calc!$E$439-500)),"yyyy-mm-dd"),""))=0,"","Check by: "&amp;IF(ISNUMBER(INDEX('My equipment'!$P$4:$P$503,(_calc!$E$439-500))),TEXT(INDEX('My equipment'!$P$4:$P$503,(_calc!$E$439-500)),"yyyy-mm-dd"),"")&amp;". ")&amp;IF(LEN(IF(LEN(INDEX('My equipment'!$Q$4:$Q$503,(_calc!$E$439-500)))=0,"",INDEX('My equipment'!$Q$4:$Q$503,(_calc!$E$439-500))))=0,"","Claim status: "&amp;IF(LEN(INDEX('My equipment'!$Q$4:$Q$503,(_calc!$E$439-500)))=0,"",INDEX('My equipment'!$Q$4:$Q$503,(_calc!$E$439-500)))&amp;". ")&amp;IF(LEN(IF(LEN(INDEX('My equipment'!$R$4:$R$503,(_calc!$E$439-500)))=0,"",INDEX('My equipment'!$R$4:$R$503,(_calc!$E$439-500))))=0,"","Claims contact: "&amp;IF(LEN(INDEX('My equipment'!$R$4:$R$503,(_calc!$E$439-500)))=0,"",INDEX('My equipment'!$R$4:$R$503,(_calc!$E$439-500)))&amp;". ")&amp;IF(LEN(IF(LEN(INDEX('My equipment'!$S$4:$S$503,(_calc!$E$439-500)))=0,"",INDEX('My equipment'!$S$4:$S$503,(_calc!$E$439-500))))=0,"","Claims email: "&amp;IF(LEN(INDEX('My equipment'!$S$4:$S$503,(_calc!$E$439-500)))=0,"",INDEX('My equipment'!$S$4:$S$503,(_calc!$E$439-500)))&amp;". ")&amp;IF(LEN(IF(LEN(INDEX('My equipment'!$U$4:$U$503,(_calc!$E$439-500)))=0,"",INDEX('My equipment'!$U$4:$U$503,(_calc!$E$439-500))))=0,"","Registered: "&amp;IF(LEN(INDEX('My equipment'!$U$4:$U$503,(_calc!$E$439-500)))=0,"",INDEX('My equipment'!$U$4:$U$503,(_calc!$E$439-500)))&amp;". ")&amp;IF(LEN(IF(LEN(INDEX('My equipment'!$V$4:$V$503,(_calc!$E$439-500)))=0,"",INDEX('My equipment'!$V$4:$V$503,(_calc!$E$439-500))))=0,"","Proof on file: "&amp;IF(LEN(INDEX('My equipment'!$V$4:$V$503,(_calc!$E$439-500)))=0,"",INDEX('My equipment'!$V$4:$V$503,(_calc!$E$439-500)))&amp;". ")&amp;IF(LEN(IF(LEN(INDEX('My equipment'!$W$4:$W$503,(_calc!$E$439-500)))=0,"",INDEX('My equipment'!$W$4:$W$503,(_calc!$E$439-500))))=0,"","Claim ref: "&amp;IF(LEN(INDEX('My equipment'!$W$4:$W$503,(_calc!$E$439-500)))=0,"",INDEX('My equipment'!$W$4:$W$503,(_calc!$E$439-500)))&amp;". ")&amp;IF(LEN(IF(LEN(INDEX('My equipment'!$Y$4:$Y$503,(_calc!$E$439-500)))=0,"",INDEX('My equipment'!$Y$4:$Y$503,(_calc!$E$439-500))))=0,"",IF(LEN(INDEX('My equipment'!$Y$4:$Y$503,(_calc!$E$439-500)))=0,"",INDEX('My equipment'!$Y$4:$Y$503,(_calc!$E$439-500)))))))</f>
        <v/>
      </c>
      <c r="G437" s="54">
        <f>IF(_calc!$E$439="","",IF(_calc!$E$439&lt;=500,"",IF(LEN(INDEX('My equipment'!$X$4:$X$503,(_calc!$E$439-500)))=0,"",INDEX('My equipment'!$X$4:$X$503,(_calc!$E$439-500)))))</f>
        <v/>
      </c>
      <c r="K437" s="54">
        <f>IF(_calc!$E$439="","",IF(_calc!$E$439&lt;=500,"",IF(LEN(INDEX('My equipment'!$T$4:$T$503,(_calc!$E$439-500)))=0,"",INDEX('My equipment'!$T$4:$T$503,(_calc!$E$439-500)))))</f>
        <v/>
      </c>
    </row>
    <row r="438">
      <c r="A438" s="54">
        <f>IF(_calc!$E$440="","",IF(_calc!$E$440&lt;=500,"Warranty – "&amp;IF(LEN(INDEX('Dealer pipeline'!$C$4:$C$503,_calc!$E$440))=0,"",INDEX('Dealer pipeline'!$C$4:$C$503,_calc!$E$440))&amp;" – "&amp;IF(LEN(INDEX('Dealer pipeline'!$D$4:$D$503,_calc!$E$440))=0,"",INDEX('Dealer pipeline'!$D$4:$D$503,_calc!$E$440))&amp;" – "&amp;IF(LEN(INDEX('Dealer pipeline'!$A$4:$A$503,_calc!$E$440))=0,"",INDEX('Dealer pipeline'!$A$4:$A$503,_calc!$E$440)),"Warranty – "&amp;IF(LEN(INDEX('My equipment'!$A$4:$A$503,(_calc!$E$440-500)))=0,"",INDEX('My equipment'!$A$4:$A$503,(_calc!$E$440-500)))&amp;" – "&amp;IF(LEN(INDEX('My equipment'!$D$4:$D$503,(_calc!$E$440-500)))=0,"",INDEX('My equipment'!$D$4:$D$503,(_calc!$E$440-500)))))</f>
        <v/>
      </c>
      <c r="B438" s="54">
        <f>IF(_calc!$E$440="","",IF(_calc!$E$440&lt;=500,IF(ISNUMBER(INDEX('Dealer pipeline'!$M$4:$M$503,_calc!$E$440)),TEXT(INDEX('Dealer pipeline'!$M$4:$M$503,_calc!$E$440),"yyyy-mm-dd"),""),IF(ISNUMBER(INDEX('My equipment'!$M$4:$M$503,(_calc!$E$440-500))),TEXT(INDEX('My equipment'!$M$4:$M$503,(_calc!$E$440-500)),"yyyy-mm-dd"),"")))</f>
        <v/>
      </c>
      <c r="C438" s="54">
        <f>IF(_calc!$E$440="","",IF(_calc!$E$440&lt;=500,"Warranty","Warranty"))</f>
        <v/>
      </c>
      <c r="D438" s="54">
        <f>IF(_calc!$E$440="","",IF(_calc!$E$440&lt;=500,IF(ISNUMBER(INDEX('Dealer pipeline'!$H$4:$H$503,_calc!$E$440)),TEXT(INDEX('Dealer pipeline'!$H$4:$H$503,_calc!$E$440),"yyyy-mm-dd"),""),IF(ISNUMBER(INDEX('My equipment'!$H$4:$H$503,(_calc!$E$440-500))),TEXT(INDEX('My equipment'!$H$4:$H$503,(_calc!$E$440-500)),"yyyy-mm-dd"),"")))</f>
        <v/>
      </c>
      <c r="F438" s="54">
        <f>IF(_calc!$E$440="","",IF(_calc!$E$440&lt;=500,TRIM(IF(LEN(IF(LEN(INDEX('Dealer pipeline'!$A$4:$A$503,_calc!$E$440))=0,"",INDEX('Dealer pipeline'!$A$4:$A$503,_calc!$E$440)))=0,"","Customer: "&amp;IF(LEN(INDEX('Dealer pipeline'!$A$4:$A$503,_calc!$E$440))=0,"",INDEX('Dealer pipeline'!$A$4:$A$503,_calc!$E$440))&amp;". ")&amp;IF(LEN(IF(LEN(INDEX('Dealer pipeline'!$B$4:$B$503,_calc!$E$440))=0,"",INDEX('Dealer pipeline'!$B$4:$B$503,_calc!$E$440)))=0,"","Contact: "&amp;IF(LEN(INDEX('Dealer pipeline'!$B$4:$B$503,_calc!$E$440))=0,"",INDEX('Dealer pipeline'!$B$4:$B$503,_calc!$E$440))&amp;". ")&amp;IF(LEN(IF(LEN(INDEX('Dealer pipeline'!$D$4:$D$503,_calc!$E$440))=0,"",INDEX('Dealer pipeline'!$D$4:$D$503,_calc!$E$440)))=0,"","Serial: "&amp;IF(LEN(INDEX('Dealer pipeline'!$D$4:$D$503,_calc!$E$440))=0,"",INDEX('Dealer pipeline'!$D$4:$D$503,_calc!$E$440))&amp;". ")&amp;IF(LEN(IF(ISNUMBER(INDEX('Dealer pipeline'!$J$4:$J$503,_calc!$E$440)),TEXT(INDEX('Dealer pipeline'!$J$4:$J$503,_calc!$E$440),"yyyy-mm-dd"),""))=0,"","Parts end: "&amp;IF(ISNUMBER(INDEX('Dealer pipeline'!$J$4:$J$503,_calc!$E$440)),TEXT(INDEX('Dealer pipeline'!$J$4:$J$503,_calc!$E$440),"yyyy-mm-dd"),"")&amp;". ")&amp;IF(LEN(IF(ISNUMBER(INDEX('Dealer pipeline'!$L$4:$L$503,_calc!$E$440)),TEXT(INDEX('Dealer pipeline'!$L$4:$L$503,_calc!$E$440),"yyyy-mm-dd"),""))=0,"","Labor end: "&amp;IF(ISNUMBER(INDEX('Dealer pipeline'!$L$4:$L$503,_calc!$E$440)),TEXT(INDEX('Dealer pipeline'!$L$4:$L$503,_calc!$E$440),"yyyy-mm-dd"),"")&amp;". ")&amp;IF(LEN(IF(LEN(INDEX('Dealer pipeline'!$Q$4:$Q$503,_calc!$E$440))=0,"",INDEX('Dealer pipeline'!$Q$4:$Q$503,_calc!$E$440)))=0,"","Status: "&amp;IF(LEN(INDEX('Dealer pipeline'!$Q$4:$Q$503,_calc!$E$440))=0,"",INDEX('Dealer pipeline'!$Q$4:$Q$503,_calc!$E$440))&amp;". ")&amp;IF(LEN(IF(LEN(INDEX('Dealer pipeline'!$P$4:$P$503,_calc!$E$440))=0,"",INDEX('Dealer pipeline'!$P$4:$P$503,_calc!$E$440)))=0,"","Last touch: "&amp;IF(LEN(INDEX('Dealer pipeline'!$P$4:$P$503,_calc!$E$440))=0,"",INDEX('Dealer pipeline'!$P$4:$P$503,_calc!$E$440))&amp;". ")&amp;IF(LEN(IF(LEN(INDEX('Dealer pipeline'!$R$4:$R$503,_calc!$E$440))=0,"",INDEX('Dealer pipeline'!$R$4:$R$503,_calc!$E$440)))=0,"","Owner: "&amp;IF(LEN(INDEX('Dealer pipeline'!$R$4:$R$503,_calc!$E$440))=0,"",INDEX('Dealer pipeline'!$R$4:$R$503,_calc!$E$440))&amp;". ")&amp;IF(LEN(IF(LEN(INDEX('Dealer pipeline'!$S$4:$S$503,_calc!$E$440))=0,"",INDEX('Dealer pipeline'!$S$4:$S$503,_calc!$E$440)))=0,"","Backup: "&amp;IF(LEN(INDEX('Dealer pipeline'!$S$4:$S$503,_calc!$E$440))=0,"",INDEX('Dealer pipeline'!$S$4:$S$503,_calc!$E$440))&amp;". ")&amp;IF(LEN(IF(LEN(INDEX('Dealer pipeline'!$T$4:$T$503,_calc!$E$440))=0,"",INDEX('Dealer pipeline'!$T$4:$T$503,_calc!$E$440)))=0,"",IF(LEN(INDEX('Dealer pipeline'!$T$4:$T$503,_calc!$E$440))=0,"",INDEX('Dealer pipeline'!$T$4:$T$503,_calc!$E$440)))),TRIM(IF(LEN(IF(LEN(INDEX('My equipment'!$C$4:$C$503,(_calc!$E$440-500)))=0,"",INDEX('My equipment'!$C$4:$C$503,(_calc!$E$440-500))))=0,"","Model: "&amp;IF(LEN(INDEX('My equipment'!$C$4:$C$503,(_calc!$E$440-500)))=0,"",INDEX('My equipment'!$C$4:$C$503,(_calc!$E$440-500)))&amp;". ")&amp;IF(LEN(IF(LEN(INDEX('My equipment'!$D$4:$D$503,(_calc!$E$440-500)))=0,"",INDEX('My equipment'!$D$4:$D$503,(_calc!$E$440-500))))=0,"","Serial: "&amp;IF(LEN(INDEX('My equipment'!$D$4:$D$503,(_calc!$E$440-500)))=0,"",INDEX('My equipment'!$D$4:$D$503,(_calc!$E$440-500)))&amp;". ")&amp;IF(LEN(IF(ISNUMBER(INDEX('My equipment'!$J$4:$J$503,(_calc!$E$440-500))),TEXT(INDEX('My equipment'!$J$4:$J$503,(_calc!$E$440-500)),"yyyy-mm-dd"),""))=0,"","Parts end: "&amp;IF(ISNUMBER(INDEX('My equipment'!$J$4:$J$503,(_calc!$E$440-500))),TEXT(INDEX('My equipment'!$J$4:$J$503,(_calc!$E$440-500)),"yyyy-mm-dd"),"")&amp;". ")&amp;IF(LEN(IF(ISNUMBER(INDEX('My equipment'!$L$4:$L$503,(_calc!$E$440-500))),TEXT(INDEX('My equipment'!$L$4:$L$503,(_calc!$E$440-500)),"yyyy-mm-dd"),""))=0,"","Labor end: "&amp;IF(ISNUMBER(INDEX('My equipment'!$L$4:$L$503,(_calc!$E$440-500))),TEXT(INDEX('My equipment'!$L$4:$L$503,(_calc!$E$440-500)),"yyyy-mm-dd"),"")&amp;". ")&amp;IF(LEN(IF(ISNUMBER(INDEX('My equipment'!$P$4:$P$503,(_calc!$E$440-500))),TEXT(INDEX('My equipment'!$P$4:$P$503,(_calc!$E$440-500)),"yyyy-mm-dd"),""))=0,"","Check by: "&amp;IF(ISNUMBER(INDEX('My equipment'!$P$4:$P$503,(_calc!$E$440-500))),TEXT(INDEX('My equipment'!$P$4:$P$503,(_calc!$E$440-500)),"yyyy-mm-dd"),"")&amp;". ")&amp;IF(LEN(IF(LEN(INDEX('My equipment'!$Q$4:$Q$503,(_calc!$E$440-500)))=0,"",INDEX('My equipment'!$Q$4:$Q$503,(_calc!$E$440-500))))=0,"","Claim status: "&amp;IF(LEN(INDEX('My equipment'!$Q$4:$Q$503,(_calc!$E$440-500)))=0,"",INDEX('My equipment'!$Q$4:$Q$503,(_calc!$E$440-500)))&amp;". ")&amp;IF(LEN(IF(LEN(INDEX('My equipment'!$R$4:$R$503,(_calc!$E$440-500)))=0,"",INDEX('My equipment'!$R$4:$R$503,(_calc!$E$440-500))))=0,"","Claims contact: "&amp;IF(LEN(INDEX('My equipment'!$R$4:$R$503,(_calc!$E$440-500)))=0,"",INDEX('My equipment'!$R$4:$R$503,(_calc!$E$440-500)))&amp;". ")&amp;IF(LEN(IF(LEN(INDEX('My equipment'!$S$4:$S$503,(_calc!$E$440-500)))=0,"",INDEX('My equipment'!$S$4:$S$503,(_calc!$E$440-500))))=0,"","Claims email: "&amp;IF(LEN(INDEX('My equipment'!$S$4:$S$503,(_calc!$E$440-500)))=0,"",INDEX('My equipment'!$S$4:$S$503,(_calc!$E$440-500)))&amp;". ")&amp;IF(LEN(IF(LEN(INDEX('My equipment'!$U$4:$U$503,(_calc!$E$440-500)))=0,"",INDEX('My equipment'!$U$4:$U$503,(_calc!$E$440-500))))=0,"","Registered: "&amp;IF(LEN(INDEX('My equipment'!$U$4:$U$503,(_calc!$E$440-500)))=0,"",INDEX('My equipment'!$U$4:$U$503,(_calc!$E$440-500)))&amp;". ")&amp;IF(LEN(IF(LEN(INDEX('My equipment'!$V$4:$V$503,(_calc!$E$440-500)))=0,"",INDEX('My equipment'!$V$4:$V$503,(_calc!$E$440-500))))=0,"","Proof on file: "&amp;IF(LEN(INDEX('My equipment'!$V$4:$V$503,(_calc!$E$440-500)))=0,"",INDEX('My equipment'!$V$4:$V$503,(_calc!$E$440-500)))&amp;". ")&amp;IF(LEN(IF(LEN(INDEX('My equipment'!$W$4:$W$503,(_calc!$E$440-500)))=0,"",INDEX('My equipment'!$W$4:$W$503,(_calc!$E$440-500))))=0,"","Claim ref: "&amp;IF(LEN(INDEX('My equipment'!$W$4:$W$503,(_calc!$E$440-500)))=0,"",INDEX('My equipment'!$W$4:$W$503,(_calc!$E$440-500)))&amp;". ")&amp;IF(LEN(IF(LEN(INDEX('My equipment'!$Y$4:$Y$503,(_calc!$E$440-500)))=0,"",INDEX('My equipment'!$Y$4:$Y$503,(_calc!$E$440-500))))=0,"",IF(LEN(INDEX('My equipment'!$Y$4:$Y$503,(_calc!$E$440-500)))=0,"",INDEX('My equipment'!$Y$4:$Y$503,(_calc!$E$440-500)))))))</f>
        <v/>
      </c>
      <c r="G438" s="54">
        <f>IF(_calc!$E$440="","",IF(_calc!$E$440&lt;=500,"",IF(LEN(INDEX('My equipment'!$X$4:$X$503,(_calc!$E$440-500)))=0,"",INDEX('My equipment'!$X$4:$X$503,(_calc!$E$440-500)))))</f>
        <v/>
      </c>
      <c r="K438" s="54">
        <f>IF(_calc!$E$440="","",IF(_calc!$E$440&lt;=500,"",IF(LEN(INDEX('My equipment'!$T$4:$T$503,(_calc!$E$440-500)))=0,"",INDEX('My equipment'!$T$4:$T$503,(_calc!$E$440-500)))))</f>
        <v/>
      </c>
    </row>
    <row r="439">
      <c r="A439" s="54">
        <f>IF(_calc!$E$441="","",IF(_calc!$E$441&lt;=500,"Warranty – "&amp;IF(LEN(INDEX('Dealer pipeline'!$C$4:$C$503,_calc!$E$441))=0,"",INDEX('Dealer pipeline'!$C$4:$C$503,_calc!$E$441))&amp;" – "&amp;IF(LEN(INDEX('Dealer pipeline'!$D$4:$D$503,_calc!$E$441))=0,"",INDEX('Dealer pipeline'!$D$4:$D$503,_calc!$E$441))&amp;" – "&amp;IF(LEN(INDEX('Dealer pipeline'!$A$4:$A$503,_calc!$E$441))=0,"",INDEX('Dealer pipeline'!$A$4:$A$503,_calc!$E$441)),"Warranty – "&amp;IF(LEN(INDEX('My equipment'!$A$4:$A$503,(_calc!$E$441-500)))=0,"",INDEX('My equipment'!$A$4:$A$503,(_calc!$E$441-500)))&amp;" – "&amp;IF(LEN(INDEX('My equipment'!$D$4:$D$503,(_calc!$E$441-500)))=0,"",INDEX('My equipment'!$D$4:$D$503,(_calc!$E$441-500)))))</f>
        <v/>
      </c>
      <c r="B439" s="54">
        <f>IF(_calc!$E$441="","",IF(_calc!$E$441&lt;=500,IF(ISNUMBER(INDEX('Dealer pipeline'!$M$4:$M$503,_calc!$E$441)),TEXT(INDEX('Dealer pipeline'!$M$4:$M$503,_calc!$E$441),"yyyy-mm-dd"),""),IF(ISNUMBER(INDEX('My equipment'!$M$4:$M$503,(_calc!$E$441-500))),TEXT(INDEX('My equipment'!$M$4:$M$503,(_calc!$E$441-500)),"yyyy-mm-dd"),"")))</f>
        <v/>
      </c>
      <c r="C439" s="54">
        <f>IF(_calc!$E$441="","",IF(_calc!$E$441&lt;=500,"Warranty","Warranty"))</f>
        <v/>
      </c>
      <c r="D439" s="54">
        <f>IF(_calc!$E$441="","",IF(_calc!$E$441&lt;=500,IF(ISNUMBER(INDEX('Dealer pipeline'!$H$4:$H$503,_calc!$E$441)),TEXT(INDEX('Dealer pipeline'!$H$4:$H$503,_calc!$E$441),"yyyy-mm-dd"),""),IF(ISNUMBER(INDEX('My equipment'!$H$4:$H$503,(_calc!$E$441-500))),TEXT(INDEX('My equipment'!$H$4:$H$503,(_calc!$E$441-500)),"yyyy-mm-dd"),"")))</f>
        <v/>
      </c>
      <c r="F439" s="54">
        <f>IF(_calc!$E$441="","",IF(_calc!$E$441&lt;=500,TRIM(IF(LEN(IF(LEN(INDEX('Dealer pipeline'!$A$4:$A$503,_calc!$E$441))=0,"",INDEX('Dealer pipeline'!$A$4:$A$503,_calc!$E$441)))=0,"","Customer: "&amp;IF(LEN(INDEX('Dealer pipeline'!$A$4:$A$503,_calc!$E$441))=0,"",INDEX('Dealer pipeline'!$A$4:$A$503,_calc!$E$441))&amp;". ")&amp;IF(LEN(IF(LEN(INDEX('Dealer pipeline'!$B$4:$B$503,_calc!$E$441))=0,"",INDEX('Dealer pipeline'!$B$4:$B$503,_calc!$E$441)))=0,"","Contact: "&amp;IF(LEN(INDEX('Dealer pipeline'!$B$4:$B$503,_calc!$E$441))=0,"",INDEX('Dealer pipeline'!$B$4:$B$503,_calc!$E$441))&amp;". ")&amp;IF(LEN(IF(LEN(INDEX('Dealer pipeline'!$D$4:$D$503,_calc!$E$441))=0,"",INDEX('Dealer pipeline'!$D$4:$D$503,_calc!$E$441)))=0,"","Serial: "&amp;IF(LEN(INDEX('Dealer pipeline'!$D$4:$D$503,_calc!$E$441))=0,"",INDEX('Dealer pipeline'!$D$4:$D$503,_calc!$E$441))&amp;". ")&amp;IF(LEN(IF(ISNUMBER(INDEX('Dealer pipeline'!$J$4:$J$503,_calc!$E$441)),TEXT(INDEX('Dealer pipeline'!$J$4:$J$503,_calc!$E$441),"yyyy-mm-dd"),""))=0,"","Parts end: "&amp;IF(ISNUMBER(INDEX('Dealer pipeline'!$J$4:$J$503,_calc!$E$441)),TEXT(INDEX('Dealer pipeline'!$J$4:$J$503,_calc!$E$441),"yyyy-mm-dd"),"")&amp;". ")&amp;IF(LEN(IF(ISNUMBER(INDEX('Dealer pipeline'!$L$4:$L$503,_calc!$E$441)),TEXT(INDEX('Dealer pipeline'!$L$4:$L$503,_calc!$E$441),"yyyy-mm-dd"),""))=0,"","Labor end: "&amp;IF(ISNUMBER(INDEX('Dealer pipeline'!$L$4:$L$503,_calc!$E$441)),TEXT(INDEX('Dealer pipeline'!$L$4:$L$503,_calc!$E$441),"yyyy-mm-dd"),"")&amp;". ")&amp;IF(LEN(IF(LEN(INDEX('Dealer pipeline'!$Q$4:$Q$503,_calc!$E$441))=0,"",INDEX('Dealer pipeline'!$Q$4:$Q$503,_calc!$E$441)))=0,"","Status: "&amp;IF(LEN(INDEX('Dealer pipeline'!$Q$4:$Q$503,_calc!$E$441))=0,"",INDEX('Dealer pipeline'!$Q$4:$Q$503,_calc!$E$441))&amp;". ")&amp;IF(LEN(IF(LEN(INDEX('Dealer pipeline'!$P$4:$P$503,_calc!$E$441))=0,"",INDEX('Dealer pipeline'!$P$4:$P$503,_calc!$E$441)))=0,"","Last touch: "&amp;IF(LEN(INDEX('Dealer pipeline'!$P$4:$P$503,_calc!$E$441))=0,"",INDEX('Dealer pipeline'!$P$4:$P$503,_calc!$E$441))&amp;". ")&amp;IF(LEN(IF(LEN(INDEX('Dealer pipeline'!$R$4:$R$503,_calc!$E$441))=0,"",INDEX('Dealer pipeline'!$R$4:$R$503,_calc!$E$441)))=0,"","Owner: "&amp;IF(LEN(INDEX('Dealer pipeline'!$R$4:$R$503,_calc!$E$441))=0,"",INDEX('Dealer pipeline'!$R$4:$R$503,_calc!$E$441))&amp;". ")&amp;IF(LEN(IF(LEN(INDEX('Dealer pipeline'!$S$4:$S$503,_calc!$E$441))=0,"",INDEX('Dealer pipeline'!$S$4:$S$503,_calc!$E$441)))=0,"","Backup: "&amp;IF(LEN(INDEX('Dealer pipeline'!$S$4:$S$503,_calc!$E$441))=0,"",INDEX('Dealer pipeline'!$S$4:$S$503,_calc!$E$441))&amp;". ")&amp;IF(LEN(IF(LEN(INDEX('Dealer pipeline'!$T$4:$T$503,_calc!$E$441))=0,"",INDEX('Dealer pipeline'!$T$4:$T$503,_calc!$E$441)))=0,"",IF(LEN(INDEX('Dealer pipeline'!$T$4:$T$503,_calc!$E$441))=0,"",INDEX('Dealer pipeline'!$T$4:$T$503,_calc!$E$441)))),TRIM(IF(LEN(IF(LEN(INDEX('My equipment'!$C$4:$C$503,(_calc!$E$441-500)))=0,"",INDEX('My equipment'!$C$4:$C$503,(_calc!$E$441-500))))=0,"","Model: "&amp;IF(LEN(INDEX('My equipment'!$C$4:$C$503,(_calc!$E$441-500)))=0,"",INDEX('My equipment'!$C$4:$C$503,(_calc!$E$441-500)))&amp;". ")&amp;IF(LEN(IF(LEN(INDEX('My equipment'!$D$4:$D$503,(_calc!$E$441-500)))=0,"",INDEX('My equipment'!$D$4:$D$503,(_calc!$E$441-500))))=0,"","Serial: "&amp;IF(LEN(INDEX('My equipment'!$D$4:$D$503,(_calc!$E$441-500)))=0,"",INDEX('My equipment'!$D$4:$D$503,(_calc!$E$441-500)))&amp;". ")&amp;IF(LEN(IF(ISNUMBER(INDEX('My equipment'!$J$4:$J$503,(_calc!$E$441-500))),TEXT(INDEX('My equipment'!$J$4:$J$503,(_calc!$E$441-500)),"yyyy-mm-dd"),""))=0,"","Parts end: "&amp;IF(ISNUMBER(INDEX('My equipment'!$J$4:$J$503,(_calc!$E$441-500))),TEXT(INDEX('My equipment'!$J$4:$J$503,(_calc!$E$441-500)),"yyyy-mm-dd"),"")&amp;". ")&amp;IF(LEN(IF(ISNUMBER(INDEX('My equipment'!$L$4:$L$503,(_calc!$E$441-500))),TEXT(INDEX('My equipment'!$L$4:$L$503,(_calc!$E$441-500)),"yyyy-mm-dd"),""))=0,"","Labor end: "&amp;IF(ISNUMBER(INDEX('My equipment'!$L$4:$L$503,(_calc!$E$441-500))),TEXT(INDEX('My equipment'!$L$4:$L$503,(_calc!$E$441-500)),"yyyy-mm-dd"),"")&amp;". ")&amp;IF(LEN(IF(ISNUMBER(INDEX('My equipment'!$P$4:$P$503,(_calc!$E$441-500))),TEXT(INDEX('My equipment'!$P$4:$P$503,(_calc!$E$441-500)),"yyyy-mm-dd"),""))=0,"","Check by: "&amp;IF(ISNUMBER(INDEX('My equipment'!$P$4:$P$503,(_calc!$E$441-500))),TEXT(INDEX('My equipment'!$P$4:$P$503,(_calc!$E$441-500)),"yyyy-mm-dd"),"")&amp;". ")&amp;IF(LEN(IF(LEN(INDEX('My equipment'!$Q$4:$Q$503,(_calc!$E$441-500)))=0,"",INDEX('My equipment'!$Q$4:$Q$503,(_calc!$E$441-500))))=0,"","Claim status: "&amp;IF(LEN(INDEX('My equipment'!$Q$4:$Q$503,(_calc!$E$441-500)))=0,"",INDEX('My equipment'!$Q$4:$Q$503,(_calc!$E$441-500)))&amp;". ")&amp;IF(LEN(IF(LEN(INDEX('My equipment'!$R$4:$R$503,(_calc!$E$441-500)))=0,"",INDEX('My equipment'!$R$4:$R$503,(_calc!$E$441-500))))=0,"","Claims contact: "&amp;IF(LEN(INDEX('My equipment'!$R$4:$R$503,(_calc!$E$441-500)))=0,"",INDEX('My equipment'!$R$4:$R$503,(_calc!$E$441-500)))&amp;". ")&amp;IF(LEN(IF(LEN(INDEX('My equipment'!$S$4:$S$503,(_calc!$E$441-500)))=0,"",INDEX('My equipment'!$S$4:$S$503,(_calc!$E$441-500))))=0,"","Claims email: "&amp;IF(LEN(INDEX('My equipment'!$S$4:$S$503,(_calc!$E$441-500)))=0,"",INDEX('My equipment'!$S$4:$S$503,(_calc!$E$441-500)))&amp;". ")&amp;IF(LEN(IF(LEN(INDEX('My equipment'!$U$4:$U$503,(_calc!$E$441-500)))=0,"",INDEX('My equipment'!$U$4:$U$503,(_calc!$E$441-500))))=0,"","Registered: "&amp;IF(LEN(INDEX('My equipment'!$U$4:$U$503,(_calc!$E$441-500)))=0,"",INDEX('My equipment'!$U$4:$U$503,(_calc!$E$441-500)))&amp;". ")&amp;IF(LEN(IF(LEN(INDEX('My equipment'!$V$4:$V$503,(_calc!$E$441-500)))=0,"",INDEX('My equipment'!$V$4:$V$503,(_calc!$E$441-500))))=0,"","Proof on file: "&amp;IF(LEN(INDEX('My equipment'!$V$4:$V$503,(_calc!$E$441-500)))=0,"",INDEX('My equipment'!$V$4:$V$503,(_calc!$E$441-500)))&amp;". ")&amp;IF(LEN(IF(LEN(INDEX('My equipment'!$W$4:$W$503,(_calc!$E$441-500)))=0,"",INDEX('My equipment'!$W$4:$W$503,(_calc!$E$441-500))))=0,"","Claim ref: "&amp;IF(LEN(INDEX('My equipment'!$W$4:$W$503,(_calc!$E$441-500)))=0,"",INDEX('My equipment'!$W$4:$W$503,(_calc!$E$441-500)))&amp;". ")&amp;IF(LEN(IF(LEN(INDEX('My equipment'!$Y$4:$Y$503,(_calc!$E$441-500)))=0,"",INDEX('My equipment'!$Y$4:$Y$503,(_calc!$E$441-500))))=0,"",IF(LEN(INDEX('My equipment'!$Y$4:$Y$503,(_calc!$E$441-500)))=0,"",INDEX('My equipment'!$Y$4:$Y$503,(_calc!$E$441-500)))))))</f>
        <v/>
      </c>
      <c r="G439" s="54">
        <f>IF(_calc!$E$441="","",IF(_calc!$E$441&lt;=500,"",IF(LEN(INDEX('My equipment'!$X$4:$X$503,(_calc!$E$441-500)))=0,"",INDEX('My equipment'!$X$4:$X$503,(_calc!$E$441-500)))))</f>
        <v/>
      </c>
      <c r="K439" s="54">
        <f>IF(_calc!$E$441="","",IF(_calc!$E$441&lt;=500,"",IF(LEN(INDEX('My equipment'!$T$4:$T$503,(_calc!$E$441-500)))=0,"",INDEX('My equipment'!$T$4:$T$503,(_calc!$E$441-500)))))</f>
        <v/>
      </c>
    </row>
    <row r="440">
      <c r="A440" s="54">
        <f>IF(_calc!$E$442="","",IF(_calc!$E$442&lt;=500,"Warranty – "&amp;IF(LEN(INDEX('Dealer pipeline'!$C$4:$C$503,_calc!$E$442))=0,"",INDEX('Dealer pipeline'!$C$4:$C$503,_calc!$E$442))&amp;" – "&amp;IF(LEN(INDEX('Dealer pipeline'!$D$4:$D$503,_calc!$E$442))=0,"",INDEX('Dealer pipeline'!$D$4:$D$503,_calc!$E$442))&amp;" – "&amp;IF(LEN(INDEX('Dealer pipeline'!$A$4:$A$503,_calc!$E$442))=0,"",INDEX('Dealer pipeline'!$A$4:$A$503,_calc!$E$442)),"Warranty – "&amp;IF(LEN(INDEX('My equipment'!$A$4:$A$503,(_calc!$E$442-500)))=0,"",INDEX('My equipment'!$A$4:$A$503,(_calc!$E$442-500)))&amp;" – "&amp;IF(LEN(INDEX('My equipment'!$D$4:$D$503,(_calc!$E$442-500)))=0,"",INDEX('My equipment'!$D$4:$D$503,(_calc!$E$442-500)))))</f>
        <v/>
      </c>
      <c r="B440" s="54">
        <f>IF(_calc!$E$442="","",IF(_calc!$E$442&lt;=500,IF(ISNUMBER(INDEX('Dealer pipeline'!$M$4:$M$503,_calc!$E$442)),TEXT(INDEX('Dealer pipeline'!$M$4:$M$503,_calc!$E$442),"yyyy-mm-dd"),""),IF(ISNUMBER(INDEX('My equipment'!$M$4:$M$503,(_calc!$E$442-500))),TEXT(INDEX('My equipment'!$M$4:$M$503,(_calc!$E$442-500)),"yyyy-mm-dd"),"")))</f>
        <v/>
      </c>
      <c r="C440" s="54">
        <f>IF(_calc!$E$442="","",IF(_calc!$E$442&lt;=500,"Warranty","Warranty"))</f>
        <v/>
      </c>
      <c r="D440" s="54">
        <f>IF(_calc!$E$442="","",IF(_calc!$E$442&lt;=500,IF(ISNUMBER(INDEX('Dealer pipeline'!$H$4:$H$503,_calc!$E$442)),TEXT(INDEX('Dealer pipeline'!$H$4:$H$503,_calc!$E$442),"yyyy-mm-dd"),""),IF(ISNUMBER(INDEX('My equipment'!$H$4:$H$503,(_calc!$E$442-500))),TEXT(INDEX('My equipment'!$H$4:$H$503,(_calc!$E$442-500)),"yyyy-mm-dd"),"")))</f>
        <v/>
      </c>
      <c r="F440" s="54">
        <f>IF(_calc!$E$442="","",IF(_calc!$E$442&lt;=500,TRIM(IF(LEN(IF(LEN(INDEX('Dealer pipeline'!$A$4:$A$503,_calc!$E$442))=0,"",INDEX('Dealer pipeline'!$A$4:$A$503,_calc!$E$442)))=0,"","Customer: "&amp;IF(LEN(INDEX('Dealer pipeline'!$A$4:$A$503,_calc!$E$442))=0,"",INDEX('Dealer pipeline'!$A$4:$A$503,_calc!$E$442))&amp;". ")&amp;IF(LEN(IF(LEN(INDEX('Dealer pipeline'!$B$4:$B$503,_calc!$E$442))=0,"",INDEX('Dealer pipeline'!$B$4:$B$503,_calc!$E$442)))=0,"","Contact: "&amp;IF(LEN(INDEX('Dealer pipeline'!$B$4:$B$503,_calc!$E$442))=0,"",INDEX('Dealer pipeline'!$B$4:$B$503,_calc!$E$442))&amp;". ")&amp;IF(LEN(IF(LEN(INDEX('Dealer pipeline'!$D$4:$D$503,_calc!$E$442))=0,"",INDEX('Dealer pipeline'!$D$4:$D$503,_calc!$E$442)))=0,"","Serial: "&amp;IF(LEN(INDEX('Dealer pipeline'!$D$4:$D$503,_calc!$E$442))=0,"",INDEX('Dealer pipeline'!$D$4:$D$503,_calc!$E$442))&amp;". ")&amp;IF(LEN(IF(ISNUMBER(INDEX('Dealer pipeline'!$J$4:$J$503,_calc!$E$442)),TEXT(INDEX('Dealer pipeline'!$J$4:$J$503,_calc!$E$442),"yyyy-mm-dd"),""))=0,"","Parts end: "&amp;IF(ISNUMBER(INDEX('Dealer pipeline'!$J$4:$J$503,_calc!$E$442)),TEXT(INDEX('Dealer pipeline'!$J$4:$J$503,_calc!$E$442),"yyyy-mm-dd"),"")&amp;". ")&amp;IF(LEN(IF(ISNUMBER(INDEX('Dealer pipeline'!$L$4:$L$503,_calc!$E$442)),TEXT(INDEX('Dealer pipeline'!$L$4:$L$503,_calc!$E$442),"yyyy-mm-dd"),""))=0,"","Labor end: "&amp;IF(ISNUMBER(INDEX('Dealer pipeline'!$L$4:$L$503,_calc!$E$442)),TEXT(INDEX('Dealer pipeline'!$L$4:$L$503,_calc!$E$442),"yyyy-mm-dd"),"")&amp;". ")&amp;IF(LEN(IF(LEN(INDEX('Dealer pipeline'!$Q$4:$Q$503,_calc!$E$442))=0,"",INDEX('Dealer pipeline'!$Q$4:$Q$503,_calc!$E$442)))=0,"","Status: "&amp;IF(LEN(INDEX('Dealer pipeline'!$Q$4:$Q$503,_calc!$E$442))=0,"",INDEX('Dealer pipeline'!$Q$4:$Q$503,_calc!$E$442))&amp;". ")&amp;IF(LEN(IF(LEN(INDEX('Dealer pipeline'!$P$4:$P$503,_calc!$E$442))=0,"",INDEX('Dealer pipeline'!$P$4:$P$503,_calc!$E$442)))=0,"","Last touch: "&amp;IF(LEN(INDEX('Dealer pipeline'!$P$4:$P$503,_calc!$E$442))=0,"",INDEX('Dealer pipeline'!$P$4:$P$503,_calc!$E$442))&amp;". ")&amp;IF(LEN(IF(LEN(INDEX('Dealer pipeline'!$R$4:$R$503,_calc!$E$442))=0,"",INDEX('Dealer pipeline'!$R$4:$R$503,_calc!$E$442)))=0,"","Owner: "&amp;IF(LEN(INDEX('Dealer pipeline'!$R$4:$R$503,_calc!$E$442))=0,"",INDEX('Dealer pipeline'!$R$4:$R$503,_calc!$E$442))&amp;". ")&amp;IF(LEN(IF(LEN(INDEX('Dealer pipeline'!$S$4:$S$503,_calc!$E$442))=0,"",INDEX('Dealer pipeline'!$S$4:$S$503,_calc!$E$442)))=0,"","Backup: "&amp;IF(LEN(INDEX('Dealer pipeline'!$S$4:$S$503,_calc!$E$442))=0,"",INDEX('Dealer pipeline'!$S$4:$S$503,_calc!$E$442))&amp;". ")&amp;IF(LEN(IF(LEN(INDEX('Dealer pipeline'!$T$4:$T$503,_calc!$E$442))=0,"",INDEX('Dealer pipeline'!$T$4:$T$503,_calc!$E$442)))=0,"",IF(LEN(INDEX('Dealer pipeline'!$T$4:$T$503,_calc!$E$442))=0,"",INDEX('Dealer pipeline'!$T$4:$T$503,_calc!$E$442)))),TRIM(IF(LEN(IF(LEN(INDEX('My equipment'!$C$4:$C$503,(_calc!$E$442-500)))=0,"",INDEX('My equipment'!$C$4:$C$503,(_calc!$E$442-500))))=0,"","Model: "&amp;IF(LEN(INDEX('My equipment'!$C$4:$C$503,(_calc!$E$442-500)))=0,"",INDEX('My equipment'!$C$4:$C$503,(_calc!$E$442-500)))&amp;". ")&amp;IF(LEN(IF(LEN(INDEX('My equipment'!$D$4:$D$503,(_calc!$E$442-500)))=0,"",INDEX('My equipment'!$D$4:$D$503,(_calc!$E$442-500))))=0,"","Serial: "&amp;IF(LEN(INDEX('My equipment'!$D$4:$D$503,(_calc!$E$442-500)))=0,"",INDEX('My equipment'!$D$4:$D$503,(_calc!$E$442-500)))&amp;". ")&amp;IF(LEN(IF(ISNUMBER(INDEX('My equipment'!$J$4:$J$503,(_calc!$E$442-500))),TEXT(INDEX('My equipment'!$J$4:$J$503,(_calc!$E$442-500)),"yyyy-mm-dd"),""))=0,"","Parts end: "&amp;IF(ISNUMBER(INDEX('My equipment'!$J$4:$J$503,(_calc!$E$442-500))),TEXT(INDEX('My equipment'!$J$4:$J$503,(_calc!$E$442-500)),"yyyy-mm-dd"),"")&amp;". ")&amp;IF(LEN(IF(ISNUMBER(INDEX('My equipment'!$L$4:$L$503,(_calc!$E$442-500))),TEXT(INDEX('My equipment'!$L$4:$L$503,(_calc!$E$442-500)),"yyyy-mm-dd"),""))=0,"","Labor end: "&amp;IF(ISNUMBER(INDEX('My equipment'!$L$4:$L$503,(_calc!$E$442-500))),TEXT(INDEX('My equipment'!$L$4:$L$503,(_calc!$E$442-500)),"yyyy-mm-dd"),"")&amp;". ")&amp;IF(LEN(IF(ISNUMBER(INDEX('My equipment'!$P$4:$P$503,(_calc!$E$442-500))),TEXT(INDEX('My equipment'!$P$4:$P$503,(_calc!$E$442-500)),"yyyy-mm-dd"),""))=0,"","Check by: "&amp;IF(ISNUMBER(INDEX('My equipment'!$P$4:$P$503,(_calc!$E$442-500))),TEXT(INDEX('My equipment'!$P$4:$P$503,(_calc!$E$442-500)),"yyyy-mm-dd"),"")&amp;". ")&amp;IF(LEN(IF(LEN(INDEX('My equipment'!$Q$4:$Q$503,(_calc!$E$442-500)))=0,"",INDEX('My equipment'!$Q$4:$Q$503,(_calc!$E$442-500))))=0,"","Claim status: "&amp;IF(LEN(INDEX('My equipment'!$Q$4:$Q$503,(_calc!$E$442-500)))=0,"",INDEX('My equipment'!$Q$4:$Q$503,(_calc!$E$442-500)))&amp;". ")&amp;IF(LEN(IF(LEN(INDEX('My equipment'!$R$4:$R$503,(_calc!$E$442-500)))=0,"",INDEX('My equipment'!$R$4:$R$503,(_calc!$E$442-500))))=0,"","Claims contact: "&amp;IF(LEN(INDEX('My equipment'!$R$4:$R$503,(_calc!$E$442-500)))=0,"",INDEX('My equipment'!$R$4:$R$503,(_calc!$E$442-500)))&amp;". ")&amp;IF(LEN(IF(LEN(INDEX('My equipment'!$S$4:$S$503,(_calc!$E$442-500)))=0,"",INDEX('My equipment'!$S$4:$S$503,(_calc!$E$442-500))))=0,"","Claims email: "&amp;IF(LEN(INDEX('My equipment'!$S$4:$S$503,(_calc!$E$442-500)))=0,"",INDEX('My equipment'!$S$4:$S$503,(_calc!$E$442-500)))&amp;". ")&amp;IF(LEN(IF(LEN(INDEX('My equipment'!$U$4:$U$503,(_calc!$E$442-500)))=0,"",INDEX('My equipment'!$U$4:$U$503,(_calc!$E$442-500))))=0,"","Registered: "&amp;IF(LEN(INDEX('My equipment'!$U$4:$U$503,(_calc!$E$442-500)))=0,"",INDEX('My equipment'!$U$4:$U$503,(_calc!$E$442-500)))&amp;". ")&amp;IF(LEN(IF(LEN(INDEX('My equipment'!$V$4:$V$503,(_calc!$E$442-500)))=0,"",INDEX('My equipment'!$V$4:$V$503,(_calc!$E$442-500))))=0,"","Proof on file: "&amp;IF(LEN(INDEX('My equipment'!$V$4:$V$503,(_calc!$E$442-500)))=0,"",INDEX('My equipment'!$V$4:$V$503,(_calc!$E$442-500)))&amp;". ")&amp;IF(LEN(IF(LEN(INDEX('My equipment'!$W$4:$W$503,(_calc!$E$442-500)))=0,"",INDEX('My equipment'!$W$4:$W$503,(_calc!$E$442-500))))=0,"","Claim ref: "&amp;IF(LEN(INDEX('My equipment'!$W$4:$W$503,(_calc!$E$442-500)))=0,"",INDEX('My equipment'!$W$4:$W$503,(_calc!$E$442-500)))&amp;". ")&amp;IF(LEN(IF(LEN(INDEX('My equipment'!$Y$4:$Y$503,(_calc!$E$442-500)))=0,"",INDEX('My equipment'!$Y$4:$Y$503,(_calc!$E$442-500))))=0,"",IF(LEN(INDEX('My equipment'!$Y$4:$Y$503,(_calc!$E$442-500)))=0,"",INDEX('My equipment'!$Y$4:$Y$503,(_calc!$E$442-500)))))))</f>
        <v/>
      </c>
      <c r="G440" s="54">
        <f>IF(_calc!$E$442="","",IF(_calc!$E$442&lt;=500,"",IF(LEN(INDEX('My equipment'!$X$4:$X$503,(_calc!$E$442-500)))=0,"",INDEX('My equipment'!$X$4:$X$503,(_calc!$E$442-500)))))</f>
        <v/>
      </c>
      <c r="K440" s="54">
        <f>IF(_calc!$E$442="","",IF(_calc!$E$442&lt;=500,"",IF(LEN(INDEX('My equipment'!$T$4:$T$503,(_calc!$E$442-500)))=0,"",INDEX('My equipment'!$T$4:$T$503,(_calc!$E$442-500)))))</f>
        <v/>
      </c>
    </row>
    <row r="441">
      <c r="A441" s="54">
        <f>IF(_calc!$E$443="","",IF(_calc!$E$443&lt;=500,"Warranty – "&amp;IF(LEN(INDEX('Dealer pipeline'!$C$4:$C$503,_calc!$E$443))=0,"",INDEX('Dealer pipeline'!$C$4:$C$503,_calc!$E$443))&amp;" – "&amp;IF(LEN(INDEX('Dealer pipeline'!$D$4:$D$503,_calc!$E$443))=0,"",INDEX('Dealer pipeline'!$D$4:$D$503,_calc!$E$443))&amp;" – "&amp;IF(LEN(INDEX('Dealer pipeline'!$A$4:$A$503,_calc!$E$443))=0,"",INDEX('Dealer pipeline'!$A$4:$A$503,_calc!$E$443)),"Warranty – "&amp;IF(LEN(INDEX('My equipment'!$A$4:$A$503,(_calc!$E$443-500)))=0,"",INDEX('My equipment'!$A$4:$A$503,(_calc!$E$443-500)))&amp;" – "&amp;IF(LEN(INDEX('My equipment'!$D$4:$D$503,(_calc!$E$443-500)))=0,"",INDEX('My equipment'!$D$4:$D$503,(_calc!$E$443-500)))))</f>
        <v/>
      </c>
      <c r="B441" s="54">
        <f>IF(_calc!$E$443="","",IF(_calc!$E$443&lt;=500,IF(ISNUMBER(INDEX('Dealer pipeline'!$M$4:$M$503,_calc!$E$443)),TEXT(INDEX('Dealer pipeline'!$M$4:$M$503,_calc!$E$443),"yyyy-mm-dd"),""),IF(ISNUMBER(INDEX('My equipment'!$M$4:$M$503,(_calc!$E$443-500))),TEXT(INDEX('My equipment'!$M$4:$M$503,(_calc!$E$443-500)),"yyyy-mm-dd"),"")))</f>
        <v/>
      </c>
      <c r="C441" s="54">
        <f>IF(_calc!$E$443="","",IF(_calc!$E$443&lt;=500,"Warranty","Warranty"))</f>
        <v/>
      </c>
      <c r="D441" s="54">
        <f>IF(_calc!$E$443="","",IF(_calc!$E$443&lt;=500,IF(ISNUMBER(INDEX('Dealer pipeline'!$H$4:$H$503,_calc!$E$443)),TEXT(INDEX('Dealer pipeline'!$H$4:$H$503,_calc!$E$443),"yyyy-mm-dd"),""),IF(ISNUMBER(INDEX('My equipment'!$H$4:$H$503,(_calc!$E$443-500))),TEXT(INDEX('My equipment'!$H$4:$H$503,(_calc!$E$443-500)),"yyyy-mm-dd"),"")))</f>
        <v/>
      </c>
      <c r="F441" s="54">
        <f>IF(_calc!$E$443="","",IF(_calc!$E$443&lt;=500,TRIM(IF(LEN(IF(LEN(INDEX('Dealer pipeline'!$A$4:$A$503,_calc!$E$443))=0,"",INDEX('Dealer pipeline'!$A$4:$A$503,_calc!$E$443)))=0,"","Customer: "&amp;IF(LEN(INDEX('Dealer pipeline'!$A$4:$A$503,_calc!$E$443))=0,"",INDEX('Dealer pipeline'!$A$4:$A$503,_calc!$E$443))&amp;". ")&amp;IF(LEN(IF(LEN(INDEX('Dealer pipeline'!$B$4:$B$503,_calc!$E$443))=0,"",INDEX('Dealer pipeline'!$B$4:$B$503,_calc!$E$443)))=0,"","Contact: "&amp;IF(LEN(INDEX('Dealer pipeline'!$B$4:$B$503,_calc!$E$443))=0,"",INDEX('Dealer pipeline'!$B$4:$B$503,_calc!$E$443))&amp;". ")&amp;IF(LEN(IF(LEN(INDEX('Dealer pipeline'!$D$4:$D$503,_calc!$E$443))=0,"",INDEX('Dealer pipeline'!$D$4:$D$503,_calc!$E$443)))=0,"","Serial: "&amp;IF(LEN(INDEX('Dealer pipeline'!$D$4:$D$503,_calc!$E$443))=0,"",INDEX('Dealer pipeline'!$D$4:$D$503,_calc!$E$443))&amp;". ")&amp;IF(LEN(IF(ISNUMBER(INDEX('Dealer pipeline'!$J$4:$J$503,_calc!$E$443)),TEXT(INDEX('Dealer pipeline'!$J$4:$J$503,_calc!$E$443),"yyyy-mm-dd"),""))=0,"","Parts end: "&amp;IF(ISNUMBER(INDEX('Dealer pipeline'!$J$4:$J$503,_calc!$E$443)),TEXT(INDEX('Dealer pipeline'!$J$4:$J$503,_calc!$E$443),"yyyy-mm-dd"),"")&amp;". ")&amp;IF(LEN(IF(ISNUMBER(INDEX('Dealer pipeline'!$L$4:$L$503,_calc!$E$443)),TEXT(INDEX('Dealer pipeline'!$L$4:$L$503,_calc!$E$443),"yyyy-mm-dd"),""))=0,"","Labor end: "&amp;IF(ISNUMBER(INDEX('Dealer pipeline'!$L$4:$L$503,_calc!$E$443)),TEXT(INDEX('Dealer pipeline'!$L$4:$L$503,_calc!$E$443),"yyyy-mm-dd"),"")&amp;". ")&amp;IF(LEN(IF(LEN(INDEX('Dealer pipeline'!$Q$4:$Q$503,_calc!$E$443))=0,"",INDEX('Dealer pipeline'!$Q$4:$Q$503,_calc!$E$443)))=0,"","Status: "&amp;IF(LEN(INDEX('Dealer pipeline'!$Q$4:$Q$503,_calc!$E$443))=0,"",INDEX('Dealer pipeline'!$Q$4:$Q$503,_calc!$E$443))&amp;". ")&amp;IF(LEN(IF(LEN(INDEX('Dealer pipeline'!$P$4:$P$503,_calc!$E$443))=0,"",INDEX('Dealer pipeline'!$P$4:$P$503,_calc!$E$443)))=0,"","Last touch: "&amp;IF(LEN(INDEX('Dealer pipeline'!$P$4:$P$503,_calc!$E$443))=0,"",INDEX('Dealer pipeline'!$P$4:$P$503,_calc!$E$443))&amp;". ")&amp;IF(LEN(IF(LEN(INDEX('Dealer pipeline'!$R$4:$R$503,_calc!$E$443))=0,"",INDEX('Dealer pipeline'!$R$4:$R$503,_calc!$E$443)))=0,"","Owner: "&amp;IF(LEN(INDEX('Dealer pipeline'!$R$4:$R$503,_calc!$E$443))=0,"",INDEX('Dealer pipeline'!$R$4:$R$503,_calc!$E$443))&amp;". ")&amp;IF(LEN(IF(LEN(INDEX('Dealer pipeline'!$S$4:$S$503,_calc!$E$443))=0,"",INDEX('Dealer pipeline'!$S$4:$S$503,_calc!$E$443)))=0,"","Backup: "&amp;IF(LEN(INDEX('Dealer pipeline'!$S$4:$S$503,_calc!$E$443))=0,"",INDEX('Dealer pipeline'!$S$4:$S$503,_calc!$E$443))&amp;". ")&amp;IF(LEN(IF(LEN(INDEX('Dealer pipeline'!$T$4:$T$503,_calc!$E$443))=0,"",INDEX('Dealer pipeline'!$T$4:$T$503,_calc!$E$443)))=0,"",IF(LEN(INDEX('Dealer pipeline'!$T$4:$T$503,_calc!$E$443))=0,"",INDEX('Dealer pipeline'!$T$4:$T$503,_calc!$E$443)))),TRIM(IF(LEN(IF(LEN(INDEX('My equipment'!$C$4:$C$503,(_calc!$E$443-500)))=0,"",INDEX('My equipment'!$C$4:$C$503,(_calc!$E$443-500))))=0,"","Model: "&amp;IF(LEN(INDEX('My equipment'!$C$4:$C$503,(_calc!$E$443-500)))=0,"",INDEX('My equipment'!$C$4:$C$503,(_calc!$E$443-500)))&amp;". ")&amp;IF(LEN(IF(LEN(INDEX('My equipment'!$D$4:$D$503,(_calc!$E$443-500)))=0,"",INDEX('My equipment'!$D$4:$D$503,(_calc!$E$443-500))))=0,"","Serial: "&amp;IF(LEN(INDEX('My equipment'!$D$4:$D$503,(_calc!$E$443-500)))=0,"",INDEX('My equipment'!$D$4:$D$503,(_calc!$E$443-500)))&amp;". ")&amp;IF(LEN(IF(ISNUMBER(INDEX('My equipment'!$J$4:$J$503,(_calc!$E$443-500))),TEXT(INDEX('My equipment'!$J$4:$J$503,(_calc!$E$443-500)),"yyyy-mm-dd"),""))=0,"","Parts end: "&amp;IF(ISNUMBER(INDEX('My equipment'!$J$4:$J$503,(_calc!$E$443-500))),TEXT(INDEX('My equipment'!$J$4:$J$503,(_calc!$E$443-500)),"yyyy-mm-dd"),"")&amp;". ")&amp;IF(LEN(IF(ISNUMBER(INDEX('My equipment'!$L$4:$L$503,(_calc!$E$443-500))),TEXT(INDEX('My equipment'!$L$4:$L$503,(_calc!$E$443-500)),"yyyy-mm-dd"),""))=0,"","Labor end: "&amp;IF(ISNUMBER(INDEX('My equipment'!$L$4:$L$503,(_calc!$E$443-500))),TEXT(INDEX('My equipment'!$L$4:$L$503,(_calc!$E$443-500)),"yyyy-mm-dd"),"")&amp;". ")&amp;IF(LEN(IF(ISNUMBER(INDEX('My equipment'!$P$4:$P$503,(_calc!$E$443-500))),TEXT(INDEX('My equipment'!$P$4:$P$503,(_calc!$E$443-500)),"yyyy-mm-dd"),""))=0,"","Check by: "&amp;IF(ISNUMBER(INDEX('My equipment'!$P$4:$P$503,(_calc!$E$443-500))),TEXT(INDEX('My equipment'!$P$4:$P$503,(_calc!$E$443-500)),"yyyy-mm-dd"),"")&amp;". ")&amp;IF(LEN(IF(LEN(INDEX('My equipment'!$Q$4:$Q$503,(_calc!$E$443-500)))=0,"",INDEX('My equipment'!$Q$4:$Q$503,(_calc!$E$443-500))))=0,"","Claim status: "&amp;IF(LEN(INDEX('My equipment'!$Q$4:$Q$503,(_calc!$E$443-500)))=0,"",INDEX('My equipment'!$Q$4:$Q$503,(_calc!$E$443-500)))&amp;". ")&amp;IF(LEN(IF(LEN(INDEX('My equipment'!$R$4:$R$503,(_calc!$E$443-500)))=0,"",INDEX('My equipment'!$R$4:$R$503,(_calc!$E$443-500))))=0,"","Claims contact: "&amp;IF(LEN(INDEX('My equipment'!$R$4:$R$503,(_calc!$E$443-500)))=0,"",INDEX('My equipment'!$R$4:$R$503,(_calc!$E$443-500)))&amp;". ")&amp;IF(LEN(IF(LEN(INDEX('My equipment'!$S$4:$S$503,(_calc!$E$443-500)))=0,"",INDEX('My equipment'!$S$4:$S$503,(_calc!$E$443-500))))=0,"","Claims email: "&amp;IF(LEN(INDEX('My equipment'!$S$4:$S$503,(_calc!$E$443-500)))=0,"",INDEX('My equipment'!$S$4:$S$503,(_calc!$E$443-500)))&amp;". ")&amp;IF(LEN(IF(LEN(INDEX('My equipment'!$U$4:$U$503,(_calc!$E$443-500)))=0,"",INDEX('My equipment'!$U$4:$U$503,(_calc!$E$443-500))))=0,"","Registered: "&amp;IF(LEN(INDEX('My equipment'!$U$4:$U$503,(_calc!$E$443-500)))=0,"",INDEX('My equipment'!$U$4:$U$503,(_calc!$E$443-500)))&amp;". ")&amp;IF(LEN(IF(LEN(INDEX('My equipment'!$V$4:$V$503,(_calc!$E$443-500)))=0,"",INDEX('My equipment'!$V$4:$V$503,(_calc!$E$443-500))))=0,"","Proof on file: "&amp;IF(LEN(INDEX('My equipment'!$V$4:$V$503,(_calc!$E$443-500)))=0,"",INDEX('My equipment'!$V$4:$V$503,(_calc!$E$443-500)))&amp;". ")&amp;IF(LEN(IF(LEN(INDEX('My equipment'!$W$4:$W$503,(_calc!$E$443-500)))=0,"",INDEX('My equipment'!$W$4:$W$503,(_calc!$E$443-500))))=0,"","Claim ref: "&amp;IF(LEN(INDEX('My equipment'!$W$4:$W$503,(_calc!$E$443-500)))=0,"",INDEX('My equipment'!$W$4:$W$503,(_calc!$E$443-500)))&amp;". ")&amp;IF(LEN(IF(LEN(INDEX('My equipment'!$Y$4:$Y$503,(_calc!$E$443-500)))=0,"",INDEX('My equipment'!$Y$4:$Y$503,(_calc!$E$443-500))))=0,"",IF(LEN(INDEX('My equipment'!$Y$4:$Y$503,(_calc!$E$443-500)))=0,"",INDEX('My equipment'!$Y$4:$Y$503,(_calc!$E$443-500)))))))</f>
        <v/>
      </c>
      <c r="G441" s="54">
        <f>IF(_calc!$E$443="","",IF(_calc!$E$443&lt;=500,"",IF(LEN(INDEX('My equipment'!$X$4:$X$503,(_calc!$E$443-500)))=0,"",INDEX('My equipment'!$X$4:$X$503,(_calc!$E$443-500)))))</f>
        <v/>
      </c>
      <c r="K441" s="54">
        <f>IF(_calc!$E$443="","",IF(_calc!$E$443&lt;=500,"",IF(LEN(INDEX('My equipment'!$T$4:$T$503,(_calc!$E$443-500)))=0,"",INDEX('My equipment'!$T$4:$T$503,(_calc!$E$443-500)))))</f>
        <v/>
      </c>
    </row>
    <row r="442">
      <c r="A442" s="54">
        <f>IF(_calc!$E$444="","",IF(_calc!$E$444&lt;=500,"Warranty – "&amp;IF(LEN(INDEX('Dealer pipeline'!$C$4:$C$503,_calc!$E$444))=0,"",INDEX('Dealer pipeline'!$C$4:$C$503,_calc!$E$444))&amp;" – "&amp;IF(LEN(INDEX('Dealer pipeline'!$D$4:$D$503,_calc!$E$444))=0,"",INDEX('Dealer pipeline'!$D$4:$D$503,_calc!$E$444))&amp;" – "&amp;IF(LEN(INDEX('Dealer pipeline'!$A$4:$A$503,_calc!$E$444))=0,"",INDEX('Dealer pipeline'!$A$4:$A$503,_calc!$E$444)),"Warranty – "&amp;IF(LEN(INDEX('My equipment'!$A$4:$A$503,(_calc!$E$444-500)))=0,"",INDEX('My equipment'!$A$4:$A$503,(_calc!$E$444-500)))&amp;" – "&amp;IF(LEN(INDEX('My equipment'!$D$4:$D$503,(_calc!$E$444-500)))=0,"",INDEX('My equipment'!$D$4:$D$503,(_calc!$E$444-500)))))</f>
        <v/>
      </c>
      <c r="B442" s="54">
        <f>IF(_calc!$E$444="","",IF(_calc!$E$444&lt;=500,IF(ISNUMBER(INDEX('Dealer pipeline'!$M$4:$M$503,_calc!$E$444)),TEXT(INDEX('Dealer pipeline'!$M$4:$M$503,_calc!$E$444),"yyyy-mm-dd"),""),IF(ISNUMBER(INDEX('My equipment'!$M$4:$M$503,(_calc!$E$444-500))),TEXT(INDEX('My equipment'!$M$4:$M$503,(_calc!$E$444-500)),"yyyy-mm-dd"),"")))</f>
        <v/>
      </c>
      <c r="C442" s="54">
        <f>IF(_calc!$E$444="","",IF(_calc!$E$444&lt;=500,"Warranty","Warranty"))</f>
        <v/>
      </c>
      <c r="D442" s="54">
        <f>IF(_calc!$E$444="","",IF(_calc!$E$444&lt;=500,IF(ISNUMBER(INDEX('Dealer pipeline'!$H$4:$H$503,_calc!$E$444)),TEXT(INDEX('Dealer pipeline'!$H$4:$H$503,_calc!$E$444),"yyyy-mm-dd"),""),IF(ISNUMBER(INDEX('My equipment'!$H$4:$H$503,(_calc!$E$444-500))),TEXT(INDEX('My equipment'!$H$4:$H$503,(_calc!$E$444-500)),"yyyy-mm-dd"),"")))</f>
        <v/>
      </c>
      <c r="F442" s="54">
        <f>IF(_calc!$E$444="","",IF(_calc!$E$444&lt;=500,TRIM(IF(LEN(IF(LEN(INDEX('Dealer pipeline'!$A$4:$A$503,_calc!$E$444))=0,"",INDEX('Dealer pipeline'!$A$4:$A$503,_calc!$E$444)))=0,"","Customer: "&amp;IF(LEN(INDEX('Dealer pipeline'!$A$4:$A$503,_calc!$E$444))=0,"",INDEX('Dealer pipeline'!$A$4:$A$503,_calc!$E$444))&amp;". ")&amp;IF(LEN(IF(LEN(INDEX('Dealer pipeline'!$B$4:$B$503,_calc!$E$444))=0,"",INDEX('Dealer pipeline'!$B$4:$B$503,_calc!$E$444)))=0,"","Contact: "&amp;IF(LEN(INDEX('Dealer pipeline'!$B$4:$B$503,_calc!$E$444))=0,"",INDEX('Dealer pipeline'!$B$4:$B$503,_calc!$E$444))&amp;". ")&amp;IF(LEN(IF(LEN(INDEX('Dealer pipeline'!$D$4:$D$503,_calc!$E$444))=0,"",INDEX('Dealer pipeline'!$D$4:$D$503,_calc!$E$444)))=0,"","Serial: "&amp;IF(LEN(INDEX('Dealer pipeline'!$D$4:$D$503,_calc!$E$444))=0,"",INDEX('Dealer pipeline'!$D$4:$D$503,_calc!$E$444))&amp;". ")&amp;IF(LEN(IF(ISNUMBER(INDEX('Dealer pipeline'!$J$4:$J$503,_calc!$E$444)),TEXT(INDEX('Dealer pipeline'!$J$4:$J$503,_calc!$E$444),"yyyy-mm-dd"),""))=0,"","Parts end: "&amp;IF(ISNUMBER(INDEX('Dealer pipeline'!$J$4:$J$503,_calc!$E$444)),TEXT(INDEX('Dealer pipeline'!$J$4:$J$503,_calc!$E$444),"yyyy-mm-dd"),"")&amp;". ")&amp;IF(LEN(IF(ISNUMBER(INDEX('Dealer pipeline'!$L$4:$L$503,_calc!$E$444)),TEXT(INDEX('Dealer pipeline'!$L$4:$L$503,_calc!$E$444),"yyyy-mm-dd"),""))=0,"","Labor end: "&amp;IF(ISNUMBER(INDEX('Dealer pipeline'!$L$4:$L$503,_calc!$E$444)),TEXT(INDEX('Dealer pipeline'!$L$4:$L$503,_calc!$E$444),"yyyy-mm-dd"),"")&amp;". ")&amp;IF(LEN(IF(LEN(INDEX('Dealer pipeline'!$Q$4:$Q$503,_calc!$E$444))=0,"",INDEX('Dealer pipeline'!$Q$4:$Q$503,_calc!$E$444)))=0,"","Status: "&amp;IF(LEN(INDEX('Dealer pipeline'!$Q$4:$Q$503,_calc!$E$444))=0,"",INDEX('Dealer pipeline'!$Q$4:$Q$503,_calc!$E$444))&amp;". ")&amp;IF(LEN(IF(LEN(INDEX('Dealer pipeline'!$P$4:$P$503,_calc!$E$444))=0,"",INDEX('Dealer pipeline'!$P$4:$P$503,_calc!$E$444)))=0,"","Last touch: "&amp;IF(LEN(INDEX('Dealer pipeline'!$P$4:$P$503,_calc!$E$444))=0,"",INDEX('Dealer pipeline'!$P$4:$P$503,_calc!$E$444))&amp;". ")&amp;IF(LEN(IF(LEN(INDEX('Dealer pipeline'!$R$4:$R$503,_calc!$E$444))=0,"",INDEX('Dealer pipeline'!$R$4:$R$503,_calc!$E$444)))=0,"","Owner: "&amp;IF(LEN(INDEX('Dealer pipeline'!$R$4:$R$503,_calc!$E$444))=0,"",INDEX('Dealer pipeline'!$R$4:$R$503,_calc!$E$444))&amp;". ")&amp;IF(LEN(IF(LEN(INDEX('Dealer pipeline'!$S$4:$S$503,_calc!$E$444))=0,"",INDEX('Dealer pipeline'!$S$4:$S$503,_calc!$E$444)))=0,"","Backup: "&amp;IF(LEN(INDEX('Dealer pipeline'!$S$4:$S$503,_calc!$E$444))=0,"",INDEX('Dealer pipeline'!$S$4:$S$503,_calc!$E$444))&amp;". ")&amp;IF(LEN(IF(LEN(INDEX('Dealer pipeline'!$T$4:$T$503,_calc!$E$444))=0,"",INDEX('Dealer pipeline'!$T$4:$T$503,_calc!$E$444)))=0,"",IF(LEN(INDEX('Dealer pipeline'!$T$4:$T$503,_calc!$E$444))=0,"",INDEX('Dealer pipeline'!$T$4:$T$503,_calc!$E$444)))),TRIM(IF(LEN(IF(LEN(INDEX('My equipment'!$C$4:$C$503,(_calc!$E$444-500)))=0,"",INDEX('My equipment'!$C$4:$C$503,(_calc!$E$444-500))))=0,"","Model: "&amp;IF(LEN(INDEX('My equipment'!$C$4:$C$503,(_calc!$E$444-500)))=0,"",INDEX('My equipment'!$C$4:$C$503,(_calc!$E$444-500)))&amp;". ")&amp;IF(LEN(IF(LEN(INDEX('My equipment'!$D$4:$D$503,(_calc!$E$444-500)))=0,"",INDEX('My equipment'!$D$4:$D$503,(_calc!$E$444-500))))=0,"","Serial: "&amp;IF(LEN(INDEX('My equipment'!$D$4:$D$503,(_calc!$E$444-500)))=0,"",INDEX('My equipment'!$D$4:$D$503,(_calc!$E$444-500)))&amp;". ")&amp;IF(LEN(IF(ISNUMBER(INDEX('My equipment'!$J$4:$J$503,(_calc!$E$444-500))),TEXT(INDEX('My equipment'!$J$4:$J$503,(_calc!$E$444-500)),"yyyy-mm-dd"),""))=0,"","Parts end: "&amp;IF(ISNUMBER(INDEX('My equipment'!$J$4:$J$503,(_calc!$E$444-500))),TEXT(INDEX('My equipment'!$J$4:$J$503,(_calc!$E$444-500)),"yyyy-mm-dd"),"")&amp;". ")&amp;IF(LEN(IF(ISNUMBER(INDEX('My equipment'!$L$4:$L$503,(_calc!$E$444-500))),TEXT(INDEX('My equipment'!$L$4:$L$503,(_calc!$E$444-500)),"yyyy-mm-dd"),""))=0,"","Labor end: "&amp;IF(ISNUMBER(INDEX('My equipment'!$L$4:$L$503,(_calc!$E$444-500))),TEXT(INDEX('My equipment'!$L$4:$L$503,(_calc!$E$444-500)),"yyyy-mm-dd"),"")&amp;". ")&amp;IF(LEN(IF(ISNUMBER(INDEX('My equipment'!$P$4:$P$503,(_calc!$E$444-500))),TEXT(INDEX('My equipment'!$P$4:$P$503,(_calc!$E$444-500)),"yyyy-mm-dd"),""))=0,"","Check by: "&amp;IF(ISNUMBER(INDEX('My equipment'!$P$4:$P$503,(_calc!$E$444-500))),TEXT(INDEX('My equipment'!$P$4:$P$503,(_calc!$E$444-500)),"yyyy-mm-dd"),"")&amp;". ")&amp;IF(LEN(IF(LEN(INDEX('My equipment'!$Q$4:$Q$503,(_calc!$E$444-500)))=0,"",INDEX('My equipment'!$Q$4:$Q$503,(_calc!$E$444-500))))=0,"","Claim status: "&amp;IF(LEN(INDEX('My equipment'!$Q$4:$Q$503,(_calc!$E$444-500)))=0,"",INDEX('My equipment'!$Q$4:$Q$503,(_calc!$E$444-500)))&amp;". ")&amp;IF(LEN(IF(LEN(INDEX('My equipment'!$R$4:$R$503,(_calc!$E$444-500)))=0,"",INDEX('My equipment'!$R$4:$R$503,(_calc!$E$444-500))))=0,"","Claims contact: "&amp;IF(LEN(INDEX('My equipment'!$R$4:$R$503,(_calc!$E$444-500)))=0,"",INDEX('My equipment'!$R$4:$R$503,(_calc!$E$444-500)))&amp;". ")&amp;IF(LEN(IF(LEN(INDEX('My equipment'!$S$4:$S$503,(_calc!$E$444-500)))=0,"",INDEX('My equipment'!$S$4:$S$503,(_calc!$E$444-500))))=0,"","Claims email: "&amp;IF(LEN(INDEX('My equipment'!$S$4:$S$503,(_calc!$E$444-500)))=0,"",INDEX('My equipment'!$S$4:$S$503,(_calc!$E$444-500)))&amp;". ")&amp;IF(LEN(IF(LEN(INDEX('My equipment'!$U$4:$U$503,(_calc!$E$444-500)))=0,"",INDEX('My equipment'!$U$4:$U$503,(_calc!$E$444-500))))=0,"","Registered: "&amp;IF(LEN(INDEX('My equipment'!$U$4:$U$503,(_calc!$E$444-500)))=0,"",INDEX('My equipment'!$U$4:$U$503,(_calc!$E$444-500)))&amp;". ")&amp;IF(LEN(IF(LEN(INDEX('My equipment'!$V$4:$V$503,(_calc!$E$444-500)))=0,"",INDEX('My equipment'!$V$4:$V$503,(_calc!$E$444-500))))=0,"","Proof on file: "&amp;IF(LEN(INDEX('My equipment'!$V$4:$V$503,(_calc!$E$444-500)))=0,"",INDEX('My equipment'!$V$4:$V$503,(_calc!$E$444-500)))&amp;". ")&amp;IF(LEN(IF(LEN(INDEX('My equipment'!$W$4:$W$503,(_calc!$E$444-500)))=0,"",INDEX('My equipment'!$W$4:$W$503,(_calc!$E$444-500))))=0,"","Claim ref: "&amp;IF(LEN(INDEX('My equipment'!$W$4:$W$503,(_calc!$E$444-500)))=0,"",INDEX('My equipment'!$W$4:$W$503,(_calc!$E$444-500)))&amp;". ")&amp;IF(LEN(IF(LEN(INDEX('My equipment'!$Y$4:$Y$503,(_calc!$E$444-500)))=0,"",INDEX('My equipment'!$Y$4:$Y$503,(_calc!$E$444-500))))=0,"",IF(LEN(INDEX('My equipment'!$Y$4:$Y$503,(_calc!$E$444-500)))=0,"",INDEX('My equipment'!$Y$4:$Y$503,(_calc!$E$444-500)))))))</f>
        <v/>
      </c>
      <c r="G442" s="54">
        <f>IF(_calc!$E$444="","",IF(_calc!$E$444&lt;=500,"",IF(LEN(INDEX('My equipment'!$X$4:$X$503,(_calc!$E$444-500)))=0,"",INDEX('My equipment'!$X$4:$X$503,(_calc!$E$444-500)))))</f>
        <v/>
      </c>
      <c r="K442" s="54">
        <f>IF(_calc!$E$444="","",IF(_calc!$E$444&lt;=500,"",IF(LEN(INDEX('My equipment'!$T$4:$T$503,(_calc!$E$444-500)))=0,"",INDEX('My equipment'!$T$4:$T$503,(_calc!$E$444-500)))))</f>
        <v/>
      </c>
    </row>
    <row r="443">
      <c r="A443" s="54">
        <f>IF(_calc!$E$445="","",IF(_calc!$E$445&lt;=500,"Warranty – "&amp;IF(LEN(INDEX('Dealer pipeline'!$C$4:$C$503,_calc!$E$445))=0,"",INDEX('Dealer pipeline'!$C$4:$C$503,_calc!$E$445))&amp;" – "&amp;IF(LEN(INDEX('Dealer pipeline'!$D$4:$D$503,_calc!$E$445))=0,"",INDEX('Dealer pipeline'!$D$4:$D$503,_calc!$E$445))&amp;" – "&amp;IF(LEN(INDEX('Dealer pipeline'!$A$4:$A$503,_calc!$E$445))=0,"",INDEX('Dealer pipeline'!$A$4:$A$503,_calc!$E$445)),"Warranty – "&amp;IF(LEN(INDEX('My equipment'!$A$4:$A$503,(_calc!$E$445-500)))=0,"",INDEX('My equipment'!$A$4:$A$503,(_calc!$E$445-500)))&amp;" – "&amp;IF(LEN(INDEX('My equipment'!$D$4:$D$503,(_calc!$E$445-500)))=0,"",INDEX('My equipment'!$D$4:$D$503,(_calc!$E$445-500)))))</f>
        <v/>
      </c>
      <c r="B443" s="54">
        <f>IF(_calc!$E$445="","",IF(_calc!$E$445&lt;=500,IF(ISNUMBER(INDEX('Dealer pipeline'!$M$4:$M$503,_calc!$E$445)),TEXT(INDEX('Dealer pipeline'!$M$4:$M$503,_calc!$E$445),"yyyy-mm-dd"),""),IF(ISNUMBER(INDEX('My equipment'!$M$4:$M$503,(_calc!$E$445-500))),TEXT(INDEX('My equipment'!$M$4:$M$503,(_calc!$E$445-500)),"yyyy-mm-dd"),"")))</f>
        <v/>
      </c>
      <c r="C443" s="54">
        <f>IF(_calc!$E$445="","",IF(_calc!$E$445&lt;=500,"Warranty","Warranty"))</f>
        <v/>
      </c>
      <c r="D443" s="54">
        <f>IF(_calc!$E$445="","",IF(_calc!$E$445&lt;=500,IF(ISNUMBER(INDEX('Dealer pipeline'!$H$4:$H$503,_calc!$E$445)),TEXT(INDEX('Dealer pipeline'!$H$4:$H$503,_calc!$E$445),"yyyy-mm-dd"),""),IF(ISNUMBER(INDEX('My equipment'!$H$4:$H$503,(_calc!$E$445-500))),TEXT(INDEX('My equipment'!$H$4:$H$503,(_calc!$E$445-500)),"yyyy-mm-dd"),"")))</f>
        <v/>
      </c>
      <c r="F443" s="54">
        <f>IF(_calc!$E$445="","",IF(_calc!$E$445&lt;=500,TRIM(IF(LEN(IF(LEN(INDEX('Dealer pipeline'!$A$4:$A$503,_calc!$E$445))=0,"",INDEX('Dealer pipeline'!$A$4:$A$503,_calc!$E$445)))=0,"","Customer: "&amp;IF(LEN(INDEX('Dealer pipeline'!$A$4:$A$503,_calc!$E$445))=0,"",INDEX('Dealer pipeline'!$A$4:$A$503,_calc!$E$445))&amp;". ")&amp;IF(LEN(IF(LEN(INDEX('Dealer pipeline'!$B$4:$B$503,_calc!$E$445))=0,"",INDEX('Dealer pipeline'!$B$4:$B$503,_calc!$E$445)))=0,"","Contact: "&amp;IF(LEN(INDEX('Dealer pipeline'!$B$4:$B$503,_calc!$E$445))=0,"",INDEX('Dealer pipeline'!$B$4:$B$503,_calc!$E$445))&amp;". ")&amp;IF(LEN(IF(LEN(INDEX('Dealer pipeline'!$D$4:$D$503,_calc!$E$445))=0,"",INDEX('Dealer pipeline'!$D$4:$D$503,_calc!$E$445)))=0,"","Serial: "&amp;IF(LEN(INDEX('Dealer pipeline'!$D$4:$D$503,_calc!$E$445))=0,"",INDEX('Dealer pipeline'!$D$4:$D$503,_calc!$E$445))&amp;". ")&amp;IF(LEN(IF(ISNUMBER(INDEX('Dealer pipeline'!$J$4:$J$503,_calc!$E$445)),TEXT(INDEX('Dealer pipeline'!$J$4:$J$503,_calc!$E$445),"yyyy-mm-dd"),""))=0,"","Parts end: "&amp;IF(ISNUMBER(INDEX('Dealer pipeline'!$J$4:$J$503,_calc!$E$445)),TEXT(INDEX('Dealer pipeline'!$J$4:$J$503,_calc!$E$445),"yyyy-mm-dd"),"")&amp;". ")&amp;IF(LEN(IF(ISNUMBER(INDEX('Dealer pipeline'!$L$4:$L$503,_calc!$E$445)),TEXT(INDEX('Dealer pipeline'!$L$4:$L$503,_calc!$E$445),"yyyy-mm-dd"),""))=0,"","Labor end: "&amp;IF(ISNUMBER(INDEX('Dealer pipeline'!$L$4:$L$503,_calc!$E$445)),TEXT(INDEX('Dealer pipeline'!$L$4:$L$503,_calc!$E$445),"yyyy-mm-dd"),"")&amp;". ")&amp;IF(LEN(IF(LEN(INDEX('Dealer pipeline'!$Q$4:$Q$503,_calc!$E$445))=0,"",INDEX('Dealer pipeline'!$Q$4:$Q$503,_calc!$E$445)))=0,"","Status: "&amp;IF(LEN(INDEX('Dealer pipeline'!$Q$4:$Q$503,_calc!$E$445))=0,"",INDEX('Dealer pipeline'!$Q$4:$Q$503,_calc!$E$445))&amp;". ")&amp;IF(LEN(IF(LEN(INDEX('Dealer pipeline'!$P$4:$P$503,_calc!$E$445))=0,"",INDEX('Dealer pipeline'!$P$4:$P$503,_calc!$E$445)))=0,"","Last touch: "&amp;IF(LEN(INDEX('Dealer pipeline'!$P$4:$P$503,_calc!$E$445))=0,"",INDEX('Dealer pipeline'!$P$4:$P$503,_calc!$E$445))&amp;". ")&amp;IF(LEN(IF(LEN(INDEX('Dealer pipeline'!$R$4:$R$503,_calc!$E$445))=0,"",INDEX('Dealer pipeline'!$R$4:$R$503,_calc!$E$445)))=0,"","Owner: "&amp;IF(LEN(INDEX('Dealer pipeline'!$R$4:$R$503,_calc!$E$445))=0,"",INDEX('Dealer pipeline'!$R$4:$R$503,_calc!$E$445))&amp;". ")&amp;IF(LEN(IF(LEN(INDEX('Dealer pipeline'!$S$4:$S$503,_calc!$E$445))=0,"",INDEX('Dealer pipeline'!$S$4:$S$503,_calc!$E$445)))=0,"","Backup: "&amp;IF(LEN(INDEX('Dealer pipeline'!$S$4:$S$503,_calc!$E$445))=0,"",INDEX('Dealer pipeline'!$S$4:$S$503,_calc!$E$445))&amp;". ")&amp;IF(LEN(IF(LEN(INDEX('Dealer pipeline'!$T$4:$T$503,_calc!$E$445))=0,"",INDEX('Dealer pipeline'!$T$4:$T$503,_calc!$E$445)))=0,"",IF(LEN(INDEX('Dealer pipeline'!$T$4:$T$503,_calc!$E$445))=0,"",INDEX('Dealer pipeline'!$T$4:$T$503,_calc!$E$445)))),TRIM(IF(LEN(IF(LEN(INDEX('My equipment'!$C$4:$C$503,(_calc!$E$445-500)))=0,"",INDEX('My equipment'!$C$4:$C$503,(_calc!$E$445-500))))=0,"","Model: "&amp;IF(LEN(INDEX('My equipment'!$C$4:$C$503,(_calc!$E$445-500)))=0,"",INDEX('My equipment'!$C$4:$C$503,(_calc!$E$445-500)))&amp;". ")&amp;IF(LEN(IF(LEN(INDEX('My equipment'!$D$4:$D$503,(_calc!$E$445-500)))=0,"",INDEX('My equipment'!$D$4:$D$503,(_calc!$E$445-500))))=0,"","Serial: "&amp;IF(LEN(INDEX('My equipment'!$D$4:$D$503,(_calc!$E$445-500)))=0,"",INDEX('My equipment'!$D$4:$D$503,(_calc!$E$445-500)))&amp;". ")&amp;IF(LEN(IF(ISNUMBER(INDEX('My equipment'!$J$4:$J$503,(_calc!$E$445-500))),TEXT(INDEX('My equipment'!$J$4:$J$503,(_calc!$E$445-500)),"yyyy-mm-dd"),""))=0,"","Parts end: "&amp;IF(ISNUMBER(INDEX('My equipment'!$J$4:$J$503,(_calc!$E$445-500))),TEXT(INDEX('My equipment'!$J$4:$J$503,(_calc!$E$445-500)),"yyyy-mm-dd"),"")&amp;". ")&amp;IF(LEN(IF(ISNUMBER(INDEX('My equipment'!$L$4:$L$503,(_calc!$E$445-500))),TEXT(INDEX('My equipment'!$L$4:$L$503,(_calc!$E$445-500)),"yyyy-mm-dd"),""))=0,"","Labor end: "&amp;IF(ISNUMBER(INDEX('My equipment'!$L$4:$L$503,(_calc!$E$445-500))),TEXT(INDEX('My equipment'!$L$4:$L$503,(_calc!$E$445-500)),"yyyy-mm-dd"),"")&amp;". ")&amp;IF(LEN(IF(ISNUMBER(INDEX('My equipment'!$P$4:$P$503,(_calc!$E$445-500))),TEXT(INDEX('My equipment'!$P$4:$P$503,(_calc!$E$445-500)),"yyyy-mm-dd"),""))=0,"","Check by: "&amp;IF(ISNUMBER(INDEX('My equipment'!$P$4:$P$503,(_calc!$E$445-500))),TEXT(INDEX('My equipment'!$P$4:$P$503,(_calc!$E$445-500)),"yyyy-mm-dd"),"")&amp;". ")&amp;IF(LEN(IF(LEN(INDEX('My equipment'!$Q$4:$Q$503,(_calc!$E$445-500)))=0,"",INDEX('My equipment'!$Q$4:$Q$503,(_calc!$E$445-500))))=0,"","Claim status: "&amp;IF(LEN(INDEX('My equipment'!$Q$4:$Q$503,(_calc!$E$445-500)))=0,"",INDEX('My equipment'!$Q$4:$Q$503,(_calc!$E$445-500)))&amp;". ")&amp;IF(LEN(IF(LEN(INDEX('My equipment'!$R$4:$R$503,(_calc!$E$445-500)))=0,"",INDEX('My equipment'!$R$4:$R$503,(_calc!$E$445-500))))=0,"","Claims contact: "&amp;IF(LEN(INDEX('My equipment'!$R$4:$R$503,(_calc!$E$445-500)))=0,"",INDEX('My equipment'!$R$4:$R$503,(_calc!$E$445-500)))&amp;". ")&amp;IF(LEN(IF(LEN(INDEX('My equipment'!$S$4:$S$503,(_calc!$E$445-500)))=0,"",INDEX('My equipment'!$S$4:$S$503,(_calc!$E$445-500))))=0,"","Claims email: "&amp;IF(LEN(INDEX('My equipment'!$S$4:$S$503,(_calc!$E$445-500)))=0,"",INDEX('My equipment'!$S$4:$S$503,(_calc!$E$445-500)))&amp;". ")&amp;IF(LEN(IF(LEN(INDEX('My equipment'!$U$4:$U$503,(_calc!$E$445-500)))=0,"",INDEX('My equipment'!$U$4:$U$503,(_calc!$E$445-500))))=0,"","Registered: "&amp;IF(LEN(INDEX('My equipment'!$U$4:$U$503,(_calc!$E$445-500)))=0,"",INDEX('My equipment'!$U$4:$U$503,(_calc!$E$445-500)))&amp;". ")&amp;IF(LEN(IF(LEN(INDEX('My equipment'!$V$4:$V$503,(_calc!$E$445-500)))=0,"",INDEX('My equipment'!$V$4:$V$503,(_calc!$E$445-500))))=0,"","Proof on file: "&amp;IF(LEN(INDEX('My equipment'!$V$4:$V$503,(_calc!$E$445-500)))=0,"",INDEX('My equipment'!$V$4:$V$503,(_calc!$E$445-500)))&amp;". ")&amp;IF(LEN(IF(LEN(INDEX('My equipment'!$W$4:$W$503,(_calc!$E$445-500)))=0,"",INDEX('My equipment'!$W$4:$W$503,(_calc!$E$445-500))))=0,"","Claim ref: "&amp;IF(LEN(INDEX('My equipment'!$W$4:$W$503,(_calc!$E$445-500)))=0,"",INDEX('My equipment'!$W$4:$W$503,(_calc!$E$445-500)))&amp;". ")&amp;IF(LEN(IF(LEN(INDEX('My equipment'!$Y$4:$Y$503,(_calc!$E$445-500)))=0,"",INDEX('My equipment'!$Y$4:$Y$503,(_calc!$E$445-500))))=0,"",IF(LEN(INDEX('My equipment'!$Y$4:$Y$503,(_calc!$E$445-500)))=0,"",INDEX('My equipment'!$Y$4:$Y$503,(_calc!$E$445-500)))))))</f>
        <v/>
      </c>
      <c r="G443" s="54">
        <f>IF(_calc!$E$445="","",IF(_calc!$E$445&lt;=500,"",IF(LEN(INDEX('My equipment'!$X$4:$X$503,(_calc!$E$445-500)))=0,"",INDEX('My equipment'!$X$4:$X$503,(_calc!$E$445-500)))))</f>
        <v/>
      </c>
      <c r="K443" s="54">
        <f>IF(_calc!$E$445="","",IF(_calc!$E$445&lt;=500,"",IF(LEN(INDEX('My equipment'!$T$4:$T$503,(_calc!$E$445-500)))=0,"",INDEX('My equipment'!$T$4:$T$503,(_calc!$E$445-500)))))</f>
        <v/>
      </c>
    </row>
    <row r="444">
      <c r="A444" s="54">
        <f>IF(_calc!$E$446="","",IF(_calc!$E$446&lt;=500,"Warranty – "&amp;IF(LEN(INDEX('Dealer pipeline'!$C$4:$C$503,_calc!$E$446))=0,"",INDEX('Dealer pipeline'!$C$4:$C$503,_calc!$E$446))&amp;" – "&amp;IF(LEN(INDEX('Dealer pipeline'!$D$4:$D$503,_calc!$E$446))=0,"",INDEX('Dealer pipeline'!$D$4:$D$503,_calc!$E$446))&amp;" – "&amp;IF(LEN(INDEX('Dealer pipeline'!$A$4:$A$503,_calc!$E$446))=0,"",INDEX('Dealer pipeline'!$A$4:$A$503,_calc!$E$446)),"Warranty – "&amp;IF(LEN(INDEX('My equipment'!$A$4:$A$503,(_calc!$E$446-500)))=0,"",INDEX('My equipment'!$A$4:$A$503,(_calc!$E$446-500)))&amp;" – "&amp;IF(LEN(INDEX('My equipment'!$D$4:$D$503,(_calc!$E$446-500)))=0,"",INDEX('My equipment'!$D$4:$D$503,(_calc!$E$446-500)))))</f>
        <v/>
      </c>
      <c r="B444" s="54">
        <f>IF(_calc!$E$446="","",IF(_calc!$E$446&lt;=500,IF(ISNUMBER(INDEX('Dealer pipeline'!$M$4:$M$503,_calc!$E$446)),TEXT(INDEX('Dealer pipeline'!$M$4:$M$503,_calc!$E$446),"yyyy-mm-dd"),""),IF(ISNUMBER(INDEX('My equipment'!$M$4:$M$503,(_calc!$E$446-500))),TEXT(INDEX('My equipment'!$M$4:$M$503,(_calc!$E$446-500)),"yyyy-mm-dd"),"")))</f>
        <v/>
      </c>
      <c r="C444" s="54">
        <f>IF(_calc!$E$446="","",IF(_calc!$E$446&lt;=500,"Warranty","Warranty"))</f>
        <v/>
      </c>
      <c r="D444" s="54">
        <f>IF(_calc!$E$446="","",IF(_calc!$E$446&lt;=500,IF(ISNUMBER(INDEX('Dealer pipeline'!$H$4:$H$503,_calc!$E$446)),TEXT(INDEX('Dealer pipeline'!$H$4:$H$503,_calc!$E$446),"yyyy-mm-dd"),""),IF(ISNUMBER(INDEX('My equipment'!$H$4:$H$503,(_calc!$E$446-500))),TEXT(INDEX('My equipment'!$H$4:$H$503,(_calc!$E$446-500)),"yyyy-mm-dd"),"")))</f>
        <v/>
      </c>
      <c r="F444" s="54">
        <f>IF(_calc!$E$446="","",IF(_calc!$E$446&lt;=500,TRIM(IF(LEN(IF(LEN(INDEX('Dealer pipeline'!$A$4:$A$503,_calc!$E$446))=0,"",INDEX('Dealer pipeline'!$A$4:$A$503,_calc!$E$446)))=0,"","Customer: "&amp;IF(LEN(INDEX('Dealer pipeline'!$A$4:$A$503,_calc!$E$446))=0,"",INDEX('Dealer pipeline'!$A$4:$A$503,_calc!$E$446))&amp;". ")&amp;IF(LEN(IF(LEN(INDEX('Dealer pipeline'!$B$4:$B$503,_calc!$E$446))=0,"",INDEX('Dealer pipeline'!$B$4:$B$503,_calc!$E$446)))=0,"","Contact: "&amp;IF(LEN(INDEX('Dealer pipeline'!$B$4:$B$503,_calc!$E$446))=0,"",INDEX('Dealer pipeline'!$B$4:$B$503,_calc!$E$446))&amp;". ")&amp;IF(LEN(IF(LEN(INDEX('Dealer pipeline'!$D$4:$D$503,_calc!$E$446))=0,"",INDEX('Dealer pipeline'!$D$4:$D$503,_calc!$E$446)))=0,"","Serial: "&amp;IF(LEN(INDEX('Dealer pipeline'!$D$4:$D$503,_calc!$E$446))=0,"",INDEX('Dealer pipeline'!$D$4:$D$503,_calc!$E$446))&amp;". ")&amp;IF(LEN(IF(ISNUMBER(INDEX('Dealer pipeline'!$J$4:$J$503,_calc!$E$446)),TEXT(INDEX('Dealer pipeline'!$J$4:$J$503,_calc!$E$446),"yyyy-mm-dd"),""))=0,"","Parts end: "&amp;IF(ISNUMBER(INDEX('Dealer pipeline'!$J$4:$J$503,_calc!$E$446)),TEXT(INDEX('Dealer pipeline'!$J$4:$J$503,_calc!$E$446),"yyyy-mm-dd"),"")&amp;". ")&amp;IF(LEN(IF(ISNUMBER(INDEX('Dealer pipeline'!$L$4:$L$503,_calc!$E$446)),TEXT(INDEX('Dealer pipeline'!$L$4:$L$503,_calc!$E$446),"yyyy-mm-dd"),""))=0,"","Labor end: "&amp;IF(ISNUMBER(INDEX('Dealer pipeline'!$L$4:$L$503,_calc!$E$446)),TEXT(INDEX('Dealer pipeline'!$L$4:$L$503,_calc!$E$446),"yyyy-mm-dd"),"")&amp;". ")&amp;IF(LEN(IF(LEN(INDEX('Dealer pipeline'!$Q$4:$Q$503,_calc!$E$446))=0,"",INDEX('Dealer pipeline'!$Q$4:$Q$503,_calc!$E$446)))=0,"","Status: "&amp;IF(LEN(INDEX('Dealer pipeline'!$Q$4:$Q$503,_calc!$E$446))=0,"",INDEX('Dealer pipeline'!$Q$4:$Q$503,_calc!$E$446))&amp;". ")&amp;IF(LEN(IF(LEN(INDEX('Dealer pipeline'!$P$4:$P$503,_calc!$E$446))=0,"",INDEX('Dealer pipeline'!$P$4:$P$503,_calc!$E$446)))=0,"","Last touch: "&amp;IF(LEN(INDEX('Dealer pipeline'!$P$4:$P$503,_calc!$E$446))=0,"",INDEX('Dealer pipeline'!$P$4:$P$503,_calc!$E$446))&amp;". ")&amp;IF(LEN(IF(LEN(INDEX('Dealer pipeline'!$R$4:$R$503,_calc!$E$446))=0,"",INDEX('Dealer pipeline'!$R$4:$R$503,_calc!$E$446)))=0,"","Owner: "&amp;IF(LEN(INDEX('Dealer pipeline'!$R$4:$R$503,_calc!$E$446))=0,"",INDEX('Dealer pipeline'!$R$4:$R$503,_calc!$E$446))&amp;". ")&amp;IF(LEN(IF(LEN(INDEX('Dealer pipeline'!$S$4:$S$503,_calc!$E$446))=0,"",INDEX('Dealer pipeline'!$S$4:$S$503,_calc!$E$446)))=0,"","Backup: "&amp;IF(LEN(INDEX('Dealer pipeline'!$S$4:$S$503,_calc!$E$446))=0,"",INDEX('Dealer pipeline'!$S$4:$S$503,_calc!$E$446))&amp;". ")&amp;IF(LEN(IF(LEN(INDEX('Dealer pipeline'!$T$4:$T$503,_calc!$E$446))=0,"",INDEX('Dealer pipeline'!$T$4:$T$503,_calc!$E$446)))=0,"",IF(LEN(INDEX('Dealer pipeline'!$T$4:$T$503,_calc!$E$446))=0,"",INDEX('Dealer pipeline'!$T$4:$T$503,_calc!$E$446)))),TRIM(IF(LEN(IF(LEN(INDEX('My equipment'!$C$4:$C$503,(_calc!$E$446-500)))=0,"",INDEX('My equipment'!$C$4:$C$503,(_calc!$E$446-500))))=0,"","Model: "&amp;IF(LEN(INDEX('My equipment'!$C$4:$C$503,(_calc!$E$446-500)))=0,"",INDEX('My equipment'!$C$4:$C$503,(_calc!$E$446-500)))&amp;". ")&amp;IF(LEN(IF(LEN(INDEX('My equipment'!$D$4:$D$503,(_calc!$E$446-500)))=0,"",INDEX('My equipment'!$D$4:$D$503,(_calc!$E$446-500))))=0,"","Serial: "&amp;IF(LEN(INDEX('My equipment'!$D$4:$D$503,(_calc!$E$446-500)))=0,"",INDEX('My equipment'!$D$4:$D$503,(_calc!$E$446-500)))&amp;". ")&amp;IF(LEN(IF(ISNUMBER(INDEX('My equipment'!$J$4:$J$503,(_calc!$E$446-500))),TEXT(INDEX('My equipment'!$J$4:$J$503,(_calc!$E$446-500)),"yyyy-mm-dd"),""))=0,"","Parts end: "&amp;IF(ISNUMBER(INDEX('My equipment'!$J$4:$J$503,(_calc!$E$446-500))),TEXT(INDEX('My equipment'!$J$4:$J$503,(_calc!$E$446-500)),"yyyy-mm-dd"),"")&amp;". ")&amp;IF(LEN(IF(ISNUMBER(INDEX('My equipment'!$L$4:$L$503,(_calc!$E$446-500))),TEXT(INDEX('My equipment'!$L$4:$L$503,(_calc!$E$446-500)),"yyyy-mm-dd"),""))=0,"","Labor end: "&amp;IF(ISNUMBER(INDEX('My equipment'!$L$4:$L$503,(_calc!$E$446-500))),TEXT(INDEX('My equipment'!$L$4:$L$503,(_calc!$E$446-500)),"yyyy-mm-dd"),"")&amp;". ")&amp;IF(LEN(IF(ISNUMBER(INDEX('My equipment'!$P$4:$P$503,(_calc!$E$446-500))),TEXT(INDEX('My equipment'!$P$4:$P$503,(_calc!$E$446-500)),"yyyy-mm-dd"),""))=0,"","Check by: "&amp;IF(ISNUMBER(INDEX('My equipment'!$P$4:$P$503,(_calc!$E$446-500))),TEXT(INDEX('My equipment'!$P$4:$P$503,(_calc!$E$446-500)),"yyyy-mm-dd"),"")&amp;". ")&amp;IF(LEN(IF(LEN(INDEX('My equipment'!$Q$4:$Q$503,(_calc!$E$446-500)))=0,"",INDEX('My equipment'!$Q$4:$Q$503,(_calc!$E$446-500))))=0,"","Claim status: "&amp;IF(LEN(INDEX('My equipment'!$Q$4:$Q$503,(_calc!$E$446-500)))=0,"",INDEX('My equipment'!$Q$4:$Q$503,(_calc!$E$446-500)))&amp;". ")&amp;IF(LEN(IF(LEN(INDEX('My equipment'!$R$4:$R$503,(_calc!$E$446-500)))=0,"",INDEX('My equipment'!$R$4:$R$503,(_calc!$E$446-500))))=0,"","Claims contact: "&amp;IF(LEN(INDEX('My equipment'!$R$4:$R$503,(_calc!$E$446-500)))=0,"",INDEX('My equipment'!$R$4:$R$503,(_calc!$E$446-500)))&amp;". ")&amp;IF(LEN(IF(LEN(INDEX('My equipment'!$S$4:$S$503,(_calc!$E$446-500)))=0,"",INDEX('My equipment'!$S$4:$S$503,(_calc!$E$446-500))))=0,"","Claims email: "&amp;IF(LEN(INDEX('My equipment'!$S$4:$S$503,(_calc!$E$446-500)))=0,"",INDEX('My equipment'!$S$4:$S$503,(_calc!$E$446-500)))&amp;". ")&amp;IF(LEN(IF(LEN(INDEX('My equipment'!$U$4:$U$503,(_calc!$E$446-500)))=0,"",INDEX('My equipment'!$U$4:$U$503,(_calc!$E$446-500))))=0,"","Registered: "&amp;IF(LEN(INDEX('My equipment'!$U$4:$U$503,(_calc!$E$446-500)))=0,"",INDEX('My equipment'!$U$4:$U$503,(_calc!$E$446-500)))&amp;". ")&amp;IF(LEN(IF(LEN(INDEX('My equipment'!$V$4:$V$503,(_calc!$E$446-500)))=0,"",INDEX('My equipment'!$V$4:$V$503,(_calc!$E$446-500))))=0,"","Proof on file: "&amp;IF(LEN(INDEX('My equipment'!$V$4:$V$503,(_calc!$E$446-500)))=0,"",INDEX('My equipment'!$V$4:$V$503,(_calc!$E$446-500)))&amp;". ")&amp;IF(LEN(IF(LEN(INDEX('My equipment'!$W$4:$W$503,(_calc!$E$446-500)))=0,"",INDEX('My equipment'!$W$4:$W$503,(_calc!$E$446-500))))=0,"","Claim ref: "&amp;IF(LEN(INDEX('My equipment'!$W$4:$W$503,(_calc!$E$446-500)))=0,"",INDEX('My equipment'!$W$4:$W$503,(_calc!$E$446-500)))&amp;". ")&amp;IF(LEN(IF(LEN(INDEX('My equipment'!$Y$4:$Y$503,(_calc!$E$446-500)))=0,"",INDEX('My equipment'!$Y$4:$Y$503,(_calc!$E$446-500))))=0,"",IF(LEN(INDEX('My equipment'!$Y$4:$Y$503,(_calc!$E$446-500)))=0,"",INDEX('My equipment'!$Y$4:$Y$503,(_calc!$E$446-500)))))))</f>
        <v/>
      </c>
      <c r="G444" s="54">
        <f>IF(_calc!$E$446="","",IF(_calc!$E$446&lt;=500,"",IF(LEN(INDEX('My equipment'!$X$4:$X$503,(_calc!$E$446-500)))=0,"",INDEX('My equipment'!$X$4:$X$503,(_calc!$E$446-500)))))</f>
        <v/>
      </c>
      <c r="K444" s="54">
        <f>IF(_calc!$E$446="","",IF(_calc!$E$446&lt;=500,"",IF(LEN(INDEX('My equipment'!$T$4:$T$503,(_calc!$E$446-500)))=0,"",INDEX('My equipment'!$T$4:$T$503,(_calc!$E$446-500)))))</f>
        <v/>
      </c>
    </row>
    <row r="445">
      <c r="A445" s="54">
        <f>IF(_calc!$E$447="","",IF(_calc!$E$447&lt;=500,"Warranty – "&amp;IF(LEN(INDEX('Dealer pipeline'!$C$4:$C$503,_calc!$E$447))=0,"",INDEX('Dealer pipeline'!$C$4:$C$503,_calc!$E$447))&amp;" – "&amp;IF(LEN(INDEX('Dealer pipeline'!$D$4:$D$503,_calc!$E$447))=0,"",INDEX('Dealer pipeline'!$D$4:$D$503,_calc!$E$447))&amp;" – "&amp;IF(LEN(INDEX('Dealer pipeline'!$A$4:$A$503,_calc!$E$447))=0,"",INDEX('Dealer pipeline'!$A$4:$A$503,_calc!$E$447)),"Warranty – "&amp;IF(LEN(INDEX('My equipment'!$A$4:$A$503,(_calc!$E$447-500)))=0,"",INDEX('My equipment'!$A$4:$A$503,(_calc!$E$447-500)))&amp;" – "&amp;IF(LEN(INDEX('My equipment'!$D$4:$D$503,(_calc!$E$447-500)))=0,"",INDEX('My equipment'!$D$4:$D$503,(_calc!$E$447-500)))))</f>
        <v/>
      </c>
      <c r="B445" s="54">
        <f>IF(_calc!$E$447="","",IF(_calc!$E$447&lt;=500,IF(ISNUMBER(INDEX('Dealer pipeline'!$M$4:$M$503,_calc!$E$447)),TEXT(INDEX('Dealer pipeline'!$M$4:$M$503,_calc!$E$447),"yyyy-mm-dd"),""),IF(ISNUMBER(INDEX('My equipment'!$M$4:$M$503,(_calc!$E$447-500))),TEXT(INDEX('My equipment'!$M$4:$M$503,(_calc!$E$447-500)),"yyyy-mm-dd"),"")))</f>
        <v/>
      </c>
      <c r="C445" s="54">
        <f>IF(_calc!$E$447="","",IF(_calc!$E$447&lt;=500,"Warranty","Warranty"))</f>
        <v/>
      </c>
      <c r="D445" s="54">
        <f>IF(_calc!$E$447="","",IF(_calc!$E$447&lt;=500,IF(ISNUMBER(INDEX('Dealer pipeline'!$H$4:$H$503,_calc!$E$447)),TEXT(INDEX('Dealer pipeline'!$H$4:$H$503,_calc!$E$447),"yyyy-mm-dd"),""),IF(ISNUMBER(INDEX('My equipment'!$H$4:$H$503,(_calc!$E$447-500))),TEXT(INDEX('My equipment'!$H$4:$H$503,(_calc!$E$447-500)),"yyyy-mm-dd"),"")))</f>
        <v/>
      </c>
      <c r="F445" s="54">
        <f>IF(_calc!$E$447="","",IF(_calc!$E$447&lt;=500,TRIM(IF(LEN(IF(LEN(INDEX('Dealer pipeline'!$A$4:$A$503,_calc!$E$447))=0,"",INDEX('Dealer pipeline'!$A$4:$A$503,_calc!$E$447)))=0,"","Customer: "&amp;IF(LEN(INDEX('Dealer pipeline'!$A$4:$A$503,_calc!$E$447))=0,"",INDEX('Dealer pipeline'!$A$4:$A$503,_calc!$E$447))&amp;". ")&amp;IF(LEN(IF(LEN(INDEX('Dealer pipeline'!$B$4:$B$503,_calc!$E$447))=0,"",INDEX('Dealer pipeline'!$B$4:$B$503,_calc!$E$447)))=0,"","Contact: "&amp;IF(LEN(INDEX('Dealer pipeline'!$B$4:$B$503,_calc!$E$447))=0,"",INDEX('Dealer pipeline'!$B$4:$B$503,_calc!$E$447))&amp;". ")&amp;IF(LEN(IF(LEN(INDEX('Dealer pipeline'!$D$4:$D$503,_calc!$E$447))=0,"",INDEX('Dealer pipeline'!$D$4:$D$503,_calc!$E$447)))=0,"","Serial: "&amp;IF(LEN(INDEX('Dealer pipeline'!$D$4:$D$503,_calc!$E$447))=0,"",INDEX('Dealer pipeline'!$D$4:$D$503,_calc!$E$447))&amp;". ")&amp;IF(LEN(IF(ISNUMBER(INDEX('Dealer pipeline'!$J$4:$J$503,_calc!$E$447)),TEXT(INDEX('Dealer pipeline'!$J$4:$J$503,_calc!$E$447),"yyyy-mm-dd"),""))=0,"","Parts end: "&amp;IF(ISNUMBER(INDEX('Dealer pipeline'!$J$4:$J$503,_calc!$E$447)),TEXT(INDEX('Dealer pipeline'!$J$4:$J$503,_calc!$E$447),"yyyy-mm-dd"),"")&amp;". ")&amp;IF(LEN(IF(ISNUMBER(INDEX('Dealer pipeline'!$L$4:$L$503,_calc!$E$447)),TEXT(INDEX('Dealer pipeline'!$L$4:$L$503,_calc!$E$447),"yyyy-mm-dd"),""))=0,"","Labor end: "&amp;IF(ISNUMBER(INDEX('Dealer pipeline'!$L$4:$L$503,_calc!$E$447)),TEXT(INDEX('Dealer pipeline'!$L$4:$L$503,_calc!$E$447),"yyyy-mm-dd"),"")&amp;". ")&amp;IF(LEN(IF(LEN(INDEX('Dealer pipeline'!$Q$4:$Q$503,_calc!$E$447))=0,"",INDEX('Dealer pipeline'!$Q$4:$Q$503,_calc!$E$447)))=0,"","Status: "&amp;IF(LEN(INDEX('Dealer pipeline'!$Q$4:$Q$503,_calc!$E$447))=0,"",INDEX('Dealer pipeline'!$Q$4:$Q$503,_calc!$E$447))&amp;". ")&amp;IF(LEN(IF(LEN(INDEX('Dealer pipeline'!$P$4:$P$503,_calc!$E$447))=0,"",INDEX('Dealer pipeline'!$P$4:$P$503,_calc!$E$447)))=0,"","Last touch: "&amp;IF(LEN(INDEX('Dealer pipeline'!$P$4:$P$503,_calc!$E$447))=0,"",INDEX('Dealer pipeline'!$P$4:$P$503,_calc!$E$447))&amp;". ")&amp;IF(LEN(IF(LEN(INDEX('Dealer pipeline'!$R$4:$R$503,_calc!$E$447))=0,"",INDEX('Dealer pipeline'!$R$4:$R$503,_calc!$E$447)))=0,"","Owner: "&amp;IF(LEN(INDEX('Dealer pipeline'!$R$4:$R$503,_calc!$E$447))=0,"",INDEX('Dealer pipeline'!$R$4:$R$503,_calc!$E$447))&amp;". ")&amp;IF(LEN(IF(LEN(INDEX('Dealer pipeline'!$S$4:$S$503,_calc!$E$447))=0,"",INDEX('Dealer pipeline'!$S$4:$S$503,_calc!$E$447)))=0,"","Backup: "&amp;IF(LEN(INDEX('Dealer pipeline'!$S$4:$S$503,_calc!$E$447))=0,"",INDEX('Dealer pipeline'!$S$4:$S$503,_calc!$E$447))&amp;". ")&amp;IF(LEN(IF(LEN(INDEX('Dealer pipeline'!$T$4:$T$503,_calc!$E$447))=0,"",INDEX('Dealer pipeline'!$T$4:$T$503,_calc!$E$447)))=0,"",IF(LEN(INDEX('Dealer pipeline'!$T$4:$T$503,_calc!$E$447))=0,"",INDEX('Dealer pipeline'!$T$4:$T$503,_calc!$E$447)))),TRIM(IF(LEN(IF(LEN(INDEX('My equipment'!$C$4:$C$503,(_calc!$E$447-500)))=0,"",INDEX('My equipment'!$C$4:$C$503,(_calc!$E$447-500))))=0,"","Model: "&amp;IF(LEN(INDEX('My equipment'!$C$4:$C$503,(_calc!$E$447-500)))=0,"",INDEX('My equipment'!$C$4:$C$503,(_calc!$E$447-500)))&amp;". ")&amp;IF(LEN(IF(LEN(INDEX('My equipment'!$D$4:$D$503,(_calc!$E$447-500)))=0,"",INDEX('My equipment'!$D$4:$D$503,(_calc!$E$447-500))))=0,"","Serial: "&amp;IF(LEN(INDEX('My equipment'!$D$4:$D$503,(_calc!$E$447-500)))=0,"",INDEX('My equipment'!$D$4:$D$503,(_calc!$E$447-500)))&amp;". ")&amp;IF(LEN(IF(ISNUMBER(INDEX('My equipment'!$J$4:$J$503,(_calc!$E$447-500))),TEXT(INDEX('My equipment'!$J$4:$J$503,(_calc!$E$447-500)),"yyyy-mm-dd"),""))=0,"","Parts end: "&amp;IF(ISNUMBER(INDEX('My equipment'!$J$4:$J$503,(_calc!$E$447-500))),TEXT(INDEX('My equipment'!$J$4:$J$503,(_calc!$E$447-500)),"yyyy-mm-dd"),"")&amp;". ")&amp;IF(LEN(IF(ISNUMBER(INDEX('My equipment'!$L$4:$L$503,(_calc!$E$447-500))),TEXT(INDEX('My equipment'!$L$4:$L$503,(_calc!$E$447-500)),"yyyy-mm-dd"),""))=0,"","Labor end: "&amp;IF(ISNUMBER(INDEX('My equipment'!$L$4:$L$503,(_calc!$E$447-500))),TEXT(INDEX('My equipment'!$L$4:$L$503,(_calc!$E$447-500)),"yyyy-mm-dd"),"")&amp;". ")&amp;IF(LEN(IF(ISNUMBER(INDEX('My equipment'!$P$4:$P$503,(_calc!$E$447-500))),TEXT(INDEX('My equipment'!$P$4:$P$503,(_calc!$E$447-500)),"yyyy-mm-dd"),""))=0,"","Check by: "&amp;IF(ISNUMBER(INDEX('My equipment'!$P$4:$P$503,(_calc!$E$447-500))),TEXT(INDEX('My equipment'!$P$4:$P$503,(_calc!$E$447-500)),"yyyy-mm-dd"),"")&amp;". ")&amp;IF(LEN(IF(LEN(INDEX('My equipment'!$Q$4:$Q$503,(_calc!$E$447-500)))=0,"",INDEX('My equipment'!$Q$4:$Q$503,(_calc!$E$447-500))))=0,"","Claim status: "&amp;IF(LEN(INDEX('My equipment'!$Q$4:$Q$503,(_calc!$E$447-500)))=0,"",INDEX('My equipment'!$Q$4:$Q$503,(_calc!$E$447-500)))&amp;". ")&amp;IF(LEN(IF(LEN(INDEX('My equipment'!$R$4:$R$503,(_calc!$E$447-500)))=0,"",INDEX('My equipment'!$R$4:$R$503,(_calc!$E$447-500))))=0,"","Claims contact: "&amp;IF(LEN(INDEX('My equipment'!$R$4:$R$503,(_calc!$E$447-500)))=0,"",INDEX('My equipment'!$R$4:$R$503,(_calc!$E$447-500)))&amp;". ")&amp;IF(LEN(IF(LEN(INDEX('My equipment'!$S$4:$S$503,(_calc!$E$447-500)))=0,"",INDEX('My equipment'!$S$4:$S$503,(_calc!$E$447-500))))=0,"","Claims email: "&amp;IF(LEN(INDEX('My equipment'!$S$4:$S$503,(_calc!$E$447-500)))=0,"",INDEX('My equipment'!$S$4:$S$503,(_calc!$E$447-500)))&amp;". ")&amp;IF(LEN(IF(LEN(INDEX('My equipment'!$U$4:$U$503,(_calc!$E$447-500)))=0,"",INDEX('My equipment'!$U$4:$U$503,(_calc!$E$447-500))))=0,"","Registered: "&amp;IF(LEN(INDEX('My equipment'!$U$4:$U$503,(_calc!$E$447-500)))=0,"",INDEX('My equipment'!$U$4:$U$503,(_calc!$E$447-500)))&amp;". ")&amp;IF(LEN(IF(LEN(INDEX('My equipment'!$V$4:$V$503,(_calc!$E$447-500)))=0,"",INDEX('My equipment'!$V$4:$V$503,(_calc!$E$447-500))))=0,"","Proof on file: "&amp;IF(LEN(INDEX('My equipment'!$V$4:$V$503,(_calc!$E$447-500)))=0,"",INDEX('My equipment'!$V$4:$V$503,(_calc!$E$447-500)))&amp;". ")&amp;IF(LEN(IF(LEN(INDEX('My equipment'!$W$4:$W$503,(_calc!$E$447-500)))=0,"",INDEX('My equipment'!$W$4:$W$503,(_calc!$E$447-500))))=0,"","Claim ref: "&amp;IF(LEN(INDEX('My equipment'!$W$4:$W$503,(_calc!$E$447-500)))=0,"",INDEX('My equipment'!$W$4:$W$503,(_calc!$E$447-500)))&amp;". ")&amp;IF(LEN(IF(LEN(INDEX('My equipment'!$Y$4:$Y$503,(_calc!$E$447-500)))=0,"",INDEX('My equipment'!$Y$4:$Y$503,(_calc!$E$447-500))))=0,"",IF(LEN(INDEX('My equipment'!$Y$4:$Y$503,(_calc!$E$447-500)))=0,"",INDEX('My equipment'!$Y$4:$Y$503,(_calc!$E$447-500)))))))</f>
        <v/>
      </c>
      <c r="G445" s="54">
        <f>IF(_calc!$E$447="","",IF(_calc!$E$447&lt;=500,"",IF(LEN(INDEX('My equipment'!$X$4:$X$503,(_calc!$E$447-500)))=0,"",INDEX('My equipment'!$X$4:$X$503,(_calc!$E$447-500)))))</f>
        <v/>
      </c>
      <c r="K445" s="54">
        <f>IF(_calc!$E$447="","",IF(_calc!$E$447&lt;=500,"",IF(LEN(INDEX('My equipment'!$T$4:$T$503,(_calc!$E$447-500)))=0,"",INDEX('My equipment'!$T$4:$T$503,(_calc!$E$447-500)))))</f>
        <v/>
      </c>
    </row>
    <row r="446">
      <c r="A446" s="54">
        <f>IF(_calc!$E$448="","",IF(_calc!$E$448&lt;=500,"Warranty – "&amp;IF(LEN(INDEX('Dealer pipeline'!$C$4:$C$503,_calc!$E$448))=0,"",INDEX('Dealer pipeline'!$C$4:$C$503,_calc!$E$448))&amp;" – "&amp;IF(LEN(INDEX('Dealer pipeline'!$D$4:$D$503,_calc!$E$448))=0,"",INDEX('Dealer pipeline'!$D$4:$D$503,_calc!$E$448))&amp;" – "&amp;IF(LEN(INDEX('Dealer pipeline'!$A$4:$A$503,_calc!$E$448))=0,"",INDEX('Dealer pipeline'!$A$4:$A$503,_calc!$E$448)),"Warranty – "&amp;IF(LEN(INDEX('My equipment'!$A$4:$A$503,(_calc!$E$448-500)))=0,"",INDEX('My equipment'!$A$4:$A$503,(_calc!$E$448-500)))&amp;" – "&amp;IF(LEN(INDEX('My equipment'!$D$4:$D$503,(_calc!$E$448-500)))=0,"",INDEX('My equipment'!$D$4:$D$503,(_calc!$E$448-500)))))</f>
        <v/>
      </c>
      <c r="B446" s="54">
        <f>IF(_calc!$E$448="","",IF(_calc!$E$448&lt;=500,IF(ISNUMBER(INDEX('Dealer pipeline'!$M$4:$M$503,_calc!$E$448)),TEXT(INDEX('Dealer pipeline'!$M$4:$M$503,_calc!$E$448),"yyyy-mm-dd"),""),IF(ISNUMBER(INDEX('My equipment'!$M$4:$M$503,(_calc!$E$448-500))),TEXT(INDEX('My equipment'!$M$4:$M$503,(_calc!$E$448-500)),"yyyy-mm-dd"),"")))</f>
        <v/>
      </c>
      <c r="C446" s="54">
        <f>IF(_calc!$E$448="","",IF(_calc!$E$448&lt;=500,"Warranty","Warranty"))</f>
        <v/>
      </c>
      <c r="D446" s="54">
        <f>IF(_calc!$E$448="","",IF(_calc!$E$448&lt;=500,IF(ISNUMBER(INDEX('Dealer pipeline'!$H$4:$H$503,_calc!$E$448)),TEXT(INDEX('Dealer pipeline'!$H$4:$H$503,_calc!$E$448),"yyyy-mm-dd"),""),IF(ISNUMBER(INDEX('My equipment'!$H$4:$H$503,(_calc!$E$448-500))),TEXT(INDEX('My equipment'!$H$4:$H$503,(_calc!$E$448-500)),"yyyy-mm-dd"),"")))</f>
        <v/>
      </c>
      <c r="F446" s="54">
        <f>IF(_calc!$E$448="","",IF(_calc!$E$448&lt;=500,TRIM(IF(LEN(IF(LEN(INDEX('Dealer pipeline'!$A$4:$A$503,_calc!$E$448))=0,"",INDEX('Dealer pipeline'!$A$4:$A$503,_calc!$E$448)))=0,"","Customer: "&amp;IF(LEN(INDEX('Dealer pipeline'!$A$4:$A$503,_calc!$E$448))=0,"",INDEX('Dealer pipeline'!$A$4:$A$503,_calc!$E$448))&amp;". ")&amp;IF(LEN(IF(LEN(INDEX('Dealer pipeline'!$B$4:$B$503,_calc!$E$448))=0,"",INDEX('Dealer pipeline'!$B$4:$B$503,_calc!$E$448)))=0,"","Contact: "&amp;IF(LEN(INDEX('Dealer pipeline'!$B$4:$B$503,_calc!$E$448))=0,"",INDEX('Dealer pipeline'!$B$4:$B$503,_calc!$E$448))&amp;". ")&amp;IF(LEN(IF(LEN(INDEX('Dealer pipeline'!$D$4:$D$503,_calc!$E$448))=0,"",INDEX('Dealer pipeline'!$D$4:$D$503,_calc!$E$448)))=0,"","Serial: "&amp;IF(LEN(INDEX('Dealer pipeline'!$D$4:$D$503,_calc!$E$448))=0,"",INDEX('Dealer pipeline'!$D$4:$D$503,_calc!$E$448))&amp;". ")&amp;IF(LEN(IF(ISNUMBER(INDEX('Dealer pipeline'!$J$4:$J$503,_calc!$E$448)),TEXT(INDEX('Dealer pipeline'!$J$4:$J$503,_calc!$E$448),"yyyy-mm-dd"),""))=0,"","Parts end: "&amp;IF(ISNUMBER(INDEX('Dealer pipeline'!$J$4:$J$503,_calc!$E$448)),TEXT(INDEX('Dealer pipeline'!$J$4:$J$503,_calc!$E$448),"yyyy-mm-dd"),"")&amp;". ")&amp;IF(LEN(IF(ISNUMBER(INDEX('Dealer pipeline'!$L$4:$L$503,_calc!$E$448)),TEXT(INDEX('Dealer pipeline'!$L$4:$L$503,_calc!$E$448),"yyyy-mm-dd"),""))=0,"","Labor end: "&amp;IF(ISNUMBER(INDEX('Dealer pipeline'!$L$4:$L$503,_calc!$E$448)),TEXT(INDEX('Dealer pipeline'!$L$4:$L$503,_calc!$E$448),"yyyy-mm-dd"),"")&amp;". ")&amp;IF(LEN(IF(LEN(INDEX('Dealer pipeline'!$Q$4:$Q$503,_calc!$E$448))=0,"",INDEX('Dealer pipeline'!$Q$4:$Q$503,_calc!$E$448)))=0,"","Status: "&amp;IF(LEN(INDEX('Dealer pipeline'!$Q$4:$Q$503,_calc!$E$448))=0,"",INDEX('Dealer pipeline'!$Q$4:$Q$503,_calc!$E$448))&amp;". ")&amp;IF(LEN(IF(LEN(INDEX('Dealer pipeline'!$P$4:$P$503,_calc!$E$448))=0,"",INDEX('Dealer pipeline'!$P$4:$P$503,_calc!$E$448)))=0,"","Last touch: "&amp;IF(LEN(INDEX('Dealer pipeline'!$P$4:$P$503,_calc!$E$448))=0,"",INDEX('Dealer pipeline'!$P$4:$P$503,_calc!$E$448))&amp;". ")&amp;IF(LEN(IF(LEN(INDEX('Dealer pipeline'!$R$4:$R$503,_calc!$E$448))=0,"",INDEX('Dealer pipeline'!$R$4:$R$503,_calc!$E$448)))=0,"","Owner: "&amp;IF(LEN(INDEX('Dealer pipeline'!$R$4:$R$503,_calc!$E$448))=0,"",INDEX('Dealer pipeline'!$R$4:$R$503,_calc!$E$448))&amp;". ")&amp;IF(LEN(IF(LEN(INDEX('Dealer pipeline'!$S$4:$S$503,_calc!$E$448))=0,"",INDEX('Dealer pipeline'!$S$4:$S$503,_calc!$E$448)))=0,"","Backup: "&amp;IF(LEN(INDEX('Dealer pipeline'!$S$4:$S$503,_calc!$E$448))=0,"",INDEX('Dealer pipeline'!$S$4:$S$503,_calc!$E$448))&amp;". ")&amp;IF(LEN(IF(LEN(INDEX('Dealer pipeline'!$T$4:$T$503,_calc!$E$448))=0,"",INDEX('Dealer pipeline'!$T$4:$T$503,_calc!$E$448)))=0,"",IF(LEN(INDEX('Dealer pipeline'!$T$4:$T$503,_calc!$E$448))=0,"",INDEX('Dealer pipeline'!$T$4:$T$503,_calc!$E$448)))),TRIM(IF(LEN(IF(LEN(INDEX('My equipment'!$C$4:$C$503,(_calc!$E$448-500)))=0,"",INDEX('My equipment'!$C$4:$C$503,(_calc!$E$448-500))))=0,"","Model: "&amp;IF(LEN(INDEX('My equipment'!$C$4:$C$503,(_calc!$E$448-500)))=0,"",INDEX('My equipment'!$C$4:$C$503,(_calc!$E$448-500)))&amp;". ")&amp;IF(LEN(IF(LEN(INDEX('My equipment'!$D$4:$D$503,(_calc!$E$448-500)))=0,"",INDEX('My equipment'!$D$4:$D$503,(_calc!$E$448-500))))=0,"","Serial: "&amp;IF(LEN(INDEX('My equipment'!$D$4:$D$503,(_calc!$E$448-500)))=0,"",INDEX('My equipment'!$D$4:$D$503,(_calc!$E$448-500)))&amp;". ")&amp;IF(LEN(IF(ISNUMBER(INDEX('My equipment'!$J$4:$J$503,(_calc!$E$448-500))),TEXT(INDEX('My equipment'!$J$4:$J$503,(_calc!$E$448-500)),"yyyy-mm-dd"),""))=0,"","Parts end: "&amp;IF(ISNUMBER(INDEX('My equipment'!$J$4:$J$503,(_calc!$E$448-500))),TEXT(INDEX('My equipment'!$J$4:$J$503,(_calc!$E$448-500)),"yyyy-mm-dd"),"")&amp;". ")&amp;IF(LEN(IF(ISNUMBER(INDEX('My equipment'!$L$4:$L$503,(_calc!$E$448-500))),TEXT(INDEX('My equipment'!$L$4:$L$503,(_calc!$E$448-500)),"yyyy-mm-dd"),""))=0,"","Labor end: "&amp;IF(ISNUMBER(INDEX('My equipment'!$L$4:$L$503,(_calc!$E$448-500))),TEXT(INDEX('My equipment'!$L$4:$L$503,(_calc!$E$448-500)),"yyyy-mm-dd"),"")&amp;". ")&amp;IF(LEN(IF(ISNUMBER(INDEX('My equipment'!$P$4:$P$503,(_calc!$E$448-500))),TEXT(INDEX('My equipment'!$P$4:$P$503,(_calc!$E$448-500)),"yyyy-mm-dd"),""))=0,"","Check by: "&amp;IF(ISNUMBER(INDEX('My equipment'!$P$4:$P$503,(_calc!$E$448-500))),TEXT(INDEX('My equipment'!$P$4:$P$503,(_calc!$E$448-500)),"yyyy-mm-dd"),"")&amp;". ")&amp;IF(LEN(IF(LEN(INDEX('My equipment'!$Q$4:$Q$503,(_calc!$E$448-500)))=0,"",INDEX('My equipment'!$Q$4:$Q$503,(_calc!$E$448-500))))=0,"","Claim status: "&amp;IF(LEN(INDEX('My equipment'!$Q$4:$Q$503,(_calc!$E$448-500)))=0,"",INDEX('My equipment'!$Q$4:$Q$503,(_calc!$E$448-500)))&amp;". ")&amp;IF(LEN(IF(LEN(INDEX('My equipment'!$R$4:$R$503,(_calc!$E$448-500)))=0,"",INDEX('My equipment'!$R$4:$R$503,(_calc!$E$448-500))))=0,"","Claims contact: "&amp;IF(LEN(INDEX('My equipment'!$R$4:$R$503,(_calc!$E$448-500)))=0,"",INDEX('My equipment'!$R$4:$R$503,(_calc!$E$448-500)))&amp;". ")&amp;IF(LEN(IF(LEN(INDEX('My equipment'!$S$4:$S$503,(_calc!$E$448-500)))=0,"",INDEX('My equipment'!$S$4:$S$503,(_calc!$E$448-500))))=0,"","Claims email: "&amp;IF(LEN(INDEX('My equipment'!$S$4:$S$503,(_calc!$E$448-500)))=0,"",INDEX('My equipment'!$S$4:$S$503,(_calc!$E$448-500)))&amp;". ")&amp;IF(LEN(IF(LEN(INDEX('My equipment'!$U$4:$U$503,(_calc!$E$448-500)))=0,"",INDEX('My equipment'!$U$4:$U$503,(_calc!$E$448-500))))=0,"","Registered: "&amp;IF(LEN(INDEX('My equipment'!$U$4:$U$503,(_calc!$E$448-500)))=0,"",INDEX('My equipment'!$U$4:$U$503,(_calc!$E$448-500)))&amp;". ")&amp;IF(LEN(IF(LEN(INDEX('My equipment'!$V$4:$V$503,(_calc!$E$448-500)))=0,"",INDEX('My equipment'!$V$4:$V$503,(_calc!$E$448-500))))=0,"","Proof on file: "&amp;IF(LEN(INDEX('My equipment'!$V$4:$V$503,(_calc!$E$448-500)))=0,"",INDEX('My equipment'!$V$4:$V$503,(_calc!$E$448-500)))&amp;". ")&amp;IF(LEN(IF(LEN(INDEX('My equipment'!$W$4:$W$503,(_calc!$E$448-500)))=0,"",INDEX('My equipment'!$W$4:$W$503,(_calc!$E$448-500))))=0,"","Claim ref: "&amp;IF(LEN(INDEX('My equipment'!$W$4:$W$503,(_calc!$E$448-500)))=0,"",INDEX('My equipment'!$W$4:$W$503,(_calc!$E$448-500)))&amp;". ")&amp;IF(LEN(IF(LEN(INDEX('My equipment'!$Y$4:$Y$503,(_calc!$E$448-500)))=0,"",INDEX('My equipment'!$Y$4:$Y$503,(_calc!$E$448-500))))=0,"",IF(LEN(INDEX('My equipment'!$Y$4:$Y$503,(_calc!$E$448-500)))=0,"",INDEX('My equipment'!$Y$4:$Y$503,(_calc!$E$448-500)))))))</f>
        <v/>
      </c>
      <c r="G446" s="54">
        <f>IF(_calc!$E$448="","",IF(_calc!$E$448&lt;=500,"",IF(LEN(INDEX('My equipment'!$X$4:$X$503,(_calc!$E$448-500)))=0,"",INDEX('My equipment'!$X$4:$X$503,(_calc!$E$448-500)))))</f>
        <v/>
      </c>
      <c r="K446" s="54">
        <f>IF(_calc!$E$448="","",IF(_calc!$E$448&lt;=500,"",IF(LEN(INDEX('My equipment'!$T$4:$T$503,(_calc!$E$448-500)))=0,"",INDEX('My equipment'!$T$4:$T$503,(_calc!$E$448-500)))))</f>
        <v/>
      </c>
    </row>
    <row r="447">
      <c r="A447" s="54">
        <f>IF(_calc!$E$449="","",IF(_calc!$E$449&lt;=500,"Warranty – "&amp;IF(LEN(INDEX('Dealer pipeline'!$C$4:$C$503,_calc!$E$449))=0,"",INDEX('Dealer pipeline'!$C$4:$C$503,_calc!$E$449))&amp;" – "&amp;IF(LEN(INDEX('Dealer pipeline'!$D$4:$D$503,_calc!$E$449))=0,"",INDEX('Dealer pipeline'!$D$4:$D$503,_calc!$E$449))&amp;" – "&amp;IF(LEN(INDEX('Dealer pipeline'!$A$4:$A$503,_calc!$E$449))=0,"",INDEX('Dealer pipeline'!$A$4:$A$503,_calc!$E$449)),"Warranty – "&amp;IF(LEN(INDEX('My equipment'!$A$4:$A$503,(_calc!$E$449-500)))=0,"",INDEX('My equipment'!$A$4:$A$503,(_calc!$E$449-500)))&amp;" – "&amp;IF(LEN(INDEX('My equipment'!$D$4:$D$503,(_calc!$E$449-500)))=0,"",INDEX('My equipment'!$D$4:$D$503,(_calc!$E$449-500)))))</f>
        <v/>
      </c>
      <c r="B447" s="54">
        <f>IF(_calc!$E$449="","",IF(_calc!$E$449&lt;=500,IF(ISNUMBER(INDEX('Dealer pipeline'!$M$4:$M$503,_calc!$E$449)),TEXT(INDEX('Dealer pipeline'!$M$4:$M$503,_calc!$E$449),"yyyy-mm-dd"),""),IF(ISNUMBER(INDEX('My equipment'!$M$4:$M$503,(_calc!$E$449-500))),TEXT(INDEX('My equipment'!$M$4:$M$503,(_calc!$E$449-500)),"yyyy-mm-dd"),"")))</f>
        <v/>
      </c>
      <c r="C447" s="54">
        <f>IF(_calc!$E$449="","",IF(_calc!$E$449&lt;=500,"Warranty","Warranty"))</f>
        <v/>
      </c>
      <c r="D447" s="54">
        <f>IF(_calc!$E$449="","",IF(_calc!$E$449&lt;=500,IF(ISNUMBER(INDEX('Dealer pipeline'!$H$4:$H$503,_calc!$E$449)),TEXT(INDEX('Dealer pipeline'!$H$4:$H$503,_calc!$E$449),"yyyy-mm-dd"),""),IF(ISNUMBER(INDEX('My equipment'!$H$4:$H$503,(_calc!$E$449-500))),TEXT(INDEX('My equipment'!$H$4:$H$503,(_calc!$E$449-500)),"yyyy-mm-dd"),"")))</f>
        <v/>
      </c>
      <c r="F447" s="54">
        <f>IF(_calc!$E$449="","",IF(_calc!$E$449&lt;=500,TRIM(IF(LEN(IF(LEN(INDEX('Dealer pipeline'!$A$4:$A$503,_calc!$E$449))=0,"",INDEX('Dealer pipeline'!$A$4:$A$503,_calc!$E$449)))=0,"","Customer: "&amp;IF(LEN(INDEX('Dealer pipeline'!$A$4:$A$503,_calc!$E$449))=0,"",INDEX('Dealer pipeline'!$A$4:$A$503,_calc!$E$449))&amp;". ")&amp;IF(LEN(IF(LEN(INDEX('Dealer pipeline'!$B$4:$B$503,_calc!$E$449))=0,"",INDEX('Dealer pipeline'!$B$4:$B$503,_calc!$E$449)))=0,"","Contact: "&amp;IF(LEN(INDEX('Dealer pipeline'!$B$4:$B$503,_calc!$E$449))=0,"",INDEX('Dealer pipeline'!$B$4:$B$503,_calc!$E$449))&amp;". ")&amp;IF(LEN(IF(LEN(INDEX('Dealer pipeline'!$D$4:$D$503,_calc!$E$449))=0,"",INDEX('Dealer pipeline'!$D$4:$D$503,_calc!$E$449)))=0,"","Serial: "&amp;IF(LEN(INDEX('Dealer pipeline'!$D$4:$D$503,_calc!$E$449))=0,"",INDEX('Dealer pipeline'!$D$4:$D$503,_calc!$E$449))&amp;". ")&amp;IF(LEN(IF(ISNUMBER(INDEX('Dealer pipeline'!$J$4:$J$503,_calc!$E$449)),TEXT(INDEX('Dealer pipeline'!$J$4:$J$503,_calc!$E$449),"yyyy-mm-dd"),""))=0,"","Parts end: "&amp;IF(ISNUMBER(INDEX('Dealer pipeline'!$J$4:$J$503,_calc!$E$449)),TEXT(INDEX('Dealer pipeline'!$J$4:$J$503,_calc!$E$449),"yyyy-mm-dd"),"")&amp;". ")&amp;IF(LEN(IF(ISNUMBER(INDEX('Dealer pipeline'!$L$4:$L$503,_calc!$E$449)),TEXT(INDEX('Dealer pipeline'!$L$4:$L$503,_calc!$E$449),"yyyy-mm-dd"),""))=0,"","Labor end: "&amp;IF(ISNUMBER(INDEX('Dealer pipeline'!$L$4:$L$503,_calc!$E$449)),TEXT(INDEX('Dealer pipeline'!$L$4:$L$503,_calc!$E$449),"yyyy-mm-dd"),"")&amp;". ")&amp;IF(LEN(IF(LEN(INDEX('Dealer pipeline'!$Q$4:$Q$503,_calc!$E$449))=0,"",INDEX('Dealer pipeline'!$Q$4:$Q$503,_calc!$E$449)))=0,"","Status: "&amp;IF(LEN(INDEX('Dealer pipeline'!$Q$4:$Q$503,_calc!$E$449))=0,"",INDEX('Dealer pipeline'!$Q$4:$Q$503,_calc!$E$449))&amp;". ")&amp;IF(LEN(IF(LEN(INDEX('Dealer pipeline'!$P$4:$P$503,_calc!$E$449))=0,"",INDEX('Dealer pipeline'!$P$4:$P$503,_calc!$E$449)))=0,"","Last touch: "&amp;IF(LEN(INDEX('Dealer pipeline'!$P$4:$P$503,_calc!$E$449))=0,"",INDEX('Dealer pipeline'!$P$4:$P$503,_calc!$E$449))&amp;". ")&amp;IF(LEN(IF(LEN(INDEX('Dealer pipeline'!$R$4:$R$503,_calc!$E$449))=0,"",INDEX('Dealer pipeline'!$R$4:$R$503,_calc!$E$449)))=0,"","Owner: "&amp;IF(LEN(INDEX('Dealer pipeline'!$R$4:$R$503,_calc!$E$449))=0,"",INDEX('Dealer pipeline'!$R$4:$R$503,_calc!$E$449))&amp;". ")&amp;IF(LEN(IF(LEN(INDEX('Dealer pipeline'!$S$4:$S$503,_calc!$E$449))=0,"",INDEX('Dealer pipeline'!$S$4:$S$503,_calc!$E$449)))=0,"","Backup: "&amp;IF(LEN(INDEX('Dealer pipeline'!$S$4:$S$503,_calc!$E$449))=0,"",INDEX('Dealer pipeline'!$S$4:$S$503,_calc!$E$449))&amp;". ")&amp;IF(LEN(IF(LEN(INDEX('Dealer pipeline'!$T$4:$T$503,_calc!$E$449))=0,"",INDEX('Dealer pipeline'!$T$4:$T$503,_calc!$E$449)))=0,"",IF(LEN(INDEX('Dealer pipeline'!$T$4:$T$503,_calc!$E$449))=0,"",INDEX('Dealer pipeline'!$T$4:$T$503,_calc!$E$449)))),TRIM(IF(LEN(IF(LEN(INDEX('My equipment'!$C$4:$C$503,(_calc!$E$449-500)))=0,"",INDEX('My equipment'!$C$4:$C$503,(_calc!$E$449-500))))=0,"","Model: "&amp;IF(LEN(INDEX('My equipment'!$C$4:$C$503,(_calc!$E$449-500)))=0,"",INDEX('My equipment'!$C$4:$C$503,(_calc!$E$449-500)))&amp;". ")&amp;IF(LEN(IF(LEN(INDEX('My equipment'!$D$4:$D$503,(_calc!$E$449-500)))=0,"",INDEX('My equipment'!$D$4:$D$503,(_calc!$E$449-500))))=0,"","Serial: "&amp;IF(LEN(INDEX('My equipment'!$D$4:$D$503,(_calc!$E$449-500)))=0,"",INDEX('My equipment'!$D$4:$D$503,(_calc!$E$449-500)))&amp;". ")&amp;IF(LEN(IF(ISNUMBER(INDEX('My equipment'!$J$4:$J$503,(_calc!$E$449-500))),TEXT(INDEX('My equipment'!$J$4:$J$503,(_calc!$E$449-500)),"yyyy-mm-dd"),""))=0,"","Parts end: "&amp;IF(ISNUMBER(INDEX('My equipment'!$J$4:$J$503,(_calc!$E$449-500))),TEXT(INDEX('My equipment'!$J$4:$J$503,(_calc!$E$449-500)),"yyyy-mm-dd"),"")&amp;". ")&amp;IF(LEN(IF(ISNUMBER(INDEX('My equipment'!$L$4:$L$503,(_calc!$E$449-500))),TEXT(INDEX('My equipment'!$L$4:$L$503,(_calc!$E$449-500)),"yyyy-mm-dd"),""))=0,"","Labor end: "&amp;IF(ISNUMBER(INDEX('My equipment'!$L$4:$L$503,(_calc!$E$449-500))),TEXT(INDEX('My equipment'!$L$4:$L$503,(_calc!$E$449-500)),"yyyy-mm-dd"),"")&amp;". ")&amp;IF(LEN(IF(ISNUMBER(INDEX('My equipment'!$P$4:$P$503,(_calc!$E$449-500))),TEXT(INDEX('My equipment'!$P$4:$P$503,(_calc!$E$449-500)),"yyyy-mm-dd"),""))=0,"","Check by: "&amp;IF(ISNUMBER(INDEX('My equipment'!$P$4:$P$503,(_calc!$E$449-500))),TEXT(INDEX('My equipment'!$P$4:$P$503,(_calc!$E$449-500)),"yyyy-mm-dd"),"")&amp;". ")&amp;IF(LEN(IF(LEN(INDEX('My equipment'!$Q$4:$Q$503,(_calc!$E$449-500)))=0,"",INDEX('My equipment'!$Q$4:$Q$503,(_calc!$E$449-500))))=0,"","Claim status: "&amp;IF(LEN(INDEX('My equipment'!$Q$4:$Q$503,(_calc!$E$449-500)))=0,"",INDEX('My equipment'!$Q$4:$Q$503,(_calc!$E$449-500)))&amp;". ")&amp;IF(LEN(IF(LEN(INDEX('My equipment'!$R$4:$R$503,(_calc!$E$449-500)))=0,"",INDEX('My equipment'!$R$4:$R$503,(_calc!$E$449-500))))=0,"","Claims contact: "&amp;IF(LEN(INDEX('My equipment'!$R$4:$R$503,(_calc!$E$449-500)))=0,"",INDEX('My equipment'!$R$4:$R$503,(_calc!$E$449-500)))&amp;". ")&amp;IF(LEN(IF(LEN(INDEX('My equipment'!$S$4:$S$503,(_calc!$E$449-500)))=0,"",INDEX('My equipment'!$S$4:$S$503,(_calc!$E$449-500))))=0,"","Claims email: "&amp;IF(LEN(INDEX('My equipment'!$S$4:$S$503,(_calc!$E$449-500)))=0,"",INDEX('My equipment'!$S$4:$S$503,(_calc!$E$449-500)))&amp;". ")&amp;IF(LEN(IF(LEN(INDEX('My equipment'!$U$4:$U$503,(_calc!$E$449-500)))=0,"",INDEX('My equipment'!$U$4:$U$503,(_calc!$E$449-500))))=0,"","Registered: "&amp;IF(LEN(INDEX('My equipment'!$U$4:$U$503,(_calc!$E$449-500)))=0,"",INDEX('My equipment'!$U$4:$U$503,(_calc!$E$449-500)))&amp;". ")&amp;IF(LEN(IF(LEN(INDEX('My equipment'!$V$4:$V$503,(_calc!$E$449-500)))=0,"",INDEX('My equipment'!$V$4:$V$503,(_calc!$E$449-500))))=0,"","Proof on file: "&amp;IF(LEN(INDEX('My equipment'!$V$4:$V$503,(_calc!$E$449-500)))=0,"",INDEX('My equipment'!$V$4:$V$503,(_calc!$E$449-500)))&amp;". ")&amp;IF(LEN(IF(LEN(INDEX('My equipment'!$W$4:$W$503,(_calc!$E$449-500)))=0,"",INDEX('My equipment'!$W$4:$W$503,(_calc!$E$449-500))))=0,"","Claim ref: "&amp;IF(LEN(INDEX('My equipment'!$W$4:$W$503,(_calc!$E$449-500)))=0,"",INDEX('My equipment'!$W$4:$W$503,(_calc!$E$449-500)))&amp;". ")&amp;IF(LEN(IF(LEN(INDEX('My equipment'!$Y$4:$Y$503,(_calc!$E$449-500)))=0,"",INDEX('My equipment'!$Y$4:$Y$503,(_calc!$E$449-500))))=0,"",IF(LEN(INDEX('My equipment'!$Y$4:$Y$503,(_calc!$E$449-500)))=0,"",INDEX('My equipment'!$Y$4:$Y$503,(_calc!$E$449-500)))))))</f>
        <v/>
      </c>
      <c r="G447" s="54">
        <f>IF(_calc!$E$449="","",IF(_calc!$E$449&lt;=500,"",IF(LEN(INDEX('My equipment'!$X$4:$X$503,(_calc!$E$449-500)))=0,"",INDEX('My equipment'!$X$4:$X$503,(_calc!$E$449-500)))))</f>
        <v/>
      </c>
      <c r="K447" s="54">
        <f>IF(_calc!$E$449="","",IF(_calc!$E$449&lt;=500,"",IF(LEN(INDEX('My equipment'!$T$4:$T$503,(_calc!$E$449-500)))=0,"",INDEX('My equipment'!$T$4:$T$503,(_calc!$E$449-500)))))</f>
        <v/>
      </c>
    </row>
    <row r="448">
      <c r="A448" s="54">
        <f>IF(_calc!$E$450="","",IF(_calc!$E$450&lt;=500,"Warranty – "&amp;IF(LEN(INDEX('Dealer pipeline'!$C$4:$C$503,_calc!$E$450))=0,"",INDEX('Dealer pipeline'!$C$4:$C$503,_calc!$E$450))&amp;" – "&amp;IF(LEN(INDEX('Dealer pipeline'!$D$4:$D$503,_calc!$E$450))=0,"",INDEX('Dealer pipeline'!$D$4:$D$503,_calc!$E$450))&amp;" – "&amp;IF(LEN(INDEX('Dealer pipeline'!$A$4:$A$503,_calc!$E$450))=0,"",INDEX('Dealer pipeline'!$A$4:$A$503,_calc!$E$450)),"Warranty – "&amp;IF(LEN(INDEX('My equipment'!$A$4:$A$503,(_calc!$E$450-500)))=0,"",INDEX('My equipment'!$A$4:$A$503,(_calc!$E$450-500)))&amp;" – "&amp;IF(LEN(INDEX('My equipment'!$D$4:$D$503,(_calc!$E$450-500)))=0,"",INDEX('My equipment'!$D$4:$D$503,(_calc!$E$450-500)))))</f>
        <v/>
      </c>
      <c r="B448" s="54">
        <f>IF(_calc!$E$450="","",IF(_calc!$E$450&lt;=500,IF(ISNUMBER(INDEX('Dealer pipeline'!$M$4:$M$503,_calc!$E$450)),TEXT(INDEX('Dealer pipeline'!$M$4:$M$503,_calc!$E$450),"yyyy-mm-dd"),""),IF(ISNUMBER(INDEX('My equipment'!$M$4:$M$503,(_calc!$E$450-500))),TEXT(INDEX('My equipment'!$M$4:$M$503,(_calc!$E$450-500)),"yyyy-mm-dd"),"")))</f>
        <v/>
      </c>
      <c r="C448" s="54">
        <f>IF(_calc!$E$450="","",IF(_calc!$E$450&lt;=500,"Warranty","Warranty"))</f>
        <v/>
      </c>
      <c r="D448" s="54">
        <f>IF(_calc!$E$450="","",IF(_calc!$E$450&lt;=500,IF(ISNUMBER(INDEX('Dealer pipeline'!$H$4:$H$503,_calc!$E$450)),TEXT(INDEX('Dealer pipeline'!$H$4:$H$503,_calc!$E$450),"yyyy-mm-dd"),""),IF(ISNUMBER(INDEX('My equipment'!$H$4:$H$503,(_calc!$E$450-500))),TEXT(INDEX('My equipment'!$H$4:$H$503,(_calc!$E$450-500)),"yyyy-mm-dd"),"")))</f>
        <v/>
      </c>
      <c r="F448" s="54">
        <f>IF(_calc!$E$450="","",IF(_calc!$E$450&lt;=500,TRIM(IF(LEN(IF(LEN(INDEX('Dealer pipeline'!$A$4:$A$503,_calc!$E$450))=0,"",INDEX('Dealer pipeline'!$A$4:$A$503,_calc!$E$450)))=0,"","Customer: "&amp;IF(LEN(INDEX('Dealer pipeline'!$A$4:$A$503,_calc!$E$450))=0,"",INDEX('Dealer pipeline'!$A$4:$A$503,_calc!$E$450))&amp;". ")&amp;IF(LEN(IF(LEN(INDEX('Dealer pipeline'!$B$4:$B$503,_calc!$E$450))=0,"",INDEX('Dealer pipeline'!$B$4:$B$503,_calc!$E$450)))=0,"","Contact: "&amp;IF(LEN(INDEX('Dealer pipeline'!$B$4:$B$503,_calc!$E$450))=0,"",INDEX('Dealer pipeline'!$B$4:$B$503,_calc!$E$450))&amp;". ")&amp;IF(LEN(IF(LEN(INDEX('Dealer pipeline'!$D$4:$D$503,_calc!$E$450))=0,"",INDEX('Dealer pipeline'!$D$4:$D$503,_calc!$E$450)))=0,"","Serial: "&amp;IF(LEN(INDEX('Dealer pipeline'!$D$4:$D$503,_calc!$E$450))=0,"",INDEX('Dealer pipeline'!$D$4:$D$503,_calc!$E$450))&amp;". ")&amp;IF(LEN(IF(ISNUMBER(INDEX('Dealer pipeline'!$J$4:$J$503,_calc!$E$450)),TEXT(INDEX('Dealer pipeline'!$J$4:$J$503,_calc!$E$450),"yyyy-mm-dd"),""))=0,"","Parts end: "&amp;IF(ISNUMBER(INDEX('Dealer pipeline'!$J$4:$J$503,_calc!$E$450)),TEXT(INDEX('Dealer pipeline'!$J$4:$J$503,_calc!$E$450),"yyyy-mm-dd"),"")&amp;". ")&amp;IF(LEN(IF(ISNUMBER(INDEX('Dealer pipeline'!$L$4:$L$503,_calc!$E$450)),TEXT(INDEX('Dealer pipeline'!$L$4:$L$503,_calc!$E$450),"yyyy-mm-dd"),""))=0,"","Labor end: "&amp;IF(ISNUMBER(INDEX('Dealer pipeline'!$L$4:$L$503,_calc!$E$450)),TEXT(INDEX('Dealer pipeline'!$L$4:$L$503,_calc!$E$450),"yyyy-mm-dd"),"")&amp;". ")&amp;IF(LEN(IF(LEN(INDEX('Dealer pipeline'!$Q$4:$Q$503,_calc!$E$450))=0,"",INDEX('Dealer pipeline'!$Q$4:$Q$503,_calc!$E$450)))=0,"","Status: "&amp;IF(LEN(INDEX('Dealer pipeline'!$Q$4:$Q$503,_calc!$E$450))=0,"",INDEX('Dealer pipeline'!$Q$4:$Q$503,_calc!$E$450))&amp;". ")&amp;IF(LEN(IF(LEN(INDEX('Dealer pipeline'!$P$4:$P$503,_calc!$E$450))=0,"",INDEX('Dealer pipeline'!$P$4:$P$503,_calc!$E$450)))=0,"","Last touch: "&amp;IF(LEN(INDEX('Dealer pipeline'!$P$4:$P$503,_calc!$E$450))=0,"",INDEX('Dealer pipeline'!$P$4:$P$503,_calc!$E$450))&amp;". ")&amp;IF(LEN(IF(LEN(INDEX('Dealer pipeline'!$R$4:$R$503,_calc!$E$450))=0,"",INDEX('Dealer pipeline'!$R$4:$R$503,_calc!$E$450)))=0,"","Owner: "&amp;IF(LEN(INDEX('Dealer pipeline'!$R$4:$R$503,_calc!$E$450))=0,"",INDEX('Dealer pipeline'!$R$4:$R$503,_calc!$E$450))&amp;". ")&amp;IF(LEN(IF(LEN(INDEX('Dealer pipeline'!$S$4:$S$503,_calc!$E$450))=0,"",INDEX('Dealer pipeline'!$S$4:$S$503,_calc!$E$450)))=0,"","Backup: "&amp;IF(LEN(INDEX('Dealer pipeline'!$S$4:$S$503,_calc!$E$450))=0,"",INDEX('Dealer pipeline'!$S$4:$S$503,_calc!$E$450))&amp;". ")&amp;IF(LEN(IF(LEN(INDEX('Dealer pipeline'!$T$4:$T$503,_calc!$E$450))=0,"",INDEX('Dealer pipeline'!$T$4:$T$503,_calc!$E$450)))=0,"",IF(LEN(INDEX('Dealer pipeline'!$T$4:$T$503,_calc!$E$450))=0,"",INDEX('Dealer pipeline'!$T$4:$T$503,_calc!$E$450)))),TRIM(IF(LEN(IF(LEN(INDEX('My equipment'!$C$4:$C$503,(_calc!$E$450-500)))=0,"",INDEX('My equipment'!$C$4:$C$503,(_calc!$E$450-500))))=0,"","Model: "&amp;IF(LEN(INDEX('My equipment'!$C$4:$C$503,(_calc!$E$450-500)))=0,"",INDEX('My equipment'!$C$4:$C$503,(_calc!$E$450-500)))&amp;". ")&amp;IF(LEN(IF(LEN(INDEX('My equipment'!$D$4:$D$503,(_calc!$E$450-500)))=0,"",INDEX('My equipment'!$D$4:$D$503,(_calc!$E$450-500))))=0,"","Serial: "&amp;IF(LEN(INDEX('My equipment'!$D$4:$D$503,(_calc!$E$450-500)))=0,"",INDEX('My equipment'!$D$4:$D$503,(_calc!$E$450-500)))&amp;". ")&amp;IF(LEN(IF(ISNUMBER(INDEX('My equipment'!$J$4:$J$503,(_calc!$E$450-500))),TEXT(INDEX('My equipment'!$J$4:$J$503,(_calc!$E$450-500)),"yyyy-mm-dd"),""))=0,"","Parts end: "&amp;IF(ISNUMBER(INDEX('My equipment'!$J$4:$J$503,(_calc!$E$450-500))),TEXT(INDEX('My equipment'!$J$4:$J$503,(_calc!$E$450-500)),"yyyy-mm-dd"),"")&amp;". ")&amp;IF(LEN(IF(ISNUMBER(INDEX('My equipment'!$L$4:$L$503,(_calc!$E$450-500))),TEXT(INDEX('My equipment'!$L$4:$L$503,(_calc!$E$450-500)),"yyyy-mm-dd"),""))=0,"","Labor end: "&amp;IF(ISNUMBER(INDEX('My equipment'!$L$4:$L$503,(_calc!$E$450-500))),TEXT(INDEX('My equipment'!$L$4:$L$503,(_calc!$E$450-500)),"yyyy-mm-dd"),"")&amp;". ")&amp;IF(LEN(IF(ISNUMBER(INDEX('My equipment'!$P$4:$P$503,(_calc!$E$450-500))),TEXT(INDEX('My equipment'!$P$4:$P$503,(_calc!$E$450-500)),"yyyy-mm-dd"),""))=0,"","Check by: "&amp;IF(ISNUMBER(INDEX('My equipment'!$P$4:$P$503,(_calc!$E$450-500))),TEXT(INDEX('My equipment'!$P$4:$P$503,(_calc!$E$450-500)),"yyyy-mm-dd"),"")&amp;". ")&amp;IF(LEN(IF(LEN(INDEX('My equipment'!$Q$4:$Q$503,(_calc!$E$450-500)))=0,"",INDEX('My equipment'!$Q$4:$Q$503,(_calc!$E$450-500))))=0,"","Claim status: "&amp;IF(LEN(INDEX('My equipment'!$Q$4:$Q$503,(_calc!$E$450-500)))=0,"",INDEX('My equipment'!$Q$4:$Q$503,(_calc!$E$450-500)))&amp;". ")&amp;IF(LEN(IF(LEN(INDEX('My equipment'!$R$4:$R$503,(_calc!$E$450-500)))=0,"",INDEX('My equipment'!$R$4:$R$503,(_calc!$E$450-500))))=0,"","Claims contact: "&amp;IF(LEN(INDEX('My equipment'!$R$4:$R$503,(_calc!$E$450-500)))=0,"",INDEX('My equipment'!$R$4:$R$503,(_calc!$E$450-500)))&amp;". ")&amp;IF(LEN(IF(LEN(INDEX('My equipment'!$S$4:$S$503,(_calc!$E$450-500)))=0,"",INDEX('My equipment'!$S$4:$S$503,(_calc!$E$450-500))))=0,"","Claims email: "&amp;IF(LEN(INDEX('My equipment'!$S$4:$S$503,(_calc!$E$450-500)))=0,"",INDEX('My equipment'!$S$4:$S$503,(_calc!$E$450-500)))&amp;". ")&amp;IF(LEN(IF(LEN(INDEX('My equipment'!$U$4:$U$503,(_calc!$E$450-500)))=0,"",INDEX('My equipment'!$U$4:$U$503,(_calc!$E$450-500))))=0,"","Registered: "&amp;IF(LEN(INDEX('My equipment'!$U$4:$U$503,(_calc!$E$450-500)))=0,"",INDEX('My equipment'!$U$4:$U$503,(_calc!$E$450-500)))&amp;". ")&amp;IF(LEN(IF(LEN(INDEX('My equipment'!$V$4:$V$503,(_calc!$E$450-500)))=0,"",INDEX('My equipment'!$V$4:$V$503,(_calc!$E$450-500))))=0,"","Proof on file: "&amp;IF(LEN(INDEX('My equipment'!$V$4:$V$503,(_calc!$E$450-500)))=0,"",INDEX('My equipment'!$V$4:$V$503,(_calc!$E$450-500)))&amp;". ")&amp;IF(LEN(IF(LEN(INDEX('My equipment'!$W$4:$W$503,(_calc!$E$450-500)))=0,"",INDEX('My equipment'!$W$4:$W$503,(_calc!$E$450-500))))=0,"","Claim ref: "&amp;IF(LEN(INDEX('My equipment'!$W$4:$W$503,(_calc!$E$450-500)))=0,"",INDEX('My equipment'!$W$4:$W$503,(_calc!$E$450-500)))&amp;". ")&amp;IF(LEN(IF(LEN(INDEX('My equipment'!$Y$4:$Y$503,(_calc!$E$450-500)))=0,"",INDEX('My equipment'!$Y$4:$Y$503,(_calc!$E$450-500))))=0,"",IF(LEN(INDEX('My equipment'!$Y$4:$Y$503,(_calc!$E$450-500)))=0,"",INDEX('My equipment'!$Y$4:$Y$503,(_calc!$E$450-500)))))))</f>
        <v/>
      </c>
      <c r="G448" s="54">
        <f>IF(_calc!$E$450="","",IF(_calc!$E$450&lt;=500,"",IF(LEN(INDEX('My equipment'!$X$4:$X$503,(_calc!$E$450-500)))=0,"",INDEX('My equipment'!$X$4:$X$503,(_calc!$E$450-500)))))</f>
        <v/>
      </c>
      <c r="K448" s="54">
        <f>IF(_calc!$E$450="","",IF(_calc!$E$450&lt;=500,"",IF(LEN(INDEX('My equipment'!$T$4:$T$503,(_calc!$E$450-500)))=0,"",INDEX('My equipment'!$T$4:$T$503,(_calc!$E$450-500)))))</f>
        <v/>
      </c>
    </row>
    <row r="449">
      <c r="A449" s="54">
        <f>IF(_calc!$E$451="","",IF(_calc!$E$451&lt;=500,"Warranty – "&amp;IF(LEN(INDEX('Dealer pipeline'!$C$4:$C$503,_calc!$E$451))=0,"",INDEX('Dealer pipeline'!$C$4:$C$503,_calc!$E$451))&amp;" – "&amp;IF(LEN(INDEX('Dealer pipeline'!$D$4:$D$503,_calc!$E$451))=0,"",INDEX('Dealer pipeline'!$D$4:$D$503,_calc!$E$451))&amp;" – "&amp;IF(LEN(INDEX('Dealer pipeline'!$A$4:$A$503,_calc!$E$451))=0,"",INDEX('Dealer pipeline'!$A$4:$A$503,_calc!$E$451)),"Warranty – "&amp;IF(LEN(INDEX('My equipment'!$A$4:$A$503,(_calc!$E$451-500)))=0,"",INDEX('My equipment'!$A$4:$A$503,(_calc!$E$451-500)))&amp;" – "&amp;IF(LEN(INDEX('My equipment'!$D$4:$D$503,(_calc!$E$451-500)))=0,"",INDEX('My equipment'!$D$4:$D$503,(_calc!$E$451-500)))))</f>
        <v/>
      </c>
      <c r="B449" s="54">
        <f>IF(_calc!$E$451="","",IF(_calc!$E$451&lt;=500,IF(ISNUMBER(INDEX('Dealer pipeline'!$M$4:$M$503,_calc!$E$451)),TEXT(INDEX('Dealer pipeline'!$M$4:$M$503,_calc!$E$451),"yyyy-mm-dd"),""),IF(ISNUMBER(INDEX('My equipment'!$M$4:$M$503,(_calc!$E$451-500))),TEXT(INDEX('My equipment'!$M$4:$M$503,(_calc!$E$451-500)),"yyyy-mm-dd"),"")))</f>
        <v/>
      </c>
      <c r="C449" s="54">
        <f>IF(_calc!$E$451="","",IF(_calc!$E$451&lt;=500,"Warranty","Warranty"))</f>
        <v/>
      </c>
      <c r="D449" s="54">
        <f>IF(_calc!$E$451="","",IF(_calc!$E$451&lt;=500,IF(ISNUMBER(INDEX('Dealer pipeline'!$H$4:$H$503,_calc!$E$451)),TEXT(INDEX('Dealer pipeline'!$H$4:$H$503,_calc!$E$451),"yyyy-mm-dd"),""),IF(ISNUMBER(INDEX('My equipment'!$H$4:$H$503,(_calc!$E$451-500))),TEXT(INDEX('My equipment'!$H$4:$H$503,(_calc!$E$451-500)),"yyyy-mm-dd"),"")))</f>
        <v/>
      </c>
      <c r="F449" s="54">
        <f>IF(_calc!$E$451="","",IF(_calc!$E$451&lt;=500,TRIM(IF(LEN(IF(LEN(INDEX('Dealer pipeline'!$A$4:$A$503,_calc!$E$451))=0,"",INDEX('Dealer pipeline'!$A$4:$A$503,_calc!$E$451)))=0,"","Customer: "&amp;IF(LEN(INDEX('Dealer pipeline'!$A$4:$A$503,_calc!$E$451))=0,"",INDEX('Dealer pipeline'!$A$4:$A$503,_calc!$E$451))&amp;". ")&amp;IF(LEN(IF(LEN(INDEX('Dealer pipeline'!$B$4:$B$503,_calc!$E$451))=0,"",INDEX('Dealer pipeline'!$B$4:$B$503,_calc!$E$451)))=0,"","Contact: "&amp;IF(LEN(INDEX('Dealer pipeline'!$B$4:$B$503,_calc!$E$451))=0,"",INDEX('Dealer pipeline'!$B$4:$B$503,_calc!$E$451))&amp;". ")&amp;IF(LEN(IF(LEN(INDEX('Dealer pipeline'!$D$4:$D$503,_calc!$E$451))=0,"",INDEX('Dealer pipeline'!$D$4:$D$503,_calc!$E$451)))=0,"","Serial: "&amp;IF(LEN(INDEX('Dealer pipeline'!$D$4:$D$503,_calc!$E$451))=0,"",INDEX('Dealer pipeline'!$D$4:$D$503,_calc!$E$451))&amp;". ")&amp;IF(LEN(IF(ISNUMBER(INDEX('Dealer pipeline'!$J$4:$J$503,_calc!$E$451)),TEXT(INDEX('Dealer pipeline'!$J$4:$J$503,_calc!$E$451),"yyyy-mm-dd"),""))=0,"","Parts end: "&amp;IF(ISNUMBER(INDEX('Dealer pipeline'!$J$4:$J$503,_calc!$E$451)),TEXT(INDEX('Dealer pipeline'!$J$4:$J$503,_calc!$E$451),"yyyy-mm-dd"),"")&amp;". ")&amp;IF(LEN(IF(ISNUMBER(INDEX('Dealer pipeline'!$L$4:$L$503,_calc!$E$451)),TEXT(INDEX('Dealer pipeline'!$L$4:$L$503,_calc!$E$451),"yyyy-mm-dd"),""))=0,"","Labor end: "&amp;IF(ISNUMBER(INDEX('Dealer pipeline'!$L$4:$L$503,_calc!$E$451)),TEXT(INDEX('Dealer pipeline'!$L$4:$L$503,_calc!$E$451),"yyyy-mm-dd"),"")&amp;". ")&amp;IF(LEN(IF(LEN(INDEX('Dealer pipeline'!$Q$4:$Q$503,_calc!$E$451))=0,"",INDEX('Dealer pipeline'!$Q$4:$Q$503,_calc!$E$451)))=0,"","Status: "&amp;IF(LEN(INDEX('Dealer pipeline'!$Q$4:$Q$503,_calc!$E$451))=0,"",INDEX('Dealer pipeline'!$Q$4:$Q$503,_calc!$E$451))&amp;". ")&amp;IF(LEN(IF(LEN(INDEX('Dealer pipeline'!$P$4:$P$503,_calc!$E$451))=0,"",INDEX('Dealer pipeline'!$P$4:$P$503,_calc!$E$451)))=0,"","Last touch: "&amp;IF(LEN(INDEX('Dealer pipeline'!$P$4:$P$503,_calc!$E$451))=0,"",INDEX('Dealer pipeline'!$P$4:$P$503,_calc!$E$451))&amp;". ")&amp;IF(LEN(IF(LEN(INDEX('Dealer pipeline'!$R$4:$R$503,_calc!$E$451))=0,"",INDEX('Dealer pipeline'!$R$4:$R$503,_calc!$E$451)))=0,"","Owner: "&amp;IF(LEN(INDEX('Dealer pipeline'!$R$4:$R$503,_calc!$E$451))=0,"",INDEX('Dealer pipeline'!$R$4:$R$503,_calc!$E$451))&amp;". ")&amp;IF(LEN(IF(LEN(INDEX('Dealer pipeline'!$S$4:$S$503,_calc!$E$451))=0,"",INDEX('Dealer pipeline'!$S$4:$S$503,_calc!$E$451)))=0,"","Backup: "&amp;IF(LEN(INDEX('Dealer pipeline'!$S$4:$S$503,_calc!$E$451))=0,"",INDEX('Dealer pipeline'!$S$4:$S$503,_calc!$E$451))&amp;". ")&amp;IF(LEN(IF(LEN(INDEX('Dealer pipeline'!$T$4:$T$503,_calc!$E$451))=0,"",INDEX('Dealer pipeline'!$T$4:$T$503,_calc!$E$451)))=0,"",IF(LEN(INDEX('Dealer pipeline'!$T$4:$T$503,_calc!$E$451))=0,"",INDEX('Dealer pipeline'!$T$4:$T$503,_calc!$E$451)))),TRIM(IF(LEN(IF(LEN(INDEX('My equipment'!$C$4:$C$503,(_calc!$E$451-500)))=0,"",INDEX('My equipment'!$C$4:$C$503,(_calc!$E$451-500))))=0,"","Model: "&amp;IF(LEN(INDEX('My equipment'!$C$4:$C$503,(_calc!$E$451-500)))=0,"",INDEX('My equipment'!$C$4:$C$503,(_calc!$E$451-500)))&amp;". ")&amp;IF(LEN(IF(LEN(INDEX('My equipment'!$D$4:$D$503,(_calc!$E$451-500)))=0,"",INDEX('My equipment'!$D$4:$D$503,(_calc!$E$451-500))))=0,"","Serial: "&amp;IF(LEN(INDEX('My equipment'!$D$4:$D$503,(_calc!$E$451-500)))=0,"",INDEX('My equipment'!$D$4:$D$503,(_calc!$E$451-500)))&amp;". ")&amp;IF(LEN(IF(ISNUMBER(INDEX('My equipment'!$J$4:$J$503,(_calc!$E$451-500))),TEXT(INDEX('My equipment'!$J$4:$J$503,(_calc!$E$451-500)),"yyyy-mm-dd"),""))=0,"","Parts end: "&amp;IF(ISNUMBER(INDEX('My equipment'!$J$4:$J$503,(_calc!$E$451-500))),TEXT(INDEX('My equipment'!$J$4:$J$503,(_calc!$E$451-500)),"yyyy-mm-dd"),"")&amp;". ")&amp;IF(LEN(IF(ISNUMBER(INDEX('My equipment'!$L$4:$L$503,(_calc!$E$451-500))),TEXT(INDEX('My equipment'!$L$4:$L$503,(_calc!$E$451-500)),"yyyy-mm-dd"),""))=0,"","Labor end: "&amp;IF(ISNUMBER(INDEX('My equipment'!$L$4:$L$503,(_calc!$E$451-500))),TEXT(INDEX('My equipment'!$L$4:$L$503,(_calc!$E$451-500)),"yyyy-mm-dd"),"")&amp;". ")&amp;IF(LEN(IF(ISNUMBER(INDEX('My equipment'!$P$4:$P$503,(_calc!$E$451-500))),TEXT(INDEX('My equipment'!$P$4:$P$503,(_calc!$E$451-500)),"yyyy-mm-dd"),""))=0,"","Check by: "&amp;IF(ISNUMBER(INDEX('My equipment'!$P$4:$P$503,(_calc!$E$451-500))),TEXT(INDEX('My equipment'!$P$4:$P$503,(_calc!$E$451-500)),"yyyy-mm-dd"),"")&amp;". ")&amp;IF(LEN(IF(LEN(INDEX('My equipment'!$Q$4:$Q$503,(_calc!$E$451-500)))=0,"",INDEX('My equipment'!$Q$4:$Q$503,(_calc!$E$451-500))))=0,"","Claim status: "&amp;IF(LEN(INDEX('My equipment'!$Q$4:$Q$503,(_calc!$E$451-500)))=0,"",INDEX('My equipment'!$Q$4:$Q$503,(_calc!$E$451-500)))&amp;". ")&amp;IF(LEN(IF(LEN(INDEX('My equipment'!$R$4:$R$503,(_calc!$E$451-500)))=0,"",INDEX('My equipment'!$R$4:$R$503,(_calc!$E$451-500))))=0,"","Claims contact: "&amp;IF(LEN(INDEX('My equipment'!$R$4:$R$503,(_calc!$E$451-500)))=0,"",INDEX('My equipment'!$R$4:$R$503,(_calc!$E$451-500)))&amp;". ")&amp;IF(LEN(IF(LEN(INDEX('My equipment'!$S$4:$S$503,(_calc!$E$451-500)))=0,"",INDEX('My equipment'!$S$4:$S$503,(_calc!$E$451-500))))=0,"","Claims email: "&amp;IF(LEN(INDEX('My equipment'!$S$4:$S$503,(_calc!$E$451-500)))=0,"",INDEX('My equipment'!$S$4:$S$503,(_calc!$E$451-500)))&amp;". ")&amp;IF(LEN(IF(LEN(INDEX('My equipment'!$U$4:$U$503,(_calc!$E$451-500)))=0,"",INDEX('My equipment'!$U$4:$U$503,(_calc!$E$451-500))))=0,"","Registered: "&amp;IF(LEN(INDEX('My equipment'!$U$4:$U$503,(_calc!$E$451-500)))=0,"",INDEX('My equipment'!$U$4:$U$503,(_calc!$E$451-500)))&amp;". ")&amp;IF(LEN(IF(LEN(INDEX('My equipment'!$V$4:$V$503,(_calc!$E$451-500)))=0,"",INDEX('My equipment'!$V$4:$V$503,(_calc!$E$451-500))))=0,"","Proof on file: "&amp;IF(LEN(INDEX('My equipment'!$V$4:$V$503,(_calc!$E$451-500)))=0,"",INDEX('My equipment'!$V$4:$V$503,(_calc!$E$451-500)))&amp;". ")&amp;IF(LEN(IF(LEN(INDEX('My equipment'!$W$4:$W$503,(_calc!$E$451-500)))=0,"",INDEX('My equipment'!$W$4:$W$503,(_calc!$E$451-500))))=0,"","Claim ref: "&amp;IF(LEN(INDEX('My equipment'!$W$4:$W$503,(_calc!$E$451-500)))=0,"",INDEX('My equipment'!$W$4:$W$503,(_calc!$E$451-500)))&amp;". ")&amp;IF(LEN(IF(LEN(INDEX('My equipment'!$Y$4:$Y$503,(_calc!$E$451-500)))=0,"",INDEX('My equipment'!$Y$4:$Y$503,(_calc!$E$451-500))))=0,"",IF(LEN(INDEX('My equipment'!$Y$4:$Y$503,(_calc!$E$451-500)))=0,"",INDEX('My equipment'!$Y$4:$Y$503,(_calc!$E$451-500)))))))</f>
        <v/>
      </c>
      <c r="G449" s="54">
        <f>IF(_calc!$E$451="","",IF(_calc!$E$451&lt;=500,"",IF(LEN(INDEX('My equipment'!$X$4:$X$503,(_calc!$E$451-500)))=0,"",INDEX('My equipment'!$X$4:$X$503,(_calc!$E$451-500)))))</f>
        <v/>
      </c>
      <c r="K449" s="54">
        <f>IF(_calc!$E$451="","",IF(_calc!$E$451&lt;=500,"",IF(LEN(INDEX('My equipment'!$T$4:$T$503,(_calc!$E$451-500)))=0,"",INDEX('My equipment'!$T$4:$T$503,(_calc!$E$451-500)))))</f>
        <v/>
      </c>
    </row>
    <row r="450">
      <c r="A450" s="54">
        <f>IF(_calc!$E$452="","",IF(_calc!$E$452&lt;=500,"Warranty – "&amp;IF(LEN(INDEX('Dealer pipeline'!$C$4:$C$503,_calc!$E$452))=0,"",INDEX('Dealer pipeline'!$C$4:$C$503,_calc!$E$452))&amp;" – "&amp;IF(LEN(INDEX('Dealer pipeline'!$D$4:$D$503,_calc!$E$452))=0,"",INDEX('Dealer pipeline'!$D$4:$D$503,_calc!$E$452))&amp;" – "&amp;IF(LEN(INDEX('Dealer pipeline'!$A$4:$A$503,_calc!$E$452))=0,"",INDEX('Dealer pipeline'!$A$4:$A$503,_calc!$E$452)),"Warranty – "&amp;IF(LEN(INDEX('My equipment'!$A$4:$A$503,(_calc!$E$452-500)))=0,"",INDEX('My equipment'!$A$4:$A$503,(_calc!$E$452-500)))&amp;" – "&amp;IF(LEN(INDEX('My equipment'!$D$4:$D$503,(_calc!$E$452-500)))=0,"",INDEX('My equipment'!$D$4:$D$503,(_calc!$E$452-500)))))</f>
        <v/>
      </c>
      <c r="B450" s="54">
        <f>IF(_calc!$E$452="","",IF(_calc!$E$452&lt;=500,IF(ISNUMBER(INDEX('Dealer pipeline'!$M$4:$M$503,_calc!$E$452)),TEXT(INDEX('Dealer pipeline'!$M$4:$M$503,_calc!$E$452),"yyyy-mm-dd"),""),IF(ISNUMBER(INDEX('My equipment'!$M$4:$M$503,(_calc!$E$452-500))),TEXT(INDEX('My equipment'!$M$4:$M$503,(_calc!$E$452-500)),"yyyy-mm-dd"),"")))</f>
        <v/>
      </c>
      <c r="C450" s="54">
        <f>IF(_calc!$E$452="","",IF(_calc!$E$452&lt;=500,"Warranty","Warranty"))</f>
        <v/>
      </c>
      <c r="D450" s="54">
        <f>IF(_calc!$E$452="","",IF(_calc!$E$452&lt;=500,IF(ISNUMBER(INDEX('Dealer pipeline'!$H$4:$H$503,_calc!$E$452)),TEXT(INDEX('Dealer pipeline'!$H$4:$H$503,_calc!$E$452),"yyyy-mm-dd"),""),IF(ISNUMBER(INDEX('My equipment'!$H$4:$H$503,(_calc!$E$452-500))),TEXT(INDEX('My equipment'!$H$4:$H$503,(_calc!$E$452-500)),"yyyy-mm-dd"),"")))</f>
        <v/>
      </c>
      <c r="F450" s="54">
        <f>IF(_calc!$E$452="","",IF(_calc!$E$452&lt;=500,TRIM(IF(LEN(IF(LEN(INDEX('Dealer pipeline'!$A$4:$A$503,_calc!$E$452))=0,"",INDEX('Dealer pipeline'!$A$4:$A$503,_calc!$E$452)))=0,"","Customer: "&amp;IF(LEN(INDEX('Dealer pipeline'!$A$4:$A$503,_calc!$E$452))=0,"",INDEX('Dealer pipeline'!$A$4:$A$503,_calc!$E$452))&amp;". ")&amp;IF(LEN(IF(LEN(INDEX('Dealer pipeline'!$B$4:$B$503,_calc!$E$452))=0,"",INDEX('Dealer pipeline'!$B$4:$B$503,_calc!$E$452)))=0,"","Contact: "&amp;IF(LEN(INDEX('Dealer pipeline'!$B$4:$B$503,_calc!$E$452))=0,"",INDEX('Dealer pipeline'!$B$4:$B$503,_calc!$E$452))&amp;". ")&amp;IF(LEN(IF(LEN(INDEX('Dealer pipeline'!$D$4:$D$503,_calc!$E$452))=0,"",INDEX('Dealer pipeline'!$D$4:$D$503,_calc!$E$452)))=0,"","Serial: "&amp;IF(LEN(INDEX('Dealer pipeline'!$D$4:$D$503,_calc!$E$452))=0,"",INDEX('Dealer pipeline'!$D$4:$D$503,_calc!$E$452))&amp;". ")&amp;IF(LEN(IF(ISNUMBER(INDEX('Dealer pipeline'!$J$4:$J$503,_calc!$E$452)),TEXT(INDEX('Dealer pipeline'!$J$4:$J$503,_calc!$E$452),"yyyy-mm-dd"),""))=0,"","Parts end: "&amp;IF(ISNUMBER(INDEX('Dealer pipeline'!$J$4:$J$503,_calc!$E$452)),TEXT(INDEX('Dealer pipeline'!$J$4:$J$503,_calc!$E$452),"yyyy-mm-dd"),"")&amp;". ")&amp;IF(LEN(IF(ISNUMBER(INDEX('Dealer pipeline'!$L$4:$L$503,_calc!$E$452)),TEXT(INDEX('Dealer pipeline'!$L$4:$L$503,_calc!$E$452),"yyyy-mm-dd"),""))=0,"","Labor end: "&amp;IF(ISNUMBER(INDEX('Dealer pipeline'!$L$4:$L$503,_calc!$E$452)),TEXT(INDEX('Dealer pipeline'!$L$4:$L$503,_calc!$E$452),"yyyy-mm-dd"),"")&amp;". ")&amp;IF(LEN(IF(LEN(INDEX('Dealer pipeline'!$Q$4:$Q$503,_calc!$E$452))=0,"",INDEX('Dealer pipeline'!$Q$4:$Q$503,_calc!$E$452)))=0,"","Status: "&amp;IF(LEN(INDEX('Dealer pipeline'!$Q$4:$Q$503,_calc!$E$452))=0,"",INDEX('Dealer pipeline'!$Q$4:$Q$503,_calc!$E$452))&amp;". ")&amp;IF(LEN(IF(LEN(INDEX('Dealer pipeline'!$P$4:$P$503,_calc!$E$452))=0,"",INDEX('Dealer pipeline'!$P$4:$P$503,_calc!$E$452)))=0,"","Last touch: "&amp;IF(LEN(INDEX('Dealer pipeline'!$P$4:$P$503,_calc!$E$452))=0,"",INDEX('Dealer pipeline'!$P$4:$P$503,_calc!$E$452))&amp;". ")&amp;IF(LEN(IF(LEN(INDEX('Dealer pipeline'!$R$4:$R$503,_calc!$E$452))=0,"",INDEX('Dealer pipeline'!$R$4:$R$503,_calc!$E$452)))=0,"","Owner: "&amp;IF(LEN(INDEX('Dealer pipeline'!$R$4:$R$503,_calc!$E$452))=0,"",INDEX('Dealer pipeline'!$R$4:$R$503,_calc!$E$452))&amp;". ")&amp;IF(LEN(IF(LEN(INDEX('Dealer pipeline'!$S$4:$S$503,_calc!$E$452))=0,"",INDEX('Dealer pipeline'!$S$4:$S$503,_calc!$E$452)))=0,"","Backup: "&amp;IF(LEN(INDEX('Dealer pipeline'!$S$4:$S$503,_calc!$E$452))=0,"",INDEX('Dealer pipeline'!$S$4:$S$503,_calc!$E$452))&amp;". ")&amp;IF(LEN(IF(LEN(INDEX('Dealer pipeline'!$T$4:$T$503,_calc!$E$452))=0,"",INDEX('Dealer pipeline'!$T$4:$T$503,_calc!$E$452)))=0,"",IF(LEN(INDEX('Dealer pipeline'!$T$4:$T$503,_calc!$E$452))=0,"",INDEX('Dealer pipeline'!$T$4:$T$503,_calc!$E$452)))),TRIM(IF(LEN(IF(LEN(INDEX('My equipment'!$C$4:$C$503,(_calc!$E$452-500)))=0,"",INDEX('My equipment'!$C$4:$C$503,(_calc!$E$452-500))))=0,"","Model: "&amp;IF(LEN(INDEX('My equipment'!$C$4:$C$503,(_calc!$E$452-500)))=0,"",INDEX('My equipment'!$C$4:$C$503,(_calc!$E$452-500)))&amp;". ")&amp;IF(LEN(IF(LEN(INDEX('My equipment'!$D$4:$D$503,(_calc!$E$452-500)))=0,"",INDEX('My equipment'!$D$4:$D$503,(_calc!$E$452-500))))=0,"","Serial: "&amp;IF(LEN(INDEX('My equipment'!$D$4:$D$503,(_calc!$E$452-500)))=0,"",INDEX('My equipment'!$D$4:$D$503,(_calc!$E$452-500)))&amp;". ")&amp;IF(LEN(IF(ISNUMBER(INDEX('My equipment'!$J$4:$J$503,(_calc!$E$452-500))),TEXT(INDEX('My equipment'!$J$4:$J$503,(_calc!$E$452-500)),"yyyy-mm-dd"),""))=0,"","Parts end: "&amp;IF(ISNUMBER(INDEX('My equipment'!$J$4:$J$503,(_calc!$E$452-500))),TEXT(INDEX('My equipment'!$J$4:$J$503,(_calc!$E$452-500)),"yyyy-mm-dd"),"")&amp;". ")&amp;IF(LEN(IF(ISNUMBER(INDEX('My equipment'!$L$4:$L$503,(_calc!$E$452-500))),TEXT(INDEX('My equipment'!$L$4:$L$503,(_calc!$E$452-500)),"yyyy-mm-dd"),""))=0,"","Labor end: "&amp;IF(ISNUMBER(INDEX('My equipment'!$L$4:$L$503,(_calc!$E$452-500))),TEXT(INDEX('My equipment'!$L$4:$L$503,(_calc!$E$452-500)),"yyyy-mm-dd"),"")&amp;". ")&amp;IF(LEN(IF(ISNUMBER(INDEX('My equipment'!$P$4:$P$503,(_calc!$E$452-500))),TEXT(INDEX('My equipment'!$P$4:$P$503,(_calc!$E$452-500)),"yyyy-mm-dd"),""))=0,"","Check by: "&amp;IF(ISNUMBER(INDEX('My equipment'!$P$4:$P$503,(_calc!$E$452-500))),TEXT(INDEX('My equipment'!$P$4:$P$503,(_calc!$E$452-500)),"yyyy-mm-dd"),"")&amp;". ")&amp;IF(LEN(IF(LEN(INDEX('My equipment'!$Q$4:$Q$503,(_calc!$E$452-500)))=0,"",INDEX('My equipment'!$Q$4:$Q$503,(_calc!$E$452-500))))=0,"","Claim status: "&amp;IF(LEN(INDEX('My equipment'!$Q$4:$Q$503,(_calc!$E$452-500)))=0,"",INDEX('My equipment'!$Q$4:$Q$503,(_calc!$E$452-500)))&amp;". ")&amp;IF(LEN(IF(LEN(INDEX('My equipment'!$R$4:$R$503,(_calc!$E$452-500)))=0,"",INDEX('My equipment'!$R$4:$R$503,(_calc!$E$452-500))))=0,"","Claims contact: "&amp;IF(LEN(INDEX('My equipment'!$R$4:$R$503,(_calc!$E$452-500)))=0,"",INDEX('My equipment'!$R$4:$R$503,(_calc!$E$452-500)))&amp;". ")&amp;IF(LEN(IF(LEN(INDEX('My equipment'!$S$4:$S$503,(_calc!$E$452-500)))=0,"",INDEX('My equipment'!$S$4:$S$503,(_calc!$E$452-500))))=0,"","Claims email: "&amp;IF(LEN(INDEX('My equipment'!$S$4:$S$503,(_calc!$E$452-500)))=0,"",INDEX('My equipment'!$S$4:$S$503,(_calc!$E$452-500)))&amp;". ")&amp;IF(LEN(IF(LEN(INDEX('My equipment'!$U$4:$U$503,(_calc!$E$452-500)))=0,"",INDEX('My equipment'!$U$4:$U$503,(_calc!$E$452-500))))=0,"","Registered: "&amp;IF(LEN(INDEX('My equipment'!$U$4:$U$503,(_calc!$E$452-500)))=0,"",INDEX('My equipment'!$U$4:$U$503,(_calc!$E$452-500)))&amp;". ")&amp;IF(LEN(IF(LEN(INDEX('My equipment'!$V$4:$V$503,(_calc!$E$452-500)))=0,"",INDEX('My equipment'!$V$4:$V$503,(_calc!$E$452-500))))=0,"","Proof on file: "&amp;IF(LEN(INDEX('My equipment'!$V$4:$V$503,(_calc!$E$452-500)))=0,"",INDEX('My equipment'!$V$4:$V$503,(_calc!$E$452-500)))&amp;". ")&amp;IF(LEN(IF(LEN(INDEX('My equipment'!$W$4:$W$503,(_calc!$E$452-500)))=0,"",INDEX('My equipment'!$W$4:$W$503,(_calc!$E$452-500))))=0,"","Claim ref: "&amp;IF(LEN(INDEX('My equipment'!$W$4:$W$503,(_calc!$E$452-500)))=0,"",INDEX('My equipment'!$W$4:$W$503,(_calc!$E$452-500)))&amp;". ")&amp;IF(LEN(IF(LEN(INDEX('My equipment'!$Y$4:$Y$503,(_calc!$E$452-500)))=0,"",INDEX('My equipment'!$Y$4:$Y$503,(_calc!$E$452-500))))=0,"",IF(LEN(INDEX('My equipment'!$Y$4:$Y$503,(_calc!$E$452-500)))=0,"",INDEX('My equipment'!$Y$4:$Y$503,(_calc!$E$452-500)))))))</f>
        <v/>
      </c>
      <c r="G450" s="54">
        <f>IF(_calc!$E$452="","",IF(_calc!$E$452&lt;=500,"",IF(LEN(INDEX('My equipment'!$X$4:$X$503,(_calc!$E$452-500)))=0,"",INDEX('My equipment'!$X$4:$X$503,(_calc!$E$452-500)))))</f>
        <v/>
      </c>
      <c r="K450" s="54">
        <f>IF(_calc!$E$452="","",IF(_calc!$E$452&lt;=500,"",IF(LEN(INDEX('My equipment'!$T$4:$T$503,(_calc!$E$452-500)))=0,"",INDEX('My equipment'!$T$4:$T$503,(_calc!$E$452-500)))))</f>
        <v/>
      </c>
    </row>
    <row r="451">
      <c r="A451" s="54">
        <f>IF(_calc!$E$453="","",IF(_calc!$E$453&lt;=500,"Warranty – "&amp;IF(LEN(INDEX('Dealer pipeline'!$C$4:$C$503,_calc!$E$453))=0,"",INDEX('Dealer pipeline'!$C$4:$C$503,_calc!$E$453))&amp;" – "&amp;IF(LEN(INDEX('Dealer pipeline'!$D$4:$D$503,_calc!$E$453))=0,"",INDEX('Dealer pipeline'!$D$4:$D$503,_calc!$E$453))&amp;" – "&amp;IF(LEN(INDEX('Dealer pipeline'!$A$4:$A$503,_calc!$E$453))=0,"",INDEX('Dealer pipeline'!$A$4:$A$503,_calc!$E$453)),"Warranty – "&amp;IF(LEN(INDEX('My equipment'!$A$4:$A$503,(_calc!$E$453-500)))=0,"",INDEX('My equipment'!$A$4:$A$503,(_calc!$E$453-500)))&amp;" – "&amp;IF(LEN(INDEX('My equipment'!$D$4:$D$503,(_calc!$E$453-500)))=0,"",INDEX('My equipment'!$D$4:$D$503,(_calc!$E$453-500)))))</f>
        <v/>
      </c>
      <c r="B451" s="54">
        <f>IF(_calc!$E$453="","",IF(_calc!$E$453&lt;=500,IF(ISNUMBER(INDEX('Dealer pipeline'!$M$4:$M$503,_calc!$E$453)),TEXT(INDEX('Dealer pipeline'!$M$4:$M$503,_calc!$E$453),"yyyy-mm-dd"),""),IF(ISNUMBER(INDEX('My equipment'!$M$4:$M$503,(_calc!$E$453-500))),TEXT(INDEX('My equipment'!$M$4:$M$503,(_calc!$E$453-500)),"yyyy-mm-dd"),"")))</f>
        <v/>
      </c>
      <c r="C451" s="54">
        <f>IF(_calc!$E$453="","",IF(_calc!$E$453&lt;=500,"Warranty","Warranty"))</f>
        <v/>
      </c>
      <c r="D451" s="54">
        <f>IF(_calc!$E$453="","",IF(_calc!$E$453&lt;=500,IF(ISNUMBER(INDEX('Dealer pipeline'!$H$4:$H$503,_calc!$E$453)),TEXT(INDEX('Dealer pipeline'!$H$4:$H$503,_calc!$E$453),"yyyy-mm-dd"),""),IF(ISNUMBER(INDEX('My equipment'!$H$4:$H$503,(_calc!$E$453-500))),TEXT(INDEX('My equipment'!$H$4:$H$503,(_calc!$E$453-500)),"yyyy-mm-dd"),"")))</f>
        <v/>
      </c>
      <c r="F451" s="54">
        <f>IF(_calc!$E$453="","",IF(_calc!$E$453&lt;=500,TRIM(IF(LEN(IF(LEN(INDEX('Dealer pipeline'!$A$4:$A$503,_calc!$E$453))=0,"",INDEX('Dealer pipeline'!$A$4:$A$503,_calc!$E$453)))=0,"","Customer: "&amp;IF(LEN(INDEX('Dealer pipeline'!$A$4:$A$503,_calc!$E$453))=0,"",INDEX('Dealer pipeline'!$A$4:$A$503,_calc!$E$453))&amp;". ")&amp;IF(LEN(IF(LEN(INDEX('Dealer pipeline'!$B$4:$B$503,_calc!$E$453))=0,"",INDEX('Dealer pipeline'!$B$4:$B$503,_calc!$E$453)))=0,"","Contact: "&amp;IF(LEN(INDEX('Dealer pipeline'!$B$4:$B$503,_calc!$E$453))=0,"",INDEX('Dealer pipeline'!$B$4:$B$503,_calc!$E$453))&amp;". ")&amp;IF(LEN(IF(LEN(INDEX('Dealer pipeline'!$D$4:$D$503,_calc!$E$453))=0,"",INDEX('Dealer pipeline'!$D$4:$D$503,_calc!$E$453)))=0,"","Serial: "&amp;IF(LEN(INDEX('Dealer pipeline'!$D$4:$D$503,_calc!$E$453))=0,"",INDEX('Dealer pipeline'!$D$4:$D$503,_calc!$E$453))&amp;". ")&amp;IF(LEN(IF(ISNUMBER(INDEX('Dealer pipeline'!$J$4:$J$503,_calc!$E$453)),TEXT(INDEX('Dealer pipeline'!$J$4:$J$503,_calc!$E$453),"yyyy-mm-dd"),""))=0,"","Parts end: "&amp;IF(ISNUMBER(INDEX('Dealer pipeline'!$J$4:$J$503,_calc!$E$453)),TEXT(INDEX('Dealer pipeline'!$J$4:$J$503,_calc!$E$453),"yyyy-mm-dd"),"")&amp;". ")&amp;IF(LEN(IF(ISNUMBER(INDEX('Dealer pipeline'!$L$4:$L$503,_calc!$E$453)),TEXT(INDEX('Dealer pipeline'!$L$4:$L$503,_calc!$E$453),"yyyy-mm-dd"),""))=0,"","Labor end: "&amp;IF(ISNUMBER(INDEX('Dealer pipeline'!$L$4:$L$503,_calc!$E$453)),TEXT(INDEX('Dealer pipeline'!$L$4:$L$503,_calc!$E$453),"yyyy-mm-dd"),"")&amp;". ")&amp;IF(LEN(IF(LEN(INDEX('Dealer pipeline'!$Q$4:$Q$503,_calc!$E$453))=0,"",INDEX('Dealer pipeline'!$Q$4:$Q$503,_calc!$E$453)))=0,"","Status: "&amp;IF(LEN(INDEX('Dealer pipeline'!$Q$4:$Q$503,_calc!$E$453))=0,"",INDEX('Dealer pipeline'!$Q$4:$Q$503,_calc!$E$453))&amp;". ")&amp;IF(LEN(IF(LEN(INDEX('Dealer pipeline'!$P$4:$P$503,_calc!$E$453))=0,"",INDEX('Dealer pipeline'!$P$4:$P$503,_calc!$E$453)))=0,"","Last touch: "&amp;IF(LEN(INDEX('Dealer pipeline'!$P$4:$P$503,_calc!$E$453))=0,"",INDEX('Dealer pipeline'!$P$4:$P$503,_calc!$E$453))&amp;". ")&amp;IF(LEN(IF(LEN(INDEX('Dealer pipeline'!$R$4:$R$503,_calc!$E$453))=0,"",INDEX('Dealer pipeline'!$R$4:$R$503,_calc!$E$453)))=0,"","Owner: "&amp;IF(LEN(INDEX('Dealer pipeline'!$R$4:$R$503,_calc!$E$453))=0,"",INDEX('Dealer pipeline'!$R$4:$R$503,_calc!$E$453))&amp;". ")&amp;IF(LEN(IF(LEN(INDEX('Dealer pipeline'!$S$4:$S$503,_calc!$E$453))=0,"",INDEX('Dealer pipeline'!$S$4:$S$503,_calc!$E$453)))=0,"","Backup: "&amp;IF(LEN(INDEX('Dealer pipeline'!$S$4:$S$503,_calc!$E$453))=0,"",INDEX('Dealer pipeline'!$S$4:$S$503,_calc!$E$453))&amp;". ")&amp;IF(LEN(IF(LEN(INDEX('Dealer pipeline'!$T$4:$T$503,_calc!$E$453))=0,"",INDEX('Dealer pipeline'!$T$4:$T$503,_calc!$E$453)))=0,"",IF(LEN(INDEX('Dealer pipeline'!$T$4:$T$503,_calc!$E$453))=0,"",INDEX('Dealer pipeline'!$T$4:$T$503,_calc!$E$453)))),TRIM(IF(LEN(IF(LEN(INDEX('My equipment'!$C$4:$C$503,(_calc!$E$453-500)))=0,"",INDEX('My equipment'!$C$4:$C$503,(_calc!$E$453-500))))=0,"","Model: "&amp;IF(LEN(INDEX('My equipment'!$C$4:$C$503,(_calc!$E$453-500)))=0,"",INDEX('My equipment'!$C$4:$C$503,(_calc!$E$453-500)))&amp;". ")&amp;IF(LEN(IF(LEN(INDEX('My equipment'!$D$4:$D$503,(_calc!$E$453-500)))=0,"",INDEX('My equipment'!$D$4:$D$503,(_calc!$E$453-500))))=0,"","Serial: "&amp;IF(LEN(INDEX('My equipment'!$D$4:$D$503,(_calc!$E$453-500)))=0,"",INDEX('My equipment'!$D$4:$D$503,(_calc!$E$453-500)))&amp;". ")&amp;IF(LEN(IF(ISNUMBER(INDEX('My equipment'!$J$4:$J$503,(_calc!$E$453-500))),TEXT(INDEX('My equipment'!$J$4:$J$503,(_calc!$E$453-500)),"yyyy-mm-dd"),""))=0,"","Parts end: "&amp;IF(ISNUMBER(INDEX('My equipment'!$J$4:$J$503,(_calc!$E$453-500))),TEXT(INDEX('My equipment'!$J$4:$J$503,(_calc!$E$453-500)),"yyyy-mm-dd"),"")&amp;". ")&amp;IF(LEN(IF(ISNUMBER(INDEX('My equipment'!$L$4:$L$503,(_calc!$E$453-500))),TEXT(INDEX('My equipment'!$L$4:$L$503,(_calc!$E$453-500)),"yyyy-mm-dd"),""))=0,"","Labor end: "&amp;IF(ISNUMBER(INDEX('My equipment'!$L$4:$L$503,(_calc!$E$453-500))),TEXT(INDEX('My equipment'!$L$4:$L$503,(_calc!$E$453-500)),"yyyy-mm-dd"),"")&amp;". ")&amp;IF(LEN(IF(ISNUMBER(INDEX('My equipment'!$P$4:$P$503,(_calc!$E$453-500))),TEXT(INDEX('My equipment'!$P$4:$P$503,(_calc!$E$453-500)),"yyyy-mm-dd"),""))=0,"","Check by: "&amp;IF(ISNUMBER(INDEX('My equipment'!$P$4:$P$503,(_calc!$E$453-500))),TEXT(INDEX('My equipment'!$P$4:$P$503,(_calc!$E$453-500)),"yyyy-mm-dd"),"")&amp;". ")&amp;IF(LEN(IF(LEN(INDEX('My equipment'!$Q$4:$Q$503,(_calc!$E$453-500)))=0,"",INDEX('My equipment'!$Q$4:$Q$503,(_calc!$E$453-500))))=0,"","Claim status: "&amp;IF(LEN(INDEX('My equipment'!$Q$4:$Q$503,(_calc!$E$453-500)))=0,"",INDEX('My equipment'!$Q$4:$Q$503,(_calc!$E$453-500)))&amp;". ")&amp;IF(LEN(IF(LEN(INDEX('My equipment'!$R$4:$R$503,(_calc!$E$453-500)))=0,"",INDEX('My equipment'!$R$4:$R$503,(_calc!$E$453-500))))=0,"","Claims contact: "&amp;IF(LEN(INDEX('My equipment'!$R$4:$R$503,(_calc!$E$453-500)))=0,"",INDEX('My equipment'!$R$4:$R$503,(_calc!$E$453-500)))&amp;". ")&amp;IF(LEN(IF(LEN(INDEX('My equipment'!$S$4:$S$503,(_calc!$E$453-500)))=0,"",INDEX('My equipment'!$S$4:$S$503,(_calc!$E$453-500))))=0,"","Claims email: "&amp;IF(LEN(INDEX('My equipment'!$S$4:$S$503,(_calc!$E$453-500)))=0,"",INDEX('My equipment'!$S$4:$S$503,(_calc!$E$453-500)))&amp;". ")&amp;IF(LEN(IF(LEN(INDEX('My equipment'!$U$4:$U$503,(_calc!$E$453-500)))=0,"",INDEX('My equipment'!$U$4:$U$503,(_calc!$E$453-500))))=0,"","Registered: "&amp;IF(LEN(INDEX('My equipment'!$U$4:$U$503,(_calc!$E$453-500)))=0,"",INDEX('My equipment'!$U$4:$U$503,(_calc!$E$453-500)))&amp;". ")&amp;IF(LEN(IF(LEN(INDEX('My equipment'!$V$4:$V$503,(_calc!$E$453-500)))=0,"",INDEX('My equipment'!$V$4:$V$503,(_calc!$E$453-500))))=0,"","Proof on file: "&amp;IF(LEN(INDEX('My equipment'!$V$4:$V$503,(_calc!$E$453-500)))=0,"",INDEX('My equipment'!$V$4:$V$503,(_calc!$E$453-500)))&amp;". ")&amp;IF(LEN(IF(LEN(INDEX('My equipment'!$W$4:$W$503,(_calc!$E$453-500)))=0,"",INDEX('My equipment'!$W$4:$W$503,(_calc!$E$453-500))))=0,"","Claim ref: "&amp;IF(LEN(INDEX('My equipment'!$W$4:$W$503,(_calc!$E$453-500)))=0,"",INDEX('My equipment'!$W$4:$W$503,(_calc!$E$453-500)))&amp;". ")&amp;IF(LEN(IF(LEN(INDEX('My equipment'!$Y$4:$Y$503,(_calc!$E$453-500)))=0,"",INDEX('My equipment'!$Y$4:$Y$503,(_calc!$E$453-500))))=0,"",IF(LEN(INDEX('My equipment'!$Y$4:$Y$503,(_calc!$E$453-500)))=0,"",INDEX('My equipment'!$Y$4:$Y$503,(_calc!$E$453-500)))))))</f>
        <v/>
      </c>
      <c r="G451" s="54">
        <f>IF(_calc!$E$453="","",IF(_calc!$E$453&lt;=500,"",IF(LEN(INDEX('My equipment'!$X$4:$X$503,(_calc!$E$453-500)))=0,"",INDEX('My equipment'!$X$4:$X$503,(_calc!$E$453-500)))))</f>
        <v/>
      </c>
      <c r="K451" s="54">
        <f>IF(_calc!$E$453="","",IF(_calc!$E$453&lt;=500,"",IF(LEN(INDEX('My equipment'!$T$4:$T$503,(_calc!$E$453-500)))=0,"",INDEX('My equipment'!$T$4:$T$503,(_calc!$E$453-500)))))</f>
        <v/>
      </c>
    </row>
    <row r="452">
      <c r="A452" s="54">
        <f>IF(_calc!$E$454="","",IF(_calc!$E$454&lt;=500,"Warranty – "&amp;IF(LEN(INDEX('Dealer pipeline'!$C$4:$C$503,_calc!$E$454))=0,"",INDEX('Dealer pipeline'!$C$4:$C$503,_calc!$E$454))&amp;" – "&amp;IF(LEN(INDEX('Dealer pipeline'!$D$4:$D$503,_calc!$E$454))=0,"",INDEX('Dealer pipeline'!$D$4:$D$503,_calc!$E$454))&amp;" – "&amp;IF(LEN(INDEX('Dealer pipeline'!$A$4:$A$503,_calc!$E$454))=0,"",INDEX('Dealer pipeline'!$A$4:$A$503,_calc!$E$454)),"Warranty – "&amp;IF(LEN(INDEX('My equipment'!$A$4:$A$503,(_calc!$E$454-500)))=0,"",INDEX('My equipment'!$A$4:$A$503,(_calc!$E$454-500)))&amp;" – "&amp;IF(LEN(INDEX('My equipment'!$D$4:$D$503,(_calc!$E$454-500)))=0,"",INDEX('My equipment'!$D$4:$D$503,(_calc!$E$454-500)))))</f>
        <v/>
      </c>
      <c r="B452" s="54">
        <f>IF(_calc!$E$454="","",IF(_calc!$E$454&lt;=500,IF(ISNUMBER(INDEX('Dealer pipeline'!$M$4:$M$503,_calc!$E$454)),TEXT(INDEX('Dealer pipeline'!$M$4:$M$503,_calc!$E$454),"yyyy-mm-dd"),""),IF(ISNUMBER(INDEX('My equipment'!$M$4:$M$503,(_calc!$E$454-500))),TEXT(INDEX('My equipment'!$M$4:$M$503,(_calc!$E$454-500)),"yyyy-mm-dd"),"")))</f>
        <v/>
      </c>
      <c r="C452" s="54">
        <f>IF(_calc!$E$454="","",IF(_calc!$E$454&lt;=500,"Warranty","Warranty"))</f>
        <v/>
      </c>
      <c r="D452" s="54">
        <f>IF(_calc!$E$454="","",IF(_calc!$E$454&lt;=500,IF(ISNUMBER(INDEX('Dealer pipeline'!$H$4:$H$503,_calc!$E$454)),TEXT(INDEX('Dealer pipeline'!$H$4:$H$503,_calc!$E$454),"yyyy-mm-dd"),""),IF(ISNUMBER(INDEX('My equipment'!$H$4:$H$503,(_calc!$E$454-500))),TEXT(INDEX('My equipment'!$H$4:$H$503,(_calc!$E$454-500)),"yyyy-mm-dd"),"")))</f>
        <v/>
      </c>
      <c r="F452" s="54">
        <f>IF(_calc!$E$454="","",IF(_calc!$E$454&lt;=500,TRIM(IF(LEN(IF(LEN(INDEX('Dealer pipeline'!$A$4:$A$503,_calc!$E$454))=0,"",INDEX('Dealer pipeline'!$A$4:$A$503,_calc!$E$454)))=0,"","Customer: "&amp;IF(LEN(INDEX('Dealer pipeline'!$A$4:$A$503,_calc!$E$454))=0,"",INDEX('Dealer pipeline'!$A$4:$A$503,_calc!$E$454))&amp;". ")&amp;IF(LEN(IF(LEN(INDEX('Dealer pipeline'!$B$4:$B$503,_calc!$E$454))=0,"",INDEX('Dealer pipeline'!$B$4:$B$503,_calc!$E$454)))=0,"","Contact: "&amp;IF(LEN(INDEX('Dealer pipeline'!$B$4:$B$503,_calc!$E$454))=0,"",INDEX('Dealer pipeline'!$B$4:$B$503,_calc!$E$454))&amp;". ")&amp;IF(LEN(IF(LEN(INDEX('Dealer pipeline'!$D$4:$D$503,_calc!$E$454))=0,"",INDEX('Dealer pipeline'!$D$4:$D$503,_calc!$E$454)))=0,"","Serial: "&amp;IF(LEN(INDEX('Dealer pipeline'!$D$4:$D$503,_calc!$E$454))=0,"",INDEX('Dealer pipeline'!$D$4:$D$503,_calc!$E$454))&amp;". ")&amp;IF(LEN(IF(ISNUMBER(INDEX('Dealer pipeline'!$J$4:$J$503,_calc!$E$454)),TEXT(INDEX('Dealer pipeline'!$J$4:$J$503,_calc!$E$454),"yyyy-mm-dd"),""))=0,"","Parts end: "&amp;IF(ISNUMBER(INDEX('Dealer pipeline'!$J$4:$J$503,_calc!$E$454)),TEXT(INDEX('Dealer pipeline'!$J$4:$J$503,_calc!$E$454),"yyyy-mm-dd"),"")&amp;". ")&amp;IF(LEN(IF(ISNUMBER(INDEX('Dealer pipeline'!$L$4:$L$503,_calc!$E$454)),TEXT(INDEX('Dealer pipeline'!$L$4:$L$503,_calc!$E$454),"yyyy-mm-dd"),""))=0,"","Labor end: "&amp;IF(ISNUMBER(INDEX('Dealer pipeline'!$L$4:$L$503,_calc!$E$454)),TEXT(INDEX('Dealer pipeline'!$L$4:$L$503,_calc!$E$454),"yyyy-mm-dd"),"")&amp;". ")&amp;IF(LEN(IF(LEN(INDEX('Dealer pipeline'!$Q$4:$Q$503,_calc!$E$454))=0,"",INDEX('Dealer pipeline'!$Q$4:$Q$503,_calc!$E$454)))=0,"","Status: "&amp;IF(LEN(INDEX('Dealer pipeline'!$Q$4:$Q$503,_calc!$E$454))=0,"",INDEX('Dealer pipeline'!$Q$4:$Q$503,_calc!$E$454))&amp;". ")&amp;IF(LEN(IF(LEN(INDEX('Dealer pipeline'!$P$4:$P$503,_calc!$E$454))=0,"",INDEX('Dealer pipeline'!$P$4:$P$503,_calc!$E$454)))=0,"","Last touch: "&amp;IF(LEN(INDEX('Dealer pipeline'!$P$4:$P$503,_calc!$E$454))=0,"",INDEX('Dealer pipeline'!$P$4:$P$503,_calc!$E$454))&amp;". ")&amp;IF(LEN(IF(LEN(INDEX('Dealer pipeline'!$R$4:$R$503,_calc!$E$454))=0,"",INDEX('Dealer pipeline'!$R$4:$R$503,_calc!$E$454)))=0,"","Owner: "&amp;IF(LEN(INDEX('Dealer pipeline'!$R$4:$R$503,_calc!$E$454))=0,"",INDEX('Dealer pipeline'!$R$4:$R$503,_calc!$E$454))&amp;". ")&amp;IF(LEN(IF(LEN(INDEX('Dealer pipeline'!$S$4:$S$503,_calc!$E$454))=0,"",INDEX('Dealer pipeline'!$S$4:$S$503,_calc!$E$454)))=0,"","Backup: "&amp;IF(LEN(INDEX('Dealer pipeline'!$S$4:$S$503,_calc!$E$454))=0,"",INDEX('Dealer pipeline'!$S$4:$S$503,_calc!$E$454))&amp;". ")&amp;IF(LEN(IF(LEN(INDEX('Dealer pipeline'!$T$4:$T$503,_calc!$E$454))=0,"",INDEX('Dealer pipeline'!$T$4:$T$503,_calc!$E$454)))=0,"",IF(LEN(INDEX('Dealer pipeline'!$T$4:$T$503,_calc!$E$454))=0,"",INDEX('Dealer pipeline'!$T$4:$T$503,_calc!$E$454)))),TRIM(IF(LEN(IF(LEN(INDEX('My equipment'!$C$4:$C$503,(_calc!$E$454-500)))=0,"",INDEX('My equipment'!$C$4:$C$503,(_calc!$E$454-500))))=0,"","Model: "&amp;IF(LEN(INDEX('My equipment'!$C$4:$C$503,(_calc!$E$454-500)))=0,"",INDEX('My equipment'!$C$4:$C$503,(_calc!$E$454-500)))&amp;". ")&amp;IF(LEN(IF(LEN(INDEX('My equipment'!$D$4:$D$503,(_calc!$E$454-500)))=0,"",INDEX('My equipment'!$D$4:$D$503,(_calc!$E$454-500))))=0,"","Serial: "&amp;IF(LEN(INDEX('My equipment'!$D$4:$D$503,(_calc!$E$454-500)))=0,"",INDEX('My equipment'!$D$4:$D$503,(_calc!$E$454-500)))&amp;". ")&amp;IF(LEN(IF(ISNUMBER(INDEX('My equipment'!$J$4:$J$503,(_calc!$E$454-500))),TEXT(INDEX('My equipment'!$J$4:$J$503,(_calc!$E$454-500)),"yyyy-mm-dd"),""))=0,"","Parts end: "&amp;IF(ISNUMBER(INDEX('My equipment'!$J$4:$J$503,(_calc!$E$454-500))),TEXT(INDEX('My equipment'!$J$4:$J$503,(_calc!$E$454-500)),"yyyy-mm-dd"),"")&amp;". ")&amp;IF(LEN(IF(ISNUMBER(INDEX('My equipment'!$L$4:$L$503,(_calc!$E$454-500))),TEXT(INDEX('My equipment'!$L$4:$L$503,(_calc!$E$454-500)),"yyyy-mm-dd"),""))=0,"","Labor end: "&amp;IF(ISNUMBER(INDEX('My equipment'!$L$4:$L$503,(_calc!$E$454-500))),TEXT(INDEX('My equipment'!$L$4:$L$503,(_calc!$E$454-500)),"yyyy-mm-dd"),"")&amp;". ")&amp;IF(LEN(IF(ISNUMBER(INDEX('My equipment'!$P$4:$P$503,(_calc!$E$454-500))),TEXT(INDEX('My equipment'!$P$4:$P$503,(_calc!$E$454-500)),"yyyy-mm-dd"),""))=0,"","Check by: "&amp;IF(ISNUMBER(INDEX('My equipment'!$P$4:$P$503,(_calc!$E$454-500))),TEXT(INDEX('My equipment'!$P$4:$P$503,(_calc!$E$454-500)),"yyyy-mm-dd"),"")&amp;". ")&amp;IF(LEN(IF(LEN(INDEX('My equipment'!$Q$4:$Q$503,(_calc!$E$454-500)))=0,"",INDEX('My equipment'!$Q$4:$Q$503,(_calc!$E$454-500))))=0,"","Claim status: "&amp;IF(LEN(INDEX('My equipment'!$Q$4:$Q$503,(_calc!$E$454-500)))=0,"",INDEX('My equipment'!$Q$4:$Q$503,(_calc!$E$454-500)))&amp;". ")&amp;IF(LEN(IF(LEN(INDEX('My equipment'!$R$4:$R$503,(_calc!$E$454-500)))=0,"",INDEX('My equipment'!$R$4:$R$503,(_calc!$E$454-500))))=0,"","Claims contact: "&amp;IF(LEN(INDEX('My equipment'!$R$4:$R$503,(_calc!$E$454-500)))=0,"",INDEX('My equipment'!$R$4:$R$503,(_calc!$E$454-500)))&amp;". ")&amp;IF(LEN(IF(LEN(INDEX('My equipment'!$S$4:$S$503,(_calc!$E$454-500)))=0,"",INDEX('My equipment'!$S$4:$S$503,(_calc!$E$454-500))))=0,"","Claims email: "&amp;IF(LEN(INDEX('My equipment'!$S$4:$S$503,(_calc!$E$454-500)))=0,"",INDEX('My equipment'!$S$4:$S$503,(_calc!$E$454-500)))&amp;". ")&amp;IF(LEN(IF(LEN(INDEX('My equipment'!$U$4:$U$503,(_calc!$E$454-500)))=0,"",INDEX('My equipment'!$U$4:$U$503,(_calc!$E$454-500))))=0,"","Registered: "&amp;IF(LEN(INDEX('My equipment'!$U$4:$U$503,(_calc!$E$454-500)))=0,"",INDEX('My equipment'!$U$4:$U$503,(_calc!$E$454-500)))&amp;". ")&amp;IF(LEN(IF(LEN(INDEX('My equipment'!$V$4:$V$503,(_calc!$E$454-500)))=0,"",INDEX('My equipment'!$V$4:$V$503,(_calc!$E$454-500))))=0,"","Proof on file: "&amp;IF(LEN(INDEX('My equipment'!$V$4:$V$503,(_calc!$E$454-500)))=0,"",INDEX('My equipment'!$V$4:$V$503,(_calc!$E$454-500)))&amp;". ")&amp;IF(LEN(IF(LEN(INDEX('My equipment'!$W$4:$W$503,(_calc!$E$454-500)))=0,"",INDEX('My equipment'!$W$4:$W$503,(_calc!$E$454-500))))=0,"","Claim ref: "&amp;IF(LEN(INDEX('My equipment'!$W$4:$W$503,(_calc!$E$454-500)))=0,"",INDEX('My equipment'!$W$4:$W$503,(_calc!$E$454-500)))&amp;". ")&amp;IF(LEN(IF(LEN(INDEX('My equipment'!$Y$4:$Y$503,(_calc!$E$454-500)))=0,"",INDEX('My equipment'!$Y$4:$Y$503,(_calc!$E$454-500))))=0,"",IF(LEN(INDEX('My equipment'!$Y$4:$Y$503,(_calc!$E$454-500)))=0,"",INDEX('My equipment'!$Y$4:$Y$503,(_calc!$E$454-500)))))))</f>
        <v/>
      </c>
      <c r="G452" s="54">
        <f>IF(_calc!$E$454="","",IF(_calc!$E$454&lt;=500,"",IF(LEN(INDEX('My equipment'!$X$4:$X$503,(_calc!$E$454-500)))=0,"",INDEX('My equipment'!$X$4:$X$503,(_calc!$E$454-500)))))</f>
        <v/>
      </c>
      <c r="K452" s="54">
        <f>IF(_calc!$E$454="","",IF(_calc!$E$454&lt;=500,"",IF(LEN(INDEX('My equipment'!$T$4:$T$503,(_calc!$E$454-500)))=0,"",INDEX('My equipment'!$T$4:$T$503,(_calc!$E$454-500)))))</f>
        <v/>
      </c>
    </row>
    <row r="453">
      <c r="A453" s="54">
        <f>IF(_calc!$E$455="","",IF(_calc!$E$455&lt;=500,"Warranty – "&amp;IF(LEN(INDEX('Dealer pipeline'!$C$4:$C$503,_calc!$E$455))=0,"",INDEX('Dealer pipeline'!$C$4:$C$503,_calc!$E$455))&amp;" – "&amp;IF(LEN(INDEX('Dealer pipeline'!$D$4:$D$503,_calc!$E$455))=0,"",INDEX('Dealer pipeline'!$D$4:$D$503,_calc!$E$455))&amp;" – "&amp;IF(LEN(INDEX('Dealer pipeline'!$A$4:$A$503,_calc!$E$455))=0,"",INDEX('Dealer pipeline'!$A$4:$A$503,_calc!$E$455)),"Warranty – "&amp;IF(LEN(INDEX('My equipment'!$A$4:$A$503,(_calc!$E$455-500)))=0,"",INDEX('My equipment'!$A$4:$A$503,(_calc!$E$455-500)))&amp;" – "&amp;IF(LEN(INDEX('My equipment'!$D$4:$D$503,(_calc!$E$455-500)))=0,"",INDEX('My equipment'!$D$4:$D$503,(_calc!$E$455-500)))))</f>
        <v/>
      </c>
      <c r="B453" s="54">
        <f>IF(_calc!$E$455="","",IF(_calc!$E$455&lt;=500,IF(ISNUMBER(INDEX('Dealer pipeline'!$M$4:$M$503,_calc!$E$455)),TEXT(INDEX('Dealer pipeline'!$M$4:$M$503,_calc!$E$455),"yyyy-mm-dd"),""),IF(ISNUMBER(INDEX('My equipment'!$M$4:$M$503,(_calc!$E$455-500))),TEXT(INDEX('My equipment'!$M$4:$M$503,(_calc!$E$455-500)),"yyyy-mm-dd"),"")))</f>
        <v/>
      </c>
      <c r="C453" s="54">
        <f>IF(_calc!$E$455="","",IF(_calc!$E$455&lt;=500,"Warranty","Warranty"))</f>
        <v/>
      </c>
      <c r="D453" s="54">
        <f>IF(_calc!$E$455="","",IF(_calc!$E$455&lt;=500,IF(ISNUMBER(INDEX('Dealer pipeline'!$H$4:$H$503,_calc!$E$455)),TEXT(INDEX('Dealer pipeline'!$H$4:$H$503,_calc!$E$455),"yyyy-mm-dd"),""),IF(ISNUMBER(INDEX('My equipment'!$H$4:$H$503,(_calc!$E$455-500))),TEXT(INDEX('My equipment'!$H$4:$H$503,(_calc!$E$455-500)),"yyyy-mm-dd"),"")))</f>
        <v/>
      </c>
      <c r="F453" s="54">
        <f>IF(_calc!$E$455="","",IF(_calc!$E$455&lt;=500,TRIM(IF(LEN(IF(LEN(INDEX('Dealer pipeline'!$A$4:$A$503,_calc!$E$455))=0,"",INDEX('Dealer pipeline'!$A$4:$A$503,_calc!$E$455)))=0,"","Customer: "&amp;IF(LEN(INDEX('Dealer pipeline'!$A$4:$A$503,_calc!$E$455))=0,"",INDEX('Dealer pipeline'!$A$4:$A$503,_calc!$E$455))&amp;". ")&amp;IF(LEN(IF(LEN(INDEX('Dealer pipeline'!$B$4:$B$503,_calc!$E$455))=0,"",INDEX('Dealer pipeline'!$B$4:$B$503,_calc!$E$455)))=0,"","Contact: "&amp;IF(LEN(INDEX('Dealer pipeline'!$B$4:$B$503,_calc!$E$455))=0,"",INDEX('Dealer pipeline'!$B$4:$B$503,_calc!$E$455))&amp;". ")&amp;IF(LEN(IF(LEN(INDEX('Dealer pipeline'!$D$4:$D$503,_calc!$E$455))=0,"",INDEX('Dealer pipeline'!$D$4:$D$503,_calc!$E$455)))=0,"","Serial: "&amp;IF(LEN(INDEX('Dealer pipeline'!$D$4:$D$503,_calc!$E$455))=0,"",INDEX('Dealer pipeline'!$D$4:$D$503,_calc!$E$455))&amp;". ")&amp;IF(LEN(IF(ISNUMBER(INDEX('Dealer pipeline'!$J$4:$J$503,_calc!$E$455)),TEXT(INDEX('Dealer pipeline'!$J$4:$J$503,_calc!$E$455),"yyyy-mm-dd"),""))=0,"","Parts end: "&amp;IF(ISNUMBER(INDEX('Dealer pipeline'!$J$4:$J$503,_calc!$E$455)),TEXT(INDEX('Dealer pipeline'!$J$4:$J$503,_calc!$E$455),"yyyy-mm-dd"),"")&amp;". ")&amp;IF(LEN(IF(ISNUMBER(INDEX('Dealer pipeline'!$L$4:$L$503,_calc!$E$455)),TEXT(INDEX('Dealer pipeline'!$L$4:$L$503,_calc!$E$455),"yyyy-mm-dd"),""))=0,"","Labor end: "&amp;IF(ISNUMBER(INDEX('Dealer pipeline'!$L$4:$L$503,_calc!$E$455)),TEXT(INDEX('Dealer pipeline'!$L$4:$L$503,_calc!$E$455),"yyyy-mm-dd"),"")&amp;". ")&amp;IF(LEN(IF(LEN(INDEX('Dealer pipeline'!$Q$4:$Q$503,_calc!$E$455))=0,"",INDEX('Dealer pipeline'!$Q$4:$Q$503,_calc!$E$455)))=0,"","Status: "&amp;IF(LEN(INDEX('Dealer pipeline'!$Q$4:$Q$503,_calc!$E$455))=0,"",INDEX('Dealer pipeline'!$Q$4:$Q$503,_calc!$E$455))&amp;". ")&amp;IF(LEN(IF(LEN(INDEX('Dealer pipeline'!$P$4:$P$503,_calc!$E$455))=0,"",INDEX('Dealer pipeline'!$P$4:$P$503,_calc!$E$455)))=0,"","Last touch: "&amp;IF(LEN(INDEX('Dealer pipeline'!$P$4:$P$503,_calc!$E$455))=0,"",INDEX('Dealer pipeline'!$P$4:$P$503,_calc!$E$455))&amp;". ")&amp;IF(LEN(IF(LEN(INDEX('Dealer pipeline'!$R$4:$R$503,_calc!$E$455))=0,"",INDEX('Dealer pipeline'!$R$4:$R$503,_calc!$E$455)))=0,"","Owner: "&amp;IF(LEN(INDEX('Dealer pipeline'!$R$4:$R$503,_calc!$E$455))=0,"",INDEX('Dealer pipeline'!$R$4:$R$503,_calc!$E$455))&amp;". ")&amp;IF(LEN(IF(LEN(INDEX('Dealer pipeline'!$S$4:$S$503,_calc!$E$455))=0,"",INDEX('Dealer pipeline'!$S$4:$S$503,_calc!$E$455)))=0,"","Backup: "&amp;IF(LEN(INDEX('Dealer pipeline'!$S$4:$S$503,_calc!$E$455))=0,"",INDEX('Dealer pipeline'!$S$4:$S$503,_calc!$E$455))&amp;". ")&amp;IF(LEN(IF(LEN(INDEX('Dealer pipeline'!$T$4:$T$503,_calc!$E$455))=0,"",INDEX('Dealer pipeline'!$T$4:$T$503,_calc!$E$455)))=0,"",IF(LEN(INDEX('Dealer pipeline'!$T$4:$T$503,_calc!$E$455))=0,"",INDEX('Dealer pipeline'!$T$4:$T$503,_calc!$E$455)))),TRIM(IF(LEN(IF(LEN(INDEX('My equipment'!$C$4:$C$503,(_calc!$E$455-500)))=0,"",INDEX('My equipment'!$C$4:$C$503,(_calc!$E$455-500))))=0,"","Model: "&amp;IF(LEN(INDEX('My equipment'!$C$4:$C$503,(_calc!$E$455-500)))=0,"",INDEX('My equipment'!$C$4:$C$503,(_calc!$E$455-500)))&amp;". ")&amp;IF(LEN(IF(LEN(INDEX('My equipment'!$D$4:$D$503,(_calc!$E$455-500)))=0,"",INDEX('My equipment'!$D$4:$D$503,(_calc!$E$455-500))))=0,"","Serial: "&amp;IF(LEN(INDEX('My equipment'!$D$4:$D$503,(_calc!$E$455-500)))=0,"",INDEX('My equipment'!$D$4:$D$503,(_calc!$E$455-500)))&amp;". ")&amp;IF(LEN(IF(ISNUMBER(INDEX('My equipment'!$J$4:$J$503,(_calc!$E$455-500))),TEXT(INDEX('My equipment'!$J$4:$J$503,(_calc!$E$455-500)),"yyyy-mm-dd"),""))=0,"","Parts end: "&amp;IF(ISNUMBER(INDEX('My equipment'!$J$4:$J$503,(_calc!$E$455-500))),TEXT(INDEX('My equipment'!$J$4:$J$503,(_calc!$E$455-500)),"yyyy-mm-dd"),"")&amp;". ")&amp;IF(LEN(IF(ISNUMBER(INDEX('My equipment'!$L$4:$L$503,(_calc!$E$455-500))),TEXT(INDEX('My equipment'!$L$4:$L$503,(_calc!$E$455-500)),"yyyy-mm-dd"),""))=0,"","Labor end: "&amp;IF(ISNUMBER(INDEX('My equipment'!$L$4:$L$503,(_calc!$E$455-500))),TEXT(INDEX('My equipment'!$L$4:$L$503,(_calc!$E$455-500)),"yyyy-mm-dd"),"")&amp;". ")&amp;IF(LEN(IF(ISNUMBER(INDEX('My equipment'!$P$4:$P$503,(_calc!$E$455-500))),TEXT(INDEX('My equipment'!$P$4:$P$503,(_calc!$E$455-500)),"yyyy-mm-dd"),""))=0,"","Check by: "&amp;IF(ISNUMBER(INDEX('My equipment'!$P$4:$P$503,(_calc!$E$455-500))),TEXT(INDEX('My equipment'!$P$4:$P$503,(_calc!$E$455-500)),"yyyy-mm-dd"),"")&amp;". ")&amp;IF(LEN(IF(LEN(INDEX('My equipment'!$Q$4:$Q$503,(_calc!$E$455-500)))=0,"",INDEX('My equipment'!$Q$4:$Q$503,(_calc!$E$455-500))))=0,"","Claim status: "&amp;IF(LEN(INDEX('My equipment'!$Q$4:$Q$503,(_calc!$E$455-500)))=0,"",INDEX('My equipment'!$Q$4:$Q$503,(_calc!$E$455-500)))&amp;". ")&amp;IF(LEN(IF(LEN(INDEX('My equipment'!$R$4:$R$503,(_calc!$E$455-500)))=0,"",INDEX('My equipment'!$R$4:$R$503,(_calc!$E$455-500))))=0,"","Claims contact: "&amp;IF(LEN(INDEX('My equipment'!$R$4:$R$503,(_calc!$E$455-500)))=0,"",INDEX('My equipment'!$R$4:$R$503,(_calc!$E$455-500)))&amp;". ")&amp;IF(LEN(IF(LEN(INDEX('My equipment'!$S$4:$S$503,(_calc!$E$455-500)))=0,"",INDEX('My equipment'!$S$4:$S$503,(_calc!$E$455-500))))=0,"","Claims email: "&amp;IF(LEN(INDEX('My equipment'!$S$4:$S$503,(_calc!$E$455-500)))=0,"",INDEX('My equipment'!$S$4:$S$503,(_calc!$E$455-500)))&amp;". ")&amp;IF(LEN(IF(LEN(INDEX('My equipment'!$U$4:$U$503,(_calc!$E$455-500)))=0,"",INDEX('My equipment'!$U$4:$U$503,(_calc!$E$455-500))))=0,"","Registered: "&amp;IF(LEN(INDEX('My equipment'!$U$4:$U$503,(_calc!$E$455-500)))=0,"",INDEX('My equipment'!$U$4:$U$503,(_calc!$E$455-500)))&amp;". ")&amp;IF(LEN(IF(LEN(INDEX('My equipment'!$V$4:$V$503,(_calc!$E$455-500)))=0,"",INDEX('My equipment'!$V$4:$V$503,(_calc!$E$455-500))))=0,"","Proof on file: "&amp;IF(LEN(INDEX('My equipment'!$V$4:$V$503,(_calc!$E$455-500)))=0,"",INDEX('My equipment'!$V$4:$V$503,(_calc!$E$455-500)))&amp;". ")&amp;IF(LEN(IF(LEN(INDEX('My equipment'!$W$4:$W$503,(_calc!$E$455-500)))=0,"",INDEX('My equipment'!$W$4:$W$503,(_calc!$E$455-500))))=0,"","Claim ref: "&amp;IF(LEN(INDEX('My equipment'!$W$4:$W$503,(_calc!$E$455-500)))=0,"",INDEX('My equipment'!$W$4:$W$503,(_calc!$E$455-500)))&amp;". ")&amp;IF(LEN(IF(LEN(INDEX('My equipment'!$Y$4:$Y$503,(_calc!$E$455-500)))=0,"",INDEX('My equipment'!$Y$4:$Y$503,(_calc!$E$455-500))))=0,"",IF(LEN(INDEX('My equipment'!$Y$4:$Y$503,(_calc!$E$455-500)))=0,"",INDEX('My equipment'!$Y$4:$Y$503,(_calc!$E$455-500)))))))</f>
        <v/>
      </c>
      <c r="G453" s="54">
        <f>IF(_calc!$E$455="","",IF(_calc!$E$455&lt;=500,"",IF(LEN(INDEX('My equipment'!$X$4:$X$503,(_calc!$E$455-500)))=0,"",INDEX('My equipment'!$X$4:$X$503,(_calc!$E$455-500)))))</f>
        <v/>
      </c>
      <c r="K453" s="54">
        <f>IF(_calc!$E$455="","",IF(_calc!$E$455&lt;=500,"",IF(LEN(INDEX('My equipment'!$T$4:$T$503,(_calc!$E$455-500)))=0,"",INDEX('My equipment'!$T$4:$T$503,(_calc!$E$455-500)))))</f>
        <v/>
      </c>
    </row>
    <row r="454">
      <c r="A454" s="54">
        <f>IF(_calc!$E$456="","",IF(_calc!$E$456&lt;=500,"Warranty – "&amp;IF(LEN(INDEX('Dealer pipeline'!$C$4:$C$503,_calc!$E$456))=0,"",INDEX('Dealer pipeline'!$C$4:$C$503,_calc!$E$456))&amp;" – "&amp;IF(LEN(INDEX('Dealer pipeline'!$D$4:$D$503,_calc!$E$456))=0,"",INDEX('Dealer pipeline'!$D$4:$D$503,_calc!$E$456))&amp;" – "&amp;IF(LEN(INDEX('Dealer pipeline'!$A$4:$A$503,_calc!$E$456))=0,"",INDEX('Dealer pipeline'!$A$4:$A$503,_calc!$E$456)),"Warranty – "&amp;IF(LEN(INDEX('My equipment'!$A$4:$A$503,(_calc!$E$456-500)))=0,"",INDEX('My equipment'!$A$4:$A$503,(_calc!$E$456-500)))&amp;" – "&amp;IF(LEN(INDEX('My equipment'!$D$4:$D$503,(_calc!$E$456-500)))=0,"",INDEX('My equipment'!$D$4:$D$503,(_calc!$E$456-500)))))</f>
        <v/>
      </c>
      <c r="B454" s="54">
        <f>IF(_calc!$E$456="","",IF(_calc!$E$456&lt;=500,IF(ISNUMBER(INDEX('Dealer pipeline'!$M$4:$M$503,_calc!$E$456)),TEXT(INDEX('Dealer pipeline'!$M$4:$M$503,_calc!$E$456),"yyyy-mm-dd"),""),IF(ISNUMBER(INDEX('My equipment'!$M$4:$M$503,(_calc!$E$456-500))),TEXT(INDEX('My equipment'!$M$4:$M$503,(_calc!$E$456-500)),"yyyy-mm-dd"),"")))</f>
        <v/>
      </c>
      <c r="C454" s="54">
        <f>IF(_calc!$E$456="","",IF(_calc!$E$456&lt;=500,"Warranty","Warranty"))</f>
        <v/>
      </c>
      <c r="D454" s="54">
        <f>IF(_calc!$E$456="","",IF(_calc!$E$456&lt;=500,IF(ISNUMBER(INDEX('Dealer pipeline'!$H$4:$H$503,_calc!$E$456)),TEXT(INDEX('Dealer pipeline'!$H$4:$H$503,_calc!$E$456),"yyyy-mm-dd"),""),IF(ISNUMBER(INDEX('My equipment'!$H$4:$H$503,(_calc!$E$456-500))),TEXT(INDEX('My equipment'!$H$4:$H$503,(_calc!$E$456-500)),"yyyy-mm-dd"),"")))</f>
        <v/>
      </c>
      <c r="F454" s="54">
        <f>IF(_calc!$E$456="","",IF(_calc!$E$456&lt;=500,TRIM(IF(LEN(IF(LEN(INDEX('Dealer pipeline'!$A$4:$A$503,_calc!$E$456))=0,"",INDEX('Dealer pipeline'!$A$4:$A$503,_calc!$E$456)))=0,"","Customer: "&amp;IF(LEN(INDEX('Dealer pipeline'!$A$4:$A$503,_calc!$E$456))=0,"",INDEX('Dealer pipeline'!$A$4:$A$503,_calc!$E$456))&amp;". ")&amp;IF(LEN(IF(LEN(INDEX('Dealer pipeline'!$B$4:$B$503,_calc!$E$456))=0,"",INDEX('Dealer pipeline'!$B$4:$B$503,_calc!$E$456)))=0,"","Contact: "&amp;IF(LEN(INDEX('Dealer pipeline'!$B$4:$B$503,_calc!$E$456))=0,"",INDEX('Dealer pipeline'!$B$4:$B$503,_calc!$E$456))&amp;". ")&amp;IF(LEN(IF(LEN(INDEX('Dealer pipeline'!$D$4:$D$503,_calc!$E$456))=0,"",INDEX('Dealer pipeline'!$D$4:$D$503,_calc!$E$456)))=0,"","Serial: "&amp;IF(LEN(INDEX('Dealer pipeline'!$D$4:$D$503,_calc!$E$456))=0,"",INDEX('Dealer pipeline'!$D$4:$D$503,_calc!$E$456))&amp;". ")&amp;IF(LEN(IF(ISNUMBER(INDEX('Dealer pipeline'!$J$4:$J$503,_calc!$E$456)),TEXT(INDEX('Dealer pipeline'!$J$4:$J$503,_calc!$E$456),"yyyy-mm-dd"),""))=0,"","Parts end: "&amp;IF(ISNUMBER(INDEX('Dealer pipeline'!$J$4:$J$503,_calc!$E$456)),TEXT(INDEX('Dealer pipeline'!$J$4:$J$503,_calc!$E$456),"yyyy-mm-dd"),"")&amp;". ")&amp;IF(LEN(IF(ISNUMBER(INDEX('Dealer pipeline'!$L$4:$L$503,_calc!$E$456)),TEXT(INDEX('Dealer pipeline'!$L$4:$L$503,_calc!$E$456),"yyyy-mm-dd"),""))=0,"","Labor end: "&amp;IF(ISNUMBER(INDEX('Dealer pipeline'!$L$4:$L$503,_calc!$E$456)),TEXT(INDEX('Dealer pipeline'!$L$4:$L$503,_calc!$E$456),"yyyy-mm-dd"),"")&amp;". ")&amp;IF(LEN(IF(LEN(INDEX('Dealer pipeline'!$Q$4:$Q$503,_calc!$E$456))=0,"",INDEX('Dealer pipeline'!$Q$4:$Q$503,_calc!$E$456)))=0,"","Status: "&amp;IF(LEN(INDEX('Dealer pipeline'!$Q$4:$Q$503,_calc!$E$456))=0,"",INDEX('Dealer pipeline'!$Q$4:$Q$503,_calc!$E$456))&amp;". ")&amp;IF(LEN(IF(LEN(INDEX('Dealer pipeline'!$P$4:$P$503,_calc!$E$456))=0,"",INDEX('Dealer pipeline'!$P$4:$P$503,_calc!$E$456)))=0,"","Last touch: "&amp;IF(LEN(INDEX('Dealer pipeline'!$P$4:$P$503,_calc!$E$456))=0,"",INDEX('Dealer pipeline'!$P$4:$P$503,_calc!$E$456))&amp;". ")&amp;IF(LEN(IF(LEN(INDEX('Dealer pipeline'!$R$4:$R$503,_calc!$E$456))=0,"",INDEX('Dealer pipeline'!$R$4:$R$503,_calc!$E$456)))=0,"","Owner: "&amp;IF(LEN(INDEX('Dealer pipeline'!$R$4:$R$503,_calc!$E$456))=0,"",INDEX('Dealer pipeline'!$R$4:$R$503,_calc!$E$456))&amp;". ")&amp;IF(LEN(IF(LEN(INDEX('Dealer pipeline'!$S$4:$S$503,_calc!$E$456))=0,"",INDEX('Dealer pipeline'!$S$4:$S$503,_calc!$E$456)))=0,"","Backup: "&amp;IF(LEN(INDEX('Dealer pipeline'!$S$4:$S$503,_calc!$E$456))=0,"",INDEX('Dealer pipeline'!$S$4:$S$503,_calc!$E$456))&amp;". ")&amp;IF(LEN(IF(LEN(INDEX('Dealer pipeline'!$T$4:$T$503,_calc!$E$456))=0,"",INDEX('Dealer pipeline'!$T$4:$T$503,_calc!$E$456)))=0,"",IF(LEN(INDEX('Dealer pipeline'!$T$4:$T$503,_calc!$E$456))=0,"",INDEX('Dealer pipeline'!$T$4:$T$503,_calc!$E$456)))),TRIM(IF(LEN(IF(LEN(INDEX('My equipment'!$C$4:$C$503,(_calc!$E$456-500)))=0,"",INDEX('My equipment'!$C$4:$C$503,(_calc!$E$456-500))))=0,"","Model: "&amp;IF(LEN(INDEX('My equipment'!$C$4:$C$503,(_calc!$E$456-500)))=0,"",INDEX('My equipment'!$C$4:$C$503,(_calc!$E$456-500)))&amp;". ")&amp;IF(LEN(IF(LEN(INDEX('My equipment'!$D$4:$D$503,(_calc!$E$456-500)))=0,"",INDEX('My equipment'!$D$4:$D$503,(_calc!$E$456-500))))=0,"","Serial: "&amp;IF(LEN(INDEX('My equipment'!$D$4:$D$503,(_calc!$E$456-500)))=0,"",INDEX('My equipment'!$D$4:$D$503,(_calc!$E$456-500)))&amp;". ")&amp;IF(LEN(IF(ISNUMBER(INDEX('My equipment'!$J$4:$J$503,(_calc!$E$456-500))),TEXT(INDEX('My equipment'!$J$4:$J$503,(_calc!$E$456-500)),"yyyy-mm-dd"),""))=0,"","Parts end: "&amp;IF(ISNUMBER(INDEX('My equipment'!$J$4:$J$503,(_calc!$E$456-500))),TEXT(INDEX('My equipment'!$J$4:$J$503,(_calc!$E$456-500)),"yyyy-mm-dd"),"")&amp;". ")&amp;IF(LEN(IF(ISNUMBER(INDEX('My equipment'!$L$4:$L$503,(_calc!$E$456-500))),TEXT(INDEX('My equipment'!$L$4:$L$503,(_calc!$E$456-500)),"yyyy-mm-dd"),""))=0,"","Labor end: "&amp;IF(ISNUMBER(INDEX('My equipment'!$L$4:$L$503,(_calc!$E$456-500))),TEXT(INDEX('My equipment'!$L$4:$L$503,(_calc!$E$456-500)),"yyyy-mm-dd"),"")&amp;". ")&amp;IF(LEN(IF(ISNUMBER(INDEX('My equipment'!$P$4:$P$503,(_calc!$E$456-500))),TEXT(INDEX('My equipment'!$P$4:$P$503,(_calc!$E$456-500)),"yyyy-mm-dd"),""))=0,"","Check by: "&amp;IF(ISNUMBER(INDEX('My equipment'!$P$4:$P$503,(_calc!$E$456-500))),TEXT(INDEX('My equipment'!$P$4:$P$503,(_calc!$E$456-500)),"yyyy-mm-dd"),"")&amp;". ")&amp;IF(LEN(IF(LEN(INDEX('My equipment'!$Q$4:$Q$503,(_calc!$E$456-500)))=0,"",INDEX('My equipment'!$Q$4:$Q$503,(_calc!$E$456-500))))=0,"","Claim status: "&amp;IF(LEN(INDEX('My equipment'!$Q$4:$Q$503,(_calc!$E$456-500)))=0,"",INDEX('My equipment'!$Q$4:$Q$503,(_calc!$E$456-500)))&amp;". ")&amp;IF(LEN(IF(LEN(INDEX('My equipment'!$R$4:$R$503,(_calc!$E$456-500)))=0,"",INDEX('My equipment'!$R$4:$R$503,(_calc!$E$456-500))))=0,"","Claims contact: "&amp;IF(LEN(INDEX('My equipment'!$R$4:$R$503,(_calc!$E$456-500)))=0,"",INDEX('My equipment'!$R$4:$R$503,(_calc!$E$456-500)))&amp;". ")&amp;IF(LEN(IF(LEN(INDEX('My equipment'!$S$4:$S$503,(_calc!$E$456-500)))=0,"",INDEX('My equipment'!$S$4:$S$503,(_calc!$E$456-500))))=0,"","Claims email: "&amp;IF(LEN(INDEX('My equipment'!$S$4:$S$503,(_calc!$E$456-500)))=0,"",INDEX('My equipment'!$S$4:$S$503,(_calc!$E$456-500)))&amp;". ")&amp;IF(LEN(IF(LEN(INDEX('My equipment'!$U$4:$U$503,(_calc!$E$456-500)))=0,"",INDEX('My equipment'!$U$4:$U$503,(_calc!$E$456-500))))=0,"","Registered: "&amp;IF(LEN(INDEX('My equipment'!$U$4:$U$503,(_calc!$E$456-500)))=0,"",INDEX('My equipment'!$U$4:$U$503,(_calc!$E$456-500)))&amp;". ")&amp;IF(LEN(IF(LEN(INDEX('My equipment'!$V$4:$V$503,(_calc!$E$456-500)))=0,"",INDEX('My equipment'!$V$4:$V$503,(_calc!$E$456-500))))=0,"","Proof on file: "&amp;IF(LEN(INDEX('My equipment'!$V$4:$V$503,(_calc!$E$456-500)))=0,"",INDEX('My equipment'!$V$4:$V$503,(_calc!$E$456-500)))&amp;". ")&amp;IF(LEN(IF(LEN(INDEX('My equipment'!$W$4:$W$503,(_calc!$E$456-500)))=0,"",INDEX('My equipment'!$W$4:$W$503,(_calc!$E$456-500))))=0,"","Claim ref: "&amp;IF(LEN(INDEX('My equipment'!$W$4:$W$503,(_calc!$E$456-500)))=0,"",INDEX('My equipment'!$W$4:$W$503,(_calc!$E$456-500)))&amp;". ")&amp;IF(LEN(IF(LEN(INDEX('My equipment'!$Y$4:$Y$503,(_calc!$E$456-500)))=0,"",INDEX('My equipment'!$Y$4:$Y$503,(_calc!$E$456-500))))=0,"",IF(LEN(INDEX('My equipment'!$Y$4:$Y$503,(_calc!$E$456-500)))=0,"",INDEX('My equipment'!$Y$4:$Y$503,(_calc!$E$456-500)))))))</f>
        <v/>
      </c>
      <c r="G454" s="54">
        <f>IF(_calc!$E$456="","",IF(_calc!$E$456&lt;=500,"",IF(LEN(INDEX('My equipment'!$X$4:$X$503,(_calc!$E$456-500)))=0,"",INDEX('My equipment'!$X$4:$X$503,(_calc!$E$456-500)))))</f>
        <v/>
      </c>
      <c r="K454" s="54">
        <f>IF(_calc!$E$456="","",IF(_calc!$E$456&lt;=500,"",IF(LEN(INDEX('My equipment'!$T$4:$T$503,(_calc!$E$456-500)))=0,"",INDEX('My equipment'!$T$4:$T$503,(_calc!$E$456-500)))))</f>
        <v/>
      </c>
    </row>
    <row r="455">
      <c r="A455" s="54">
        <f>IF(_calc!$E$457="","",IF(_calc!$E$457&lt;=500,"Warranty – "&amp;IF(LEN(INDEX('Dealer pipeline'!$C$4:$C$503,_calc!$E$457))=0,"",INDEX('Dealer pipeline'!$C$4:$C$503,_calc!$E$457))&amp;" – "&amp;IF(LEN(INDEX('Dealer pipeline'!$D$4:$D$503,_calc!$E$457))=0,"",INDEX('Dealer pipeline'!$D$4:$D$503,_calc!$E$457))&amp;" – "&amp;IF(LEN(INDEX('Dealer pipeline'!$A$4:$A$503,_calc!$E$457))=0,"",INDEX('Dealer pipeline'!$A$4:$A$503,_calc!$E$457)),"Warranty – "&amp;IF(LEN(INDEX('My equipment'!$A$4:$A$503,(_calc!$E$457-500)))=0,"",INDEX('My equipment'!$A$4:$A$503,(_calc!$E$457-500)))&amp;" – "&amp;IF(LEN(INDEX('My equipment'!$D$4:$D$503,(_calc!$E$457-500)))=0,"",INDEX('My equipment'!$D$4:$D$503,(_calc!$E$457-500)))))</f>
        <v/>
      </c>
      <c r="B455" s="54">
        <f>IF(_calc!$E$457="","",IF(_calc!$E$457&lt;=500,IF(ISNUMBER(INDEX('Dealer pipeline'!$M$4:$M$503,_calc!$E$457)),TEXT(INDEX('Dealer pipeline'!$M$4:$M$503,_calc!$E$457),"yyyy-mm-dd"),""),IF(ISNUMBER(INDEX('My equipment'!$M$4:$M$503,(_calc!$E$457-500))),TEXT(INDEX('My equipment'!$M$4:$M$503,(_calc!$E$457-500)),"yyyy-mm-dd"),"")))</f>
        <v/>
      </c>
      <c r="C455" s="54">
        <f>IF(_calc!$E$457="","",IF(_calc!$E$457&lt;=500,"Warranty","Warranty"))</f>
        <v/>
      </c>
      <c r="D455" s="54">
        <f>IF(_calc!$E$457="","",IF(_calc!$E$457&lt;=500,IF(ISNUMBER(INDEX('Dealer pipeline'!$H$4:$H$503,_calc!$E$457)),TEXT(INDEX('Dealer pipeline'!$H$4:$H$503,_calc!$E$457),"yyyy-mm-dd"),""),IF(ISNUMBER(INDEX('My equipment'!$H$4:$H$503,(_calc!$E$457-500))),TEXT(INDEX('My equipment'!$H$4:$H$503,(_calc!$E$457-500)),"yyyy-mm-dd"),"")))</f>
        <v/>
      </c>
      <c r="F455" s="54">
        <f>IF(_calc!$E$457="","",IF(_calc!$E$457&lt;=500,TRIM(IF(LEN(IF(LEN(INDEX('Dealer pipeline'!$A$4:$A$503,_calc!$E$457))=0,"",INDEX('Dealer pipeline'!$A$4:$A$503,_calc!$E$457)))=0,"","Customer: "&amp;IF(LEN(INDEX('Dealer pipeline'!$A$4:$A$503,_calc!$E$457))=0,"",INDEX('Dealer pipeline'!$A$4:$A$503,_calc!$E$457))&amp;". ")&amp;IF(LEN(IF(LEN(INDEX('Dealer pipeline'!$B$4:$B$503,_calc!$E$457))=0,"",INDEX('Dealer pipeline'!$B$4:$B$503,_calc!$E$457)))=0,"","Contact: "&amp;IF(LEN(INDEX('Dealer pipeline'!$B$4:$B$503,_calc!$E$457))=0,"",INDEX('Dealer pipeline'!$B$4:$B$503,_calc!$E$457))&amp;". ")&amp;IF(LEN(IF(LEN(INDEX('Dealer pipeline'!$D$4:$D$503,_calc!$E$457))=0,"",INDEX('Dealer pipeline'!$D$4:$D$503,_calc!$E$457)))=0,"","Serial: "&amp;IF(LEN(INDEX('Dealer pipeline'!$D$4:$D$503,_calc!$E$457))=0,"",INDEX('Dealer pipeline'!$D$4:$D$503,_calc!$E$457))&amp;". ")&amp;IF(LEN(IF(ISNUMBER(INDEX('Dealer pipeline'!$J$4:$J$503,_calc!$E$457)),TEXT(INDEX('Dealer pipeline'!$J$4:$J$503,_calc!$E$457),"yyyy-mm-dd"),""))=0,"","Parts end: "&amp;IF(ISNUMBER(INDEX('Dealer pipeline'!$J$4:$J$503,_calc!$E$457)),TEXT(INDEX('Dealer pipeline'!$J$4:$J$503,_calc!$E$457),"yyyy-mm-dd"),"")&amp;". ")&amp;IF(LEN(IF(ISNUMBER(INDEX('Dealer pipeline'!$L$4:$L$503,_calc!$E$457)),TEXT(INDEX('Dealer pipeline'!$L$4:$L$503,_calc!$E$457),"yyyy-mm-dd"),""))=0,"","Labor end: "&amp;IF(ISNUMBER(INDEX('Dealer pipeline'!$L$4:$L$503,_calc!$E$457)),TEXT(INDEX('Dealer pipeline'!$L$4:$L$503,_calc!$E$457),"yyyy-mm-dd"),"")&amp;". ")&amp;IF(LEN(IF(LEN(INDEX('Dealer pipeline'!$Q$4:$Q$503,_calc!$E$457))=0,"",INDEX('Dealer pipeline'!$Q$4:$Q$503,_calc!$E$457)))=0,"","Status: "&amp;IF(LEN(INDEX('Dealer pipeline'!$Q$4:$Q$503,_calc!$E$457))=0,"",INDEX('Dealer pipeline'!$Q$4:$Q$503,_calc!$E$457))&amp;". ")&amp;IF(LEN(IF(LEN(INDEX('Dealer pipeline'!$P$4:$P$503,_calc!$E$457))=0,"",INDEX('Dealer pipeline'!$P$4:$P$503,_calc!$E$457)))=0,"","Last touch: "&amp;IF(LEN(INDEX('Dealer pipeline'!$P$4:$P$503,_calc!$E$457))=0,"",INDEX('Dealer pipeline'!$P$4:$P$503,_calc!$E$457))&amp;". ")&amp;IF(LEN(IF(LEN(INDEX('Dealer pipeline'!$R$4:$R$503,_calc!$E$457))=0,"",INDEX('Dealer pipeline'!$R$4:$R$503,_calc!$E$457)))=0,"","Owner: "&amp;IF(LEN(INDEX('Dealer pipeline'!$R$4:$R$503,_calc!$E$457))=0,"",INDEX('Dealer pipeline'!$R$4:$R$503,_calc!$E$457))&amp;". ")&amp;IF(LEN(IF(LEN(INDEX('Dealer pipeline'!$S$4:$S$503,_calc!$E$457))=0,"",INDEX('Dealer pipeline'!$S$4:$S$503,_calc!$E$457)))=0,"","Backup: "&amp;IF(LEN(INDEX('Dealer pipeline'!$S$4:$S$503,_calc!$E$457))=0,"",INDEX('Dealer pipeline'!$S$4:$S$503,_calc!$E$457))&amp;". ")&amp;IF(LEN(IF(LEN(INDEX('Dealer pipeline'!$T$4:$T$503,_calc!$E$457))=0,"",INDEX('Dealer pipeline'!$T$4:$T$503,_calc!$E$457)))=0,"",IF(LEN(INDEX('Dealer pipeline'!$T$4:$T$503,_calc!$E$457))=0,"",INDEX('Dealer pipeline'!$T$4:$T$503,_calc!$E$457)))),TRIM(IF(LEN(IF(LEN(INDEX('My equipment'!$C$4:$C$503,(_calc!$E$457-500)))=0,"",INDEX('My equipment'!$C$4:$C$503,(_calc!$E$457-500))))=0,"","Model: "&amp;IF(LEN(INDEX('My equipment'!$C$4:$C$503,(_calc!$E$457-500)))=0,"",INDEX('My equipment'!$C$4:$C$503,(_calc!$E$457-500)))&amp;". ")&amp;IF(LEN(IF(LEN(INDEX('My equipment'!$D$4:$D$503,(_calc!$E$457-500)))=0,"",INDEX('My equipment'!$D$4:$D$503,(_calc!$E$457-500))))=0,"","Serial: "&amp;IF(LEN(INDEX('My equipment'!$D$4:$D$503,(_calc!$E$457-500)))=0,"",INDEX('My equipment'!$D$4:$D$503,(_calc!$E$457-500)))&amp;". ")&amp;IF(LEN(IF(ISNUMBER(INDEX('My equipment'!$J$4:$J$503,(_calc!$E$457-500))),TEXT(INDEX('My equipment'!$J$4:$J$503,(_calc!$E$457-500)),"yyyy-mm-dd"),""))=0,"","Parts end: "&amp;IF(ISNUMBER(INDEX('My equipment'!$J$4:$J$503,(_calc!$E$457-500))),TEXT(INDEX('My equipment'!$J$4:$J$503,(_calc!$E$457-500)),"yyyy-mm-dd"),"")&amp;". ")&amp;IF(LEN(IF(ISNUMBER(INDEX('My equipment'!$L$4:$L$503,(_calc!$E$457-500))),TEXT(INDEX('My equipment'!$L$4:$L$503,(_calc!$E$457-500)),"yyyy-mm-dd"),""))=0,"","Labor end: "&amp;IF(ISNUMBER(INDEX('My equipment'!$L$4:$L$503,(_calc!$E$457-500))),TEXT(INDEX('My equipment'!$L$4:$L$503,(_calc!$E$457-500)),"yyyy-mm-dd"),"")&amp;". ")&amp;IF(LEN(IF(ISNUMBER(INDEX('My equipment'!$P$4:$P$503,(_calc!$E$457-500))),TEXT(INDEX('My equipment'!$P$4:$P$503,(_calc!$E$457-500)),"yyyy-mm-dd"),""))=0,"","Check by: "&amp;IF(ISNUMBER(INDEX('My equipment'!$P$4:$P$503,(_calc!$E$457-500))),TEXT(INDEX('My equipment'!$P$4:$P$503,(_calc!$E$457-500)),"yyyy-mm-dd"),"")&amp;". ")&amp;IF(LEN(IF(LEN(INDEX('My equipment'!$Q$4:$Q$503,(_calc!$E$457-500)))=0,"",INDEX('My equipment'!$Q$4:$Q$503,(_calc!$E$457-500))))=0,"","Claim status: "&amp;IF(LEN(INDEX('My equipment'!$Q$4:$Q$503,(_calc!$E$457-500)))=0,"",INDEX('My equipment'!$Q$4:$Q$503,(_calc!$E$457-500)))&amp;". ")&amp;IF(LEN(IF(LEN(INDEX('My equipment'!$R$4:$R$503,(_calc!$E$457-500)))=0,"",INDEX('My equipment'!$R$4:$R$503,(_calc!$E$457-500))))=0,"","Claims contact: "&amp;IF(LEN(INDEX('My equipment'!$R$4:$R$503,(_calc!$E$457-500)))=0,"",INDEX('My equipment'!$R$4:$R$503,(_calc!$E$457-500)))&amp;". ")&amp;IF(LEN(IF(LEN(INDEX('My equipment'!$S$4:$S$503,(_calc!$E$457-500)))=0,"",INDEX('My equipment'!$S$4:$S$503,(_calc!$E$457-500))))=0,"","Claims email: "&amp;IF(LEN(INDEX('My equipment'!$S$4:$S$503,(_calc!$E$457-500)))=0,"",INDEX('My equipment'!$S$4:$S$503,(_calc!$E$457-500)))&amp;". ")&amp;IF(LEN(IF(LEN(INDEX('My equipment'!$U$4:$U$503,(_calc!$E$457-500)))=0,"",INDEX('My equipment'!$U$4:$U$503,(_calc!$E$457-500))))=0,"","Registered: "&amp;IF(LEN(INDEX('My equipment'!$U$4:$U$503,(_calc!$E$457-500)))=0,"",INDEX('My equipment'!$U$4:$U$503,(_calc!$E$457-500)))&amp;". ")&amp;IF(LEN(IF(LEN(INDEX('My equipment'!$V$4:$V$503,(_calc!$E$457-500)))=0,"",INDEX('My equipment'!$V$4:$V$503,(_calc!$E$457-500))))=0,"","Proof on file: "&amp;IF(LEN(INDEX('My equipment'!$V$4:$V$503,(_calc!$E$457-500)))=0,"",INDEX('My equipment'!$V$4:$V$503,(_calc!$E$457-500)))&amp;". ")&amp;IF(LEN(IF(LEN(INDEX('My equipment'!$W$4:$W$503,(_calc!$E$457-500)))=0,"",INDEX('My equipment'!$W$4:$W$503,(_calc!$E$457-500))))=0,"","Claim ref: "&amp;IF(LEN(INDEX('My equipment'!$W$4:$W$503,(_calc!$E$457-500)))=0,"",INDEX('My equipment'!$W$4:$W$503,(_calc!$E$457-500)))&amp;". ")&amp;IF(LEN(IF(LEN(INDEX('My equipment'!$Y$4:$Y$503,(_calc!$E$457-500)))=0,"",INDEX('My equipment'!$Y$4:$Y$503,(_calc!$E$457-500))))=0,"",IF(LEN(INDEX('My equipment'!$Y$4:$Y$503,(_calc!$E$457-500)))=0,"",INDEX('My equipment'!$Y$4:$Y$503,(_calc!$E$457-500)))))))</f>
        <v/>
      </c>
      <c r="G455" s="54">
        <f>IF(_calc!$E$457="","",IF(_calc!$E$457&lt;=500,"",IF(LEN(INDEX('My equipment'!$X$4:$X$503,(_calc!$E$457-500)))=0,"",INDEX('My equipment'!$X$4:$X$503,(_calc!$E$457-500)))))</f>
        <v/>
      </c>
      <c r="K455" s="54">
        <f>IF(_calc!$E$457="","",IF(_calc!$E$457&lt;=500,"",IF(LEN(INDEX('My equipment'!$T$4:$T$503,(_calc!$E$457-500)))=0,"",INDEX('My equipment'!$T$4:$T$503,(_calc!$E$457-500)))))</f>
        <v/>
      </c>
    </row>
    <row r="456">
      <c r="A456" s="54">
        <f>IF(_calc!$E$458="","",IF(_calc!$E$458&lt;=500,"Warranty – "&amp;IF(LEN(INDEX('Dealer pipeline'!$C$4:$C$503,_calc!$E$458))=0,"",INDEX('Dealer pipeline'!$C$4:$C$503,_calc!$E$458))&amp;" – "&amp;IF(LEN(INDEX('Dealer pipeline'!$D$4:$D$503,_calc!$E$458))=0,"",INDEX('Dealer pipeline'!$D$4:$D$503,_calc!$E$458))&amp;" – "&amp;IF(LEN(INDEX('Dealer pipeline'!$A$4:$A$503,_calc!$E$458))=0,"",INDEX('Dealer pipeline'!$A$4:$A$503,_calc!$E$458)),"Warranty – "&amp;IF(LEN(INDEX('My equipment'!$A$4:$A$503,(_calc!$E$458-500)))=0,"",INDEX('My equipment'!$A$4:$A$503,(_calc!$E$458-500)))&amp;" – "&amp;IF(LEN(INDEX('My equipment'!$D$4:$D$503,(_calc!$E$458-500)))=0,"",INDEX('My equipment'!$D$4:$D$503,(_calc!$E$458-500)))))</f>
        <v/>
      </c>
      <c r="B456" s="54">
        <f>IF(_calc!$E$458="","",IF(_calc!$E$458&lt;=500,IF(ISNUMBER(INDEX('Dealer pipeline'!$M$4:$M$503,_calc!$E$458)),TEXT(INDEX('Dealer pipeline'!$M$4:$M$503,_calc!$E$458),"yyyy-mm-dd"),""),IF(ISNUMBER(INDEX('My equipment'!$M$4:$M$503,(_calc!$E$458-500))),TEXT(INDEX('My equipment'!$M$4:$M$503,(_calc!$E$458-500)),"yyyy-mm-dd"),"")))</f>
        <v/>
      </c>
      <c r="C456" s="54">
        <f>IF(_calc!$E$458="","",IF(_calc!$E$458&lt;=500,"Warranty","Warranty"))</f>
        <v/>
      </c>
      <c r="D456" s="54">
        <f>IF(_calc!$E$458="","",IF(_calc!$E$458&lt;=500,IF(ISNUMBER(INDEX('Dealer pipeline'!$H$4:$H$503,_calc!$E$458)),TEXT(INDEX('Dealer pipeline'!$H$4:$H$503,_calc!$E$458),"yyyy-mm-dd"),""),IF(ISNUMBER(INDEX('My equipment'!$H$4:$H$503,(_calc!$E$458-500))),TEXT(INDEX('My equipment'!$H$4:$H$503,(_calc!$E$458-500)),"yyyy-mm-dd"),"")))</f>
        <v/>
      </c>
      <c r="F456" s="54">
        <f>IF(_calc!$E$458="","",IF(_calc!$E$458&lt;=500,TRIM(IF(LEN(IF(LEN(INDEX('Dealer pipeline'!$A$4:$A$503,_calc!$E$458))=0,"",INDEX('Dealer pipeline'!$A$4:$A$503,_calc!$E$458)))=0,"","Customer: "&amp;IF(LEN(INDEX('Dealer pipeline'!$A$4:$A$503,_calc!$E$458))=0,"",INDEX('Dealer pipeline'!$A$4:$A$503,_calc!$E$458))&amp;". ")&amp;IF(LEN(IF(LEN(INDEX('Dealer pipeline'!$B$4:$B$503,_calc!$E$458))=0,"",INDEX('Dealer pipeline'!$B$4:$B$503,_calc!$E$458)))=0,"","Contact: "&amp;IF(LEN(INDEX('Dealer pipeline'!$B$4:$B$503,_calc!$E$458))=0,"",INDEX('Dealer pipeline'!$B$4:$B$503,_calc!$E$458))&amp;". ")&amp;IF(LEN(IF(LEN(INDEX('Dealer pipeline'!$D$4:$D$503,_calc!$E$458))=0,"",INDEX('Dealer pipeline'!$D$4:$D$503,_calc!$E$458)))=0,"","Serial: "&amp;IF(LEN(INDEX('Dealer pipeline'!$D$4:$D$503,_calc!$E$458))=0,"",INDEX('Dealer pipeline'!$D$4:$D$503,_calc!$E$458))&amp;". ")&amp;IF(LEN(IF(ISNUMBER(INDEX('Dealer pipeline'!$J$4:$J$503,_calc!$E$458)),TEXT(INDEX('Dealer pipeline'!$J$4:$J$503,_calc!$E$458),"yyyy-mm-dd"),""))=0,"","Parts end: "&amp;IF(ISNUMBER(INDEX('Dealer pipeline'!$J$4:$J$503,_calc!$E$458)),TEXT(INDEX('Dealer pipeline'!$J$4:$J$503,_calc!$E$458),"yyyy-mm-dd"),"")&amp;". ")&amp;IF(LEN(IF(ISNUMBER(INDEX('Dealer pipeline'!$L$4:$L$503,_calc!$E$458)),TEXT(INDEX('Dealer pipeline'!$L$4:$L$503,_calc!$E$458),"yyyy-mm-dd"),""))=0,"","Labor end: "&amp;IF(ISNUMBER(INDEX('Dealer pipeline'!$L$4:$L$503,_calc!$E$458)),TEXT(INDEX('Dealer pipeline'!$L$4:$L$503,_calc!$E$458),"yyyy-mm-dd"),"")&amp;". ")&amp;IF(LEN(IF(LEN(INDEX('Dealer pipeline'!$Q$4:$Q$503,_calc!$E$458))=0,"",INDEX('Dealer pipeline'!$Q$4:$Q$503,_calc!$E$458)))=0,"","Status: "&amp;IF(LEN(INDEX('Dealer pipeline'!$Q$4:$Q$503,_calc!$E$458))=0,"",INDEX('Dealer pipeline'!$Q$4:$Q$503,_calc!$E$458))&amp;". ")&amp;IF(LEN(IF(LEN(INDEX('Dealer pipeline'!$P$4:$P$503,_calc!$E$458))=0,"",INDEX('Dealer pipeline'!$P$4:$P$503,_calc!$E$458)))=0,"","Last touch: "&amp;IF(LEN(INDEX('Dealer pipeline'!$P$4:$P$503,_calc!$E$458))=0,"",INDEX('Dealer pipeline'!$P$4:$P$503,_calc!$E$458))&amp;". ")&amp;IF(LEN(IF(LEN(INDEX('Dealer pipeline'!$R$4:$R$503,_calc!$E$458))=0,"",INDEX('Dealer pipeline'!$R$4:$R$503,_calc!$E$458)))=0,"","Owner: "&amp;IF(LEN(INDEX('Dealer pipeline'!$R$4:$R$503,_calc!$E$458))=0,"",INDEX('Dealer pipeline'!$R$4:$R$503,_calc!$E$458))&amp;". ")&amp;IF(LEN(IF(LEN(INDEX('Dealer pipeline'!$S$4:$S$503,_calc!$E$458))=0,"",INDEX('Dealer pipeline'!$S$4:$S$503,_calc!$E$458)))=0,"","Backup: "&amp;IF(LEN(INDEX('Dealer pipeline'!$S$4:$S$503,_calc!$E$458))=0,"",INDEX('Dealer pipeline'!$S$4:$S$503,_calc!$E$458))&amp;". ")&amp;IF(LEN(IF(LEN(INDEX('Dealer pipeline'!$T$4:$T$503,_calc!$E$458))=0,"",INDEX('Dealer pipeline'!$T$4:$T$503,_calc!$E$458)))=0,"",IF(LEN(INDEX('Dealer pipeline'!$T$4:$T$503,_calc!$E$458))=0,"",INDEX('Dealer pipeline'!$T$4:$T$503,_calc!$E$458)))),TRIM(IF(LEN(IF(LEN(INDEX('My equipment'!$C$4:$C$503,(_calc!$E$458-500)))=0,"",INDEX('My equipment'!$C$4:$C$503,(_calc!$E$458-500))))=0,"","Model: "&amp;IF(LEN(INDEX('My equipment'!$C$4:$C$503,(_calc!$E$458-500)))=0,"",INDEX('My equipment'!$C$4:$C$503,(_calc!$E$458-500)))&amp;". ")&amp;IF(LEN(IF(LEN(INDEX('My equipment'!$D$4:$D$503,(_calc!$E$458-500)))=0,"",INDEX('My equipment'!$D$4:$D$503,(_calc!$E$458-500))))=0,"","Serial: "&amp;IF(LEN(INDEX('My equipment'!$D$4:$D$503,(_calc!$E$458-500)))=0,"",INDEX('My equipment'!$D$4:$D$503,(_calc!$E$458-500)))&amp;". ")&amp;IF(LEN(IF(ISNUMBER(INDEX('My equipment'!$J$4:$J$503,(_calc!$E$458-500))),TEXT(INDEX('My equipment'!$J$4:$J$503,(_calc!$E$458-500)),"yyyy-mm-dd"),""))=0,"","Parts end: "&amp;IF(ISNUMBER(INDEX('My equipment'!$J$4:$J$503,(_calc!$E$458-500))),TEXT(INDEX('My equipment'!$J$4:$J$503,(_calc!$E$458-500)),"yyyy-mm-dd"),"")&amp;". ")&amp;IF(LEN(IF(ISNUMBER(INDEX('My equipment'!$L$4:$L$503,(_calc!$E$458-500))),TEXT(INDEX('My equipment'!$L$4:$L$503,(_calc!$E$458-500)),"yyyy-mm-dd"),""))=0,"","Labor end: "&amp;IF(ISNUMBER(INDEX('My equipment'!$L$4:$L$503,(_calc!$E$458-500))),TEXT(INDEX('My equipment'!$L$4:$L$503,(_calc!$E$458-500)),"yyyy-mm-dd"),"")&amp;". ")&amp;IF(LEN(IF(ISNUMBER(INDEX('My equipment'!$P$4:$P$503,(_calc!$E$458-500))),TEXT(INDEX('My equipment'!$P$4:$P$503,(_calc!$E$458-500)),"yyyy-mm-dd"),""))=0,"","Check by: "&amp;IF(ISNUMBER(INDEX('My equipment'!$P$4:$P$503,(_calc!$E$458-500))),TEXT(INDEX('My equipment'!$P$4:$P$503,(_calc!$E$458-500)),"yyyy-mm-dd"),"")&amp;". ")&amp;IF(LEN(IF(LEN(INDEX('My equipment'!$Q$4:$Q$503,(_calc!$E$458-500)))=0,"",INDEX('My equipment'!$Q$4:$Q$503,(_calc!$E$458-500))))=0,"","Claim status: "&amp;IF(LEN(INDEX('My equipment'!$Q$4:$Q$503,(_calc!$E$458-500)))=0,"",INDEX('My equipment'!$Q$4:$Q$503,(_calc!$E$458-500)))&amp;". ")&amp;IF(LEN(IF(LEN(INDEX('My equipment'!$R$4:$R$503,(_calc!$E$458-500)))=0,"",INDEX('My equipment'!$R$4:$R$503,(_calc!$E$458-500))))=0,"","Claims contact: "&amp;IF(LEN(INDEX('My equipment'!$R$4:$R$503,(_calc!$E$458-500)))=0,"",INDEX('My equipment'!$R$4:$R$503,(_calc!$E$458-500)))&amp;". ")&amp;IF(LEN(IF(LEN(INDEX('My equipment'!$S$4:$S$503,(_calc!$E$458-500)))=0,"",INDEX('My equipment'!$S$4:$S$503,(_calc!$E$458-500))))=0,"","Claims email: "&amp;IF(LEN(INDEX('My equipment'!$S$4:$S$503,(_calc!$E$458-500)))=0,"",INDEX('My equipment'!$S$4:$S$503,(_calc!$E$458-500)))&amp;". ")&amp;IF(LEN(IF(LEN(INDEX('My equipment'!$U$4:$U$503,(_calc!$E$458-500)))=0,"",INDEX('My equipment'!$U$4:$U$503,(_calc!$E$458-500))))=0,"","Registered: "&amp;IF(LEN(INDEX('My equipment'!$U$4:$U$503,(_calc!$E$458-500)))=0,"",INDEX('My equipment'!$U$4:$U$503,(_calc!$E$458-500)))&amp;". ")&amp;IF(LEN(IF(LEN(INDEX('My equipment'!$V$4:$V$503,(_calc!$E$458-500)))=0,"",INDEX('My equipment'!$V$4:$V$503,(_calc!$E$458-500))))=0,"","Proof on file: "&amp;IF(LEN(INDEX('My equipment'!$V$4:$V$503,(_calc!$E$458-500)))=0,"",INDEX('My equipment'!$V$4:$V$503,(_calc!$E$458-500)))&amp;". ")&amp;IF(LEN(IF(LEN(INDEX('My equipment'!$W$4:$W$503,(_calc!$E$458-500)))=0,"",INDEX('My equipment'!$W$4:$W$503,(_calc!$E$458-500))))=0,"","Claim ref: "&amp;IF(LEN(INDEX('My equipment'!$W$4:$W$503,(_calc!$E$458-500)))=0,"",INDEX('My equipment'!$W$4:$W$503,(_calc!$E$458-500)))&amp;". ")&amp;IF(LEN(IF(LEN(INDEX('My equipment'!$Y$4:$Y$503,(_calc!$E$458-500)))=0,"",INDEX('My equipment'!$Y$4:$Y$503,(_calc!$E$458-500))))=0,"",IF(LEN(INDEX('My equipment'!$Y$4:$Y$503,(_calc!$E$458-500)))=0,"",INDEX('My equipment'!$Y$4:$Y$503,(_calc!$E$458-500)))))))</f>
        <v/>
      </c>
      <c r="G456" s="54">
        <f>IF(_calc!$E$458="","",IF(_calc!$E$458&lt;=500,"",IF(LEN(INDEX('My equipment'!$X$4:$X$503,(_calc!$E$458-500)))=0,"",INDEX('My equipment'!$X$4:$X$503,(_calc!$E$458-500)))))</f>
        <v/>
      </c>
      <c r="K456" s="54">
        <f>IF(_calc!$E$458="","",IF(_calc!$E$458&lt;=500,"",IF(LEN(INDEX('My equipment'!$T$4:$T$503,(_calc!$E$458-500)))=0,"",INDEX('My equipment'!$T$4:$T$503,(_calc!$E$458-500)))))</f>
        <v/>
      </c>
    </row>
    <row r="457">
      <c r="A457" s="54">
        <f>IF(_calc!$E$459="","",IF(_calc!$E$459&lt;=500,"Warranty – "&amp;IF(LEN(INDEX('Dealer pipeline'!$C$4:$C$503,_calc!$E$459))=0,"",INDEX('Dealer pipeline'!$C$4:$C$503,_calc!$E$459))&amp;" – "&amp;IF(LEN(INDEX('Dealer pipeline'!$D$4:$D$503,_calc!$E$459))=0,"",INDEX('Dealer pipeline'!$D$4:$D$503,_calc!$E$459))&amp;" – "&amp;IF(LEN(INDEX('Dealer pipeline'!$A$4:$A$503,_calc!$E$459))=0,"",INDEX('Dealer pipeline'!$A$4:$A$503,_calc!$E$459)),"Warranty – "&amp;IF(LEN(INDEX('My equipment'!$A$4:$A$503,(_calc!$E$459-500)))=0,"",INDEX('My equipment'!$A$4:$A$503,(_calc!$E$459-500)))&amp;" – "&amp;IF(LEN(INDEX('My equipment'!$D$4:$D$503,(_calc!$E$459-500)))=0,"",INDEX('My equipment'!$D$4:$D$503,(_calc!$E$459-500)))))</f>
        <v/>
      </c>
      <c r="B457" s="54">
        <f>IF(_calc!$E$459="","",IF(_calc!$E$459&lt;=500,IF(ISNUMBER(INDEX('Dealer pipeline'!$M$4:$M$503,_calc!$E$459)),TEXT(INDEX('Dealer pipeline'!$M$4:$M$503,_calc!$E$459),"yyyy-mm-dd"),""),IF(ISNUMBER(INDEX('My equipment'!$M$4:$M$503,(_calc!$E$459-500))),TEXT(INDEX('My equipment'!$M$4:$M$503,(_calc!$E$459-500)),"yyyy-mm-dd"),"")))</f>
        <v/>
      </c>
      <c r="C457" s="54">
        <f>IF(_calc!$E$459="","",IF(_calc!$E$459&lt;=500,"Warranty","Warranty"))</f>
        <v/>
      </c>
      <c r="D457" s="54">
        <f>IF(_calc!$E$459="","",IF(_calc!$E$459&lt;=500,IF(ISNUMBER(INDEX('Dealer pipeline'!$H$4:$H$503,_calc!$E$459)),TEXT(INDEX('Dealer pipeline'!$H$4:$H$503,_calc!$E$459),"yyyy-mm-dd"),""),IF(ISNUMBER(INDEX('My equipment'!$H$4:$H$503,(_calc!$E$459-500))),TEXT(INDEX('My equipment'!$H$4:$H$503,(_calc!$E$459-500)),"yyyy-mm-dd"),"")))</f>
        <v/>
      </c>
      <c r="F457" s="54">
        <f>IF(_calc!$E$459="","",IF(_calc!$E$459&lt;=500,TRIM(IF(LEN(IF(LEN(INDEX('Dealer pipeline'!$A$4:$A$503,_calc!$E$459))=0,"",INDEX('Dealer pipeline'!$A$4:$A$503,_calc!$E$459)))=0,"","Customer: "&amp;IF(LEN(INDEX('Dealer pipeline'!$A$4:$A$503,_calc!$E$459))=0,"",INDEX('Dealer pipeline'!$A$4:$A$503,_calc!$E$459))&amp;". ")&amp;IF(LEN(IF(LEN(INDEX('Dealer pipeline'!$B$4:$B$503,_calc!$E$459))=0,"",INDEX('Dealer pipeline'!$B$4:$B$503,_calc!$E$459)))=0,"","Contact: "&amp;IF(LEN(INDEX('Dealer pipeline'!$B$4:$B$503,_calc!$E$459))=0,"",INDEX('Dealer pipeline'!$B$4:$B$503,_calc!$E$459))&amp;". ")&amp;IF(LEN(IF(LEN(INDEX('Dealer pipeline'!$D$4:$D$503,_calc!$E$459))=0,"",INDEX('Dealer pipeline'!$D$4:$D$503,_calc!$E$459)))=0,"","Serial: "&amp;IF(LEN(INDEX('Dealer pipeline'!$D$4:$D$503,_calc!$E$459))=0,"",INDEX('Dealer pipeline'!$D$4:$D$503,_calc!$E$459))&amp;". ")&amp;IF(LEN(IF(ISNUMBER(INDEX('Dealer pipeline'!$J$4:$J$503,_calc!$E$459)),TEXT(INDEX('Dealer pipeline'!$J$4:$J$503,_calc!$E$459),"yyyy-mm-dd"),""))=0,"","Parts end: "&amp;IF(ISNUMBER(INDEX('Dealer pipeline'!$J$4:$J$503,_calc!$E$459)),TEXT(INDEX('Dealer pipeline'!$J$4:$J$503,_calc!$E$459),"yyyy-mm-dd"),"")&amp;". ")&amp;IF(LEN(IF(ISNUMBER(INDEX('Dealer pipeline'!$L$4:$L$503,_calc!$E$459)),TEXT(INDEX('Dealer pipeline'!$L$4:$L$503,_calc!$E$459),"yyyy-mm-dd"),""))=0,"","Labor end: "&amp;IF(ISNUMBER(INDEX('Dealer pipeline'!$L$4:$L$503,_calc!$E$459)),TEXT(INDEX('Dealer pipeline'!$L$4:$L$503,_calc!$E$459),"yyyy-mm-dd"),"")&amp;". ")&amp;IF(LEN(IF(LEN(INDEX('Dealer pipeline'!$Q$4:$Q$503,_calc!$E$459))=0,"",INDEX('Dealer pipeline'!$Q$4:$Q$503,_calc!$E$459)))=0,"","Status: "&amp;IF(LEN(INDEX('Dealer pipeline'!$Q$4:$Q$503,_calc!$E$459))=0,"",INDEX('Dealer pipeline'!$Q$4:$Q$503,_calc!$E$459))&amp;". ")&amp;IF(LEN(IF(LEN(INDEX('Dealer pipeline'!$P$4:$P$503,_calc!$E$459))=0,"",INDEX('Dealer pipeline'!$P$4:$P$503,_calc!$E$459)))=0,"","Last touch: "&amp;IF(LEN(INDEX('Dealer pipeline'!$P$4:$P$503,_calc!$E$459))=0,"",INDEX('Dealer pipeline'!$P$4:$P$503,_calc!$E$459))&amp;". ")&amp;IF(LEN(IF(LEN(INDEX('Dealer pipeline'!$R$4:$R$503,_calc!$E$459))=0,"",INDEX('Dealer pipeline'!$R$4:$R$503,_calc!$E$459)))=0,"","Owner: "&amp;IF(LEN(INDEX('Dealer pipeline'!$R$4:$R$503,_calc!$E$459))=0,"",INDEX('Dealer pipeline'!$R$4:$R$503,_calc!$E$459))&amp;". ")&amp;IF(LEN(IF(LEN(INDEX('Dealer pipeline'!$S$4:$S$503,_calc!$E$459))=0,"",INDEX('Dealer pipeline'!$S$4:$S$503,_calc!$E$459)))=0,"","Backup: "&amp;IF(LEN(INDEX('Dealer pipeline'!$S$4:$S$503,_calc!$E$459))=0,"",INDEX('Dealer pipeline'!$S$4:$S$503,_calc!$E$459))&amp;". ")&amp;IF(LEN(IF(LEN(INDEX('Dealer pipeline'!$T$4:$T$503,_calc!$E$459))=0,"",INDEX('Dealer pipeline'!$T$4:$T$503,_calc!$E$459)))=0,"",IF(LEN(INDEX('Dealer pipeline'!$T$4:$T$503,_calc!$E$459))=0,"",INDEX('Dealer pipeline'!$T$4:$T$503,_calc!$E$459)))),TRIM(IF(LEN(IF(LEN(INDEX('My equipment'!$C$4:$C$503,(_calc!$E$459-500)))=0,"",INDEX('My equipment'!$C$4:$C$503,(_calc!$E$459-500))))=0,"","Model: "&amp;IF(LEN(INDEX('My equipment'!$C$4:$C$503,(_calc!$E$459-500)))=0,"",INDEX('My equipment'!$C$4:$C$503,(_calc!$E$459-500)))&amp;". ")&amp;IF(LEN(IF(LEN(INDEX('My equipment'!$D$4:$D$503,(_calc!$E$459-500)))=0,"",INDEX('My equipment'!$D$4:$D$503,(_calc!$E$459-500))))=0,"","Serial: "&amp;IF(LEN(INDEX('My equipment'!$D$4:$D$503,(_calc!$E$459-500)))=0,"",INDEX('My equipment'!$D$4:$D$503,(_calc!$E$459-500)))&amp;". ")&amp;IF(LEN(IF(ISNUMBER(INDEX('My equipment'!$J$4:$J$503,(_calc!$E$459-500))),TEXT(INDEX('My equipment'!$J$4:$J$503,(_calc!$E$459-500)),"yyyy-mm-dd"),""))=0,"","Parts end: "&amp;IF(ISNUMBER(INDEX('My equipment'!$J$4:$J$503,(_calc!$E$459-500))),TEXT(INDEX('My equipment'!$J$4:$J$503,(_calc!$E$459-500)),"yyyy-mm-dd"),"")&amp;". ")&amp;IF(LEN(IF(ISNUMBER(INDEX('My equipment'!$L$4:$L$503,(_calc!$E$459-500))),TEXT(INDEX('My equipment'!$L$4:$L$503,(_calc!$E$459-500)),"yyyy-mm-dd"),""))=0,"","Labor end: "&amp;IF(ISNUMBER(INDEX('My equipment'!$L$4:$L$503,(_calc!$E$459-500))),TEXT(INDEX('My equipment'!$L$4:$L$503,(_calc!$E$459-500)),"yyyy-mm-dd"),"")&amp;". ")&amp;IF(LEN(IF(ISNUMBER(INDEX('My equipment'!$P$4:$P$503,(_calc!$E$459-500))),TEXT(INDEX('My equipment'!$P$4:$P$503,(_calc!$E$459-500)),"yyyy-mm-dd"),""))=0,"","Check by: "&amp;IF(ISNUMBER(INDEX('My equipment'!$P$4:$P$503,(_calc!$E$459-500))),TEXT(INDEX('My equipment'!$P$4:$P$503,(_calc!$E$459-500)),"yyyy-mm-dd"),"")&amp;". ")&amp;IF(LEN(IF(LEN(INDEX('My equipment'!$Q$4:$Q$503,(_calc!$E$459-500)))=0,"",INDEX('My equipment'!$Q$4:$Q$503,(_calc!$E$459-500))))=0,"","Claim status: "&amp;IF(LEN(INDEX('My equipment'!$Q$4:$Q$503,(_calc!$E$459-500)))=0,"",INDEX('My equipment'!$Q$4:$Q$503,(_calc!$E$459-500)))&amp;". ")&amp;IF(LEN(IF(LEN(INDEX('My equipment'!$R$4:$R$503,(_calc!$E$459-500)))=0,"",INDEX('My equipment'!$R$4:$R$503,(_calc!$E$459-500))))=0,"","Claims contact: "&amp;IF(LEN(INDEX('My equipment'!$R$4:$R$503,(_calc!$E$459-500)))=0,"",INDEX('My equipment'!$R$4:$R$503,(_calc!$E$459-500)))&amp;". ")&amp;IF(LEN(IF(LEN(INDEX('My equipment'!$S$4:$S$503,(_calc!$E$459-500)))=0,"",INDEX('My equipment'!$S$4:$S$503,(_calc!$E$459-500))))=0,"","Claims email: "&amp;IF(LEN(INDEX('My equipment'!$S$4:$S$503,(_calc!$E$459-500)))=0,"",INDEX('My equipment'!$S$4:$S$503,(_calc!$E$459-500)))&amp;". ")&amp;IF(LEN(IF(LEN(INDEX('My equipment'!$U$4:$U$503,(_calc!$E$459-500)))=0,"",INDEX('My equipment'!$U$4:$U$503,(_calc!$E$459-500))))=0,"","Registered: "&amp;IF(LEN(INDEX('My equipment'!$U$4:$U$503,(_calc!$E$459-500)))=0,"",INDEX('My equipment'!$U$4:$U$503,(_calc!$E$459-500)))&amp;". ")&amp;IF(LEN(IF(LEN(INDEX('My equipment'!$V$4:$V$503,(_calc!$E$459-500)))=0,"",INDEX('My equipment'!$V$4:$V$503,(_calc!$E$459-500))))=0,"","Proof on file: "&amp;IF(LEN(INDEX('My equipment'!$V$4:$V$503,(_calc!$E$459-500)))=0,"",INDEX('My equipment'!$V$4:$V$503,(_calc!$E$459-500)))&amp;". ")&amp;IF(LEN(IF(LEN(INDEX('My equipment'!$W$4:$W$503,(_calc!$E$459-500)))=0,"",INDEX('My equipment'!$W$4:$W$503,(_calc!$E$459-500))))=0,"","Claim ref: "&amp;IF(LEN(INDEX('My equipment'!$W$4:$W$503,(_calc!$E$459-500)))=0,"",INDEX('My equipment'!$W$4:$W$503,(_calc!$E$459-500)))&amp;". ")&amp;IF(LEN(IF(LEN(INDEX('My equipment'!$Y$4:$Y$503,(_calc!$E$459-500)))=0,"",INDEX('My equipment'!$Y$4:$Y$503,(_calc!$E$459-500))))=0,"",IF(LEN(INDEX('My equipment'!$Y$4:$Y$503,(_calc!$E$459-500)))=0,"",INDEX('My equipment'!$Y$4:$Y$503,(_calc!$E$459-500)))))))</f>
        <v/>
      </c>
      <c r="G457" s="54">
        <f>IF(_calc!$E$459="","",IF(_calc!$E$459&lt;=500,"",IF(LEN(INDEX('My equipment'!$X$4:$X$503,(_calc!$E$459-500)))=0,"",INDEX('My equipment'!$X$4:$X$503,(_calc!$E$459-500)))))</f>
        <v/>
      </c>
      <c r="K457" s="54">
        <f>IF(_calc!$E$459="","",IF(_calc!$E$459&lt;=500,"",IF(LEN(INDEX('My equipment'!$T$4:$T$503,(_calc!$E$459-500)))=0,"",INDEX('My equipment'!$T$4:$T$503,(_calc!$E$459-500)))))</f>
        <v/>
      </c>
    </row>
    <row r="458">
      <c r="A458" s="54">
        <f>IF(_calc!$E$460="","",IF(_calc!$E$460&lt;=500,"Warranty – "&amp;IF(LEN(INDEX('Dealer pipeline'!$C$4:$C$503,_calc!$E$460))=0,"",INDEX('Dealer pipeline'!$C$4:$C$503,_calc!$E$460))&amp;" – "&amp;IF(LEN(INDEX('Dealer pipeline'!$D$4:$D$503,_calc!$E$460))=0,"",INDEX('Dealer pipeline'!$D$4:$D$503,_calc!$E$460))&amp;" – "&amp;IF(LEN(INDEX('Dealer pipeline'!$A$4:$A$503,_calc!$E$460))=0,"",INDEX('Dealer pipeline'!$A$4:$A$503,_calc!$E$460)),"Warranty – "&amp;IF(LEN(INDEX('My equipment'!$A$4:$A$503,(_calc!$E$460-500)))=0,"",INDEX('My equipment'!$A$4:$A$503,(_calc!$E$460-500)))&amp;" – "&amp;IF(LEN(INDEX('My equipment'!$D$4:$D$503,(_calc!$E$460-500)))=0,"",INDEX('My equipment'!$D$4:$D$503,(_calc!$E$460-500)))))</f>
        <v/>
      </c>
      <c r="B458" s="54">
        <f>IF(_calc!$E$460="","",IF(_calc!$E$460&lt;=500,IF(ISNUMBER(INDEX('Dealer pipeline'!$M$4:$M$503,_calc!$E$460)),TEXT(INDEX('Dealer pipeline'!$M$4:$M$503,_calc!$E$460),"yyyy-mm-dd"),""),IF(ISNUMBER(INDEX('My equipment'!$M$4:$M$503,(_calc!$E$460-500))),TEXT(INDEX('My equipment'!$M$4:$M$503,(_calc!$E$460-500)),"yyyy-mm-dd"),"")))</f>
        <v/>
      </c>
      <c r="C458" s="54">
        <f>IF(_calc!$E$460="","",IF(_calc!$E$460&lt;=500,"Warranty","Warranty"))</f>
        <v/>
      </c>
      <c r="D458" s="54">
        <f>IF(_calc!$E$460="","",IF(_calc!$E$460&lt;=500,IF(ISNUMBER(INDEX('Dealer pipeline'!$H$4:$H$503,_calc!$E$460)),TEXT(INDEX('Dealer pipeline'!$H$4:$H$503,_calc!$E$460),"yyyy-mm-dd"),""),IF(ISNUMBER(INDEX('My equipment'!$H$4:$H$503,(_calc!$E$460-500))),TEXT(INDEX('My equipment'!$H$4:$H$503,(_calc!$E$460-500)),"yyyy-mm-dd"),"")))</f>
        <v/>
      </c>
      <c r="F458" s="54">
        <f>IF(_calc!$E$460="","",IF(_calc!$E$460&lt;=500,TRIM(IF(LEN(IF(LEN(INDEX('Dealer pipeline'!$A$4:$A$503,_calc!$E$460))=0,"",INDEX('Dealer pipeline'!$A$4:$A$503,_calc!$E$460)))=0,"","Customer: "&amp;IF(LEN(INDEX('Dealer pipeline'!$A$4:$A$503,_calc!$E$460))=0,"",INDEX('Dealer pipeline'!$A$4:$A$503,_calc!$E$460))&amp;". ")&amp;IF(LEN(IF(LEN(INDEX('Dealer pipeline'!$B$4:$B$503,_calc!$E$460))=0,"",INDEX('Dealer pipeline'!$B$4:$B$503,_calc!$E$460)))=0,"","Contact: "&amp;IF(LEN(INDEX('Dealer pipeline'!$B$4:$B$503,_calc!$E$460))=0,"",INDEX('Dealer pipeline'!$B$4:$B$503,_calc!$E$460))&amp;". ")&amp;IF(LEN(IF(LEN(INDEX('Dealer pipeline'!$D$4:$D$503,_calc!$E$460))=0,"",INDEX('Dealer pipeline'!$D$4:$D$503,_calc!$E$460)))=0,"","Serial: "&amp;IF(LEN(INDEX('Dealer pipeline'!$D$4:$D$503,_calc!$E$460))=0,"",INDEX('Dealer pipeline'!$D$4:$D$503,_calc!$E$460))&amp;". ")&amp;IF(LEN(IF(ISNUMBER(INDEX('Dealer pipeline'!$J$4:$J$503,_calc!$E$460)),TEXT(INDEX('Dealer pipeline'!$J$4:$J$503,_calc!$E$460),"yyyy-mm-dd"),""))=0,"","Parts end: "&amp;IF(ISNUMBER(INDEX('Dealer pipeline'!$J$4:$J$503,_calc!$E$460)),TEXT(INDEX('Dealer pipeline'!$J$4:$J$503,_calc!$E$460),"yyyy-mm-dd"),"")&amp;". ")&amp;IF(LEN(IF(ISNUMBER(INDEX('Dealer pipeline'!$L$4:$L$503,_calc!$E$460)),TEXT(INDEX('Dealer pipeline'!$L$4:$L$503,_calc!$E$460),"yyyy-mm-dd"),""))=0,"","Labor end: "&amp;IF(ISNUMBER(INDEX('Dealer pipeline'!$L$4:$L$503,_calc!$E$460)),TEXT(INDEX('Dealer pipeline'!$L$4:$L$503,_calc!$E$460),"yyyy-mm-dd"),"")&amp;". ")&amp;IF(LEN(IF(LEN(INDEX('Dealer pipeline'!$Q$4:$Q$503,_calc!$E$460))=0,"",INDEX('Dealer pipeline'!$Q$4:$Q$503,_calc!$E$460)))=0,"","Status: "&amp;IF(LEN(INDEX('Dealer pipeline'!$Q$4:$Q$503,_calc!$E$460))=0,"",INDEX('Dealer pipeline'!$Q$4:$Q$503,_calc!$E$460))&amp;". ")&amp;IF(LEN(IF(LEN(INDEX('Dealer pipeline'!$P$4:$P$503,_calc!$E$460))=0,"",INDEX('Dealer pipeline'!$P$4:$P$503,_calc!$E$460)))=0,"","Last touch: "&amp;IF(LEN(INDEX('Dealer pipeline'!$P$4:$P$503,_calc!$E$460))=0,"",INDEX('Dealer pipeline'!$P$4:$P$503,_calc!$E$460))&amp;". ")&amp;IF(LEN(IF(LEN(INDEX('Dealer pipeline'!$R$4:$R$503,_calc!$E$460))=0,"",INDEX('Dealer pipeline'!$R$4:$R$503,_calc!$E$460)))=0,"","Owner: "&amp;IF(LEN(INDEX('Dealer pipeline'!$R$4:$R$503,_calc!$E$460))=0,"",INDEX('Dealer pipeline'!$R$4:$R$503,_calc!$E$460))&amp;". ")&amp;IF(LEN(IF(LEN(INDEX('Dealer pipeline'!$S$4:$S$503,_calc!$E$460))=0,"",INDEX('Dealer pipeline'!$S$4:$S$503,_calc!$E$460)))=0,"","Backup: "&amp;IF(LEN(INDEX('Dealer pipeline'!$S$4:$S$503,_calc!$E$460))=0,"",INDEX('Dealer pipeline'!$S$4:$S$503,_calc!$E$460))&amp;". ")&amp;IF(LEN(IF(LEN(INDEX('Dealer pipeline'!$T$4:$T$503,_calc!$E$460))=0,"",INDEX('Dealer pipeline'!$T$4:$T$503,_calc!$E$460)))=0,"",IF(LEN(INDEX('Dealer pipeline'!$T$4:$T$503,_calc!$E$460))=0,"",INDEX('Dealer pipeline'!$T$4:$T$503,_calc!$E$460)))),TRIM(IF(LEN(IF(LEN(INDEX('My equipment'!$C$4:$C$503,(_calc!$E$460-500)))=0,"",INDEX('My equipment'!$C$4:$C$503,(_calc!$E$460-500))))=0,"","Model: "&amp;IF(LEN(INDEX('My equipment'!$C$4:$C$503,(_calc!$E$460-500)))=0,"",INDEX('My equipment'!$C$4:$C$503,(_calc!$E$460-500)))&amp;". ")&amp;IF(LEN(IF(LEN(INDEX('My equipment'!$D$4:$D$503,(_calc!$E$460-500)))=0,"",INDEX('My equipment'!$D$4:$D$503,(_calc!$E$460-500))))=0,"","Serial: "&amp;IF(LEN(INDEX('My equipment'!$D$4:$D$503,(_calc!$E$460-500)))=0,"",INDEX('My equipment'!$D$4:$D$503,(_calc!$E$460-500)))&amp;". ")&amp;IF(LEN(IF(ISNUMBER(INDEX('My equipment'!$J$4:$J$503,(_calc!$E$460-500))),TEXT(INDEX('My equipment'!$J$4:$J$503,(_calc!$E$460-500)),"yyyy-mm-dd"),""))=0,"","Parts end: "&amp;IF(ISNUMBER(INDEX('My equipment'!$J$4:$J$503,(_calc!$E$460-500))),TEXT(INDEX('My equipment'!$J$4:$J$503,(_calc!$E$460-500)),"yyyy-mm-dd"),"")&amp;". ")&amp;IF(LEN(IF(ISNUMBER(INDEX('My equipment'!$L$4:$L$503,(_calc!$E$460-500))),TEXT(INDEX('My equipment'!$L$4:$L$503,(_calc!$E$460-500)),"yyyy-mm-dd"),""))=0,"","Labor end: "&amp;IF(ISNUMBER(INDEX('My equipment'!$L$4:$L$503,(_calc!$E$460-500))),TEXT(INDEX('My equipment'!$L$4:$L$503,(_calc!$E$460-500)),"yyyy-mm-dd"),"")&amp;". ")&amp;IF(LEN(IF(ISNUMBER(INDEX('My equipment'!$P$4:$P$503,(_calc!$E$460-500))),TEXT(INDEX('My equipment'!$P$4:$P$503,(_calc!$E$460-500)),"yyyy-mm-dd"),""))=0,"","Check by: "&amp;IF(ISNUMBER(INDEX('My equipment'!$P$4:$P$503,(_calc!$E$460-500))),TEXT(INDEX('My equipment'!$P$4:$P$503,(_calc!$E$460-500)),"yyyy-mm-dd"),"")&amp;". ")&amp;IF(LEN(IF(LEN(INDEX('My equipment'!$Q$4:$Q$503,(_calc!$E$460-500)))=0,"",INDEX('My equipment'!$Q$4:$Q$503,(_calc!$E$460-500))))=0,"","Claim status: "&amp;IF(LEN(INDEX('My equipment'!$Q$4:$Q$503,(_calc!$E$460-500)))=0,"",INDEX('My equipment'!$Q$4:$Q$503,(_calc!$E$460-500)))&amp;". ")&amp;IF(LEN(IF(LEN(INDEX('My equipment'!$R$4:$R$503,(_calc!$E$460-500)))=0,"",INDEX('My equipment'!$R$4:$R$503,(_calc!$E$460-500))))=0,"","Claims contact: "&amp;IF(LEN(INDEX('My equipment'!$R$4:$R$503,(_calc!$E$460-500)))=0,"",INDEX('My equipment'!$R$4:$R$503,(_calc!$E$460-500)))&amp;". ")&amp;IF(LEN(IF(LEN(INDEX('My equipment'!$S$4:$S$503,(_calc!$E$460-500)))=0,"",INDEX('My equipment'!$S$4:$S$503,(_calc!$E$460-500))))=0,"","Claims email: "&amp;IF(LEN(INDEX('My equipment'!$S$4:$S$503,(_calc!$E$460-500)))=0,"",INDEX('My equipment'!$S$4:$S$503,(_calc!$E$460-500)))&amp;". ")&amp;IF(LEN(IF(LEN(INDEX('My equipment'!$U$4:$U$503,(_calc!$E$460-500)))=0,"",INDEX('My equipment'!$U$4:$U$503,(_calc!$E$460-500))))=0,"","Registered: "&amp;IF(LEN(INDEX('My equipment'!$U$4:$U$503,(_calc!$E$460-500)))=0,"",INDEX('My equipment'!$U$4:$U$503,(_calc!$E$460-500)))&amp;". ")&amp;IF(LEN(IF(LEN(INDEX('My equipment'!$V$4:$V$503,(_calc!$E$460-500)))=0,"",INDEX('My equipment'!$V$4:$V$503,(_calc!$E$460-500))))=0,"","Proof on file: "&amp;IF(LEN(INDEX('My equipment'!$V$4:$V$503,(_calc!$E$460-500)))=0,"",INDEX('My equipment'!$V$4:$V$503,(_calc!$E$460-500)))&amp;". ")&amp;IF(LEN(IF(LEN(INDEX('My equipment'!$W$4:$W$503,(_calc!$E$460-500)))=0,"",INDEX('My equipment'!$W$4:$W$503,(_calc!$E$460-500))))=0,"","Claim ref: "&amp;IF(LEN(INDEX('My equipment'!$W$4:$W$503,(_calc!$E$460-500)))=0,"",INDEX('My equipment'!$W$4:$W$503,(_calc!$E$460-500)))&amp;". ")&amp;IF(LEN(IF(LEN(INDEX('My equipment'!$Y$4:$Y$503,(_calc!$E$460-500)))=0,"",INDEX('My equipment'!$Y$4:$Y$503,(_calc!$E$460-500))))=0,"",IF(LEN(INDEX('My equipment'!$Y$4:$Y$503,(_calc!$E$460-500)))=0,"",INDEX('My equipment'!$Y$4:$Y$503,(_calc!$E$460-500)))))))</f>
        <v/>
      </c>
      <c r="G458" s="54">
        <f>IF(_calc!$E$460="","",IF(_calc!$E$460&lt;=500,"",IF(LEN(INDEX('My equipment'!$X$4:$X$503,(_calc!$E$460-500)))=0,"",INDEX('My equipment'!$X$4:$X$503,(_calc!$E$460-500)))))</f>
        <v/>
      </c>
      <c r="K458" s="54">
        <f>IF(_calc!$E$460="","",IF(_calc!$E$460&lt;=500,"",IF(LEN(INDEX('My equipment'!$T$4:$T$503,(_calc!$E$460-500)))=0,"",INDEX('My equipment'!$T$4:$T$503,(_calc!$E$460-500)))))</f>
        <v/>
      </c>
    </row>
    <row r="459">
      <c r="A459" s="54">
        <f>IF(_calc!$E$461="","",IF(_calc!$E$461&lt;=500,"Warranty – "&amp;IF(LEN(INDEX('Dealer pipeline'!$C$4:$C$503,_calc!$E$461))=0,"",INDEX('Dealer pipeline'!$C$4:$C$503,_calc!$E$461))&amp;" – "&amp;IF(LEN(INDEX('Dealer pipeline'!$D$4:$D$503,_calc!$E$461))=0,"",INDEX('Dealer pipeline'!$D$4:$D$503,_calc!$E$461))&amp;" – "&amp;IF(LEN(INDEX('Dealer pipeline'!$A$4:$A$503,_calc!$E$461))=0,"",INDEX('Dealer pipeline'!$A$4:$A$503,_calc!$E$461)),"Warranty – "&amp;IF(LEN(INDEX('My equipment'!$A$4:$A$503,(_calc!$E$461-500)))=0,"",INDEX('My equipment'!$A$4:$A$503,(_calc!$E$461-500)))&amp;" – "&amp;IF(LEN(INDEX('My equipment'!$D$4:$D$503,(_calc!$E$461-500)))=0,"",INDEX('My equipment'!$D$4:$D$503,(_calc!$E$461-500)))))</f>
        <v/>
      </c>
      <c r="B459" s="54">
        <f>IF(_calc!$E$461="","",IF(_calc!$E$461&lt;=500,IF(ISNUMBER(INDEX('Dealer pipeline'!$M$4:$M$503,_calc!$E$461)),TEXT(INDEX('Dealer pipeline'!$M$4:$M$503,_calc!$E$461),"yyyy-mm-dd"),""),IF(ISNUMBER(INDEX('My equipment'!$M$4:$M$503,(_calc!$E$461-500))),TEXT(INDEX('My equipment'!$M$4:$M$503,(_calc!$E$461-500)),"yyyy-mm-dd"),"")))</f>
        <v/>
      </c>
      <c r="C459" s="54">
        <f>IF(_calc!$E$461="","",IF(_calc!$E$461&lt;=500,"Warranty","Warranty"))</f>
        <v/>
      </c>
      <c r="D459" s="54">
        <f>IF(_calc!$E$461="","",IF(_calc!$E$461&lt;=500,IF(ISNUMBER(INDEX('Dealer pipeline'!$H$4:$H$503,_calc!$E$461)),TEXT(INDEX('Dealer pipeline'!$H$4:$H$503,_calc!$E$461),"yyyy-mm-dd"),""),IF(ISNUMBER(INDEX('My equipment'!$H$4:$H$503,(_calc!$E$461-500))),TEXT(INDEX('My equipment'!$H$4:$H$503,(_calc!$E$461-500)),"yyyy-mm-dd"),"")))</f>
        <v/>
      </c>
      <c r="F459" s="54">
        <f>IF(_calc!$E$461="","",IF(_calc!$E$461&lt;=500,TRIM(IF(LEN(IF(LEN(INDEX('Dealer pipeline'!$A$4:$A$503,_calc!$E$461))=0,"",INDEX('Dealer pipeline'!$A$4:$A$503,_calc!$E$461)))=0,"","Customer: "&amp;IF(LEN(INDEX('Dealer pipeline'!$A$4:$A$503,_calc!$E$461))=0,"",INDEX('Dealer pipeline'!$A$4:$A$503,_calc!$E$461))&amp;". ")&amp;IF(LEN(IF(LEN(INDEX('Dealer pipeline'!$B$4:$B$503,_calc!$E$461))=0,"",INDEX('Dealer pipeline'!$B$4:$B$503,_calc!$E$461)))=0,"","Contact: "&amp;IF(LEN(INDEX('Dealer pipeline'!$B$4:$B$503,_calc!$E$461))=0,"",INDEX('Dealer pipeline'!$B$4:$B$503,_calc!$E$461))&amp;". ")&amp;IF(LEN(IF(LEN(INDEX('Dealer pipeline'!$D$4:$D$503,_calc!$E$461))=0,"",INDEX('Dealer pipeline'!$D$4:$D$503,_calc!$E$461)))=0,"","Serial: "&amp;IF(LEN(INDEX('Dealer pipeline'!$D$4:$D$503,_calc!$E$461))=0,"",INDEX('Dealer pipeline'!$D$4:$D$503,_calc!$E$461))&amp;". ")&amp;IF(LEN(IF(ISNUMBER(INDEX('Dealer pipeline'!$J$4:$J$503,_calc!$E$461)),TEXT(INDEX('Dealer pipeline'!$J$4:$J$503,_calc!$E$461),"yyyy-mm-dd"),""))=0,"","Parts end: "&amp;IF(ISNUMBER(INDEX('Dealer pipeline'!$J$4:$J$503,_calc!$E$461)),TEXT(INDEX('Dealer pipeline'!$J$4:$J$503,_calc!$E$461),"yyyy-mm-dd"),"")&amp;". ")&amp;IF(LEN(IF(ISNUMBER(INDEX('Dealer pipeline'!$L$4:$L$503,_calc!$E$461)),TEXT(INDEX('Dealer pipeline'!$L$4:$L$503,_calc!$E$461),"yyyy-mm-dd"),""))=0,"","Labor end: "&amp;IF(ISNUMBER(INDEX('Dealer pipeline'!$L$4:$L$503,_calc!$E$461)),TEXT(INDEX('Dealer pipeline'!$L$4:$L$503,_calc!$E$461),"yyyy-mm-dd"),"")&amp;". ")&amp;IF(LEN(IF(LEN(INDEX('Dealer pipeline'!$Q$4:$Q$503,_calc!$E$461))=0,"",INDEX('Dealer pipeline'!$Q$4:$Q$503,_calc!$E$461)))=0,"","Status: "&amp;IF(LEN(INDEX('Dealer pipeline'!$Q$4:$Q$503,_calc!$E$461))=0,"",INDEX('Dealer pipeline'!$Q$4:$Q$503,_calc!$E$461))&amp;". ")&amp;IF(LEN(IF(LEN(INDEX('Dealer pipeline'!$P$4:$P$503,_calc!$E$461))=0,"",INDEX('Dealer pipeline'!$P$4:$P$503,_calc!$E$461)))=0,"","Last touch: "&amp;IF(LEN(INDEX('Dealer pipeline'!$P$4:$P$503,_calc!$E$461))=0,"",INDEX('Dealer pipeline'!$P$4:$P$503,_calc!$E$461))&amp;". ")&amp;IF(LEN(IF(LEN(INDEX('Dealer pipeline'!$R$4:$R$503,_calc!$E$461))=0,"",INDEX('Dealer pipeline'!$R$4:$R$503,_calc!$E$461)))=0,"","Owner: "&amp;IF(LEN(INDEX('Dealer pipeline'!$R$4:$R$503,_calc!$E$461))=0,"",INDEX('Dealer pipeline'!$R$4:$R$503,_calc!$E$461))&amp;". ")&amp;IF(LEN(IF(LEN(INDEX('Dealer pipeline'!$S$4:$S$503,_calc!$E$461))=0,"",INDEX('Dealer pipeline'!$S$4:$S$503,_calc!$E$461)))=0,"","Backup: "&amp;IF(LEN(INDEX('Dealer pipeline'!$S$4:$S$503,_calc!$E$461))=0,"",INDEX('Dealer pipeline'!$S$4:$S$503,_calc!$E$461))&amp;". ")&amp;IF(LEN(IF(LEN(INDEX('Dealer pipeline'!$T$4:$T$503,_calc!$E$461))=0,"",INDEX('Dealer pipeline'!$T$4:$T$503,_calc!$E$461)))=0,"",IF(LEN(INDEX('Dealer pipeline'!$T$4:$T$503,_calc!$E$461))=0,"",INDEX('Dealer pipeline'!$T$4:$T$503,_calc!$E$461)))),TRIM(IF(LEN(IF(LEN(INDEX('My equipment'!$C$4:$C$503,(_calc!$E$461-500)))=0,"",INDEX('My equipment'!$C$4:$C$503,(_calc!$E$461-500))))=0,"","Model: "&amp;IF(LEN(INDEX('My equipment'!$C$4:$C$503,(_calc!$E$461-500)))=0,"",INDEX('My equipment'!$C$4:$C$503,(_calc!$E$461-500)))&amp;". ")&amp;IF(LEN(IF(LEN(INDEX('My equipment'!$D$4:$D$503,(_calc!$E$461-500)))=0,"",INDEX('My equipment'!$D$4:$D$503,(_calc!$E$461-500))))=0,"","Serial: "&amp;IF(LEN(INDEX('My equipment'!$D$4:$D$503,(_calc!$E$461-500)))=0,"",INDEX('My equipment'!$D$4:$D$503,(_calc!$E$461-500)))&amp;". ")&amp;IF(LEN(IF(ISNUMBER(INDEX('My equipment'!$J$4:$J$503,(_calc!$E$461-500))),TEXT(INDEX('My equipment'!$J$4:$J$503,(_calc!$E$461-500)),"yyyy-mm-dd"),""))=0,"","Parts end: "&amp;IF(ISNUMBER(INDEX('My equipment'!$J$4:$J$503,(_calc!$E$461-500))),TEXT(INDEX('My equipment'!$J$4:$J$503,(_calc!$E$461-500)),"yyyy-mm-dd"),"")&amp;". ")&amp;IF(LEN(IF(ISNUMBER(INDEX('My equipment'!$L$4:$L$503,(_calc!$E$461-500))),TEXT(INDEX('My equipment'!$L$4:$L$503,(_calc!$E$461-500)),"yyyy-mm-dd"),""))=0,"","Labor end: "&amp;IF(ISNUMBER(INDEX('My equipment'!$L$4:$L$503,(_calc!$E$461-500))),TEXT(INDEX('My equipment'!$L$4:$L$503,(_calc!$E$461-500)),"yyyy-mm-dd"),"")&amp;". ")&amp;IF(LEN(IF(ISNUMBER(INDEX('My equipment'!$P$4:$P$503,(_calc!$E$461-500))),TEXT(INDEX('My equipment'!$P$4:$P$503,(_calc!$E$461-500)),"yyyy-mm-dd"),""))=0,"","Check by: "&amp;IF(ISNUMBER(INDEX('My equipment'!$P$4:$P$503,(_calc!$E$461-500))),TEXT(INDEX('My equipment'!$P$4:$P$503,(_calc!$E$461-500)),"yyyy-mm-dd"),"")&amp;". ")&amp;IF(LEN(IF(LEN(INDEX('My equipment'!$Q$4:$Q$503,(_calc!$E$461-500)))=0,"",INDEX('My equipment'!$Q$4:$Q$503,(_calc!$E$461-500))))=0,"","Claim status: "&amp;IF(LEN(INDEX('My equipment'!$Q$4:$Q$503,(_calc!$E$461-500)))=0,"",INDEX('My equipment'!$Q$4:$Q$503,(_calc!$E$461-500)))&amp;". ")&amp;IF(LEN(IF(LEN(INDEX('My equipment'!$R$4:$R$503,(_calc!$E$461-500)))=0,"",INDEX('My equipment'!$R$4:$R$503,(_calc!$E$461-500))))=0,"","Claims contact: "&amp;IF(LEN(INDEX('My equipment'!$R$4:$R$503,(_calc!$E$461-500)))=0,"",INDEX('My equipment'!$R$4:$R$503,(_calc!$E$461-500)))&amp;". ")&amp;IF(LEN(IF(LEN(INDEX('My equipment'!$S$4:$S$503,(_calc!$E$461-500)))=0,"",INDEX('My equipment'!$S$4:$S$503,(_calc!$E$461-500))))=0,"","Claims email: "&amp;IF(LEN(INDEX('My equipment'!$S$4:$S$503,(_calc!$E$461-500)))=0,"",INDEX('My equipment'!$S$4:$S$503,(_calc!$E$461-500)))&amp;". ")&amp;IF(LEN(IF(LEN(INDEX('My equipment'!$U$4:$U$503,(_calc!$E$461-500)))=0,"",INDEX('My equipment'!$U$4:$U$503,(_calc!$E$461-500))))=0,"","Registered: "&amp;IF(LEN(INDEX('My equipment'!$U$4:$U$503,(_calc!$E$461-500)))=0,"",INDEX('My equipment'!$U$4:$U$503,(_calc!$E$461-500)))&amp;". ")&amp;IF(LEN(IF(LEN(INDEX('My equipment'!$V$4:$V$503,(_calc!$E$461-500)))=0,"",INDEX('My equipment'!$V$4:$V$503,(_calc!$E$461-500))))=0,"","Proof on file: "&amp;IF(LEN(INDEX('My equipment'!$V$4:$V$503,(_calc!$E$461-500)))=0,"",INDEX('My equipment'!$V$4:$V$503,(_calc!$E$461-500)))&amp;". ")&amp;IF(LEN(IF(LEN(INDEX('My equipment'!$W$4:$W$503,(_calc!$E$461-500)))=0,"",INDEX('My equipment'!$W$4:$W$503,(_calc!$E$461-500))))=0,"","Claim ref: "&amp;IF(LEN(INDEX('My equipment'!$W$4:$W$503,(_calc!$E$461-500)))=0,"",INDEX('My equipment'!$W$4:$W$503,(_calc!$E$461-500)))&amp;". ")&amp;IF(LEN(IF(LEN(INDEX('My equipment'!$Y$4:$Y$503,(_calc!$E$461-500)))=0,"",INDEX('My equipment'!$Y$4:$Y$503,(_calc!$E$461-500))))=0,"",IF(LEN(INDEX('My equipment'!$Y$4:$Y$503,(_calc!$E$461-500)))=0,"",INDEX('My equipment'!$Y$4:$Y$503,(_calc!$E$461-500)))))))</f>
        <v/>
      </c>
      <c r="G459" s="54">
        <f>IF(_calc!$E$461="","",IF(_calc!$E$461&lt;=500,"",IF(LEN(INDEX('My equipment'!$X$4:$X$503,(_calc!$E$461-500)))=0,"",INDEX('My equipment'!$X$4:$X$503,(_calc!$E$461-500)))))</f>
        <v/>
      </c>
      <c r="K459" s="54">
        <f>IF(_calc!$E$461="","",IF(_calc!$E$461&lt;=500,"",IF(LEN(INDEX('My equipment'!$T$4:$T$503,(_calc!$E$461-500)))=0,"",INDEX('My equipment'!$T$4:$T$503,(_calc!$E$461-500)))))</f>
        <v/>
      </c>
    </row>
    <row r="460">
      <c r="A460" s="54">
        <f>IF(_calc!$E$462="","",IF(_calc!$E$462&lt;=500,"Warranty – "&amp;IF(LEN(INDEX('Dealer pipeline'!$C$4:$C$503,_calc!$E$462))=0,"",INDEX('Dealer pipeline'!$C$4:$C$503,_calc!$E$462))&amp;" – "&amp;IF(LEN(INDEX('Dealer pipeline'!$D$4:$D$503,_calc!$E$462))=0,"",INDEX('Dealer pipeline'!$D$4:$D$503,_calc!$E$462))&amp;" – "&amp;IF(LEN(INDEX('Dealer pipeline'!$A$4:$A$503,_calc!$E$462))=0,"",INDEX('Dealer pipeline'!$A$4:$A$503,_calc!$E$462)),"Warranty – "&amp;IF(LEN(INDEX('My equipment'!$A$4:$A$503,(_calc!$E$462-500)))=0,"",INDEX('My equipment'!$A$4:$A$503,(_calc!$E$462-500)))&amp;" – "&amp;IF(LEN(INDEX('My equipment'!$D$4:$D$503,(_calc!$E$462-500)))=0,"",INDEX('My equipment'!$D$4:$D$503,(_calc!$E$462-500)))))</f>
        <v/>
      </c>
      <c r="B460" s="54">
        <f>IF(_calc!$E$462="","",IF(_calc!$E$462&lt;=500,IF(ISNUMBER(INDEX('Dealer pipeline'!$M$4:$M$503,_calc!$E$462)),TEXT(INDEX('Dealer pipeline'!$M$4:$M$503,_calc!$E$462),"yyyy-mm-dd"),""),IF(ISNUMBER(INDEX('My equipment'!$M$4:$M$503,(_calc!$E$462-500))),TEXT(INDEX('My equipment'!$M$4:$M$503,(_calc!$E$462-500)),"yyyy-mm-dd"),"")))</f>
        <v/>
      </c>
      <c r="C460" s="54">
        <f>IF(_calc!$E$462="","",IF(_calc!$E$462&lt;=500,"Warranty","Warranty"))</f>
        <v/>
      </c>
      <c r="D460" s="54">
        <f>IF(_calc!$E$462="","",IF(_calc!$E$462&lt;=500,IF(ISNUMBER(INDEX('Dealer pipeline'!$H$4:$H$503,_calc!$E$462)),TEXT(INDEX('Dealer pipeline'!$H$4:$H$503,_calc!$E$462),"yyyy-mm-dd"),""),IF(ISNUMBER(INDEX('My equipment'!$H$4:$H$503,(_calc!$E$462-500))),TEXT(INDEX('My equipment'!$H$4:$H$503,(_calc!$E$462-500)),"yyyy-mm-dd"),"")))</f>
        <v/>
      </c>
      <c r="F460" s="54">
        <f>IF(_calc!$E$462="","",IF(_calc!$E$462&lt;=500,TRIM(IF(LEN(IF(LEN(INDEX('Dealer pipeline'!$A$4:$A$503,_calc!$E$462))=0,"",INDEX('Dealer pipeline'!$A$4:$A$503,_calc!$E$462)))=0,"","Customer: "&amp;IF(LEN(INDEX('Dealer pipeline'!$A$4:$A$503,_calc!$E$462))=0,"",INDEX('Dealer pipeline'!$A$4:$A$503,_calc!$E$462))&amp;". ")&amp;IF(LEN(IF(LEN(INDEX('Dealer pipeline'!$B$4:$B$503,_calc!$E$462))=0,"",INDEX('Dealer pipeline'!$B$4:$B$503,_calc!$E$462)))=0,"","Contact: "&amp;IF(LEN(INDEX('Dealer pipeline'!$B$4:$B$503,_calc!$E$462))=0,"",INDEX('Dealer pipeline'!$B$4:$B$503,_calc!$E$462))&amp;". ")&amp;IF(LEN(IF(LEN(INDEX('Dealer pipeline'!$D$4:$D$503,_calc!$E$462))=0,"",INDEX('Dealer pipeline'!$D$4:$D$503,_calc!$E$462)))=0,"","Serial: "&amp;IF(LEN(INDEX('Dealer pipeline'!$D$4:$D$503,_calc!$E$462))=0,"",INDEX('Dealer pipeline'!$D$4:$D$503,_calc!$E$462))&amp;". ")&amp;IF(LEN(IF(ISNUMBER(INDEX('Dealer pipeline'!$J$4:$J$503,_calc!$E$462)),TEXT(INDEX('Dealer pipeline'!$J$4:$J$503,_calc!$E$462),"yyyy-mm-dd"),""))=0,"","Parts end: "&amp;IF(ISNUMBER(INDEX('Dealer pipeline'!$J$4:$J$503,_calc!$E$462)),TEXT(INDEX('Dealer pipeline'!$J$4:$J$503,_calc!$E$462),"yyyy-mm-dd"),"")&amp;". ")&amp;IF(LEN(IF(ISNUMBER(INDEX('Dealer pipeline'!$L$4:$L$503,_calc!$E$462)),TEXT(INDEX('Dealer pipeline'!$L$4:$L$503,_calc!$E$462),"yyyy-mm-dd"),""))=0,"","Labor end: "&amp;IF(ISNUMBER(INDEX('Dealer pipeline'!$L$4:$L$503,_calc!$E$462)),TEXT(INDEX('Dealer pipeline'!$L$4:$L$503,_calc!$E$462),"yyyy-mm-dd"),"")&amp;". ")&amp;IF(LEN(IF(LEN(INDEX('Dealer pipeline'!$Q$4:$Q$503,_calc!$E$462))=0,"",INDEX('Dealer pipeline'!$Q$4:$Q$503,_calc!$E$462)))=0,"","Status: "&amp;IF(LEN(INDEX('Dealer pipeline'!$Q$4:$Q$503,_calc!$E$462))=0,"",INDEX('Dealer pipeline'!$Q$4:$Q$503,_calc!$E$462))&amp;". ")&amp;IF(LEN(IF(LEN(INDEX('Dealer pipeline'!$P$4:$P$503,_calc!$E$462))=0,"",INDEX('Dealer pipeline'!$P$4:$P$503,_calc!$E$462)))=0,"","Last touch: "&amp;IF(LEN(INDEX('Dealer pipeline'!$P$4:$P$503,_calc!$E$462))=0,"",INDEX('Dealer pipeline'!$P$4:$P$503,_calc!$E$462))&amp;". ")&amp;IF(LEN(IF(LEN(INDEX('Dealer pipeline'!$R$4:$R$503,_calc!$E$462))=0,"",INDEX('Dealer pipeline'!$R$4:$R$503,_calc!$E$462)))=0,"","Owner: "&amp;IF(LEN(INDEX('Dealer pipeline'!$R$4:$R$503,_calc!$E$462))=0,"",INDEX('Dealer pipeline'!$R$4:$R$503,_calc!$E$462))&amp;". ")&amp;IF(LEN(IF(LEN(INDEX('Dealer pipeline'!$S$4:$S$503,_calc!$E$462))=0,"",INDEX('Dealer pipeline'!$S$4:$S$503,_calc!$E$462)))=0,"","Backup: "&amp;IF(LEN(INDEX('Dealer pipeline'!$S$4:$S$503,_calc!$E$462))=0,"",INDEX('Dealer pipeline'!$S$4:$S$503,_calc!$E$462))&amp;". ")&amp;IF(LEN(IF(LEN(INDEX('Dealer pipeline'!$T$4:$T$503,_calc!$E$462))=0,"",INDEX('Dealer pipeline'!$T$4:$T$503,_calc!$E$462)))=0,"",IF(LEN(INDEX('Dealer pipeline'!$T$4:$T$503,_calc!$E$462))=0,"",INDEX('Dealer pipeline'!$T$4:$T$503,_calc!$E$462)))),TRIM(IF(LEN(IF(LEN(INDEX('My equipment'!$C$4:$C$503,(_calc!$E$462-500)))=0,"",INDEX('My equipment'!$C$4:$C$503,(_calc!$E$462-500))))=0,"","Model: "&amp;IF(LEN(INDEX('My equipment'!$C$4:$C$503,(_calc!$E$462-500)))=0,"",INDEX('My equipment'!$C$4:$C$503,(_calc!$E$462-500)))&amp;". ")&amp;IF(LEN(IF(LEN(INDEX('My equipment'!$D$4:$D$503,(_calc!$E$462-500)))=0,"",INDEX('My equipment'!$D$4:$D$503,(_calc!$E$462-500))))=0,"","Serial: "&amp;IF(LEN(INDEX('My equipment'!$D$4:$D$503,(_calc!$E$462-500)))=0,"",INDEX('My equipment'!$D$4:$D$503,(_calc!$E$462-500)))&amp;". ")&amp;IF(LEN(IF(ISNUMBER(INDEX('My equipment'!$J$4:$J$503,(_calc!$E$462-500))),TEXT(INDEX('My equipment'!$J$4:$J$503,(_calc!$E$462-500)),"yyyy-mm-dd"),""))=0,"","Parts end: "&amp;IF(ISNUMBER(INDEX('My equipment'!$J$4:$J$503,(_calc!$E$462-500))),TEXT(INDEX('My equipment'!$J$4:$J$503,(_calc!$E$462-500)),"yyyy-mm-dd"),"")&amp;". ")&amp;IF(LEN(IF(ISNUMBER(INDEX('My equipment'!$L$4:$L$503,(_calc!$E$462-500))),TEXT(INDEX('My equipment'!$L$4:$L$503,(_calc!$E$462-500)),"yyyy-mm-dd"),""))=0,"","Labor end: "&amp;IF(ISNUMBER(INDEX('My equipment'!$L$4:$L$503,(_calc!$E$462-500))),TEXT(INDEX('My equipment'!$L$4:$L$503,(_calc!$E$462-500)),"yyyy-mm-dd"),"")&amp;". ")&amp;IF(LEN(IF(ISNUMBER(INDEX('My equipment'!$P$4:$P$503,(_calc!$E$462-500))),TEXT(INDEX('My equipment'!$P$4:$P$503,(_calc!$E$462-500)),"yyyy-mm-dd"),""))=0,"","Check by: "&amp;IF(ISNUMBER(INDEX('My equipment'!$P$4:$P$503,(_calc!$E$462-500))),TEXT(INDEX('My equipment'!$P$4:$P$503,(_calc!$E$462-500)),"yyyy-mm-dd"),"")&amp;". ")&amp;IF(LEN(IF(LEN(INDEX('My equipment'!$Q$4:$Q$503,(_calc!$E$462-500)))=0,"",INDEX('My equipment'!$Q$4:$Q$503,(_calc!$E$462-500))))=0,"","Claim status: "&amp;IF(LEN(INDEX('My equipment'!$Q$4:$Q$503,(_calc!$E$462-500)))=0,"",INDEX('My equipment'!$Q$4:$Q$503,(_calc!$E$462-500)))&amp;". ")&amp;IF(LEN(IF(LEN(INDEX('My equipment'!$R$4:$R$503,(_calc!$E$462-500)))=0,"",INDEX('My equipment'!$R$4:$R$503,(_calc!$E$462-500))))=0,"","Claims contact: "&amp;IF(LEN(INDEX('My equipment'!$R$4:$R$503,(_calc!$E$462-500)))=0,"",INDEX('My equipment'!$R$4:$R$503,(_calc!$E$462-500)))&amp;". ")&amp;IF(LEN(IF(LEN(INDEX('My equipment'!$S$4:$S$503,(_calc!$E$462-500)))=0,"",INDEX('My equipment'!$S$4:$S$503,(_calc!$E$462-500))))=0,"","Claims email: "&amp;IF(LEN(INDEX('My equipment'!$S$4:$S$503,(_calc!$E$462-500)))=0,"",INDEX('My equipment'!$S$4:$S$503,(_calc!$E$462-500)))&amp;". ")&amp;IF(LEN(IF(LEN(INDEX('My equipment'!$U$4:$U$503,(_calc!$E$462-500)))=0,"",INDEX('My equipment'!$U$4:$U$503,(_calc!$E$462-500))))=0,"","Registered: "&amp;IF(LEN(INDEX('My equipment'!$U$4:$U$503,(_calc!$E$462-500)))=0,"",INDEX('My equipment'!$U$4:$U$503,(_calc!$E$462-500)))&amp;". ")&amp;IF(LEN(IF(LEN(INDEX('My equipment'!$V$4:$V$503,(_calc!$E$462-500)))=0,"",INDEX('My equipment'!$V$4:$V$503,(_calc!$E$462-500))))=0,"","Proof on file: "&amp;IF(LEN(INDEX('My equipment'!$V$4:$V$503,(_calc!$E$462-500)))=0,"",INDEX('My equipment'!$V$4:$V$503,(_calc!$E$462-500)))&amp;". ")&amp;IF(LEN(IF(LEN(INDEX('My equipment'!$W$4:$W$503,(_calc!$E$462-500)))=0,"",INDEX('My equipment'!$W$4:$W$503,(_calc!$E$462-500))))=0,"","Claim ref: "&amp;IF(LEN(INDEX('My equipment'!$W$4:$W$503,(_calc!$E$462-500)))=0,"",INDEX('My equipment'!$W$4:$W$503,(_calc!$E$462-500)))&amp;". ")&amp;IF(LEN(IF(LEN(INDEX('My equipment'!$Y$4:$Y$503,(_calc!$E$462-500)))=0,"",INDEX('My equipment'!$Y$4:$Y$503,(_calc!$E$462-500))))=0,"",IF(LEN(INDEX('My equipment'!$Y$4:$Y$503,(_calc!$E$462-500)))=0,"",INDEX('My equipment'!$Y$4:$Y$503,(_calc!$E$462-500)))))))</f>
        <v/>
      </c>
      <c r="G460" s="54">
        <f>IF(_calc!$E$462="","",IF(_calc!$E$462&lt;=500,"",IF(LEN(INDEX('My equipment'!$X$4:$X$503,(_calc!$E$462-500)))=0,"",INDEX('My equipment'!$X$4:$X$503,(_calc!$E$462-500)))))</f>
        <v/>
      </c>
      <c r="K460" s="54">
        <f>IF(_calc!$E$462="","",IF(_calc!$E$462&lt;=500,"",IF(LEN(INDEX('My equipment'!$T$4:$T$503,(_calc!$E$462-500)))=0,"",INDEX('My equipment'!$T$4:$T$503,(_calc!$E$462-500)))))</f>
        <v/>
      </c>
    </row>
    <row r="461">
      <c r="A461" s="54">
        <f>IF(_calc!$E$463="","",IF(_calc!$E$463&lt;=500,"Warranty – "&amp;IF(LEN(INDEX('Dealer pipeline'!$C$4:$C$503,_calc!$E$463))=0,"",INDEX('Dealer pipeline'!$C$4:$C$503,_calc!$E$463))&amp;" – "&amp;IF(LEN(INDEX('Dealer pipeline'!$D$4:$D$503,_calc!$E$463))=0,"",INDEX('Dealer pipeline'!$D$4:$D$503,_calc!$E$463))&amp;" – "&amp;IF(LEN(INDEX('Dealer pipeline'!$A$4:$A$503,_calc!$E$463))=0,"",INDEX('Dealer pipeline'!$A$4:$A$503,_calc!$E$463)),"Warranty – "&amp;IF(LEN(INDEX('My equipment'!$A$4:$A$503,(_calc!$E$463-500)))=0,"",INDEX('My equipment'!$A$4:$A$503,(_calc!$E$463-500)))&amp;" – "&amp;IF(LEN(INDEX('My equipment'!$D$4:$D$503,(_calc!$E$463-500)))=0,"",INDEX('My equipment'!$D$4:$D$503,(_calc!$E$463-500)))))</f>
        <v/>
      </c>
      <c r="B461" s="54">
        <f>IF(_calc!$E$463="","",IF(_calc!$E$463&lt;=500,IF(ISNUMBER(INDEX('Dealer pipeline'!$M$4:$M$503,_calc!$E$463)),TEXT(INDEX('Dealer pipeline'!$M$4:$M$503,_calc!$E$463),"yyyy-mm-dd"),""),IF(ISNUMBER(INDEX('My equipment'!$M$4:$M$503,(_calc!$E$463-500))),TEXT(INDEX('My equipment'!$M$4:$M$503,(_calc!$E$463-500)),"yyyy-mm-dd"),"")))</f>
        <v/>
      </c>
      <c r="C461" s="54">
        <f>IF(_calc!$E$463="","",IF(_calc!$E$463&lt;=500,"Warranty","Warranty"))</f>
        <v/>
      </c>
      <c r="D461" s="54">
        <f>IF(_calc!$E$463="","",IF(_calc!$E$463&lt;=500,IF(ISNUMBER(INDEX('Dealer pipeline'!$H$4:$H$503,_calc!$E$463)),TEXT(INDEX('Dealer pipeline'!$H$4:$H$503,_calc!$E$463),"yyyy-mm-dd"),""),IF(ISNUMBER(INDEX('My equipment'!$H$4:$H$503,(_calc!$E$463-500))),TEXT(INDEX('My equipment'!$H$4:$H$503,(_calc!$E$463-500)),"yyyy-mm-dd"),"")))</f>
        <v/>
      </c>
      <c r="F461" s="54">
        <f>IF(_calc!$E$463="","",IF(_calc!$E$463&lt;=500,TRIM(IF(LEN(IF(LEN(INDEX('Dealer pipeline'!$A$4:$A$503,_calc!$E$463))=0,"",INDEX('Dealer pipeline'!$A$4:$A$503,_calc!$E$463)))=0,"","Customer: "&amp;IF(LEN(INDEX('Dealer pipeline'!$A$4:$A$503,_calc!$E$463))=0,"",INDEX('Dealer pipeline'!$A$4:$A$503,_calc!$E$463))&amp;". ")&amp;IF(LEN(IF(LEN(INDEX('Dealer pipeline'!$B$4:$B$503,_calc!$E$463))=0,"",INDEX('Dealer pipeline'!$B$4:$B$503,_calc!$E$463)))=0,"","Contact: "&amp;IF(LEN(INDEX('Dealer pipeline'!$B$4:$B$503,_calc!$E$463))=0,"",INDEX('Dealer pipeline'!$B$4:$B$503,_calc!$E$463))&amp;". ")&amp;IF(LEN(IF(LEN(INDEX('Dealer pipeline'!$D$4:$D$503,_calc!$E$463))=0,"",INDEX('Dealer pipeline'!$D$4:$D$503,_calc!$E$463)))=0,"","Serial: "&amp;IF(LEN(INDEX('Dealer pipeline'!$D$4:$D$503,_calc!$E$463))=0,"",INDEX('Dealer pipeline'!$D$4:$D$503,_calc!$E$463))&amp;". ")&amp;IF(LEN(IF(ISNUMBER(INDEX('Dealer pipeline'!$J$4:$J$503,_calc!$E$463)),TEXT(INDEX('Dealer pipeline'!$J$4:$J$503,_calc!$E$463),"yyyy-mm-dd"),""))=0,"","Parts end: "&amp;IF(ISNUMBER(INDEX('Dealer pipeline'!$J$4:$J$503,_calc!$E$463)),TEXT(INDEX('Dealer pipeline'!$J$4:$J$503,_calc!$E$463),"yyyy-mm-dd"),"")&amp;". ")&amp;IF(LEN(IF(ISNUMBER(INDEX('Dealer pipeline'!$L$4:$L$503,_calc!$E$463)),TEXT(INDEX('Dealer pipeline'!$L$4:$L$503,_calc!$E$463),"yyyy-mm-dd"),""))=0,"","Labor end: "&amp;IF(ISNUMBER(INDEX('Dealer pipeline'!$L$4:$L$503,_calc!$E$463)),TEXT(INDEX('Dealer pipeline'!$L$4:$L$503,_calc!$E$463),"yyyy-mm-dd"),"")&amp;". ")&amp;IF(LEN(IF(LEN(INDEX('Dealer pipeline'!$Q$4:$Q$503,_calc!$E$463))=0,"",INDEX('Dealer pipeline'!$Q$4:$Q$503,_calc!$E$463)))=0,"","Status: "&amp;IF(LEN(INDEX('Dealer pipeline'!$Q$4:$Q$503,_calc!$E$463))=0,"",INDEX('Dealer pipeline'!$Q$4:$Q$503,_calc!$E$463))&amp;". ")&amp;IF(LEN(IF(LEN(INDEX('Dealer pipeline'!$P$4:$P$503,_calc!$E$463))=0,"",INDEX('Dealer pipeline'!$P$4:$P$503,_calc!$E$463)))=0,"","Last touch: "&amp;IF(LEN(INDEX('Dealer pipeline'!$P$4:$P$503,_calc!$E$463))=0,"",INDEX('Dealer pipeline'!$P$4:$P$503,_calc!$E$463))&amp;". ")&amp;IF(LEN(IF(LEN(INDEX('Dealer pipeline'!$R$4:$R$503,_calc!$E$463))=0,"",INDEX('Dealer pipeline'!$R$4:$R$503,_calc!$E$463)))=0,"","Owner: "&amp;IF(LEN(INDEX('Dealer pipeline'!$R$4:$R$503,_calc!$E$463))=0,"",INDEX('Dealer pipeline'!$R$4:$R$503,_calc!$E$463))&amp;". ")&amp;IF(LEN(IF(LEN(INDEX('Dealer pipeline'!$S$4:$S$503,_calc!$E$463))=0,"",INDEX('Dealer pipeline'!$S$4:$S$503,_calc!$E$463)))=0,"","Backup: "&amp;IF(LEN(INDEX('Dealer pipeline'!$S$4:$S$503,_calc!$E$463))=0,"",INDEX('Dealer pipeline'!$S$4:$S$503,_calc!$E$463))&amp;". ")&amp;IF(LEN(IF(LEN(INDEX('Dealer pipeline'!$T$4:$T$503,_calc!$E$463))=0,"",INDEX('Dealer pipeline'!$T$4:$T$503,_calc!$E$463)))=0,"",IF(LEN(INDEX('Dealer pipeline'!$T$4:$T$503,_calc!$E$463))=0,"",INDEX('Dealer pipeline'!$T$4:$T$503,_calc!$E$463)))),TRIM(IF(LEN(IF(LEN(INDEX('My equipment'!$C$4:$C$503,(_calc!$E$463-500)))=0,"",INDEX('My equipment'!$C$4:$C$503,(_calc!$E$463-500))))=0,"","Model: "&amp;IF(LEN(INDEX('My equipment'!$C$4:$C$503,(_calc!$E$463-500)))=0,"",INDEX('My equipment'!$C$4:$C$503,(_calc!$E$463-500)))&amp;". ")&amp;IF(LEN(IF(LEN(INDEX('My equipment'!$D$4:$D$503,(_calc!$E$463-500)))=0,"",INDEX('My equipment'!$D$4:$D$503,(_calc!$E$463-500))))=0,"","Serial: "&amp;IF(LEN(INDEX('My equipment'!$D$4:$D$503,(_calc!$E$463-500)))=0,"",INDEX('My equipment'!$D$4:$D$503,(_calc!$E$463-500)))&amp;". ")&amp;IF(LEN(IF(ISNUMBER(INDEX('My equipment'!$J$4:$J$503,(_calc!$E$463-500))),TEXT(INDEX('My equipment'!$J$4:$J$503,(_calc!$E$463-500)),"yyyy-mm-dd"),""))=0,"","Parts end: "&amp;IF(ISNUMBER(INDEX('My equipment'!$J$4:$J$503,(_calc!$E$463-500))),TEXT(INDEX('My equipment'!$J$4:$J$503,(_calc!$E$463-500)),"yyyy-mm-dd"),"")&amp;". ")&amp;IF(LEN(IF(ISNUMBER(INDEX('My equipment'!$L$4:$L$503,(_calc!$E$463-500))),TEXT(INDEX('My equipment'!$L$4:$L$503,(_calc!$E$463-500)),"yyyy-mm-dd"),""))=0,"","Labor end: "&amp;IF(ISNUMBER(INDEX('My equipment'!$L$4:$L$503,(_calc!$E$463-500))),TEXT(INDEX('My equipment'!$L$4:$L$503,(_calc!$E$463-500)),"yyyy-mm-dd"),"")&amp;". ")&amp;IF(LEN(IF(ISNUMBER(INDEX('My equipment'!$P$4:$P$503,(_calc!$E$463-500))),TEXT(INDEX('My equipment'!$P$4:$P$503,(_calc!$E$463-500)),"yyyy-mm-dd"),""))=0,"","Check by: "&amp;IF(ISNUMBER(INDEX('My equipment'!$P$4:$P$503,(_calc!$E$463-500))),TEXT(INDEX('My equipment'!$P$4:$P$503,(_calc!$E$463-500)),"yyyy-mm-dd"),"")&amp;". ")&amp;IF(LEN(IF(LEN(INDEX('My equipment'!$Q$4:$Q$503,(_calc!$E$463-500)))=0,"",INDEX('My equipment'!$Q$4:$Q$503,(_calc!$E$463-500))))=0,"","Claim status: "&amp;IF(LEN(INDEX('My equipment'!$Q$4:$Q$503,(_calc!$E$463-500)))=0,"",INDEX('My equipment'!$Q$4:$Q$503,(_calc!$E$463-500)))&amp;". ")&amp;IF(LEN(IF(LEN(INDEX('My equipment'!$R$4:$R$503,(_calc!$E$463-500)))=0,"",INDEX('My equipment'!$R$4:$R$503,(_calc!$E$463-500))))=0,"","Claims contact: "&amp;IF(LEN(INDEX('My equipment'!$R$4:$R$503,(_calc!$E$463-500)))=0,"",INDEX('My equipment'!$R$4:$R$503,(_calc!$E$463-500)))&amp;". ")&amp;IF(LEN(IF(LEN(INDEX('My equipment'!$S$4:$S$503,(_calc!$E$463-500)))=0,"",INDEX('My equipment'!$S$4:$S$503,(_calc!$E$463-500))))=0,"","Claims email: "&amp;IF(LEN(INDEX('My equipment'!$S$4:$S$503,(_calc!$E$463-500)))=0,"",INDEX('My equipment'!$S$4:$S$503,(_calc!$E$463-500)))&amp;". ")&amp;IF(LEN(IF(LEN(INDEX('My equipment'!$U$4:$U$503,(_calc!$E$463-500)))=0,"",INDEX('My equipment'!$U$4:$U$503,(_calc!$E$463-500))))=0,"","Registered: "&amp;IF(LEN(INDEX('My equipment'!$U$4:$U$503,(_calc!$E$463-500)))=0,"",INDEX('My equipment'!$U$4:$U$503,(_calc!$E$463-500)))&amp;". ")&amp;IF(LEN(IF(LEN(INDEX('My equipment'!$V$4:$V$503,(_calc!$E$463-500)))=0,"",INDEX('My equipment'!$V$4:$V$503,(_calc!$E$463-500))))=0,"","Proof on file: "&amp;IF(LEN(INDEX('My equipment'!$V$4:$V$503,(_calc!$E$463-500)))=0,"",INDEX('My equipment'!$V$4:$V$503,(_calc!$E$463-500)))&amp;". ")&amp;IF(LEN(IF(LEN(INDEX('My equipment'!$W$4:$W$503,(_calc!$E$463-500)))=0,"",INDEX('My equipment'!$W$4:$W$503,(_calc!$E$463-500))))=0,"","Claim ref: "&amp;IF(LEN(INDEX('My equipment'!$W$4:$W$503,(_calc!$E$463-500)))=0,"",INDEX('My equipment'!$W$4:$W$503,(_calc!$E$463-500)))&amp;". ")&amp;IF(LEN(IF(LEN(INDEX('My equipment'!$Y$4:$Y$503,(_calc!$E$463-500)))=0,"",INDEX('My equipment'!$Y$4:$Y$503,(_calc!$E$463-500))))=0,"",IF(LEN(INDEX('My equipment'!$Y$4:$Y$503,(_calc!$E$463-500)))=0,"",INDEX('My equipment'!$Y$4:$Y$503,(_calc!$E$463-500)))))))</f>
        <v/>
      </c>
      <c r="G461" s="54">
        <f>IF(_calc!$E$463="","",IF(_calc!$E$463&lt;=500,"",IF(LEN(INDEX('My equipment'!$X$4:$X$503,(_calc!$E$463-500)))=0,"",INDEX('My equipment'!$X$4:$X$503,(_calc!$E$463-500)))))</f>
        <v/>
      </c>
      <c r="K461" s="54">
        <f>IF(_calc!$E$463="","",IF(_calc!$E$463&lt;=500,"",IF(LEN(INDEX('My equipment'!$T$4:$T$503,(_calc!$E$463-500)))=0,"",INDEX('My equipment'!$T$4:$T$503,(_calc!$E$463-500)))))</f>
        <v/>
      </c>
    </row>
    <row r="462">
      <c r="A462" s="54">
        <f>IF(_calc!$E$464="","",IF(_calc!$E$464&lt;=500,"Warranty – "&amp;IF(LEN(INDEX('Dealer pipeline'!$C$4:$C$503,_calc!$E$464))=0,"",INDEX('Dealer pipeline'!$C$4:$C$503,_calc!$E$464))&amp;" – "&amp;IF(LEN(INDEX('Dealer pipeline'!$D$4:$D$503,_calc!$E$464))=0,"",INDEX('Dealer pipeline'!$D$4:$D$503,_calc!$E$464))&amp;" – "&amp;IF(LEN(INDEX('Dealer pipeline'!$A$4:$A$503,_calc!$E$464))=0,"",INDEX('Dealer pipeline'!$A$4:$A$503,_calc!$E$464)),"Warranty – "&amp;IF(LEN(INDEX('My equipment'!$A$4:$A$503,(_calc!$E$464-500)))=0,"",INDEX('My equipment'!$A$4:$A$503,(_calc!$E$464-500)))&amp;" – "&amp;IF(LEN(INDEX('My equipment'!$D$4:$D$503,(_calc!$E$464-500)))=0,"",INDEX('My equipment'!$D$4:$D$503,(_calc!$E$464-500)))))</f>
        <v/>
      </c>
      <c r="B462" s="54">
        <f>IF(_calc!$E$464="","",IF(_calc!$E$464&lt;=500,IF(ISNUMBER(INDEX('Dealer pipeline'!$M$4:$M$503,_calc!$E$464)),TEXT(INDEX('Dealer pipeline'!$M$4:$M$503,_calc!$E$464),"yyyy-mm-dd"),""),IF(ISNUMBER(INDEX('My equipment'!$M$4:$M$503,(_calc!$E$464-500))),TEXT(INDEX('My equipment'!$M$4:$M$503,(_calc!$E$464-500)),"yyyy-mm-dd"),"")))</f>
        <v/>
      </c>
      <c r="C462" s="54">
        <f>IF(_calc!$E$464="","",IF(_calc!$E$464&lt;=500,"Warranty","Warranty"))</f>
        <v/>
      </c>
      <c r="D462" s="54">
        <f>IF(_calc!$E$464="","",IF(_calc!$E$464&lt;=500,IF(ISNUMBER(INDEX('Dealer pipeline'!$H$4:$H$503,_calc!$E$464)),TEXT(INDEX('Dealer pipeline'!$H$4:$H$503,_calc!$E$464),"yyyy-mm-dd"),""),IF(ISNUMBER(INDEX('My equipment'!$H$4:$H$503,(_calc!$E$464-500))),TEXT(INDEX('My equipment'!$H$4:$H$503,(_calc!$E$464-500)),"yyyy-mm-dd"),"")))</f>
        <v/>
      </c>
      <c r="F462" s="54">
        <f>IF(_calc!$E$464="","",IF(_calc!$E$464&lt;=500,TRIM(IF(LEN(IF(LEN(INDEX('Dealer pipeline'!$A$4:$A$503,_calc!$E$464))=0,"",INDEX('Dealer pipeline'!$A$4:$A$503,_calc!$E$464)))=0,"","Customer: "&amp;IF(LEN(INDEX('Dealer pipeline'!$A$4:$A$503,_calc!$E$464))=0,"",INDEX('Dealer pipeline'!$A$4:$A$503,_calc!$E$464))&amp;". ")&amp;IF(LEN(IF(LEN(INDEX('Dealer pipeline'!$B$4:$B$503,_calc!$E$464))=0,"",INDEX('Dealer pipeline'!$B$4:$B$503,_calc!$E$464)))=0,"","Contact: "&amp;IF(LEN(INDEX('Dealer pipeline'!$B$4:$B$503,_calc!$E$464))=0,"",INDEX('Dealer pipeline'!$B$4:$B$503,_calc!$E$464))&amp;". ")&amp;IF(LEN(IF(LEN(INDEX('Dealer pipeline'!$D$4:$D$503,_calc!$E$464))=0,"",INDEX('Dealer pipeline'!$D$4:$D$503,_calc!$E$464)))=0,"","Serial: "&amp;IF(LEN(INDEX('Dealer pipeline'!$D$4:$D$503,_calc!$E$464))=0,"",INDEX('Dealer pipeline'!$D$4:$D$503,_calc!$E$464))&amp;". ")&amp;IF(LEN(IF(ISNUMBER(INDEX('Dealer pipeline'!$J$4:$J$503,_calc!$E$464)),TEXT(INDEX('Dealer pipeline'!$J$4:$J$503,_calc!$E$464),"yyyy-mm-dd"),""))=0,"","Parts end: "&amp;IF(ISNUMBER(INDEX('Dealer pipeline'!$J$4:$J$503,_calc!$E$464)),TEXT(INDEX('Dealer pipeline'!$J$4:$J$503,_calc!$E$464),"yyyy-mm-dd"),"")&amp;". ")&amp;IF(LEN(IF(ISNUMBER(INDEX('Dealer pipeline'!$L$4:$L$503,_calc!$E$464)),TEXT(INDEX('Dealer pipeline'!$L$4:$L$503,_calc!$E$464),"yyyy-mm-dd"),""))=0,"","Labor end: "&amp;IF(ISNUMBER(INDEX('Dealer pipeline'!$L$4:$L$503,_calc!$E$464)),TEXT(INDEX('Dealer pipeline'!$L$4:$L$503,_calc!$E$464),"yyyy-mm-dd"),"")&amp;". ")&amp;IF(LEN(IF(LEN(INDEX('Dealer pipeline'!$Q$4:$Q$503,_calc!$E$464))=0,"",INDEX('Dealer pipeline'!$Q$4:$Q$503,_calc!$E$464)))=0,"","Status: "&amp;IF(LEN(INDEX('Dealer pipeline'!$Q$4:$Q$503,_calc!$E$464))=0,"",INDEX('Dealer pipeline'!$Q$4:$Q$503,_calc!$E$464))&amp;". ")&amp;IF(LEN(IF(LEN(INDEX('Dealer pipeline'!$P$4:$P$503,_calc!$E$464))=0,"",INDEX('Dealer pipeline'!$P$4:$P$503,_calc!$E$464)))=0,"","Last touch: "&amp;IF(LEN(INDEX('Dealer pipeline'!$P$4:$P$503,_calc!$E$464))=0,"",INDEX('Dealer pipeline'!$P$4:$P$503,_calc!$E$464))&amp;". ")&amp;IF(LEN(IF(LEN(INDEX('Dealer pipeline'!$R$4:$R$503,_calc!$E$464))=0,"",INDEX('Dealer pipeline'!$R$4:$R$503,_calc!$E$464)))=0,"","Owner: "&amp;IF(LEN(INDEX('Dealer pipeline'!$R$4:$R$503,_calc!$E$464))=0,"",INDEX('Dealer pipeline'!$R$4:$R$503,_calc!$E$464))&amp;". ")&amp;IF(LEN(IF(LEN(INDEX('Dealer pipeline'!$S$4:$S$503,_calc!$E$464))=0,"",INDEX('Dealer pipeline'!$S$4:$S$503,_calc!$E$464)))=0,"","Backup: "&amp;IF(LEN(INDEX('Dealer pipeline'!$S$4:$S$503,_calc!$E$464))=0,"",INDEX('Dealer pipeline'!$S$4:$S$503,_calc!$E$464))&amp;". ")&amp;IF(LEN(IF(LEN(INDEX('Dealer pipeline'!$T$4:$T$503,_calc!$E$464))=0,"",INDEX('Dealer pipeline'!$T$4:$T$503,_calc!$E$464)))=0,"",IF(LEN(INDEX('Dealer pipeline'!$T$4:$T$503,_calc!$E$464))=0,"",INDEX('Dealer pipeline'!$T$4:$T$503,_calc!$E$464)))),TRIM(IF(LEN(IF(LEN(INDEX('My equipment'!$C$4:$C$503,(_calc!$E$464-500)))=0,"",INDEX('My equipment'!$C$4:$C$503,(_calc!$E$464-500))))=0,"","Model: "&amp;IF(LEN(INDEX('My equipment'!$C$4:$C$503,(_calc!$E$464-500)))=0,"",INDEX('My equipment'!$C$4:$C$503,(_calc!$E$464-500)))&amp;". ")&amp;IF(LEN(IF(LEN(INDEX('My equipment'!$D$4:$D$503,(_calc!$E$464-500)))=0,"",INDEX('My equipment'!$D$4:$D$503,(_calc!$E$464-500))))=0,"","Serial: "&amp;IF(LEN(INDEX('My equipment'!$D$4:$D$503,(_calc!$E$464-500)))=0,"",INDEX('My equipment'!$D$4:$D$503,(_calc!$E$464-500)))&amp;". ")&amp;IF(LEN(IF(ISNUMBER(INDEX('My equipment'!$J$4:$J$503,(_calc!$E$464-500))),TEXT(INDEX('My equipment'!$J$4:$J$503,(_calc!$E$464-500)),"yyyy-mm-dd"),""))=0,"","Parts end: "&amp;IF(ISNUMBER(INDEX('My equipment'!$J$4:$J$503,(_calc!$E$464-500))),TEXT(INDEX('My equipment'!$J$4:$J$503,(_calc!$E$464-500)),"yyyy-mm-dd"),"")&amp;". ")&amp;IF(LEN(IF(ISNUMBER(INDEX('My equipment'!$L$4:$L$503,(_calc!$E$464-500))),TEXT(INDEX('My equipment'!$L$4:$L$503,(_calc!$E$464-500)),"yyyy-mm-dd"),""))=0,"","Labor end: "&amp;IF(ISNUMBER(INDEX('My equipment'!$L$4:$L$503,(_calc!$E$464-500))),TEXT(INDEX('My equipment'!$L$4:$L$503,(_calc!$E$464-500)),"yyyy-mm-dd"),"")&amp;". ")&amp;IF(LEN(IF(ISNUMBER(INDEX('My equipment'!$P$4:$P$503,(_calc!$E$464-500))),TEXT(INDEX('My equipment'!$P$4:$P$503,(_calc!$E$464-500)),"yyyy-mm-dd"),""))=0,"","Check by: "&amp;IF(ISNUMBER(INDEX('My equipment'!$P$4:$P$503,(_calc!$E$464-500))),TEXT(INDEX('My equipment'!$P$4:$P$503,(_calc!$E$464-500)),"yyyy-mm-dd"),"")&amp;". ")&amp;IF(LEN(IF(LEN(INDEX('My equipment'!$Q$4:$Q$503,(_calc!$E$464-500)))=0,"",INDEX('My equipment'!$Q$4:$Q$503,(_calc!$E$464-500))))=0,"","Claim status: "&amp;IF(LEN(INDEX('My equipment'!$Q$4:$Q$503,(_calc!$E$464-500)))=0,"",INDEX('My equipment'!$Q$4:$Q$503,(_calc!$E$464-500)))&amp;". ")&amp;IF(LEN(IF(LEN(INDEX('My equipment'!$R$4:$R$503,(_calc!$E$464-500)))=0,"",INDEX('My equipment'!$R$4:$R$503,(_calc!$E$464-500))))=0,"","Claims contact: "&amp;IF(LEN(INDEX('My equipment'!$R$4:$R$503,(_calc!$E$464-500)))=0,"",INDEX('My equipment'!$R$4:$R$503,(_calc!$E$464-500)))&amp;". ")&amp;IF(LEN(IF(LEN(INDEX('My equipment'!$S$4:$S$503,(_calc!$E$464-500)))=0,"",INDEX('My equipment'!$S$4:$S$503,(_calc!$E$464-500))))=0,"","Claims email: "&amp;IF(LEN(INDEX('My equipment'!$S$4:$S$503,(_calc!$E$464-500)))=0,"",INDEX('My equipment'!$S$4:$S$503,(_calc!$E$464-500)))&amp;". ")&amp;IF(LEN(IF(LEN(INDEX('My equipment'!$U$4:$U$503,(_calc!$E$464-500)))=0,"",INDEX('My equipment'!$U$4:$U$503,(_calc!$E$464-500))))=0,"","Registered: "&amp;IF(LEN(INDEX('My equipment'!$U$4:$U$503,(_calc!$E$464-500)))=0,"",INDEX('My equipment'!$U$4:$U$503,(_calc!$E$464-500)))&amp;". ")&amp;IF(LEN(IF(LEN(INDEX('My equipment'!$V$4:$V$503,(_calc!$E$464-500)))=0,"",INDEX('My equipment'!$V$4:$V$503,(_calc!$E$464-500))))=0,"","Proof on file: "&amp;IF(LEN(INDEX('My equipment'!$V$4:$V$503,(_calc!$E$464-500)))=0,"",INDEX('My equipment'!$V$4:$V$503,(_calc!$E$464-500)))&amp;". ")&amp;IF(LEN(IF(LEN(INDEX('My equipment'!$W$4:$W$503,(_calc!$E$464-500)))=0,"",INDEX('My equipment'!$W$4:$W$503,(_calc!$E$464-500))))=0,"","Claim ref: "&amp;IF(LEN(INDEX('My equipment'!$W$4:$W$503,(_calc!$E$464-500)))=0,"",INDEX('My equipment'!$W$4:$W$503,(_calc!$E$464-500)))&amp;". ")&amp;IF(LEN(IF(LEN(INDEX('My equipment'!$Y$4:$Y$503,(_calc!$E$464-500)))=0,"",INDEX('My equipment'!$Y$4:$Y$503,(_calc!$E$464-500))))=0,"",IF(LEN(INDEX('My equipment'!$Y$4:$Y$503,(_calc!$E$464-500)))=0,"",INDEX('My equipment'!$Y$4:$Y$503,(_calc!$E$464-500)))))))</f>
        <v/>
      </c>
      <c r="G462" s="54">
        <f>IF(_calc!$E$464="","",IF(_calc!$E$464&lt;=500,"",IF(LEN(INDEX('My equipment'!$X$4:$X$503,(_calc!$E$464-500)))=0,"",INDEX('My equipment'!$X$4:$X$503,(_calc!$E$464-500)))))</f>
        <v/>
      </c>
      <c r="K462" s="54">
        <f>IF(_calc!$E$464="","",IF(_calc!$E$464&lt;=500,"",IF(LEN(INDEX('My equipment'!$T$4:$T$503,(_calc!$E$464-500)))=0,"",INDEX('My equipment'!$T$4:$T$503,(_calc!$E$464-500)))))</f>
        <v/>
      </c>
    </row>
    <row r="463">
      <c r="A463" s="54">
        <f>IF(_calc!$E$465="","",IF(_calc!$E$465&lt;=500,"Warranty – "&amp;IF(LEN(INDEX('Dealer pipeline'!$C$4:$C$503,_calc!$E$465))=0,"",INDEX('Dealer pipeline'!$C$4:$C$503,_calc!$E$465))&amp;" – "&amp;IF(LEN(INDEX('Dealer pipeline'!$D$4:$D$503,_calc!$E$465))=0,"",INDEX('Dealer pipeline'!$D$4:$D$503,_calc!$E$465))&amp;" – "&amp;IF(LEN(INDEX('Dealer pipeline'!$A$4:$A$503,_calc!$E$465))=0,"",INDEX('Dealer pipeline'!$A$4:$A$503,_calc!$E$465)),"Warranty – "&amp;IF(LEN(INDEX('My equipment'!$A$4:$A$503,(_calc!$E$465-500)))=0,"",INDEX('My equipment'!$A$4:$A$503,(_calc!$E$465-500)))&amp;" – "&amp;IF(LEN(INDEX('My equipment'!$D$4:$D$503,(_calc!$E$465-500)))=0,"",INDEX('My equipment'!$D$4:$D$503,(_calc!$E$465-500)))))</f>
        <v/>
      </c>
      <c r="B463" s="54">
        <f>IF(_calc!$E$465="","",IF(_calc!$E$465&lt;=500,IF(ISNUMBER(INDEX('Dealer pipeline'!$M$4:$M$503,_calc!$E$465)),TEXT(INDEX('Dealer pipeline'!$M$4:$M$503,_calc!$E$465),"yyyy-mm-dd"),""),IF(ISNUMBER(INDEX('My equipment'!$M$4:$M$503,(_calc!$E$465-500))),TEXT(INDEX('My equipment'!$M$4:$M$503,(_calc!$E$465-500)),"yyyy-mm-dd"),"")))</f>
        <v/>
      </c>
      <c r="C463" s="54">
        <f>IF(_calc!$E$465="","",IF(_calc!$E$465&lt;=500,"Warranty","Warranty"))</f>
        <v/>
      </c>
      <c r="D463" s="54">
        <f>IF(_calc!$E$465="","",IF(_calc!$E$465&lt;=500,IF(ISNUMBER(INDEX('Dealer pipeline'!$H$4:$H$503,_calc!$E$465)),TEXT(INDEX('Dealer pipeline'!$H$4:$H$503,_calc!$E$465),"yyyy-mm-dd"),""),IF(ISNUMBER(INDEX('My equipment'!$H$4:$H$503,(_calc!$E$465-500))),TEXT(INDEX('My equipment'!$H$4:$H$503,(_calc!$E$465-500)),"yyyy-mm-dd"),"")))</f>
        <v/>
      </c>
      <c r="F463" s="54">
        <f>IF(_calc!$E$465="","",IF(_calc!$E$465&lt;=500,TRIM(IF(LEN(IF(LEN(INDEX('Dealer pipeline'!$A$4:$A$503,_calc!$E$465))=0,"",INDEX('Dealer pipeline'!$A$4:$A$503,_calc!$E$465)))=0,"","Customer: "&amp;IF(LEN(INDEX('Dealer pipeline'!$A$4:$A$503,_calc!$E$465))=0,"",INDEX('Dealer pipeline'!$A$4:$A$503,_calc!$E$465))&amp;". ")&amp;IF(LEN(IF(LEN(INDEX('Dealer pipeline'!$B$4:$B$503,_calc!$E$465))=0,"",INDEX('Dealer pipeline'!$B$4:$B$503,_calc!$E$465)))=0,"","Contact: "&amp;IF(LEN(INDEX('Dealer pipeline'!$B$4:$B$503,_calc!$E$465))=0,"",INDEX('Dealer pipeline'!$B$4:$B$503,_calc!$E$465))&amp;". ")&amp;IF(LEN(IF(LEN(INDEX('Dealer pipeline'!$D$4:$D$503,_calc!$E$465))=0,"",INDEX('Dealer pipeline'!$D$4:$D$503,_calc!$E$465)))=0,"","Serial: "&amp;IF(LEN(INDEX('Dealer pipeline'!$D$4:$D$503,_calc!$E$465))=0,"",INDEX('Dealer pipeline'!$D$4:$D$503,_calc!$E$465))&amp;". ")&amp;IF(LEN(IF(ISNUMBER(INDEX('Dealer pipeline'!$J$4:$J$503,_calc!$E$465)),TEXT(INDEX('Dealer pipeline'!$J$4:$J$503,_calc!$E$465),"yyyy-mm-dd"),""))=0,"","Parts end: "&amp;IF(ISNUMBER(INDEX('Dealer pipeline'!$J$4:$J$503,_calc!$E$465)),TEXT(INDEX('Dealer pipeline'!$J$4:$J$503,_calc!$E$465),"yyyy-mm-dd"),"")&amp;". ")&amp;IF(LEN(IF(ISNUMBER(INDEX('Dealer pipeline'!$L$4:$L$503,_calc!$E$465)),TEXT(INDEX('Dealer pipeline'!$L$4:$L$503,_calc!$E$465),"yyyy-mm-dd"),""))=0,"","Labor end: "&amp;IF(ISNUMBER(INDEX('Dealer pipeline'!$L$4:$L$503,_calc!$E$465)),TEXT(INDEX('Dealer pipeline'!$L$4:$L$503,_calc!$E$465),"yyyy-mm-dd"),"")&amp;". ")&amp;IF(LEN(IF(LEN(INDEX('Dealer pipeline'!$Q$4:$Q$503,_calc!$E$465))=0,"",INDEX('Dealer pipeline'!$Q$4:$Q$503,_calc!$E$465)))=0,"","Status: "&amp;IF(LEN(INDEX('Dealer pipeline'!$Q$4:$Q$503,_calc!$E$465))=0,"",INDEX('Dealer pipeline'!$Q$4:$Q$503,_calc!$E$465))&amp;". ")&amp;IF(LEN(IF(LEN(INDEX('Dealer pipeline'!$P$4:$P$503,_calc!$E$465))=0,"",INDEX('Dealer pipeline'!$P$4:$P$503,_calc!$E$465)))=0,"","Last touch: "&amp;IF(LEN(INDEX('Dealer pipeline'!$P$4:$P$503,_calc!$E$465))=0,"",INDEX('Dealer pipeline'!$P$4:$P$503,_calc!$E$465))&amp;". ")&amp;IF(LEN(IF(LEN(INDEX('Dealer pipeline'!$R$4:$R$503,_calc!$E$465))=0,"",INDEX('Dealer pipeline'!$R$4:$R$503,_calc!$E$465)))=0,"","Owner: "&amp;IF(LEN(INDEX('Dealer pipeline'!$R$4:$R$503,_calc!$E$465))=0,"",INDEX('Dealer pipeline'!$R$4:$R$503,_calc!$E$465))&amp;". ")&amp;IF(LEN(IF(LEN(INDEX('Dealer pipeline'!$S$4:$S$503,_calc!$E$465))=0,"",INDEX('Dealer pipeline'!$S$4:$S$503,_calc!$E$465)))=0,"","Backup: "&amp;IF(LEN(INDEX('Dealer pipeline'!$S$4:$S$503,_calc!$E$465))=0,"",INDEX('Dealer pipeline'!$S$4:$S$503,_calc!$E$465))&amp;". ")&amp;IF(LEN(IF(LEN(INDEX('Dealer pipeline'!$T$4:$T$503,_calc!$E$465))=0,"",INDEX('Dealer pipeline'!$T$4:$T$503,_calc!$E$465)))=0,"",IF(LEN(INDEX('Dealer pipeline'!$T$4:$T$503,_calc!$E$465))=0,"",INDEX('Dealer pipeline'!$T$4:$T$503,_calc!$E$465)))),TRIM(IF(LEN(IF(LEN(INDEX('My equipment'!$C$4:$C$503,(_calc!$E$465-500)))=0,"",INDEX('My equipment'!$C$4:$C$503,(_calc!$E$465-500))))=0,"","Model: "&amp;IF(LEN(INDEX('My equipment'!$C$4:$C$503,(_calc!$E$465-500)))=0,"",INDEX('My equipment'!$C$4:$C$503,(_calc!$E$465-500)))&amp;". ")&amp;IF(LEN(IF(LEN(INDEX('My equipment'!$D$4:$D$503,(_calc!$E$465-500)))=0,"",INDEX('My equipment'!$D$4:$D$503,(_calc!$E$465-500))))=0,"","Serial: "&amp;IF(LEN(INDEX('My equipment'!$D$4:$D$503,(_calc!$E$465-500)))=0,"",INDEX('My equipment'!$D$4:$D$503,(_calc!$E$465-500)))&amp;". ")&amp;IF(LEN(IF(ISNUMBER(INDEX('My equipment'!$J$4:$J$503,(_calc!$E$465-500))),TEXT(INDEX('My equipment'!$J$4:$J$503,(_calc!$E$465-500)),"yyyy-mm-dd"),""))=0,"","Parts end: "&amp;IF(ISNUMBER(INDEX('My equipment'!$J$4:$J$503,(_calc!$E$465-500))),TEXT(INDEX('My equipment'!$J$4:$J$503,(_calc!$E$465-500)),"yyyy-mm-dd"),"")&amp;". ")&amp;IF(LEN(IF(ISNUMBER(INDEX('My equipment'!$L$4:$L$503,(_calc!$E$465-500))),TEXT(INDEX('My equipment'!$L$4:$L$503,(_calc!$E$465-500)),"yyyy-mm-dd"),""))=0,"","Labor end: "&amp;IF(ISNUMBER(INDEX('My equipment'!$L$4:$L$503,(_calc!$E$465-500))),TEXT(INDEX('My equipment'!$L$4:$L$503,(_calc!$E$465-500)),"yyyy-mm-dd"),"")&amp;". ")&amp;IF(LEN(IF(ISNUMBER(INDEX('My equipment'!$P$4:$P$503,(_calc!$E$465-500))),TEXT(INDEX('My equipment'!$P$4:$P$503,(_calc!$E$465-500)),"yyyy-mm-dd"),""))=0,"","Check by: "&amp;IF(ISNUMBER(INDEX('My equipment'!$P$4:$P$503,(_calc!$E$465-500))),TEXT(INDEX('My equipment'!$P$4:$P$503,(_calc!$E$465-500)),"yyyy-mm-dd"),"")&amp;". ")&amp;IF(LEN(IF(LEN(INDEX('My equipment'!$Q$4:$Q$503,(_calc!$E$465-500)))=0,"",INDEX('My equipment'!$Q$4:$Q$503,(_calc!$E$465-500))))=0,"","Claim status: "&amp;IF(LEN(INDEX('My equipment'!$Q$4:$Q$503,(_calc!$E$465-500)))=0,"",INDEX('My equipment'!$Q$4:$Q$503,(_calc!$E$465-500)))&amp;". ")&amp;IF(LEN(IF(LEN(INDEX('My equipment'!$R$4:$R$503,(_calc!$E$465-500)))=0,"",INDEX('My equipment'!$R$4:$R$503,(_calc!$E$465-500))))=0,"","Claims contact: "&amp;IF(LEN(INDEX('My equipment'!$R$4:$R$503,(_calc!$E$465-500)))=0,"",INDEX('My equipment'!$R$4:$R$503,(_calc!$E$465-500)))&amp;". ")&amp;IF(LEN(IF(LEN(INDEX('My equipment'!$S$4:$S$503,(_calc!$E$465-500)))=0,"",INDEX('My equipment'!$S$4:$S$503,(_calc!$E$465-500))))=0,"","Claims email: "&amp;IF(LEN(INDEX('My equipment'!$S$4:$S$503,(_calc!$E$465-500)))=0,"",INDEX('My equipment'!$S$4:$S$503,(_calc!$E$465-500)))&amp;". ")&amp;IF(LEN(IF(LEN(INDEX('My equipment'!$U$4:$U$503,(_calc!$E$465-500)))=0,"",INDEX('My equipment'!$U$4:$U$503,(_calc!$E$465-500))))=0,"","Registered: "&amp;IF(LEN(INDEX('My equipment'!$U$4:$U$503,(_calc!$E$465-500)))=0,"",INDEX('My equipment'!$U$4:$U$503,(_calc!$E$465-500)))&amp;". ")&amp;IF(LEN(IF(LEN(INDEX('My equipment'!$V$4:$V$503,(_calc!$E$465-500)))=0,"",INDEX('My equipment'!$V$4:$V$503,(_calc!$E$465-500))))=0,"","Proof on file: "&amp;IF(LEN(INDEX('My equipment'!$V$4:$V$503,(_calc!$E$465-500)))=0,"",INDEX('My equipment'!$V$4:$V$503,(_calc!$E$465-500)))&amp;". ")&amp;IF(LEN(IF(LEN(INDEX('My equipment'!$W$4:$W$503,(_calc!$E$465-500)))=0,"",INDEX('My equipment'!$W$4:$W$503,(_calc!$E$465-500))))=0,"","Claim ref: "&amp;IF(LEN(INDEX('My equipment'!$W$4:$W$503,(_calc!$E$465-500)))=0,"",INDEX('My equipment'!$W$4:$W$503,(_calc!$E$465-500)))&amp;". ")&amp;IF(LEN(IF(LEN(INDEX('My equipment'!$Y$4:$Y$503,(_calc!$E$465-500)))=0,"",INDEX('My equipment'!$Y$4:$Y$503,(_calc!$E$465-500))))=0,"",IF(LEN(INDEX('My equipment'!$Y$4:$Y$503,(_calc!$E$465-500)))=0,"",INDEX('My equipment'!$Y$4:$Y$503,(_calc!$E$465-500)))))))</f>
        <v/>
      </c>
      <c r="G463" s="54">
        <f>IF(_calc!$E$465="","",IF(_calc!$E$465&lt;=500,"",IF(LEN(INDEX('My equipment'!$X$4:$X$503,(_calc!$E$465-500)))=0,"",INDEX('My equipment'!$X$4:$X$503,(_calc!$E$465-500)))))</f>
        <v/>
      </c>
      <c r="K463" s="54">
        <f>IF(_calc!$E$465="","",IF(_calc!$E$465&lt;=500,"",IF(LEN(INDEX('My equipment'!$T$4:$T$503,(_calc!$E$465-500)))=0,"",INDEX('My equipment'!$T$4:$T$503,(_calc!$E$465-500)))))</f>
        <v/>
      </c>
    </row>
    <row r="464">
      <c r="A464" s="54">
        <f>IF(_calc!$E$466="","",IF(_calc!$E$466&lt;=500,"Warranty – "&amp;IF(LEN(INDEX('Dealer pipeline'!$C$4:$C$503,_calc!$E$466))=0,"",INDEX('Dealer pipeline'!$C$4:$C$503,_calc!$E$466))&amp;" – "&amp;IF(LEN(INDEX('Dealer pipeline'!$D$4:$D$503,_calc!$E$466))=0,"",INDEX('Dealer pipeline'!$D$4:$D$503,_calc!$E$466))&amp;" – "&amp;IF(LEN(INDEX('Dealer pipeline'!$A$4:$A$503,_calc!$E$466))=0,"",INDEX('Dealer pipeline'!$A$4:$A$503,_calc!$E$466)),"Warranty – "&amp;IF(LEN(INDEX('My equipment'!$A$4:$A$503,(_calc!$E$466-500)))=0,"",INDEX('My equipment'!$A$4:$A$503,(_calc!$E$466-500)))&amp;" – "&amp;IF(LEN(INDEX('My equipment'!$D$4:$D$503,(_calc!$E$466-500)))=0,"",INDEX('My equipment'!$D$4:$D$503,(_calc!$E$466-500)))))</f>
        <v/>
      </c>
      <c r="B464" s="54">
        <f>IF(_calc!$E$466="","",IF(_calc!$E$466&lt;=500,IF(ISNUMBER(INDEX('Dealer pipeline'!$M$4:$M$503,_calc!$E$466)),TEXT(INDEX('Dealer pipeline'!$M$4:$M$503,_calc!$E$466),"yyyy-mm-dd"),""),IF(ISNUMBER(INDEX('My equipment'!$M$4:$M$503,(_calc!$E$466-500))),TEXT(INDEX('My equipment'!$M$4:$M$503,(_calc!$E$466-500)),"yyyy-mm-dd"),"")))</f>
        <v/>
      </c>
      <c r="C464" s="54">
        <f>IF(_calc!$E$466="","",IF(_calc!$E$466&lt;=500,"Warranty","Warranty"))</f>
        <v/>
      </c>
      <c r="D464" s="54">
        <f>IF(_calc!$E$466="","",IF(_calc!$E$466&lt;=500,IF(ISNUMBER(INDEX('Dealer pipeline'!$H$4:$H$503,_calc!$E$466)),TEXT(INDEX('Dealer pipeline'!$H$4:$H$503,_calc!$E$466),"yyyy-mm-dd"),""),IF(ISNUMBER(INDEX('My equipment'!$H$4:$H$503,(_calc!$E$466-500))),TEXT(INDEX('My equipment'!$H$4:$H$503,(_calc!$E$466-500)),"yyyy-mm-dd"),"")))</f>
        <v/>
      </c>
      <c r="F464" s="54">
        <f>IF(_calc!$E$466="","",IF(_calc!$E$466&lt;=500,TRIM(IF(LEN(IF(LEN(INDEX('Dealer pipeline'!$A$4:$A$503,_calc!$E$466))=0,"",INDEX('Dealer pipeline'!$A$4:$A$503,_calc!$E$466)))=0,"","Customer: "&amp;IF(LEN(INDEX('Dealer pipeline'!$A$4:$A$503,_calc!$E$466))=0,"",INDEX('Dealer pipeline'!$A$4:$A$503,_calc!$E$466))&amp;". ")&amp;IF(LEN(IF(LEN(INDEX('Dealer pipeline'!$B$4:$B$503,_calc!$E$466))=0,"",INDEX('Dealer pipeline'!$B$4:$B$503,_calc!$E$466)))=0,"","Contact: "&amp;IF(LEN(INDEX('Dealer pipeline'!$B$4:$B$503,_calc!$E$466))=0,"",INDEX('Dealer pipeline'!$B$4:$B$503,_calc!$E$466))&amp;". ")&amp;IF(LEN(IF(LEN(INDEX('Dealer pipeline'!$D$4:$D$503,_calc!$E$466))=0,"",INDEX('Dealer pipeline'!$D$4:$D$503,_calc!$E$466)))=0,"","Serial: "&amp;IF(LEN(INDEX('Dealer pipeline'!$D$4:$D$503,_calc!$E$466))=0,"",INDEX('Dealer pipeline'!$D$4:$D$503,_calc!$E$466))&amp;". ")&amp;IF(LEN(IF(ISNUMBER(INDEX('Dealer pipeline'!$J$4:$J$503,_calc!$E$466)),TEXT(INDEX('Dealer pipeline'!$J$4:$J$503,_calc!$E$466),"yyyy-mm-dd"),""))=0,"","Parts end: "&amp;IF(ISNUMBER(INDEX('Dealer pipeline'!$J$4:$J$503,_calc!$E$466)),TEXT(INDEX('Dealer pipeline'!$J$4:$J$503,_calc!$E$466),"yyyy-mm-dd"),"")&amp;". ")&amp;IF(LEN(IF(ISNUMBER(INDEX('Dealer pipeline'!$L$4:$L$503,_calc!$E$466)),TEXT(INDEX('Dealer pipeline'!$L$4:$L$503,_calc!$E$466),"yyyy-mm-dd"),""))=0,"","Labor end: "&amp;IF(ISNUMBER(INDEX('Dealer pipeline'!$L$4:$L$503,_calc!$E$466)),TEXT(INDEX('Dealer pipeline'!$L$4:$L$503,_calc!$E$466),"yyyy-mm-dd"),"")&amp;". ")&amp;IF(LEN(IF(LEN(INDEX('Dealer pipeline'!$Q$4:$Q$503,_calc!$E$466))=0,"",INDEX('Dealer pipeline'!$Q$4:$Q$503,_calc!$E$466)))=0,"","Status: "&amp;IF(LEN(INDEX('Dealer pipeline'!$Q$4:$Q$503,_calc!$E$466))=0,"",INDEX('Dealer pipeline'!$Q$4:$Q$503,_calc!$E$466))&amp;". ")&amp;IF(LEN(IF(LEN(INDEX('Dealer pipeline'!$P$4:$P$503,_calc!$E$466))=0,"",INDEX('Dealer pipeline'!$P$4:$P$503,_calc!$E$466)))=0,"","Last touch: "&amp;IF(LEN(INDEX('Dealer pipeline'!$P$4:$P$503,_calc!$E$466))=0,"",INDEX('Dealer pipeline'!$P$4:$P$503,_calc!$E$466))&amp;". ")&amp;IF(LEN(IF(LEN(INDEX('Dealer pipeline'!$R$4:$R$503,_calc!$E$466))=0,"",INDEX('Dealer pipeline'!$R$4:$R$503,_calc!$E$466)))=0,"","Owner: "&amp;IF(LEN(INDEX('Dealer pipeline'!$R$4:$R$503,_calc!$E$466))=0,"",INDEX('Dealer pipeline'!$R$4:$R$503,_calc!$E$466))&amp;". ")&amp;IF(LEN(IF(LEN(INDEX('Dealer pipeline'!$S$4:$S$503,_calc!$E$466))=0,"",INDEX('Dealer pipeline'!$S$4:$S$503,_calc!$E$466)))=0,"","Backup: "&amp;IF(LEN(INDEX('Dealer pipeline'!$S$4:$S$503,_calc!$E$466))=0,"",INDEX('Dealer pipeline'!$S$4:$S$503,_calc!$E$466))&amp;". ")&amp;IF(LEN(IF(LEN(INDEX('Dealer pipeline'!$T$4:$T$503,_calc!$E$466))=0,"",INDEX('Dealer pipeline'!$T$4:$T$503,_calc!$E$466)))=0,"",IF(LEN(INDEX('Dealer pipeline'!$T$4:$T$503,_calc!$E$466))=0,"",INDEX('Dealer pipeline'!$T$4:$T$503,_calc!$E$466)))),TRIM(IF(LEN(IF(LEN(INDEX('My equipment'!$C$4:$C$503,(_calc!$E$466-500)))=0,"",INDEX('My equipment'!$C$4:$C$503,(_calc!$E$466-500))))=0,"","Model: "&amp;IF(LEN(INDEX('My equipment'!$C$4:$C$503,(_calc!$E$466-500)))=0,"",INDEX('My equipment'!$C$4:$C$503,(_calc!$E$466-500)))&amp;". ")&amp;IF(LEN(IF(LEN(INDEX('My equipment'!$D$4:$D$503,(_calc!$E$466-500)))=0,"",INDEX('My equipment'!$D$4:$D$503,(_calc!$E$466-500))))=0,"","Serial: "&amp;IF(LEN(INDEX('My equipment'!$D$4:$D$503,(_calc!$E$466-500)))=0,"",INDEX('My equipment'!$D$4:$D$503,(_calc!$E$466-500)))&amp;". ")&amp;IF(LEN(IF(ISNUMBER(INDEX('My equipment'!$J$4:$J$503,(_calc!$E$466-500))),TEXT(INDEX('My equipment'!$J$4:$J$503,(_calc!$E$466-500)),"yyyy-mm-dd"),""))=0,"","Parts end: "&amp;IF(ISNUMBER(INDEX('My equipment'!$J$4:$J$503,(_calc!$E$466-500))),TEXT(INDEX('My equipment'!$J$4:$J$503,(_calc!$E$466-500)),"yyyy-mm-dd"),"")&amp;". ")&amp;IF(LEN(IF(ISNUMBER(INDEX('My equipment'!$L$4:$L$503,(_calc!$E$466-500))),TEXT(INDEX('My equipment'!$L$4:$L$503,(_calc!$E$466-500)),"yyyy-mm-dd"),""))=0,"","Labor end: "&amp;IF(ISNUMBER(INDEX('My equipment'!$L$4:$L$503,(_calc!$E$466-500))),TEXT(INDEX('My equipment'!$L$4:$L$503,(_calc!$E$466-500)),"yyyy-mm-dd"),"")&amp;". ")&amp;IF(LEN(IF(ISNUMBER(INDEX('My equipment'!$P$4:$P$503,(_calc!$E$466-500))),TEXT(INDEX('My equipment'!$P$4:$P$503,(_calc!$E$466-500)),"yyyy-mm-dd"),""))=0,"","Check by: "&amp;IF(ISNUMBER(INDEX('My equipment'!$P$4:$P$503,(_calc!$E$466-500))),TEXT(INDEX('My equipment'!$P$4:$P$503,(_calc!$E$466-500)),"yyyy-mm-dd"),"")&amp;". ")&amp;IF(LEN(IF(LEN(INDEX('My equipment'!$Q$4:$Q$503,(_calc!$E$466-500)))=0,"",INDEX('My equipment'!$Q$4:$Q$503,(_calc!$E$466-500))))=0,"","Claim status: "&amp;IF(LEN(INDEX('My equipment'!$Q$4:$Q$503,(_calc!$E$466-500)))=0,"",INDEX('My equipment'!$Q$4:$Q$503,(_calc!$E$466-500)))&amp;". ")&amp;IF(LEN(IF(LEN(INDEX('My equipment'!$R$4:$R$503,(_calc!$E$466-500)))=0,"",INDEX('My equipment'!$R$4:$R$503,(_calc!$E$466-500))))=0,"","Claims contact: "&amp;IF(LEN(INDEX('My equipment'!$R$4:$R$503,(_calc!$E$466-500)))=0,"",INDEX('My equipment'!$R$4:$R$503,(_calc!$E$466-500)))&amp;". ")&amp;IF(LEN(IF(LEN(INDEX('My equipment'!$S$4:$S$503,(_calc!$E$466-500)))=0,"",INDEX('My equipment'!$S$4:$S$503,(_calc!$E$466-500))))=0,"","Claims email: "&amp;IF(LEN(INDEX('My equipment'!$S$4:$S$503,(_calc!$E$466-500)))=0,"",INDEX('My equipment'!$S$4:$S$503,(_calc!$E$466-500)))&amp;". ")&amp;IF(LEN(IF(LEN(INDEX('My equipment'!$U$4:$U$503,(_calc!$E$466-500)))=0,"",INDEX('My equipment'!$U$4:$U$503,(_calc!$E$466-500))))=0,"","Registered: "&amp;IF(LEN(INDEX('My equipment'!$U$4:$U$503,(_calc!$E$466-500)))=0,"",INDEX('My equipment'!$U$4:$U$503,(_calc!$E$466-500)))&amp;". ")&amp;IF(LEN(IF(LEN(INDEX('My equipment'!$V$4:$V$503,(_calc!$E$466-500)))=0,"",INDEX('My equipment'!$V$4:$V$503,(_calc!$E$466-500))))=0,"","Proof on file: "&amp;IF(LEN(INDEX('My equipment'!$V$4:$V$503,(_calc!$E$466-500)))=0,"",INDEX('My equipment'!$V$4:$V$503,(_calc!$E$466-500)))&amp;". ")&amp;IF(LEN(IF(LEN(INDEX('My equipment'!$W$4:$W$503,(_calc!$E$466-500)))=0,"",INDEX('My equipment'!$W$4:$W$503,(_calc!$E$466-500))))=0,"","Claim ref: "&amp;IF(LEN(INDEX('My equipment'!$W$4:$W$503,(_calc!$E$466-500)))=0,"",INDEX('My equipment'!$W$4:$W$503,(_calc!$E$466-500)))&amp;". ")&amp;IF(LEN(IF(LEN(INDEX('My equipment'!$Y$4:$Y$503,(_calc!$E$466-500)))=0,"",INDEX('My equipment'!$Y$4:$Y$503,(_calc!$E$466-500))))=0,"",IF(LEN(INDEX('My equipment'!$Y$4:$Y$503,(_calc!$E$466-500)))=0,"",INDEX('My equipment'!$Y$4:$Y$503,(_calc!$E$466-500)))))))</f>
        <v/>
      </c>
      <c r="G464" s="54">
        <f>IF(_calc!$E$466="","",IF(_calc!$E$466&lt;=500,"",IF(LEN(INDEX('My equipment'!$X$4:$X$503,(_calc!$E$466-500)))=0,"",INDEX('My equipment'!$X$4:$X$503,(_calc!$E$466-500)))))</f>
        <v/>
      </c>
      <c r="K464" s="54">
        <f>IF(_calc!$E$466="","",IF(_calc!$E$466&lt;=500,"",IF(LEN(INDEX('My equipment'!$T$4:$T$503,(_calc!$E$466-500)))=0,"",INDEX('My equipment'!$T$4:$T$503,(_calc!$E$466-500)))))</f>
        <v/>
      </c>
    </row>
    <row r="465">
      <c r="A465" s="54">
        <f>IF(_calc!$E$467="","",IF(_calc!$E$467&lt;=500,"Warranty – "&amp;IF(LEN(INDEX('Dealer pipeline'!$C$4:$C$503,_calc!$E$467))=0,"",INDEX('Dealer pipeline'!$C$4:$C$503,_calc!$E$467))&amp;" – "&amp;IF(LEN(INDEX('Dealer pipeline'!$D$4:$D$503,_calc!$E$467))=0,"",INDEX('Dealer pipeline'!$D$4:$D$503,_calc!$E$467))&amp;" – "&amp;IF(LEN(INDEX('Dealer pipeline'!$A$4:$A$503,_calc!$E$467))=0,"",INDEX('Dealer pipeline'!$A$4:$A$503,_calc!$E$467)),"Warranty – "&amp;IF(LEN(INDEX('My equipment'!$A$4:$A$503,(_calc!$E$467-500)))=0,"",INDEX('My equipment'!$A$4:$A$503,(_calc!$E$467-500)))&amp;" – "&amp;IF(LEN(INDEX('My equipment'!$D$4:$D$503,(_calc!$E$467-500)))=0,"",INDEX('My equipment'!$D$4:$D$503,(_calc!$E$467-500)))))</f>
        <v/>
      </c>
      <c r="B465" s="54">
        <f>IF(_calc!$E$467="","",IF(_calc!$E$467&lt;=500,IF(ISNUMBER(INDEX('Dealer pipeline'!$M$4:$M$503,_calc!$E$467)),TEXT(INDEX('Dealer pipeline'!$M$4:$M$503,_calc!$E$467),"yyyy-mm-dd"),""),IF(ISNUMBER(INDEX('My equipment'!$M$4:$M$503,(_calc!$E$467-500))),TEXT(INDEX('My equipment'!$M$4:$M$503,(_calc!$E$467-500)),"yyyy-mm-dd"),"")))</f>
        <v/>
      </c>
      <c r="C465" s="54">
        <f>IF(_calc!$E$467="","",IF(_calc!$E$467&lt;=500,"Warranty","Warranty"))</f>
        <v/>
      </c>
      <c r="D465" s="54">
        <f>IF(_calc!$E$467="","",IF(_calc!$E$467&lt;=500,IF(ISNUMBER(INDEX('Dealer pipeline'!$H$4:$H$503,_calc!$E$467)),TEXT(INDEX('Dealer pipeline'!$H$4:$H$503,_calc!$E$467),"yyyy-mm-dd"),""),IF(ISNUMBER(INDEX('My equipment'!$H$4:$H$503,(_calc!$E$467-500))),TEXT(INDEX('My equipment'!$H$4:$H$503,(_calc!$E$467-500)),"yyyy-mm-dd"),"")))</f>
        <v/>
      </c>
      <c r="F465" s="54">
        <f>IF(_calc!$E$467="","",IF(_calc!$E$467&lt;=500,TRIM(IF(LEN(IF(LEN(INDEX('Dealer pipeline'!$A$4:$A$503,_calc!$E$467))=0,"",INDEX('Dealer pipeline'!$A$4:$A$503,_calc!$E$467)))=0,"","Customer: "&amp;IF(LEN(INDEX('Dealer pipeline'!$A$4:$A$503,_calc!$E$467))=0,"",INDEX('Dealer pipeline'!$A$4:$A$503,_calc!$E$467))&amp;". ")&amp;IF(LEN(IF(LEN(INDEX('Dealer pipeline'!$B$4:$B$503,_calc!$E$467))=0,"",INDEX('Dealer pipeline'!$B$4:$B$503,_calc!$E$467)))=0,"","Contact: "&amp;IF(LEN(INDEX('Dealer pipeline'!$B$4:$B$503,_calc!$E$467))=0,"",INDEX('Dealer pipeline'!$B$4:$B$503,_calc!$E$467))&amp;". ")&amp;IF(LEN(IF(LEN(INDEX('Dealer pipeline'!$D$4:$D$503,_calc!$E$467))=0,"",INDEX('Dealer pipeline'!$D$4:$D$503,_calc!$E$467)))=0,"","Serial: "&amp;IF(LEN(INDEX('Dealer pipeline'!$D$4:$D$503,_calc!$E$467))=0,"",INDEX('Dealer pipeline'!$D$4:$D$503,_calc!$E$467))&amp;". ")&amp;IF(LEN(IF(ISNUMBER(INDEX('Dealer pipeline'!$J$4:$J$503,_calc!$E$467)),TEXT(INDEX('Dealer pipeline'!$J$4:$J$503,_calc!$E$467),"yyyy-mm-dd"),""))=0,"","Parts end: "&amp;IF(ISNUMBER(INDEX('Dealer pipeline'!$J$4:$J$503,_calc!$E$467)),TEXT(INDEX('Dealer pipeline'!$J$4:$J$503,_calc!$E$467),"yyyy-mm-dd"),"")&amp;". ")&amp;IF(LEN(IF(ISNUMBER(INDEX('Dealer pipeline'!$L$4:$L$503,_calc!$E$467)),TEXT(INDEX('Dealer pipeline'!$L$4:$L$503,_calc!$E$467),"yyyy-mm-dd"),""))=0,"","Labor end: "&amp;IF(ISNUMBER(INDEX('Dealer pipeline'!$L$4:$L$503,_calc!$E$467)),TEXT(INDEX('Dealer pipeline'!$L$4:$L$503,_calc!$E$467),"yyyy-mm-dd"),"")&amp;". ")&amp;IF(LEN(IF(LEN(INDEX('Dealer pipeline'!$Q$4:$Q$503,_calc!$E$467))=0,"",INDEX('Dealer pipeline'!$Q$4:$Q$503,_calc!$E$467)))=0,"","Status: "&amp;IF(LEN(INDEX('Dealer pipeline'!$Q$4:$Q$503,_calc!$E$467))=0,"",INDEX('Dealer pipeline'!$Q$4:$Q$503,_calc!$E$467))&amp;". ")&amp;IF(LEN(IF(LEN(INDEX('Dealer pipeline'!$P$4:$P$503,_calc!$E$467))=0,"",INDEX('Dealer pipeline'!$P$4:$P$503,_calc!$E$467)))=0,"","Last touch: "&amp;IF(LEN(INDEX('Dealer pipeline'!$P$4:$P$503,_calc!$E$467))=0,"",INDEX('Dealer pipeline'!$P$4:$P$503,_calc!$E$467))&amp;". ")&amp;IF(LEN(IF(LEN(INDEX('Dealer pipeline'!$R$4:$R$503,_calc!$E$467))=0,"",INDEX('Dealer pipeline'!$R$4:$R$503,_calc!$E$467)))=0,"","Owner: "&amp;IF(LEN(INDEX('Dealer pipeline'!$R$4:$R$503,_calc!$E$467))=0,"",INDEX('Dealer pipeline'!$R$4:$R$503,_calc!$E$467))&amp;". ")&amp;IF(LEN(IF(LEN(INDEX('Dealer pipeline'!$S$4:$S$503,_calc!$E$467))=0,"",INDEX('Dealer pipeline'!$S$4:$S$503,_calc!$E$467)))=0,"","Backup: "&amp;IF(LEN(INDEX('Dealer pipeline'!$S$4:$S$503,_calc!$E$467))=0,"",INDEX('Dealer pipeline'!$S$4:$S$503,_calc!$E$467))&amp;". ")&amp;IF(LEN(IF(LEN(INDEX('Dealer pipeline'!$T$4:$T$503,_calc!$E$467))=0,"",INDEX('Dealer pipeline'!$T$4:$T$503,_calc!$E$467)))=0,"",IF(LEN(INDEX('Dealer pipeline'!$T$4:$T$503,_calc!$E$467))=0,"",INDEX('Dealer pipeline'!$T$4:$T$503,_calc!$E$467)))),TRIM(IF(LEN(IF(LEN(INDEX('My equipment'!$C$4:$C$503,(_calc!$E$467-500)))=0,"",INDEX('My equipment'!$C$4:$C$503,(_calc!$E$467-500))))=0,"","Model: "&amp;IF(LEN(INDEX('My equipment'!$C$4:$C$503,(_calc!$E$467-500)))=0,"",INDEX('My equipment'!$C$4:$C$503,(_calc!$E$467-500)))&amp;". ")&amp;IF(LEN(IF(LEN(INDEX('My equipment'!$D$4:$D$503,(_calc!$E$467-500)))=0,"",INDEX('My equipment'!$D$4:$D$503,(_calc!$E$467-500))))=0,"","Serial: "&amp;IF(LEN(INDEX('My equipment'!$D$4:$D$503,(_calc!$E$467-500)))=0,"",INDEX('My equipment'!$D$4:$D$503,(_calc!$E$467-500)))&amp;". ")&amp;IF(LEN(IF(ISNUMBER(INDEX('My equipment'!$J$4:$J$503,(_calc!$E$467-500))),TEXT(INDEX('My equipment'!$J$4:$J$503,(_calc!$E$467-500)),"yyyy-mm-dd"),""))=0,"","Parts end: "&amp;IF(ISNUMBER(INDEX('My equipment'!$J$4:$J$503,(_calc!$E$467-500))),TEXT(INDEX('My equipment'!$J$4:$J$503,(_calc!$E$467-500)),"yyyy-mm-dd"),"")&amp;". ")&amp;IF(LEN(IF(ISNUMBER(INDEX('My equipment'!$L$4:$L$503,(_calc!$E$467-500))),TEXT(INDEX('My equipment'!$L$4:$L$503,(_calc!$E$467-500)),"yyyy-mm-dd"),""))=0,"","Labor end: "&amp;IF(ISNUMBER(INDEX('My equipment'!$L$4:$L$503,(_calc!$E$467-500))),TEXT(INDEX('My equipment'!$L$4:$L$503,(_calc!$E$467-500)),"yyyy-mm-dd"),"")&amp;". ")&amp;IF(LEN(IF(ISNUMBER(INDEX('My equipment'!$P$4:$P$503,(_calc!$E$467-500))),TEXT(INDEX('My equipment'!$P$4:$P$503,(_calc!$E$467-500)),"yyyy-mm-dd"),""))=0,"","Check by: "&amp;IF(ISNUMBER(INDEX('My equipment'!$P$4:$P$503,(_calc!$E$467-500))),TEXT(INDEX('My equipment'!$P$4:$P$503,(_calc!$E$467-500)),"yyyy-mm-dd"),"")&amp;". ")&amp;IF(LEN(IF(LEN(INDEX('My equipment'!$Q$4:$Q$503,(_calc!$E$467-500)))=0,"",INDEX('My equipment'!$Q$4:$Q$503,(_calc!$E$467-500))))=0,"","Claim status: "&amp;IF(LEN(INDEX('My equipment'!$Q$4:$Q$503,(_calc!$E$467-500)))=0,"",INDEX('My equipment'!$Q$4:$Q$503,(_calc!$E$467-500)))&amp;". ")&amp;IF(LEN(IF(LEN(INDEX('My equipment'!$R$4:$R$503,(_calc!$E$467-500)))=0,"",INDEX('My equipment'!$R$4:$R$503,(_calc!$E$467-500))))=0,"","Claims contact: "&amp;IF(LEN(INDEX('My equipment'!$R$4:$R$503,(_calc!$E$467-500)))=0,"",INDEX('My equipment'!$R$4:$R$503,(_calc!$E$467-500)))&amp;". ")&amp;IF(LEN(IF(LEN(INDEX('My equipment'!$S$4:$S$503,(_calc!$E$467-500)))=0,"",INDEX('My equipment'!$S$4:$S$503,(_calc!$E$467-500))))=0,"","Claims email: "&amp;IF(LEN(INDEX('My equipment'!$S$4:$S$503,(_calc!$E$467-500)))=0,"",INDEX('My equipment'!$S$4:$S$503,(_calc!$E$467-500)))&amp;". ")&amp;IF(LEN(IF(LEN(INDEX('My equipment'!$U$4:$U$503,(_calc!$E$467-500)))=0,"",INDEX('My equipment'!$U$4:$U$503,(_calc!$E$467-500))))=0,"","Registered: "&amp;IF(LEN(INDEX('My equipment'!$U$4:$U$503,(_calc!$E$467-500)))=0,"",INDEX('My equipment'!$U$4:$U$503,(_calc!$E$467-500)))&amp;". ")&amp;IF(LEN(IF(LEN(INDEX('My equipment'!$V$4:$V$503,(_calc!$E$467-500)))=0,"",INDEX('My equipment'!$V$4:$V$503,(_calc!$E$467-500))))=0,"","Proof on file: "&amp;IF(LEN(INDEX('My equipment'!$V$4:$V$503,(_calc!$E$467-500)))=0,"",INDEX('My equipment'!$V$4:$V$503,(_calc!$E$467-500)))&amp;". ")&amp;IF(LEN(IF(LEN(INDEX('My equipment'!$W$4:$W$503,(_calc!$E$467-500)))=0,"",INDEX('My equipment'!$W$4:$W$503,(_calc!$E$467-500))))=0,"","Claim ref: "&amp;IF(LEN(INDEX('My equipment'!$W$4:$W$503,(_calc!$E$467-500)))=0,"",INDEX('My equipment'!$W$4:$W$503,(_calc!$E$467-500)))&amp;". ")&amp;IF(LEN(IF(LEN(INDEX('My equipment'!$Y$4:$Y$503,(_calc!$E$467-500)))=0,"",INDEX('My equipment'!$Y$4:$Y$503,(_calc!$E$467-500))))=0,"",IF(LEN(INDEX('My equipment'!$Y$4:$Y$503,(_calc!$E$467-500)))=0,"",INDEX('My equipment'!$Y$4:$Y$503,(_calc!$E$467-500)))))))</f>
        <v/>
      </c>
      <c r="G465" s="54">
        <f>IF(_calc!$E$467="","",IF(_calc!$E$467&lt;=500,"",IF(LEN(INDEX('My equipment'!$X$4:$X$503,(_calc!$E$467-500)))=0,"",INDEX('My equipment'!$X$4:$X$503,(_calc!$E$467-500)))))</f>
        <v/>
      </c>
      <c r="K465" s="54">
        <f>IF(_calc!$E$467="","",IF(_calc!$E$467&lt;=500,"",IF(LEN(INDEX('My equipment'!$T$4:$T$503,(_calc!$E$467-500)))=0,"",INDEX('My equipment'!$T$4:$T$503,(_calc!$E$467-500)))))</f>
        <v/>
      </c>
    </row>
    <row r="466">
      <c r="A466" s="54">
        <f>IF(_calc!$E$468="","",IF(_calc!$E$468&lt;=500,"Warranty – "&amp;IF(LEN(INDEX('Dealer pipeline'!$C$4:$C$503,_calc!$E$468))=0,"",INDEX('Dealer pipeline'!$C$4:$C$503,_calc!$E$468))&amp;" – "&amp;IF(LEN(INDEX('Dealer pipeline'!$D$4:$D$503,_calc!$E$468))=0,"",INDEX('Dealer pipeline'!$D$4:$D$503,_calc!$E$468))&amp;" – "&amp;IF(LEN(INDEX('Dealer pipeline'!$A$4:$A$503,_calc!$E$468))=0,"",INDEX('Dealer pipeline'!$A$4:$A$503,_calc!$E$468)),"Warranty – "&amp;IF(LEN(INDEX('My equipment'!$A$4:$A$503,(_calc!$E$468-500)))=0,"",INDEX('My equipment'!$A$4:$A$503,(_calc!$E$468-500)))&amp;" – "&amp;IF(LEN(INDEX('My equipment'!$D$4:$D$503,(_calc!$E$468-500)))=0,"",INDEX('My equipment'!$D$4:$D$503,(_calc!$E$468-500)))))</f>
        <v/>
      </c>
      <c r="B466" s="54">
        <f>IF(_calc!$E$468="","",IF(_calc!$E$468&lt;=500,IF(ISNUMBER(INDEX('Dealer pipeline'!$M$4:$M$503,_calc!$E$468)),TEXT(INDEX('Dealer pipeline'!$M$4:$M$503,_calc!$E$468),"yyyy-mm-dd"),""),IF(ISNUMBER(INDEX('My equipment'!$M$4:$M$503,(_calc!$E$468-500))),TEXT(INDEX('My equipment'!$M$4:$M$503,(_calc!$E$468-500)),"yyyy-mm-dd"),"")))</f>
        <v/>
      </c>
      <c r="C466" s="54">
        <f>IF(_calc!$E$468="","",IF(_calc!$E$468&lt;=500,"Warranty","Warranty"))</f>
        <v/>
      </c>
      <c r="D466" s="54">
        <f>IF(_calc!$E$468="","",IF(_calc!$E$468&lt;=500,IF(ISNUMBER(INDEX('Dealer pipeline'!$H$4:$H$503,_calc!$E$468)),TEXT(INDEX('Dealer pipeline'!$H$4:$H$503,_calc!$E$468),"yyyy-mm-dd"),""),IF(ISNUMBER(INDEX('My equipment'!$H$4:$H$503,(_calc!$E$468-500))),TEXT(INDEX('My equipment'!$H$4:$H$503,(_calc!$E$468-500)),"yyyy-mm-dd"),"")))</f>
        <v/>
      </c>
      <c r="F466" s="54">
        <f>IF(_calc!$E$468="","",IF(_calc!$E$468&lt;=500,TRIM(IF(LEN(IF(LEN(INDEX('Dealer pipeline'!$A$4:$A$503,_calc!$E$468))=0,"",INDEX('Dealer pipeline'!$A$4:$A$503,_calc!$E$468)))=0,"","Customer: "&amp;IF(LEN(INDEX('Dealer pipeline'!$A$4:$A$503,_calc!$E$468))=0,"",INDEX('Dealer pipeline'!$A$4:$A$503,_calc!$E$468))&amp;". ")&amp;IF(LEN(IF(LEN(INDEX('Dealer pipeline'!$B$4:$B$503,_calc!$E$468))=0,"",INDEX('Dealer pipeline'!$B$4:$B$503,_calc!$E$468)))=0,"","Contact: "&amp;IF(LEN(INDEX('Dealer pipeline'!$B$4:$B$503,_calc!$E$468))=0,"",INDEX('Dealer pipeline'!$B$4:$B$503,_calc!$E$468))&amp;". ")&amp;IF(LEN(IF(LEN(INDEX('Dealer pipeline'!$D$4:$D$503,_calc!$E$468))=0,"",INDEX('Dealer pipeline'!$D$4:$D$503,_calc!$E$468)))=0,"","Serial: "&amp;IF(LEN(INDEX('Dealer pipeline'!$D$4:$D$503,_calc!$E$468))=0,"",INDEX('Dealer pipeline'!$D$4:$D$503,_calc!$E$468))&amp;". ")&amp;IF(LEN(IF(ISNUMBER(INDEX('Dealer pipeline'!$J$4:$J$503,_calc!$E$468)),TEXT(INDEX('Dealer pipeline'!$J$4:$J$503,_calc!$E$468),"yyyy-mm-dd"),""))=0,"","Parts end: "&amp;IF(ISNUMBER(INDEX('Dealer pipeline'!$J$4:$J$503,_calc!$E$468)),TEXT(INDEX('Dealer pipeline'!$J$4:$J$503,_calc!$E$468),"yyyy-mm-dd"),"")&amp;". ")&amp;IF(LEN(IF(ISNUMBER(INDEX('Dealer pipeline'!$L$4:$L$503,_calc!$E$468)),TEXT(INDEX('Dealer pipeline'!$L$4:$L$503,_calc!$E$468),"yyyy-mm-dd"),""))=0,"","Labor end: "&amp;IF(ISNUMBER(INDEX('Dealer pipeline'!$L$4:$L$503,_calc!$E$468)),TEXT(INDEX('Dealer pipeline'!$L$4:$L$503,_calc!$E$468),"yyyy-mm-dd"),"")&amp;". ")&amp;IF(LEN(IF(LEN(INDEX('Dealer pipeline'!$Q$4:$Q$503,_calc!$E$468))=0,"",INDEX('Dealer pipeline'!$Q$4:$Q$503,_calc!$E$468)))=0,"","Status: "&amp;IF(LEN(INDEX('Dealer pipeline'!$Q$4:$Q$503,_calc!$E$468))=0,"",INDEX('Dealer pipeline'!$Q$4:$Q$503,_calc!$E$468))&amp;". ")&amp;IF(LEN(IF(LEN(INDEX('Dealer pipeline'!$P$4:$P$503,_calc!$E$468))=0,"",INDEX('Dealer pipeline'!$P$4:$P$503,_calc!$E$468)))=0,"","Last touch: "&amp;IF(LEN(INDEX('Dealer pipeline'!$P$4:$P$503,_calc!$E$468))=0,"",INDEX('Dealer pipeline'!$P$4:$P$503,_calc!$E$468))&amp;". ")&amp;IF(LEN(IF(LEN(INDEX('Dealer pipeline'!$R$4:$R$503,_calc!$E$468))=0,"",INDEX('Dealer pipeline'!$R$4:$R$503,_calc!$E$468)))=0,"","Owner: "&amp;IF(LEN(INDEX('Dealer pipeline'!$R$4:$R$503,_calc!$E$468))=0,"",INDEX('Dealer pipeline'!$R$4:$R$503,_calc!$E$468))&amp;". ")&amp;IF(LEN(IF(LEN(INDEX('Dealer pipeline'!$S$4:$S$503,_calc!$E$468))=0,"",INDEX('Dealer pipeline'!$S$4:$S$503,_calc!$E$468)))=0,"","Backup: "&amp;IF(LEN(INDEX('Dealer pipeline'!$S$4:$S$503,_calc!$E$468))=0,"",INDEX('Dealer pipeline'!$S$4:$S$503,_calc!$E$468))&amp;". ")&amp;IF(LEN(IF(LEN(INDEX('Dealer pipeline'!$T$4:$T$503,_calc!$E$468))=0,"",INDEX('Dealer pipeline'!$T$4:$T$503,_calc!$E$468)))=0,"",IF(LEN(INDEX('Dealer pipeline'!$T$4:$T$503,_calc!$E$468))=0,"",INDEX('Dealer pipeline'!$T$4:$T$503,_calc!$E$468)))),TRIM(IF(LEN(IF(LEN(INDEX('My equipment'!$C$4:$C$503,(_calc!$E$468-500)))=0,"",INDEX('My equipment'!$C$4:$C$503,(_calc!$E$468-500))))=0,"","Model: "&amp;IF(LEN(INDEX('My equipment'!$C$4:$C$503,(_calc!$E$468-500)))=0,"",INDEX('My equipment'!$C$4:$C$503,(_calc!$E$468-500)))&amp;". ")&amp;IF(LEN(IF(LEN(INDEX('My equipment'!$D$4:$D$503,(_calc!$E$468-500)))=0,"",INDEX('My equipment'!$D$4:$D$503,(_calc!$E$468-500))))=0,"","Serial: "&amp;IF(LEN(INDEX('My equipment'!$D$4:$D$503,(_calc!$E$468-500)))=0,"",INDEX('My equipment'!$D$4:$D$503,(_calc!$E$468-500)))&amp;". ")&amp;IF(LEN(IF(ISNUMBER(INDEX('My equipment'!$J$4:$J$503,(_calc!$E$468-500))),TEXT(INDEX('My equipment'!$J$4:$J$503,(_calc!$E$468-500)),"yyyy-mm-dd"),""))=0,"","Parts end: "&amp;IF(ISNUMBER(INDEX('My equipment'!$J$4:$J$503,(_calc!$E$468-500))),TEXT(INDEX('My equipment'!$J$4:$J$503,(_calc!$E$468-500)),"yyyy-mm-dd"),"")&amp;". ")&amp;IF(LEN(IF(ISNUMBER(INDEX('My equipment'!$L$4:$L$503,(_calc!$E$468-500))),TEXT(INDEX('My equipment'!$L$4:$L$503,(_calc!$E$468-500)),"yyyy-mm-dd"),""))=0,"","Labor end: "&amp;IF(ISNUMBER(INDEX('My equipment'!$L$4:$L$503,(_calc!$E$468-500))),TEXT(INDEX('My equipment'!$L$4:$L$503,(_calc!$E$468-500)),"yyyy-mm-dd"),"")&amp;". ")&amp;IF(LEN(IF(ISNUMBER(INDEX('My equipment'!$P$4:$P$503,(_calc!$E$468-500))),TEXT(INDEX('My equipment'!$P$4:$P$503,(_calc!$E$468-500)),"yyyy-mm-dd"),""))=0,"","Check by: "&amp;IF(ISNUMBER(INDEX('My equipment'!$P$4:$P$503,(_calc!$E$468-500))),TEXT(INDEX('My equipment'!$P$4:$P$503,(_calc!$E$468-500)),"yyyy-mm-dd"),"")&amp;". ")&amp;IF(LEN(IF(LEN(INDEX('My equipment'!$Q$4:$Q$503,(_calc!$E$468-500)))=0,"",INDEX('My equipment'!$Q$4:$Q$503,(_calc!$E$468-500))))=0,"","Claim status: "&amp;IF(LEN(INDEX('My equipment'!$Q$4:$Q$503,(_calc!$E$468-500)))=0,"",INDEX('My equipment'!$Q$4:$Q$503,(_calc!$E$468-500)))&amp;". ")&amp;IF(LEN(IF(LEN(INDEX('My equipment'!$R$4:$R$503,(_calc!$E$468-500)))=0,"",INDEX('My equipment'!$R$4:$R$503,(_calc!$E$468-500))))=0,"","Claims contact: "&amp;IF(LEN(INDEX('My equipment'!$R$4:$R$503,(_calc!$E$468-500)))=0,"",INDEX('My equipment'!$R$4:$R$503,(_calc!$E$468-500)))&amp;". ")&amp;IF(LEN(IF(LEN(INDEX('My equipment'!$S$4:$S$503,(_calc!$E$468-500)))=0,"",INDEX('My equipment'!$S$4:$S$503,(_calc!$E$468-500))))=0,"","Claims email: "&amp;IF(LEN(INDEX('My equipment'!$S$4:$S$503,(_calc!$E$468-500)))=0,"",INDEX('My equipment'!$S$4:$S$503,(_calc!$E$468-500)))&amp;". ")&amp;IF(LEN(IF(LEN(INDEX('My equipment'!$U$4:$U$503,(_calc!$E$468-500)))=0,"",INDEX('My equipment'!$U$4:$U$503,(_calc!$E$468-500))))=0,"","Registered: "&amp;IF(LEN(INDEX('My equipment'!$U$4:$U$503,(_calc!$E$468-500)))=0,"",INDEX('My equipment'!$U$4:$U$503,(_calc!$E$468-500)))&amp;". ")&amp;IF(LEN(IF(LEN(INDEX('My equipment'!$V$4:$V$503,(_calc!$E$468-500)))=0,"",INDEX('My equipment'!$V$4:$V$503,(_calc!$E$468-500))))=0,"","Proof on file: "&amp;IF(LEN(INDEX('My equipment'!$V$4:$V$503,(_calc!$E$468-500)))=0,"",INDEX('My equipment'!$V$4:$V$503,(_calc!$E$468-500)))&amp;". ")&amp;IF(LEN(IF(LEN(INDEX('My equipment'!$W$4:$W$503,(_calc!$E$468-500)))=0,"",INDEX('My equipment'!$W$4:$W$503,(_calc!$E$468-500))))=0,"","Claim ref: "&amp;IF(LEN(INDEX('My equipment'!$W$4:$W$503,(_calc!$E$468-500)))=0,"",INDEX('My equipment'!$W$4:$W$503,(_calc!$E$468-500)))&amp;". ")&amp;IF(LEN(IF(LEN(INDEX('My equipment'!$Y$4:$Y$503,(_calc!$E$468-500)))=0,"",INDEX('My equipment'!$Y$4:$Y$503,(_calc!$E$468-500))))=0,"",IF(LEN(INDEX('My equipment'!$Y$4:$Y$503,(_calc!$E$468-500)))=0,"",INDEX('My equipment'!$Y$4:$Y$503,(_calc!$E$468-500)))))))</f>
        <v/>
      </c>
      <c r="G466" s="54">
        <f>IF(_calc!$E$468="","",IF(_calc!$E$468&lt;=500,"",IF(LEN(INDEX('My equipment'!$X$4:$X$503,(_calc!$E$468-500)))=0,"",INDEX('My equipment'!$X$4:$X$503,(_calc!$E$468-500)))))</f>
        <v/>
      </c>
      <c r="K466" s="54">
        <f>IF(_calc!$E$468="","",IF(_calc!$E$468&lt;=500,"",IF(LEN(INDEX('My equipment'!$T$4:$T$503,(_calc!$E$468-500)))=0,"",INDEX('My equipment'!$T$4:$T$503,(_calc!$E$468-500)))))</f>
        <v/>
      </c>
    </row>
    <row r="467">
      <c r="A467" s="54">
        <f>IF(_calc!$E$469="","",IF(_calc!$E$469&lt;=500,"Warranty – "&amp;IF(LEN(INDEX('Dealer pipeline'!$C$4:$C$503,_calc!$E$469))=0,"",INDEX('Dealer pipeline'!$C$4:$C$503,_calc!$E$469))&amp;" – "&amp;IF(LEN(INDEX('Dealer pipeline'!$D$4:$D$503,_calc!$E$469))=0,"",INDEX('Dealer pipeline'!$D$4:$D$503,_calc!$E$469))&amp;" – "&amp;IF(LEN(INDEX('Dealer pipeline'!$A$4:$A$503,_calc!$E$469))=0,"",INDEX('Dealer pipeline'!$A$4:$A$503,_calc!$E$469)),"Warranty – "&amp;IF(LEN(INDEX('My equipment'!$A$4:$A$503,(_calc!$E$469-500)))=0,"",INDEX('My equipment'!$A$4:$A$503,(_calc!$E$469-500)))&amp;" – "&amp;IF(LEN(INDEX('My equipment'!$D$4:$D$503,(_calc!$E$469-500)))=0,"",INDEX('My equipment'!$D$4:$D$503,(_calc!$E$469-500)))))</f>
        <v/>
      </c>
      <c r="B467" s="54">
        <f>IF(_calc!$E$469="","",IF(_calc!$E$469&lt;=500,IF(ISNUMBER(INDEX('Dealer pipeline'!$M$4:$M$503,_calc!$E$469)),TEXT(INDEX('Dealer pipeline'!$M$4:$M$503,_calc!$E$469),"yyyy-mm-dd"),""),IF(ISNUMBER(INDEX('My equipment'!$M$4:$M$503,(_calc!$E$469-500))),TEXT(INDEX('My equipment'!$M$4:$M$503,(_calc!$E$469-500)),"yyyy-mm-dd"),"")))</f>
        <v/>
      </c>
      <c r="C467" s="54">
        <f>IF(_calc!$E$469="","",IF(_calc!$E$469&lt;=500,"Warranty","Warranty"))</f>
        <v/>
      </c>
      <c r="D467" s="54">
        <f>IF(_calc!$E$469="","",IF(_calc!$E$469&lt;=500,IF(ISNUMBER(INDEX('Dealer pipeline'!$H$4:$H$503,_calc!$E$469)),TEXT(INDEX('Dealer pipeline'!$H$4:$H$503,_calc!$E$469),"yyyy-mm-dd"),""),IF(ISNUMBER(INDEX('My equipment'!$H$4:$H$503,(_calc!$E$469-500))),TEXT(INDEX('My equipment'!$H$4:$H$503,(_calc!$E$469-500)),"yyyy-mm-dd"),"")))</f>
        <v/>
      </c>
      <c r="F467" s="54">
        <f>IF(_calc!$E$469="","",IF(_calc!$E$469&lt;=500,TRIM(IF(LEN(IF(LEN(INDEX('Dealer pipeline'!$A$4:$A$503,_calc!$E$469))=0,"",INDEX('Dealer pipeline'!$A$4:$A$503,_calc!$E$469)))=0,"","Customer: "&amp;IF(LEN(INDEX('Dealer pipeline'!$A$4:$A$503,_calc!$E$469))=0,"",INDEX('Dealer pipeline'!$A$4:$A$503,_calc!$E$469))&amp;". ")&amp;IF(LEN(IF(LEN(INDEX('Dealer pipeline'!$B$4:$B$503,_calc!$E$469))=0,"",INDEX('Dealer pipeline'!$B$4:$B$503,_calc!$E$469)))=0,"","Contact: "&amp;IF(LEN(INDEX('Dealer pipeline'!$B$4:$B$503,_calc!$E$469))=0,"",INDEX('Dealer pipeline'!$B$4:$B$503,_calc!$E$469))&amp;". ")&amp;IF(LEN(IF(LEN(INDEX('Dealer pipeline'!$D$4:$D$503,_calc!$E$469))=0,"",INDEX('Dealer pipeline'!$D$4:$D$503,_calc!$E$469)))=0,"","Serial: "&amp;IF(LEN(INDEX('Dealer pipeline'!$D$4:$D$503,_calc!$E$469))=0,"",INDEX('Dealer pipeline'!$D$4:$D$503,_calc!$E$469))&amp;". ")&amp;IF(LEN(IF(ISNUMBER(INDEX('Dealer pipeline'!$J$4:$J$503,_calc!$E$469)),TEXT(INDEX('Dealer pipeline'!$J$4:$J$503,_calc!$E$469),"yyyy-mm-dd"),""))=0,"","Parts end: "&amp;IF(ISNUMBER(INDEX('Dealer pipeline'!$J$4:$J$503,_calc!$E$469)),TEXT(INDEX('Dealer pipeline'!$J$4:$J$503,_calc!$E$469),"yyyy-mm-dd"),"")&amp;". ")&amp;IF(LEN(IF(ISNUMBER(INDEX('Dealer pipeline'!$L$4:$L$503,_calc!$E$469)),TEXT(INDEX('Dealer pipeline'!$L$4:$L$503,_calc!$E$469),"yyyy-mm-dd"),""))=0,"","Labor end: "&amp;IF(ISNUMBER(INDEX('Dealer pipeline'!$L$4:$L$503,_calc!$E$469)),TEXT(INDEX('Dealer pipeline'!$L$4:$L$503,_calc!$E$469),"yyyy-mm-dd"),"")&amp;". ")&amp;IF(LEN(IF(LEN(INDEX('Dealer pipeline'!$Q$4:$Q$503,_calc!$E$469))=0,"",INDEX('Dealer pipeline'!$Q$4:$Q$503,_calc!$E$469)))=0,"","Status: "&amp;IF(LEN(INDEX('Dealer pipeline'!$Q$4:$Q$503,_calc!$E$469))=0,"",INDEX('Dealer pipeline'!$Q$4:$Q$503,_calc!$E$469))&amp;". ")&amp;IF(LEN(IF(LEN(INDEX('Dealer pipeline'!$P$4:$P$503,_calc!$E$469))=0,"",INDEX('Dealer pipeline'!$P$4:$P$503,_calc!$E$469)))=0,"","Last touch: "&amp;IF(LEN(INDEX('Dealer pipeline'!$P$4:$P$503,_calc!$E$469))=0,"",INDEX('Dealer pipeline'!$P$4:$P$503,_calc!$E$469))&amp;". ")&amp;IF(LEN(IF(LEN(INDEX('Dealer pipeline'!$R$4:$R$503,_calc!$E$469))=0,"",INDEX('Dealer pipeline'!$R$4:$R$503,_calc!$E$469)))=0,"","Owner: "&amp;IF(LEN(INDEX('Dealer pipeline'!$R$4:$R$503,_calc!$E$469))=0,"",INDEX('Dealer pipeline'!$R$4:$R$503,_calc!$E$469))&amp;". ")&amp;IF(LEN(IF(LEN(INDEX('Dealer pipeline'!$S$4:$S$503,_calc!$E$469))=0,"",INDEX('Dealer pipeline'!$S$4:$S$503,_calc!$E$469)))=0,"","Backup: "&amp;IF(LEN(INDEX('Dealer pipeline'!$S$4:$S$503,_calc!$E$469))=0,"",INDEX('Dealer pipeline'!$S$4:$S$503,_calc!$E$469))&amp;". ")&amp;IF(LEN(IF(LEN(INDEX('Dealer pipeline'!$T$4:$T$503,_calc!$E$469))=0,"",INDEX('Dealer pipeline'!$T$4:$T$503,_calc!$E$469)))=0,"",IF(LEN(INDEX('Dealer pipeline'!$T$4:$T$503,_calc!$E$469))=0,"",INDEX('Dealer pipeline'!$T$4:$T$503,_calc!$E$469)))),TRIM(IF(LEN(IF(LEN(INDEX('My equipment'!$C$4:$C$503,(_calc!$E$469-500)))=0,"",INDEX('My equipment'!$C$4:$C$503,(_calc!$E$469-500))))=0,"","Model: "&amp;IF(LEN(INDEX('My equipment'!$C$4:$C$503,(_calc!$E$469-500)))=0,"",INDEX('My equipment'!$C$4:$C$503,(_calc!$E$469-500)))&amp;". ")&amp;IF(LEN(IF(LEN(INDEX('My equipment'!$D$4:$D$503,(_calc!$E$469-500)))=0,"",INDEX('My equipment'!$D$4:$D$503,(_calc!$E$469-500))))=0,"","Serial: "&amp;IF(LEN(INDEX('My equipment'!$D$4:$D$503,(_calc!$E$469-500)))=0,"",INDEX('My equipment'!$D$4:$D$503,(_calc!$E$469-500)))&amp;". ")&amp;IF(LEN(IF(ISNUMBER(INDEX('My equipment'!$J$4:$J$503,(_calc!$E$469-500))),TEXT(INDEX('My equipment'!$J$4:$J$503,(_calc!$E$469-500)),"yyyy-mm-dd"),""))=0,"","Parts end: "&amp;IF(ISNUMBER(INDEX('My equipment'!$J$4:$J$503,(_calc!$E$469-500))),TEXT(INDEX('My equipment'!$J$4:$J$503,(_calc!$E$469-500)),"yyyy-mm-dd"),"")&amp;". ")&amp;IF(LEN(IF(ISNUMBER(INDEX('My equipment'!$L$4:$L$503,(_calc!$E$469-500))),TEXT(INDEX('My equipment'!$L$4:$L$503,(_calc!$E$469-500)),"yyyy-mm-dd"),""))=0,"","Labor end: "&amp;IF(ISNUMBER(INDEX('My equipment'!$L$4:$L$503,(_calc!$E$469-500))),TEXT(INDEX('My equipment'!$L$4:$L$503,(_calc!$E$469-500)),"yyyy-mm-dd"),"")&amp;". ")&amp;IF(LEN(IF(ISNUMBER(INDEX('My equipment'!$P$4:$P$503,(_calc!$E$469-500))),TEXT(INDEX('My equipment'!$P$4:$P$503,(_calc!$E$469-500)),"yyyy-mm-dd"),""))=0,"","Check by: "&amp;IF(ISNUMBER(INDEX('My equipment'!$P$4:$P$503,(_calc!$E$469-500))),TEXT(INDEX('My equipment'!$P$4:$P$503,(_calc!$E$469-500)),"yyyy-mm-dd"),"")&amp;". ")&amp;IF(LEN(IF(LEN(INDEX('My equipment'!$Q$4:$Q$503,(_calc!$E$469-500)))=0,"",INDEX('My equipment'!$Q$4:$Q$503,(_calc!$E$469-500))))=0,"","Claim status: "&amp;IF(LEN(INDEX('My equipment'!$Q$4:$Q$503,(_calc!$E$469-500)))=0,"",INDEX('My equipment'!$Q$4:$Q$503,(_calc!$E$469-500)))&amp;". ")&amp;IF(LEN(IF(LEN(INDEX('My equipment'!$R$4:$R$503,(_calc!$E$469-500)))=0,"",INDEX('My equipment'!$R$4:$R$503,(_calc!$E$469-500))))=0,"","Claims contact: "&amp;IF(LEN(INDEX('My equipment'!$R$4:$R$503,(_calc!$E$469-500)))=0,"",INDEX('My equipment'!$R$4:$R$503,(_calc!$E$469-500)))&amp;". ")&amp;IF(LEN(IF(LEN(INDEX('My equipment'!$S$4:$S$503,(_calc!$E$469-500)))=0,"",INDEX('My equipment'!$S$4:$S$503,(_calc!$E$469-500))))=0,"","Claims email: "&amp;IF(LEN(INDEX('My equipment'!$S$4:$S$503,(_calc!$E$469-500)))=0,"",INDEX('My equipment'!$S$4:$S$503,(_calc!$E$469-500)))&amp;". ")&amp;IF(LEN(IF(LEN(INDEX('My equipment'!$U$4:$U$503,(_calc!$E$469-500)))=0,"",INDEX('My equipment'!$U$4:$U$503,(_calc!$E$469-500))))=0,"","Registered: "&amp;IF(LEN(INDEX('My equipment'!$U$4:$U$503,(_calc!$E$469-500)))=0,"",INDEX('My equipment'!$U$4:$U$503,(_calc!$E$469-500)))&amp;". ")&amp;IF(LEN(IF(LEN(INDEX('My equipment'!$V$4:$V$503,(_calc!$E$469-500)))=0,"",INDEX('My equipment'!$V$4:$V$503,(_calc!$E$469-500))))=0,"","Proof on file: "&amp;IF(LEN(INDEX('My equipment'!$V$4:$V$503,(_calc!$E$469-500)))=0,"",INDEX('My equipment'!$V$4:$V$503,(_calc!$E$469-500)))&amp;". ")&amp;IF(LEN(IF(LEN(INDEX('My equipment'!$W$4:$W$503,(_calc!$E$469-500)))=0,"",INDEX('My equipment'!$W$4:$W$503,(_calc!$E$469-500))))=0,"","Claim ref: "&amp;IF(LEN(INDEX('My equipment'!$W$4:$W$503,(_calc!$E$469-500)))=0,"",INDEX('My equipment'!$W$4:$W$503,(_calc!$E$469-500)))&amp;". ")&amp;IF(LEN(IF(LEN(INDEX('My equipment'!$Y$4:$Y$503,(_calc!$E$469-500)))=0,"",INDEX('My equipment'!$Y$4:$Y$503,(_calc!$E$469-500))))=0,"",IF(LEN(INDEX('My equipment'!$Y$4:$Y$503,(_calc!$E$469-500)))=0,"",INDEX('My equipment'!$Y$4:$Y$503,(_calc!$E$469-500)))))))</f>
        <v/>
      </c>
      <c r="G467" s="54">
        <f>IF(_calc!$E$469="","",IF(_calc!$E$469&lt;=500,"",IF(LEN(INDEX('My equipment'!$X$4:$X$503,(_calc!$E$469-500)))=0,"",INDEX('My equipment'!$X$4:$X$503,(_calc!$E$469-500)))))</f>
        <v/>
      </c>
      <c r="K467" s="54">
        <f>IF(_calc!$E$469="","",IF(_calc!$E$469&lt;=500,"",IF(LEN(INDEX('My equipment'!$T$4:$T$503,(_calc!$E$469-500)))=0,"",INDEX('My equipment'!$T$4:$T$503,(_calc!$E$469-500)))))</f>
        <v/>
      </c>
    </row>
    <row r="468">
      <c r="A468" s="54">
        <f>IF(_calc!$E$470="","",IF(_calc!$E$470&lt;=500,"Warranty – "&amp;IF(LEN(INDEX('Dealer pipeline'!$C$4:$C$503,_calc!$E$470))=0,"",INDEX('Dealer pipeline'!$C$4:$C$503,_calc!$E$470))&amp;" – "&amp;IF(LEN(INDEX('Dealer pipeline'!$D$4:$D$503,_calc!$E$470))=0,"",INDEX('Dealer pipeline'!$D$4:$D$503,_calc!$E$470))&amp;" – "&amp;IF(LEN(INDEX('Dealer pipeline'!$A$4:$A$503,_calc!$E$470))=0,"",INDEX('Dealer pipeline'!$A$4:$A$503,_calc!$E$470)),"Warranty – "&amp;IF(LEN(INDEX('My equipment'!$A$4:$A$503,(_calc!$E$470-500)))=0,"",INDEX('My equipment'!$A$4:$A$503,(_calc!$E$470-500)))&amp;" – "&amp;IF(LEN(INDEX('My equipment'!$D$4:$D$503,(_calc!$E$470-500)))=0,"",INDEX('My equipment'!$D$4:$D$503,(_calc!$E$470-500)))))</f>
        <v/>
      </c>
      <c r="B468" s="54">
        <f>IF(_calc!$E$470="","",IF(_calc!$E$470&lt;=500,IF(ISNUMBER(INDEX('Dealer pipeline'!$M$4:$M$503,_calc!$E$470)),TEXT(INDEX('Dealer pipeline'!$M$4:$M$503,_calc!$E$470),"yyyy-mm-dd"),""),IF(ISNUMBER(INDEX('My equipment'!$M$4:$M$503,(_calc!$E$470-500))),TEXT(INDEX('My equipment'!$M$4:$M$503,(_calc!$E$470-500)),"yyyy-mm-dd"),"")))</f>
        <v/>
      </c>
      <c r="C468" s="54">
        <f>IF(_calc!$E$470="","",IF(_calc!$E$470&lt;=500,"Warranty","Warranty"))</f>
        <v/>
      </c>
      <c r="D468" s="54">
        <f>IF(_calc!$E$470="","",IF(_calc!$E$470&lt;=500,IF(ISNUMBER(INDEX('Dealer pipeline'!$H$4:$H$503,_calc!$E$470)),TEXT(INDEX('Dealer pipeline'!$H$4:$H$503,_calc!$E$470),"yyyy-mm-dd"),""),IF(ISNUMBER(INDEX('My equipment'!$H$4:$H$503,(_calc!$E$470-500))),TEXT(INDEX('My equipment'!$H$4:$H$503,(_calc!$E$470-500)),"yyyy-mm-dd"),"")))</f>
        <v/>
      </c>
      <c r="F468" s="54">
        <f>IF(_calc!$E$470="","",IF(_calc!$E$470&lt;=500,TRIM(IF(LEN(IF(LEN(INDEX('Dealer pipeline'!$A$4:$A$503,_calc!$E$470))=0,"",INDEX('Dealer pipeline'!$A$4:$A$503,_calc!$E$470)))=0,"","Customer: "&amp;IF(LEN(INDEX('Dealer pipeline'!$A$4:$A$503,_calc!$E$470))=0,"",INDEX('Dealer pipeline'!$A$4:$A$503,_calc!$E$470))&amp;". ")&amp;IF(LEN(IF(LEN(INDEX('Dealer pipeline'!$B$4:$B$503,_calc!$E$470))=0,"",INDEX('Dealer pipeline'!$B$4:$B$503,_calc!$E$470)))=0,"","Contact: "&amp;IF(LEN(INDEX('Dealer pipeline'!$B$4:$B$503,_calc!$E$470))=0,"",INDEX('Dealer pipeline'!$B$4:$B$503,_calc!$E$470))&amp;". ")&amp;IF(LEN(IF(LEN(INDEX('Dealer pipeline'!$D$4:$D$503,_calc!$E$470))=0,"",INDEX('Dealer pipeline'!$D$4:$D$503,_calc!$E$470)))=0,"","Serial: "&amp;IF(LEN(INDEX('Dealer pipeline'!$D$4:$D$503,_calc!$E$470))=0,"",INDEX('Dealer pipeline'!$D$4:$D$503,_calc!$E$470))&amp;". ")&amp;IF(LEN(IF(ISNUMBER(INDEX('Dealer pipeline'!$J$4:$J$503,_calc!$E$470)),TEXT(INDEX('Dealer pipeline'!$J$4:$J$503,_calc!$E$470),"yyyy-mm-dd"),""))=0,"","Parts end: "&amp;IF(ISNUMBER(INDEX('Dealer pipeline'!$J$4:$J$503,_calc!$E$470)),TEXT(INDEX('Dealer pipeline'!$J$4:$J$503,_calc!$E$470),"yyyy-mm-dd"),"")&amp;". ")&amp;IF(LEN(IF(ISNUMBER(INDEX('Dealer pipeline'!$L$4:$L$503,_calc!$E$470)),TEXT(INDEX('Dealer pipeline'!$L$4:$L$503,_calc!$E$470),"yyyy-mm-dd"),""))=0,"","Labor end: "&amp;IF(ISNUMBER(INDEX('Dealer pipeline'!$L$4:$L$503,_calc!$E$470)),TEXT(INDEX('Dealer pipeline'!$L$4:$L$503,_calc!$E$470),"yyyy-mm-dd"),"")&amp;". ")&amp;IF(LEN(IF(LEN(INDEX('Dealer pipeline'!$Q$4:$Q$503,_calc!$E$470))=0,"",INDEX('Dealer pipeline'!$Q$4:$Q$503,_calc!$E$470)))=0,"","Status: "&amp;IF(LEN(INDEX('Dealer pipeline'!$Q$4:$Q$503,_calc!$E$470))=0,"",INDEX('Dealer pipeline'!$Q$4:$Q$503,_calc!$E$470))&amp;". ")&amp;IF(LEN(IF(LEN(INDEX('Dealer pipeline'!$P$4:$P$503,_calc!$E$470))=0,"",INDEX('Dealer pipeline'!$P$4:$P$503,_calc!$E$470)))=0,"","Last touch: "&amp;IF(LEN(INDEX('Dealer pipeline'!$P$4:$P$503,_calc!$E$470))=0,"",INDEX('Dealer pipeline'!$P$4:$P$503,_calc!$E$470))&amp;". ")&amp;IF(LEN(IF(LEN(INDEX('Dealer pipeline'!$R$4:$R$503,_calc!$E$470))=0,"",INDEX('Dealer pipeline'!$R$4:$R$503,_calc!$E$470)))=0,"","Owner: "&amp;IF(LEN(INDEX('Dealer pipeline'!$R$4:$R$503,_calc!$E$470))=0,"",INDEX('Dealer pipeline'!$R$4:$R$503,_calc!$E$470))&amp;". ")&amp;IF(LEN(IF(LEN(INDEX('Dealer pipeline'!$S$4:$S$503,_calc!$E$470))=0,"",INDEX('Dealer pipeline'!$S$4:$S$503,_calc!$E$470)))=0,"","Backup: "&amp;IF(LEN(INDEX('Dealer pipeline'!$S$4:$S$503,_calc!$E$470))=0,"",INDEX('Dealer pipeline'!$S$4:$S$503,_calc!$E$470))&amp;". ")&amp;IF(LEN(IF(LEN(INDEX('Dealer pipeline'!$T$4:$T$503,_calc!$E$470))=0,"",INDEX('Dealer pipeline'!$T$4:$T$503,_calc!$E$470)))=0,"",IF(LEN(INDEX('Dealer pipeline'!$T$4:$T$503,_calc!$E$470))=0,"",INDEX('Dealer pipeline'!$T$4:$T$503,_calc!$E$470)))),TRIM(IF(LEN(IF(LEN(INDEX('My equipment'!$C$4:$C$503,(_calc!$E$470-500)))=0,"",INDEX('My equipment'!$C$4:$C$503,(_calc!$E$470-500))))=0,"","Model: "&amp;IF(LEN(INDEX('My equipment'!$C$4:$C$503,(_calc!$E$470-500)))=0,"",INDEX('My equipment'!$C$4:$C$503,(_calc!$E$470-500)))&amp;". ")&amp;IF(LEN(IF(LEN(INDEX('My equipment'!$D$4:$D$503,(_calc!$E$470-500)))=0,"",INDEX('My equipment'!$D$4:$D$503,(_calc!$E$470-500))))=0,"","Serial: "&amp;IF(LEN(INDEX('My equipment'!$D$4:$D$503,(_calc!$E$470-500)))=0,"",INDEX('My equipment'!$D$4:$D$503,(_calc!$E$470-500)))&amp;". ")&amp;IF(LEN(IF(ISNUMBER(INDEX('My equipment'!$J$4:$J$503,(_calc!$E$470-500))),TEXT(INDEX('My equipment'!$J$4:$J$503,(_calc!$E$470-500)),"yyyy-mm-dd"),""))=0,"","Parts end: "&amp;IF(ISNUMBER(INDEX('My equipment'!$J$4:$J$503,(_calc!$E$470-500))),TEXT(INDEX('My equipment'!$J$4:$J$503,(_calc!$E$470-500)),"yyyy-mm-dd"),"")&amp;". ")&amp;IF(LEN(IF(ISNUMBER(INDEX('My equipment'!$L$4:$L$503,(_calc!$E$470-500))),TEXT(INDEX('My equipment'!$L$4:$L$503,(_calc!$E$470-500)),"yyyy-mm-dd"),""))=0,"","Labor end: "&amp;IF(ISNUMBER(INDEX('My equipment'!$L$4:$L$503,(_calc!$E$470-500))),TEXT(INDEX('My equipment'!$L$4:$L$503,(_calc!$E$470-500)),"yyyy-mm-dd"),"")&amp;". ")&amp;IF(LEN(IF(ISNUMBER(INDEX('My equipment'!$P$4:$P$503,(_calc!$E$470-500))),TEXT(INDEX('My equipment'!$P$4:$P$503,(_calc!$E$470-500)),"yyyy-mm-dd"),""))=0,"","Check by: "&amp;IF(ISNUMBER(INDEX('My equipment'!$P$4:$P$503,(_calc!$E$470-500))),TEXT(INDEX('My equipment'!$P$4:$P$503,(_calc!$E$470-500)),"yyyy-mm-dd"),"")&amp;". ")&amp;IF(LEN(IF(LEN(INDEX('My equipment'!$Q$4:$Q$503,(_calc!$E$470-500)))=0,"",INDEX('My equipment'!$Q$4:$Q$503,(_calc!$E$470-500))))=0,"","Claim status: "&amp;IF(LEN(INDEX('My equipment'!$Q$4:$Q$503,(_calc!$E$470-500)))=0,"",INDEX('My equipment'!$Q$4:$Q$503,(_calc!$E$470-500)))&amp;". ")&amp;IF(LEN(IF(LEN(INDEX('My equipment'!$R$4:$R$503,(_calc!$E$470-500)))=0,"",INDEX('My equipment'!$R$4:$R$503,(_calc!$E$470-500))))=0,"","Claims contact: "&amp;IF(LEN(INDEX('My equipment'!$R$4:$R$503,(_calc!$E$470-500)))=0,"",INDEX('My equipment'!$R$4:$R$503,(_calc!$E$470-500)))&amp;". ")&amp;IF(LEN(IF(LEN(INDEX('My equipment'!$S$4:$S$503,(_calc!$E$470-500)))=0,"",INDEX('My equipment'!$S$4:$S$503,(_calc!$E$470-500))))=0,"","Claims email: "&amp;IF(LEN(INDEX('My equipment'!$S$4:$S$503,(_calc!$E$470-500)))=0,"",INDEX('My equipment'!$S$4:$S$503,(_calc!$E$470-500)))&amp;". ")&amp;IF(LEN(IF(LEN(INDEX('My equipment'!$U$4:$U$503,(_calc!$E$470-500)))=0,"",INDEX('My equipment'!$U$4:$U$503,(_calc!$E$470-500))))=0,"","Registered: "&amp;IF(LEN(INDEX('My equipment'!$U$4:$U$503,(_calc!$E$470-500)))=0,"",INDEX('My equipment'!$U$4:$U$503,(_calc!$E$470-500)))&amp;". ")&amp;IF(LEN(IF(LEN(INDEX('My equipment'!$V$4:$V$503,(_calc!$E$470-500)))=0,"",INDEX('My equipment'!$V$4:$V$503,(_calc!$E$470-500))))=0,"","Proof on file: "&amp;IF(LEN(INDEX('My equipment'!$V$4:$V$503,(_calc!$E$470-500)))=0,"",INDEX('My equipment'!$V$4:$V$503,(_calc!$E$470-500)))&amp;". ")&amp;IF(LEN(IF(LEN(INDEX('My equipment'!$W$4:$W$503,(_calc!$E$470-500)))=0,"",INDEX('My equipment'!$W$4:$W$503,(_calc!$E$470-500))))=0,"","Claim ref: "&amp;IF(LEN(INDEX('My equipment'!$W$4:$W$503,(_calc!$E$470-500)))=0,"",INDEX('My equipment'!$W$4:$W$503,(_calc!$E$470-500)))&amp;". ")&amp;IF(LEN(IF(LEN(INDEX('My equipment'!$Y$4:$Y$503,(_calc!$E$470-500)))=0,"",INDEX('My equipment'!$Y$4:$Y$503,(_calc!$E$470-500))))=0,"",IF(LEN(INDEX('My equipment'!$Y$4:$Y$503,(_calc!$E$470-500)))=0,"",INDEX('My equipment'!$Y$4:$Y$503,(_calc!$E$470-500)))))))</f>
        <v/>
      </c>
      <c r="G468" s="54">
        <f>IF(_calc!$E$470="","",IF(_calc!$E$470&lt;=500,"",IF(LEN(INDEX('My equipment'!$X$4:$X$503,(_calc!$E$470-500)))=0,"",INDEX('My equipment'!$X$4:$X$503,(_calc!$E$470-500)))))</f>
        <v/>
      </c>
      <c r="K468" s="54">
        <f>IF(_calc!$E$470="","",IF(_calc!$E$470&lt;=500,"",IF(LEN(INDEX('My equipment'!$T$4:$T$503,(_calc!$E$470-500)))=0,"",INDEX('My equipment'!$T$4:$T$503,(_calc!$E$470-500)))))</f>
        <v/>
      </c>
    </row>
    <row r="469">
      <c r="A469" s="54">
        <f>IF(_calc!$E$471="","",IF(_calc!$E$471&lt;=500,"Warranty – "&amp;IF(LEN(INDEX('Dealer pipeline'!$C$4:$C$503,_calc!$E$471))=0,"",INDEX('Dealer pipeline'!$C$4:$C$503,_calc!$E$471))&amp;" – "&amp;IF(LEN(INDEX('Dealer pipeline'!$D$4:$D$503,_calc!$E$471))=0,"",INDEX('Dealer pipeline'!$D$4:$D$503,_calc!$E$471))&amp;" – "&amp;IF(LEN(INDEX('Dealer pipeline'!$A$4:$A$503,_calc!$E$471))=0,"",INDEX('Dealer pipeline'!$A$4:$A$503,_calc!$E$471)),"Warranty – "&amp;IF(LEN(INDEX('My equipment'!$A$4:$A$503,(_calc!$E$471-500)))=0,"",INDEX('My equipment'!$A$4:$A$503,(_calc!$E$471-500)))&amp;" – "&amp;IF(LEN(INDEX('My equipment'!$D$4:$D$503,(_calc!$E$471-500)))=0,"",INDEX('My equipment'!$D$4:$D$503,(_calc!$E$471-500)))))</f>
        <v/>
      </c>
      <c r="B469" s="54">
        <f>IF(_calc!$E$471="","",IF(_calc!$E$471&lt;=500,IF(ISNUMBER(INDEX('Dealer pipeline'!$M$4:$M$503,_calc!$E$471)),TEXT(INDEX('Dealer pipeline'!$M$4:$M$503,_calc!$E$471),"yyyy-mm-dd"),""),IF(ISNUMBER(INDEX('My equipment'!$M$4:$M$503,(_calc!$E$471-500))),TEXT(INDEX('My equipment'!$M$4:$M$503,(_calc!$E$471-500)),"yyyy-mm-dd"),"")))</f>
        <v/>
      </c>
      <c r="C469" s="54">
        <f>IF(_calc!$E$471="","",IF(_calc!$E$471&lt;=500,"Warranty","Warranty"))</f>
        <v/>
      </c>
      <c r="D469" s="54">
        <f>IF(_calc!$E$471="","",IF(_calc!$E$471&lt;=500,IF(ISNUMBER(INDEX('Dealer pipeline'!$H$4:$H$503,_calc!$E$471)),TEXT(INDEX('Dealer pipeline'!$H$4:$H$503,_calc!$E$471),"yyyy-mm-dd"),""),IF(ISNUMBER(INDEX('My equipment'!$H$4:$H$503,(_calc!$E$471-500))),TEXT(INDEX('My equipment'!$H$4:$H$503,(_calc!$E$471-500)),"yyyy-mm-dd"),"")))</f>
        <v/>
      </c>
      <c r="F469" s="54">
        <f>IF(_calc!$E$471="","",IF(_calc!$E$471&lt;=500,TRIM(IF(LEN(IF(LEN(INDEX('Dealer pipeline'!$A$4:$A$503,_calc!$E$471))=0,"",INDEX('Dealer pipeline'!$A$4:$A$503,_calc!$E$471)))=0,"","Customer: "&amp;IF(LEN(INDEX('Dealer pipeline'!$A$4:$A$503,_calc!$E$471))=0,"",INDEX('Dealer pipeline'!$A$4:$A$503,_calc!$E$471))&amp;". ")&amp;IF(LEN(IF(LEN(INDEX('Dealer pipeline'!$B$4:$B$503,_calc!$E$471))=0,"",INDEX('Dealer pipeline'!$B$4:$B$503,_calc!$E$471)))=0,"","Contact: "&amp;IF(LEN(INDEX('Dealer pipeline'!$B$4:$B$503,_calc!$E$471))=0,"",INDEX('Dealer pipeline'!$B$4:$B$503,_calc!$E$471))&amp;". ")&amp;IF(LEN(IF(LEN(INDEX('Dealer pipeline'!$D$4:$D$503,_calc!$E$471))=0,"",INDEX('Dealer pipeline'!$D$4:$D$503,_calc!$E$471)))=0,"","Serial: "&amp;IF(LEN(INDEX('Dealer pipeline'!$D$4:$D$503,_calc!$E$471))=0,"",INDEX('Dealer pipeline'!$D$4:$D$503,_calc!$E$471))&amp;". ")&amp;IF(LEN(IF(ISNUMBER(INDEX('Dealer pipeline'!$J$4:$J$503,_calc!$E$471)),TEXT(INDEX('Dealer pipeline'!$J$4:$J$503,_calc!$E$471),"yyyy-mm-dd"),""))=0,"","Parts end: "&amp;IF(ISNUMBER(INDEX('Dealer pipeline'!$J$4:$J$503,_calc!$E$471)),TEXT(INDEX('Dealer pipeline'!$J$4:$J$503,_calc!$E$471),"yyyy-mm-dd"),"")&amp;". ")&amp;IF(LEN(IF(ISNUMBER(INDEX('Dealer pipeline'!$L$4:$L$503,_calc!$E$471)),TEXT(INDEX('Dealer pipeline'!$L$4:$L$503,_calc!$E$471),"yyyy-mm-dd"),""))=0,"","Labor end: "&amp;IF(ISNUMBER(INDEX('Dealer pipeline'!$L$4:$L$503,_calc!$E$471)),TEXT(INDEX('Dealer pipeline'!$L$4:$L$503,_calc!$E$471),"yyyy-mm-dd"),"")&amp;". ")&amp;IF(LEN(IF(LEN(INDEX('Dealer pipeline'!$Q$4:$Q$503,_calc!$E$471))=0,"",INDEX('Dealer pipeline'!$Q$4:$Q$503,_calc!$E$471)))=0,"","Status: "&amp;IF(LEN(INDEX('Dealer pipeline'!$Q$4:$Q$503,_calc!$E$471))=0,"",INDEX('Dealer pipeline'!$Q$4:$Q$503,_calc!$E$471))&amp;". ")&amp;IF(LEN(IF(LEN(INDEX('Dealer pipeline'!$P$4:$P$503,_calc!$E$471))=0,"",INDEX('Dealer pipeline'!$P$4:$P$503,_calc!$E$471)))=0,"","Last touch: "&amp;IF(LEN(INDEX('Dealer pipeline'!$P$4:$P$503,_calc!$E$471))=0,"",INDEX('Dealer pipeline'!$P$4:$P$503,_calc!$E$471))&amp;". ")&amp;IF(LEN(IF(LEN(INDEX('Dealer pipeline'!$R$4:$R$503,_calc!$E$471))=0,"",INDEX('Dealer pipeline'!$R$4:$R$503,_calc!$E$471)))=0,"","Owner: "&amp;IF(LEN(INDEX('Dealer pipeline'!$R$4:$R$503,_calc!$E$471))=0,"",INDEX('Dealer pipeline'!$R$4:$R$503,_calc!$E$471))&amp;". ")&amp;IF(LEN(IF(LEN(INDEX('Dealer pipeline'!$S$4:$S$503,_calc!$E$471))=0,"",INDEX('Dealer pipeline'!$S$4:$S$503,_calc!$E$471)))=0,"","Backup: "&amp;IF(LEN(INDEX('Dealer pipeline'!$S$4:$S$503,_calc!$E$471))=0,"",INDEX('Dealer pipeline'!$S$4:$S$503,_calc!$E$471))&amp;". ")&amp;IF(LEN(IF(LEN(INDEX('Dealer pipeline'!$T$4:$T$503,_calc!$E$471))=0,"",INDEX('Dealer pipeline'!$T$4:$T$503,_calc!$E$471)))=0,"",IF(LEN(INDEX('Dealer pipeline'!$T$4:$T$503,_calc!$E$471))=0,"",INDEX('Dealer pipeline'!$T$4:$T$503,_calc!$E$471)))),TRIM(IF(LEN(IF(LEN(INDEX('My equipment'!$C$4:$C$503,(_calc!$E$471-500)))=0,"",INDEX('My equipment'!$C$4:$C$503,(_calc!$E$471-500))))=0,"","Model: "&amp;IF(LEN(INDEX('My equipment'!$C$4:$C$503,(_calc!$E$471-500)))=0,"",INDEX('My equipment'!$C$4:$C$503,(_calc!$E$471-500)))&amp;". ")&amp;IF(LEN(IF(LEN(INDEX('My equipment'!$D$4:$D$503,(_calc!$E$471-500)))=0,"",INDEX('My equipment'!$D$4:$D$503,(_calc!$E$471-500))))=0,"","Serial: "&amp;IF(LEN(INDEX('My equipment'!$D$4:$D$503,(_calc!$E$471-500)))=0,"",INDEX('My equipment'!$D$4:$D$503,(_calc!$E$471-500)))&amp;". ")&amp;IF(LEN(IF(ISNUMBER(INDEX('My equipment'!$J$4:$J$503,(_calc!$E$471-500))),TEXT(INDEX('My equipment'!$J$4:$J$503,(_calc!$E$471-500)),"yyyy-mm-dd"),""))=0,"","Parts end: "&amp;IF(ISNUMBER(INDEX('My equipment'!$J$4:$J$503,(_calc!$E$471-500))),TEXT(INDEX('My equipment'!$J$4:$J$503,(_calc!$E$471-500)),"yyyy-mm-dd"),"")&amp;". ")&amp;IF(LEN(IF(ISNUMBER(INDEX('My equipment'!$L$4:$L$503,(_calc!$E$471-500))),TEXT(INDEX('My equipment'!$L$4:$L$503,(_calc!$E$471-500)),"yyyy-mm-dd"),""))=0,"","Labor end: "&amp;IF(ISNUMBER(INDEX('My equipment'!$L$4:$L$503,(_calc!$E$471-500))),TEXT(INDEX('My equipment'!$L$4:$L$503,(_calc!$E$471-500)),"yyyy-mm-dd"),"")&amp;". ")&amp;IF(LEN(IF(ISNUMBER(INDEX('My equipment'!$P$4:$P$503,(_calc!$E$471-500))),TEXT(INDEX('My equipment'!$P$4:$P$503,(_calc!$E$471-500)),"yyyy-mm-dd"),""))=0,"","Check by: "&amp;IF(ISNUMBER(INDEX('My equipment'!$P$4:$P$503,(_calc!$E$471-500))),TEXT(INDEX('My equipment'!$P$4:$P$503,(_calc!$E$471-500)),"yyyy-mm-dd"),"")&amp;". ")&amp;IF(LEN(IF(LEN(INDEX('My equipment'!$Q$4:$Q$503,(_calc!$E$471-500)))=0,"",INDEX('My equipment'!$Q$4:$Q$503,(_calc!$E$471-500))))=0,"","Claim status: "&amp;IF(LEN(INDEX('My equipment'!$Q$4:$Q$503,(_calc!$E$471-500)))=0,"",INDEX('My equipment'!$Q$4:$Q$503,(_calc!$E$471-500)))&amp;". ")&amp;IF(LEN(IF(LEN(INDEX('My equipment'!$R$4:$R$503,(_calc!$E$471-500)))=0,"",INDEX('My equipment'!$R$4:$R$503,(_calc!$E$471-500))))=0,"","Claims contact: "&amp;IF(LEN(INDEX('My equipment'!$R$4:$R$503,(_calc!$E$471-500)))=0,"",INDEX('My equipment'!$R$4:$R$503,(_calc!$E$471-500)))&amp;". ")&amp;IF(LEN(IF(LEN(INDEX('My equipment'!$S$4:$S$503,(_calc!$E$471-500)))=0,"",INDEX('My equipment'!$S$4:$S$503,(_calc!$E$471-500))))=0,"","Claims email: "&amp;IF(LEN(INDEX('My equipment'!$S$4:$S$503,(_calc!$E$471-500)))=0,"",INDEX('My equipment'!$S$4:$S$503,(_calc!$E$471-500)))&amp;". ")&amp;IF(LEN(IF(LEN(INDEX('My equipment'!$U$4:$U$503,(_calc!$E$471-500)))=0,"",INDEX('My equipment'!$U$4:$U$503,(_calc!$E$471-500))))=0,"","Registered: "&amp;IF(LEN(INDEX('My equipment'!$U$4:$U$503,(_calc!$E$471-500)))=0,"",INDEX('My equipment'!$U$4:$U$503,(_calc!$E$471-500)))&amp;". ")&amp;IF(LEN(IF(LEN(INDEX('My equipment'!$V$4:$V$503,(_calc!$E$471-500)))=0,"",INDEX('My equipment'!$V$4:$V$503,(_calc!$E$471-500))))=0,"","Proof on file: "&amp;IF(LEN(INDEX('My equipment'!$V$4:$V$503,(_calc!$E$471-500)))=0,"",INDEX('My equipment'!$V$4:$V$503,(_calc!$E$471-500)))&amp;". ")&amp;IF(LEN(IF(LEN(INDEX('My equipment'!$W$4:$W$503,(_calc!$E$471-500)))=0,"",INDEX('My equipment'!$W$4:$W$503,(_calc!$E$471-500))))=0,"","Claim ref: "&amp;IF(LEN(INDEX('My equipment'!$W$4:$W$503,(_calc!$E$471-500)))=0,"",INDEX('My equipment'!$W$4:$W$503,(_calc!$E$471-500)))&amp;". ")&amp;IF(LEN(IF(LEN(INDEX('My equipment'!$Y$4:$Y$503,(_calc!$E$471-500)))=0,"",INDEX('My equipment'!$Y$4:$Y$503,(_calc!$E$471-500))))=0,"",IF(LEN(INDEX('My equipment'!$Y$4:$Y$503,(_calc!$E$471-500)))=0,"",INDEX('My equipment'!$Y$4:$Y$503,(_calc!$E$471-500)))))))</f>
        <v/>
      </c>
      <c r="G469" s="54">
        <f>IF(_calc!$E$471="","",IF(_calc!$E$471&lt;=500,"",IF(LEN(INDEX('My equipment'!$X$4:$X$503,(_calc!$E$471-500)))=0,"",INDEX('My equipment'!$X$4:$X$503,(_calc!$E$471-500)))))</f>
        <v/>
      </c>
      <c r="K469" s="54">
        <f>IF(_calc!$E$471="","",IF(_calc!$E$471&lt;=500,"",IF(LEN(INDEX('My equipment'!$T$4:$T$503,(_calc!$E$471-500)))=0,"",INDEX('My equipment'!$T$4:$T$503,(_calc!$E$471-500)))))</f>
        <v/>
      </c>
    </row>
    <row r="470">
      <c r="A470" s="54">
        <f>IF(_calc!$E$472="","",IF(_calc!$E$472&lt;=500,"Warranty – "&amp;IF(LEN(INDEX('Dealer pipeline'!$C$4:$C$503,_calc!$E$472))=0,"",INDEX('Dealer pipeline'!$C$4:$C$503,_calc!$E$472))&amp;" – "&amp;IF(LEN(INDEX('Dealer pipeline'!$D$4:$D$503,_calc!$E$472))=0,"",INDEX('Dealer pipeline'!$D$4:$D$503,_calc!$E$472))&amp;" – "&amp;IF(LEN(INDEX('Dealer pipeline'!$A$4:$A$503,_calc!$E$472))=0,"",INDEX('Dealer pipeline'!$A$4:$A$503,_calc!$E$472)),"Warranty – "&amp;IF(LEN(INDEX('My equipment'!$A$4:$A$503,(_calc!$E$472-500)))=0,"",INDEX('My equipment'!$A$4:$A$503,(_calc!$E$472-500)))&amp;" – "&amp;IF(LEN(INDEX('My equipment'!$D$4:$D$503,(_calc!$E$472-500)))=0,"",INDEX('My equipment'!$D$4:$D$503,(_calc!$E$472-500)))))</f>
        <v/>
      </c>
      <c r="B470" s="54">
        <f>IF(_calc!$E$472="","",IF(_calc!$E$472&lt;=500,IF(ISNUMBER(INDEX('Dealer pipeline'!$M$4:$M$503,_calc!$E$472)),TEXT(INDEX('Dealer pipeline'!$M$4:$M$503,_calc!$E$472),"yyyy-mm-dd"),""),IF(ISNUMBER(INDEX('My equipment'!$M$4:$M$503,(_calc!$E$472-500))),TEXT(INDEX('My equipment'!$M$4:$M$503,(_calc!$E$472-500)),"yyyy-mm-dd"),"")))</f>
        <v/>
      </c>
      <c r="C470" s="54">
        <f>IF(_calc!$E$472="","",IF(_calc!$E$472&lt;=500,"Warranty","Warranty"))</f>
        <v/>
      </c>
      <c r="D470" s="54">
        <f>IF(_calc!$E$472="","",IF(_calc!$E$472&lt;=500,IF(ISNUMBER(INDEX('Dealer pipeline'!$H$4:$H$503,_calc!$E$472)),TEXT(INDEX('Dealer pipeline'!$H$4:$H$503,_calc!$E$472),"yyyy-mm-dd"),""),IF(ISNUMBER(INDEX('My equipment'!$H$4:$H$503,(_calc!$E$472-500))),TEXT(INDEX('My equipment'!$H$4:$H$503,(_calc!$E$472-500)),"yyyy-mm-dd"),"")))</f>
        <v/>
      </c>
      <c r="F470" s="54">
        <f>IF(_calc!$E$472="","",IF(_calc!$E$472&lt;=500,TRIM(IF(LEN(IF(LEN(INDEX('Dealer pipeline'!$A$4:$A$503,_calc!$E$472))=0,"",INDEX('Dealer pipeline'!$A$4:$A$503,_calc!$E$472)))=0,"","Customer: "&amp;IF(LEN(INDEX('Dealer pipeline'!$A$4:$A$503,_calc!$E$472))=0,"",INDEX('Dealer pipeline'!$A$4:$A$503,_calc!$E$472))&amp;". ")&amp;IF(LEN(IF(LEN(INDEX('Dealer pipeline'!$B$4:$B$503,_calc!$E$472))=0,"",INDEX('Dealer pipeline'!$B$4:$B$503,_calc!$E$472)))=0,"","Contact: "&amp;IF(LEN(INDEX('Dealer pipeline'!$B$4:$B$503,_calc!$E$472))=0,"",INDEX('Dealer pipeline'!$B$4:$B$503,_calc!$E$472))&amp;". ")&amp;IF(LEN(IF(LEN(INDEX('Dealer pipeline'!$D$4:$D$503,_calc!$E$472))=0,"",INDEX('Dealer pipeline'!$D$4:$D$503,_calc!$E$472)))=0,"","Serial: "&amp;IF(LEN(INDEX('Dealer pipeline'!$D$4:$D$503,_calc!$E$472))=0,"",INDEX('Dealer pipeline'!$D$4:$D$503,_calc!$E$472))&amp;". ")&amp;IF(LEN(IF(ISNUMBER(INDEX('Dealer pipeline'!$J$4:$J$503,_calc!$E$472)),TEXT(INDEX('Dealer pipeline'!$J$4:$J$503,_calc!$E$472),"yyyy-mm-dd"),""))=0,"","Parts end: "&amp;IF(ISNUMBER(INDEX('Dealer pipeline'!$J$4:$J$503,_calc!$E$472)),TEXT(INDEX('Dealer pipeline'!$J$4:$J$503,_calc!$E$472),"yyyy-mm-dd"),"")&amp;". ")&amp;IF(LEN(IF(ISNUMBER(INDEX('Dealer pipeline'!$L$4:$L$503,_calc!$E$472)),TEXT(INDEX('Dealer pipeline'!$L$4:$L$503,_calc!$E$472),"yyyy-mm-dd"),""))=0,"","Labor end: "&amp;IF(ISNUMBER(INDEX('Dealer pipeline'!$L$4:$L$503,_calc!$E$472)),TEXT(INDEX('Dealer pipeline'!$L$4:$L$503,_calc!$E$472),"yyyy-mm-dd"),"")&amp;". ")&amp;IF(LEN(IF(LEN(INDEX('Dealer pipeline'!$Q$4:$Q$503,_calc!$E$472))=0,"",INDEX('Dealer pipeline'!$Q$4:$Q$503,_calc!$E$472)))=0,"","Status: "&amp;IF(LEN(INDEX('Dealer pipeline'!$Q$4:$Q$503,_calc!$E$472))=0,"",INDEX('Dealer pipeline'!$Q$4:$Q$503,_calc!$E$472))&amp;". ")&amp;IF(LEN(IF(LEN(INDEX('Dealer pipeline'!$P$4:$P$503,_calc!$E$472))=0,"",INDEX('Dealer pipeline'!$P$4:$P$503,_calc!$E$472)))=0,"","Last touch: "&amp;IF(LEN(INDEX('Dealer pipeline'!$P$4:$P$503,_calc!$E$472))=0,"",INDEX('Dealer pipeline'!$P$4:$P$503,_calc!$E$472))&amp;". ")&amp;IF(LEN(IF(LEN(INDEX('Dealer pipeline'!$R$4:$R$503,_calc!$E$472))=0,"",INDEX('Dealer pipeline'!$R$4:$R$503,_calc!$E$472)))=0,"","Owner: "&amp;IF(LEN(INDEX('Dealer pipeline'!$R$4:$R$503,_calc!$E$472))=0,"",INDEX('Dealer pipeline'!$R$4:$R$503,_calc!$E$472))&amp;". ")&amp;IF(LEN(IF(LEN(INDEX('Dealer pipeline'!$S$4:$S$503,_calc!$E$472))=0,"",INDEX('Dealer pipeline'!$S$4:$S$503,_calc!$E$472)))=0,"","Backup: "&amp;IF(LEN(INDEX('Dealer pipeline'!$S$4:$S$503,_calc!$E$472))=0,"",INDEX('Dealer pipeline'!$S$4:$S$503,_calc!$E$472))&amp;". ")&amp;IF(LEN(IF(LEN(INDEX('Dealer pipeline'!$T$4:$T$503,_calc!$E$472))=0,"",INDEX('Dealer pipeline'!$T$4:$T$503,_calc!$E$472)))=0,"",IF(LEN(INDEX('Dealer pipeline'!$T$4:$T$503,_calc!$E$472))=0,"",INDEX('Dealer pipeline'!$T$4:$T$503,_calc!$E$472)))),TRIM(IF(LEN(IF(LEN(INDEX('My equipment'!$C$4:$C$503,(_calc!$E$472-500)))=0,"",INDEX('My equipment'!$C$4:$C$503,(_calc!$E$472-500))))=0,"","Model: "&amp;IF(LEN(INDEX('My equipment'!$C$4:$C$503,(_calc!$E$472-500)))=0,"",INDEX('My equipment'!$C$4:$C$503,(_calc!$E$472-500)))&amp;". ")&amp;IF(LEN(IF(LEN(INDEX('My equipment'!$D$4:$D$503,(_calc!$E$472-500)))=0,"",INDEX('My equipment'!$D$4:$D$503,(_calc!$E$472-500))))=0,"","Serial: "&amp;IF(LEN(INDEX('My equipment'!$D$4:$D$503,(_calc!$E$472-500)))=0,"",INDEX('My equipment'!$D$4:$D$503,(_calc!$E$472-500)))&amp;". ")&amp;IF(LEN(IF(ISNUMBER(INDEX('My equipment'!$J$4:$J$503,(_calc!$E$472-500))),TEXT(INDEX('My equipment'!$J$4:$J$503,(_calc!$E$472-500)),"yyyy-mm-dd"),""))=0,"","Parts end: "&amp;IF(ISNUMBER(INDEX('My equipment'!$J$4:$J$503,(_calc!$E$472-500))),TEXT(INDEX('My equipment'!$J$4:$J$503,(_calc!$E$472-500)),"yyyy-mm-dd"),"")&amp;". ")&amp;IF(LEN(IF(ISNUMBER(INDEX('My equipment'!$L$4:$L$503,(_calc!$E$472-500))),TEXT(INDEX('My equipment'!$L$4:$L$503,(_calc!$E$472-500)),"yyyy-mm-dd"),""))=0,"","Labor end: "&amp;IF(ISNUMBER(INDEX('My equipment'!$L$4:$L$503,(_calc!$E$472-500))),TEXT(INDEX('My equipment'!$L$4:$L$503,(_calc!$E$472-500)),"yyyy-mm-dd"),"")&amp;". ")&amp;IF(LEN(IF(ISNUMBER(INDEX('My equipment'!$P$4:$P$503,(_calc!$E$472-500))),TEXT(INDEX('My equipment'!$P$4:$P$503,(_calc!$E$472-500)),"yyyy-mm-dd"),""))=0,"","Check by: "&amp;IF(ISNUMBER(INDEX('My equipment'!$P$4:$P$503,(_calc!$E$472-500))),TEXT(INDEX('My equipment'!$P$4:$P$503,(_calc!$E$472-500)),"yyyy-mm-dd"),"")&amp;". ")&amp;IF(LEN(IF(LEN(INDEX('My equipment'!$Q$4:$Q$503,(_calc!$E$472-500)))=0,"",INDEX('My equipment'!$Q$4:$Q$503,(_calc!$E$472-500))))=0,"","Claim status: "&amp;IF(LEN(INDEX('My equipment'!$Q$4:$Q$503,(_calc!$E$472-500)))=0,"",INDEX('My equipment'!$Q$4:$Q$503,(_calc!$E$472-500)))&amp;". ")&amp;IF(LEN(IF(LEN(INDEX('My equipment'!$R$4:$R$503,(_calc!$E$472-500)))=0,"",INDEX('My equipment'!$R$4:$R$503,(_calc!$E$472-500))))=0,"","Claims contact: "&amp;IF(LEN(INDEX('My equipment'!$R$4:$R$503,(_calc!$E$472-500)))=0,"",INDEX('My equipment'!$R$4:$R$503,(_calc!$E$472-500)))&amp;". ")&amp;IF(LEN(IF(LEN(INDEX('My equipment'!$S$4:$S$503,(_calc!$E$472-500)))=0,"",INDEX('My equipment'!$S$4:$S$503,(_calc!$E$472-500))))=0,"","Claims email: "&amp;IF(LEN(INDEX('My equipment'!$S$4:$S$503,(_calc!$E$472-500)))=0,"",INDEX('My equipment'!$S$4:$S$503,(_calc!$E$472-500)))&amp;". ")&amp;IF(LEN(IF(LEN(INDEX('My equipment'!$U$4:$U$503,(_calc!$E$472-500)))=0,"",INDEX('My equipment'!$U$4:$U$503,(_calc!$E$472-500))))=0,"","Registered: "&amp;IF(LEN(INDEX('My equipment'!$U$4:$U$503,(_calc!$E$472-500)))=0,"",INDEX('My equipment'!$U$4:$U$503,(_calc!$E$472-500)))&amp;". ")&amp;IF(LEN(IF(LEN(INDEX('My equipment'!$V$4:$V$503,(_calc!$E$472-500)))=0,"",INDEX('My equipment'!$V$4:$V$503,(_calc!$E$472-500))))=0,"","Proof on file: "&amp;IF(LEN(INDEX('My equipment'!$V$4:$V$503,(_calc!$E$472-500)))=0,"",INDEX('My equipment'!$V$4:$V$503,(_calc!$E$472-500)))&amp;". ")&amp;IF(LEN(IF(LEN(INDEX('My equipment'!$W$4:$W$503,(_calc!$E$472-500)))=0,"",INDEX('My equipment'!$W$4:$W$503,(_calc!$E$472-500))))=0,"","Claim ref: "&amp;IF(LEN(INDEX('My equipment'!$W$4:$W$503,(_calc!$E$472-500)))=0,"",INDEX('My equipment'!$W$4:$W$503,(_calc!$E$472-500)))&amp;". ")&amp;IF(LEN(IF(LEN(INDEX('My equipment'!$Y$4:$Y$503,(_calc!$E$472-500)))=0,"",INDEX('My equipment'!$Y$4:$Y$503,(_calc!$E$472-500))))=0,"",IF(LEN(INDEX('My equipment'!$Y$4:$Y$503,(_calc!$E$472-500)))=0,"",INDEX('My equipment'!$Y$4:$Y$503,(_calc!$E$472-500)))))))</f>
        <v/>
      </c>
      <c r="G470" s="54">
        <f>IF(_calc!$E$472="","",IF(_calc!$E$472&lt;=500,"",IF(LEN(INDEX('My equipment'!$X$4:$X$503,(_calc!$E$472-500)))=0,"",INDEX('My equipment'!$X$4:$X$503,(_calc!$E$472-500)))))</f>
        <v/>
      </c>
      <c r="K470" s="54">
        <f>IF(_calc!$E$472="","",IF(_calc!$E$472&lt;=500,"",IF(LEN(INDEX('My equipment'!$T$4:$T$503,(_calc!$E$472-500)))=0,"",INDEX('My equipment'!$T$4:$T$503,(_calc!$E$472-500)))))</f>
        <v/>
      </c>
    </row>
    <row r="471">
      <c r="A471" s="54">
        <f>IF(_calc!$E$473="","",IF(_calc!$E$473&lt;=500,"Warranty – "&amp;IF(LEN(INDEX('Dealer pipeline'!$C$4:$C$503,_calc!$E$473))=0,"",INDEX('Dealer pipeline'!$C$4:$C$503,_calc!$E$473))&amp;" – "&amp;IF(LEN(INDEX('Dealer pipeline'!$D$4:$D$503,_calc!$E$473))=0,"",INDEX('Dealer pipeline'!$D$4:$D$503,_calc!$E$473))&amp;" – "&amp;IF(LEN(INDEX('Dealer pipeline'!$A$4:$A$503,_calc!$E$473))=0,"",INDEX('Dealer pipeline'!$A$4:$A$503,_calc!$E$473)),"Warranty – "&amp;IF(LEN(INDEX('My equipment'!$A$4:$A$503,(_calc!$E$473-500)))=0,"",INDEX('My equipment'!$A$4:$A$503,(_calc!$E$473-500)))&amp;" – "&amp;IF(LEN(INDEX('My equipment'!$D$4:$D$503,(_calc!$E$473-500)))=0,"",INDEX('My equipment'!$D$4:$D$503,(_calc!$E$473-500)))))</f>
        <v/>
      </c>
      <c r="B471" s="54">
        <f>IF(_calc!$E$473="","",IF(_calc!$E$473&lt;=500,IF(ISNUMBER(INDEX('Dealer pipeline'!$M$4:$M$503,_calc!$E$473)),TEXT(INDEX('Dealer pipeline'!$M$4:$M$503,_calc!$E$473),"yyyy-mm-dd"),""),IF(ISNUMBER(INDEX('My equipment'!$M$4:$M$503,(_calc!$E$473-500))),TEXT(INDEX('My equipment'!$M$4:$M$503,(_calc!$E$473-500)),"yyyy-mm-dd"),"")))</f>
        <v/>
      </c>
      <c r="C471" s="54">
        <f>IF(_calc!$E$473="","",IF(_calc!$E$473&lt;=500,"Warranty","Warranty"))</f>
        <v/>
      </c>
      <c r="D471" s="54">
        <f>IF(_calc!$E$473="","",IF(_calc!$E$473&lt;=500,IF(ISNUMBER(INDEX('Dealer pipeline'!$H$4:$H$503,_calc!$E$473)),TEXT(INDEX('Dealer pipeline'!$H$4:$H$503,_calc!$E$473),"yyyy-mm-dd"),""),IF(ISNUMBER(INDEX('My equipment'!$H$4:$H$503,(_calc!$E$473-500))),TEXT(INDEX('My equipment'!$H$4:$H$503,(_calc!$E$473-500)),"yyyy-mm-dd"),"")))</f>
        <v/>
      </c>
      <c r="F471" s="54">
        <f>IF(_calc!$E$473="","",IF(_calc!$E$473&lt;=500,TRIM(IF(LEN(IF(LEN(INDEX('Dealer pipeline'!$A$4:$A$503,_calc!$E$473))=0,"",INDEX('Dealer pipeline'!$A$4:$A$503,_calc!$E$473)))=0,"","Customer: "&amp;IF(LEN(INDEX('Dealer pipeline'!$A$4:$A$503,_calc!$E$473))=0,"",INDEX('Dealer pipeline'!$A$4:$A$503,_calc!$E$473))&amp;". ")&amp;IF(LEN(IF(LEN(INDEX('Dealer pipeline'!$B$4:$B$503,_calc!$E$473))=0,"",INDEX('Dealer pipeline'!$B$4:$B$503,_calc!$E$473)))=0,"","Contact: "&amp;IF(LEN(INDEX('Dealer pipeline'!$B$4:$B$503,_calc!$E$473))=0,"",INDEX('Dealer pipeline'!$B$4:$B$503,_calc!$E$473))&amp;". ")&amp;IF(LEN(IF(LEN(INDEX('Dealer pipeline'!$D$4:$D$503,_calc!$E$473))=0,"",INDEX('Dealer pipeline'!$D$4:$D$503,_calc!$E$473)))=0,"","Serial: "&amp;IF(LEN(INDEX('Dealer pipeline'!$D$4:$D$503,_calc!$E$473))=0,"",INDEX('Dealer pipeline'!$D$4:$D$503,_calc!$E$473))&amp;". ")&amp;IF(LEN(IF(ISNUMBER(INDEX('Dealer pipeline'!$J$4:$J$503,_calc!$E$473)),TEXT(INDEX('Dealer pipeline'!$J$4:$J$503,_calc!$E$473),"yyyy-mm-dd"),""))=0,"","Parts end: "&amp;IF(ISNUMBER(INDEX('Dealer pipeline'!$J$4:$J$503,_calc!$E$473)),TEXT(INDEX('Dealer pipeline'!$J$4:$J$503,_calc!$E$473),"yyyy-mm-dd"),"")&amp;". ")&amp;IF(LEN(IF(ISNUMBER(INDEX('Dealer pipeline'!$L$4:$L$503,_calc!$E$473)),TEXT(INDEX('Dealer pipeline'!$L$4:$L$503,_calc!$E$473),"yyyy-mm-dd"),""))=0,"","Labor end: "&amp;IF(ISNUMBER(INDEX('Dealer pipeline'!$L$4:$L$503,_calc!$E$473)),TEXT(INDEX('Dealer pipeline'!$L$4:$L$503,_calc!$E$473),"yyyy-mm-dd"),"")&amp;". ")&amp;IF(LEN(IF(LEN(INDEX('Dealer pipeline'!$Q$4:$Q$503,_calc!$E$473))=0,"",INDEX('Dealer pipeline'!$Q$4:$Q$503,_calc!$E$473)))=0,"","Status: "&amp;IF(LEN(INDEX('Dealer pipeline'!$Q$4:$Q$503,_calc!$E$473))=0,"",INDEX('Dealer pipeline'!$Q$4:$Q$503,_calc!$E$473))&amp;". ")&amp;IF(LEN(IF(LEN(INDEX('Dealer pipeline'!$P$4:$P$503,_calc!$E$473))=0,"",INDEX('Dealer pipeline'!$P$4:$P$503,_calc!$E$473)))=0,"","Last touch: "&amp;IF(LEN(INDEX('Dealer pipeline'!$P$4:$P$503,_calc!$E$473))=0,"",INDEX('Dealer pipeline'!$P$4:$P$503,_calc!$E$473))&amp;". ")&amp;IF(LEN(IF(LEN(INDEX('Dealer pipeline'!$R$4:$R$503,_calc!$E$473))=0,"",INDEX('Dealer pipeline'!$R$4:$R$503,_calc!$E$473)))=0,"","Owner: "&amp;IF(LEN(INDEX('Dealer pipeline'!$R$4:$R$503,_calc!$E$473))=0,"",INDEX('Dealer pipeline'!$R$4:$R$503,_calc!$E$473))&amp;". ")&amp;IF(LEN(IF(LEN(INDEX('Dealer pipeline'!$S$4:$S$503,_calc!$E$473))=0,"",INDEX('Dealer pipeline'!$S$4:$S$503,_calc!$E$473)))=0,"","Backup: "&amp;IF(LEN(INDEX('Dealer pipeline'!$S$4:$S$503,_calc!$E$473))=0,"",INDEX('Dealer pipeline'!$S$4:$S$503,_calc!$E$473))&amp;". ")&amp;IF(LEN(IF(LEN(INDEX('Dealer pipeline'!$T$4:$T$503,_calc!$E$473))=0,"",INDEX('Dealer pipeline'!$T$4:$T$503,_calc!$E$473)))=0,"",IF(LEN(INDEX('Dealer pipeline'!$T$4:$T$503,_calc!$E$473))=0,"",INDEX('Dealer pipeline'!$T$4:$T$503,_calc!$E$473)))),TRIM(IF(LEN(IF(LEN(INDEX('My equipment'!$C$4:$C$503,(_calc!$E$473-500)))=0,"",INDEX('My equipment'!$C$4:$C$503,(_calc!$E$473-500))))=0,"","Model: "&amp;IF(LEN(INDEX('My equipment'!$C$4:$C$503,(_calc!$E$473-500)))=0,"",INDEX('My equipment'!$C$4:$C$503,(_calc!$E$473-500)))&amp;". ")&amp;IF(LEN(IF(LEN(INDEX('My equipment'!$D$4:$D$503,(_calc!$E$473-500)))=0,"",INDEX('My equipment'!$D$4:$D$503,(_calc!$E$473-500))))=0,"","Serial: "&amp;IF(LEN(INDEX('My equipment'!$D$4:$D$503,(_calc!$E$473-500)))=0,"",INDEX('My equipment'!$D$4:$D$503,(_calc!$E$473-500)))&amp;". ")&amp;IF(LEN(IF(ISNUMBER(INDEX('My equipment'!$J$4:$J$503,(_calc!$E$473-500))),TEXT(INDEX('My equipment'!$J$4:$J$503,(_calc!$E$473-500)),"yyyy-mm-dd"),""))=0,"","Parts end: "&amp;IF(ISNUMBER(INDEX('My equipment'!$J$4:$J$503,(_calc!$E$473-500))),TEXT(INDEX('My equipment'!$J$4:$J$503,(_calc!$E$473-500)),"yyyy-mm-dd"),"")&amp;". ")&amp;IF(LEN(IF(ISNUMBER(INDEX('My equipment'!$L$4:$L$503,(_calc!$E$473-500))),TEXT(INDEX('My equipment'!$L$4:$L$503,(_calc!$E$473-500)),"yyyy-mm-dd"),""))=0,"","Labor end: "&amp;IF(ISNUMBER(INDEX('My equipment'!$L$4:$L$503,(_calc!$E$473-500))),TEXT(INDEX('My equipment'!$L$4:$L$503,(_calc!$E$473-500)),"yyyy-mm-dd"),"")&amp;". ")&amp;IF(LEN(IF(ISNUMBER(INDEX('My equipment'!$P$4:$P$503,(_calc!$E$473-500))),TEXT(INDEX('My equipment'!$P$4:$P$503,(_calc!$E$473-500)),"yyyy-mm-dd"),""))=0,"","Check by: "&amp;IF(ISNUMBER(INDEX('My equipment'!$P$4:$P$503,(_calc!$E$473-500))),TEXT(INDEX('My equipment'!$P$4:$P$503,(_calc!$E$473-500)),"yyyy-mm-dd"),"")&amp;". ")&amp;IF(LEN(IF(LEN(INDEX('My equipment'!$Q$4:$Q$503,(_calc!$E$473-500)))=0,"",INDEX('My equipment'!$Q$4:$Q$503,(_calc!$E$473-500))))=0,"","Claim status: "&amp;IF(LEN(INDEX('My equipment'!$Q$4:$Q$503,(_calc!$E$473-500)))=0,"",INDEX('My equipment'!$Q$4:$Q$503,(_calc!$E$473-500)))&amp;". ")&amp;IF(LEN(IF(LEN(INDEX('My equipment'!$R$4:$R$503,(_calc!$E$473-500)))=0,"",INDEX('My equipment'!$R$4:$R$503,(_calc!$E$473-500))))=0,"","Claims contact: "&amp;IF(LEN(INDEX('My equipment'!$R$4:$R$503,(_calc!$E$473-500)))=0,"",INDEX('My equipment'!$R$4:$R$503,(_calc!$E$473-500)))&amp;". ")&amp;IF(LEN(IF(LEN(INDEX('My equipment'!$S$4:$S$503,(_calc!$E$473-500)))=0,"",INDEX('My equipment'!$S$4:$S$503,(_calc!$E$473-500))))=0,"","Claims email: "&amp;IF(LEN(INDEX('My equipment'!$S$4:$S$503,(_calc!$E$473-500)))=0,"",INDEX('My equipment'!$S$4:$S$503,(_calc!$E$473-500)))&amp;". ")&amp;IF(LEN(IF(LEN(INDEX('My equipment'!$U$4:$U$503,(_calc!$E$473-500)))=0,"",INDEX('My equipment'!$U$4:$U$503,(_calc!$E$473-500))))=0,"","Registered: "&amp;IF(LEN(INDEX('My equipment'!$U$4:$U$503,(_calc!$E$473-500)))=0,"",INDEX('My equipment'!$U$4:$U$503,(_calc!$E$473-500)))&amp;". ")&amp;IF(LEN(IF(LEN(INDEX('My equipment'!$V$4:$V$503,(_calc!$E$473-500)))=0,"",INDEX('My equipment'!$V$4:$V$503,(_calc!$E$473-500))))=0,"","Proof on file: "&amp;IF(LEN(INDEX('My equipment'!$V$4:$V$503,(_calc!$E$473-500)))=0,"",INDEX('My equipment'!$V$4:$V$503,(_calc!$E$473-500)))&amp;". ")&amp;IF(LEN(IF(LEN(INDEX('My equipment'!$W$4:$W$503,(_calc!$E$473-500)))=0,"",INDEX('My equipment'!$W$4:$W$503,(_calc!$E$473-500))))=0,"","Claim ref: "&amp;IF(LEN(INDEX('My equipment'!$W$4:$W$503,(_calc!$E$473-500)))=0,"",INDEX('My equipment'!$W$4:$W$503,(_calc!$E$473-500)))&amp;". ")&amp;IF(LEN(IF(LEN(INDEX('My equipment'!$Y$4:$Y$503,(_calc!$E$473-500)))=0,"",INDEX('My equipment'!$Y$4:$Y$503,(_calc!$E$473-500))))=0,"",IF(LEN(INDEX('My equipment'!$Y$4:$Y$503,(_calc!$E$473-500)))=0,"",INDEX('My equipment'!$Y$4:$Y$503,(_calc!$E$473-500)))))))</f>
        <v/>
      </c>
      <c r="G471" s="54">
        <f>IF(_calc!$E$473="","",IF(_calc!$E$473&lt;=500,"",IF(LEN(INDEX('My equipment'!$X$4:$X$503,(_calc!$E$473-500)))=0,"",INDEX('My equipment'!$X$4:$X$503,(_calc!$E$473-500)))))</f>
        <v/>
      </c>
      <c r="K471" s="54">
        <f>IF(_calc!$E$473="","",IF(_calc!$E$473&lt;=500,"",IF(LEN(INDEX('My equipment'!$T$4:$T$503,(_calc!$E$473-500)))=0,"",INDEX('My equipment'!$T$4:$T$503,(_calc!$E$473-500)))))</f>
        <v/>
      </c>
    </row>
    <row r="472">
      <c r="A472" s="54">
        <f>IF(_calc!$E$474="","",IF(_calc!$E$474&lt;=500,"Warranty – "&amp;IF(LEN(INDEX('Dealer pipeline'!$C$4:$C$503,_calc!$E$474))=0,"",INDEX('Dealer pipeline'!$C$4:$C$503,_calc!$E$474))&amp;" – "&amp;IF(LEN(INDEX('Dealer pipeline'!$D$4:$D$503,_calc!$E$474))=0,"",INDEX('Dealer pipeline'!$D$4:$D$503,_calc!$E$474))&amp;" – "&amp;IF(LEN(INDEX('Dealer pipeline'!$A$4:$A$503,_calc!$E$474))=0,"",INDEX('Dealer pipeline'!$A$4:$A$503,_calc!$E$474)),"Warranty – "&amp;IF(LEN(INDEX('My equipment'!$A$4:$A$503,(_calc!$E$474-500)))=0,"",INDEX('My equipment'!$A$4:$A$503,(_calc!$E$474-500)))&amp;" – "&amp;IF(LEN(INDEX('My equipment'!$D$4:$D$503,(_calc!$E$474-500)))=0,"",INDEX('My equipment'!$D$4:$D$503,(_calc!$E$474-500)))))</f>
        <v/>
      </c>
      <c r="B472" s="54">
        <f>IF(_calc!$E$474="","",IF(_calc!$E$474&lt;=500,IF(ISNUMBER(INDEX('Dealer pipeline'!$M$4:$M$503,_calc!$E$474)),TEXT(INDEX('Dealer pipeline'!$M$4:$M$503,_calc!$E$474),"yyyy-mm-dd"),""),IF(ISNUMBER(INDEX('My equipment'!$M$4:$M$503,(_calc!$E$474-500))),TEXT(INDEX('My equipment'!$M$4:$M$503,(_calc!$E$474-500)),"yyyy-mm-dd"),"")))</f>
        <v/>
      </c>
      <c r="C472" s="54">
        <f>IF(_calc!$E$474="","",IF(_calc!$E$474&lt;=500,"Warranty","Warranty"))</f>
        <v/>
      </c>
      <c r="D472" s="54">
        <f>IF(_calc!$E$474="","",IF(_calc!$E$474&lt;=500,IF(ISNUMBER(INDEX('Dealer pipeline'!$H$4:$H$503,_calc!$E$474)),TEXT(INDEX('Dealer pipeline'!$H$4:$H$503,_calc!$E$474),"yyyy-mm-dd"),""),IF(ISNUMBER(INDEX('My equipment'!$H$4:$H$503,(_calc!$E$474-500))),TEXT(INDEX('My equipment'!$H$4:$H$503,(_calc!$E$474-500)),"yyyy-mm-dd"),"")))</f>
        <v/>
      </c>
      <c r="F472" s="54">
        <f>IF(_calc!$E$474="","",IF(_calc!$E$474&lt;=500,TRIM(IF(LEN(IF(LEN(INDEX('Dealer pipeline'!$A$4:$A$503,_calc!$E$474))=0,"",INDEX('Dealer pipeline'!$A$4:$A$503,_calc!$E$474)))=0,"","Customer: "&amp;IF(LEN(INDEX('Dealer pipeline'!$A$4:$A$503,_calc!$E$474))=0,"",INDEX('Dealer pipeline'!$A$4:$A$503,_calc!$E$474))&amp;". ")&amp;IF(LEN(IF(LEN(INDEX('Dealer pipeline'!$B$4:$B$503,_calc!$E$474))=0,"",INDEX('Dealer pipeline'!$B$4:$B$503,_calc!$E$474)))=0,"","Contact: "&amp;IF(LEN(INDEX('Dealer pipeline'!$B$4:$B$503,_calc!$E$474))=0,"",INDEX('Dealer pipeline'!$B$4:$B$503,_calc!$E$474))&amp;". ")&amp;IF(LEN(IF(LEN(INDEX('Dealer pipeline'!$D$4:$D$503,_calc!$E$474))=0,"",INDEX('Dealer pipeline'!$D$4:$D$503,_calc!$E$474)))=0,"","Serial: "&amp;IF(LEN(INDEX('Dealer pipeline'!$D$4:$D$503,_calc!$E$474))=0,"",INDEX('Dealer pipeline'!$D$4:$D$503,_calc!$E$474))&amp;". ")&amp;IF(LEN(IF(ISNUMBER(INDEX('Dealer pipeline'!$J$4:$J$503,_calc!$E$474)),TEXT(INDEX('Dealer pipeline'!$J$4:$J$503,_calc!$E$474),"yyyy-mm-dd"),""))=0,"","Parts end: "&amp;IF(ISNUMBER(INDEX('Dealer pipeline'!$J$4:$J$503,_calc!$E$474)),TEXT(INDEX('Dealer pipeline'!$J$4:$J$503,_calc!$E$474),"yyyy-mm-dd"),"")&amp;". ")&amp;IF(LEN(IF(ISNUMBER(INDEX('Dealer pipeline'!$L$4:$L$503,_calc!$E$474)),TEXT(INDEX('Dealer pipeline'!$L$4:$L$503,_calc!$E$474),"yyyy-mm-dd"),""))=0,"","Labor end: "&amp;IF(ISNUMBER(INDEX('Dealer pipeline'!$L$4:$L$503,_calc!$E$474)),TEXT(INDEX('Dealer pipeline'!$L$4:$L$503,_calc!$E$474),"yyyy-mm-dd"),"")&amp;". ")&amp;IF(LEN(IF(LEN(INDEX('Dealer pipeline'!$Q$4:$Q$503,_calc!$E$474))=0,"",INDEX('Dealer pipeline'!$Q$4:$Q$503,_calc!$E$474)))=0,"","Status: "&amp;IF(LEN(INDEX('Dealer pipeline'!$Q$4:$Q$503,_calc!$E$474))=0,"",INDEX('Dealer pipeline'!$Q$4:$Q$503,_calc!$E$474))&amp;". ")&amp;IF(LEN(IF(LEN(INDEX('Dealer pipeline'!$P$4:$P$503,_calc!$E$474))=0,"",INDEX('Dealer pipeline'!$P$4:$P$503,_calc!$E$474)))=0,"","Last touch: "&amp;IF(LEN(INDEX('Dealer pipeline'!$P$4:$P$503,_calc!$E$474))=0,"",INDEX('Dealer pipeline'!$P$4:$P$503,_calc!$E$474))&amp;". ")&amp;IF(LEN(IF(LEN(INDEX('Dealer pipeline'!$R$4:$R$503,_calc!$E$474))=0,"",INDEX('Dealer pipeline'!$R$4:$R$503,_calc!$E$474)))=0,"","Owner: "&amp;IF(LEN(INDEX('Dealer pipeline'!$R$4:$R$503,_calc!$E$474))=0,"",INDEX('Dealer pipeline'!$R$4:$R$503,_calc!$E$474))&amp;". ")&amp;IF(LEN(IF(LEN(INDEX('Dealer pipeline'!$S$4:$S$503,_calc!$E$474))=0,"",INDEX('Dealer pipeline'!$S$4:$S$503,_calc!$E$474)))=0,"","Backup: "&amp;IF(LEN(INDEX('Dealer pipeline'!$S$4:$S$503,_calc!$E$474))=0,"",INDEX('Dealer pipeline'!$S$4:$S$503,_calc!$E$474))&amp;". ")&amp;IF(LEN(IF(LEN(INDEX('Dealer pipeline'!$T$4:$T$503,_calc!$E$474))=0,"",INDEX('Dealer pipeline'!$T$4:$T$503,_calc!$E$474)))=0,"",IF(LEN(INDEX('Dealer pipeline'!$T$4:$T$503,_calc!$E$474))=0,"",INDEX('Dealer pipeline'!$T$4:$T$503,_calc!$E$474)))),TRIM(IF(LEN(IF(LEN(INDEX('My equipment'!$C$4:$C$503,(_calc!$E$474-500)))=0,"",INDEX('My equipment'!$C$4:$C$503,(_calc!$E$474-500))))=0,"","Model: "&amp;IF(LEN(INDEX('My equipment'!$C$4:$C$503,(_calc!$E$474-500)))=0,"",INDEX('My equipment'!$C$4:$C$503,(_calc!$E$474-500)))&amp;". ")&amp;IF(LEN(IF(LEN(INDEX('My equipment'!$D$4:$D$503,(_calc!$E$474-500)))=0,"",INDEX('My equipment'!$D$4:$D$503,(_calc!$E$474-500))))=0,"","Serial: "&amp;IF(LEN(INDEX('My equipment'!$D$4:$D$503,(_calc!$E$474-500)))=0,"",INDEX('My equipment'!$D$4:$D$503,(_calc!$E$474-500)))&amp;". ")&amp;IF(LEN(IF(ISNUMBER(INDEX('My equipment'!$J$4:$J$503,(_calc!$E$474-500))),TEXT(INDEX('My equipment'!$J$4:$J$503,(_calc!$E$474-500)),"yyyy-mm-dd"),""))=0,"","Parts end: "&amp;IF(ISNUMBER(INDEX('My equipment'!$J$4:$J$503,(_calc!$E$474-500))),TEXT(INDEX('My equipment'!$J$4:$J$503,(_calc!$E$474-500)),"yyyy-mm-dd"),"")&amp;". ")&amp;IF(LEN(IF(ISNUMBER(INDEX('My equipment'!$L$4:$L$503,(_calc!$E$474-500))),TEXT(INDEX('My equipment'!$L$4:$L$503,(_calc!$E$474-500)),"yyyy-mm-dd"),""))=0,"","Labor end: "&amp;IF(ISNUMBER(INDEX('My equipment'!$L$4:$L$503,(_calc!$E$474-500))),TEXT(INDEX('My equipment'!$L$4:$L$503,(_calc!$E$474-500)),"yyyy-mm-dd"),"")&amp;". ")&amp;IF(LEN(IF(ISNUMBER(INDEX('My equipment'!$P$4:$P$503,(_calc!$E$474-500))),TEXT(INDEX('My equipment'!$P$4:$P$503,(_calc!$E$474-500)),"yyyy-mm-dd"),""))=0,"","Check by: "&amp;IF(ISNUMBER(INDEX('My equipment'!$P$4:$P$503,(_calc!$E$474-500))),TEXT(INDEX('My equipment'!$P$4:$P$503,(_calc!$E$474-500)),"yyyy-mm-dd"),"")&amp;". ")&amp;IF(LEN(IF(LEN(INDEX('My equipment'!$Q$4:$Q$503,(_calc!$E$474-500)))=0,"",INDEX('My equipment'!$Q$4:$Q$503,(_calc!$E$474-500))))=0,"","Claim status: "&amp;IF(LEN(INDEX('My equipment'!$Q$4:$Q$503,(_calc!$E$474-500)))=0,"",INDEX('My equipment'!$Q$4:$Q$503,(_calc!$E$474-500)))&amp;". ")&amp;IF(LEN(IF(LEN(INDEX('My equipment'!$R$4:$R$503,(_calc!$E$474-500)))=0,"",INDEX('My equipment'!$R$4:$R$503,(_calc!$E$474-500))))=0,"","Claims contact: "&amp;IF(LEN(INDEX('My equipment'!$R$4:$R$503,(_calc!$E$474-500)))=0,"",INDEX('My equipment'!$R$4:$R$503,(_calc!$E$474-500)))&amp;". ")&amp;IF(LEN(IF(LEN(INDEX('My equipment'!$S$4:$S$503,(_calc!$E$474-500)))=0,"",INDEX('My equipment'!$S$4:$S$503,(_calc!$E$474-500))))=0,"","Claims email: "&amp;IF(LEN(INDEX('My equipment'!$S$4:$S$503,(_calc!$E$474-500)))=0,"",INDEX('My equipment'!$S$4:$S$503,(_calc!$E$474-500)))&amp;". ")&amp;IF(LEN(IF(LEN(INDEX('My equipment'!$U$4:$U$503,(_calc!$E$474-500)))=0,"",INDEX('My equipment'!$U$4:$U$503,(_calc!$E$474-500))))=0,"","Registered: "&amp;IF(LEN(INDEX('My equipment'!$U$4:$U$503,(_calc!$E$474-500)))=0,"",INDEX('My equipment'!$U$4:$U$503,(_calc!$E$474-500)))&amp;". ")&amp;IF(LEN(IF(LEN(INDEX('My equipment'!$V$4:$V$503,(_calc!$E$474-500)))=0,"",INDEX('My equipment'!$V$4:$V$503,(_calc!$E$474-500))))=0,"","Proof on file: "&amp;IF(LEN(INDEX('My equipment'!$V$4:$V$503,(_calc!$E$474-500)))=0,"",INDEX('My equipment'!$V$4:$V$503,(_calc!$E$474-500)))&amp;". ")&amp;IF(LEN(IF(LEN(INDEX('My equipment'!$W$4:$W$503,(_calc!$E$474-500)))=0,"",INDEX('My equipment'!$W$4:$W$503,(_calc!$E$474-500))))=0,"","Claim ref: "&amp;IF(LEN(INDEX('My equipment'!$W$4:$W$503,(_calc!$E$474-500)))=0,"",INDEX('My equipment'!$W$4:$W$503,(_calc!$E$474-500)))&amp;". ")&amp;IF(LEN(IF(LEN(INDEX('My equipment'!$Y$4:$Y$503,(_calc!$E$474-500)))=0,"",INDEX('My equipment'!$Y$4:$Y$503,(_calc!$E$474-500))))=0,"",IF(LEN(INDEX('My equipment'!$Y$4:$Y$503,(_calc!$E$474-500)))=0,"",INDEX('My equipment'!$Y$4:$Y$503,(_calc!$E$474-500)))))))</f>
        <v/>
      </c>
      <c r="G472" s="54">
        <f>IF(_calc!$E$474="","",IF(_calc!$E$474&lt;=500,"",IF(LEN(INDEX('My equipment'!$X$4:$X$503,(_calc!$E$474-500)))=0,"",INDEX('My equipment'!$X$4:$X$503,(_calc!$E$474-500)))))</f>
        <v/>
      </c>
      <c r="K472" s="54">
        <f>IF(_calc!$E$474="","",IF(_calc!$E$474&lt;=500,"",IF(LEN(INDEX('My equipment'!$T$4:$T$503,(_calc!$E$474-500)))=0,"",INDEX('My equipment'!$T$4:$T$503,(_calc!$E$474-500)))))</f>
        <v/>
      </c>
    </row>
    <row r="473">
      <c r="A473" s="54">
        <f>IF(_calc!$E$475="","",IF(_calc!$E$475&lt;=500,"Warranty – "&amp;IF(LEN(INDEX('Dealer pipeline'!$C$4:$C$503,_calc!$E$475))=0,"",INDEX('Dealer pipeline'!$C$4:$C$503,_calc!$E$475))&amp;" – "&amp;IF(LEN(INDEX('Dealer pipeline'!$D$4:$D$503,_calc!$E$475))=0,"",INDEX('Dealer pipeline'!$D$4:$D$503,_calc!$E$475))&amp;" – "&amp;IF(LEN(INDEX('Dealer pipeline'!$A$4:$A$503,_calc!$E$475))=0,"",INDEX('Dealer pipeline'!$A$4:$A$503,_calc!$E$475)),"Warranty – "&amp;IF(LEN(INDEX('My equipment'!$A$4:$A$503,(_calc!$E$475-500)))=0,"",INDEX('My equipment'!$A$4:$A$503,(_calc!$E$475-500)))&amp;" – "&amp;IF(LEN(INDEX('My equipment'!$D$4:$D$503,(_calc!$E$475-500)))=0,"",INDEX('My equipment'!$D$4:$D$503,(_calc!$E$475-500)))))</f>
        <v/>
      </c>
      <c r="B473" s="54">
        <f>IF(_calc!$E$475="","",IF(_calc!$E$475&lt;=500,IF(ISNUMBER(INDEX('Dealer pipeline'!$M$4:$M$503,_calc!$E$475)),TEXT(INDEX('Dealer pipeline'!$M$4:$M$503,_calc!$E$475),"yyyy-mm-dd"),""),IF(ISNUMBER(INDEX('My equipment'!$M$4:$M$503,(_calc!$E$475-500))),TEXT(INDEX('My equipment'!$M$4:$M$503,(_calc!$E$475-500)),"yyyy-mm-dd"),"")))</f>
        <v/>
      </c>
      <c r="C473" s="54">
        <f>IF(_calc!$E$475="","",IF(_calc!$E$475&lt;=500,"Warranty","Warranty"))</f>
        <v/>
      </c>
      <c r="D473" s="54">
        <f>IF(_calc!$E$475="","",IF(_calc!$E$475&lt;=500,IF(ISNUMBER(INDEX('Dealer pipeline'!$H$4:$H$503,_calc!$E$475)),TEXT(INDEX('Dealer pipeline'!$H$4:$H$503,_calc!$E$475),"yyyy-mm-dd"),""),IF(ISNUMBER(INDEX('My equipment'!$H$4:$H$503,(_calc!$E$475-500))),TEXT(INDEX('My equipment'!$H$4:$H$503,(_calc!$E$475-500)),"yyyy-mm-dd"),"")))</f>
        <v/>
      </c>
      <c r="F473" s="54">
        <f>IF(_calc!$E$475="","",IF(_calc!$E$475&lt;=500,TRIM(IF(LEN(IF(LEN(INDEX('Dealer pipeline'!$A$4:$A$503,_calc!$E$475))=0,"",INDEX('Dealer pipeline'!$A$4:$A$503,_calc!$E$475)))=0,"","Customer: "&amp;IF(LEN(INDEX('Dealer pipeline'!$A$4:$A$503,_calc!$E$475))=0,"",INDEX('Dealer pipeline'!$A$4:$A$503,_calc!$E$475))&amp;". ")&amp;IF(LEN(IF(LEN(INDEX('Dealer pipeline'!$B$4:$B$503,_calc!$E$475))=0,"",INDEX('Dealer pipeline'!$B$4:$B$503,_calc!$E$475)))=0,"","Contact: "&amp;IF(LEN(INDEX('Dealer pipeline'!$B$4:$B$503,_calc!$E$475))=0,"",INDEX('Dealer pipeline'!$B$4:$B$503,_calc!$E$475))&amp;". ")&amp;IF(LEN(IF(LEN(INDEX('Dealer pipeline'!$D$4:$D$503,_calc!$E$475))=0,"",INDEX('Dealer pipeline'!$D$4:$D$503,_calc!$E$475)))=0,"","Serial: "&amp;IF(LEN(INDEX('Dealer pipeline'!$D$4:$D$503,_calc!$E$475))=0,"",INDEX('Dealer pipeline'!$D$4:$D$503,_calc!$E$475))&amp;". ")&amp;IF(LEN(IF(ISNUMBER(INDEX('Dealer pipeline'!$J$4:$J$503,_calc!$E$475)),TEXT(INDEX('Dealer pipeline'!$J$4:$J$503,_calc!$E$475),"yyyy-mm-dd"),""))=0,"","Parts end: "&amp;IF(ISNUMBER(INDEX('Dealer pipeline'!$J$4:$J$503,_calc!$E$475)),TEXT(INDEX('Dealer pipeline'!$J$4:$J$503,_calc!$E$475),"yyyy-mm-dd"),"")&amp;". ")&amp;IF(LEN(IF(ISNUMBER(INDEX('Dealer pipeline'!$L$4:$L$503,_calc!$E$475)),TEXT(INDEX('Dealer pipeline'!$L$4:$L$503,_calc!$E$475),"yyyy-mm-dd"),""))=0,"","Labor end: "&amp;IF(ISNUMBER(INDEX('Dealer pipeline'!$L$4:$L$503,_calc!$E$475)),TEXT(INDEX('Dealer pipeline'!$L$4:$L$503,_calc!$E$475),"yyyy-mm-dd"),"")&amp;". ")&amp;IF(LEN(IF(LEN(INDEX('Dealer pipeline'!$Q$4:$Q$503,_calc!$E$475))=0,"",INDEX('Dealer pipeline'!$Q$4:$Q$503,_calc!$E$475)))=0,"","Status: "&amp;IF(LEN(INDEX('Dealer pipeline'!$Q$4:$Q$503,_calc!$E$475))=0,"",INDEX('Dealer pipeline'!$Q$4:$Q$503,_calc!$E$475))&amp;". ")&amp;IF(LEN(IF(LEN(INDEX('Dealer pipeline'!$P$4:$P$503,_calc!$E$475))=0,"",INDEX('Dealer pipeline'!$P$4:$P$503,_calc!$E$475)))=0,"","Last touch: "&amp;IF(LEN(INDEX('Dealer pipeline'!$P$4:$P$503,_calc!$E$475))=0,"",INDEX('Dealer pipeline'!$P$4:$P$503,_calc!$E$475))&amp;". ")&amp;IF(LEN(IF(LEN(INDEX('Dealer pipeline'!$R$4:$R$503,_calc!$E$475))=0,"",INDEX('Dealer pipeline'!$R$4:$R$503,_calc!$E$475)))=0,"","Owner: "&amp;IF(LEN(INDEX('Dealer pipeline'!$R$4:$R$503,_calc!$E$475))=0,"",INDEX('Dealer pipeline'!$R$4:$R$503,_calc!$E$475))&amp;". ")&amp;IF(LEN(IF(LEN(INDEX('Dealer pipeline'!$S$4:$S$503,_calc!$E$475))=0,"",INDEX('Dealer pipeline'!$S$4:$S$503,_calc!$E$475)))=0,"","Backup: "&amp;IF(LEN(INDEX('Dealer pipeline'!$S$4:$S$503,_calc!$E$475))=0,"",INDEX('Dealer pipeline'!$S$4:$S$503,_calc!$E$475))&amp;". ")&amp;IF(LEN(IF(LEN(INDEX('Dealer pipeline'!$T$4:$T$503,_calc!$E$475))=0,"",INDEX('Dealer pipeline'!$T$4:$T$503,_calc!$E$475)))=0,"",IF(LEN(INDEX('Dealer pipeline'!$T$4:$T$503,_calc!$E$475))=0,"",INDEX('Dealer pipeline'!$T$4:$T$503,_calc!$E$475)))),TRIM(IF(LEN(IF(LEN(INDEX('My equipment'!$C$4:$C$503,(_calc!$E$475-500)))=0,"",INDEX('My equipment'!$C$4:$C$503,(_calc!$E$475-500))))=0,"","Model: "&amp;IF(LEN(INDEX('My equipment'!$C$4:$C$503,(_calc!$E$475-500)))=0,"",INDEX('My equipment'!$C$4:$C$503,(_calc!$E$475-500)))&amp;". ")&amp;IF(LEN(IF(LEN(INDEX('My equipment'!$D$4:$D$503,(_calc!$E$475-500)))=0,"",INDEX('My equipment'!$D$4:$D$503,(_calc!$E$475-500))))=0,"","Serial: "&amp;IF(LEN(INDEX('My equipment'!$D$4:$D$503,(_calc!$E$475-500)))=0,"",INDEX('My equipment'!$D$4:$D$503,(_calc!$E$475-500)))&amp;". ")&amp;IF(LEN(IF(ISNUMBER(INDEX('My equipment'!$J$4:$J$503,(_calc!$E$475-500))),TEXT(INDEX('My equipment'!$J$4:$J$503,(_calc!$E$475-500)),"yyyy-mm-dd"),""))=0,"","Parts end: "&amp;IF(ISNUMBER(INDEX('My equipment'!$J$4:$J$503,(_calc!$E$475-500))),TEXT(INDEX('My equipment'!$J$4:$J$503,(_calc!$E$475-500)),"yyyy-mm-dd"),"")&amp;". ")&amp;IF(LEN(IF(ISNUMBER(INDEX('My equipment'!$L$4:$L$503,(_calc!$E$475-500))),TEXT(INDEX('My equipment'!$L$4:$L$503,(_calc!$E$475-500)),"yyyy-mm-dd"),""))=0,"","Labor end: "&amp;IF(ISNUMBER(INDEX('My equipment'!$L$4:$L$503,(_calc!$E$475-500))),TEXT(INDEX('My equipment'!$L$4:$L$503,(_calc!$E$475-500)),"yyyy-mm-dd"),"")&amp;". ")&amp;IF(LEN(IF(ISNUMBER(INDEX('My equipment'!$P$4:$P$503,(_calc!$E$475-500))),TEXT(INDEX('My equipment'!$P$4:$P$503,(_calc!$E$475-500)),"yyyy-mm-dd"),""))=0,"","Check by: "&amp;IF(ISNUMBER(INDEX('My equipment'!$P$4:$P$503,(_calc!$E$475-500))),TEXT(INDEX('My equipment'!$P$4:$P$503,(_calc!$E$475-500)),"yyyy-mm-dd"),"")&amp;". ")&amp;IF(LEN(IF(LEN(INDEX('My equipment'!$Q$4:$Q$503,(_calc!$E$475-500)))=0,"",INDEX('My equipment'!$Q$4:$Q$503,(_calc!$E$475-500))))=0,"","Claim status: "&amp;IF(LEN(INDEX('My equipment'!$Q$4:$Q$503,(_calc!$E$475-500)))=0,"",INDEX('My equipment'!$Q$4:$Q$503,(_calc!$E$475-500)))&amp;". ")&amp;IF(LEN(IF(LEN(INDEX('My equipment'!$R$4:$R$503,(_calc!$E$475-500)))=0,"",INDEX('My equipment'!$R$4:$R$503,(_calc!$E$475-500))))=0,"","Claims contact: "&amp;IF(LEN(INDEX('My equipment'!$R$4:$R$503,(_calc!$E$475-500)))=0,"",INDEX('My equipment'!$R$4:$R$503,(_calc!$E$475-500)))&amp;". ")&amp;IF(LEN(IF(LEN(INDEX('My equipment'!$S$4:$S$503,(_calc!$E$475-500)))=0,"",INDEX('My equipment'!$S$4:$S$503,(_calc!$E$475-500))))=0,"","Claims email: "&amp;IF(LEN(INDEX('My equipment'!$S$4:$S$503,(_calc!$E$475-500)))=0,"",INDEX('My equipment'!$S$4:$S$503,(_calc!$E$475-500)))&amp;". ")&amp;IF(LEN(IF(LEN(INDEX('My equipment'!$U$4:$U$503,(_calc!$E$475-500)))=0,"",INDEX('My equipment'!$U$4:$U$503,(_calc!$E$475-500))))=0,"","Registered: "&amp;IF(LEN(INDEX('My equipment'!$U$4:$U$503,(_calc!$E$475-500)))=0,"",INDEX('My equipment'!$U$4:$U$503,(_calc!$E$475-500)))&amp;". ")&amp;IF(LEN(IF(LEN(INDEX('My equipment'!$V$4:$V$503,(_calc!$E$475-500)))=0,"",INDEX('My equipment'!$V$4:$V$503,(_calc!$E$475-500))))=0,"","Proof on file: "&amp;IF(LEN(INDEX('My equipment'!$V$4:$V$503,(_calc!$E$475-500)))=0,"",INDEX('My equipment'!$V$4:$V$503,(_calc!$E$475-500)))&amp;". ")&amp;IF(LEN(IF(LEN(INDEX('My equipment'!$W$4:$W$503,(_calc!$E$475-500)))=0,"",INDEX('My equipment'!$W$4:$W$503,(_calc!$E$475-500))))=0,"","Claim ref: "&amp;IF(LEN(INDEX('My equipment'!$W$4:$W$503,(_calc!$E$475-500)))=0,"",INDEX('My equipment'!$W$4:$W$503,(_calc!$E$475-500)))&amp;". ")&amp;IF(LEN(IF(LEN(INDEX('My equipment'!$Y$4:$Y$503,(_calc!$E$475-500)))=0,"",INDEX('My equipment'!$Y$4:$Y$503,(_calc!$E$475-500))))=0,"",IF(LEN(INDEX('My equipment'!$Y$4:$Y$503,(_calc!$E$475-500)))=0,"",INDEX('My equipment'!$Y$4:$Y$503,(_calc!$E$475-500)))))))</f>
        <v/>
      </c>
      <c r="G473" s="54">
        <f>IF(_calc!$E$475="","",IF(_calc!$E$475&lt;=500,"",IF(LEN(INDEX('My equipment'!$X$4:$X$503,(_calc!$E$475-500)))=0,"",INDEX('My equipment'!$X$4:$X$503,(_calc!$E$475-500)))))</f>
        <v/>
      </c>
      <c r="K473" s="54">
        <f>IF(_calc!$E$475="","",IF(_calc!$E$475&lt;=500,"",IF(LEN(INDEX('My equipment'!$T$4:$T$503,(_calc!$E$475-500)))=0,"",INDEX('My equipment'!$T$4:$T$503,(_calc!$E$475-500)))))</f>
        <v/>
      </c>
    </row>
    <row r="474">
      <c r="A474" s="54">
        <f>IF(_calc!$E$476="","",IF(_calc!$E$476&lt;=500,"Warranty – "&amp;IF(LEN(INDEX('Dealer pipeline'!$C$4:$C$503,_calc!$E$476))=0,"",INDEX('Dealer pipeline'!$C$4:$C$503,_calc!$E$476))&amp;" – "&amp;IF(LEN(INDEX('Dealer pipeline'!$D$4:$D$503,_calc!$E$476))=0,"",INDEX('Dealer pipeline'!$D$4:$D$503,_calc!$E$476))&amp;" – "&amp;IF(LEN(INDEX('Dealer pipeline'!$A$4:$A$503,_calc!$E$476))=0,"",INDEX('Dealer pipeline'!$A$4:$A$503,_calc!$E$476)),"Warranty – "&amp;IF(LEN(INDEX('My equipment'!$A$4:$A$503,(_calc!$E$476-500)))=0,"",INDEX('My equipment'!$A$4:$A$503,(_calc!$E$476-500)))&amp;" – "&amp;IF(LEN(INDEX('My equipment'!$D$4:$D$503,(_calc!$E$476-500)))=0,"",INDEX('My equipment'!$D$4:$D$503,(_calc!$E$476-500)))))</f>
        <v/>
      </c>
      <c r="B474" s="54">
        <f>IF(_calc!$E$476="","",IF(_calc!$E$476&lt;=500,IF(ISNUMBER(INDEX('Dealer pipeline'!$M$4:$M$503,_calc!$E$476)),TEXT(INDEX('Dealer pipeline'!$M$4:$M$503,_calc!$E$476),"yyyy-mm-dd"),""),IF(ISNUMBER(INDEX('My equipment'!$M$4:$M$503,(_calc!$E$476-500))),TEXT(INDEX('My equipment'!$M$4:$M$503,(_calc!$E$476-500)),"yyyy-mm-dd"),"")))</f>
        <v/>
      </c>
      <c r="C474" s="54">
        <f>IF(_calc!$E$476="","",IF(_calc!$E$476&lt;=500,"Warranty","Warranty"))</f>
        <v/>
      </c>
      <c r="D474" s="54">
        <f>IF(_calc!$E$476="","",IF(_calc!$E$476&lt;=500,IF(ISNUMBER(INDEX('Dealer pipeline'!$H$4:$H$503,_calc!$E$476)),TEXT(INDEX('Dealer pipeline'!$H$4:$H$503,_calc!$E$476),"yyyy-mm-dd"),""),IF(ISNUMBER(INDEX('My equipment'!$H$4:$H$503,(_calc!$E$476-500))),TEXT(INDEX('My equipment'!$H$4:$H$503,(_calc!$E$476-500)),"yyyy-mm-dd"),"")))</f>
        <v/>
      </c>
      <c r="F474" s="54">
        <f>IF(_calc!$E$476="","",IF(_calc!$E$476&lt;=500,TRIM(IF(LEN(IF(LEN(INDEX('Dealer pipeline'!$A$4:$A$503,_calc!$E$476))=0,"",INDEX('Dealer pipeline'!$A$4:$A$503,_calc!$E$476)))=0,"","Customer: "&amp;IF(LEN(INDEX('Dealer pipeline'!$A$4:$A$503,_calc!$E$476))=0,"",INDEX('Dealer pipeline'!$A$4:$A$503,_calc!$E$476))&amp;". ")&amp;IF(LEN(IF(LEN(INDEX('Dealer pipeline'!$B$4:$B$503,_calc!$E$476))=0,"",INDEX('Dealer pipeline'!$B$4:$B$503,_calc!$E$476)))=0,"","Contact: "&amp;IF(LEN(INDEX('Dealer pipeline'!$B$4:$B$503,_calc!$E$476))=0,"",INDEX('Dealer pipeline'!$B$4:$B$503,_calc!$E$476))&amp;". ")&amp;IF(LEN(IF(LEN(INDEX('Dealer pipeline'!$D$4:$D$503,_calc!$E$476))=0,"",INDEX('Dealer pipeline'!$D$4:$D$503,_calc!$E$476)))=0,"","Serial: "&amp;IF(LEN(INDEX('Dealer pipeline'!$D$4:$D$503,_calc!$E$476))=0,"",INDEX('Dealer pipeline'!$D$4:$D$503,_calc!$E$476))&amp;". ")&amp;IF(LEN(IF(ISNUMBER(INDEX('Dealer pipeline'!$J$4:$J$503,_calc!$E$476)),TEXT(INDEX('Dealer pipeline'!$J$4:$J$503,_calc!$E$476),"yyyy-mm-dd"),""))=0,"","Parts end: "&amp;IF(ISNUMBER(INDEX('Dealer pipeline'!$J$4:$J$503,_calc!$E$476)),TEXT(INDEX('Dealer pipeline'!$J$4:$J$503,_calc!$E$476),"yyyy-mm-dd"),"")&amp;". ")&amp;IF(LEN(IF(ISNUMBER(INDEX('Dealer pipeline'!$L$4:$L$503,_calc!$E$476)),TEXT(INDEX('Dealer pipeline'!$L$4:$L$503,_calc!$E$476),"yyyy-mm-dd"),""))=0,"","Labor end: "&amp;IF(ISNUMBER(INDEX('Dealer pipeline'!$L$4:$L$503,_calc!$E$476)),TEXT(INDEX('Dealer pipeline'!$L$4:$L$503,_calc!$E$476),"yyyy-mm-dd"),"")&amp;". ")&amp;IF(LEN(IF(LEN(INDEX('Dealer pipeline'!$Q$4:$Q$503,_calc!$E$476))=0,"",INDEX('Dealer pipeline'!$Q$4:$Q$503,_calc!$E$476)))=0,"","Status: "&amp;IF(LEN(INDEX('Dealer pipeline'!$Q$4:$Q$503,_calc!$E$476))=0,"",INDEX('Dealer pipeline'!$Q$4:$Q$503,_calc!$E$476))&amp;". ")&amp;IF(LEN(IF(LEN(INDEX('Dealer pipeline'!$P$4:$P$503,_calc!$E$476))=0,"",INDEX('Dealer pipeline'!$P$4:$P$503,_calc!$E$476)))=0,"","Last touch: "&amp;IF(LEN(INDEX('Dealer pipeline'!$P$4:$P$503,_calc!$E$476))=0,"",INDEX('Dealer pipeline'!$P$4:$P$503,_calc!$E$476))&amp;". ")&amp;IF(LEN(IF(LEN(INDEX('Dealer pipeline'!$R$4:$R$503,_calc!$E$476))=0,"",INDEX('Dealer pipeline'!$R$4:$R$503,_calc!$E$476)))=0,"","Owner: "&amp;IF(LEN(INDEX('Dealer pipeline'!$R$4:$R$503,_calc!$E$476))=0,"",INDEX('Dealer pipeline'!$R$4:$R$503,_calc!$E$476))&amp;". ")&amp;IF(LEN(IF(LEN(INDEX('Dealer pipeline'!$S$4:$S$503,_calc!$E$476))=0,"",INDEX('Dealer pipeline'!$S$4:$S$503,_calc!$E$476)))=0,"","Backup: "&amp;IF(LEN(INDEX('Dealer pipeline'!$S$4:$S$503,_calc!$E$476))=0,"",INDEX('Dealer pipeline'!$S$4:$S$503,_calc!$E$476))&amp;". ")&amp;IF(LEN(IF(LEN(INDEX('Dealer pipeline'!$T$4:$T$503,_calc!$E$476))=0,"",INDEX('Dealer pipeline'!$T$4:$T$503,_calc!$E$476)))=0,"",IF(LEN(INDEX('Dealer pipeline'!$T$4:$T$503,_calc!$E$476))=0,"",INDEX('Dealer pipeline'!$T$4:$T$503,_calc!$E$476)))),TRIM(IF(LEN(IF(LEN(INDEX('My equipment'!$C$4:$C$503,(_calc!$E$476-500)))=0,"",INDEX('My equipment'!$C$4:$C$503,(_calc!$E$476-500))))=0,"","Model: "&amp;IF(LEN(INDEX('My equipment'!$C$4:$C$503,(_calc!$E$476-500)))=0,"",INDEX('My equipment'!$C$4:$C$503,(_calc!$E$476-500)))&amp;". ")&amp;IF(LEN(IF(LEN(INDEX('My equipment'!$D$4:$D$503,(_calc!$E$476-500)))=0,"",INDEX('My equipment'!$D$4:$D$503,(_calc!$E$476-500))))=0,"","Serial: "&amp;IF(LEN(INDEX('My equipment'!$D$4:$D$503,(_calc!$E$476-500)))=0,"",INDEX('My equipment'!$D$4:$D$503,(_calc!$E$476-500)))&amp;". ")&amp;IF(LEN(IF(ISNUMBER(INDEX('My equipment'!$J$4:$J$503,(_calc!$E$476-500))),TEXT(INDEX('My equipment'!$J$4:$J$503,(_calc!$E$476-500)),"yyyy-mm-dd"),""))=0,"","Parts end: "&amp;IF(ISNUMBER(INDEX('My equipment'!$J$4:$J$503,(_calc!$E$476-500))),TEXT(INDEX('My equipment'!$J$4:$J$503,(_calc!$E$476-500)),"yyyy-mm-dd"),"")&amp;". ")&amp;IF(LEN(IF(ISNUMBER(INDEX('My equipment'!$L$4:$L$503,(_calc!$E$476-500))),TEXT(INDEX('My equipment'!$L$4:$L$503,(_calc!$E$476-500)),"yyyy-mm-dd"),""))=0,"","Labor end: "&amp;IF(ISNUMBER(INDEX('My equipment'!$L$4:$L$503,(_calc!$E$476-500))),TEXT(INDEX('My equipment'!$L$4:$L$503,(_calc!$E$476-500)),"yyyy-mm-dd"),"")&amp;". ")&amp;IF(LEN(IF(ISNUMBER(INDEX('My equipment'!$P$4:$P$503,(_calc!$E$476-500))),TEXT(INDEX('My equipment'!$P$4:$P$503,(_calc!$E$476-500)),"yyyy-mm-dd"),""))=0,"","Check by: "&amp;IF(ISNUMBER(INDEX('My equipment'!$P$4:$P$503,(_calc!$E$476-500))),TEXT(INDEX('My equipment'!$P$4:$P$503,(_calc!$E$476-500)),"yyyy-mm-dd"),"")&amp;". ")&amp;IF(LEN(IF(LEN(INDEX('My equipment'!$Q$4:$Q$503,(_calc!$E$476-500)))=0,"",INDEX('My equipment'!$Q$4:$Q$503,(_calc!$E$476-500))))=0,"","Claim status: "&amp;IF(LEN(INDEX('My equipment'!$Q$4:$Q$503,(_calc!$E$476-500)))=0,"",INDEX('My equipment'!$Q$4:$Q$503,(_calc!$E$476-500)))&amp;". ")&amp;IF(LEN(IF(LEN(INDEX('My equipment'!$R$4:$R$503,(_calc!$E$476-500)))=0,"",INDEX('My equipment'!$R$4:$R$503,(_calc!$E$476-500))))=0,"","Claims contact: "&amp;IF(LEN(INDEX('My equipment'!$R$4:$R$503,(_calc!$E$476-500)))=0,"",INDEX('My equipment'!$R$4:$R$503,(_calc!$E$476-500)))&amp;". ")&amp;IF(LEN(IF(LEN(INDEX('My equipment'!$S$4:$S$503,(_calc!$E$476-500)))=0,"",INDEX('My equipment'!$S$4:$S$503,(_calc!$E$476-500))))=0,"","Claims email: "&amp;IF(LEN(INDEX('My equipment'!$S$4:$S$503,(_calc!$E$476-500)))=0,"",INDEX('My equipment'!$S$4:$S$503,(_calc!$E$476-500)))&amp;". ")&amp;IF(LEN(IF(LEN(INDEX('My equipment'!$U$4:$U$503,(_calc!$E$476-500)))=0,"",INDEX('My equipment'!$U$4:$U$503,(_calc!$E$476-500))))=0,"","Registered: "&amp;IF(LEN(INDEX('My equipment'!$U$4:$U$503,(_calc!$E$476-500)))=0,"",INDEX('My equipment'!$U$4:$U$503,(_calc!$E$476-500)))&amp;". ")&amp;IF(LEN(IF(LEN(INDEX('My equipment'!$V$4:$V$503,(_calc!$E$476-500)))=0,"",INDEX('My equipment'!$V$4:$V$503,(_calc!$E$476-500))))=0,"","Proof on file: "&amp;IF(LEN(INDEX('My equipment'!$V$4:$V$503,(_calc!$E$476-500)))=0,"",INDEX('My equipment'!$V$4:$V$503,(_calc!$E$476-500)))&amp;". ")&amp;IF(LEN(IF(LEN(INDEX('My equipment'!$W$4:$W$503,(_calc!$E$476-500)))=0,"",INDEX('My equipment'!$W$4:$W$503,(_calc!$E$476-500))))=0,"","Claim ref: "&amp;IF(LEN(INDEX('My equipment'!$W$4:$W$503,(_calc!$E$476-500)))=0,"",INDEX('My equipment'!$W$4:$W$503,(_calc!$E$476-500)))&amp;". ")&amp;IF(LEN(IF(LEN(INDEX('My equipment'!$Y$4:$Y$503,(_calc!$E$476-500)))=0,"",INDEX('My equipment'!$Y$4:$Y$503,(_calc!$E$476-500))))=0,"",IF(LEN(INDEX('My equipment'!$Y$4:$Y$503,(_calc!$E$476-500)))=0,"",INDEX('My equipment'!$Y$4:$Y$503,(_calc!$E$476-500)))))))</f>
        <v/>
      </c>
      <c r="G474" s="54">
        <f>IF(_calc!$E$476="","",IF(_calc!$E$476&lt;=500,"",IF(LEN(INDEX('My equipment'!$X$4:$X$503,(_calc!$E$476-500)))=0,"",INDEX('My equipment'!$X$4:$X$503,(_calc!$E$476-500)))))</f>
        <v/>
      </c>
      <c r="K474" s="54">
        <f>IF(_calc!$E$476="","",IF(_calc!$E$476&lt;=500,"",IF(LEN(INDEX('My equipment'!$T$4:$T$503,(_calc!$E$476-500)))=0,"",INDEX('My equipment'!$T$4:$T$503,(_calc!$E$476-500)))))</f>
        <v/>
      </c>
    </row>
    <row r="475">
      <c r="A475" s="54">
        <f>IF(_calc!$E$477="","",IF(_calc!$E$477&lt;=500,"Warranty – "&amp;IF(LEN(INDEX('Dealer pipeline'!$C$4:$C$503,_calc!$E$477))=0,"",INDEX('Dealer pipeline'!$C$4:$C$503,_calc!$E$477))&amp;" – "&amp;IF(LEN(INDEX('Dealer pipeline'!$D$4:$D$503,_calc!$E$477))=0,"",INDEX('Dealer pipeline'!$D$4:$D$503,_calc!$E$477))&amp;" – "&amp;IF(LEN(INDEX('Dealer pipeline'!$A$4:$A$503,_calc!$E$477))=0,"",INDEX('Dealer pipeline'!$A$4:$A$503,_calc!$E$477)),"Warranty – "&amp;IF(LEN(INDEX('My equipment'!$A$4:$A$503,(_calc!$E$477-500)))=0,"",INDEX('My equipment'!$A$4:$A$503,(_calc!$E$477-500)))&amp;" – "&amp;IF(LEN(INDEX('My equipment'!$D$4:$D$503,(_calc!$E$477-500)))=0,"",INDEX('My equipment'!$D$4:$D$503,(_calc!$E$477-500)))))</f>
        <v/>
      </c>
      <c r="B475" s="54">
        <f>IF(_calc!$E$477="","",IF(_calc!$E$477&lt;=500,IF(ISNUMBER(INDEX('Dealer pipeline'!$M$4:$M$503,_calc!$E$477)),TEXT(INDEX('Dealer pipeline'!$M$4:$M$503,_calc!$E$477),"yyyy-mm-dd"),""),IF(ISNUMBER(INDEX('My equipment'!$M$4:$M$503,(_calc!$E$477-500))),TEXT(INDEX('My equipment'!$M$4:$M$503,(_calc!$E$477-500)),"yyyy-mm-dd"),"")))</f>
        <v/>
      </c>
      <c r="C475" s="54">
        <f>IF(_calc!$E$477="","",IF(_calc!$E$477&lt;=500,"Warranty","Warranty"))</f>
        <v/>
      </c>
      <c r="D475" s="54">
        <f>IF(_calc!$E$477="","",IF(_calc!$E$477&lt;=500,IF(ISNUMBER(INDEX('Dealer pipeline'!$H$4:$H$503,_calc!$E$477)),TEXT(INDEX('Dealer pipeline'!$H$4:$H$503,_calc!$E$477),"yyyy-mm-dd"),""),IF(ISNUMBER(INDEX('My equipment'!$H$4:$H$503,(_calc!$E$477-500))),TEXT(INDEX('My equipment'!$H$4:$H$503,(_calc!$E$477-500)),"yyyy-mm-dd"),"")))</f>
        <v/>
      </c>
      <c r="F475" s="54">
        <f>IF(_calc!$E$477="","",IF(_calc!$E$477&lt;=500,TRIM(IF(LEN(IF(LEN(INDEX('Dealer pipeline'!$A$4:$A$503,_calc!$E$477))=0,"",INDEX('Dealer pipeline'!$A$4:$A$503,_calc!$E$477)))=0,"","Customer: "&amp;IF(LEN(INDEX('Dealer pipeline'!$A$4:$A$503,_calc!$E$477))=0,"",INDEX('Dealer pipeline'!$A$4:$A$503,_calc!$E$477))&amp;". ")&amp;IF(LEN(IF(LEN(INDEX('Dealer pipeline'!$B$4:$B$503,_calc!$E$477))=0,"",INDEX('Dealer pipeline'!$B$4:$B$503,_calc!$E$477)))=0,"","Contact: "&amp;IF(LEN(INDEX('Dealer pipeline'!$B$4:$B$503,_calc!$E$477))=0,"",INDEX('Dealer pipeline'!$B$4:$B$503,_calc!$E$477))&amp;". ")&amp;IF(LEN(IF(LEN(INDEX('Dealer pipeline'!$D$4:$D$503,_calc!$E$477))=0,"",INDEX('Dealer pipeline'!$D$4:$D$503,_calc!$E$477)))=0,"","Serial: "&amp;IF(LEN(INDEX('Dealer pipeline'!$D$4:$D$503,_calc!$E$477))=0,"",INDEX('Dealer pipeline'!$D$4:$D$503,_calc!$E$477))&amp;". ")&amp;IF(LEN(IF(ISNUMBER(INDEX('Dealer pipeline'!$J$4:$J$503,_calc!$E$477)),TEXT(INDEX('Dealer pipeline'!$J$4:$J$503,_calc!$E$477),"yyyy-mm-dd"),""))=0,"","Parts end: "&amp;IF(ISNUMBER(INDEX('Dealer pipeline'!$J$4:$J$503,_calc!$E$477)),TEXT(INDEX('Dealer pipeline'!$J$4:$J$503,_calc!$E$477),"yyyy-mm-dd"),"")&amp;". ")&amp;IF(LEN(IF(ISNUMBER(INDEX('Dealer pipeline'!$L$4:$L$503,_calc!$E$477)),TEXT(INDEX('Dealer pipeline'!$L$4:$L$503,_calc!$E$477),"yyyy-mm-dd"),""))=0,"","Labor end: "&amp;IF(ISNUMBER(INDEX('Dealer pipeline'!$L$4:$L$503,_calc!$E$477)),TEXT(INDEX('Dealer pipeline'!$L$4:$L$503,_calc!$E$477),"yyyy-mm-dd"),"")&amp;". ")&amp;IF(LEN(IF(LEN(INDEX('Dealer pipeline'!$Q$4:$Q$503,_calc!$E$477))=0,"",INDEX('Dealer pipeline'!$Q$4:$Q$503,_calc!$E$477)))=0,"","Status: "&amp;IF(LEN(INDEX('Dealer pipeline'!$Q$4:$Q$503,_calc!$E$477))=0,"",INDEX('Dealer pipeline'!$Q$4:$Q$503,_calc!$E$477))&amp;". ")&amp;IF(LEN(IF(LEN(INDEX('Dealer pipeline'!$P$4:$P$503,_calc!$E$477))=0,"",INDEX('Dealer pipeline'!$P$4:$P$503,_calc!$E$477)))=0,"","Last touch: "&amp;IF(LEN(INDEX('Dealer pipeline'!$P$4:$P$503,_calc!$E$477))=0,"",INDEX('Dealer pipeline'!$P$4:$P$503,_calc!$E$477))&amp;". ")&amp;IF(LEN(IF(LEN(INDEX('Dealer pipeline'!$R$4:$R$503,_calc!$E$477))=0,"",INDEX('Dealer pipeline'!$R$4:$R$503,_calc!$E$477)))=0,"","Owner: "&amp;IF(LEN(INDEX('Dealer pipeline'!$R$4:$R$503,_calc!$E$477))=0,"",INDEX('Dealer pipeline'!$R$4:$R$503,_calc!$E$477))&amp;". ")&amp;IF(LEN(IF(LEN(INDEX('Dealer pipeline'!$S$4:$S$503,_calc!$E$477))=0,"",INDEX('Dealer pipeline'!$S$4:$S$503,_calc!$E$477)))=0,"","Backup: "&amp;IF(LEN(INDEX('Dealer pipeline'!$S$4:$S$503,_calc!$E$477))=0,"",INDEX('Dealer pipeline'!$S$4:$S$503,_calc!$E$477))&amp;". ")&amp;IF(LEN(IF(LEN(INDEX('Dealer pipeline'!$T$4:$T$503,_calc!$E$477))=0,"",INDEX('Dealer pipeline'!$T$4:$T$503,_calc!$E$477)))=0,"",IF(LEN(INDEX('Dealer pipeline'!$T$4:$T$503,_calc!$E$477))=0,"",INDEX('Dealer pipeline'!$T$4:$T$503,_calc!$E$477)))),TRIM(IF(LEN(IF(LEN(INDEX('My equipment'!$C$4:$C$503,(_calc!$E$477-500)))=0,"",INDEX('My equipment'!$C$4:$C$503,(_calc!$E$477-500))))=0,"","Model: "&amp;IF(LEN(INDEX('My equipment'!$C$4:$C$503,(_calc!$E$477-500)))=0,"",INDEX('My equipment'!$C$4:$C$503,(_calc!$E$477-500)))&amp;". ")&amp;IF(LEN(IF(LEN(INDEX('My equipment'!$D$4:$D$503,(_calc!$E$477-500)))=0,"",INDEX('My equipment'!$D$4:$D$503,(_calc!$E$477-500))))=0,"","Serial: "&amp;IF(LEN(INDEX('My equipment'!$D$4:$D$503,(_calc!$E$477-500)))=0,"",INDEX('My equipment'!$D$4:$D$503,(_calc!$E$477-500)))&amp;". ")&amp;IF(LEN(IF(ISNUMBER(INDEX('My equipment'!$J$4:$J$503,(_calc!$E$477-500))),TEXT(INDEX('My equipment'!$J$4:$J$503,(_calc!$E$477-500)),"yyyy-mm-dd"),""))=0,"","Parts end: "&amp;IF(ISNUMBER(INDEX('My equipment'!$J$4:$J$503,(_calc!$E$477-500))),TEXT(INDEX('My equipment'!$J$4:$J$503,(_calc!$E$477-500)),"yyyy-mm-dd"),"")&amp;". ")&amp;IF(LEN(IF(ISNUMBER(INDEX('My equipment'!$L$4:$L$503,(_calc!$E$477-500))),TEXT(INDEX('My equipment'!$L$4:$L$503,(_calc!$E$477-500)),"yyyy-mm-dd"),""))=0,"","Labor end: "&amp;IF(ISNUMBER(INDEX('My equipment'!$L$4:$L$503,(_calc!$E$477-500))),TEXT(INDEX('My equipment'!$L$4:$L$503,(_calc!$E$477-500)),"yyyy-mm-dd"),"")&amp;". ")&amp;IF(LEN(IF(ISNUMBER(INDEX('My equipment'!$P$4:$P$503,(_calc!$E$477-500))),TEXT(INDEX('My equipment'!$P$4:$P$503,(_calc!$E$477-500)),"yyyy-mm-dd"),""))=0,"","Check by: "&amp;IF(ISNUMBER(INDEX('My equipment'!$P$4:$P$503,(_calc!$E$477-500))),TEXT(INDEX('My equipment'!$P$4:$P$503,(_calc!$E$477-500)),"yyyy-mm-dd"),"")&amp;". ")&amp;IF(LEN(IF(LEN(INDEX('My equipment'!$Q$4:$Q$503,(_calc!$E$477-500)))=0,"",INDEX('My equipment'!$Q$4:$Q$503,(_calc!$E$477-500))))=0,"","Claim status: "&amp;IF(LEN(INDEX('My equipment'!$Q$4:$Q$503,(_calc!$E$477-500)))=0,"",INDEX('My equipment'!$Q$4:$Q$503,(_calc!$E$477-500)))&amp;". ")&amp;IF(LEN(IF(LEN(INDEX('My equipment'!$R$4:$R$503,(_calc!$E$477-500)))=0,"",INDEX('My equipment'!$R$4:$R$503,(_calc!$E$477-500))))=0,"","Claims contact: "&amp;IF(LEN(INDEX('My equipment'!$R$4:$R$503,(_calc!$E$477-500)))=0,"",INDEX('My equipment'!$R$4:$R$503,(_calc!$E$477-500)))&amp;". ")&amp;IF(LEN(IF(LEN(INDEX('My equipment'!$S$4:$S$503,(_calc!$E$477-500)))=0,"",INDEX('My equipment'!$S$4:$S$503,(_calc!$E$477-500))))=0,"","Claims email: "&amp;IF(LEN(INDEX('My equipment'!$S$4:$S$503,(_calc!$E$477-500)))=0,"",INDEX('My equipment'!$S$4:$S$503,(_calc!$E$477-500)))&amp;". ")&amp;IF(LEN(IF(LEN(INDEX('My equipment'!$U$4:$U$503,(_calc!$E$477-500)))=0,"",INDEX('My equipment'!$U$4:$U$503,(_calc!$E$477-500))))=0,"","Registered: "&amp;IF(LEN(INDEX('My equipment'!$U$4:$U$503,(_calc!$E$477-500)))=0,"",INDEX('My equipment'!$U$4:$U$503,(_calc!$E$477-500)))&amp;". ")&amp;IF(LEN(IF(LEN(INDEX('My equipment'!$V$4:$V$503,(_calc!$E$477-500)))=0,"",INDEX('My equipment'!$V$4:$V$503,(_calc!$E$477-500))))=0,"","Proof on file: "&amp;IF(LEN(INDEX('My equipment'!$V$4:$V$503,(_calc!$E$477-500)))=0,"",INDEX('My equipment'!$V$4:$V$503,(_calc!$E$477-500)))&amp;". ")&amp;IF(LEN(IF(LEN(INDEX('My equipment'!$W$4:$W$503,(_calc!$E$477-500)))=0,"",INDEX('My equipment'!$W$4:$W$503,(_calc!$E$477-500))))=0,"","Claim ref: "&amp;IF(LEN(INDEX('My equipment'!$W$4:$W$503,(_calc!$E$477-500)))=0,"",INDEX('My equipment'!$W$4:$W$503,(_calc!$E$477-500)))&amp;". ")&amp;IF(LEN(IF(LEN(INDEX('My equipment'!$Y$4:$Y$503,(_calc!$E$477-500)))=0,"",INDEX('My equipment'!$Y$4:$Y$503,(_calc!$E$477-500))))=0,"",IF(LEN(INDEX('My equipment'!$Y$4:$Y$503,(_calc!$E$477-500)))=0,"",INDEX('My equipment'!$Y$4:$Y$503,(_calc!$E$477-500)))))))</f>
        <v/>
      </c>
      <c r="G475" s="54">
        <f>IF(_calc!$E$477="","",IF(_calc!$E$477&lt;=500,"",IF(LEN(INDEX('My equipment'!$X$4:$X$503,(_calc!$E$477-500)))=0,"",INDEX('My equipment'!$X$4:$X$503,(_calc!$E$477-500)))))</f>
        <v/>
      </c>
      <c r="K475" s="54">
        <f>IF(_calc!$E$477="","",IF(_calc!$E$477&lt;=500,"",IF(LEN(INDEX('My equipment'!$T$4:$T$503,(_calc!$E$477-500)))=0,"",INDEX('My equipment'!$T$4:$T$503,(_calc!$E$477-500)))))</f>
        <v/>
      </c>
    </row>
    <row r="476">
      <c r="A476" s="54">
        <f>IF(_calc!$E$478="","",IF(_calc!$E$478&lt;=500,"Warranty – "&amp;IF(LEN(INDEX('Dealer pipeline'!$C$4:$C$503,_calc!$E$478))=0,"",INDEX('Dealer pipeline'!$C$4:$C$503,_calc!$E$478))&amp;" – "&amp;IF(LEN(INDEX('Dealer pipeline'!$D$4:$D$503,_calc!$E$478))=0,"",INDEX('Dealer pipeline'!$D$4:$D$503,_calc!$E$478))&amp;" – "&amp;IF(LEN(INDEX('Dealer pipeline'!$A$4:$A$503,_calc!$E$478))=0,"",INDEX('Dealer pipeline'!$A$4:$A$503,_calc!$E$478)),"Warranty – "&amp;IF(LEN(INDEX('My equipment'!$A$4:$A$503,(_calc!$E$478-500)))=0,"",INDEX('My equipment'!$A$4:$A$503,(_calc!$E$478-500)))&amp;" – "&amp;IF(LEN(INDEX('My equipment'!$D$4:$D$503,(_calc!$E$478-500)))=0,"",INDEX('My equipment'!$D$4:$D$503,(_calc!$E$478-500)))))</f>
        <v/>
      </c>
      <c r="B476" s="54">
        <f>IF(_calc!$E$478="","",IF(_calc!$E$478&lt;=500,IF(ISNUMBER(INDEX('Dealer pipeline'!$M$4:$M$503,_calc!$E$478)),TEXT(INDEX('Dealer pipeline'!$M$4:$M$503,_calc!$E$478),"yyyy-mm-dd"),""),IF(ISNUMBER(INDEX('My equipment'!$M$4:$M$503,(_calc!$E$478-500))),TEXT(INDEX('My equipment'!$M$4:$M$503,(_calc!$E$478-500)),"yyyy-mm-dd"),"")))</f>
        <v/>
      </c>
      <c r="C476" s="54">
        <f>IF(_calc!$E$478="","",IF(_calc!$E$478&lt;=500,"Warranty","Warranty"))</f>
        <v/>
      </c>
      <c r="D476" s="54">
        <f>IF(_calc!$E$478="","",IF(_calc!$E$478&lt;=500,IF(ISNUMBER(INDEX('Dealer pipeline'!$H$4:$H$503,_calc!$E$478)),TEXT(INDEX('Dealer pipeline'!$H$4:$H$503,_calc!$E$478),"yyyy-mm-dd"),""),IF(ISNUMBER(INDEX('My equipment'!$H$4:$H$503,(_calc!$E$478-500))),TEXT(INDEX('My equipment'!$H$4:$H$503,(_calc!$E$478-500)),"yyyy-mm-dd"),"")))</f>
        <v/>
      </c>
      <c r="F476" s="54">
        <f>IF(_calc!$E$478="","",IF(_calc!$E$478&lt;=500,TRIM(IF(LEN(IF(LEN(INDEX('Dealer pipeline'!$A$4:$A$503,_calc!$E$478))=0,"",INDEX('Dealer pipeline'!$A$4:$A$503,_calc!$E$478)))=0,"","Customer: "&amp;IF(LEN(INDEX('Dealer pipeline'!$A$4:$A$503,_calc!$E$478))=0,"",INDEX('Dealer pipeline'!$A$4:$A$503,_calc!$E$478))&amp;". ")&amp;IF(LEN(IF(LEN(INDEX('Dealer pipeline'!$B$4:$B$503,_calc!$E$478))=0,"",INDEX('Dealer pipeline'!$B$4:$B$503,_calc!$E$478)))=0,"","Contact: "&amp;IF(LEN(INDEX('Dealer pipeline'!$B$4:$B$503,_calc!$E$478))=0,"",INDEX('Dealer pipeline'!$B$4:$B$503,_calc!$E$478))&amp;". ")&amp;IF(LEN(IF(LEN(INDEX('Dealer pipeline'!$D$4:$D$503,_calc!$E$478))=0,"",INDEX('Dealer pipeline'!$D$4:$D$503,_calc!$E$478)))=0,"","Serial: "&amp;IF(LEN(INDEX('Dealer pipeline'!$D$4:$D$503,_calc!$E$478))=0,"",INDEX('Dealer pipeline'!$D$4:$D$503,_calc!$E$478))&amp;". ")&amp;IF(LEN(IF(ISNUMBER(INDEX('Dealer pipeline'!$J$4:$J$503,_calc!$E$478)),TEXT(INDEX('Dealer pipeline'!$J$4:$J$503,_calc!$E$478),"yyyy-mm-dd"),""))=0,"","Parts end: "&amp;IF(ISNUMBER(INDEX('Dealer pipeline'!$J$4:$J$503,_calc!$E$478)),TEXT(INDEX('Dealer pipeline'!$J$4:$J$503,_calc!$E$478),"yyyy-mm-dd"),"")&amp;". ")&amp;IF(LEN(IF(ISNUMBER(INDEX('Dealer pipeline'!$L$4:$L$503,_calc!$E$478)),TEXT(INDEX('Dealer pipeline'!$L$4:$L$503,_calc!$E$478),"yyyy-mm-dd"),""))=0,"","Labor end: "&amp;IF(ISNUMBER(INDEX('Dealer pipeline'!$L$4:$L$503,_calc!$E$478)),TEXT(INDEX('Dealer pipeline'!$L$4:$L$503,_calc!$E$478),"yyyy-mm-dd"),"")&amp;". ")&amp;IF(LEN(IF(LEN(INDEX('Dealer pipeline'!$Q$4:$Q$503,_calc!$E$478))=0,"",INDEX('Dealer pipeline'!$Q$4:$Q$503,_calc!$E$478)))=0,"","Status: "&amp;IF(LEN(INDEX('Dealer pipeline'!$Q$4:$Q$503,_calc!$E$478))=0,"",INDEX('Dealer pipeline'!$Q$4:$Q$503,_calc!$E$478))&amp;". ")&amp;IF(LEN(IF(LEN(INDEX('Dealer pipeline'!$P$4:$P$503,_calc!$E$478))=0,"",INDEX('Dealer pipeline'!$P$4:$P$503,_calc!$E$478)))=0,"","Last touch: "&amp;IF(LEN(INDEX('Dealer pipeline'!$P$4:$P$503,_calc!$E$478))=0,"",INDEX('Dealer pipeline'!$P$4:$P$503,_calc!$E$478))&amp;". ")&amp;IF(LEN(IF(LEN(INDEX('Dealer pipeline'!$R$4:$R$503,_calc!$E$478))=0,"",INDEX('Dealer pipeline'!$R$4:$R$503,_calc!$E$478)))=0,"","Owner: "&amp;IF(LEN(INDEX('Dealer pipeline'!$R$4:$R$503,_calc!$E$478))=0,"",INDEX('Dealer pipeline'!$R$4:$R$503,_calc!$E$478))&amp;". ")&amp;IF(LEN(IF(LEN(INDEX('Dealer pipeline'!$S$4:$S$503,_calc!$E$478))=0,"",INDEX('Dealer pipeline'!$S$4:$S$503,_calc!$E$478)))=0,"","Backup: "&amp;IF(LEN(INDEX('Dealer pipeline'!$S$4:$S$503,_calc!$E$478))=0,"",INDEX('Dealer pipeline'!$S$4:$S$503,_calc!$E$478))&amp;". ")&amp;IF(LEN(IF(LEN(INDEX('Dealer pipeline'!$T$4:$T$503,_calc!$E$478))=0,"",INDEX('Dealer pipeline'!$T$4:$T$503,_calc!$E$478)))=0,"",IF(LEN(INDEX('Dealer pipeline'!$T$4:$T$503,_calc!$E$478))=0,"",INDEX('Dealer pipeline'!$T$4:$T$503,_calc!$E$478)))),TRIM(IF(LEN(IF(LEN(INDEX('My equipment'!$C$4:$C$503,(_calc!$E$478-500)))=0,"",INDEX('My equipment'!$C$4:$C$503,(_calc!$E$478-500))))=0,"","Model: "&amp;IF(LEN(INDEX('My equipment'!$C$4:$C$503,(_calc!$E$478-500)))=0,"",INDEX('My equipment'!$C$4:$C$503,(_calc!$E$478-500)))&amp;". ")&amp;IF(LEN(IF(LEN(INDEX('My equipment'!$D$4:$D$503,(_calc!$E$478-500)))=0,"",INDEX('My equipment'!$D$4:$D$503,(_calc!$E$478-500))))=0,"","Serial: "&amp;IF(LEN(INDEX('My equipment'!$D$4:$D$503,(_calc!$E$478-500)))=0,"",INDEX('My equipment'!$D$4:$D$503,(_calc!$E$478-500)))&amp;". ")&amp;IF(LEN(IF(ISNUMBER(INDEX('My equipment'!$J$4:$J$503,(_calc!$E$478-500))),TEXT(INDEX('My equipment'!$J$4:$J$503,(_calc!$E$478-500)),"yyyy-mm-dd"),""))=0,"","Parts end: "&amp;IF(ISNUMBER(INDEX('My equipment'!$J$4:$J$503,(_calc!$E$478-500))),TEXT(INDEX('My equipment'!$J$4:$J$503,(_calc!$E$478-500)),"yyyy-mm-dd"),"")&amp;". ")&amp;IF(LEN(IF(ISNUMBER(INDEX('My equipment'!$L$4:$L$503,(_calc!$E$478-500))),TEXT(INDEX('My equipment'!$L$4:$L$503,(_calc!$E$478-500)),"yyyy-mm-dd"),""))=0,"","Labor end: "&amp;IF(ISNUMBER(INDEX('My equipment'!$L$4:$L$503,(_calc!$E$478-500))),TEXT(INDEX('My equipment'!$L$4:$L$503,(_calc!$E$478-500)),"yyyy-mm-dd"),"")&amp;". ")&amp;IF(LEN(IF(ISNUMBER(INDEX('My equipment'!$P$4:$P$503,(_calc!$E$478-500))),TEXT(INDEX('My equipment'!$P$4:$P$503,(_calc!$E$478-500)),"yyyy-mm-dd"),""))=0,"","Check by: "&amp;IF(ISNUMBER(INDEX('My equipment'!$P$4:$P$503,(_calc!$E$478-500))),TEXT(INDEX('My equipment'!$P$4:$P$503,(_calc!$E$478-500)),"yyyy-mm-dd"),"")&amp;". ")&amp;IF(LEN(IF(LEN(INDEX('My equipment'!$Q$4:$Q$503,(_calc!$E$478-500)))=0,"",INDEX('My equipment'!$Q$4:$Q$503,(_calc!$E$478-500))))=0,"","Claim status: "&amp;IF(LEN(INDEX('My equipment'!$Q$4:$Q$503,(_calc!$E$478-500)))=0,"",INDEX('My equipment'!$Q$4:$Q$503,(_calc!$E$478-500)))&amp;". ")&amp;IF(LEN(IF(LEN(INDEX('My equipment'!$R$4:$R$503,(_calc!$E$478-500)))=0,"",INDEX('My equipment'!$R$4:$R$503,(_calc!$E$478-500))))=0,"","Claims contact: "&amp;IF(LEN(INDEX('My equipment'!$R$4:$R$503,(_calc!$E$478-500)))=0,"",INDEX('My equipment'!$R$4:$R$503,(_calc!$E$478-500)))&amp;". ")&amp;IF(LEN(IF(LEN(INDEX('My equipment'!$S$4:$S$503,(_calc!$E$478-500)))=0,"",INDEX('My equipment'!$S$4:$S$503,(_calc!$E$478-500))))=0,"","Claims email: "&amp;IF(LEN(INDEX('My equipment'!$S$4:$S$503,(_calc!$E$478-500)))=0,"",INDEX('My equipment'!$S$4:$S$503,(_calc!$E$478-500)))&amp;". ")&amp;IF(LEN(IF(LEN(INDEX('My equipment'!$U$4:$U$503,(_calc!$E$478-500)))=0,"",INDEX('My equipment'!$U$4:$U$503,(_calc!$E$478-500))))=0,"","Registered: "&amp;IF(LEN(INDEX('My equipment'!$U$4:$U$503,(_calc!$E$478-500)))=0,"",INDEX('My equipment'!$U$4:$U$503,(_calc!$E$478-500)))&amp;". ")&amp;IF(LEN(IF(LEN(INDEX('My equipment'!$V$4:$V$503,(_calc!$E$478-500)))=0,"",INDEX('My equipment'!$V$4:$V$503,(_calc!$E$478-500))))=0,"","Proof on file: "&amp;IF(LEN(INDEX('My equipment'!$V$4:$V$503,(_calc!$E$478-500)))=0,"",INDEX('My equipment'!$V$4:$V$503,(_calc!$E$478-500)))&amp;". ")&amp;IF(LEN(IF(LEN(INDEX('My equipment'!$W$4:$W$503,(_calc!$E$478-500)))=0,"",INDEX('My equipment'!$W$4:$W$503,(_calc!$E$478-500))))=0,"","Claim ref: "&amp;IF(LEN(INDEX('My equipment'!$W$4:$W$503,(_calc!$E$478-500)))=0,"",INDEX('My equipment'!$W$4:$W$503,(_calc!$E$478-500)))&amp;". ")&amp;IF(LEN(IF(LEN(INDEX('My equipment'!$Y$4:$Y$503,(_calc!$E$478-500)))=0,"",INDEX('My equipment'!$Y$4:$Y$503,(_calc!$E$478-500))))=0,"",IF(LEN(INDEX('My equipment'!$Y$4:$Y$503,(_calc!$E$478-500)))=0,"",INDEX('My equipment'!$Y$4:$Y$503,(_calc!$E$478-500)))))))</f>
        <v/>
      </c>
      <c r="G476" s="54">
        <f>IF(_calc!$E$478="","",IF(_calc!$E$478&lt;=500,"",IF(LEN(INDEX('My equipment'!$X$4:$X$503,(_calc!$E$478-500)))=0,"",INDEX('My equipment'!$X$4:$X$503,(_calc!$E$478-500)))))</f>
        <v/>
      </c>
      <c r="K476" s="54">
        <f>IF(_calc!$E$478="","",IF(_calc!$E$478&lt;=500,"",IF(LEN(INDEX('My equipment'!$T$4:$T$503,(_calc!$E$478-500)))=0,"",INDEX('My equipment'!$T$4:$T$503,(_calc!$E$478-500)))))</f>
        <v/>
      </c>
    </row>
    <row r="477">
      <c r="A477" s="54">
        <f>IF(_calc!$E$479="","",IF(_calc!$E$479&lt;=500,"Warranty – "&amp;IF(LEN(INDEX('Dealer pipeline'!$C$4:$C$503,_calc!$E$479))=0,"",INDEX('Dealer pipeline'!$C$4:$C$503,_calc!$E$479))&amp;" – "&amp;IF(LEN(INDEX('Dealer pipeline'!$D$4:$D$503,_calc!$E$479))=0,"",INDEX('Dealer pipeline'!$D$4:$D$503,_calc!$E$479))&amp;" – "&amp;IF(LEN(INDEX('Dealer pipeline'!$A$4:$A$503,_calc!$E$479))=0,"",INDEX('Dealer pipeline'!$A$4:$A$503,_calc!$E$479)),"Warranty – "&amp;IF(LEN(INDEX('My equipment'!$A$4:$A$503,(_calc!$E$479-500)))=0,"",INDEX('My equipment'!$A$4:$A$503,(_calc!$E$479-500)))&amp;" – "&amp;IF(LEN(INDEX('My equipment'!$D$4:$D$503,(_calc!$E$479-500)))=0,"",INDEX('My equipment'!$D$4:$D$503,(_calc!$E$479-500)))))</f>
        <v/>
      </c>
      <c r="B477" s="54">
        <f>IF(_calc!$E$479="","",IF(_calc!$E$479&lt;=500,IF(ISNUMBER(INDEX('Dealer pipeline'!$M$4:$M$503,_calc!$E$479)),TEXT(INDEX('Dealer pipeline'!$M$4:$M$503,_calc!$E$479),"yyyy-mm-dd"),""),IF(ISNUMBER(INDEX('My equipment'!$M$4:$M$503,(_calc!$E$479-500))),TEXT(INDEX('My equipment'!$M$4:$M$503,(_calc!$E$479-500)),"yyyy-mm-dd"),"")))</f>
        <v/>
      </c>
      <c r="C477" s="54">
        <f>IF(_calc!$E$479="","",IF(_calc!$E$479&lt;=500,"Warranty","Warranty"))</f>
        <v/>
      </c>
      <c r="D477" s="54">
        <f>IF(_calc!$E$479="","",IF(_calc!$E$479&lt;=500,IF(ISNUMBER(INDEX('Dealer pipeline'!$H$4:$H$503,_calc!$E$479)),TEXT(INDEX('Dealer pipeline'!$H$4:$H$503,_calc!$E$479),"yyyy-mm-dd"),""),IF(ISNUMBER(INDEX('My equipment'!$H$4:$H$503,(_calc!$E$479-500))),TEXT(INDEX('My equipment'!$H$4:$H$503,(_calc!$E$479-500)),"yyyy-mm-dd"),"")))</f>
        <v/>
      </c>
      <c r="F477" s="54">
        <f>IF(_calc!$E$479="","",IF(_calc!$E$479&lt;=500,TRIM(IF(LEN(IF(LEN(INDEX('Dealer pipeline'!$A$4:$A$503,_calc!$E$479))=0,"",INDEX('Dealer pipeline'!$A$4:$A$503,_calc!$E$479)))=0,"","Customer: "&amp;IF(LEN(INDEX('Dealer pipeline'!$A$4:$A$503,_calc!$E$479))=0,"",INDEX('Dealer pipeline'!$A$4:$A$503,_calc!$E$479))&amp;". ")&amp;IF(LEN(IF(LEN(INDEX('Dealer pipeline'!$B$4:$B$503,_calc!$E$479))=0,"",INDEX('Dealer pipeline'!$B$4:$B$503,_calc!$E$479)))=0,"","Contact: "&amp;IF(LEN(INDEX('Dealer pipeline'!$B$4:$B$503,_calc!$E$479))=0,"",INDEX('Dealer pipeline'!$B$4:$B$503,_calc!$E$479))&amp;". ")&amp;IF(LEN(IF(LEN(INDEX('Dealer pipeline'!$D$4:$D$503,_calc!$E$479))=0,"",INDEX('Dealer pipeline'!$D$4:$D$503,_calc!$E$479)))=0,"","Serial: "&amp;IF(LEN(INDEX('Dealer pipeline'!$D$4:$D$503,_calc!$E$479))=0,"",INDEX('Dealer pipeline'!$D$4:$D$503,_calc!$E$479))&amp;". ")&amp;IF(LEN(IF(ISNUMBER(INDEX('Dealer pipeline'!$J$4:$J$503,_calc!$E$479)),TEXT(INDEX('Dealer pipeline'!$J$4:$J$503,_calc!$E$479),"yyyy-mm-dd"),""))=0,"","Parts end: "&amp;IF(ISNUMBER(INDEX('Dealer pipeline'!$J$4:$J$503,_calc!$E$479)),TEXT(INDEX('Dealer pipeline'!$J$4:$J$503,_calc!$E$479),"yyyy-mm-dd"),"")&amp;". ")&amp;IF(LEN(IF(ISNUMBER(INDEX('Dealer pipeline'!$L$4:$L$503,_calc!$E$479)),TEXT(INDEX('Dealer pipeline'!$L$4:$L$503,_calc!$E$479),"yyyy-mm-dd"),""))=0,"","Labor end: "&amp;IF(ISNUMBER(INDEX('Dealer pipeline'!$L$4:$L$503,_calc!$E$479)),TEXT(INDEX('Dealer pipeline'!$L$4:$L$503,_calc!$E$479),"yyyy-mm-dd"),"")&amp;". ")&amp;IF(LEN(IF(LEN(INDEX('Dealer pipeline'!$Q$4:$Q$503,_calc!$E$479))=0,"",INDEX('Dealer pipeline'!$Q$4:$Q$503,_calc!$E$479)))=0,"","Status: "&amp;IF(LEN(INDEX('Dealer pipeline'!$Q$4:$Q$503,_calc!$E$479))=0,"",INDEX('Dealer pipeline'!$Q$4:$Q$503,_calc!$E$479))&amp;". ")&amp;IF(LEN(IF(LEN(INDEX('Dealer pipeline'!$P$4:$P$503,_calc!$E$479))=0,"",INDEX('Dealer pipeline'!$P$4:$P$503,_calc!$E$479)))=0,"","Last touch: "&amp;IF(LEN(INDEX('Dealer pipeline'!$P$4:$P$503,_calc!$E$479))=0,"",INDEX('Dealer pipeline'!$P$4:$P$503,_calc!$E$479))&amp;". ")&amp;IF(LEN(IF(LEN(INDEX('Dealer pipeline'!$R$4:$R$503,_calc!$E$479))=0,"",INDEX('Dealer pipeline'!$R$4:$R$503,_calc!$E$479)))=0,"","Owner: "&amp;IF(LEN(INDEX('Dealer pipeline'!$R$4:$R$503,_calc!$E$479))=0,"",INDEX('Dealer pipeline'!$R$4:$R$503,_calc!$E$479))&amp;". ")&amp;IF(LEN(IF(LEN(INDEX('Dealer pipeline'!$S$4:$S$503,_calc!$E$479))=0,"",INDEX('Dealer pipeline'!$S$4:$S$503,_calc!$E$479)))=0,"","Backup: "&amp;IF(LEN(INDEX('Dealer pipeline'!$S$4:$S$503,_calc!$E$479))=0,"",INDEX('Dealer pipeline'!$S$4:$S$503,_calc!$E$479))&amp;". ")&amp;IF(LEN(IF(LEN(INDEX('Dealer pipeline'!$T$4:$T$503,_calc!$E$479))=0,"",INDEX('Dealer pipeline'!$T$4:$T$503,_calc!$E$479)))=0,"",IF(LEN(INDEX('Dealer pipeline'!$T$4:$T$503,_calc!$E$479))=0,"",INDEX('Dealer pipeline'!$T$4:$T$503,_calc!$E$479)))),TRIM(IF(LEN(IF(LEN(INDEX('My equipment'!$C$4:$C$503,(_calc!$E$479-500)))=0,"",INDEX('My equipment'!$C$4:$C$503,(_calc!$E$479-500))))=0,"","Model: "&amp;IF(LEN(INDEX('My equipment'!$C$4:$C$503,(_calc!$E$479-500)))=0,"",INDEX('My equipment'!$C$4:$C$503,(_calc!$E$479-500)))&amp;". ")&amp;IF(LEN(IF(LEN(INDEX('My equipment'!$D$4:$D$503,(_calc!$E$479-500)))=0,"",INDEX('My equipment'!$D$4:$D$503,(_calc!$E$479-500))))=0,"","Serial: "&amp;IF(LEN(INDEX('My equipment'!$D$4:$D$503,(_calc!$E$479-500)))=0,"",INDEX('My equipment'!$D$4:$D$503,(_calc!$E$479-500)))&amp;". ")&amp;IF(LEN(IF(ISNUMBER(INDEX('My equipment'!$J$4:$J$503,(_calc!$E$479-500))),TEXT(INDEX('My equipment'!$J$4:$J$503,(_calc!$E$479-500)),"yyyy-mm-dd"),""))=0,"","Parts end: "&amp;IF(ISNUMBER(INDEX('My equipment'!$J$4:$J$503,(_calc!$E$479-500))),TEXT(INDEX('My equipment'!$J$4:$J$503,(_calc!$E$479-500)),"yyyy-mm-dd"),"")&amp;". ")&amp;IF(LEN(IF(ISNUMBER(INDEX('My equipment'!$L$4:$L$503,(_calc!$E$479-500))),TEXT(INDEX('My equipment'!$L$4:$L$503,(_calc!$E$479-500)),"yyyy-mm-dd"),""))=0,"","Labor end: "&amp;IF(ISNUMBER(INDEX('My equipment'!$L$4:$L$503,(_calc!$E$479-500))),TEXT(INDEX('My equipment'!$L$4:$L$503,(_calc!$E$479-500)),"yyyy-mm-dd"),"")&amp;". ")&amp;IF(LEN(IF(ISNUMBER(INDEX('My equipment'!$P$4:$P$503,(_calc!$E$479-500))),TEXT(INDEX('My equipment'!$P$4:$P$503,(_calc!$E$479-500)),"yyyy-mm-dd"),""))=0,"","Check by: "&amp;IF(ISNUMBER(INDEX('My equipment'!$P$4:$P$503,(_calc!$E$479-500))),TEXT(INDEX('My equipment'!$P$4:$P$503,(_calc!$E$479-500)),"yyyy-mm-dd"),"")&amp;". ")&amp;IF(LEN(IF(LEN(INDEX('My equipment'!$Q$4:$Q$503,(_calc!$E$479-500)))=0,"",INDEX('My equipment'!$Q$4:$Q$503,(_calc!$E$479-500))))=0,"","Claim status: "&amp;IF(LEN(INDEX('My equipment'!$Q$4:$Q$503,(_calc!$E$479-500)))=0,"",INDEX('My equipment'!$Q$4:$Q$503,(_calc!$E$479-500)))&amp;". ")&amp;IF(LEN(IF(LEN(INDEX('My equipment'!$R$4:$R$503,(_calc!$E$479-500)))=0,"",INDEX('My equipment'!$R$4:$R$503,(_calc!$E$479-500))))=0,"","Claims contact: "&amp;IF(LEN(INDEX('My equipment'!$R$4:$R$503,(_calc!$E$479-500)))=0,"",INDEX('My equipment'!$R$4:$R$503,(_calc!$E$479-500)))&amp;". ")&amp;IF(LEN(IF(LEN(INDEX('My equipment'!$S$4:$S$503,(_calc!$E$479-500)))=0,"",INDEX('My equipment'!$S$4:$S$503,(_calc!$E$479-500))))=0,"","Claims email: "&amp;IF(LEN(INDEX('My equipment'!$S$4:$S$503,(_calc!$E$479-500)))=0,"",INDEX('My equipment'!$S$4:$S$503,(_calc!$E$479-500)))&amp;". ")&amp;IF(LEN(IF(LEN(INDEX('My equipment'!$U$4:$U$503,(_calc!$E$479-500)))=0,"",INDEX('My equipment'!$U$4:$U$503,(_calc!$E$479-500))))=0,"","Registered: "&amp;IF(LEN(INDEX('My equipment'!$U$4:$U$503,(_calc!$E$479-500)))=0,"",INDEX('My equipment'!$U$4:$U$503,(_calc!$E$479-500)))&amp;". ")&amp;IF(LEN(IF(LEN(INDEX('My equipment'!$V$4:$V$503,(_calc!$E$479-500)))=0,"",INDEX('My equipment'!$V$4:$V$503,(_calc!$E$479-500))))=0,"","Proof on file: "&amp;IF(LEN(INDEX('My equipment'!$V$4:$V$503,(_calc!$E$479-500)))=0,"",INDEX('My equipment'!$V$4:$V$503,(_calc!$E$479-500)))&amp;". ")&amp;IF(LEN(IF(LEN(INDEX('My equipment'!$W$4:$W$503,(_calc!$E$479-500)))=0,"",INDEX('My equipment'!$W$4:$W$503,(_calc!$E$479-500))))=0,"","Claim ref: "&amp;IF(LEN(INDEX('My equipment'!$W$4:$W$503,(_calc!$E$479-500)))=0,"",INDEX('My equipment'!$W$4:$W$503,(_calc!$E$479-500)))&amp;". ")&amp;IF(LEN(IF(LEN(INDEX('My equipment'!$Y$4:$Y$503,(_calc!$E$479-500)))=0,"",INDEX('My equipment'!$Y$4:$Y$503,(_calc!$E$479-500))))=0,"",IF(LEN(INDEX('My equipment'!$Y$4:$Y$503,(_calc!$E$479-500)))=0,"",INDEX('My equipment'!$Y$4:$Y$503,(_calc!$E$479-500)))))))</f>
        <v/>
      </c>
      <c r="G477" s="54">
        <f>IF(_calc!$E$479="","",IF(_calc!$E$479&lt;=500,"",IF(LEN(INDEX('My equipment'!$X$4:$X$503,(_calc!$E$479-500)))=0,"",INDEX('My equipment'!$X$4:$X$503,(_calc!$E$479-500)))))</f>
        <v/>
      </c>
      <c r="K477" s="54">
        <f>IF(_calc!$E$479="","",IF(_calc!$E$479&lt;=500,"",IF(LEN(INDEX('My equipment'!$T$4:$T$503,(_calc!$E$479-500)))=0,"",INDEX('My equipment'!$T$4:$T$503,(_calc!$E$479-500)))))</f>
        <v/>
      </c>
    </row>
    <row r="478">
      <c r="A478" s="54">
        <f>IF(_calc!$E$480="","",IF(_calc!$E$480&lt;=500,"Warranty – "&amp;IF(LEN(INDEX('Dealer pipeline'!$C$4:$C$503,_calc!$E$480))=0,"",INDEX('Dealer pipeline'!$C$4:$C$503,_calc!$E$480))&amp;" – "&amp;IF(LEN(INDEX('Dealer pipeline'!$D$4:$D$503,_calc!$E$480))=0,"",INDEX('Dealer pipeline'!$D$4:$D$503,_calc!$E$480))&amp;" – "&amp;IF(LEN(INDEX('Dealer pipeline'!$A$4:$A$503,_calc!$E$480))=0,"",INDEX('Dealer pipeline'!$A$4:$A$503,_calc!$E$480)),"Warranty – "&amp;IF(LEN(INDEX('My equipment'!$A$4:$A$503,(_calc!$E$480-500)))=0,"",INDEX('My equipment'!$A$4:$A$503,(_calc!$E$480-500)))&amp;" – "&amp;IF(LEN(INDEX('My equipment'!$D$4:$D$503,(_calc!$E$480-500)))=0,"",INDEX('My equipment'!$D$4:$D$503,(_calc!$E$480-500)))))</f>
        <v/>
      </c>
      <c r="B478" s="54">
        <f>IF(_calc!$E$480="","",IF(_calc!$E$480&lt;=500,IF(ISNUMBER(INDEX('Dealer pipeline'!$M$4:$M$503,_calc!$E$480)),TEXT(INDEX('Dealer pipeline'!$M$4:$M$503,_calc!$E$480),"yyyy-mm-dd"),""),IF(ISNUMBER(INDEX('My equipment'!$M$4:$M$503,(_calc!$E$480-500))),TEXT(INDEX('My equipment'!$M$4:$M$503,(_calc!$E$480-500)),"yyyy-mm-dd"),"")))</f>
        <v/>
      </c>
      <c r="C478" s="54">
        <f>IF(_calc!$E$480="","",IF(_calc!$E$480&lt;=500,"Warranty","Warranty"))</f>
        <v/>
      </c>
      <c r="D478" s="54">
        <f>IF(_calc!$E$480="","",IF(_calc!$E$480&lt;=500,IF(ISNUMBER(INDEX('Dealer pipeline'!$H$4:$H$503,_calc!$E$480)),TEXT(INDEX('Dealer pipeline'!$H$4:$H$503,_calc!$E$480),"yyyy-mm-dd"),""),IF(ISNUMBER(INDEX('My equipment'!$H$4:$H$503,(_calc!$E$480-500))),TEXT(INDEX('My equipment'!$H$4:$H$503,(_calc!$E$480-500)),"yyyy-mm-dd"),"")))</f>
        <v/>
      </c>
      <c r="F478" s="54">
        <f>IF(_calc!$E$480="","",IF(_calc!$E$480&lt;=500,TRIM(IF(LEN(IF(LEN(INDEX('Dealer pipeline'!$A$4:$A$503,_calc!$E$480))=0,"",INDEX('Dealer pipeline'!$A$4:$A$503,_calc!$E$480)))=0,"","Customer: "&amp;IF(LEN(INDEX('Dealer pipeline'!$A$4:$A$503,_calc!$E$480))=0,"",INDEX('Dealer pipeline'!$A$4:$A$503,_calc!$E$480))&amp;". ")&amp;IF(LEN(IF(LEN(INDEX('Dealer pipeline'!$B$4:$B$503,_calc!$E$480))=0,"",INDEX('Dealer pipeline'!$B$4:$B$503,_calc!$E$480)))=0,"","Contact: "&amp;IF(LEN(INDEX('Dealer pipeline'!$B$4:$B$503,_calc!$E$480))=0,"",INDEX('Dealer pipeline'!$B$4:$B$503,_calc!$E$480))&amp;". ")&amp;IF(LEN(IF(LEN(INDEX('Dealer pipeline'!$D$4:$D$503,_calc!$E$480))=0,"",INDEX('Dealer pipeline'!$D$4:$D$503,_calc!$E$480)))=0,"","Serial: "&amp;IF(LEN(INDEX('Dealer pipeline'!$D$4:$D$503,_calc!$E$480))=0,"",INDEX('Dealer pipeline'!$D$4:$D$503,_calc!$E$480))&amp;". ")&amp;IF(LEN(IF(ISNUMBER(INDEX('Dealer pipeline'!$J$4:$J$503,_calc!$E$480)),TEXT(INDEX('Dealer pipeline'!$J$4:$J$503,_calc!$E$480),"yyyy-mm-dd"),""))=0,"","Parts end: "&amp;IF(ISNUMBER(INDEX('Dealer pipeline'!$J$4:$J$503,_calc!$E$480)),TEXT(INDEX('Dealer pipeline'!$J$4:$J$503,_calc!$E$480),"yyyy-mm-dd"),"")&amp;". ")&amp;IF(LEN(IF(ISNUMBER(INDEX('Dealer pipeline'!$L$4:$L$503,_calc!$E$480)),TEXT(INDEX('Dealer pipeline'!$L$4:$L$503,_calc!$E$480),"yyyy-mm-dd"),""))=0,"","Labor end: "&amp;IF(ISNUMBER(INDEX('Dealer pipeline'!$L$4:$L$503,_calc!$E$480)),TEXT(INDEX('Dealer pipeline'!$L$4:$L$503,_calc!$E$480),"yyyy-mm-dd"),"")&amp;". ")&amp;IF(LEN(IF(LEN(INDEX('Dealer pipeline'!$Q$4:$Q$503,_calc!$E$480))=0,"",INDEX('Dealer pipeline'!$Q$4:$Q$503,_calc!$E$480)))=0,"","Status: "&amp;IF(LEN(INDEX('Dealer pipeline'!$Q$4:$Q$503,_calc!$E$480))=0,"",INDEX('Dealer pipeline'!$Q$4:$Q$503,_calc!$E$480))&amp;". ")&amp;IF(LEN(IF(LEN(INDEX('Dealer pipeline'!$P$4:$P$503,_calc!$E$480))=0,"",INDEX('Dealer pipeline'!$P$4:$P$503,_calc!$E$480)))=0,"","Last touch: "&amp;IF(LEN(INDEX('Dealer pipeline'!$P$4:$P$503,_calc!$E$480))=0,"",INDEX('Dealer pipeline'!$P$4:$P$503,_calc!$E$480))&amp;". ")&amp;IF(LEN(IF(LEN(INDEX('Dealer pipeline'!$R$4:$R$503,_calc!$E$480))=0,"",INDEX('Dealer pipeline'!$R$4:$R$503,_calc!$E$480)))=0,"","Owner: "&amp;IF(LEN(INDEX('Dealer pipeline'!$R$4:$R$503,_calc!$E$480))=0,"",INDEX('Dealer pipeline'!$R$4:$R$503,_calc!$E$480))&amp;". ")&amp;IF(LEN(IF(LEN(INDEX('Dealer pipeline'!$S$4:$S$503,_calc!$E$480))=0,"",INDEX('Dealer pipeline'!$S$4:$S$503,_calc!$E$480)))=0,"","Backup: "&amp;IF(LEN(INDEX('Dealer pipeline'!$S$4:$S$503,_calc!$E$480))=0,"",INDEX('Dealer pipeline'!$S$4:$S$503,_calc!$E$480))&amp;". ")&amp;IF(LEN(IF(LEN(INDEX('Dealer pipeline'!$T$4:$T$503,_calc!$E$480))=0,"",INDEX('Dealer pipeline'!$T$4:$T$503,_calc!$E$480)))=0,"",IF(LEN(INDEX('Dealer pipeline'!$T$4:$T$503,_calc!$E$480))=0,"",INDEX('Dealer pipeline'!$T$4:$T$503,_calc!$E$480)))),TRIM(IF(LEN(IF(LEN(INDEX('My equipment'!$C$4:$C$503,(_calc!$E$480-500)))=0,"",INDEX('My equipment'!$C$4:$C$503,(_calc!$E$480-500))))=0,"","Model: "&amp;IF(LEN(INDEX('My equipment'!$C$4:$C$503,(_calc!$E$480-500)))=0,"",INDEX('My equipment'!$C$4:$C$503,(_calc!$E$480-500)))&amp;". ")&amp;IF(LEN(IF(LEN(INDEX('My equipment'!$D$4:$D$503,(_calc!$E$480-500)))=0,"",INDEX('My equipment'!$D$4:$D$503,(_calc!$E$480-500))))=0,"","Serial: "&amp;IF(LEN(INDEX('My equipment'!$D$4:$D$503,(_calc!$E$480-500)))=0,"",INDEX('My equipment'!$D$4:$D$503,(_calc!$E$480-500)))&amp;". ")&amp;IF(LEN(IF(ISNUMBER(INDEX('My equipment'!$J$4:$J$503,(_calc!$E$480-500))),TEXT(INDEX('My equipment'!$J$4:$J$503,(_calc!$E$480-500)),"yyyy-mm-dd"),""))=0,"","Parts end: "&amp;IF(ISNUMBER(INDEX('My equipment'!$J$4:$J$503,(_calc!$E$480-500))),TEXT(INDEX('My equipment'!$J$4:$J$503,(_calc!$E$480-500)),"yyyy-mm-dd"),"")&amp;". ")&amp;IF(LEN(IF(ISNUMBER(INDEX('My equipment'!$L$4:$L$503,(_calc!$E$480-500))),TEXT(INDEX('My equipment'!$L$4:$L$503,(_calc!$E$480-500)),"yyyy-mm-dd"),""))=0,"","Labor end: "&amp;IF(ISNUMBER(INDEX('My equipment'!$L$4:$L$503,(_calc!$E$480-500))),TEXT(INDEX('My equipment'!$L$4:$L$503,(_calc!$E$480-500)),"yyyy-mm-dd"),"")&amp;". ")&amp;IF(LEN(IF(ISNUMBER(INDEX('My equipment'!$P$4:$P$503,(_calc!$E$480-500))),TEXT(INDEX('My equipment'!$P$4:$P$503,(_calc!$E$480-500)),"yyyy-mm-dd"),""))=0,"","Check by: "&amp;IF(ISNUMBER(INDEX('My equipment'!$P$4:$P$503,(_calc!$E$480-500))),TEXT(INDEX('My equipment'!$P$4:$P$503,(_calc!$E$480-500)),"yyyy-mm-dd"),"")&amp;". ")&amp;IF(LEN(IF(LEN(INDEX('My equipment'!$Q$4:$Q$503,(_calc!$E$480-500)))=0,"",INDEX('My equipment'!$Q$4:$Q$503,(_calc!$E$480-500))))=0,"","Claim status: "&amp;IF(LEN(INDEX('My equipment'!$Q$4:$Q$503,(_calc!$E$480-500)))=0,"",INDEX('My equipment'!$Q$4:$Q$503,(_calc!$E$480-500)))&amp;". ")&amp;IF(LEN(IF(LEN(INDEX('My equipment'!$R$4:$R$503,(_calc!$E$480-500)))=0,"",INDEX('My equipment'!$R$4:$R$503,(_calc!$E$480-500))))=0,"","Claims contact: "&amp;IF(LEN(INDEX('My equipment'!$R$4:$R$503,(_calc!$E$480-500)))=0,"",INDEX('My equipment'!$R$4:$R$503,(_calc!$E$480-500)))&amp;". ")&amp;IF(LEN(IF(LEN(INDEX('My equipment'!$S$4:$S$503,(_calc!$E$480-500)))=0,"",INDEX('My equipment'!$S$4:$S$503,(_calc!$E$480-500))))=0,"","Claims email: "&amp;IF(LEN(INDEX('My equipment'!$S$4:$S$503,(_calc!$E$480-500)))=0,"",INDEX('My equipment'!$S$4:$S$503,(_calc!$E$480-500)))&amp;". ")&amp;IF(LEN(IF(LEN(INDEX('My equipment'!$U$4:$U$503,(_calc!$E$480-500)))=0,"",INDEX('My equipment'!$U$4:$U$503,(_calc!$E$480-500))))=0,"","Registered: "&amp;IF(LEN(INDEX('My equipment'!$U$4:$U$503,(_calc!$E$480-500)))=0,"",INDEX('My equipment'!$U$4:$U$503,(_calc!$E$480-500)))&amp;". ")&amp;IF(LEN(IF(LEN(INDEX('My equipment'!$V$4:$V$503,(_calc!$E$480-500)))=0,"",INDEX('My equipment'!$V$4:$V$503,(_calc!$E$480-500))))=0,"","Proof on file: "&amp;IF(LEN(INDEX('My equipment'!$V$4:$V$503,(_calc!$E$480-500)))=0,"",INDEX('My equipment'!$V$4:$V$503,(_calc!$E$480-500)))&amp;". ")&amp;IF(LEN(IF(LEN(INDEX('My equipment'!$W$4:$W$503,(_calc!$E$480-500)))=0,"",INDEX('My equipment'!$W$4:$W$503,(_calc!$E$480-500))))=0,"","Claim ref: "&amp;IF(LEN(INDEX('My equipment'!$W$4:$W$503,(_calc!$E$480-500)))=0,"",INDEX('My equipment'!$W$4:$W$503,(_calc!$E$480-500)))&amp;". ")&amp;IF(LEN(IF(LEN(INDEX('My equipment'!$Y$4:$Y$503,(_calc!$E$480-500)))=0,"",INDEX('My equipment'!$Y$4:$Y$503,(_calc!$E$480-500))))=0,"",IF(LEN(INDEX('My equipment'!$Y$4:$Y$503,(_calc!$E$480-500)))=0,"",INDEX('My equipment'!$Y$4:$Y$503,(_calc!$E$480-500)))))))</f>
        <v/>
      </c>
      <c r="G478" s="54">
        <f>IF(_calc!$E$480="","",IF(_calc!$E$480&lt;=500,"",IF(LEN(INDEX('My equipment'!$X$4:$X$503,(_calc!$E$480-500)))=0,"",INDEX('My equipment'!$X$4:$X$503,(_calc!$E$480-500)))))</f>
        <v/>
      </c>
      <c r="K478" s="54">
        <f>IF(_calc!$E$480="","",IF(_calc!$E$480&lt;=500,"",IF(LEN(INDEX('My equipment'!$T$4:$T$503,(_calc!$E$480-500)))=0,"",INDEX('My equipment'!$T$4:$T$503,(_calc!$E$480-500)))))</f>
        <v/>
      </c>
    </row>
    <row r="479">
      <c r="A479" s="54">
        <f>IF(_calc!$E$481="","",IF(_calc!$E$481&lt;=500,"Warranty – "&amp;IF(LEN(INDEX('Dealer pipeline'!$C$4:$C$503,_calc!$E$481))=0,"",INDEX('Dealer pipeline'!$C$4:$C$503,_calc!$E$481))&amp;" – "&amp;IF(LEN(INDEX('Dealer pipeline'!$D$4:$D$503,_calc!$E$481))=0,"",INDEX('Dealer pipeline'!$D$4:$D$503,_calc!$E$481))&amp;" – "&amp;IF(LEN(INDEX('Dealer pipeline'!$A$4:$A$503,_calc!$E$481))=0,"",INDEX('Dealer pipeline'!$A$4:$A$503,_calc!$E$481)),"Warranty – "&amp;IF(LEN(INDEX('My equipment'!$A$4:$A$503,(_calc!$E$481-500)))=0,"",INDEX('My equipment'!$A$4:$A$503,(_calc!$E$481-500)))&amp;" – "&amp;IF(LEN(INDEX('My equipment'!$D$4:$D$503,(_calc!$E$481-500)))=0,"",INDEX('My equipment'!$D$4:$D$503,(_calc!$E$481-500)))))</f>
        <v/>
      </c>
      <c r="B479" s="54">
        <f>IF(_calc!$E$481="","",IF(_calc!$E$481&lt;=500,IF(ISNUMBER(INDEX('Dealer pipeline'!$M$4:$M$503,_calc!$E$481)),TEXT(INDEX('Dealer pipeline'!$M$4:$M$503,_calc!$E$481),"yyyy-mm-dd"),""),IF(ISNUMBER(INDEX('My equipment'!$M$4:$M$503,(_calc!$E$481-500))),TEXT(INDEX('My equipment'!$M$4:$M$503,(_calc!$E$481-500)),"yyyy-mm-dd"),"")))</f>
        <v/>
      </c>
      <c r="C479" s="54">
        <f>IF(_calc!$E$481="","",IF(_calc!$E$481&lt;=500,"Warranty","Warranty"))</f>
        <v/>
      </c>
      <c r="D479" s="54">
        <f>IF(_calc!$E$481="","",IF(_calc!$E$481&lt;=500,IF(ISNUMBER(INDEX('Dealer pipeline'!$H$4:$H$503,_calc!$E$481)),TEXT(INDEX('Dealer pipeline'!$H$4:$H$503,_calc!$E$481),"yyyy-mm-dd"),""),IF(ISNUMBER(INDEX('My equipment'!$H$4:$H$503,(_calc!$E$481-500))),TEXT(INDEX('My equipment'!$H$4:$H$503,(_calc!$E$481-500)),"yyyy-mm-dd"),"")))</f>
        <v/>
      </c>
      <c r="F479" s="54">
        <f>IF(_calc!$E$481="","",IF(_calc!$E$481&lt;=500,TRIM(IF(LEN(IF(LEN(INDEX('Dealer pipeline'!$A$4:$A$503,_calc!$E$481))=0,"",INDEX('Dealer pipeline'!$A$4:$A$503,_calc!$E$481)))=0,"","Customer: "&amp;IF(LEN(INDEX('Dealer pipeline'!$A$4:$A$503,_calc!$E$481))=0,"",INDEX('Dealer pipeline'!$A$4:$A$503,_calc!$E$481))&amp;". ")&amp;IF(LEN(IF(LEN(INDEX('Dealer pipeline'!$B$4:$B$503,_calc!$E$481))=0,"",INDEX('Dealer pipeline'!$B$4:$B$503,_calc!$E$481)))=0,"","Contact: "&amp;IF(LEN(INDEX('Dealer pipeline'!$B$4:$B$503,_calc!$E$481))=0,"",INDEX('Dealer pipeline'!$B$4:$B$503,_calc!$E$481))&amp;". ")&amp;IF(LEN(IF(LEN(INDEX('Dealer pipeline'!$D$4:$D$503,_calc!$E$481))=0,"",INDEX('Dealer pipeline'!$D$4:$D$503,_calc!$E$481)))=0,"","Serial: "&amp;IF(LEN(INDEX('Dealer pipeline'!$D$4:$D$503,_calc!$E$481))=0,"",INDEX('Dealer pipeline'!$D$4:$D$503,_calc!$E$481))&amp;". ")&amp;IF(LEN(IF(ISNUMBER(INDEX('Dealer pipeline'!$J$4:$J$503,_calc!$E$481)),TEXT(INDEX('Dealer pipeline'!$J$4:$J$503,_calc!$E$481),"yyyy-mm-dd"),""))=0,"","Parts end: "&amp;IF(ISNUMBER(INDEX('Dealer pipeline'!$J$4:$J$503,_calc!$E$481)),TEXT(INDEX('Dealer pipeline'!$J$4:$J$503,_calc!$E$481),"yyyy-mm-dd"),"")&amp;". ")&amp;IF(LEN(IF(ISNUMBER(INDEX('Dealer pipeline'!$L$4:$L$503,_calc!$E$481)),TEXT(INDEX('Dealer pipeline'!$L$4:$L$503,_calc!$E$481),"yyyy-mm-dd"),""))=0,"","Labor end: "&amp;IF(ISNUMBER(INDEX('Dealer pipeline'!$L$4:$L$503,_calc!$E$481)),TEXT(INDEX('Dealer pipeline'!$L$4:$L$503,_calc!$E$481),"yyyy-mm-dd"),"")&amp;". ")&amp;IF(LEN(IF(LEN(INDEX('Dealer pipeline'!$Q$4:$Q$503,_calc!$E$481))=0,"",INDEX('Dealer pipeline'!$Q$4:$Q$503,_calc!$E$481)))=0,"","Status: "&amp;IF(LEN(INDEX('Dealer pipeline'!$Q$4:$Q$503,_calc!$E$481))=0,"",INDEX('Dealer pipeline'!$Q$4:$Q$503,_calc!$E$481))&amp;". ")&amp;IF(LEN(IF(LEN(INDEX('Dealer pipeline'!$P$4:$P$503,_calc!$E$481))=0,"",INDEX('Dealer pipeline'!$P$4:$P$503,_calc!$E$481)))=0,"","Last touch: "&amp;IF(LEN(INDEX('Dealer pipeline'!$P$4:$P$503,_calc!$E$481))=0,"",INDEX('Dealer pipeline'!$P$4:$P$503,_calc!$E$481))&amp;". ")&amp;IF(LEN(IF(LEN(INDEX('Dealer pipeline'!$R$4:$R$503,_calc!$E$481))=0,"",INDEX('Dealer pipeline'!$R$4:$R$503,_calc!$E$481)))=0,"","Owner: "&amp;IF(LEN(INDEX('Dealer pipeline'!$R$4:$R$503,_calc!$E$481))=0,"",INDEX('Dealer pipeline'!$R$4:$R$503,_calc!$E$481))&amp;". ")&amp;IF(LEN(IF(LEN(INDEX('Dealer pipeline'!$S$4:$S$503,_calc!$E$481))=0,"",INDEX('Dealer pipeline'!$S$4:$S$503,_calc!$E$481)))=0,"","Backup: "&amp;IF(LEN(INDEX('Dealer pipeline'!$S$4:$S$503,_calc!$E$481))=0,"",INDEX('Dealer pipeline'!$S$4:$S$503,_calc!$E$481))&amp;". ")&amp;IF(LEN(IF(LEN(INDEX('Dealer pipeline'!$T$4:$T$503,_calc!$E$481))=0,"",INDEX('Dealer pipeline'!$T$4:$T$503,_calc!$E$481)))=0,"",IF(LEN(INDEX('Dealer pipeline'!$T$4:$T$503,_calc!$E$481))=0,"",INDEX('Dealer pipeline'!$T$4:$T$503,_calc!$E$481)))),TRIM(IF(LEN(IF(LEN(INDEX('My equipment'!$C$4:$C$503,(_calc!$E$481-500)))=0,"",INDEX('My equipment'!$C$4:$C$503,(_calc!$E$481-500))))=0,"","Model: "&amp;IF(LEN(INDEX('My equipment'!$C$4:$C$503,(_calc!$E$481-500)))=0,"",INDEX('My equipment'!$C$4:$C$503,(_calc!$E$481-500)))&amp;". ")&amp;IF(LEN(IF(LEN(INDEX('My equipment'!$D$4:$D$503,(_calc!$E$481-500)))=0,"",INDEX('My equipment'!$D$4:$D$503,(_calc!$E$481-500))))=0,"","Serial: "&amp;IF(LEN(INDEX('My equipment'!$D$4:$D$503,(_calc!$E$481-500)))=0,"",INDEX('My equipment'!$D$4:$D$503,(_calc!$E$481-500)))&amp;". ")&amp;IF(LEN(IF(ISNUMBER(INDEX('My equipment'!$J$4:$J$503,(_calc!$E$481-500))),TEXT(INDEX('My equipment'!$J$4:$J$503,(_calc!$E$481-500)),"yyyy-mm-dd"),""))=0,"","Parts end: "&amp;IF(ISNUMBER(INDEX('My equipment'!$J$4:$J$503,(_calc!$E$481-500))),TEXT(INDEX('My equipment'!$J$4:$J$503,(_calc!$E$481-500)),"yyyy-mm-dd"),"")&amp;". ")&amp;IF(LEN(IF(ISNUMBER(INDEX('My equipment'!$L$4:$L$503,(_calc!$E$481-500))),TEXT(INDEX('My equipment'!$L$4:$L$503,(_calc!$E$481-500)),"yyyy-mm-dd"),""))=0,"","Labor end: "&amp;IF(ISNUMBER(INDEX('My equipment'!$L$4:$L$503,(_calc!$E$481-500))),TEXT(INDEX('My equipment'!$L$4:$L$503,(_calc!$E$481-500)),"yyyy-mm-dd"),"")&amp;". ")&amp;IF(LEN(IF(ISNUMBER(INDEX('My equipment'!$P$4:$P$503,(_calc!$E$481-500))),TEXT(INDEX('My equipment'!$P$4:$P$503,(_calc!$E$481-500)),"yyyy-mm-dd"),""))=0,"","Check by: "&amp;IF(ISNUMBER(INDEX('My equipment'!$P$4:$P$503,(_calc!$E$481-500))),TEXT(INDEX('My equipment'!$P$4:$P$503,(_calc!$E$481-500)),"yyyy-mm-dd"),"")&amp;". ")&amp;IF(LEN(IF(LEN(INDEX('My equipment'!$Q$4:$Q$503,(_calc!$E$481-500)))=0,"",INDEX('My equipment'!$Q$4:$Q$503,(_calc!$E$481-500))))=0,"","Claim status: "&amp;IF(LEN(INDEX('My equipment'!$Q$4:$Q$503,(_calc!$E$481-500)))=0,"",INDEX('My equipment'!$Q$4:$Q$503,(_calc!$E$481-500)))&amp;". ")&amp;IF(LEN(IF(LEN(INDEX('My equipment'!$R$4:$R$503,(_calc!$E$481-500)))=0,"",INDEX('My equipment'!$R$4:$R$503,(_calc!$E$481-500))))=0,"","Claims contact: "&amp;IF(LEN(INDEX('My equipment'!$R$4:$R$503,(_calc!$E$481-500)))=0,"",INDEX('My equipment'!$R$4:$R$503,(_calc!$E$481-500)))&amp;". ")&amp;IF(LEN(IF(LEN(INDEX('My equipment'!$S$4:$S$503,(_calc!$E$481-500)))=0,"",INDEX('My equipment'!$S$4:$S$503,(_calc!$E$481-500))))=0,"","Claims email: "&amp;IF(LEN(INDEX('My equipment'!$S$4:$S$503,(_calc!$E$481-500)))=0,"",INDEX('My equipment'!$S$4:$S$503,(_calc!$E$481-500)))&amp;". ")&amp;IF(LEN(IF(LEN(INDEX('My equipment'!$U$4:$U$503,(_calc!$E$481-500)))=0,"",INDEX('My equipment'!$U$4:$U$503,(_calc!$E$481-500))))=0,"","Registered: "&amp;IF(LEN(INDEX('My equipment'!$U$4:$U$503,(_calc!$E$481-500)))=0,"",INDEX('My equipment'!$U$4:$U$503,(_calc!$E$481-500)))&amp;". ")&amp;IF(LEN(IF(LEN(INDEX('My equipment'!$V$4:$V$503,(_calc!$E$481-500)))=0,"",INDEX('My equipment'!$V$4:$V$503,(_calc!$E$481-500))))=0,"","Proof on file: "&amp;IF(LEN(INDEX('My equipment'!$V$4:$V$503,(_calc!$E$481-500)))=0,"",INDEX('My equipment'!$V$4:$V$503,(_calc!$E$481-500)))&amp;". ")&amp;IF(LEN(IF(LEN(INDEX('My equipment'!$W$4:$W$503,(_calc!$E$481-500)))=0,"",INDEX('My equipment'!$W$4:$W$503,(_calc!$E$481-500))))=0,"","Claim ref: "&amp;IF(LEN(INDEX('My equipment'!$W$4:$W$503,(_calc!$E$481-500)))=0,"",INDEX('My equipment'!$W$4:$W$503,(_calc!$E$481-500)))&amp;". ")&amp;IF(LEN(IF(LEN(INDEX('My equipment'!$Y$4:$Y$503,(_calc!$E$481-500)))=0,"",INDEX('My equipment'!$Y$4:$Y$503,(_calc!$E$481-500))))=0,"",IF(LEN(INDEX('My equipment'!$Y$4:$Y$503,(_calc!$E$481-500)))=0,"",INDEX('My equipment'!$Y$4:$Y$503,(_calc!$E$481-500)))))))</f>
        <v/>
      </c>
      <c r="G479" s="54">
        <f>IF(_calc!$E$481="","",IF(_calc!$E$481&lt;=500,"",IF(LEN(INDEX('My equipment'!$X$4:$X$503,(_calc!$E$481-500)))=0,"",INDEX('My equipment'!$X$4:$X$503,(_calc!$E$481-500)))))</f>
        <v/>
      </c>
      <c r="K479" s="54">
        <f>IF(_calc!$E$481="","",IF(_calc!$E$481&lt;=500,"",IF(LEN(INDEX('My equipment'!$T$4:$T$503,(_calc!$E$481-500)))=0,"",INDEX('My equipment'!$T$4:$T$503,(_calc!$E$481-500)))))</f>
        <v/>
      </c>
    </row>
    <row r="480">
      <c r="A480" s="54">
        <f>IF(_calc!$E$482="","",IF(_calc!$E$482&lt;=500,"Warranty – "&amp;IF(LEN(INDEX('Dealer pipeline'!$C$4:$C$503,_calc!$E$482))=0,"",INDEX('Dealer pipeline'!$C$4:$C$503,_calc!$E$482))&amp;" – "&amp;IF(LEN(INDEX('Dealer pipeline'!$D$4:$D$503,_calc!$E$482))=0,"",INDEX('Dealer pipeline'!$D$4:$D$503,_calc!$E$482))&amp;" – "&amp;IF(LEN(INDEX('Dealer pipeline'!$A$4:$A$503,_calc!$E$482))=0,"",INDEX('Dealer pipeline'!$A$4:$A$503,_calc!$E$482)),"Warranty – "&amp;IF(LEN(INDEX('My equipment'!$A$4:$A$503,(_calc!$E$482-500)))=0,"",INDEX('My equipment'!$A$4:$A$503,(_calc!$E$482-500)))&amp;" – "&amp;IF(LEN(INDEX('My equipment'!$D$4:$D$503,(_calc!$E$482-500)))=0,"",INDEX('My equipment'!$D$4:$D$503,(_calc!$E$482-500)))))</f>
        <v/>
      </c>
      <c r="B480" s="54">
        <f>IF(_calc!$E$482="","",IF(_calc!$E$482&lt;=500,IF(ISNUMBER(INDEX('Dealer pipeline'!$M$4:$M$503,_calc!$E$482)),TEXT(INDEX('Dealer pipeline'!$M$4:$M$503,_calc!$E$482),"yyyy-mm-dd"),""),IF(ISNUMBER(INDEX('My equipment'!$M$4:$M$503,(_calc!$E$482-500))),TEXT(INDEX('My equipment'!$M$4:$M$503,(_calc!$E$482-500)),"yyyy-mm-dd"),"")))</f>
        <v/>
      </c>
      <c r="C480" s="54">
        <f>IF(_calc!$E$482="","",IF(_calc!$E$482&lt;=500,"Warranty","Warranty"))</f>
        <v/>
      </c>
      <c r="D480" s="54">
        <f>IF(_calc!$E$482="","",IF(_calc!$E$482&lt;=500,IF(ISNUMBER(INDEX('Dealer pipeline'!$H$4:$H$503,_calc!$E$482)),TEXT(INDEX('Dealer pipeline'!$H$4:$H$503,_calc!$E$482),"yyyy-mm-dd"),""),IF(ISNUMBER(INDEX('My equipment'!$H$4:$H$503,(_calc!$E$482-500))),TEXT(INDEX('My equipment'!$H$4:$H$503,(_calc!$E$482-500)),"yyyy-mm-dd"),"")))</f>
        <v/>
      </c>
      <c r="F480" s="54">
        <f>IF(_calc!$E$482="","",IF(_calc!$E$482&lt;=500,TRIM(IF(LEN(IF(LEN(INDEX('Dealer pipeline'!$A$4:$A$503,_calc!$E$482))=0,"",INDEX('Dealer pipeline'!$A$4:$A$503,_calc!$E$482)))=0,"","Customer: "&amp;IF(LEN(INDEX('Dealer pipeline'!$A$4:$A$503,_calc!$E$482))=0,"",INDEX('Dealer pipeline'!$A$4:$A$503,_calc!$E$482))&amp;". ")&amp;IF(LEN(IF(LEN(INDEX('Dealer pipeline'!$B$4:$B$503,_calc!$E$482))=0,"",INDEX('Dealer pipeline'!$B$4:$B$503,_calc!$E$482)))=0,"","Contact: "&amp;IF(LEN(INDEX('Dealer pipeline'!$B$4:$B$503,_calc!$E$482))=0,"",INDEX('Dealer pipeline'!$B$4:$B$503,_calc!$E$482))&amp;". ")&amp;IF(LEN(IF(LEN(INDEX('Dealer pipeline'!$D$4:$D$503,_calc!$E$482))=0,"",INDEX('Dealer pipeline'!$D$4:$D$503,_calc!$E$482)))=0,"","Serial: "&amp;IF(LEN(INDEX('Dealer pipeline'!$D$4:$D$503,_calc!$E$482))=0,"",INDEX('Dealer pipeline'!$D$4:$D$503,_calc!$E$482))&amp;". ")&amp;IF(LEN(IF(ISNUMBER(INDEX('Dealer pipeline'!$J$4:$J$503,_calc!$E$482)),TEXT(INDEX('Dealer pipeline'!$J$4:$J$503,_calc!$E$482),"yyyy-mm-dd"),""))=0,"","Parts end: "&amp;IF(ISNUMBER(INDEX('Dealer pipeline'!$J$4:$J$503,_calc!$E$482)),TEXT(INDEX('Dealer pipeline'!$J$4:$J$503,_calc!$E$482),"yyyy-mm-dd"),"")&amp;". ")&amp;IF(LEN(IF(ISNUMBER(INDEX('Dealer pipeline'!$L$4:$L$503,_calc!$E$482)),TEXT(INDEX('Dealer pipeline'!$L$4:$L$503,_calc!$E$482),"yyyy-mm-dd"),""))=0,"","Labor end: "&amp;IF(ISNUMBER(INDEX('Dealer pipeline'!$L$4:$L$503,_calc!$E$482)),TEXT(INDEX('Dealer pipeline'!$L$4:$L$503,_calc!$E$482),"yyyy-mm-dd"),"")&amp;". ")&amp;IF(LEN(IF(LEN(INDEX('Dealer pipeline'!$Q$4:$Q$503,_calc!$E$482))=0,"",INDEX('Dealer pipeline'!$Q$4:$Q$503,_calc!$E$482)))=0,"","Status: "&amp;IF(LEN(INDEX('Dealer pipeline'!$Q$4:$Q$503,_calc!$E$482))=0,"",INDEX('Dealer pipeline'!$Q$4:$Q$503,_calc!$E$482))&amp;". ")&amp;IF(LEN(IF(LEN(INDEX('Dealer pipeline'!$P$4:$P$503,_calc!$E$482))=0,"",INDEX('Dealer pipeline'!$P$4:$P$503,_calc!$E$482)))=0,"","Last touch: "&amp;IF(LEN(INDEX('Dealer pipeline'!$P$4:$P$503,_calc!$E$482))=0,"",INDEX('Dealer pipeline'!$P$4:$P$503,_calc!$E$482))&amp;". ")&amp;IF(LEN(IF(LEN(INDEX('Dealer pipeline'!$R$4:$R$503,_calc!$E$482))=0,"",INDEX('Dealer pipeline'!$R$4:$R$503,_calc!$E$482)))=0,"","Owner: "&amp;IF(LEN(INDEX('Dealer pipeline'!$R$4:$R$503,_calc!$E$482))=0,"",INDEX('Dealer pipeline'!$R$4:$R$503,_calc!$E$482))&amp;". ")&amp;IF(LEN(IF(LEN(INDEX('Dealer pipeline'!$S$4:$S$503,_calc!$E$482))=0,"",INDEX('Dealer pipeline'!$S$4:$S$503,_calc!$E$482)))=0,"","Backup: "&amp;IF(LEN(INDEX('Dealer pipeline'!$S$4:$S$503,_calc!$E$482))=0,"",INDEX('Dealer pipeline'!$S$4:$S$503,_calc!$E$482))&amp;". ")&amp;IF(LEN(IF(LEN(INDEX('Dealer pipeline'!$T$4:$T$503,_calc!$E$482))=0,"",INDEX('Dealer pipeline'!$T$4:$T$503,_calc!$E$482)))=0,"",IF(LEN(INDEX('Dealer pipeline'!$T$4:$T$503,_calc!$E$482))=0,"",INDEX('Dealer pipeline'!$T$4:$T$503,_calc!$E$482)))),TRIM(IF(LEN(IF(LEN(INDEX('My equipment'!$C$4:$C$503,(_calc!$E$482-500)))=0,"",INDEX('My equipment'!$C$4:$C$503,(_calc!$E$482-500))))=0,"","Model: "&amp;IF(LEN(INDEX('My equipment'!$C$4:$C$503,(_calc!$E$482-500)))=0,"",INDEX('My equipment'!$C$4:$C$503,(_calc!$E$482-500)))&amp;". ")&amp;IF(LEN(IF(LEN(INDEX('My equipment'!$D$4:$D$503,(_calc!$E$482-500)))=0,"",INDEX('My equipment'!$D$4:$D$503,(_calc!$E$482-500))))=0,"","Serial: "&amp;IF(LEN(INDEX('My equipment'!$D$4:$D$503,(_calc!$E$482-500)))=0,"",INDEX('My equipment'!$D$4:$D$503,(_calc!$E$482-500)))&amp;". ")&amp;IF(LEN(IF(ISNUMBER(INDEX('My equipment'!$J$4:$J$503,(_calc!$E$482-500))),TEXT(INDEX('My equipment'!$J$4:$J$503,(_calc!$E$482-500)),"yyyy-mm-dd"),""))=0,"","Parts end: "&amp;IF(ISNUMBER(INDEX('My equipment'!$J$4:$J$503,(_calc!$E$482-500))),TEXT(INDEX('My equipment'!$J$4:$J$503,(_calc!$E$482-500)),"yyyy-mm-dd"),"")&amp;". ")&amp;IF(LEN(IF(ISNUMBER(INDEX('My equipment'!$L$4:$L$503,(_calc!$E$482-500))),TEXT(INDEX('My equipment'!$L$4:$L$503,(_calc!$E$482-500)),"yyyy-mm-dd"),""))=0,"","Labor end: "&amp;IF(ISNUMBER(INDEX('My equipment'!$L$4:$L$503,(_calc!$E$482-500))),TEXT(INDEX('My equipment'!$L$4:$L$503,(_calc!$E$482-500)),"yyyy-mm-dd"),"")&amp;". ")&amp;IF(LEN(IF(ISNUMBER(INDEX('My equipment'!$P$4:$P$503,(_calc!$E$482-500))),TEXT(INDEX('My equipment'!$P$4:$P$503,(_calc!$E$482-500)),"yyyy-mm-dd"),""))=0,"","Check by: "&amp;IF(ISNUMBER(INDEX('My equipment'!$P$4:$P$503,(_calc!$E$482-500))),TEXT(INDEX('My equipment'!$P$4:$P$503,(_calc!$E$482-500)),"yyyy-mm-dd"),"")&amp;". ")&amp;IF(LEN(IF(LEN(INDEX('My equipment'!$Q$4:$Q$503,(_calc!$E$482-500)))=0,"",INDEX('My equipment'!$Q$4:$Q$503,(_calc!$E$482-500))))=0,"","Claim status: "&amp;IF(LEN(INDEX('My equipment'!$Q$4:$Q$503,(_calc!$E$482-500)))=0,"",INDEX('My equipment'!$Q$4:$Q$503,(_calc!$E$482-500)))&amp;". ")&amp;IF(LEN(IF(LEN(INDEX('My equipment'!$R$4:$R$503,(_calc!$E$482-500)))=0,"",INDEX('My equipment'!$R$4:$R$503,(_calc!$E$482-500))))=0,"","Claims contact: "&amp;IF(LEN(INDEX('My equipment'!$R$4:$R$503,(_calc!$E$482-500)))=0,"",INDEX('My equipment'!$R$4:$R$503,(_calc!$E$482-500)))&amp;". ")&amp;IF(LEN(IF(LEN(INDEX('My equipment'!$S$4:$S$503,(_calc!$E$482-500)))=0,"",INDEX('My equipment'!$S$4:$S$503,(_calc!$E$482-500))))=0,"","Claims email: "&amp;IF(LEN(INDEX('My equipment'!$S$4:$S$503,(_calc!$E$482-500)))=0,"",INDEX('My equipment'!$S$4:$S$503,(_calc!$E$482-500)))&amp;". ")&amp;IF(LEN(IF(LEN(INDEX('My equipment'!$U$4:$U$503,(_calc!$E$482-500)))=0,"",INDEX('My equipment'!$U$4:$U$503,(_calc!$E$482-500))))=0,"","Registered: "&amp;IF(LEN(INDEX('My equipment'!$U$4:$U$503,(_calc!$E$482-500)))=0,"",INDEX('My equipment'!$U$4:$U$503,(_calc!$E$482-500)))&amp;". ")&amp;IF(LEN(IF(LEN(INDEX('My equipment'!$V$4:$V$503,(_calc!$E$482-500)))=0,"",INDEX('My equipment'!$V$4:$V$503,(_calc!$E$482-500))))=0,"","Proof on file: "&amp;IF(LEN(INDEX('My equipment'!$V$4:$V$503,(_calc!$E$482-500)))=0,"",INDEX('My equipment'!$V$4:$V$503,(_calc!$E$482-500)))&amp;". ")&amp;IF(LEN(IF(LEN(INDEX('My equipment'!$W$4:$W$503,(_calc!$E$482-500)))=0,"",INDEX('My equipment'!$W$4:$W$503,(_calc!$E$482-500))))=0,"","Claim ref: "&amp;IF(LEN(INDEX('My equipment'!$W$4:$W$503,(_calc!$E$482-500)))=0,"",INDEX('My equipment'!$W$4:$W$503,(_calc!$E$482-500)))&amp;". ")&amp;IF(LEN(IF(LEN(INDEX('My equipment'!$Y$4:$Y$503,(_calc!$E$482-500)))=0,"",INDEX('My equipment'!$Y$4:$Y$503,(_calc!$E$482-500))))=0,"",IF(LEN(INDEX('My equipment'!$Y$4:$Y$503,(_calc!$E$482-500)))=0,"",INDEX('My equipment'!$Y$4:$Y$503,(_calc!$E$482-500)))))))</f>
        <v/>
      </c>
      <c r="G480" s="54">
        <f>IF(_calc!$E$482="","",IF(_calc!$E$482&lt;=500,"",IF(LEN(INDEX('My equipment'!$X$4:$X$503,(_calc!$E$482-500)))=0,"",INDEX('My equipment'!$X$4:$X$503,(_calc!$E$482-500)))))</f>
        <v/>
      </c>
      <c r="K480" s="54">
        <f>IF(_calc!$E$482="","",IF(_calc!$E$482&lt;=500,"",IF(LEN(INDEX('My equipment'!$T$4:$T$503,(_calc!$E$482-500)))=0,"",INDEX('My equipment'!$T$4:$T$503,(_calc!$E$482-500)))))</f>
        <v/>
      </c>
    </row>
    <row r="481">
      <c r="A481" s="54">
        <f>IF(_calc!$E$483="","",IF(_calc!$E$483&lt;=500,"Warranty – "&amp;IF(LEN(INDEX('Dealer pipeline'!$C$4:$C$503,_calc!$E$483))=0,"",INDEX('Dealer pipeline'!$C$4:$C$503,_calc!$E$483))&amp;" – "&amp;IF(LEN(INDEX('Dealer pipeline'!$D$4:$D$503,_calc!$E$483))=0,"",INDEX('Dealer pipeline'!$D$4:$D$503,_calc!$E$483))&amp;" – "&amp;IF(LEN(INDEX('Dealer pipeline'!$A$4:$A$503,_calc!$E$483))=0,"",INDEX('Dealer pipeline'!$A$4:$A$503,_calc!$E$483)),"Warranty – "&amp;IF(LEN(INDEX('My equipment'!$A$4:$A$503,(_calc!$E$483-500)))=0,"",INDEX('My equipment'!$A$4:$A$503,(_calc!$E$483-500)))&amp;" – "&amp;IF(LEN(INDEX('My equipment'!$D$4:$D$503,(_calc!$E$483-500)))=0,"",INDEX('My equipment'!$D$4:$D$503,(_calc!$E$483-500)))))</f>
        <v/>
      </c>
      <c r="B481" s="54">
        <f>IF(_calc!$E$483="","",IF(_calc!$E$483&lt;=500,IF(ISNUMBER(INDEX('Dealer pipeline'!$M$4:$M$503,_calc!$E$483)),TEXT(INDEX('Dealer pipeline'!$M$4:$M$503,_calc!$E$483),"yyyy-mm-dd"),""),IF(ISNUMBER(INDEX('My equipment'!$M$4:$M$503,(_calc!$E$483-500))),TEXT(INDEX('My equipment'!$M$4:$M$503,(_calc!$E$483-500)),"yyyy-mm-dd"),"")))</f>
        <v/>
      </c>
      <c r="C481" s="54">
        <f>IF(_calc!$E$483="","",IF(_calc!$E$483&lt;=500,"Warranty","Warranty"))</f>
        <v/>
      </c>
      <c r="D481" s="54">
        <f>IF(_calc!$E$483="","",IF(_calc!$E$483&lt;=500,IF(ISNUMBER(INDEX('Dealer pipeline'!$H$4:$H$503,_calc!$E$483)),TEXT(INDEX('Dealer pipeline'!$H$4:$H$503,_calc!$E$483),"yyyy-mm-dd"),""),IF(ISNUMBER(INDEX('My equipment'!$H$4:$H$503,(_calc!$E$483-500))),TEXT(INDEX('My equipment'!$H$4:$H$503,(_calc!$E$483-500)),"yyyy-mm-dd"),"")))</f>
        <v/>
      </c>
      <c r="F481" s="54">
        <f>IF(_calc!$E$483="","",IF(_calc!$E$483&lt;=500,TRIM(IF(LEN(IF(LEN(INDEX('Dealer pipeline'!$A$4:$A$503,_calc!$E$483))=0,"",INDEX('Dealer pipeline'!$A$4:$A$503,_calc!$E$483)))=0,"","Customer: "&amp;IF(LEN(INDEX('Dealer pipeline'!$A$4:$A$503,_calc!$E$483))=0,"",INDEX('Dealer pipeline'!$A$4:$A$503,_calc!$E$483))&amp;". ")&amp;IF(LEN(IF(LEN(INDEX('Dealer pipeline'!$B$4:$B$503,_calc!$E$483))=0,"",INDEX('Dealer pipeline'!$B$4:$B$503,_calc!$E$483)))=0,"","Contact: "&amp;IF(LEN(INDEX('Dealer pipeline'!$B$4:$B$503,_calc!$E$483))=0,"",INDEX('Dealer pipeline'!$B$4:$B$503,_calc!$E$483))&amp;". ")&amp;IF(LEN(IF(LEN(INDEX('Dealer pipeline'!$D$4:$D$503,_calc!$E$483))=0,"",INDEX('Dealer pipeline'!$D$4:$D$503,_calc!$E$483)))=0,"","Serial: "&amp;IF(LEN(INDEX('Dealer pipeline'!$D$4:$D$503,_calc!$E$483))=0,"",INDEX('Dealer pipeline'!$D$4:$D$503,_calc!$E$483))&amp;". ")&amp;IF(LEN(IF(ISNUMBER(INDEX('Dealer pipeline'!$J$4:$J$503,_calc!$E$483)),TEXT(INDEX('Dealer pipeline'!$J$4:$J$503,_calc!$E$483),"yyyy-mm-dd"),""))=0,"","Parts end: "&amp;IF(ISNUMBER(INDEX('Dealer pipeline'!$J$4:$J$503,_calc!$E$483)),TEXT(INDEX('Dealer pipeline'!$J$4:$J$503,_calc!$E$483),"yyyy-mm-dd"),"")&amp;". ")&amp;IF(LEN(IF(ISNUMBER(INDEX('Dealer pipeline'!$L$4:$L$503,_calc!$E$483)),TEXT(INDEX('Dealer pipeline'!$L$4:$L$503,_calc!$E$483),"yyyy-mm-dd"),""))=0,"","Labor end: "&amp;IF(ISNUMBER(INDEX('Dealer pipeline'!$L$4:$L$503,_calc!$E$483)),TEXT(INDEX('Dealer pipeline'!$L$4:$L$503,_calc!$E$483),"yyyy-mm-dd"),"")&amp;". ")&amp;IF(LEN(IF(LEN(INDEX('Dealer pipeline'!$Q$4:$Q$503,_calc!$E$483))=0,"",INDEX('Dealer pipeline'!$Q$4:$Q$503,_calc!$E$483)))=0,"","Status: "&amp;IF(LEN(INDEX('Dealer pipeline'!$Q$4:$Q$503,_calc!$E$483))=0,"",INDEX('Dealer pipeline'!$Q$4:$Q$503,_calc!$E$483))&amp;". ")&amp;IF(LEN(IF(LEN(INDEX('Dealer pipeline'!$P$4:$P$503,_calc!$E$483))=0,"",INDEX('Dealer pipeline'!$P$4:$P$503,_calc!$E$483)))=0,"","Last touch: "&amp;IF(LEN(INDEX('Dealer pipeline'!$P$4:$P$503,_calc!$E$483))=0,"",INDEX('Dealer pipeline'!$P$4:$P$503,_calc!$E$483))&amp;". ")&amp;IF(LEN(IF(LEN(INDEX('Dealer pipeline'!$R$4:$R$503,_calc!$E$483))=0,"",INDEX('Dealer pipeline'!$R$4:$R$503,_calc!$E$483)))=0,"","Owner: "&amp;IF(LEN(INDEX('Dealer pipeline'!$R$4:$R$503,_calc!$E$483))=0,"",INDEX('Dealer pipeline'!$R$4:$R$503,_calc!$E$483))&amp;". ")&amp;IF(LEN(IF(LEN(INDEX('Dealer pipeline'!$S$4:$S$503,_calc!$E$483))=0,"",INDEX('Dealer pipeline'!$S$4:$S$503,_calc!$E$483)))=0,"","Backup: "&amp;IF(LEN(INDEX('Dealer pipeline'!$S$4:$S$503,_calc!$E$483))=0,"",INDEX('Dealer pipeline'!$S$4:$S$503,_calc!$E$483))&amp;". ")&amp;IF(LEN(IF(LEN(INDEX('Dealer pipeline'!$T$4:$T$503,_calc!$E$483))=0,"",INDEX('Dealer pipeline'!$T$4:$T$503,_calc!$E$483)))=0,"",IF(LEN(INDEX('Dealer pipeline'!$T$4:$T$503,_calc!$E$483))=0,"",INDEX('Dealer pipeline'!$T$4:$T$503,_calc!$E$483)))),TRIM(IF(LEN(IF(LEN(INDEX('My equipment'!$C$4:$C$503,(_calc!$E$483-500)))=0,"",INDEX('My equipment'!$C$4:$C$503,(_calc!$E$483-500))))=0,"","Model: "&amp;IF(LEN(INDEX('My equipment'!$C$4:$C$503,(_calc!$E$483-500)))=0,"",INDEX('My equipment'!$C$4:$C$503,(_calc!$E$483-500)))&amp;". ")&amp;IF(LEN(IF(LEN(INDEX('My equipment'!$D$4:$D$503,(_calc!$E$483-500)))=0,"",INDEX('My equipment'!$D$4:$D$503,(_calc!$E$483-500))))=0,"","Serial: "&amp;IF(LEN(INDEX('My equipment'!$D$4:$D$503,(_calc!$E$483-500)))=0,"",INDEX('My equipment'!$D$4:$D$503,(_calc!$E$483-500)))&amp;". ")&amp;IF(LEN(IF(ISNUMBER(INDEX('My equipment'!$J$4:$J$503,(_calc!$E$483-500))),TEXT(INDEX('My equipment'!$J$4:$J$503,(_calc!$E$483-500)),"yyyy-mm-dd"),""))=0,"","Parts end: "&amp;IF(ISNUMBER(INDEX('My equipment'!$J$4:$J$503,(_calc!$E$483-500))),TEXT(INDEX('My equipment'!$J$4:$J$503,(_calc!$E$483-500)),"yyyy-mm-dd"),"")&amp;". ")&amp;IF(LEN(IF(ISNUMBER(INDEX('My equipment'!$L$4:$L$503,(_calc!$E$483-500))),TEXT(INDEX('My equipment'!$L$4:$L$503,(_calc!$E$483-500)),"yyyy-mm-dd"),""))=0,"","Labor end: "&amp;IF(ISNUMBER(INDEX('My equipment'!$L$4:$L$503,(_calc!$E$483-500))),TEXT(INDEX('My equipment'!$L$4:$L$503,(_calc!$E$483-500)),"yyyy-mm-dd"),"")&amp;". ")&amp;IF(LEN(IF(ISNUMBER(INDEX('My equipment'!$P$4:$P$503,(_calc!$E$483-500))),TEXT(INDEX('My equipment'!$P$4:$P$503,(_calc!$E$483-500)),"yyyy-mm-dd"),""))=0,"","Check by: "&amp;IF(ISNUMBER(INDEX('My equipment'!$P$4:$P$503,(_calc!$E$483-500))),TEXT(INDEX('My equipment'!$P$4:$P$503,(_calc!$E$483-500)),"yyyy-mm-dd"),"")&amp;". ")&amp;IF(LEN(IF(LEN(INDEX('My equipment'!$Q$4:$Q$503,(_calc!$E$483-500)))=0,"",INDEX('My equipment'!$Q$4:$Q$503,(_calc!$E$483-500))))=0,"","Claim status: "&amp;IF(LEN(INDEX('My equipment'!$Q$4:$Q$503,(_calc!$E$483-500)))=0,"",INDEX('My equipment'!$Q$4:$Q$503,(_calc!$E$483-500)))&amp;". ")&amp;IF(LEN(IF(LEN(INDEX('My equipment'!$R$4:$R$503,(_calc!$E$483-500)))=0,"",INDEX('My equipment'!$R$4:$R$503,(_calc!$E$483-500))))=0,"","Claims contact: "&amp;IF(LEN(INDEX('My equipment'!$R$4:$R$503,(_calc!$E$483-500)))=0,"",INDEX('My equipment'!$R$4:$R$503,(_calc!$E$483-500)))&amp;". ")&amp;IF(LEN(IF(LEN(INDEX('My equipment'!$S$4:$S$503,(_calc!$E$483-500)))=0,"",INDEX('My equipment'!$S$4:$S$503,(_calc!$E$483-500))))=0,"","Claims email: "&amp;IF(LEN(INDEX('My equipment'!$S$4:$S$503,(_calc!$E$483-500)))=0,"",INDEX('My equipment'!$S$4:$S$503,(_calc!$E$483-500)))&amp;". ")&amp;IF(LEN(IF(LEN(INDEX('My equipment'!$U$4:$U$503,(_calc!$E$483-500)))=0,"",INDEX('My equipment'!$U$4:$U$503,(_calc!$E$483-500))))=0,"","Registered: "&amp;IF(LEN(INDEX('My equipment'!$U$4:$U$503,(_calc!$E$483-500)))=0,"",INDEX('My equipment'!$U$4:$U$503,(_calc!$E$483-500)))&amp;". ")&amp;IF(LEN(IF(LEN(INDEX('My equipment'!$V$4:$V$503,(_calc!$E$483-500)))=0,"",INDEX('My equipment'!$V$4:$V$503,(_calc!$E$483-500))))=0,"","Proof on file: "&amp;IF(LEN(INDEX('My equipment'!$V$4:$V$503,(_calc!$E$483-500)))=0,"",INDEX('My equipment'!$V$4:$V$503,(_calc!$E$483-500)))&amp;". ")&amp;IF(LEN(IF(LEN(INDEX('My equipment'!$W$4:$W$503,(_calc!$E$483-500)))=0,"",INDEX('My equipment'!$W$4:$W$503,(_calc!$E$483-500))))=0,"","Claim ref: "&amp;IF(LEN(INDEX('My equipment'!$W$4:$W$503,(_calc!$E$483-500)))=0,"",INDEX('My equipment'!$W$4:$W$503,(_calc!$E$483-500)))&amp;". ")&amp;IF(LEN(IF(LEN(INDEX('My equipment'!$Y$4:$Y$503,(_calc!$E$483-500)))=0,"",INDEX('My equipment'!$Y$4:$Y$503,(_calc!$E$483-500))))=0,"",IF(LEN(INDEX('My equipment'!$Y$4:$Y$503,(_calc!$E$483-500)))=0,"",INDEX('My equipment'!$Y$4:$Y$503,(_calc!$E$483-500)))))))</f>
        <v/>
      </c>
      <c r="G481" s="54">
        <f>IF(_calc!$E$483="","",IF(_calc!$E$483&lt;=500,"",IF(LEN(INDEX('My equipment'!$X$4:$X$503,(_calc!$E$483-500)))=0,"",INDEX('My equipment'!$X$4:$X$503,(_calc!$E$483-500)))))</f>
        <v/>
      </c>
      <c r="K481" s="54">
        <f>IF(_calc!$E$483="","",IF(_calc!$E$483&lt;=500,"",IF(LEN(INDEX('My equipment'!$T$4:$T$503,(_calc!$E$483-500)))=0,"",INDEX('My equipment'!$T$4:$T$503,(_calc!$E$483-500)))))</f>
        <v/>
      </c>
    </row>
    <row r="482">
      <c r="A482" s="54">
        <f>IF(_calc!$E$484="","",IF(_calc!$E$484&lt;=500,"Warranty – "&amp;IF(LEN(INDEX('Dealer pipeline'!$C$4:$C$503,_calc!$E$484))=0,"",INDEX('Dealer pipeline'!$C$4:$C$503,_calc!$E$484))&amp;" – "&amp;IF(LEN(INDEX('Dealer pipeline'!$D$4:$D$503,_calc!$E$484))=0,"",INDEX('Dealer pipeline'!$D$4:$D$503,_calc!$E$484))&amp;" – "&amp;IF(LEN(INDEX('Dealer pipeline'!$A$4:$A$503,_calc!$E$484))=0,"",INDEX('Dealer pipeline'!$A$4:$A$503,_calc!$E$484)),"Warranty – "&amp;IF(LEN(INDEX('My equipment'!$A$4:$A$503,(_calc!$E$484-500)))=0,"",INDEX('My equipment'!$A$4:$A$503,(_calc!$E$484-500)))&amp;" – "&amp;IF(LEN(INDEX('My equipment'!$D$4:$D$503,(_calc!$E$484-500)))=0,"",INDEX('My equipment'!$D$4:$D$503,(_calc!$E$484-500)))))</f>
        <v/>
      </c>
      <c r="B482" s="54">
        <f>IF(_calc!$E$484="","",IF(_calc!$E$484&lt;=500,IF(ISNUMBER(INDEX('Dealer pipeline'!$M$4:$M$503,_calc!$E$484)),TEXT(INDEX('Dealer pipeline'!$M$4:$M$503,_calc!$E$484),"yyyy-mm-dd"),""),IF(ISNUMBER(INDEX('My equipment'!$M$4:$M$503,(_calc!$E$484-500))),TEXT(INDEX('My equipment'!$M$4:$M$503,(_calc!$E$484-500)),"yyyy-mm-dd"),"")))</f>
        <v/>
      </c>
      <c r="C482" s="54">
        <f>IF(_calc!$E$484="","",IF(_calc!$E$484&lt;=500,"Warranty","Warranty"))</f>
        <v/>
      </c>
      <c r="D482" s="54">
        <f>IF(_calc!$E$484="","",IF(_calc!$E$484&lt;=500,IF(ISNUMBER(INDEX('Dealer pipeline'!$H$4:$H$503,_calc!$E$484)),TEXT(INDEX('Dealer pipeline'!$H$4:$H$503,_calc!$E$484),"yyyy-mm-dd"),""),IF(ISNUMBER(INDEX('My equipment'!$H$4:$H$503,(_calc!$E$484-500))),TEXT(INDEX('My equipment'!$H$4:$H$503,(_calc!$E$484-500)),"yyyy-mm-dd"),"")))</f>
        <v/>
      </c>
      <c r="F482" s="54">
        <f>IF(_calc!$E$484="","",IF(_calc!$E$484&lt;=500,TRIM(IF(LEN(IF(LEN(INDEX('Dealer pipeline'!$A$4:$A$503,_calc!$E$484))=0,"",INDEX('Dealer pipeline'!$A$4:$A$503,_calc!$E$484)))=0,"","Customer: "&amp;IF(LEN(INDEX('Dealer pipeline'!$A$4:$A$503,_calc!$E$484))=0,"",INDEX('Dealer pipeline'!$A$4:$A$503,_calc!$E$484))&amp;". ")&amp;IF(LEN(IF(LEN(INDEX('Dealer pipeline'!$B$4:$B$503,_calc!$E$484))=0,"",INDEX('Dealer pipeline'!$B$4:$B$503,_calc!$E$484)))=0,"","Contact: "&amp;IF(LEN(INDEX('Dealer pipeline'!$B$4:$B$503,_calc!$E$484))=0,"",INDEX('Dealer pipeline'!$B$4:$B$503,_calc!$E$484))&amp;". ")&amp;IF(LEN(IF(LEN(INDEX('Dealer pipeline'!$D$4:$D$503,_calc!$E$484))=0,"",INDEX('Dealer pipeline'!$D$4:$D$503,_calc!$E$484)))=0,"","Serial: "&amp;IF(LEN(INDEX('Dealer pipeline'!$D$4:$D$503,_calc!$E$484))=0,"",INDEX('Dealer pipeline'!$D$4:$D$503,_calc!$E$484))&amp;". ")&amp;IF(LEN(IF(ISNUMBER(INDEX('Dealer pipeline'!$J$4:$J$503,_calc!$E$484)),TEXT(INDEX('Dealer pipeline'!$J$4:$J$503,_calc!$E$484),"yyyy-mm-dd"),""))=0,"","Parts end: "&amp;IF(ISNUMBER(INDEX('Dealer pipeline'!$J$4:$J$503,_calc!$E$484)),TEXT(INDEX('Dealer pipeline'!$J$4:$J$503,_calc!$E$484),"yyyy-mm-dd"),"")&amp;". ")&amp;IF(LEN(IF(ISNUMBER(INDEX('Dealer pipeline'!$L$4:$L$503,_calc!$E$484)),TEXT(INDEX('Dealer pipeline'!$L$4:$L$503,_calc!$E$484),"yyyy-mm-dd"),""))=0,"","Labor end: "&amp;IF(ISNUMBER(INDEX('Dealer pipeline'!$L$4:$L$503,_calc!$E$484)),TEXT(INDEX('Dealer pipeline'!$L$4:$L$503,_calc!$E$484),"yyyy-mm-dd"),"")&amp;". ")&amp;IF(LEN(IF(LEN(INDEX('Dealer pipeline'!$Q$4:$Q$503,_calc!$E$484))=0,"",INDEX('Dealer pipeline'!$Q$4:$Q$503,_calc!$E$484)))=0,"","Status: "&amp;IF(LEN(INDEX('Dealer pipeline'!$Q$4:$Q$503,_calc!$E$484))=0,"",INDEX('Dealer pipeline'!$Q$4:$Q$503,_calc!$E$484))&amp;". ")&amp;IF(LEN(IF(LEN(INDEX('Dealer pipeline'!$P$4:$P$503,_calc!$E$484))=0,"",INDEX('Dealer pipeline'!$P$4:$P$503,_calc!$E$484)))=0,"","Last touch: "&amp;IF(LEN(INDEX('Dealer pipeline'!$P$4:$P$503,_calc!$E$484))=0,"",INDEX('Dealer pipeline'!$P$4:$P$503,_calc!$E$484))&amp;". ")&amp;IF(LEN(IF(LEN(INDEX('Dealer pipeline'!$R$4:$R$503,_calc!$E$484))=0,"",INDEX('Dealer pipeline'!$R$4:$R$503,_calc!$E$484)))=0,"","Owner: "&amp;IF(LEN(INDEX('Dealer pipeline'!$R$4:$R$503,_calc!$E$484))=0,"",INDEX('Dealer pipeline'!$R$4:$R$503,_calc!$E$484))&amp;". ")&amp;IF(LEN(IF(LEN(INDEX('Dealer pipeline'!$S$4:$S$503,_calc!$E$484))=0,"",INDEX('Dealer pipeline'!$S$4:$S$503,_calc!$E$484)))=0,"","Backup: "&amp;IF(LEN(INDEX('Dealer pipeline'!$S$4:$S$503,_calc!$E$484))=0,"",INDEX('Dealer pipeline'!$S$4:$S$503,_calc!$E$484))&amp;". ")&amp;IF(LEN(IF(LEN(INDEX('Dealer pipeline'!$T$4:$T$503,_calc!$E$484))=0,"",INDEX('Dealer pipeline'!$T$4:$T$503,_calc!$E$484)))=0,"",IF(LEN(INDEX('Dealer pipeline'!$T$4:$T$503,_calc!$E$484))=0,"",INDEX('Dealer pipeline'!$T$4:$T$503,_calc!$E$484)))),TRIM(IF(LEN(IF(LEN(INDEX('My equipment'!$C$4:$C$503,(_calc!$E$484-500)))=0,"",INDEX('My equipment'!$C$4:$C$503,(_calc!$E$484-500))))=0,"","Model: "&amp;IF(LEN(INDEX('My equipment'!$C$4:$C$503,(_calc!$E$484-500)))=0,"",INDEX('My equipment'!$C$4:$C$503,(_calc!$E$484-500)))&amp;". ")&amp;IF(LEN(IF(LEN(INDEX('My equipment'!$D$4:$D$503,(_calc!$E$484-500)))=0,"",INDEX('My equipment'!$D$4:$D$503,(_calc!$E$484-500))))=0,"","Serial: "&amp;IF(LEN(INDEX('My equipment'!$D$4:$D$503,(_calc!$E$484-500)))=0,"",INDEX('My equipment'!$D$4:$D$503,(_calc!$E$484-500)))&amp;". ")&amp;IF(LEN(IF(ISNUMBER(INDEX('My equipment'!$J$4:$J$503,(_calc!$E$484-500))),TEXT(INDEX('My equipment'!$J$4:$J$503,(_calc!$E$484-500)),"yyyy-mm-dd"),""))=0,"","Parts end: "&amp;IF(ISNUMBER(INDEX('My equipment'!$J$4:$J$503,(_calc!$E$484-500))),TEXT(INDEX('My equipment'!$J$4:$J$503,(_calc!$E$484-500)),"yyyy-mm-dd"),"")&amp;". ")&amp;IF(LEN(IF(ISNUMBER(INDEX('My equipment'!$L$4:$L$503,(_calc!$E$484-500))),TEXT(INDEX('My equipment'!$L$4:$L$503,(_calc!$E$484-500)),"yyyy-mm-dd"),""))=0,"","Labor end: "&amp;IF(ISNUMBER(INDEX('My equipment'!$L$4:$L$503,(_calc!$E$484-500))),TEXT(INDEX('My equipment'!$L$4:$L$503,(_calc!$E$484-500)),"yyyy-mm-dd"),"")&amp;". ")&amp;IF(LEN(IF(ISNUMBER(INDEX('My equipment'!$P$4:$P$503,(_calc!$E$484-500))),TEXT(INDEX('My equipment'!$P$4:$P$503,(_calc!$E$484-500)),"yyyy-mm-dd"),""))=0,"","Check by: "&amp;IF(ISNUMBER(INDEX('My equipment'!$P$4:$P$503,(_calc!$E$484-500))),TEXT(INDEX('My equipment'!$P$4:$P$503,(_calc!$E$484-500)),"yyyy-mm-dd"),"")&amp;". ")&amp;IF(LEN(IF(LEN(INDEX('My equipment'!$Q$4:$Q$503,(_calc!$E$484-500)))=0,"",INDEX('My equipment'!$Q$4:$Q$503,(_calc!$E$484-500))))=0,"","Claim status: "&amp;IF(LEN(INDEX('My equipment'!$Q$4:$Q$503,(_calc!$E$484-500)))=0,"",INDEX('My equipment'!$Q$4:$Q$503,(_calc!$E$484-500)))&amp;". ")&amp;IF(LEN(IF(LEN(INDEX('My equipment'!$R$4:$R$503,(_calc!$E$484-500)))=0,"",INDEX('My equipment'!$R$4:$R$503,(_calc!$E$484-500))))=0,"","Claims contact: "&amp;IF(LEN(INDEX('My equipment'!$R$4:$R$503,(_calc!$E$484-500)))=0,"",INDEX('My equipment'!$R$4:$R$503,(_calc!$E$484-500)))&amp;". ")&amp;IF(LEN(IF(LEN(INDEX('My equipment'!$S$4:$S$503,(_calc!$E$484-500)))=0,"",INDEX('My equipment'!$S$4:$S$503,(_calc!$E$484-500))))=0,"","Claims email: "&amp;IF(LEN(INDEX('My equipment'!$S$4:$S$503,(_calc!$E$484-500)))=0,"",INDEX('My equipment'!$S$4:$S$503,(_calc!$E$484-500)))&amp;". ")&amp;IF(LEN(IF(LEN(INDEX('My equipment'!$U$4:$U$503,(_calc!$E$484-500)))=0,"",INDEX('My equipment'!$U$4:$U$503,(_calc!$E$484-500))))=0,"","Registered: "&amp;IF(LEN(INDEX('My equipment'!$U$4:$U$503,(_calc!$E$484-500)))=0,"",INDEX('My equipment'!$U$4:$U$503,(_calc!$E$484-500)))&amp;". ")&amp;IF(LEN(IF(LEN(INDEX('My equipment'!$V$4:$V$503,(_calc!$E$484-500)))=0,"",INDEX('My equipment'!$V$4:$V$503,(_calc!$E$484-500))))=0,"","Proof on file: "&amp;IF(LEN(INDEX('My equipment'!$V$4:$V$503,(_calc!$E$484-500)))=0,"",INDEX('My equipment'!$V$4:$V$503,(_calc!$E$484-500)))&amp;". ")&amp;IF(LEN(IF(LEN(INDEX('My equipment'!$W$4:$W$503,(_calc!$E$484-500)))=0,"",INDEX('My equipment'!$W$4:$W$503,(_calc!$E$484-500))))=0,"","Claim ref: "&amp;IF(LEN(INDEX('My equipment'!$W$4:$W$503,(_calc!$E$484-500)))=0,"",INDEX('My equipment'!$W$4:$W$503,(_calc!$E$484-500)))&amp;". ")&amp;IF(LEN(IF(LEN(INDEX('My equipment'!$Y$4:$Y$503,(_calc!$E$484-500)))=0,"",INDEX('My equipment'!$Y$4:$Y$503,(_calc!$E$484-500))))=0,"",IF(LEN(INDEX('My equipment'!$Y$4:$Y$503,(_calc!$E$484-500)))=0,"",INDEX('My equipment'!$Y$4:$Y$503,(_calc!$E$484-500)))))))</f>
        <v/>
      </c>
      <c r="G482" s="54">
        <f>IF(_calc!$E$484="","",IF(_calc!$E$484&lt;=500,"",IF(LEN(INDEX('My equipment'!$X$4:$X$503,(_calc!$E$484-500)))=0,"",INDEX('My equipment'!$X$4:$X$503,(_calc!$E$484-500)))))</f>
        <v/>
      </c>
      <c r="K482" s="54">
        <f>IF(_calc!$E$484="","",IF(_calc!$E$484&lt;=500,"",IF(LEN(INDEX('My equipment'!$T$4:$T$503,(_calc!$E$484-500)))=0,"",INDEX('My equipment'!$T$4:$T$503,(_calc!$E$484-500)))))</f>
        <v/>
      </c>
    </row>
    <row r="483">
      <c r="A483" s="54">
        <f>IF(_calc!$E$485="","",IF(_calc!$E$485&lt;=500,"Warranty – "&amp;IF(LEN(INDEX('Dealer pipeline'!$C$4:$C$503,_calc!$E$485))=0,"",INDEX('Dealer pipeline'!$C$4:$C$503,_calc!$E$485))&amp;" – "&amp;IF(LEN(INDEX('Dealer pipeline'!$D$4:$D$503,_calc!$E$485))=0,"",INDEX('Dealer pipeline'!$D$4:$D$503,_calc!$E$485))&amp;" – "&amp;IF(LEN(INDEX('Dealer pipeline'!$A$4:$A$503,_calc!$E$485))=0,"",INDEX('Dealer pipeline'!$A$4:$A$503,_calc!$E$485)),"Warranty – "&amp;IF(LEN(INDEX('My equipment'!$A$4:$A$503,(_calc!$E$485-500)))=0,"",INDEX('My equipment'!$A$4:$A$503,(_calc!$E$485-500)))&amp;" – "&amp;IF(LEN(INDEX('My equipment'!$D$4:$D$503,(_calc!$E$485-500)))=0,"",INDEX('My equipment'!$D$4:$D$503,(_calc!$E$485-500)))))</f>
        <v/>
      </c>
      <c r="B483" s="54">
        <f>IF(_calc!$E$485="","",IF(_calc!$E$485&lt;=500,IF(ISNUMBER(INDEX('Dealer pipeline'!$M$4:$M$503,_calc!$E$485)),TEXT(INDEX('Dealer pipeline'!$M$4:$M$503,_calc!$E$485),"yyyy-mm-dd"),""),IF(ISNUMBER(INDEX('My equipment'!$M$4:$M$503,(_calc!$E$485-500))),TEXT(INDEX('My equipment'!$M$4:$M$503,(_calc!$E$485-500)),"yyyy-mm-dd"),"")))</f>
        <v/>
      </c>
      <c r="C483" s="54">
        <f>IF(_calc!$E$485="","",IF(_calc!$E$485&lt;=500,"Warranty","Warranty"))</f>
        <v/>
      </c>
      <c r="D483" s="54">
        <f>IF(_calc!$E$485="","",IF(_calc!$E$485&lt;=500,IF(ISNUMBER(INDEX('Dealer pipeline'!$H$4:$H$503,_calc!$E$485)),TEXT(INDEX('Dealer pipeline'!$H$4:$H$503,_calc!$E$485),"yyyy-mm-dd"),""),IF(ISNUMBER(INDEX('My equipment'!$H$4:$H$503,(_calc!$E$485-500))),TEXT(INDEX('My equipment'!$H$4:$H$503,(_calc!$E$485-500)),"yyyy-mm-dd"),"")))</f>
        <v/>
      </c>
      <c r="F483" s="54">
        <f>IF(_calc!$E$485="","",IF(_calc!$E$485&lt;=500,TRIM(IF(LEN(IF(LEN(INDEX('Dealer pipeline'!$A$4:$A$503,_calc!$E$485))=0,"",INDEX('Dealer pipeline'!$A$4:$A$503,_calc!$E$485)))=0,"","Customer: "&amp;IF(LEN(INDEX('Dealer pipeline'!$A$4:$A$503,_calc!$E$485))=0,"",INDEX('Dealer pipeline'!$A$4:$A$503,_calc!$E$485))&amp;". ")&amp;IF(LEN(IF(LEN(INDEX('Dealer pipeline'!$B$4:$B$503,_calc!$E$485))=0,"",INDEX('Dealer pipeline'!$B$4:$B$503,_calc!$E$485)))=0,"","Contact: "&amp;IF(LEN(INDEX('Dealer pipeline'!$B$4:$B$503,_calc!$E$485))=0,"",INDEX('Dealer pipeline'!$B$4:$B$503,_calc!$E$485))&amp;". ")&amp;IF(LEN(IF(LEN(INDEX('Dealer pipeline'!$D$4:$D$503,_calc!$E$485))=0,"",INDEX('Dealer pipeline'!$D$4:$D$503,_calc!$E$485)))=0,"","Serial: "&amp;IF(LEN(INDEX('Dealer pipeline'!$D$4:$D$503,_calc!$E$485))=0,"",INDEX('Dealer pipeline'!$D$4:$D$503,_calc!$E$485))&amp;". ")&amp;IF(LEN(IF(ISNUMBER(INDEX('Dealer pipeline'!$J$4:$J$503,_calc!$E$485)),TEXT(INDEX('Dealer pipeline'!$J$4:$J$503,_calc!$E$485),"yyyy-mm-dd"),""))=0,"","Parts end: "&amp;IF(ISNUMBER(INDEX('Dealer pipeline'!$J$4:$J$503,_calc!$E$485)),TEXT(INDEX('Dealer pipeline'!$J$4:$J$503,_calc!$E$485),"yyyy-mm-dd"),"")&amp;". ")&amp;IF(LEN(IF(ISNUMBER(INDEX('Dealer pipeline'!$L$4:$L$503,_calc!$E$485)),TEXT(INDEX('Dealer pipeline'!$L$4:$L$503,_calc!$E$485),"yyyy-mm-dd"),""))=0,"","Labor end: "&amp;IF(ISNUMBER(INDEX('Dealer pipeline'!$L$4:$L$503,_calc!$E$485)),TEXT(INDEX('Dealer pipeline'!$L$4:$L$503,_calc!$E$485),"yyyy-mm-dd"),"")&amp;". ")&amp;IF(LEN(IF(LEN(INDEX('Dealer pipeline'!$Q$4:$Q$503,_calc!$E$485))=0,"",INDEX('Dealer pipeline'!$Q$4:$Q$503,_calc!$E$485)))=0,"","Status: "&amp;IF(LEN(INDEX('Dealer pipeline'!$Q$4:$Q$503,_calc!$E$485))=0,"",INDEX('Dealer pipeline'!$Q$4:$Q$503,_calc!$E$485))&amp;". ")&amp;IF(LEN(IF(LEN(INDEX('Dealer pipeline'!$P$4:$P$503,_calc!$E$485))=0,"",INDEX('Dealer pipeline'!$P$4:$P$503,_calc!$E$485)))=0,"","Last touch: "&amp;IF(LEN(INDEX('Dealer pipeline'!$P$4:$P$503,_calc!$E$485))=0,"",INDEX('Dealer pipeline'!$P$4:$P$503,_calc!$E$485))&amp;". ")&amp;IF(LEN(IF(LEN(INDEX('Dealer pipeline'!$R$4:$R$503,_calc!$E$485))=0,"",INDEX('Dealer pipeline'!$R$4:$R$503,_calc!$E$485)))=0,"","Owner: "&amp;IF(LEN(INDEX('Dealer pipeline'!$R$4:$R$503,_calc!$E$485))=0,"",INDEX('Dealer pipeline'!$R$4:$R$503,_calc!$E$485))&amp;". ")&amp;IF(LEN(IF(LEN(INDEX('Dealer pipeline'!$S$4:$S$503,_calc!$E$485))=0,"",INDEX('Dealer pipeline'!$S$4:$S$503,_calc!$E$485)))=0,"","Backup: "&amp;IF(LEN(INDEX('Dealer pipeline'!$S$4:$S$503,_calc!$E$485))=0,"",INDEX('Dealer pipeline'!$S$4:$S$503,_calc!$E$485))&amp;". ")&amp;IF(LEN(IF(LEN(INDEX('Dealer pipeline'!$T$4:$T$503,_calc!$E$485))=0,"",INDEX('Dealer pipeline'!$T$4:$T$503,_calc!$E$485)))=0,"",IF(LEN(INDEX('Dealer pipeline'!$T$4:$T$503,_calc!$E$485))=0,"",INDEX('Dealer pipeline'!$T$4:$T$503,_calc!$E$485)))),TRIM(IF(LEN(IF(LEN(INDEX('My equipment'!$C$4:$C$503,(_calc!$E$485-500)))=0,"",INDEX('My equipment'!$C$4:$C$503,(_calc!$E$485-500))))=0,"","Model: "&amp;IF(LEN(INDEX('My equipment'!$C$4:$C$503,(_calc!$E$485-500)))=0,"",INDEX('My equipment'!$C$4:$C$503,(_calc!$E$485-500)))&amp;". ")&amp;IF(LEN(IF(LEN(INDEX('My equipment'!$D$4:$D$503,(_calc!$E$485-500)))=0,"",INDEX('My equipment'!$D$4:$D$503,(_calc!$E$485-500))))=0,"","Serial: "&amp;IF(LEN(INDEX('My equipment'!$D$4:$D$503,(_calc!$E$485-500)))=0,"",INDEX('My equipment'!$D$4:$D$503,(_calc!$E$485-500)))&amp;". ")&amp;IF(LEN(IF(ISNUMBER(INDEX('My equipment'!$J$4:$J$503,(_calc!$E$485-500))),TEXT(INDEX('My equipment'!$J$4:$J$503,(_calc!$E$485-500)),"yyyy-mm-dd"),""))=0,"","Parts end: "&amp;IF(ISNUMBER(INDEX('My equipment'!$J$4:$J$503,(_calc!$E$485-500))),TEXT(INDEX('My equipment'!$J$4:$J$503,(_calc!$E$485-500)),"yyyy-mm-dd"),"")&amp;". ")&amp;IF(LEN(IF(ISNUMBER(INDEX('My equipment'!$L$4:$L$503,(_calc!$E$485-500))),TEXT(INDEX('My equipment'!$L$4:$L$503,(_calc!$E$485-500)),"yyyy-mm-dd"),""))=0,"","Labor end: "&amp;IF(ISNUMBER(INDEX('My equipment'!$L$4:$L$503,(_calc!$E$485-500))),TEXT(INDEX('My equipment'!$L$4:$L$503,(_calc!$E$485-500)),"yyyy-mm-dd"),"")&amp;". ")&amp;IF(LEN(IF(ISNUMBER(INDEX('My equipment'!$P$4:$P$503,(_calc!$E$485-500))),TEXT(INDEX('My equipment'!$P$4:$P$503,(_calc!$E$485-500)),"yyyy-mm-dd"),""))=0,"","Check by: "&amp;IF(ISNUMBER(INDEX('My equipment'!$P$4:$P$503,(_calc!$E$485-500))),TEXT(INDEX('My equipment'!$P$4:$P$503,(_calc!$E$485-500)),"yyyy-mm-dd"),"")&amp;". ")&amp;IF(LEN(IF(LEN(INDEX('My equipment'!$Q$4:$Q$503,(_calc!$E$485-500)))=0,"",INDEX('My equipment'!$Q$4:$Q$503,(_calc!$E$485-500))))=0,"","Claim status: "&amp;IF(LEN(INDEX('My equipment'!$Q$4:$Q$503,(_calc!$E$485-500)))=0,"",INDEX('My equipment'!$Q$4:$Q$503,(_calc!$E$485-500)))&amp;". ")&amp;IF(LEN(IF(LEN(INDEX('My equipment'!$R$4:$R$503,(_calc!$E$485-500)))=0,"",INDEX('My equipment'!$R$4:$R$503,(_calc!$E$485-500))))=0,"","Claims contact: "&amp;IF(LEN(INDEX('My equipment'!$R$4:$R$503,(_calc!$E$485-500)))=0,"",INDEX('My equipment'!$R$4:$R$503,(_calc!$E$485-500)))&amp;". ")&amp;IF(LEN(IF(LEN(INDEX('My equipment'!$S$4:$S$503,(_calc!$E$485-500)))=0,"",INDEX('My equipment'!$S$4:$S$503,(_calc!$E$485-500))))=0,"","Claims email: "&amp;IF(LEN(INDEX('My equipment'!$S$4:$S$503,(_calc!$E$485-500)))=0,"",INDEX('My equipment'!$S$4:$S$503,(_calc!$E$485-500)))&amp;". ")&amp;IF(LEN(IF(LEN(INDEX('My equipment'!$U$4:$U$503,(_calc!$E$485-500)))=0,"",INDEX('My equipment'!$U$4:$U$503,(_calc!$E$485-500))))=0,"","Registered: "&amp;IF(LEN(INDEX('My equipment'!$U$4:$U$503,(_calc!$E$485-500)))=0,"",INDEX('My equipment'!$U$4:$U$503,(_calc!$E$485-500)))&amp;". ")&amp;IF(LEN(IF(LEN(INDEX('My equipment'!$V$4:$V$503,(_calc!$E$485-500)))=0,"",INDEX('My equipment'!$V$4:$V$503,(_calc!$E$485-500))))=0,"","Proof on file: "&amp;IF(LEN(INDEX('My equipment'!$V$4:$V$503,(_calc!$E$485-500)))=0,"",INDEX('My equipment'!$V$4:$V$503,(_calc!$E$485-500)))&amp;". ")&amp;IF(LEN(IF(LEN(INDEX('My equipment'!$W$4:$W$503,(_calc!$E$485-500)))=0,"",INDEX('My equipment'!$W$4:$W$503,(_calc!$E$485-500))))=0,"","Claim ref: "&amp;IF(LEN(INDEX('My equipment'!$W$4:$W$503,(_calc!$E$485-500)))=0,"",INDEX('My equipment'!$W$4:$W$503,(_calc!$E$485-500)))&amp;". ")&amp;IF(LEN(IF(LEN(INDEX('My equipment'!$Y$4:$Y$503,(_calc!$E$485-500)))=0,"",INDEX('My equipment'!$Y$4:$Y$503,(_calc!$E$485-500))))=0,"",IF(LEN(INDEX('My equipment'!$Y$4:$Y$503,(_calc!$E$485-500)))=0,"",INDEX('My equipment'!$Y$4:$Y$503,(_calc!$E$485-500)))))))</f>
        <v/>
      </c>
      <c r="G483" s="54">
        <f>IF(_calc!$E$485="","",IF(_calc!$E$485&lt;=500,"",IF(LEN(INDEX('My equipment'!$X$4:$X$503,(_calc!$E$485-500)))=0,"",INDEX('My equipment'!$X$4:$X$503,(_calc!$E$485-500)))))</f>
        <v/>
      </c>
      <c r="K483" s="54">
        <f>IF(_calc!$E$485="","",IF(_calc!$E$485&lt;=500,"",IF(LEN(INDEX('My equipment'!$T$4:$T$503,(_calc!$E$485-500)))=0,"",INDEX('My equipment'!$T$4:$T$503,(_calc!$E$485-500)))))</f>
        <v/>
      </c>
    </row>
    <row r="484">
      <c r="A484" s="54">
        <f>IF(_calc!$E$486="","",IF(_calc!$E$486&lt;=500,"Warranty – "&amp;IF(LEN(INDEX('Dealer pipeline'!$C$4:$C$503,_calc!$E$486))=0,"",INDEX('Dealer pipeline'!$C$4:$C$503,_calc!$E$486))&amp;" – "&amp;IF(LEN(INDEX('Dealer pipeline'!$D$4:$D$503,_calc!$E$486))=0,"",INDEX('Dealer pipeline'!$D$4:$D$503,_calc!$E$486))&amp;" – "&amp;IF(LEN(INDEX('Dealer pipeline'!$A$4:$A$503,_calc!$E$486))=0,"",INDEX('Dealer pipeline'!$A$4:$A$503,_calc!$E$486)),"Warranty – "&amp;IF(LEN(INDEX('My equipment'!$A$4:$A$503,(_calc!$E$486-500)))=0,"",INDEX('My equipment'!$A$4:$A$503,(_calc!$E$486-500)))&amp;" – "&amp;IF(LEN(INDEX('My equipment'!$D$4:$D$503,(_calc!$E$486-500)))=0,"",INDEX('My equipment'!$D$4:$D$503,(_calc!$E$486-500)))))</f>
        <v/>
      </c>
      <c r="B484" s="54">
        <f>IF(_calc!$E$486="","",IF(_calc!$E$486&lt;=500,IF(ISNUMBER(INDEX('Dealer pipeline'!$M$4:$M$503,_calc!$E$486)),TEXT(INDEX('Dealer pipeline'!$M$4:$M$503,_calc!$E$486),"yyyy-mm-dd"),""),IF(ISNUMBER(INDEX('My equipment'!$M$4:$M$503,(_calc!$E$486-500))),TEXT(INDEX('My equipment'!$M$4:$M$503,(_calc!$E$486-500)),"yyyy-mm-dd"),"")))</f>
        <v/>
      </c>
      <c r="C484" s="54">
        <f>IF(_calc!$E$486="","",IF(_calc!$E$486&lt;=500,"Warranty","Warranty"))</f>
        <v/>
      </c>
      <c r="D484" s="54">
        <f>IF(_calc!$E$486="","",IF(_calc!$E$486&lt;=500,IF(ISNUMBER(INDEX('Dealer pipeline'!$H$4:$H$503,_calc!$E$486)),TEXT(INDEX('Dealer pipeline'!$H$4:$H$503,_calc!$E$486),"yyyy-mm-dd"),""),IF(ISNUMBER(INDEX('My equipment'!$H$4:$H$503,(_calc!$E$486-500))),TEXT(INDEX('My equipment'!$H$4:$H$503,(_calc!$E$486-500)),"yyyy-mm-dd"),"")))</f>
        <v/>
      </c>
      <c r="F484" s="54">
        <f>IF(_calc!$E$486="","",IF(_calc!$E$486&lt;=500,TRIM(IF(LEN(IF(LEN(INDEX('Dealer pipeline'!$A$4:$A$503,_calc!$E$486))=0,"",INDEX('Dealer pipeline'!$A$4:$A$503,_calc!$E$486)))=0,"","Customer: "&amp;IF(LEN(INDEX('Dealer pipeline'!$A$4:$A$503,_calc!$E$486))=0,"",INDEX('Dealer pipeline'!$A$4:$A$503,_calc!$E$486))&amp;". ")&amp;IF(LEN(IF(LEN(INDEX('Dealer pipeline'!$B$4:$B$503,_calc!$E$486))=0,"",INDEX('Dealer pipeline'!$B$4:$B$503,_calc!$E$486)))=0,"","Contact: "&amp;IF(LEN(INDEX('Dealer pipeline'!$B$4:$B$503,_calc!$E$486))=0,"",INDEX('Dealer pipeline'!$B$4:$B$503,_calc!$E$486))&amp;". ")&amp;IF(LEN(IF(LEN(INDEX('Dealer pipeline'!$D$4:$D$503,_calc!$E$486))=0,"",INDEX('Dealer pipeline'!$D$4:$D$503,_calc!$E$486)))=0,"","Serial: "&amp;IF(LEN(INDEX('Dealer pipeline'!$D$4:$D$503,_calc!$E$486))=0,"",INDEX('Dealer pipeline'!$D$4:$D$503,_calc!$E$486))&amp;". ")&amp;IF(LEN(IF(ISNUMBER(INDEX('Dealer pipeline'!$J$4:$J$503,_calc!$E$486)),TEXT(INDEX('Dealer pipeline'!$J$4:$J$503,_calc!$E$486),"yyyy-mm-dd"),""))=0,"","Parts end: "&amp;IF(ISNUMBER(INDEX('Dealer pipeline'!$J$4:$J$503,_calc!$E$486)),TEXT(INDEX('Dealer pipeline'!$J$4:$J$503,_calc!$E$486),"yyyy-mm-dd"),"")&amp;". ")&amp;IF(LEN(IF(ISNUMBER(INDEX('Dealer pipeline'!$L$4:$L$503,_calc!$E$486)),TEXT(INDEX('Dealer pipeline'!$L$4:$L$503,_calc!$E$486),"yyyy-mm-dd"),""))=0,"","Labor end: "&amp;IF(ISNUMBER(INDEX('Dealer pipeline'!$L$4:$L$503,_calc!$E$486)),TEXT(INDEX('Dealer pipeline'!$L$4:$L$503,_calc!$E$486),"yyyy-mm-dd"),"")&amp;". ")&amp;IF(LEN(IF(LEN(INDEX('Dealer pipeline'!$Q$4:$Q$503,_calc!$E$486))=0,"",INDEX('Dealer pipeline'!$Q$4:$Q$503,_calc!$E$486)))=0,"","Status: "&amp;IF(LEN(INDEX('Dealer pipeline'!$Q$4:$Q$503,_calc!$E$486))=0,"",INDEX('Dealer pipeline'!$Q$4:$Q$503,_calc!$E$486))&amp;". ")&amp;IF(LEN(IF(LEN(INDEX('Dealer pipeline'!$P$4:$P$503,_calc!$E$486))=0,"",INDEX('Dealer pipeline'!$P$4:$P$503,_calc!$E$486)))=0,"","Last touch: "&amp;IF(LEN(INDEX('Dealer pipeline'!$P$4:$P$503,_calc!$E$486))=0,"",INDEX('Dealer pipeline'!$P$4:$P$503,_calc!$E$486))&amp;". ")&amp;IF(LEN(IF(LEN(INDEX('Dealer pipeline'!$R$4:$R$503,_calc!$E$486))=0,"",INDEX('Dealer pipeline'!$R$4:$R$503,_calc!$E$486)))=0,"","Owner: "&amp;IF(LEN(INDEX('Dealer pipeline'!$R$4:$R$503,_calc!$E$486))=0,"",INDEX('Dealer pipeline'!$R$4:$R$503,_calc!$E$486))&amp;". ")&amp;IF(LEN(IF(LEN(INDEX('Dealer pipeline'!$S$4:$S$503,_calc!$E$486))=0,"",INDEX('Dealer pipeline'!$S$4:$S$503,_calc!$E$486)))=0,"","Backup: "&amp;IF(LEN(INDEX('Dealer pipeline'!$S$4:$S$503,_calc!$E$486))=0,"",INDEX('Dealer pipeline'!$S$4:$S$503,_calc!$E$486))&amp;". ")&amp;IF(LEN(IF(LEN(INDEX('Dealer pipeline'!$T$4:$T$503,_calc!$E$486))=0,"",INDEX('Dealer pipeline'!$T$4:$T$503,_calc!$E$486)))=0,"",IF(LEN(INDEX('Dealer pipeline'!$T$4:$T$503,_calc!$E$486))=0,"",INDEX('Dealer pipeline'!$T$4:$T$503,_calc!$E$486)))),TRIM(IF(LEN(IF(LEN(INDEX('My equipment'!$C$4:$C$503,(_calc!$E$486-500)))=0,"",INDEX('My equipment'!$C$4:$C$503,(_calc!$E$486-500))))=0,"","Model: "&amp;IF(LEN(INDEX('My equipment'!$C$4:$C$503,(_calc!$E$486-500)))=0,"",INDEX('My equipment'!$C$4:$C$503,(_calc!$E$486-500)))&amp;". ")&amp;IF(LEN(IF(LEN(INDEX('My equipment'!$D$4:$D$503,(_calc!$E$486-500)))=0,"",INDEX('My equipment'!$D$4:$D$503,(_calc!$E$486-500))))=0,"","Serial: "&amp;IF(LEN(INDEX('My equipment'!$D$4:$D$503,(_calc!$E$486-500)))=0,"",INDEX('My equipment'!$D$4:$D$503,(_calc!$E$486-500)))&amp;". ")&amp;IF(LEN(IF(ISNUMBER(INDEX('My equipment'!$J$4:$J$503,(_calc!$E$486-500))),TEXT(INDEX('My equipment'!$J$4:$J$503,(_calc!$E$486-500)),"yyyy-mm-dd"),""))=0,"","Parts end: "&amp;IF(ISNUMBER(INDEX('My equipment'!$J$4:$J$503,(_calc!$E$486-500))),TEXT(INDEX('My equipment'!$J$4:$J$503,(_calc!$E$486-500)),"yyyy-mm-dd"),"")&amp;". ")&amp;IF(LEN(IF(ISNUMBER(INDEX('My equipment'!$L$4:$L$503,(_calc!$E$486-500))),TEXT(INDEX('My equipment'!$L$4:$L$503,(_calc!$E$486-500)),"yyyy-mm-dd"),""))=0,"","Labor end: "&amp;IF(ISNUMBER(INDEX('My equipment'!$L$4:$L$503,(_calc!$E$486-500))),TEXT(INDEX('My equipment'!$L$4:$L$503,(_calc!$E$486-500)),"yyyy-mm-dd"),"")&amp;". ")&amp;IF(LEN(IF(ISNUMBER(INDEX('My equipment'!$P$4:$P$503,(_calc!$E$486-500))),TEXT(INDEX('My equipment'!$P$4:$P$503,(_calc!$E$486-500)),"yyyy-mm-dd"),""))=0,"","Check by: "&amp;IF(ISNUMBER(INDEX('My equipment'!$P$4:$P$503,(_calc!$E$486-500))),TEXT(INDEX('My equipment'!$P$4:$P$503,(_calc!$E$486-500)),"yyyy-mm-dd"),"")&amp;". ")&amp;IF(LEN(IF(LEN(INDEX('My equipment'!$Q$4:$Q$503,(_calc!$E$486-500)))=0,"",INDEX('My equipment'!$Q$4:$Q$503,(_calc!$E$486-500))))=0,"","Claim status: "&amp;IF(LEN(INDEX('My equipment'!$Q$4:$Q$503,(_calc!$E$486-500)))=0,"",INDEX('My equipment'!$Q$4:$Q$503,(_calc!$E$486-500)))&amp;". ")&amp;IF(LEN(IF(LEN(INDEX('My equipment'!$R$4:$R$503,(_calc!$E$486-500)))=0,"",INDEX('My equipment'!$R$4:$R$503,(_calc!$E$486-500))))=0,"","Claims contact: "&amp;IF(LEN(INDEX('My equipment'!$R$4:$R$503,(_calc!$E$486-500)))=0,"",INDEX('My equipment'!$R$4:$R$503,(_calc!$E$486-500)))&amp;". ")&amp;IF(LEN(IF(LEN(INDEX('My equipment'!$S$4:$S$503,(_calc!$E$486-500)))=0,"",INDEX('My equipment'!$S$4:$S$503,(_calc!$E$486-500))))=0,"","Claims email: "&amp;IF(LEN(INDEX('My equipment'!$S$4:$S$503,(_calc!$E$486-500)))=0,"",INDEX('My equipment'!$S$4:$S$503,(_calc!$E$486-500)))&amp;". ")&amp;IF(LEN(IF(LEN(INDEX('My equipment'!$U$4:$U$503,(_calc!$E$486-500)))=0,"",INDEX('My equipment'!$U$4:$U$503,(_calc!$E$486-500))))=0,"","Registered: "&amp;IF(LEN(INDEX('My equipment'!$U$4:$U$503,(_calc!$E$486-500)))=0,"",INDEX('My equipment'!$U$4:$U$503,(_calc!$E$486-500)))&amp;". ")&amp;IF(LEN(IF(LEN(INDEX('My equipment'!$V$4:$V$503,(_calc!$E$486-500)))=0,"",INDEX('My equipment'!$V$4:$V$503,(_calc!$E$486-500))))=0,"","Proof on file: "&amp;IF(LEN(INDEX('My equipment'!$V$4:$V$503,(_calc!$E$486-500)))=0,"",INDEX('My equipment'!$V$4:$V$503,(_calc!$E$486-500)))&amp;". ")&amp;IF(LEN(IF(LEN(INDEX('My equipment'!$W$4:$W$503,(_calc!$E$486-500)))=0,"",INDEX('My equipment'!$W$4:$W$503,(_calc!$E$486-500))))=0,"","Claim ref: "&amp;IF(LEN(INDEX('My equipment'!$W$4:$W$503,(_calc!$E$486-500)))=0,"",INDEX('My equipment'!$W$4:$W$503,(_calc!$E$486-500)))&amp;". ")&amp;IF(LEN(IF(LEN(INDEX('My equipment'!$Y$4:$Y$503,(_calc!$E$486-500)))=0,"",INDEX('My equipment'!$Y$4:$Y$503,(_calc!$E$486-500))))=0,"",IF(LEN(INDEX('My equipment'!$Y$4:$Y$503,(_calc!$E$486-500)))=0,"",INDEX('My equipment'!$Y$4:$Y$503,(_calc!$E$486-500)))))))</f>
        <v/>
      </c>
      <c r="G484" s="54">
        <f>IF(_calc!$E$486="","",IF(_calc!$E$486&lt;=500,"",IF(LEN(INDEX('My equipment'!$X$4:$X$503,(_calc!$E$486-500)))=0,"",INDEX('My equipment'!$X$4:$X$503,(_calc!$E$486-500)))))</f>
        <v/>
      </c>
      <c r="K484" s="54">
        <f>IF(_calc!$E$486="","",IF(_calc!$E$486&lt;=500,"",IF(LEN(INDEX('My equipment'!$T$4:$T$503,(_calc!$E$486-500)))=0,"",INDEX('My equipment'!$T$4:$T$503,(_calc!$E$486-500)))))</f>
        <v/>
      </c>
    </row>
    <row r="485">
      <c r="A485" s="54">
        <f>IF(_calc!$E$487="","",IF(_calc!$E$487&lt;=500,"Warranty – "&amp;IF(LEN(INDEX('Dealer pipeline'!$C$4:$C$503,_calc!$E$487))=0,"",INDEX('Dealer pipeline'!$C$4:$C$503,_calc!$E$487))&amp;" – "&amp;IF(LEN(INDEX('Dealer pipeline'!$D$4:$D$503,_calc!$E$487))=0,"",INDEX('Dealer pipeline'!$D$4:$D$503,_calc!$E$487))&amp;" – "&amp;IF(LEN(INDEX('Dealer pipeline'!$A$4:$A$503,_calc!$E$487))=0,"",INDEX('Dealer pipeline'!$A$4:$A$503,_calc!$E$487)),"Warranty – "&amp;IF(LEN(INDEX('My equipment'!$A$4:$A$503,(_calc!$E$487-500)))=0,"",INDEX('My equipment'!$A$4:$A$503,(_calc!$E$487-500)))&amp;" – "&amp;IF(LEN(INDEX('My equipment'!$D$4:$D$503,(_calc!$E$487-500)))=0,"",INDEX('My equipment'!$D$4:$D$503,(_calc!$E$487-500)))))</f>
        <v/>
      </c>
      <c r="B485" s="54">
        <f>IF(_calc!$E$487="","",IF(_calc!$E$487&lt;=500,IF(ISNUMBER(INDEX('Dealer pipeline'!$M$4:$M$503,_calc!$E$487)),TEXT(INDEX('Dealer pipeline'!$M$4:$M$503,_calc!$E$487),"yyyy-mm-dd"),""),IF(ISNUMBER(INDEX('My equipment'!$M$4:$M$503,(_calc!$E$487-500))),TEXT(INDEX('My equipment'!$M$4:$M$503,(_calc!$E$487-500)),"yyyy-mm-dd"),"")))</f>
        <v/>
      </c>
      <c r="C485" s="54">
        <f>IF(_calc!$E$487="","",IF(_calc!$E$487&lt;=500,"Warranty","Warranty"))</f>
        <v/>
      </c>
      <c r="D485" s="54">
        <f>IF(_calc!$E$487="","",IF(_calc!$E$487&lt;=500,IF(ISNUMBER(INDEX('Dealer pipeline'!$H$4:$H$503,_calc!$E$487)),TEXT(INDEX('Dealer pipeline'!$H$4:$H$503,_calc!$E$487),"yyyy-mm-dd"),""),IF(ISNUMBER(INDEX('My equipment'!$H$4:$H$503,(_calc!$E$487-500))),TEXT(INDEX('My equipment'!$H$4:$H$503,(_calc!$E$487-500)),"yyyy-mm-dd"),"")))</f>
        <v/>
      </c>
      <c r="F485" s="54">
        <f>IF(_calc!$E$487="","",IF(_calc!$E$487&lt;=500,TRIM(IF(LEN(IF(LEN(INDEX('Dealer pipeline'!$A$4:$A$503,_calc!$E$487))=0,"",INDEX('Dealer pipeline'!$A$4:$A$503,_calc!$E$487)))=0,"","Customer: "&amp;IF(LEN(INDEX('Dealer pipeline'!$A$4:$A$503,_calc!$E$487))=0,"",INDEX('Dealer pipeline'!$A$4:$A$503,_calc!$E$487))&amp;". ")&amp;IF(LEN(IF(LEN(INDEX('Dealer pipeline'!$B$4:$B$503,_calc!$E$487))=0,"",INDEX('Dealer pipeline'!$B$4:$B$503,_calc!$E$487)))=0,"","Contact: "&amp;IF(LEN(INDEX('Dealer pipeline'!$B$4:$B$503,_calc!$E$487))=0,"",INDEX('Dealer pipeline'!$B$4:$B$503,_calc!$E$487))&amp;". ")&amp;IF(LEN(IF(LEN(INDEX('Dealer pipeline'!$D$4:$D$503,_calc!$E$487))=0,"",INDEX('Dealer pipeline'!$D$4:$D$503,_calc!$E$487)))=0,"","Serial: "&amp;IF(LEN(INDEX('Dealer pipeline'!$D$4:$D$503,_calc!$E$487))=0,"",INDEX('Dealer pipeline'!$D$4:$D$503,_calc!$E$487))&amp;". ")&amp;IF(LEN(IF(ISNUMBER(INDEX('Dealer pipeline'!$J$4:$J$503,_calc!$E$487)),TEXT(INDEX('Dealer pipeline'!$J$4:$J$503,_calc!$E$487),"yyyy-mm-dd"),""))=0,"","Parts end: "&amp;IF(ISNUMBER(INDEX('Dealer pipeline'!$J$4:$J$503,_calc!$E$487)),TEXT(INDEX('Dealer pipeline'!$J$4:$J$503,_calc!$E$487),"yyyy-mm-dd"),"")&amp;". ")&amp;IF(LEN(IF(ISNUMBER(INDEX('Dealer pipeline'!$L$4:$L$503,_calc!$E$487)),TEXT(INDEX('Dealer pipeline'!$L$4:$L$503,_calc!$E$487),"yyyy-mm-dd"),""))=0,"","Labor end: "&amp;IF(ISNUMBER(INDEX('Dealer pipeline'!$L$4:$L$503,_calc!$E$487)),TEXT(INDEX('Dealer pipeline'!$L$4:$L$503,_calc!$E$487),"yyyy-mm-dd"),"")&amp;". ")&amp;IF(LEN(IF(LEN(INDEX('Dealer pipeline'!$Q$4:$Q$503,_calc!$E$487))=0,"",INDEX('Dealer pipeline'!$Q$4:$Q$503,_calc!$E$487)))=0,"","Status: "&amp;IF(LEN(INDEX('Dealer pipeline'!$Q$4:$Q$503,_calc!$E$487))=0,"",INDEX('Dealer pipeline'!$Q$4:$Q$503,_calc!$E$487))&amp;". ")&amp;IF(LEN(IF(LEN(INDEX('Dealer pipeline'!$P$4:$P$503,_calc!$E$487))=0,"",INDEX('Dealer pipeline'!$P$4:$P$503,_calc!$E$487)))=0,"","Last touch: "&amp;IF(LEN(INDEX('Dealer pipeline'!$P$4:$P$503,_calc!$E$487))=0,"",INDEX('Dealer pipeline'!$P$4:$P$503,_calc!$E$487))&amp;". ")&amp;IF(LEN(IF(LEN(INDEX('Dealer pipeline'!$R$4:$R$503,_calc!$E$487))=0,"",INDEX('Dealer pipeline'!$R$4:$R$503,_calc!$E$487)))=0,"","Owner: "&amp;IF(LEN(INDEX('Dealer pipeline'!$R$4:$R$503,_calc!$E$487))=0,"",INDEX('Dealer pipeline'!$R$4:$R$503,_calc!$E$487))&amp;". ")&amp;IF(LEN(IF(LEN(INDEX('Dealer pipeline'!$S$4:$S$503,_calc!$E$487))=0,"",INDEX('Dealer pipeline'!$S$4:$S$503,_calc!$E$487)))=0,"","Backup: "&amp;IF(LEN(INDEX('Dealer pipeline'!$S$4:$S$503,_calc!$E$487))=0,"",INDEX('Dealer pipeline'!$S$4:$S$503,_calc!$E$487))&amp;". ")&amp;IF(LEN(IF(LEN(INDEX('Dealer pipeline'!$T$4:$T$503,_calc!$E$487))=0,"",INDEX('Dealer pipeline'!$T$4:$T$503,_calc!$E$487)))=0,"",IF(LEN(INDEX('Dealer pipeline'!$T$4:$T$503,_calc!$E$487))=0,"",INDEX('Dealer pipeline'!$T$4:$T$503,_calc!$E$487)))),TRIM(IF(LEN(IF(LEN(INDEX('My equipment'!$C$4:$C$503,(_calc!$E$487-500)))=0,"",INDEX('My equipment'!$C$4:$C$503,(_calc!$E$487-500))))=0,"","Model: "&amp;IF(LEN(INDEX('My equipment'!$C$4:$C$503,(_calc!$E$487-500)))=0,"",INDEX('My equipment'!$C$4:$C$503,(_calc!$E$487-500)))&amp;". ")&amp;IF(LEN(IF(LEN(INDEX('My equipment'!$D$4:$D$503,(_calc!$E$487-500)))=0,"",INDEX('My equipment'!$D$4:$D$503,(_calc!$E$487-500))))=0,"","Serial: "&amp;IF(LEN(INDEX('My equipment'!$D$4:$D$503,(_calc!$E$487-500)))=0,"",INDEX('My equipment'!$D$4:$D$503,(_calc!$E$487-500)))&amp;". ")&amp;IF(LEN(IF(ISNUMBER(INDEX('My equipment'!$J$4:$J$503,(_calc!$E$487-500))),TEXT(INDEX('My equipment'!$J$4:$J$503,(_calc!$E$487-500)),"yyyy-mm-dd"),""))=0,"","Parts end: "&amp;IF(ISNUMBER(INDEX('My equipment'!$J$4:$J$503,(_calc!$E$487-500))),TEXT(INDEX('My equipment'!$J$4:$J$503,(_calc!$E$487-500)),"yyyy-mm-dd"),"")&amp;". ")&amp;IF(LEN(IF(ISNUMBER(INDEX('My equipment'!$L$4:$L$503,(_calc!$E$487-500))),TEXT(INDEX('My equipment'!$L$4:$L$503,(_calc!$E$487-500)),"yyyy-mm-dd"),""))=0,"","Labor end: "&amp;IF(ISNUMBER(INDEX('My equipment'!$L$4:$L$503,(_calc!$E$487-500))),TEXT(INDEX('My equipment'!$L$4:$L$503,(_calc!$E$487-500)),"yyyy-mm-dd"),"")&amp;". ")&amp;IF(LEN(IF(ISNUMBER(INDEX('My equipment'!$P$4:$P$503,(_calc!$E$487-500))),TEXT(INDEX('My equipment'!$P$4:$P$503,(_calc!$E$487-500)),"yyyy-mm-dd"),""))=0,"","Check by: "&amp;IF(ISNUMBER(INDEX('My equipment'!$P$4:$P$503,(_calc!$E$487-500))),TEXT(INDEX('My equipment'!$P$4:$P$503,(_calc!$E$487-500)),"yyyy-mm-dd"),"")&amp;". ")&amp;IF(LEN(IF(LEN(INDEX('My equipment'!$Q$4:$Q$503,(_calc!$E$487-500)))=0,"",INDEX('My equipment'!$Q$4:$Q$503,(_calc!$E$487-500))))=0,"","Claim status: "&amp;IF(LEN(INDEX('My equipment'!$Q$4:$Q$503,(_calc!$E$487-500)))=0,"",INDEX('My equipment'!$Q$4:$Q$503,(_calc!$E$487-500)))&amp;". ")&amp;IF(LEN(IF(LEN(INDEX('My equipment'!$R$4:$R$503,(_calc!$E$487-500)))=0,"",INDEX('My equipment'!$R$4:$R$503,(_calc!$E$487-500))))=0,"","Claims contact: "&amp;IF(LEN(INDEX('My equipment'!$R$4:$R$503,(_calc!$E$487-500)))=0,"",INDEX('My equipment'!$R$4:$R$503,(_calc!$E$487-500)))&amp;". ")&amp;IF(LEN(IF(LEN(INDEX('My equipment'!$S$4:$S$503,(_calc!$E$487-500)))=0,"",INDEX('My equipment'!$S$4:$S$503,(_calc!$E$487-500))))=0,"","Claims email: "&amp;IF(LEN(INDEX('My equipment'!$S$4:$S$503,(_calc!$E$487-500)))=0,"",INDEX('My equipment'!$S$4:$S$503,(_calc!$E$487-500)))&amp;". ")&amp;IF(LEN(IF(LEN(INDEX('My equipment'!$U$4:$U$503,(_calc!$E$487-500)))=0,"",INDEX('My equipment'!$U$4:$U$503,(_calc!$E$487-500))))=0,"","Registered: "&amp;IF(LEN(INDEX('My equipment'!$U$4:$U$503,(_calc!$E$487-500)))=0,"",INDEX('My equipment'!$U$4:$U$503,(_calc!$E$487-500)))&amp;". ")&amp;IF(LEN(IF(LEN(INDEX('My equipment'!$V$4:$V$503,(_calc!$E$487-500)))=0,"",INDEX('My equipment'!$V$4:$V$503,(_calc!$E$487-500))))=0,"","Proof on file: "&amp;IF(LEN(INDEX('My equipment'!$V$4:$V$503,(_calc!$E$487-500)))=0,"",INDEX('My equipment'!$V$4:$V$503,(_calc!$E$487-500)))&amp;". ")&amp;IF(LEN(IF(LEN(INDEX('My equipment'!$W$4:$W$503,(_calc!$E$487-500)))=0,"",INDEX('My equipment'!$W$4:$W$503,(_calc!$E$487-500))))=0,"","Claim ref: "&amp;IF(LEN(INDEX('My equipment'!$W$4:$W$503,(_calc!$E$487-500)))=0,"",INDEX('My equipment'!$W$4:$W$503,(_calc!$E$487-500)))&amp;". ")&amp;IF(LEN(IF(LEN(INDEX('My equipment'!$Y$4:$Y$503,(_calc!$E$487-500)))=0,"",INDEX('My equipment'!$Y$4:$Y$503,(_calc!$E$487-500))))=0,"",IF(LEN(INDEX('My equipment'!$Y$4:$Y$503,(_calc!$E$487-500)))=0,"",INDEX('My equipment'!$Y$4:$Y$503,(_calc!$E$487-500)))))))</f>
        <v/>
      </c>
      <c r="G485" s="54">
        <f>IF(_calc!$E$487="","",IF(_calc!$E$487&lt;=500,"",IF(LEN(INDEX('My equipment'!$X$4:$X$503,(_calc!$E$487-500)))=0,"",INDEX('My equipment'!$X$4:$X$503,(_calc!$E$487-500)))))</f>
        <v/>
      </c>
      <c r="K485" s="54">
        <f>IF(_calc!$E$487="","",IF(_calc!$E$487&lt;=500,"",IF(LEN(INDEX('My equipment'!$T$4:$T$503,(_calc!$E$487-500)))=0,"",INDEX('My equipment'!$T$4:$T$503,(_calc!$E$487-500)))))</f>
        <v/>
      </c>
    </row>
    <row r="486">
      <c r="A486" s="54">
        <f>IF(_calc!$E$488="","",IF(_calc!$E$488&lt;=500,"Warranty – "&amp;IF(LEN(INDEX('Dealer pipeline'!$C$4:$C$503,_calc!$E$488))=0,"",INDEX('Dealer pipeline'!$C$4:$C$503,_calc!$E$488))&amp;" – "&amp;IF(LEN(INDEX('Dealer pipeline'!$D$4:$D$503,_calc!$E$488))=0,"",INDEX('Dealer pipeline'!$D$4:$D$503,_calc!$E$488))&amp;" – "&amp;IF(LEN(INDEX('Dealer pipeline'!$A$4:$A$503,_calc!$E$488))=0,"",INDEX('Dealer pipeline'!$A$4:$A$503,_calc!$E$488)),"Warranty – "&amp;IF(LEN(INDEX('My equipment'!$A$4:$A$503,(_calc!$E$488-500)))=0,"",INDEX('My equipment'!$A$4:$A$503,(_calc!$E$488-500)))&amp;" – "&amp;IF(LEN(INDEX('My equipment'!$D$4:$D$503,(_calc!$E$488-500)))=0,"",INDEX('My equipment'!$D$4:$D$503,(_calc!$E$488-500)))))</f>
        <v/>
      </c>
      <c r="B486" s="54">
        <f>IF(_calc!$E$488="","",IF(_calc!$E$488&lt;=500,IF(ISNUMBER(INDEX('Dealer pipeline'!$M$4:$M$503,_calc!$E$488)),TEXT(INDEX('Dealer pipeline'!$M$4:$M$503,_calc!$E$488),"yyyy-mm-dd"),""),IF(ISNUMBER(INDEX('My equipment'!$M$4:$M$503,(_calc!$E$488-500))),TEXT(INDEX('My equipment'!$M$4:$M$503,(_calc!$E$488-500)),"yyyy-mm-dd"),"")))</f>
        <v/>
      </c>
      <c r="C486" s="54">
        <f>IF(_calc!$E$488="","",IF(_calc!$E$488&lt;=500,"Warranty","Warranty"))</f>
        <v/>
      </c>
      <c r="D486" s="54">
        <f>IF(_calc!$E$488="","",IF(_calc!$E$488&lt;=500,IF(ISNUMBER(INDEX('Dealer pipeline'!$H$4:$H$503,_calc!$E$488)),TEXT(INDEX('Dealer pipeline'!$H$4:$H$503,_calc!$E$488),"yyyy-mm-dd"),""),IF(ISNUMBER(INDEX('My equipment'!$H$4:$H$503,(_calc!$E$488-500))),TEXT(INDEX('My equipment'!$H$4:$H$503,(_calc!$E$488-500)),"yyyy-mm-dd"),"")))</f>
        <v/>
      </c>
      <c r="F486" s="54">
        <f>IF(_calc!$E$488="","",IF(_calc!$E$488&lt;=500,TRIM(IF(LEN(IF(LEN(INDEX('Dealer pipeline'!$A$4:$A$503,_calc!$E$488))=0,"",INDEX('Dealer pipeline'!$A$4:$A$503,_calc!$E$488)))=0,"","Customer: "&amp;IF(LEN(INDEX('Dealer pipeline'!$A$4:$A$503,_calc!$E$488))=0,"",INDEX('Dealer pipeline'!$A$4:$A$503,_calc!$E$488))&amp;". ")&amp;IF(LEN(IF(LEN(INDEX('Dealer pipeline'!$B$4:$B$503,_calc!$E$488))=0,"",INDEX('Dealer pipeline'!$B$4:$B$503,_calc!$E$488)))=0,"","Contact: "&amp;IF(LEN(INDEX('Dealer pipeline'!$B$4:$B$503,_calc!$E$488))=0,"",INDEX('Dealer pipeline'!$B$4:$B$503,_calc!$E$488))&amp;". ")&amp;IF(LEN(IF(LEN(INDEX('Dealer pipeline'!$D$4:$D$503,_calc!$E$488))=0,"",INDEX('Dealer pipeline'!$D$4:$D$503,_calc!$E$488)))=0,"","Serial: "&amp;IF(LEN(INDEX('Dealer pipeline'!$D$4:$D$503,_calc!$E$488))=0,"",INDEX('Dealer pipeline'!$D$4:$D$503,_calc!$E$488))&amp;". ")&amp;IF(LEN(IF(ISNUMBER(INDEX('Dealer pipeline'!$J$4:$J$503,_calc!$E$488)),TEXT(INDEX('Dealer pipeline'!$J$4:$J$503,_calc!$E$488),"yyyy-mm-dd"),""))=0,"","Parts end: "&amp;IF(ISNUMBER(INDEX('Dealer pipeline'!$J$4:$J$503,_calc!$E$488)),TEXT(INDEX('Dealer pipeline'!$J$4:$J$503,_calc!$E$488),"yyyy-mm-dd"),"")&amp;". ")&amp;IF(LEN(IF(ISNUMBER(INDEX('Dealer pipeline'!$L$4:$L$503,_calc!$E$488)),TEXT(INDEX('Dealer pipeline'!$L$4:$L$503,_calc!$E$488),"yyyy-mm-dd"),""))=0,"","Labor end: "&amp;IF(ISNUMBER(INDEX('Dealer pipeline'!$L$4:$L$503,_calc!$E$488)),TEXT(INDEX('Dealer pipeline'!$L$4:$L$503,_calc!$E$488),"yyyy-mm-dd"),"")&amp;". ")&amp;IF(LEN(IF(LEN(INDEX('Dealer pipeline'!$Q$4:$Q$503,_calc!$E$488))=0,"",INDEX('Dealer pipeline'!$Q$4:$Q$503,_calc!$E$488)))=0,"","Status: "&amp;IF(LEN(INDEX('Dealer pipeline'!$Q$4:$Q$503,_calc!$E$488))=0,"",INDEX('Dealer pipeline'!$Q$4:$Q$503,_calc!$E$488))&amp;". ")&amp;IF(LEN(IF(LEN(INDEX('Dealer pipeline'!$P$4:$P$503,_calc!$E$488))=0,"",INDEX('Dealer pipeline'!$P$4:$P$503,_calc!$E$488)))=0,"","Last touch: "&amp;IF(LEN(INDEX('Dealer pipeline'!$P$4:$P$503,_calc!$E$488))=0,"",INDEX('Dealer pipeline'!$P$4:$P$503,_calc!$E$488))&amp;". ")&amp;IF(LEN(IF(LEN(INDEX('Dealer pipeline'!$R$4:$R$503,_calc!$E$488))=0,"",INDEX('Dealer pipeline'!$R$4:$R$503,_calc!$E$488)))=0,"","Owner: "&amp;IF(LEN(INDEX('Dealer pipeline'!$R$4:$R$503,_calc!$E$488))=0,"",INDEX('Dealer pipeline'!$R$4:$R$503,_calc!$E$488))&amp;". ")&amp;IF(LEN(IF(LEN(INDEX('Dealer pipeline'!$S$4:$S$503,_calc!$E$488))=0,"",INDEX('Dealer pipeline'!$S$4:$S$503,_calc!$E$488)))=0,"","Backup: "&amp;IF(LEN(INDEX('Dealer pipeline'!$S$4:$S$503,_calc!$E$488))=0,"",INDEX('Dealer pipeline'!$S$4:$S$503,_calc!$E$488))&amp;". ")&amp;IF(LEN(IF(LEN(INDEX('Dealer pipeline'!$T$4:$T$503,_calc!$E$488))=0,"",INDEX('Dealer pipeline'!$T$4:$T$503,_calc!$E$488)))=0,"",IF(LEN(INDEX('Dealer pipeline'!$T$4:$T$503,_calc!$E$488))=0,"",INDEX('Dealer pipeline'!$T$4:$T$503,_calc!$E$488)))),TRIM(IF(LEN(IF(LEN(INDEX('My equipment'!$C$4:$C$503,(_calc!$E$488-500)))=0,"",INDEX('My equipment'!$C$4:$C$503,(_calc!$E$488-500))))=0,"","Model: "&amp;IF(LEN(INDEX('My equipment'!$C$4:$C$503,(_calc!$E$488-500)))=0,"",INDEX('My equipment'!$C$4:$C$503,(_calc!$E$488-500)))&amp;". ")&amp;IF(LEN(IF(LEN(INDEX('My equipment'!$D$4:$D$503,(_calc!$E$488-500)))=0,"",INDEX('My equipment'!$D$4:$D$503,(_calc!$E$488-500))))=0,"","Serial: "&amp;IF(LEN(INDEX('My equipment'!$D$4:$D$503,(_calc!$E$488-500)))=0,"",INDEX('My equipment'!$D$4:$D$503,(_calc!$E$488-500)))&amp;". ")&amp;IF(LEN(IF(ISNUMBER(INDEX('My equipment'!$J$4:$J$503,(_calc!$E$488-500))),TEXT(INDEX('My equipment'!$J$4:$J$503,(_calc!$E$488-500)),"yyyy-mm-dd"),""))=0,"","Parts end: "&amp;IF(ISNUMBER(INDEX('My equipment'!$J$4:$J$503,(_calc!$E$488-500))),TEXT(INDEX('My equipment'!$J$4:$J$503,(_calc!$E$488-500)),"yyyy-mm-dd"),"")&amp;". ")&amp;IF(LEN(IF(ISNUMBER(INDEX('My equipment'!$L$4:$L$503,(_calc!$E$488-500))),TEXT(INDEX('My equipment'!$L$4:$L$503,(_calc!$E$488-500)),"yyyy-mm-dd"),""))=0,"","Labor end: "&amp;IF(ISNUMBER(INDEX('My equipment'!$L$4:$L$503,(_calc!$E$488-500))),TEXT(INDEX('My equipment'!$L$4:$L$503,(_calc!$E$488-500)),"yyyy-mm-dd"),"")&amp;". ")&amp;IF(LEN(IF(ISNUMBER(INDEX('My equipment'!$P$4:$P$503,(_calc!$E$488-500))),TEXT(INDEX('My equipment'!$P$4:$P$503,(_calc!$E$488-500)),"yyyy-mm-dd"),""))=0,"","Check by: "&amp;IF(ISNUMBER(INDEX('My equipment'!$P$4:$P$503,(_calc!$E$488-500))),TEXT(INDEX('My equipment'!$P$4:$P$503,(_calc!$E$488-500)),"yyyy-mm-dd"),"")&amp;". ")&amp;IF(LEN(IF(LEN(INDEX('My equipment'!$Q$4:$Q$503,(_calc!$E$488-500)))=0,"",INDEX('My equipment'!$Q$4:$Q$503,(_calc!$E$488-500))))=0,"","Claim status: "&amp;IF(LEN(INDEX('My equipment'!$Q$4:$Q$503,(_calc!$E$488-500)))=0,"",INDEX('My equipment'!$Q$4:$Q$503,(_calc!$E$488-500)))&amp;". ")&amp;IF(LEN(IF(LEN(INDEX('My equipment'!$R$4:$R$503,(_calc!$E$488-500)))=0,"",INDEX('My equipment'!$R$4:$R$503,(_calc!$E$488-500))))=0,"","Claims contact: "&amp;IF(LEN(INDEX('My equipment'!$R$4:$R$503,(_calc!$E$488-500)))=0,"",INDEX('My equipment'!$R$4:$R$503,(_calc!$E$488-500)))&amp;". ")&amp;IF(LEN(IF(LEN(INDEX('My equipment'!$S$4:$S$503,(_calc!$E$488-500)))=0,"",INDEX('My equipment'!$S$4:$S$503,(_calc!$E$488-500))))=0,"","Claims email: "&amp;IF(LEN(INDEX('My equipment'!$S$4:$S$503,(_calc!$E$488-500)))=0,"",INDEX('My equipment'!$S$4:$S$503,(_calc!$E$488-500)))&amp;". ")&amp;IF(LEN(IF(LEN(INDEX('My equipment'!$U$4:$U$503,(_calc!$E$488-500)))=0,"",INDEX('My equipment'!$U$4:$U$503,(_calc!$E$488-500))))=0,"","Registered: "&amp;IF(LEN(INDEX('My equipment'!$U$4:$U$503,(_calc!$E$488-500)))=0,"",INDEX('My equipment'!$U$4:$U$503,(_calc!$E$488-500)))&amp;". ")&amp;IF(LEN(IF(LEN(INDEX('My equipment'!$V$4:$V$503,(_calc!$E$488-500)))=0,"",INDEX('My equipment'!$V$4:$V$503,(_calc!$E$488-500))))=0,"","Proof on file: "&amp;IF(LEN(INDEX('My equipment'!$V$4:$V$503,(_calc!$E$488-500)))=0,"",INDEX('My equipment'!$V$4:$V$503,(_calc!$E$488-500)))&amp;". ")&amp;IF(LEN(IF(LEN(INDEX('My equipment'!$W$4:$W$503,(_calc!$E$488-500)))=0,"",INDEX('My equipment'!$W$4:$W$503,(_calc!$E$488-500))))=0,"","Claim ref: "&amp;IF(LEN(INDEX('My equipment'!$W$4:$W$503,(_calc!$E$488-500)))=0,"",INDEX('My equipment'!$W$4:$W$503,(_calc!$E$488-500)))&amp;". ")&amp;IF(LEN(IF(LEN(INDEX('My equipment'!$Y$4:$Y$503,(_calc!$E$488-500)))=0,"",INDEX('My equipment'!$Y$4:$Y$503,(_calc!$E$488-500))))=0,"",IF(LEN(INDEX('My equipment'!$Y$4:$Y$503,(_calc!$E$488-500)))=0,"",INDEX('My equipment'!$Y$4:$Y$503,(_calc!$E$488-500)))))))</f>
        <v/>
      </c>
      <c r="G486" s="54">
        <f>IF(_calc!$E$488="","",IF(_calc!$E$488&lt;=500,"",IF(LEN(INDEX('My equipment'!$X$4:$X$503,(_calc!$E$488-500)))=0,"",INDEX('My equipment'!$X$4:$X$503,(_calc!$E$488-500)))))</f>
        <v/>
      </c>
      <c r="K486" s="54">
        <f>IF(_calc!$E$488="","",IF(_calc!$E$488&lt;=500,"",IF(LEN(INDEX('My equipment'!$T$4:$T$503,(_calc!$E$488-500)))=0,"",INDEX('My equipment'!$T$4:$T$503,(_calc!$E$488-500)))))</f>
        <v/>
      </c>
    </row>
    <row r="487">
      <c r="A487" s="54">
        <f>IF(_calc!$E$489="","",IF(_calc!$E$489&lt;=500,"Warranty – "&amp;IF(LEN(INDEX('Dealer pipeline'!$C$4:$C$503,_calc!$E$489))=0,"",INDEX('Dealer pipeline'!$C$4:$C$503,_calc!$E$489))&amp;" – "&amp;IF(LEN(INDEX('Dealer pipeline'!$D$4:$D$503,_calc!$E$489))=0,"",INDEX('Dealer pipeline'!$D$4:$D$503,_calc!$E$489))&amp;" – "&amp;IF(LEN(INDEX('Dealer pipeline'!$A$4:$A$503,_calc!$E$489))=0,"",INDEX('Dealer pipeline'!$A$4:$A$503,_calc!$E$489)),"Warranty – "&amp;IF(LEN(INDEX('My equipment'!$A$4:$A$503,(_calc!$E$489-500)))=0,"",INDEX('My equipment'!$A$4:$A$503,(_calc!$E$489-500)))&amp;" – "&amp;IF(LEN(INDEX('My equipment'!$D$4:$D$503,(_calc!$E$489-500)))=0,"",INDEX('My equipment'!$D$4:$D$503,(_calc!$E$489-500)))))</f>
        <v/>
      </c>
      <c r="B487" s="54">
        <f>IF(_calc!$E$489="","",IF(_calc!$E$489&lt;=500,IF(ISNUMBER(INDEX('Dealer pipeline'!$M$4:$M$503,_calc!$E$489)),TEXT(INDEX('Dealer pipeline'!$M$4:$M$503,_calc!$E$489),"yyyy-mm-dd"),""),IF(ISNUMBER(INDEX('My equipment'!$M$4:$M$503,(_calc!$E$489-500))),TEXT(INDEX('My equipment'!$M$4:$M$503,(_calc!$E$489-500)),"yyyy-mm-dd"),"")))</f>
        <v/>
      </c>
      <c r="C487" s="54">
        <f>IF(_calc!$E$489="","",IF(_calc!$E$489&lt;=500,"Warranty","Warranty"))</f>
        <v/>
      </c>
      <c r="D487" s="54">
        <f>IF(_calc!$E$489="","",IF(_calc!$E$489&lt;=500,IF(ISNUMBER(INDEX('Dealer pipeline'!$H$4:$H$503,_calc!$E$489)),TEXT(INDEX('Dealer pipeline'!$H$4:$H$503,_calc!$E$489),"yyyy-mm-dd"),""),IF(ISNUMBER(INDEX('My equipment'!$H$4:$H$503,(_calc!$E$489-500))),TEXT(INDEX('My equipment'!$H$4:$H$503,(_calc!$E$489-500)),"yyyy-mm-dd"),"")))</f>
        <v/>
      </c>
      <c r="F487" s="54">
        <f>IF(_calc!$E$489="","",IF(_calc!$E$489&lt;=500,TRIM(IF(LEN(IF(LEN(INDEX('Dealer pipeline'!$A$4:$A$503,_calc!$E$489))=0,"",INDEX('Dealer pipeline'!$A$4:$A$503,_calc!$E$489)))=0,"","Customer: "&amp;IF(LEN(INDEX('Dealer pipeline'!$A$4:$A$503,_calc!$E$489))=0,"",INDEX('Dealer pipeline'!$A$4:$A$503,_calc!$E$489))&amp;". ")&amp;IF(LEN(IF(LEN(INDEX('Dealer pipeline'!$B$4:$B$503,_calc!$E$489))=0,"",INDEX('Dealer pipeline'!$B$4:$B$503,_calc!$E$489)))=0,"","Contact: "&amp;IF(LEN(INDEX('Dealer pipeline'!$B$4:$B$503,_calc!$E$489))=0,"",INDEX('Dealer pipeline'!$B$4:$B$503,_calc!$E$489))&amp;". ")&amp;IF(LEN(IF(LEN(INDEX('Dealer pipeline'!$D$4:$D$503,_calc!$E$489))=0,"",INDEX('Dealer pipeline'!$D$4:$D$503,_calc!$E$489)))=0,"","Serial: "&amp;IF(LEN(INDEX('Dealer pipeline'!$D$4:$D$503,_calc!$E$489))=0,"",INDEX('Dealer pipeline'!$D$4:$D$503,_calc!$E$489))&amp;". ")&amp;IF(LEN(IF(ISNUMBER(INDEX('Dealer pipeline'!$J$4:$J$503,_calc!$E$489)),TEXT(INDEX('Dealer pipeline'!$J$4:$J$503,_calc!$E$489),"yyyy-mm-dd"),""))=0,"","Parts end: "&amp;IF(ISNUMBER(INDEX('Dealer pipeline'!$J$4:$J$503,_calc!$E$489)),TEXT(INDEX('Dealer pipeline'!$J$4:$J$503,_calc!$E$489),"yyyy-mm-dd"),"")&amp;". ")&amp;IF(LEN(IF(ISNUMBER(INDEX('Dealer pipeline'!$L$4:$L$503,_calc!$E$489)),TEXT(INDEX('Dealer pipeline'!$L$4:$L$503,_calc!$E$489),"yyyy-mm-dd"),""))=0,"","Labor end: "&amp;IF(ISNUMBER(INDEX('Dealer pipeline'!$L$4:$L$503,_calc!$E$489)),TEXT(INDEX('Dealer pipeline'!$L$4:$L$503,_calc!$E$489),"yyyy-mm-dd"),"")&amp;". ")&amp;IF(LEN(IF(LEN(INDEX('Dealer pipeline'!$Q$4:$Q$503,_calc!$E$489))=0,"",INDEX('Dealer pipeline'!$Q$4:$Q$503,_calc!$E$489)))=0,"","Status: "&amp;IF(LEN(INDEX('Dealer pipeline'!$Q$4:$Q$503,_calc!$E$489))=0,"",INDEX('Dealer pipeline'!$Q$4:$Q$503,_calc!$E$489))&amp;". ")&amp;IF(LEN(IF(LEN(INDEX('Dealer pipeline'!$P$4:$P$503,_calc!$E$489))=0,"",INDEX('Dealer pipeline'!$P$4:$P$503,_calc!$E$489)))=0,"","Last touch: "&amp;IF(LEN(INDEX('Dealer pipeline'!$P$4:$P$503,_calc!$E$489))=0,"",INDEX('Dealer pipeline'!$P$4:$P$503,_calc!$E$489))&amp;". ")&amp;IF(LEN(IF(LEN(INDEX('Dealer pipeline'!$R$4:$R$503,_calc!$E$489))=0,"",INDEX('Dealer pipeline'!$R$4:$R$503,_calc!$E$489)))=0,"","Owner: "&amp;IF(LEN(INDEX('Dealer pipeline'!$R$4:$R$503,_calc!$E$489))=0,"",INDEX('Dealer pipeline'!$R$4:$R$503,_calc!$E$489))&amp;". ")&amp;IF(LEN(IF(LEN(INDEX('Dealer pipeline'!$S$4:$S$503,_calc!$E$489))=0,"",INDEX('Dealer pipeline'!$S$4:$S$503,_calc!$E$489)))=0,"","Backup: "&amp;IF(LEN(INDEX('Dealer pipeline'!$S$4:$S$503,_calc!$E$489))=0,"",INDEX('Dealer pipeline'!$S$4:$S$503,_calc!$E$489))&amp;". ")&amp;IF(LEN(IF(LEN(INDEX('Dealer pipeline'!$T$4:$T$503,_calc!$E$489))=0,"",INDEX('Dealer pipeline'!$T$4:$T$503,_calc!$E$489)))=0,"",IF(LEN(INDEX('Dealer pipeline'!$T$4:$T$503,_calc!$E$489))=0,"",INDEX('Dealer pipeline'!$T$4:$T$503,_calc!$E$489)))),TRIM(IF(LEN(IF(LEN(INDEX('My equipment'!$C$4:$C$503,(_calc!$E$489-500)))=0,"",INDEX('My equipment'!$C$4:$C$503,(_calc!$E$489-500))))=0,"","Model: "&amp;IF(LEN(INDEX('My equipment'!$C$4:$C$503,(_calc!$E$489-500)))=0,"",INDEX('My equipment'!$C$4:$C$503,(_calc!$E$489-500)))&amp;". ")&amp;IF(LEN(IF(LEN(INDEX('My equipment'!$D$4:$D$503,(_calc!$E$489-500)))=0,"",INDEX('My equipment'!$D$4:$D$503,(_calc!$E$489-500))))=0,"","Serial: "&amp;IF(LEN(INDEX('My equipment'!$D$4:$D$503,(_calc!$E$489-500)))=0,"",INDEX('My equipment'!$D$4:$D$503,(_calc!$E$489-500)))&amp;". ")&amp;IF(LEN(IF(ISNUMBER(INDEX('My equipment'!$J$4:$J$503,(_calc!$E$489-500))),TEXT(INDEX('My equipment'!$J$4:$J$503,(_calc!$E$489-500)),"yyyy-mm-dd"),""))=0,"","Parts end: "&amp;IF(ISNUMBER(INDEX('My equipment'!$J$4:$J$503,(_calc!$E$489-500))),TEXT(INDEX('My equipment'!$J$4:$J$503,(_calc!$E$489-500)),"yyyy-mm-dd"),"")&amp;". ")&amp;IF(LEN(IF(ISNUMBER(INDEX('My equipment'!$L$4:$L$503,(_calc!$E$489-500))),TEXT(INDEX('My equipment'!$L$4:$L$503,(_calc!$E$489-500)),"yyyy-mm-dd"),""))=0,"","Labor end: "&amp;IF(ISNUMBER(INDEX('My equipment'!$L$4:$L$503,(_calc!$E$489-500))),TEXT(INDEX('My equipment'!$L$4:$L$503,(_calc!$E$489-500)),"yyyy-mm-dd"),"")&amp;". ")&amp;IF(LEN(IF(ISNUMBER(INDEX('My equipment'!$P$4:$P$503,(_calc!$E$489-500))),TEXT(INDEX('My equipment'!$P$4:$P$503,(_calc!$E$489-500)),"yyyy-mm-dd"),""))=0,"","Check by: "&amp;IF(ISNUMBER(INDEX('My equipment'!$P$4:$P$503,(_calc!$E$489-500))),TEXT(INDEX('My equipment'!$P$4:$P$503,(_calc!$E$489-500)),"yyyy-mm-dd"),"")&amp;". ")&amp;IF(LEN(IF(LEN(INDEX('My equipment'!$Q$4:$Q$503,(_calc!$E$489-500)))=0,"",INDEX('My equipment'!$Q$4:$Q$503,(_calc!$E$489-500))))=0,"","Claim status: "&amp;IF(LEN(INDEX('My equipment'!$Q$4:$Q$503,(_calc!$E$489-500)))=0,"",INDEX('My equipment'!$Q$4:$Q$503,(_calc!$E$489-500)))&amp;". ")&amp;IF(LEN(IF(LEN(INDEX('My equipment'!$R$4:$R$503,(_calc!$E$489-500)))=0,"",INDEX('My equipment'!$R$4:$R$503,(_calc!$E$489-500))))=0,"","Claims contact: "&amp;IF(LEN(INDEX('My equipment'!$R$4:$R$503,(_calc!$E$489-500)))=0,"",INDEX('My equipment'!$R$4:$R$503,(_calc!$E$489-500)))&amp;". ")&amp;IF(LEN(IF(LEN(INDEX('My equipment'!$S$4:$S$503,(_calc!$E$489-500)))=0,"",INDEX('My equipment'!$S$4:$S$503,(_calc!$E$489-500))))=0,"","Claims email: "&amp;IF(LEN(INDEX('My equipment'!$S$4:$S$503,(_calc!$E$489-500)))=0,"",INDEX('My equipment'!$S$4:$S$503,(_calc!$E$489-500)))&amp;". ")&amp;IF(LEN(IF(LEN(INDEX('My equipment'!$U$4:$U$503,(_calc!$E$489-500)))=0,"",INDEX('My equipment'!$U$4:$U$503,(_calc!$E$489-500))))=0,"","Registered: "&amp;IF(LEN(INDEX('My equipment'!$U$4:$U$503,(_calc!$E$489-500)))=0,"",INDEX('My equipment'!$U$4:$U$503,(_calc!$E$489-500)))&amp;". ")&amp;IF(LEN(IF(LEN(INDEX('My equipment'!$V$4:$V$503,(_calc!$E$489-500)))=0,"",INDEX('My equipment'!$V$4:$V$503,(_calc!$E$489-500))))=0,"","Proof on file: "&amp;IF(LEN(INDEX('My equipment'!$V$4:$V$503,(_calc!$E$489-500)))=0,"",INDEX('My equipment'!$V$4:$V$503,(_calc!$E$489-500)))&amp;". ")&amp;IF(LEN(IF(LEN(INDEX('My equipment'!$W$4:$W$503,(_calc!$E$489-500)))=0,"",INDEX('My equipment'!$W$4:$W$503,(_calc!$E$489-500))))=0,"","Claim ref: "&amp;IF(LEN(INDEX('My equipment'!$W$4:$W$503,(_calc!$E$489-500)))=0,"",INDEX('My equipment'!$W$4:$W$503,(_calc!$E$489-500)))&amp;". ")&amp;IF(LEN(IF(LEN(INDEX('My equipment'!$Y$4:$Y$503,(_calc!$E$489-500)))=0,"",INDEX('My equipment'!$Y$4:$Y$503,(_calc!$E$489-500))))=0,"",IF(LEN(INDEX('My equipment'!$Y$4:$Y$503,(_calc!$E$489-500)))=0,"",INDEX('My equipment'!$Y$4:$Y$503,(_calc!$E$489-500)))))))</f>
        <v/>
      </c>
      <c r="G487" s="54">
        <f>IF(_calc!$E$489="","",IF(_calc!$E$489&lt;=500,"",IF(LEN(INDEX('My equipment'!$X$4:$X$503,(_calc!$E$489-500)))=0,"",INDEX('My equipment'!$X$4:$X$503,(_calc!$E$489-500)))))</f>
        <v/>
      </c>
      <c r="K487" s="54">
        <f>IF(_calc!$E$489="","",IF(_calc!$E$489&lt;=500,"",IF(LEN(INDEX('My equipment'!$T$4:$T$503,(_calc!$E$489-500)))=0,"",INDEX('My equipment'!$T$4:$T$503,(_calc!$E$489-500)))))</f>
        <v/>
      </c>
    </row>
    <row r="488">
      <c r="A488" s="54">
        <f>IF(_calc!$E$490="","",IF(_calc!$E$490&lt;=500,"Warranty – "&amp;IF(LEN(INDEX('Dealer pipeline'!$C$4:$C$503,_calc!$E$490))=0,"",INDEX('Dealer pipeline'!$C$4:$C$503,_calc!$E$490))&amp;" – "&amp;IF(LEN(INDEX('Dealer pipeline'!$D$4:$D$503,_calc!$E$490))=0,"",INDEX('Dealer pipeline'!$D$4:$D$503,_calc!$E$490))&amp;" – "&amp;IF(LEN(INDEX('Dealer pipeline'!$A$4:$A$503,_calc!$E$490))=0,"",INDEX('Dealer pipeline'!$A$4:$A$503,_calc!$E$490)),"Warranty – "&amp;IF(LEN(INDEX('My equipment'!$A$4:$A$503,(_calc!$E$490-500)))=0,"",INDEX('My equipment'!$A$4:$A$503,(_calc!$E$490-500)))&amp;" – "&amp;IF(LEN(INDEX('My equipment'!$D$4:$D$503,(_calc!$E$490-500)))=0,"",INDEX('My equipment'!$D$4:$D$503,(_calc!$E$490-500)))))</f>
        <v/>
      </c>
      <c r="B488" s="54">
        <f>IF(_calc!$E$490="","",IF(_calc!$E$490&lt;=500,IF(ISNUMBER(INDEX('Dealer pipeline'!$M$4:$M$503,_calc!$E$490)),TEXT(INDEX('Dealer pipeline'!$M$4:$M$503,_calc!$E$490),"yyyy-mm-dd"),""),IF(ISNUMBER(INDEX('My equipment'!$M$4:$M$503,(_calc!$E$490-500))),TEXT(INDEX('My equipment'!$M$4:$M$503,(_calc!$E$490-500)),"yyyy-mm-dd"),"")))</f>
        <v/>
      </c>
      <c r="C488" s="54">
        <f>IF(_calc!$E$490="","",IF(_calc!$E$490&lt;=500,"Warranty","Warranty"))</f>
        <v/>
      </c>
      <c r="D488" s="54">
        <f>IF(_calc!$E$490="","",IF(_calc!$E$490&lt;=500,IF(ISNUMBER(INDEX('Dealer pipeline'!$H$4:$H$503,_calc!$E$490)),TEXT(INDEX('Dealer pipeline'!$H$4:$H$503,_calc!$E$490),"yyyy-mm-dd"),""),IF(ISNUMBER(INDEX('My equipment'!$H$4:$H$503,(_calc!$E$490-500))),TEXT(INDEX('My equipment'!$H$4:$H$503,(_calc!$E$490-500)),"yyyy-mm-dd"),"")))</f>
        <v/>
      </c>
      <c r="F488" s="54">
        <f>IF(_calc!$E$490="","",IF(_calc!$E$490&lt;=500,TRIM(IF(LEN(IF(LEN(INDEX('Dealer pipeline'!$A$4:$A$503,_calc!$E$490))=0,"",INDEX('Dealer pipeline'!$A$4:$A$503,_calc!$E$490)))=0,"","Customer: "&amp;IF(LEN(INDEX('Dealer pipeline'!$A$4:$A$503,_calc!$E$490))=0,"",INDEX('Dealer pipeline'!$A$4:$A$503,_calc!$E$490))&amp;". ")&amp;IF(LEN(IF(LEN(INDEX('Dealer pipeline'!$B$4:$B$503,_calc!$E$490))=0,"",INDEX('Dealer pipeline'!$B$4:$B$503,_calc!$E$490)))=0,"","Contact: "&amp;IF(LEN(INDEX('Dealer pipeline'!$B$4:$B$503,_calc!$E$490))=0,"",INDEX('Dealer pipeline'!$B$4:$B$503,_calc!$E$490))&amp;". ")&amp;IF(LEN(IF(LEN(INDEX('Dealer pipeline'!$D$4:$D$503,_calc!$E$490))=0,"",INDEX('Dealer pipeline'!$D$4:$D$503,_calc!$E$490)))=0,"","Serial: "&amp;IF(LEN(INDEX('Dealer pipeline'!$D$4:$D$503,_calc!$E$490))=0,"",INDEX('Dealer pipeline'!$D$4:$D$503,_calc!$E$490))&amp;". ")&amp;IF(LEN(IF(ISNUMBER(INDEX('Dealer pipeline'!$J$4:$J$503,_calc!$E$490)),TEXT(INDEX('Dealer pipeline'!$J$4:$J$503,_calc!$E$490),"yyyy-mm-dd"),""))=0,"","Parts end: "&amp;IF(ISNUMBER(INDEX('Dealer pipeline'!$J$4:$J$503,_calc!$E$490)),TEXT(INDEX('Dealer pipeline'!$J$4:$J$503,_calc!$E$490),"yyyy-mm-dd"),"")&amp;". ")&amp;IF(LEN(IF(ISNUMBER(INDEX('Dealer pipeline'!$L$4:$L$503,_calc!$E$490)),TEXT(INDEX('Dealer pipeline'!$L$4:$L$503,_calc!$E$490),"yyyy-mm-dd"),""))=0,"","Labor end: "&amp;IF(ISNUMBER(INDEX('Dealer pipeline'!$L$4:$L$503,_calc!$E$490)),TEXT(INDEX('Dealer pipeline'!$L$4:$L$503,_calc!$E$490),"yyyy-mm-dd"),"")&amp;". ")&amp;IF(LEN(IF(LEN(INDEX('Dealer pipeline'!$Q$4:$Q$503,_calc!$E$490))=0,"",INDEX('Dealer pipeline'!$Q$4:$Q$503,_calc!$E$490)))=0,"","Status: "&amp;IF(LEN(INDEX('Dealer pipeline'!$Q$4:$Q$503,_calc!$E$490))=0,"",INDEX('Dealer pipeline'!$Q$4:$Q$503,_calc!$E$490))&amp;". ")&amp;IF(LEN(IF(LEN(INDEX('Dealer pipeline'!$P$4:$P$503,_calc!$E$490))=0,"",INDEX('Dealer pipeline'!$P$4:$P$503,_calc!$E$490)))=0,"","Last touch: "&amp;IF(LEN(INDEX('Dealer pipeline'!$P$4:$P$503,_calc!$E$490))=0,"",INDEX('Dealer pipeline'!$P$4:$P$503,_calc!$E$490))&amp;". ")&amp;IF(LEN(IF(LEN(INDEX('Dealer pipeline'!$R$4:$R$503,_calc!$E$490))=0,"",INDEX('Dealer pipeline'!$R$4:$R$503,_calc!$E$490)))=0,"","Owner: "&amp;IF(LEN(INDEX('Dealer pipeline'!$R$4:$R$503,_calc!$E$490))=0,"",INDEX('Dealer pipeline'!$R$4:$R$503,_calc!$E$490))&amp;". ")&amp;IF(LEN(IF(LEN(INDEX('Dealer pipeline'!$S$4:$S$503,_calc!$E$490))=0,"",INDEX('Dealer pipeline'!$S$4:$S$503,_calc!$E$490)))=0,"","Backup: "&amp;IF(LEN(INDEX('Dealer pipeline'!$S$4:$S$503,_calc!$E$490))=0,"",INDEX('Dealer pipeline'!$S$4:$S$503,_calc!$E$490))&amp;". ")&amp;IF(LEN(IF(LEN(INDEX('Dealer pipeline'!$T$4:$T$503,_calc!$E$490))=0,"",INDEX('Dealer pipeline'!$T$4:$T$503,_calc!$E$490)))=0,"",IF(LEN(INDEX('Dealer pipeline'!$T$4:$T$503,_calc!$E$490))=0,"",INDEX('Dealer pipeline'!$T$4:$T$503,_calc!$E$490)))),TRIM(IF(LEN(IF(LEN(INDEX('My equipment'!$C$4:$C$503,(_calc!$E$490-500)))=0,"",INDEX('My equipment'!$C$4:$C$503,(_calc!$E$490-500))))=0,"","Model: "&amp;IF(LEN(INDEX('My equipment'!$C$4:$C$503,(_calc!$E$490-500)))=0,"",INDEX('My equipment'!$C$4:$C$503,(_calc!$E$490-500)))&amp;". ")&amp;IF(LEN(IF(LEN(INDEX('My equipment'!$D$4:$D$503,(_calc!$E$490-500)))=0,"",INDEX('My equipment'!$D$4:$D$503,(_calc!$E$490-500))))=0,"","Serial: "&amp;IF(LEN(INDEX('My equipment'!$D$4:$D$503,(_calc!$E$490-500)))=0,"",INDEX('My equipment'!$D$4:$D$503,(_calc!$E$490-500)))&amp;". ")&amp;IF(LEN(IF(ISNUMBER(INDEX('My equipment'!$J$4:$J$503,(_calc!$E$490-500))),TEXT(INDEX('My equipment'!$J$4:$J$503,(_calc!$E$490-500)),"yyyy-mm-dd"),""))=0,"","Parts end: "&amp;IF(ISNUMBER(INDEX('My equipment'!$J$4:$J$503,(_calc!$E$490-500))),TEXT(INDEX('My equipment'!$J$4:$J$503,(_calc!$E$490-500)),"yyyy-mm-dd"),"")&amp;". ")&amp;IF(LEN(IF(ISNUMBER(INDEX('My equipment'!$L$4:$L$503,(_calc!$E$490-500))),TEXT(INDEX('My equipment'!$L$4:$L$503,(_calc!$E$490-500)),"yyyy-mm-dd"),""))=0,"","Labor end: "&amp;IF(ISNUMBER(INDEX('My equipment'!$L$4:$L$503,(_calc!$E$490-500))),TEXT(INDEX('My equipment'!$L$4:$L$503,(_calc!$E$490-500)),"yyyy-mm-dd"),"")&amp;". ")&amp;IF(LEN(IF(ISNUMBER(INDEX('My equipment'!$P$4:$P$503,(_calc!$E$490-500))),TEXT(INDEX('My equipment'!$P$4:$P$503,(_calc!$E$490-500)),"yyyy-mm-dd"),""))=0,"","Check by: "&amp;IF(ISNUMBER(INDEX('My equipment'!$P$4:$P$503,(_calc!$E$490-500))),TEXT(INDEX('My equipment'!$P$4:$P$503,(_calc!$E$490-500)),"yyyy-mm-dd"),"")&amp;". ")&amp;IF(LEN(IF(LEN(INDEX('My equipment'!$Q$4:$Q$503,(_calc!$E$490-500)))=0,"",INDEX('My equipment'!$Q$4:$Q$503,(_calc!$E$490-500))))=0,"","Claim status: "&amp;IF(LEN(INDEX('My equipment'!$Q$4:$Q$503,(_calc!$E$490-500)))=0,"",INDEX('My equipment'!$Q$4:$Q$503,(_calc!$E$490-500)))&amp;". ")&amp;IF(LEN(IF(LEN(INDEX('My equipment'!$R$4:$R$503,(_calc!$E$490-500)))=0,"",INDEX('My equipment'!$R$4:$R$503,(_calc!$E$490-500))))=0,"","Claims contact: "&amp;IF(LEN(INDEX('My equipment'!$R$4:$R$503,(_calc!$E$490-500)))=0,"",INDEX('My equipment'!$R$4:$R$503,(_calc!$E$490-500)))&amp;". ")&amp;IF(LEN(IF(LEN(INDEX('My equipment'!$S$4:$S$503,(_calc!$E$490-500)))=0,"",INDEX('My equipment'!$S$4:$S$503,(_calc!$E$490-500))))=0,"","Claims email: "&amp;IF(LEN(INDEX('My equipment'!$S$4:$S$503,(_calc!$E$490-500)))=0,"",INDEX('My equipment'!$S$4:$S$503,(_calc!$E$490-500)))&amp;". ")&amp;IF(LEN(IF(LEN(INDEX('My equipment'!$U$4:$U$503,(_calc!$E$490-500)))=0,"",INDEX('My equipment'!$U$4:$U$503,(_calc!$E$490-500))))=0,"","Registered: "&amp;IF(LEN(INDEX('My equipment'!$U$4:$U$503,(_calc!$E$490-500)))=0,"",INDEX('My equipment'!$U$4:$U$503,(_calc!$E$490-500)))&amp;". ")&amp;IF(LEN(IF(LEN(INDEX('My equipment'!$V$4:$V$503,(_calc!$E$490-500)))=0,"",INDEX('My equipment'!$V$4:$V$503,(_calc!$E$490-500))))=0,"","Proof on file: "&amp;IF(LEN(INDEX('My equipment'!$V$4:$V$503,(_calc!$E$490-500)))=0,"",INDEX('My equipment'!$V$4:$V$503,(_calc!$E$490-500)))&amp;". ")&amp;IF(LEN(IF(LEN(INDEX('My equipment'!$W$4:$W$503,(_calc!$E$490-500)))=0,"",INDEX('My equipment'!$W$4:$W$503,(_calc!$E$490-500))))=0,"","Claim ref: "&amp;IF(LEN(INDEX('My equipment'!$W$4:$W$503,(_calc!$E$490-500)))=0,"",INDEX('My equipment'!$W$4:$W$503,(_calc!$E$490-500)))&amp;". ")&amp;IF(LEN(IF(LEN(INDEX('My equipment'!$Y$4:$Y$503,(_calc!$E$490-500)))=0,"",INDEX('My equipment'!$Y$4:$Y$503,(_calc!$E$490-500))))=0,"",IF(LEN(INDEX('My equipment'!$Y$4:$Y$503,(_calc!$E$490-500)))=0,"",INDEX('My equipment'!$Y$4:$Y$503,(_calc!$E$490-500)))))))</f>
        <v/>
      </c>
      <c r="G488" s="54">
        <f>IF(_calc!$E$490="","",IF(_calc!$E$490&lt;=500,"",IF(LEN(INDEX('My equipment'!$X$4:$X$503,(_calc!$E$490-500)))=0,"",INDEX('My equipment'!$X$4:$X$503,(_calc!$E$490-500)))))</f>
        <v/>
      </c>
      <c r="K488" s="54">
        <f>IF(_calc!$E$490="","",IF(_calc!$E$490&lt;=500,"",IF(LEN(INDEX('My equipment'!$T$4:$T$503,(_calc!$E$490-500)))=0,"",INDEX('My equipment'!$T$4:$T$503,(_calc!$E$490-500)))))</f>
        <v/>
      </c>
    </row>
    <row r="489">
      <c r="A489" s="54">
        <f>IF(_calc!$E$491="","",IF(_calc!$E$491&lt;=500,"Warranty – "&amp;IF(LEN(INDEX('Dealer pipeline'!$C$4:$C$503,_calc!$E$491))=0,"",INDEX('Dealer pipeline'!$C$4:$C$503,_calc!$E$491))&amp;" – "&amp;IF(LEN(INDEX('Dealer pipeline'!$D$4:$D$503,_calc!$E$491))=0,"",INDEX('Dealer pipeline'!$D$4:$D$503,_calc!$E$491))&amp;" – "&amp;IF(LEN(INDEX('Dealer pipeline'!$A$4:$A$503,_calc!$E$491))=0,"",INDEX('Dealer pipeline'!$A$4:$A$503,_calc!$E$491)),"Warranty – "&amp;IF(LEN(INDEX('My equipment'!$A$4:$A$503,(_calc!$E$491-500)))=0,"",INDEX('My equipment'!$A$4:$A$503,(_calc!$E$491-500)))&amp;" – "&amp;IF(LEN(INDEX('My equipment'!$D$4:$D$503,(_calc!$E$491-500)))=0,"",INDEX('My equipment'!$D$4:$D$503,(_calc!$E$491-500)))))</f>
        <v/>
      </c>
      <c r="B489" s="54">
        <f>IF(_calc!$E$491="","",IF(_calc!$E$491&lt;=500,IF(ISNUMBER(INDEX('Dealer pipeline'!$M$4:$M$503,_calc!$E$491)),TEXT(INDEX('Dealer pipeline'!$M$4:$M$503,_calc!$E$491),"yyyy-mm-dd"),""),IF(ISNUMBER(INDEX('My equipment'!$M$4:$M$503,(_calc!$E$491-500))),TEXT(INDEX('My equipment'!$M$4:$M$503,(_calc!$E$491-500)),"yyyy-mm-dd"),"")))</f>
        <v/>
      </c>
      <c r="C489" s="54">
        <f>IF(_calc!$E$491="","",IF(_calc!$E$491&lt;=500,"Warranty","Warranty"))</f>
        <v/>
      </c>
      <c r="D489" s="54">
        <f>IF(_calc!$E$491="","",IF(_calc!$E$491&lt;=500,IF(ISNUMBER(INDEX('Dealer pipeline'!$H$4:$H$503,_calc!$E$491)),TEXT(INDEX('Dealer pipeline'!$H$4:$H$503,_calc!$E$491),"yyyy-mm-dd"),""),IF(ISNUMBER(INDEX('My equipment'!$H$4:$H$503,(_calc!$E$491-500))),TEXT(INDEX('My equipment'!$H$4:$H$503,(_calc!$E$491-500)),"yyyy-mm-dd"),"")))</f>
        <v/>
      </c>
      <c r="F489" s="54">
        <f>IF(_calc!$E$491="","",IF(_calc!$E$491&lt;=500,TRIM(IF(LEN(IF(LEN(INDEX('Dealer pipeline'!$A$4:$A$503,_calc!$E$491))=0,"",INDEX('Dealer pipeline'!$A$4:$A$503,_calc!$E$491)))=0,"","Customer: "&amp;IF(LEN(INDEX('Dealer pipeline'!$A$4:$A$503,_calc!$E$491))=0,"",INDEX('Dealer pipeline'!$A$4:$A$503,_calc!$E$491))&amp;". ")&amp;IF(LEN(IF(LEN(INDEX('Dealer pipeline'!$B$4:$B$503,_calc!$E$491))=0,"",INDEX('Dealer pipeline'!$B$4:$B$503,_calc!$E$491)))=0,"","Contact: "&amp;IF(LEN(INDEX('Dealer pipeline'!$B$4:$B$503,_calc!$E$491))=0,"",INDEX('Dealer pipeline'!$B$4:$B$503,_calc!$E$491))&amp;". ")&amp;IF(LEN(IF(LEN(INDEX('Dealer pipeline'!$D$4:$D$503,_calc!$E$491))=0,"",INDEX('Dealer pipeline'!$D$4:$D$503,_calc!$E$491)))=0,"","Serial: "&amp;IF(LEN(INDEX('Dealer pipeline'!$D$4:$D$503,_calc!$E$491))=0,"",INDEX('Dealer pipeline'!$D$4:$D$503,_calc!$E$491))&amp;". ")&amp;IF(LEN(IF(ISNUMBER(INDEX('Dealer pipeline'!$J$4:$J$503,_calc!$E$491)),TEXT(INDEX('Dealer pipeline'!$J$4:$J$503,_calc!$E$491),"yyyy-mm-dd"),""))=0,"","Parts end: "&amp;IF(ISNUMBER(INDEX('Dealer pipeline'!$J$4:$J$503,_calc!$E$491)),TEXT(INDEX('Dealer pipeline'!$J$4:$J$503,_calc!$E$491),"yyyy-mm-dd"),"")&amp;". ")&amp;IF(LEN(IF(ISNUMBER(INDEX('Dealer pipeline'!$L$4:$L$503,_calc!$E$491)),TEXT(INDEX('Dealer pipeline'!$L$4:$L$503,_calc!$E$491),"yyyy-mm-dd"),""))=0,"","Labor end: "&amp;IF(ISNUMBER(INDEX('Dealer pipeline'!$L$4:$L$503,_calc!$E$491)),TEXT(INDEX('Dealer pipeline'!$L$4:$L$503,_calc!$E$491),"yyyy-mm-dd"),"")&amp;". ")&amp;IF(LEN(IF(LEN(INDEX('Dealer pipeline'!$Q$4:$Q$503,_calc!$E$491))=0,"",INDEX('Dealer pipeline'!$Q$4:$Q$503,_calc!$E$491)))=0,"","Status: "&amp;IF(LEN(INDEX('Dealer pipeline'!$Q$4:$Q$503,_calc!$E$491))=0,"",INDEX('Dealer pipeline'!$Q$4:$Q$503,_calc!$E$491))&amp;". ")&amp;IF(LEN(IF(LEN(INDEX('Dealer pipeline'!$P$4:$P$503,_calc!$E$491))=0,"",INDEX('Dealer pipeline'!$P$4:$P$503,_calc!$E$491)))=0,"","Last touch: "&amp;IF(LEN(INDEX('Dealer pipeline'!$P$4:$P$503,_calc!$E$491))=0,"",INDEX('Dealer pipeline'!$P$4:$P$503,_calc!$E$491))&amp;". ")&amp;IF(LEN(IF(LEN(INDEX('Dealer pipeline'!$R$4:$R$503,_calc!$E$491))=0,"",INDEX('Dealer pipeline'!$R$4:$R$503,_calc!$E$491)))=0,"","Owner: "&amp;IF(LEN(INDEX('Dealer pipeline'!$R$4:$R$503,_calc!$E$491))=0,"",INDEX('Dealer pipeline'!$R$4:$R$503,_calc!$E$491))&amp;". ")&amp;IF(LEN(IF(LEN(INDEX('Dealer pipeline'!$S$4:$S$503,_calc!$E$491))=0,"",INDEX('Dealer pipeline'!$S$4:$S$503,_calc!$E$491)))=0,"","Backup: "&amp;IF(LEN(INDEX('Dealer pipeline'!$S$4:$S$503,_calc!$E$491))=0,"",INDEX('Dealer pipeline'!$S$4:$S$503,_calc!$E$491))&amp;". ")&amp;IF(LEN(IF(LEN(INDEX('Dealer pipeline'!$T$4:$T$503,_calc!$E$491))=0,"",INDEX('Dealer pipeline'!$T$4:$T$503,_calc!$E$491)))=0,"",IF(LEN(INDEX('Dealer pipeline'!$T$4:$T$503,_calc!$E$491))=0,"",INDEX('Dealer pipeline'!$T$4:$T$503,_calc!$E$491)))),TRIM(IF(LEN(IF(LEN(INDEX('My equipment'!$C$4:$C$503,(_calc!$E$491-500)))=0,"",INDEX('My equipment'!$C$4:$C$503,(_calc!$E$491-500))))=0,"","Model: "&amp;IF(LEN(INDEX('My equipment'!$C$4:$C$503,(_calc!$E$491-500)))=0,"",INDEX('My equipment'!$C$4:$C$503,(_calc!$E$491-500)))&amp;". ")&amp;IF(LEN(IF(LEN(INDEX('My equipment'!$D$4:$D$503,(_calc!$E$491-500)))=0,"",INDEX('My equipment'!$D$4:$D$503,(_calc!$E$491-500))))=0,"","Serial: "&amp;IF(LEN(INDEX('My equipment'!$D$4:$D$503,(_calc!$E$491-500)))=0,"",INDEX('My equipment'!$D$4:$D$503,(_calc!$E$491-500)))&amp;". ")&amp;IF(LEN(IF(ISNUMBER(INDEX('My equipment'!$J$4:$J$503,(_calc!$E$491-500))),TEXT(INDEX('My equipment'!$J$4:$J$503,(_calc!$E$491-500)),"yyyy-mm-dd"),""))=0,"","Parts end: "&amp;IF(ISNUMBER(INDEX('My equipment'!$J$4:$J$503,(_calc!$E$491-500))),TEXT(INDEX('My equipment'!$J$4:$J$503,(_calc!$E$491-500)),"yyyy-mm-dd"),"")&amp;". ")&amp;IF(LEN(IF(ISNUMBER(INDEX('My equipment'!$L$4:$L$503,(_calc!$E$491-500))),TEXT(INDEX('My equipment'!$L$4:$L$503,(_calc!$E$491-500)),"yyyy-mm-dd"),""))=0,"","Labor end: "&amp;IF(ISNUMBER(INDEX('My equipment'!$L$4:$L$503,(_calc!$E$491-500))),TEXT(INDEX('My equipment'!$L$4:$L$503,(_calc!$E$491-500)),"yyyy-mm-dd"),"")&amp;". ")&amp;IF(LEN(IF(ISNUMBER(INDEX('My equipment'!$P$4:$P$503,(_calc!$E$491-500))),TEXT(INDEX('My equipment'!$P$4:$P$503,(_calc!$E$491-500)),"yyyy-mm-dd"),""))=0,"","Check by: "&amp;IF(ISNUMBER(INDEX('My equipment'!$P$4:$P$503,(_calc!$E$491-500))),TEXT(INDEX('My equipment'!$P$4:$P$503,(_calc!$E$491-500)),"yyyy-mm-dd"),"")&amp;". ")&amp;IF(LEN(IF(LEN(INDEX('My equipment'!$Q$4:$Q$503,(_calc!$E$491-500)))=0,"",INDEX('My equipment'!$Q$4:$Q$503,(_calc!$E$491-500))))=0,"","Claim status: "&amp;IF(LEN(INDEX('My equipment'!$Q$4:$Q$503,(_calc!$E$491-500)))=0,"",INDEX('My equipment'!$Q$4:$Q$503,(_calc!$E$491-500)))&amp;". ")&amp;IF(LEN(IF(LEN(INDEX('My equipment'!$R$4:$R$503,(_calc!$E$491-500)))=0,"",INDEX('My equipment'!$R$4:$R$503,(_calc!$E$491-500))))=0,"","Claims contact: "&amp;IF(LEN(INDEX('My equipment'!$R$4:$R$503,(_calc!$E$491-500)))=0,"",INDEX('My equipment'!$R$4:$R$503,(_calc!$E$491-500)))&amp;". ")&amp;IF(LEN(IF(LEN(INDEX('My equipment'!$S$4:$S$503,(_calc!$E$491-500)))=0,"",INDEX('My equipment'!$S$4:$S$503,(_calc!$E$491-500))))=0,"","Claims email: "&amp;IF(LEN(INDEX('My equipment'!$S$4:$S$503,(_calc!$E$491-500)))=0,"",INDEX('My equipment'!$S$4:$S$503,(_calc!$E$491-500)))&amp;". ")&amp;IF(LEN(IF(LEN(INDEX('My equipment'!$U$4:$U$503,(_calc!$E$491-500)))=0,"",INDEX('My equipment'!$U$4:$U$503,(_calc!$E$491-500))))=0,"","Registered: "&amp;IF(LEN(INDEX('My equipment'!$U$4:$U$503,(_calc!$E$491-500)))=0,"",INDEX('My equipment'!$U$4:$U$503,(_calc!$E$491-500)))&amp;". ")&amp;IF(LEN(IF(LEN(INDEX('My equipment'!$V$4:$V$503,(_calc!$E$491-500)))=0,"",INDEX('My equipment'!$V$4:$V$503,(_calc!$E$491-500))))=0,"","Proof on file: "&amp;IF(LEN(INDEX('My equipment'!$V$4:$V$503,(_calc!$E$491-500)))=0,"",INDEX('My equipment'!$V$4:$V$503,(_calc!$E$491-500)))&amp;". ")&amp;IF(LEN(IF(LEN(INDEX('My equipment'!$W$4:$W$503,(_calc!$E$491-500)))=0,"",INDEX('My equipment'!$W$4:$W$503,(_calc!$E$491-500))))=0,"","Claim ref: "&amp;IF(LEN(INDEX('My equipment'!$W$4:$W$503,(_calc!$E$491-500)))=0,"",INDEX('My equipment'!$W$4:$W$503,(_calc!$E$491-500)))&amp;". ")&amp;IF(LEN(IF(LEN(INDEX('My equipment'!$Y$4:$Y$503,(_calc!$E$491-500)))=0,"",INDEX('My equipment'!$Y$4:$Y$503,(_calc!$E$491-500))))=0,"",IF(LEN(INDEX('My equipment'!$Y$4:$Y$503,(_calc!$E$491-500)))=0,"",INDEX('My equipment'!$Y$4:$Y$503,(_calc!$E$491-500)))))))</f>
        <v/>
      </c>
      <c r="G489" s="54">
        <f>IF(_calc!$E$491="","",IF(_calc!$E$491&lt;=500,"",IF(LEN(INDEX('My equipment'!$X$4:$X$503,(_calc!$E$491-500)))=0,"",INDEX('My equipment'!$X$4:$X$503,(_calc!$E$491-500)))))</f>
        <v/>
      </c>
      <c r="K489" s="54">
        <f>IF(_calc!$E$491="","",IF(_calc!$E$491&lt;=500,"",IF(LEN(INDEX('My equipment'!$T$4:$T$503,(_calc!$E$491-500)))=0,"",INDEX('My equipment'!$T$4:$T$503,(_calc!$E$491-500)))))</f>
        <v/>
      </c>
    </row>
    <row r="490">
      <c r="A490" s="54">
        <f>IF(_calc!$E$492="","",IF(_calc!$E$492&lt;=500,"Warranty – "&amp;IF(LEN(INDEX('Dealer pipeline'!$C$4:$C$503,_calc!$E$492))=0,"",INDEX('Dealer pipeline'!$C$4:$C$503,_calc!$E$492))&amp;" – "&amp;IF(LEN(INDEX('Dealer pipeline'!$D$4:$D$503,_calc!$E$492))=0,"",INDEX('Dealer pipeline'!$D$4:$D$503,_calc!$E$492))&amp;" – "&amp;IF(LEN(INDEX('Dealer pipeline'!$A$4:$A$503,_calc!$E$492))=0,"",INDEX('Dealer pipeline'!$A$4:$A$503,_calc!$E$492)),"Warranty – "&amp;IF(LEN(INDEX('My equipment'!$A$4:$A$503,(_calc!$E$492-500)))=0,"",INDEX('My equipment'!$A$4:$A$503,(_calc!$E$492-500)))&amp;" – "&amp;IF(LEN(INDEX('My equipment'!$D$4:$D$503,(_calc!$E$492-500)))=0,"",INDEX('My equipment'!$D$4:$D$503,(_calc!$E$492-500)))))</f>
        <v/>
      </c>
      <c r="B490" s="54">
        <f>IF(_calc!$E$492="","",IF(_calc!$E$492&lt;=500,IF(ISNUMBER(INDEX('Dealer pipeline'!$M$4:$M$503,_calc!$E$492)),TEXT(INDEX('Dealer pipeline'!$M$4:$M$503,_calc!$E$492),"yyyy-mm-dd"),""),IF(ISNUMBER(INDEX('My equipment'!$M$4:$M$503,(_calc!$E$492-500))),TEXT(INDEX('My equipment'!$M$4:$M$503,(_calc!$E$492-500)),"yyyy-mm-dd"),"")))</f>
        <v/>
      </c>
      <c r="C490" s="54">
        <f>IF(_calc!$E$492="","",IF(_calc!$E$492&lt;=500,"Warranty","Warranty"))</f>
        <v/>
      </c>
      <c r="D490" s="54">
        <f>IF(_calc!$E$492="","",IF(_calc!$E$492&lt;=500,IF(ISNUMBER(INDEX('Dealer pipeline'!$H$4:$H$503,_calc!$E$492)),TEXT(INDEX('Dealer pipeline'!$H$4:$H$503,_calc!$E$492),"yyyy-mm-dd"),""),IF(ISNUMBER(INDEX('My equipment'!$H$4:$H$503,(_calc!$E$492-500))),TEXT(INDEX('My equipment'!$H$4:$H$503,(_calc!$E$492-500)),"yyyy-mm-dd"),"")))</f>
        <v/>
      </c>
      <c r="F490" s="54">
        <f>IF(_calc!$E$492="","",IF(_calc!$E$492&lt;=500,TRIM(IF(LEN(IF(LEN(INDEX('Dealer pipeline'!$A$4:$A$503,_calc!$E$492))=0,"",INDEX('Dealer pipeline'!$A$4:$A$503,_calc!$E$492)))=0,"","Customer: "&amp;IF(LEN(INDEX('Dealer pipeline'!$A$4:$A$503,_calc!$E$492))=0,"",INDEX('Dealer pipeline'!$A$4:$A$503,_calc!$E$492))&amp;". ")&amp;IF(LEN(IF(LEN(INDEX('Dealer pipeline'!$B$4:$B$503,_calc!$E$492))=0,"",INDEX('Dealer pipeline'!$B$4:$B$503,_calc!$E$492)))=0,"","Contact: "&amp;IF(LEN(INDEX('Dealer pipeline'!$B$4:$B$503,_calc!$E$492))=0,"",INDEX('Dealer pipeline'!$B$4:$B$503,_calc!$E$492))&amp;". ")&amp;IF(LEN(IF(LEN(INDEX('Dealer pipeline'!$D$4:$D$503,_calc!$E$492))=0,"",INDEX('Dealer pipeline'!$D$4:$D$503,_calc!$E$492)))=0,"","Serial: "&amp;IF(LEN(INDEX('Dealer pipeline'!$D$4:$D$503,_calc!$E$492))=0,"",INDEX('Dealer pipeline'!$D$4:$D$503,_calc!$E$492))&amp;". ")&amp;IF(LEN(IF(ISNUMBER(INDEX('Dealer pipeline'!$J$4:$J$503,_calc!$E$492)),TEXT(INDEX('Dealer pipeline'!$J$4:$J$503,_calc!$E$492),"yyyy-mm-dd"),""))=0,"","Parts end: "&amp;IF(ISNUMBER(INDEX('Dealer pipeline'!$J$4:$J$503,_calc!$E$492)),TEXT(INDEX('Dealer pipeline'!$J$4:$J$503,_calc!$E$492),"yyyy-mm-dd"),"")&amp;". ")&amp;IF(LEN(IF(ISNUMBER(INDEX('Dealer pipeline'!$L$4:$L$503,_calc!$E$492)),TEXT(INDEX('Dealer pipeline'!$L$4:$L$503,_calc!$E$492),"yyyy-mm-dd"),""))=0,"","Labor end: "&amp;IF(ISNUMBER(INDEX('Dealer pipeline'!$L$4:$L$503,_calc!$E$492)),TEXT(INDEX('Dealer pipeline'!$L$4:$L$503,_calc!$E$492),"yyyy-mm-dd"),"")&amp;". ")&amp;IF(LEN(IF(LEN(INDEX('Dealer pipeline'!$Q$4:$Q$503,_calc!$E$492))=0,"",INDEX('Dealer pipeline'!$Q$4:$Q$503,_calc!$E$492)))=0,"","Status: "&amp;IF(LEN(INDEX('Dealer pipeline'!$Q$4:$Q$503,_calc!$E$492))=0,"",INDEX('Dealer pipeline'!$Q$4:$Q$503,_calc!$E$492))&amp;". ")&amp;IF(LEN(IF(LEN(INDEX('Dealer pipeline'!$P$4:$P$503,_calc!$E$492))=0,"",INDEX('Dealer pipeline'!$P$4:$P$503,_calc!$E$492)))=0,"","Last touch: "&amp;IF(LEN(INDEX('Dealer pipeline'!$P$4:$P$503,_calc!$E$492))=0,"",INDEX('Dealer pipeline'!$P$4:$P$503,_calc!$E$492))&amp;". ")&amp;IF(LEN(IF(LEN(INDEX('Dealer pipeline'!$R$4:$R$503,_calc!$E$492))=0,"",INDEX('Dealer pipeline'!$R$4:$R$503,_calc!$E$492)))=0,"","Owner: "&amp;IF(LEN(INDEX('Dealer pipeline'!$R$4:$R$503,_calc!$E$492))=0,"",INDEX('Dealer pipeline'!$R$4:$R$503,_calc!$E$492))&amp;". ")&amp;IF(LEN(IF(LEN(INDEX('Dealer pipeline'!$S$4:$S$503,_calc!$E$492))=0,"",INDEX('Dealer pipeline'!$S$4:$S$503,_calc!$E$492)))=0,"","Backup: "&amp;IF(LEN(INDEX('Dealer pipeline'!$S$4:$S$503,_calc!$E$492))=0,"",INDEX('Dealer pipeline'!$S$4:$S$503,_calc!$E$492))&amp;". ")&amp;IF(LEN(IF(LEN(INDEX('Dealer pipeline'!$T$4:$T$503,_calc!$E$492))=0,"",INDEX('Dealer pipeline'!$T$4:$T$503,_calc!$E$492)))=0,"",IF(LEN(INDEX('Dealer pipeline'!$T$4:$T$503,_calc!$E$492))=0,"",INDEX('Dealer pipeline'!$T$4:$T$503,_calc!$E$492)))),TRIM(IF(LEN(IF(LEN(INDEX('My equipment'!$C$4:$C$503,(_calc!$E$492-500)))=0,"",INDEX('My equipment'!$C$4:$C$503,(_calc!$E$492-500))))=0,"","Model: "&amp;IF(LEN(INDEX('My equipment'!$C$4:$C$503,(_calc!$E$492-500)))=0,"",INDEX('My equipment'!$C$4:$C$503,(_calc!$E$492-500)))&amp;". ")&amp;IF(LEN(IF(LEN(INDEX('My equipment'!$D$4:$D$503,(_calc!$E$492-500)))=0,"",INDEX('My equipment'!$D$4:$D$503,(_calc!$E$492-500))))=0,"","Serial: "&amp;IF(LEN(INDEX('My equipment'!$D$4:$D$503,(_calc!$E$492-500)))=0,"",INDEX('My equipment'!$D$4:$D$503,(_calc!$E$492-500)))&amp;". ")&amp;IF(LEN(IF(ISNUMBER(INDEX('My equipment'!$J$4:$J$503,(_calc!$E$492-500))),TEXT(INDEX('My equipment'!$J$4:$J$503,(_calc!$E$492-500)),"yyyy-mm-dd"),""))=0,"","Parts end: "&amp;IF(ISNUMBER(INDEX('My equipment'!$J$4:$J$503,(_calc!$E$492-500))),TEXT(INDEX('My equipment'!$J$4:$J$503,(_calc!$E$492-500)),"yyyy-mm-dd"),"")&amp;". ")&amp;IF(LEN(IF(ISNUMBER(INDEX('My equipment'!$L$4:$L$503,(_calc!$E$492-500))),TEXT(INDEX('My equipment'!$L$4:$L$503,(_calc!$E$492-500)),"yyyy-mm-dd"),""))=0,"","Labor end: "&amp;IF(ISNUMBER(INDEX('My equipment'!$L$4:$L$503,(_calc!$E$492-500))),TEXT(INDEX('My equipment'!$L$4:$L$503,(_calc!$E$492-500)),"yyyy-mm-dd"),"")&amp;". ")&amp;IF(LEN(IF(ISNUMBER(INDEX('My equipment'!$P$4:$P$503,(_calc!$E$492-500))),TEXT(INDEX('My equipment'!$P$4:$P$503,(_calc!$E$492-500)),"yyyy-mm-dd"),""))=0,"","Check by: "&amp;IF(ISNUMBER(INDEX('My equipment'!$P$4:$P$503,(_calc!$E$492-500))),TEXT(INDEX('My equipment'!$P$4:$P$503,(_calc!$E$492-500)),"yyyy-mm-dd"),"")&amp;". ")&amp;IF(LEN(IF(LEN(INDEX('My equipment'!$Q$4:$Q$503,(_calc!$E$492-500)))=0,"",INDEX('My equipment'!$Q$4:$Q$503,(_calc!$E$492-500))))=0,"","Claim status: "&amp;IF(LEN(INDEX('My equipment'!$Q$4:$Q$503,(_calc!$E$492-500)))=0,"",INDEX('My equipment'!$Q$4:$Q$503,(_calc!$E$492-500)))&amp;". ")&amp;IF(LEN(IF(LEN(INDEX('My equipment'!$R$4:$R$503,(_calc!$E$492-500)))=0,"",INDEX('My equipment'!$R$4:$R$503,(_calc!$E$492-500))))=0,"","Claims contact: "&amp;IF(LEN(INDEX('My equipment'!$R$4:$R$503,(_calc!$E$492-500)))=0,"",INDEX('My equipment'!$R$4:$R$503,(_calc!$E$492-500)))&amp;". ")&amp;IF(LEN(IF(LEN(INDEX('My equipment'!$S$4:$S$503,(_calc!$E$492-500)))=0,"",INDEX('My equipment'!$S$4:$S$503,(_calc!$E$492-500))))=0,"","Claims email: "&amp;IF(LEN(INDEX('My equipment'!$S$4:$S$503,(_calc!$E$492-500)))=0,"",INDEX('My equipment'!$S$4:$S$503,(_calc!$E$492-500)))&amp;". ")&amp;IF(LEN(IF(LEN(INDEX('My equipment'!$U$4:$U$503,(_calc!$E$492-500)))=0,"",INDEX('My equipment'!$U$4:$U$503,(_calc!$E$492-500))))=0,"","Registered: "&amp;IF(LEN(INDEX('My equipment'!$U$4:$U$503,(_calc!$E$492-500)))=0,"",INDEX('My equipment'!$U$4:$U$503,(_calc!$E$492-500)))&amp;". ")&amp;IF(LEN(IF(LEN(INDEX('My equipment'!$V$4:$V$503,(_calc!$E$492-500)))=0,"",INDEX('My equipment'!$V$4:$V$503,(_calc!$E$492-500))))=0,"","Proof on file: "&amp;IF(LEN(INDEX('My equipment'!$V$4:$V$503,(_calc!$E$492-500)))=0,"",INDEX('My equipment'!$V$4:$V$503,(_calc!$E$492-500)))&amp;". ")&amp;IF(LEN(IF(LEN(INDEX('My equipment'!$W$4:$W$503,(_calc!$E$492-500)))=0,"",INDEX('My equipment'!$W$4:$W$503,(_calc!$E$492-500))))=0,"","Claim ref: "&amp;IF(LEN(INDEX('My equipment'!$W$4:$W$503,(_calc!$E$492-500)))=0,"",INDEX('My equipment'!$W$4:$W$503,(_calc!$E$492-500)))&amp;". ")&amp;IF(LEN(IF(LEN(INDEX('My equipment'!$Y$4:$Y$503,(_calc!$E$492-500)))=0,"",INDEX('My equipment'!$Y$4:$Y$503,(_calc!$E$492-500))))=0,"",IF(LEN(INDEX('My equipment'!$Y$4:$Y$503,(_calc!$E$492-500)))=0,"",INDEX('My equipment'!$Y$4:$Y$503,(_calc!$E$492-500)))))))</f>
        <v/>
      </c>
      <c r="G490" s="54">
        <f>IF(_calc!$E$492="","",IF(_calc!$E$492&lt;=500,"",IF(LEN(INDEX('My equipment'!$X$4:$X$503,(_calc!$E$492-500)))=0,"",INDEX('My equipment'!$X$4:$X$503,(_calc!$E$492-500)))))</f>
        <v/>
      </c>
      <c r="K490" s="54">
        <f>IF(_calc!$E$492="","",IF(_calc!$E$492&lt;=500,"",IF(LEN(INDEX('My equipment'!$T$4:$T$503,(_calc!$E$492-500)))=0,"",INDEX('My equipment'!$T$4:$T$503,(_calc!$E$492-500)))))</f>
        <v/>
      </c>
    </row>
    <row r="491">
      <c r="A491" s="54">
        <f>IF(_calc!$E$493="","",IF(_calc!$E$493&lt;=500,"Warranty – "&amp;IF(LEN(INDEX('Dealer pipeline'!$C$4:$C$503,_calc!$E$493))=0,"",INDEX('Dealer pipeline'!$C$4:$C$503,_calc!$E$493))&amp;" – "&amp;IF(LEN(INDEX('Dealer pipeline'!$D$4:$D$503,_calc!$E$493))=0,"",INDEX('Dealer pipeline'!$D$4:$D$503,_calc!$E$493))&amp;" – "&amp;IF(LEN(INDEX('Dealer pipeline'!$A$4:$A$503,_calc!$E$493))=0,"",INDEX('Dealer pipeline'!$A$4:$A$503,_calc!$E$493)),"Warranty – "&amp;IF(LEN(INDEX('My equipment'!$A$4:$A$503,(_calc!$E$493-500)))=0,"",INDEX('My equipment'!$A$4:$A$503,(_calc!$E$493-500)))&amp;" – "&amp;IF(LEN(INDEX('My equipment'!$D$4:$D$503,(_calc!$E$493-500)))=0,"",INDEX('My equipment'!$D$4:$D$503,(_calc!$E$493-500)))))</f>
        <v/>
      </c>
      <c r="B491" s="54">
        <f>IF(_calc!$E$493="","",IF(_calc!$E$493&lt;=500,IF(ISNUMBER(INDEX('Dealer pipeline'!$M$4:$M$503,_calc!$E$493)),TEXT(INDEX('Dealer pipeline'!$M$4:$M$503,_calc!$E$493),"yyyy-mm-dd"),""),IF(ISNUMBER(INDEX('My equipment'!$M$4:$M$503,(_calc!$E$493-500))),TEXT(INDEX('My equipment'!$M$4:$M$503,(_calc!$E$493-500)),"yyyy-mm-dd"),"")))</f>
        <v/>
      </c>
      <c r="C491" s="54">
        <f>IF(_calc!$E$493="","",IF(_calc!$E$493&lt;=500,"Warranty","Warranty"))</f>
        <v/>
      </c>
      <c r="D491" s="54">
        <f>IF(_calc!$E$493="","",IF(_calc!$E$493&lt;=500,IF(ISNUMBER(INDEX('Dealer pipeline'!$H$4:$H$503,_calc!$E$493)),TEXT(INDEX('Dealer pipeline'!$H$4:$H$503,_calc!$E$493),"yyyy-mm-dd"),""),IF(ISNUMBER(INDEX('My equipment'!$H$4:$H$503,(_calc!$E$493-500))),TEXT(INDEX('My equipment'!$H$4:$H$503,(_calc!$E$493-500)),"yyyy-mm-dd"),"")))</f>
        <v/>
      </c>
      <c r="F491" s="54">
        <f>IF(_calc!$E$493="","",IF(_calc!$E$493&lt;=500,TRIM(IF(LEN(IF(LEN(INDEX('Dealer pipeline'!$A$4:$A$503,_calc!$E$493))=0,"",INDEX('Dealer pipeline'!$A$4:$A$503,_calc!$E$493)))=0,"","Customer: "&amp;IF(LEN(INDEX('Dealer pipeline'!$A$4:$A$503,_calc!$E$493))=0,"",INDEX('Dealer pipeline'!$A$4:$A$503,_calc!$E$493))&amp;". ")&amp;IF(LEN(IF(LEN(INDEX('Dealer pipeline'!$B$4:$B$503,_calc!$E$493))=0,"",INDEX('Dealer pipeline'!$B$4:$B$503,_calc!$E$493)))=0,"","Contact: "&amp;IF(LEN(INDEX('Dealer pipeline'!$B$4:$B$503,_calc!$E$493))=0,"",INDEX('Dealer pipeline'!$B$4:$B$503,_calc!$E$493))&amp;". ")&amp;IF(LEN(IF(LEN(INDEX('Dealer pipeline'!$D$4:$D$503,_calc!$E$493))=0,"",INDEX('Dealer pipeline'!$D$4:$D$503,_calc!$E$493)))=0,"","Serial: "&amp;IF(LEN(INDEX('Dealer pipeline'!$D$4:$D$503,_calc!$E$493))=0,"",INDEX('Dealer pipeline'!$D$4:$D$503,_calc!$E$493))&amp;". ")&amp;IF(LEN(IF(ISNUMBER(INDEX('Dealer pipeline'!$J$4:$J$503,_calc!$E$493)),TEXT(INDEX('Dealer pipeline'!$J$4:$J$503,_calc!$E$493),"yyyy-mm-dd"),""))=0,"","Parts end: "&amp;IF(ISNUMBER(INDEX('Dealer pipeline'!$J$4:$J$503,_calc!$E$493)),TEXT(INDEX('Dealer pipeline'!$J$4:$J$503,_calc!$E$493),"yyyy-mm-dd"),"")&amp;". ")&amp;IF(LEN(IF(ISNUMBER(INDEX('Dealer pipeline'!$L$4:$L$503,_calc!$E$493)),TEXT(INDEX('Dealer pipeline'!$L$4:$L$503,_calc!$E$493),"yyyy-mm-dd"),""))=0,"","Labor end: "&amp;IF(ISNUMBER(INDEX('Dealer pipeline'!$L$4:$L$503,_calc!$E$493)),TEXT(INDEX('Dealer pipeline'!$L$4:$L$503,_calc!$E$493),"yyyy-mm-dd"),"")&amp;". ")&amp;IF(LEN(IF(LEN(INDEX('Dealer pipeline'!$Q$4:$Q$503,_calc!$E$493))=0,"",INDEX('Dealer pipeline'!$Q$4:$Q$503,_calc!$E$493)))=0,"","Status: "&amp;IF(LEN(INDEX('Dealer pipeline'!$Q$4:$Q$503,_calc!$E$493))=0,"",INDEX('Dealer pipeline'!$Q$4:$Q$503,_calc!$E$493))&amp;". ")&amp;IF(LEN(IF(LEN(INDEX('Dealer pipeline'!$P$4:$P$503,_calc!$E$493))=0,"",INDEX('Dealer pipeline'!$P$4:$P$503,_calc!$E$493)))=0,"","Last touch: "&amp;IF(LEN(INDEX('Dealer pipeline'!$P$4:$P$503,_calc!$E$493))=0,"",INDEX('Dealer pipeline'!$P$4:$P$503,_calc!$E$493))&amp;". ")&amp;IF(LEN(IF(LEN(INDEX('Dealer pipeline'!$R$4:$R$503,_calc!$E$493))=0,"",INDEX('Dealer pipeline'!$R$4:$R$503,_calc!$E$493)))=0,"","Owner: "&amp;IF(LEN(INDEX('Dealer pipeline'!$R$4:$R$503,_calc!$E$493))=0,"",INDEX('Dealer pipeline'!$R$4:$R$503,_calc!$E$493))&amp;". ")&amp;IF(LEN(IF(LEN(INDEX('Dealer pipeline'!$S$4:$S$503,_calc!$E$493))=0,"",INDEX('Dealer pipeline'!$S$4:$S$503,_calc!$E$493)))=0,"","Backup: "&amp;IF(LEN(INDEX('Dealer pipeline'!$S$4:$S$503,_calc!$E$493))=0,"",INDEX('Dealer pipeline'!$S$4:$S$503,_calc!$E$493))&amp;". ")&amp;IF(LEN(IF(LEN(INDEX('Dealer pipeline'!$T$4:$T$503,_calc!$E$493))=0,"",INDEX('Dealer pipeline'!$T$4:$T$503,_calc!$E$493)))=0,"",IF(LEN(INDEX('Dealer pipeline'!$T$4:$T$503,_calc!$E$493))=0,"",INDEX('Dealer pipeline'!$T$4:$T$503,_calc!$E$493)))),TRIM(IF(LEN(IF(LEN(INDEX('My equipment'!$C$4:$C$503,(_calc!$E$493-500)))=0,"",INDEX('My equipment'!$C$4:$C$503,(_calc!$E$493-500))))=0,"","Model: "&amp;IF(LEN(INDEX('My equipment'!$C$4:$C$503,(_calc!$E$493-500)))=0,"",INDEX('My equipment'!$C$4:$C$503,(_calc!$E$493-500)))&amp;". ")&amp;IF(LEN(IF(LEN(INDEX('My equipment'!$D$4:$D$503,(_calc!$E$493-500)))=0,"",INDEX('My equipment'!$D$4:$D$503,(_calc!$E$493-500))))=0,"","Serial: "&amp;IF(LEN(INDEX('My equipment'!$D$4:$D$503,(_calc!$E$493-500)))=0,"",INDEX('My equipment'!$D$4:$D$503,(_calc!$E$493-500)))&amp;". ")&amp;IF(LEN(IF(ISNUMBER(INDEX('My equipment'!$J$4:$J$503,(_calc!$E$493-500))),TEXT(INDEX('My equipment'!$J$4:$J$503,(_calc!$E$493-500)),"yyyy-mm-dd"),""))=0,"","Parts end: "&amp;IF(ISNUMBER(INDEX('My equipment'!$J$4:$J$503,(_calc!$E$493-500))),TEXT(INDEX('My equipment'!$J$4:$J$503,(_calc!$E$493-500)),"yyyy-mm-dd"),"")&amp;". ")&amp;IF(LEN(IF(ISNUMBER(INDEX('My equipment'!$L$4:$L$503,(_calc!$E$493-500))),TEXT(INDEX('My equipment'!$L$4:$L$503,(_calc!$E$493-500)),"yyyy-mm-dd"),""))=0,"","Labor end: "&amp;IF(ISNUMBER(INDEX('My equipment'!$L$4:$L$503,(_calc!$E$493-500))),TEXT(INDEX('My equipment'!$L$4:$L$503,(_calc!$E$493-500)),"yyyy-mm-dd"),"")&amp;". ")&amp;IF(LEN(IF(ISNUMBER(INDEX('My equipment'!$P$4:$P$503,(_calc!$E$493-500))),TEXT(INDEX('My equipment'!$P$4:$P$503,(_calc!$E$493-500)),"yyyy-mm-dd"),""))=0,"","Check by: "&amp;IF(ISNUMBER(INDEX('My equipment'!$P$4:$P$503,(_calc!$E$493-500))),TEXT(INDEX('My equipment'!$P$4:$P$503,(_calc!$E$493-500)),"yyyy-mm-dd"),"")&amp;". ")&amp;IF(LEN(IF(LEN(INDEX('My equipment'!$Q$4:$Q$503,(_calc!$E$493-500)))=0,"",INDEX('My equipment'!$Q$4:$Q$503,(_calc!$E$493-500))))=0,"","Claim status: "&amp;IF(LEN(INDEX('My equipment'!$Q$4:$Q$503,(_calc!$E$493-500)))=0,"",INDEX('My equipment'!$Q$4:$Q$503,(_calc!$E$493-500)))&amp;". ")&amp;IF(LEN(IF(LEN(INDEX('My equipment'!$R$4:$R$503,(_calc!$E$493-500)))=0,"",INDEX('My equipment'!$R$4:$R$503,(_calc!$E$493-500))))=0,"","Claims contact: "&amp;IF(LEN(INDEX('My equipment'!$R$4:$R$503,(_calc!$E$493-500)))=0,"",INDEX('My equipment'!$R$4:$R$503,(_calc!$E$493-500)))&amp;". ")&amp;IF(LEN(IF(LEN(INDEX('My equipment'!$S$4:$S$503,(_calc!$E$493-500)))=0,"",INDEX('My equipment'!$S$4:$S$503,(_calc!$E$493-500))))=0,"","Claims email: "&amp;IF(LEN(INDEX('My equipment'!$S$4:$S$503,(_calc!$E$493-500)))=0,"",INDEX('My equipment'!$S$4:$S$503,(_calc!$E$493-500)))&amp;". ")&amp;IF(LEN(IF(LEN(INDEX('My equipment'!$U$4:$U$503,(_calc!$E$493-500)))=0,"",INDEX('My equipment'!$U$4:$U$503,(_calc!$E$493-500))))=0,"","Registered: "&amp;IF(LEN(INDEX('My equipment'!$U$4:$U$503,(_calc!$E$493-500)))=0,"",INDEX('My equipment'!$U$4:$U$503,(_calc!$E$493-500)))&amp;". ")&amp;IF(LEN(IF(LEN(INDEX('My equipment'!$V$4:$V$503,(_calc!$E$493-500)))=0,"",INDEX('My equipment'!$V$4:$V$503,(_calc!$E$493-500))))=0,"","Proof on file: "&amp;IF(LEN(INDEX('My equipment'!$V$4:$V$503,(_calc!$E$493-500)))=0,"",INDEX('My equipment'!$V$4:$V$503,(_calc!$E$493-500)))&amp;". ")&amp;IF(LEN(IF(LEN(INDEX('My equipment'!$W$4:$W$503,(_calc!$E$493-500)))=0,"",INDEX('My equipment'!$W$4:$W$503,(_calc!$E$493-500))))=0,"","Claim ref: "&amp;IF(LEN(INDEX('My equipment'!$W$4:$W$503,(_calc!$E$493-500)))=0,"",INDEX('My equipment'!$W$4:$W$503,(_calc!$E$493-500)))&amp;". ")&amp;IF(LEN(IF(LEN(INDEX('My equipment'!$Y$4:$Y$503,(_calc!$E$493-500)))=0,"",INDEX('My equipment'!$Y$4:$Y$503,(_calc!$E$493-500))))=0,"",IF(LEN(INDEX('My equipment'!$Y$4:$Y$503,(_calc!$E$493-500)))=0,"",INDEX('My equipment'!$Y$4:$Y$503,(_calc!$E$493-500)))))))</f>
        <v/>
      </c>
      <c r="G491" s="54">
        <f>IF(_calc!$E$493="","",IF(_calc!$E$493&lt;=500,"",IF(LEN(INDEX('My equipment'!$X$4:$X$503,(_calc!$E$493-500)))=0,"",INDEX('My equipment'!$X$4:$X$503,(_calc!$E$493-500)))))</f>
        <v/>
      </c>
      <c r="K491" s="54">
        <f>IF(_calc!$E$493="","",IF(_calc!$E$493&lt;=500,"",IF(LEN(INDEX('My equipment'!$T$4:$T$503,(_calc!$E$493-500)))=0,"",INDEX('My equipment'!$T$4:$T$503,(_calc!$E$493-500)))))</f>
        <v/>
      </c>
    </row>
    <row r="492">
      <c r="A492" s="54">
        <f>IF(_calc!$E$494="","",IF(_calc!$E$494&lt;=500,"Warranty – "&amp;IF(LEN(INDEX('Dealer pipeline'!$C$4:$C$503,_calc!$E$494))=0,"",INDEX('Dealer pipeline'!$C$4:$C$503,_calc!$E$494))&amp;" – "&amp;IF(LEN(INDEX('Dealer pipeline'!$D$4:$D$503,_calc!$E$494))=0,"",INDEX('Dealer pipeline'!$D$4:$D$503,_calc!$E$494))&amp;" – "&amp;IF(LEN(INDEX('Dealer pipeline'!$A$4:$A$503,_calc!$E$494))=0,"",INDEX('Dealer pipeline'!$A$4:$A$503,_calc!$E$494)),"Warranty – "&amp;IF(LEN(INDEX('My equipment'!$A$4:$A$503,(_calc!$E$494-500)))=0,"",INDEX('My equipment'!$A$4:$A$503,(_calc!$E$494-500)))&amp;" – "&amp;IF(LEN(INDEX('My equipment'!$D$4:$D$503,(_calc!$E$494-500)))=0,"",INDEX('My equipment'!$D$4:$D$503,(_calc!$E$494-500)))))</f>
        <v/>
      </c>
      <c r="B492" s="54">
        <f>IF(_calc!$E$494="","",IF(_calc!$E$494&lt;=500,IF(ISNUMBER(INDEX('Dealer pipeline'!$M$4:$M$503,_calc!$E$494)),TEXT(INDEX('Dealer pipeline'!$M$4:$M$503,_calc!$E$494),"yyyy-mm-dd"),""),IF(ISNUMBER(INDEX('My equipment'!$M$4:$M$503,(_calc!$E$494-500))),TEXT(INDEX('My equipment'!$M$4:$M$503,(_calc!$E$494-500)),"yyyy-mm-dd"),"")))</f>
        <v/>
      </c>
      <c r="C492" s="54">
        <f>IF(_calc!$E$494="","",IF(_calc!$E$494&lt;=500,"Warranty","Warranty"))</f>
        <v/>
      </c>
      <c r="D492" s="54">
        <f>IF(_calc!$E$494="","",IF(_calc!$E$494&lt;=500,IF(ISNUMBER(INDEX('Dealer pipeline'!$H$4:$H$503,_calc!$E$494)),TEXT(INDEX('Dealer pipeline'!$H$4:$H$503,_calc!$E$494),"yyyy-mm-dd"),""),IF(ISNUMBER(INDEX('My equipment'!$H$4:$H$503,(_calc!$E$494-500))),TEXT(INDEX('My equipment'!$H$4:$H$503,(_calc!$E$494-500)),"yyyy-mm-dd"),"")))</f>
        <v/>
      </c>
      <c r="F492" s="54">
        <f>IF(_calc!$E$494="","",IF(_calc!$E$494&lt;=500,TRIM(IF(LEN(IF(LEN(INDEX('Dealer pipeline'!$A$4:$A$503,_calc!$E$494))=0,"",INDEX('Dealer pipeline'!$A$4:$A$503,_calc!$E$494)))=0,"","Customer: "&amp;IF(LEN(INDEX('Dealer pipeline'!$A$4:$A$503,_calc!$E$494))=0,"",INDEX('Dealer pipeline'!$A$4:$A$503,_calc!$E$494))&amp;". ")&amp;IF(LEN(IF(LEN(INDEX('Dealer pipeline'!$B$4:$B$503,_calc!$E$494))=0,"",INDEX('Dealer pipeline'!$B$4:$B$503,_calc!$E$494)))=0,"","Contact: "&amp;IF(LEN(INDEX('Dealer pipeline'!$B$4:$B$503,_calc!$E$494))=0,"",INDEX('Dealer pipeline'!$B$4:$B$503,_calc!$E$494))&amp;". ")&amp;IF(LEN(IF(LEN(INDEX('Dealer pipeline'!$D$4:$D$503,_calc!$E$494))=0,"",INDEX('Dealer pipeline'!$D$4:$D$503,_calc!$E$494)))=0,"","Serial: "&amp;IF(LEN(INDEX('Dealer pipeline'!$D$4:$D$503,_calc!$E$494))=0,"",INDEX('Dealer pipeline'!$D$4:$D$503,_calc!$E$494))&amp;". ")&amp;IF(LEN(IF(ISNUMBER(INDEX('Dealer pipeline'!$J$4:$J$503,_calc!$E$494)),TEXT(INDEX('Dealer pipeline'!$J$4:$J$503,_calc!$E$494),"yyyy-mm-dd"),""))=0,"","Parts end: "&amp;IF(ISNUMBER(INDEX('Dealer pipeline'!$J$4:$J$503,_calc!$E$494)),TEXT(INDEX('Dealer pipeline'!$J$4:$J$503,_calc!$E$494),"yyyy-mm-dd"),"")&amp;". ")&amp;IF(LEN(IF(ISNUMBER(INDEX('Dealer pipeline'!$L$4:$L$503,_calc!$E$494)),TEXT(INDEX('Dealer pipeline'!$L$4:$L$503,_calc!$E$494),"yyyy-mm-dd"),""))=0,"","Labor end: "&amp;IF(ISNUMBER(INDEX('Dealer pipeline'!$L$4:$L$503,_calc!$E$494)),TEXT(INDEX('Dealer pipeline'!$L$4:$L$503,_calc!$E$494),"yyyy-mm-dd"),"")&amp;". ")&amp;IF(LEN(IF(LEN(INDEX('Dealer pipeline'!$Q$4:$Q$503,_calc!$E$494))=0,"",INDEX('Dealer pipeline'!$Q$4:$Q$503,_calc!$E$494)))=0,"","Status: "&amp;IF(LEN(INDEX('Dealer pipeline'!$Q$4:$Q$503,_calc!$E$494))=0,"",INDEX('Dealer pipeline'!$Q$4:$Q$503,_calc!$E$494))&amp;". ")&amp;IF(LEN(IF(LEN(INDEX('Dealer pipeline'!$P$4:$P$503,_calc!$E$494))=0,"",INDEX('Dealer pipeline'!$P$4:$P$503,_calc!$E$494)))=0,"","Last touch: "&amp;IF(LEN(INDEX('Dealer pipeline'!$P$4:$P$503,_calc!$E$494))=0,"",INDEX('Dealer pipeline'!$P$4:$P$503,_calc!$E$494))&amp;". ")&amp;IF(LEN(IF(LEN(INDEX('Dealer pipeline'!$R$4:$R$503,_calc!$E$494))=0,"",INDEX('Dealer pipeline'!$R$4:$R$503,_calc!$E$494)))=0,"","Owner: "&amp;IF(LEN(INDEX('Dealer pipeline'!$R$4:$R$503,_calc!$E$494))=0,"",INDEX('Dealer pipeline'!$R$4:$R$503,_calc!$E$494))&amp;". ")&amp;IF(LEN(IF(LEN(INDEX('Dealer pipeline'!$S$4:$S$503,_calc!$E$494))=0,"",INDEX('Dealer pipeline'!$S$4:$S$503,_calc!$E$494)))=0,"","Backup: "&amp;IF(LEN(INDEX('Dealer pipeline'!$S$4:$S$503,_calc!$E$494))=0,"",INDEX('Dealer pipeline'!$S$4:$S$503,_calc!$E$494))&amp;". ")&amp;IF(LEN(IF(LEN(INDEX('Dealer pipeline'!$T$4:$T$503,_calc!$E$494))=0,"",INDEX('Dealer pipeline'!$T$4:$T$503,_calc!$E$494)))=0,"",IF(LEN(INDEX('Dealer pipeline'!$T$4:$T$503,_calc!$E$494))=0,"",INDEX('Dealer pipeline'!$T$4:$T$503,_calc!$E$494)))),TRIM(IF(LEN(IF(LEN(INDEX('My equipment'!$C$4:$C$503,(_calc!$E$494-500)))=0,"",INDEX('My equipment'!$C$4:$C$503,(_calc!$E$494-500))))=0,"","Model: "&amp;IF(LEN(INDEX('My equipment'!$C$4:$C$503,(_calc!$E$494-500)))=0,"",INDEX('My equipment'!$C$4:$C$503,(_calc!$E$494-500)))&amp;". ")&amp;IF(LEN(IF(LEN(INDEX('My equipment'!$D$4:$D$503,(_calc!$E$494-500)))=0,"",INDEX('My equipment'!$D$4:$D$503,(_calc!$E$494-500))))=0,"","Serial: "&amp;IF(LEN(INDEX('My equipment'!$D$4:$D$503,(_calc!$E$494-500)))=0,"",INDEX('My equipment'!$D$4:$D$503,(_calc!$E$494-500)))&amp;". ")&amp;IF(LEN(IF(ISNUMBER(INDEX('My equipment'!$J$4:$J$503,(_calc!$E$494-500))),TEXT(INDEX('My equipment'!$J$4:$J$503,(_calc!$E$494-500)),"yyyy-mm-dd"),""))=0,"","Parts end: "&amp;IF(ISNUMBER(INDEX('My equipment'!$J$4:$J$503,(_calc!$E$494-500))),TEXT(INDEX('My equipment'!$J$4:$J$503,(_calc!$E$494-500)),"yyyy-mm-dd"),"")&amp;". ")&amp;IF(LEN(IF(ISNUMBER(INDEX('My equipment'!$L$4:$L$503,(_calc!$E$494-500))),TEXT(INDEX('My equipment'!$L$4:$L$503,(_calc!$E$494-500)),"yyyy-mm-dd"),""))=0,"","Labor end: "&amp;IF(ISNUMBER(INDEX('My equipment'!$L$4:$L$503,(_calc!$E$494-500))),TEXT(INDEX('My equipment'!$L$4:$L$503,(_calc!$E$494-500)),"yyyy-mm-dd"),"")&amp;". ")&amp;IF(LEN(IF(ISNUMBER(INDEX('My equipment'!$P$4:$P$503,(_calc!$E$494-500))),TEXT(INDEX('My equipment'!$P$4:$P$503,(_calc!$E$494-500)),"yyyy-mm-dd"),""))=0,"","Check by: "&amp;IF(ISNUMBER(INDEX('My equipment'!$P$4:$P$503,(_calc!$E$494-500))),TEXT(INDEX('My equipment'!$P$4:$P$503,(_calc!$E$494-500)),"yyyy-mm-dd"),"")&amp;". ")&amp;IF(LEN(IF(LEN(INDEX('My equipment'!$Q$4:$Q$503,(_calc!$E$494-500)))=0,"",INDEX('My equipment'!$Q$4:$Q$503,(_calc!$E$494-500))))=0,"","Claim status: "&amp;IF(LEN(INDEX('My equipment'!$Q$4:$Q$503,(_calc!$E$494-500)))=0,"",INDEX('My equipment'!$Q$4:$Q$503,(_calc!$E$494-500)))&amp;". ")&amp;IF(LEN(IF(LEN(INDEX('My equipment'!$R$4:$R$503,(_calc!$E$494-500)))=0,"",INDEX('My equipment'!$R$4:$R$503,(_calc!$E$494-500))))=0,"","Claims contact: "&amp;IF(LEN(INDEX('My equipment'!$R$4:$R$503,(_calc!$E$494-500)))=0,"",INDEX('My equipment'!$R$4:$R$503,(_calc!$E$494-500)))&amp;". ")&amp;IF(LEN(IF(LEN(INDEX('My equipment'!$S$4:$S$503,(_calc!$E$494-500)))=0,"",INDEX('My equipment'!$S$4:$S$503,(_calc!$E$494-500))))=0,"","Claims email: "&amp;IF(LEN(INDEX('My equipment'!$S$4:$S$503,(_calc!$E$494-500)))=0,"",INDEX('My equipment'!$S$4:$S$503,(_calc!$E$494-500)))&amp;". ")&amp;IF(LEN(IF(LEN(INDEX('My equipment'!$U$4:$U$503,(_calc!$E$494-500)))=0,"",INDEX('My equipment'!$U$4:$U$503,(_calc!$E$494-500))))=0,"","Registered: "&amp;IF(LEN(INDEX('My equipment'!$U$4:$U$503,(_calc!$E$494-500)))=0,"",INDEX('My equipment'!$U$4:$U$503,(_calc!$E$494-500)))&amp;". ")&amp;IF(LEN(IF(LEN(INDEX('My equipment'!$V$4:$V$503,(_calc!$E$494-500)))=0,"",INDEX('My equipment'!$V$4:$V$503,(_calc!$E$494-500))))=0,"","Proof on file: "&amp;IF(LEN(INDEX('My equipment'!$V$4:$V$503,(_calc!$E$494-500)))=0,"",INDEX('My equipment'!$V$4:$V$503,(_calc!$E$494-500)))&amp;". ")&amp;IF(LEN(IF(LEN(INDEX('My equipment'!$W$4:$W$503,(_calc!$E$494-500)))=0,"",INDEX('My equipment'!$W$4:$W$503,(_calc!$E$494-500))))=0,"","Claim ref: "&amp;IF(LEN(INDEX('My equipment'!$W$4:$W$503,(_calc!$E$494-500)))=0,"",INDEX('My equipment'!$W$4:$W$503,(_calc!$E$494-500)))&amp;". ")&amp;IF(LEN(IF(LEN(INDEX('My equipment'!$Y$4:$Y$503,(_calc!$E$494-500)))=0,"",INDEX('My equipment'!$Y$4:$Y$503,(_calc!$E$494-500))))=0,"",IF(LEN(INDEX('My equipment'!$Y$4:$Y$503,(_calc!$E$494-500)))=0,"",INDEX('My equipment'!$Y$4:$Y$503,(_calc!$E$494-500)))))))</f>
        <v/>
      </c>
      <c r="G492" s="54">
        <f>IF(_calc!$E$494="","",IF(_calc!$E$494&lt;=500,"",IF(LEN(INDEX('My equipment'!$X$4:$X$503,(_calc!$E$494-500)))=0,"",INDEX('My equipment'!$X$4:$X$503,(_calc!$E$494-500)))))</f>
        <v/>
      </c>
      <c r="K492" s="54">
        <f>IF(_calc!$E$494="","",IF(_calc!$E$494&lt;=500,"",IF(LEN(INDEX('My equipment'!$T$4:$T$503,(_calc!$E$494-500)))=0,"",INDEX('My equipment'!$T$4:$T$503,(_calc!$E$494-500)))))</f>
        <v/>
      </c>
    </row>
    <row r="493">
      <c r="A493" s="54">
        <f>IF(_calc!$E$495="","",IF(_calc!$E$495&lt;=500,"Warranty – "&amp;IF(LEN(INDEX('Dealer pipeline'!$C$4:$C$503,_calc!$E$495))=0,"",INDEX('Dealer pipeline'!$C$4:$C$503,_calc!$E$495))&amp;" – "&amp;IF(LEN(INDEX('Dealer pipeline'!$D$4:$D$503,_calc!$E$495))=0,"",INDEX('Dealer pipeline'!$D$4:$D$503,_calc!$E$495))&amp;" – "&amp;IF(LEN(INDEX('Dealer pipeline'!$A$4:$A$503,_calc!$E$495))=0,"",INDEX('Dealer pipeline'!$A$4:$A$503,_calc!$E$495)),"Warranty – "&amp;IF(LEN(INDEX('My equipment'!$A$4:$A$503,(_calc!$E$495-500)))=0,"",INDEX('My equipment'!$A$4:$A$503,(_calc!$E$495-500)))&amp;" – "&amp;IF(LEN(INDEX('My equipment'!$D$4:$D$503,(_calc!$E$495-500)))=0,"",INDEX('My equipment'!$D$4:$D$503,(_calc!$E$495-500)))))</f>
        <v/>
      </c>
      <c r="B493" s="54">
        <f>IF(_calc!$E$495="","",IF(_calc!$E$495&lt;=500,IF(ISNUMBER(INDEX('Dealer pipeline'!$M$4:$M$503,_calc!$E$495)),TEXT(INDEX('Dealer pipeline'!$M$4:$M$503,_calc!$E$495),"yyyy-mm-dd"),""),IF(ISNUMBER(INDEX('My equipment'!$M$4:$M$503,(_calc!$E$495-500))),TEXT(INDEX('My equipment'!$M$4:$M$503,(_calc!$E$495-500)),"yyyy-mm-dd"),"")))</f>
        <v/>
      </c>
      <c r="C493" s="54">
        <f>IF(_calc!$E$495="","",IF(_calc!$E$495&lt;=500,"Warranty","Warranty"))</f>
        <v/>
      </c>
      <c r="D493" s="54">
        <f>IF(_calc!$E$495="","",IF(_calc!$E$495&lt;=500,IF(ISNUMBER(INDEX('Dealer pipeline'!$H$4:$H$503,_calc!$E$495)),TEXT(INDEX('Dealer pipeline'!$H$4:$H$503,_calc!$E$495),"yyyy-mm-dd"),""),IF(ISNUMBER(INDEX('My equipment'!$H$4:$H$503,(_calc!$E$495-500))),TEXT(INDEX('My equipment'!$H$4:$H$503,(_calc!$E$495-500)),"yyyy-mm-dd"),"")))</f>
        <v/>
      </c>
      <c r="F493" s="54">
        <f>IF(_calc!$E$495="","",IF(_calc!$E$495&lt;=500,TRIM(IF(LEN(IF(LEN(INDEX('Dealer pipeline'!$A$4:$A$503,_calc!$E$495))=0,"",INDEX('Dealer pipeline'!$A$4:$A$503,_calc!$E$495)))=0,"","Customer: "&amp;IF(LEN(INDEX('Dealer pipeline'!$A$4:$A$503,_calc!$E$495))=0,"",INDEX('Dealer pipeline'!$A$4:$A$503,_calc!$E$495))&amp;". ")&amp;IF(LEN(IF(LEN(INDEX('Dealer pipeline'!$B$4:$B$503,_calc!$E$495))=0,"",INDEX('Dealer pipeline'!$B$4:$B$503,_calc!$E$495)))=0,"","Contact: "&amp;IF(LEN(INDEX('Dealer pipeline'!$B$4:$B$503,_calc!$E$495))=0,"",INDEX('Dealer pipeline'!$B$4:$B$503,_calc!$E$495))&amp;". ")&amp;IF(LEN(IF(LEN(INDEX('Dealer pipeline'!$D$4:$D$503,_calc!$E$495))=0,"",INDEX('Dealer pipeline'!$D$4:$D$503,_calc!$E$495)))=0,"","Serial: "&amp;IF(LEN(INDEX('Dealer pipeline'!$D$4:$D$503,_calc!$E$495))=0,"",INDEX('Dealer pipeline'!$D$4:$D$503,_calc!$E$495))&amp;". ")&amp;IF(LEN(IF(ISNUMBER(INDEX('Dealer pipeline'!$J$4:$J$503,_calc!$E$495)),TEXT(INDEX('Dealer pipeline'!$J$4:$J$503,_calc!$E$495),"yyyy-mm-dd"),""))=0,"","Parts end: "&amp;IF(ISNUMBER(INDEX('Dealer pipeline'!$J$4:$J$503,_calc!$E$495)),TEXT(INDEX('Dealer pipeline'!$J$4:$J$503,_calc!$E$495),"yyyy-mm-dd"),"")&amp;". ")&amp;IF(LEN(IF(ISNUMBER(INDEX('Dealer pipeline'!$L$4:$L$503,_calc!$E$495)),TEXT(INDEX('Dealer pipeline'!$L$4:$L$503,_calc!$E$495),"yyyy-mm-dd"),""))=0,"","Labor end: "&amp;IF(ISNUMBER(INDEX('Dealer pipeline'!$L$4:$L$503,_calc!$E$495)),TEXT(INDEX('Dealer pipeline'!$L$4:$L$503,_calc!$E$495),"yyyy-mm-dd"),"")&amp;". ")&amp;IF(LEN(IF(LEN(INDEX('Dealer pipeline'!$Q$4:$Q$503,_calc!$E$495))=0,"",INDEX('Dealer pipeline'!$Q$4:$Q$503,_calc!$E$495)))=0,"","Status: "&amp;IF(LEN(INDEX('Dealer pipeline'!$Q$4:$Q$503,_calc!$E$495))=0,"",INDEX('Dealer pipeline'!$Q$4:$Q$503,_calc!$E$495))&amp;". ")&amp;IF(LEN(IF(LEN(INDEX('Dealer pipeline'!$P$4:$P$503,_calc!$E$495))=0,"",INDEX('Dealer pipeline'!$P$4:$P$503,_calc!$E$495)))=0,"","Last touch: "&amp;IF(LEN(INDEX('Dealer pipeline'!$P$4:$P$503,_calc!$E$495))=0,"",INDEX('Dealer pipeline'!$P$4:$P$503,_calc!$E$495))&amp;". ")&amp;IF(LEN(IF(LEN(INDEX('Dealer pipeline'!$R$4:$R$503,_calc!$E$495))=0,"",INDEX('Dealer pipeline'!$R$4:$R$503,_calc!$E$495)))=0,"","Owner: "&amp;IF(LEN(INDEX('Dealer pipeline'!$R$4:$R$503,_calc!$E$495))=0,"",INDEX('Dealer pipeline'!$R$4:$R$503,_calc!$E$495))&amp;". ")&amp;IF(LEN(IF(LEN(INDEX('Dealer pipeline'!$S$4:$S$503,_calc!$E$495))=0,"",INDEX('Dealer pipeline'!$S$4:$S$503,_calc!$E$495)))=0,"","Backup: "&amp;IF(LEN(INDEX('Dealer pipeline'!$S$4:$S$503,_calc!$E$495))=0,"",INDEX('Dealer pipeline'!$S$4:$S$503,_calc!$E$495))&amp;". ")&amp;IF(LEN(IF(LEN(INDEX('Dealer pipeline'!$T$4:$T$503,_calc!$E$495))=0,"",INDEX('Dealer pipeline'!$T$4:$T$503,_calc!$E$495)))=0,"",IF(LEN(INDEX('Dealer pipeline'!$T$4:$T$503,_calc!$E$495))=0,"",INDEX('Dealer pipeline'!$T$4:$T$503,_calc!$E$495)))),TRIM(IF(LEN(IF(LEN(INDEX('My equipment'!$C$4:$C$503,(_calc!$E$495-500)))=0,"",INDEX('My equipment'!$C$4:$C$503,(_calc!$E$495-500))))=0,"","Model: "&amp;IF(LEN(INDEX('My equipment'!$C$4:$C$503,(_calc!$E$495-500)))=0,"",INDEX('My equipment'!$C$4:$C$503,(_calc!$E$495-500)))&amp;". ")&amp;IF(LEN(IF(LEN(INDEX('My equipment'!$D$4:$D$503,(_calc!$E$495-500)))=0,"",INDEX('My equipment'!$D$4:$D$503,(_calc!$E$495-500))))=0,"","Serial: "&amp;IF(LEN(INDEX('My equipment'!$D$4:$D$503,(_calc!$E$495-500)))=0,"",INDEX('My equipment'!$D$4:$D$503,(_calc!$E$495-500)))&amp;". ")&amp;IF(LEN(IF(ISNUMBER(INDEX('My equipment'!$J$4:$J$503,(_calc!$E$495-500))),TEXT(INDEX('My equipment'!$J$4:$J$503,(_calc!$E$495-500)),"yyyy-mm-dd"),""))=0,"","Parts end: "&amp;IF(ISNUMBER(INDEX('My equipment'!$J$4:$J$503,(_calc!$E$495-500))),TEXT(INDEX('My equipment'!$J$4:$J$503,(_calc!$E$495-500)),"yyyy-mm-dd"),"")&amp;". ")&amp;IF(LEN(IF(ISNUMBER(INDEX('My equipment'!$L$4:$L$503,(_calc!$E$495-500))),TEXT(INDEX('My equipment'!$L$4:$L$503,(_calc!$E$495-500)),"yyyy-mm-dd"),""))=0,"","Labor end: "&amp;IF(ISNUMBER(INDEX('My equipment'!$L$4:$L$503,(_calc!$E$495-500))),TEXT(INDEX('My equipment'!$L$4:$L$503,(_calc!$E$495-500)),"yyyy-mm-dd"),"")&amp;". ")&amp;IF(LEN(IF(ISNUMBER(INDEX('My equipment'!$P$4:$P$503,(_calc!$E$495-500))),TEXT(INDEX('My equipment'!$P$4:$P$503,(_calc!$E$495-500)),"yyyy-mm-dd"),""))=0,"","Check by: "&amp;IF(ISNUMBER(INDEX('My equipment'!$P$4:$P$503,(_calc!$E$495-500))),TEXT(INDEX('My equipment'!$P$4:$P$503,(_calc!$E$495-500)),"yyyy-mm-dd"),"")&amp;". ")&amp;IF(LEN(IF(LEN(INDEX('My equipment'!$Q$4:$Q$503,(_calc!$E$495-500)))=0,"",INDEX('My equipment'!$Q$4:$Q$503,(_calc!$E$495-500))))=0,"","Claim status: "&amp;IF(LEN(INDEX('My equipment'!$Q$4:$Q$503,(_calc!$E$495-500)))=0,"",INDEX('My equipment'!$Q$4:$Q$503,(_calc!$E$495-500)))&amp;". ")&amp;IF(LEN(IF(LEN(INDEX('My equipment'!$R$4:$R$503,(_calc!$E$495-500)))=0,"",INDEX('My equipment'!$R$4:$R$503,(_calc!$E$495-500))))=0,"","Claims contact: "&amp;IF(LEN(INDEX('My equipment'!$R$4:$R$503,(_calc!$E$495-500)))=0,"",INDEX('My equipment'!$R$4:$R$503,(_calc!$E$495-500)))&amp;". ")&amp;IF(LEN(IF(LEN(INDEX('My equipment'!$S$4:$S$503,(_calc!$E$495-500)))=0,"",INDEX('My equipment'!$S$4:$S$503,(_calc!$E$495-500))))=0,"","Claims email: "&amp;IF(LEN(INDEX('My equipment'!$S$4:$S$503,(_calc!$E$495-500)))=0,"",INDEX('My equipment'!$S$4:$S$503,(_calc!$E$495-500)))&amp;". ")&amp;IF(LEN(IF(LEN(INDEX('My equipment'!$U$4:$U$503,(_calc!$E$495-500)))=0,"",INDEX('My equipment'!$U$4:$U$503,(_calc!$E$495-500))))=0,"","Registered: "&amp;IF(LEN(INDEX('My equipment'!$U$4:$U$503,(_calc!$E$495-500)))=0,"",INDEX('My equipment'!$U$4:$U$503,(_calc!$E$495-500)))&amp;". ")&amp;IF(LEN(IF(LEN(INDEX('My equipment'!$V$4:$V$503,(_calc!$E$495-500)))=0,"",INDEX('My equipment'!$V$4:$V$503,(_calc!$E$495-500))))=0,"","Proof on file: "&amp;IF(LEN(INDEX('My equipment'!$V$4:$V$503,(_calc!$E$495-500)))=0,"",INDEX('My equipment'!$V$4:$V$503,(_calc!$E$495-500)))&amp;". ")&amp;IF(LEN(IF(LEN(INDEX('My equipment'!$W$4:$W$503,(_calc!$E$495-500)))=0,"",INDEX('My equipment'!$W$4:$W$503,(_calc!$E$495-500))))=0,"","Claim ref: "&amp;IF(LEN(INDEX('My equipment'!$W$4:$W$503,(_calc!$E$495-500)))=0,"",INDEX('My equipment'!$W$4:$W$503,(_calc!$E$495-500)))&amp;". ")&amp;IF(LEN(IF(LEN(INDEX('My equipment'!$Y$4:$Y$503,(_calc!$E$495-500)))=0,"",INDEX('My equipment'!$Y$4:$Y$503,(_calc!$E$495-500))))=0,"",IF(LEN(INDEX('My equipment'!$Y$4:$Y$503,(_calc!$E$495-500)))=0,"",INDEX('My equipment'!$Y$4:$Y$503,(_calc!$E$495-500)))))))</f>
        <v/>
      </c>
      <c r="G493" s="54">
        <f>IF(_calc!$E$495="","",IF(_calc!$E$495&lt;=500,"",IF(LEN(INDEX('My equipment'!$X$4:$X$503,(_calc!$E$495-500)))=0,"",INDEX('My equipment'!$X$4:$X$503,(_calc!$E$495-500)))))</f>
        <v/>
      </c>
      <c r="K493" s="54">
        <f>IF(_calc!$E$495="","",IF(_calc!$E$495&lt;=500,"",IF(LEN(INDEX('My equipment'!$T$4:$T$503,(_calc!$E$495-500)))=0,"",INDEX('My equipment'!$T$4:$T$503,(_calc!$E$495-500)))))</f>
        <v/>
      </c>
    </row>
    <row r="494">
      <c r="A494" s="54">
        <f>IF(_calc!$E$496="","",IF(_calc!$E$496&lt;=500,"Warranty – "&amp;IF(LEN(INDEX('Dealer pipeline'!$C$4:$C$503,_calc!$E$496))=0,"",INDEX('Dealer pipeline'!$C$4:$C$503,_calc!$E$496))&amp;" – "&amp;IF(LEN(INDEX('Dealer pipeline'!$D$4:$D$503,_calc!$E$496))=0,"",INDEX('Dealer pipeline'!$D$4:$D$503,_calc!$E$496))&amp;" – "&amp;IF(LEN(INDEX('Dealer pipeline'!$A$4:$A$503,_calc!$E$496))=0,"",INDEX('Dealer pipeline'!$A$4:$A$503,_calc!$E$496)),"Warranty – "&amp;IF(LEN(INDEX('My equipment'!$A$4:$A$503,(_calc!$E$496-500)))=0,"",INDEX('My equipment'!$A$4:$A$503,(_calc!$E$496-500)))&amp;" – "&amp;IF(LEN(INDEX('My equipment'!$D$4:$D$503,(_calc!$E$496-500)))=0,"",INDEX('My equipment'!$D$4:$D$503,(_calc!$E$496-500)))))</f>
        <v/>
      </c>
      <c r="B494" s="54">
        <f>IF(_calc!$E$496="","",IF(_calc!$E$496&lt;=500,IF(ISNUMBER(INDEX('Dealer pipeline'!$M$4:$M$503,_calc!$E$496)),TEXT(INDEX('Dealer pipeline'!$M$4:$M$503,_calc!$E$496),"yyyy-mm-dd"),""),IF(ISNUMBER(INDEX('My equipment'!$M$4:$M$503,(_calc!$E$496-500))),TEXT(INDEX('My equipment'!$M$4:$M$503,(_calc!$E$496-500)),"yyyy-mm-dd"),"")))</f>
        <v/>
      </c>
      <c r="C494" s="54">
        <f>IF(_calc!$E$496="","",IF(_calc!$E$496&lt;=500,"Warranty","Warranty"))</f>
        <v/>
      </c>
      <c r="D494" s="54">
        <f>IF(_calc!$E$496="","",IF(_calc!$E$496&lt;=500,IF(ISNUMBER(INDEX('Dealer pipeline'!$H$4:$H$503,_calc!$E$496)),TEXT(INDEX('Dealer pipeline'!$H$4:$H$503,_calc!$E$496),"yyyy-mm-dd"),""),IF(ISNUMBER(INDEX('My equipment'!$H$4:$H$503,(_calc!$E$496-500))),TEXT(INDEX('My equipment'!$H$4:$H$503,(_calc!$E$496-500)),"yyyy-mm-dd"),"")))</f>
        <v/>
      </c>
      <c r="F494" s="54">
        <f>IF(_calc!$E$496="","",IF(_calc!$E$496&lt;=500,TRIM(IF(LEN(IF(LEN(INDEX('Dealer pipeline'!$A$4:$A$503,_calc!$E$496))=0,"",INDEX('Dealer pipeline'!$A$4:$A$503,_calc!$E$496)))=0,"","Customer: "&amp;IF(LEN(INDEX('Dealer pipeline'!$A$4:$A$503,_calc!$E$496))=0,"",INDEX('Dealer pipeline'!$A$4:$A$503,_calc!$E$496))&amp;". ")&amp;IF(LEN(IF(LEN(INDEX('Dealer pipeline'!$B$4:$B$503,_calc!$E$496))=0,"",INDEX('Dealer pipeline'!$B$4:$B$503,_calc!$E$496)))=0,"","Contact: "&amp;IF(LEN(INDEX('Dealer pipeline'!$B$4:$B$503,_calc!$E$496))=0,"",INDEX('Dealer pipeline'!$B$4:$B$503,_calc!$E$496))&amp;". ")&amp;IF(LEN(IF(LEN(INDEX('Dealer pipeline'!$D$4:$D$503,_calc!$E$496))=0,"",INDEX('Dealer pipeline'!$D$4:$D$503,_calc!$E$496)))=0,"","Serial: "&amp;IF(LEN(INDEX('Dealer pipeline'!$D$4:$D$503,_calc!$E$496))=0,"",INDEX('Dealer pipeline'!$D$4:$D$503,_calc!$E$496))&amp;". ")&amp;IF(LEN(IF(ISNUMBER(INDEX('Dealer pipeline'!$J$4:$J$503,_calc!$E$496)),TEXT(INDEX('Dealer pipeline'!$J$4:$J$503,_calc!$E$496),"yyyy-mm-dd"),""))=0,"","Parts end: "&amp;IF(ISNUMBER(INDEX('Dealer pipeline'!$J$4:$J$503,_calc!$E$496)),TEXT(INDEX('Dealer pipeline'!$J$4:$J$503,_calc!$E$496),"yyyy-mm-dd"),"")&amp;". ")&amp;IF(LEN(IF(ISNUMBER(INDEX('Dealer pipeline'!$L$4:$L$503,_calc!$E$496)),TEXT(INDEX('Dealer pipeline'!$L$4:$L$503,_calc!$E$496),"yyyy-mm-dd"),""))=0,"","Labor end: "&amp;IF(ISNUMBER(INDEX('Dealer pipeline'!$L$4:$L$503,_calc!$E$496)),TEXT(INDEX('Dealer pipeline'!$L$4:$L$503,_calc!$E$496),"yyyy-mm-dd"),"")&amp;". ")&amp;IF(LEN(IF(LEN(INDEX('Dealer pipeline'!$Q$4:$Q$503,_calc!$E$496))=0,"",INDEX('Dealer pipeline'!$Q$4:$Q$503,_calc!$E$496)))=0,"","Status: "&amp;IF(LEN(INDEX('Dealer pipeline'!$Q$4:$Q$503,_calc!$E$496))=0,"",INDEX('Dealer pipeline'!$Q$4:$Q$503,_calc!$E$496))&amp;". ")&amp;IF(LEN(IF(LEN(INDEX('Dealer pipeline'!$P$4:$P$503,_calc!$E$496))=0,"",INDEX('Dealer pipeline'!$P$4:$P$503,_calc!$E$496)))=0,"","Last touch: "&amp;IF(LEN(INDEX('Dealer pipeline'!$P$4:$P$503,_calc!$E$496))=0,"",INDEX('Dealer pipeline'!$P$4:$P$503,_calc!$E$496))&amp;". ")&amp;IF(LEN(IF(LEN(INDEX('Dealer pipeline'!$R$4:$R$503,_calc!$E$496))=0,"",INDEX('Dealer pipeline'!$R$4:$R$503,_calc!$E$496)))=0,"","Owner: "&amp;IF(LEN(INDEX('Dealer pipeline'!$R$4:$R$503,_calc!$E$496))=0,"",INDEX('Dealer pipeline'!$R$4:$R$503,_calc!$E$496))&amp;". ")&amp;IF(LEN(IF(LEN(INDEX('Dealer pipeline'!$S$4:$S$503,_calc!$E$496))=0,"",INDEX('Dealer pipeline'!$S$4:$S$503,_calc!$E$496)))=0,"","Backup: "&amp;IF(LEN(INDEX('Dealer pipeline'!$S$4:$S$503,_calc!$E$496))=0,"",INDEX('Dealer pipeline'!$S$4:$S$503,_calc!$E$496))&amp;". ")&amp;IF(LEN(IF(LEN(INDEX('Dealer pipeline'!$T$4:$T$503,_calc!$E$496))=0,"",INDEX('Dealer pipeline'!$T$4:$T$503,_calc!$E$496)))=0,"",IF(LEN(INDEX('Dealer pipeline'!$T$4:$T$503,_calc!$E$496))=0,"",INDEX('Dealer pipeline'!$T$4:$T$503,_calc!$E$496)))),TRIM(IF(LEN(IF(LEN(INDEX('My equipment'!$C$4:$C$503,(_calc!$E$496-500)))=0,"",INDEX('My equipment'!$C$4:$C$503,(_calc!$E$496-500))))=0,"","Model: "&amp;IF(LEN(INDEX('My equipment'!$C$4:$C$503,(_calc!$E$496-500)))=0,"",INDEX('My equipment'!$C$4:$C$503,(_calc!$E$496-500)))&amp;". ")&amp;IF(LEN(IF(LEN(INDEX('My equipment'!$D$4:$D$503,(_calc!$E$496-500)))=0,"",INDEX('My equipment'!$D$4:$D$503,(_calc!$E$496-500))))=0,"","Serial: "&amp;IF(LEN(INDEX('My equipment'!$D$4:$D$503,(_calc!$E$496-500)))=0,"",INDEX('My equipment'!$D$4:$D$503,(_calc!$E$496-500)))&amp;". ")&amp;IF(LEN(IF(ISNUMBER(INDEX('My equipment'!$J$4:$J$503,(_calc!$E$496-500))),TEXT(INDEX('My equipment'!$J$4:$J$503,(_calc!$E$496-500)),"yyyy-mm-dd"),""))=0,"","Parts end: "&amp;IF(ISNUMBER(INDEX('My equipment'!$J$4:$J$503,(_calc!$E$496-500))),TEXT(INDEX('My equipment'!$J$4:$J$503,(_calc!$E$496-500)),"yyyy-mm-dd"),"")&amp;". ")&amp;IF(LEN(IF(ISNUMBER(INDEX('My equipment'!$L$4:$L$503,(_calc!$E$496-500))),TEXT(INDEX('My equipment'!$L$4:$L$503,(_calc!$E$496-500)),"yyyy-mm-dd"),""))=0,"","Labor end: "&amp;IF(ISNUMBER(INDEX('My equipment'!$L$4:$L$503,(_calc!$E$496-500))),TEXT(INDEX('My equipment'!$L$4:$L$503,(_calc!$E$496-500)),"yyyy-mm-dd"),"")&amp;". ")&amp;IF(LEN(IF(ISNUMBER(INDEX('My equipment'!$P$4:$P$503,(_calc!$E$496-500))),TEXT(INDEX('My equipment'!$P$4:$P$503,(_calc!$E$496-500)),"yyyy-mm-dd"),""))=0,"","Check by: "&amp;IF(ISNUMBER(INDEX('My equipment'!$P$4:$P$503,(_calc!$E$496-500))),TEXT(INDEX('My equipment'!$P$4:$P$503,(_calc!$E$496-500)),"yyyy-mm-dd"),"")&amp;". ")&amp;IF(LEN(IF(LEN(INDEX('My equipment'!$Q$4:$Q$503,(_calc!$E$496-500)))=0,"",INDEX('My equipment'!$Q$4:$Q$503,(_calc!$E$496-500))))=0,"","Claim status: "&amp;IF(LEN(INDEX('My equipment'!$Q$4:$Q$503,(_calc!$E$496-500)))=0,"",INDEX('My equipment'!$Q$4:$Q$503,(_calc!$E$496-500)))&amp;". ")&amp;IF(LEN(IF(LEN(INDEX('My equipment'!$R$4:$R$503,(_calc!$E$496-500)))=0,"",INDEX('My equipment'!$R$4:$R$503,(_calc!$E$496-500))))=0,"","Claims contact: "&amp;IF(LEN(INDEX('My equipment'!$R$4:$R$503,(_calc!$E$496-500)))=0,"",INDEX('My equipment'!$R$4:$R$503,(_calc!$E$496-500)))&amp;". ")&amp;IF(LEN(IF(LEN(INDEX('My equipment'!$S$4:$S$503,(_calc!$E$496-500)))=0,"",INDEX('My equipment'!$S$4:$S$503,(_calc!$E$496-500))))=0,"","Claims email: "&amp;IF(LEN(INDEX('My equipment'!$S$4:$S$503,(_calc!$E$496-500)))=0,"",INDEX('My equipment'!$S$4:$S$503,(_calc!$E$496-500)))&amp;". ")&amp;IF(LEN(IF(LEN(INDEX('My equipment'!$U$4:$U$503,(_calc!$E$496-500)))=0,"",INDEX('My equipment'!$U$4:$U$503,(_calc!$E$496-500))))=0,"","Registered: "&amp;IF(LEN(INDEX('My equipment'!$U$4:$U$503,(_calc!$E$496-500)))=0,"",INDEX('My equipment'!$U$4:$U$503,(_calc!$E$496-500)))&amp;". ")&amp;IF(LEN(IF(LEN(INDEX('My equipment'!$V$4:$V$503,(_calc!$E$496-500)))=0,"",INDEX('My equipment'!$V$4:$V$503,(_calc!$E$496-500))))=0,"","Proof on file: "&amp;IF(LEN(INDEX('My equipment'!$V$4:$V$503,(_calc!$E$496-500)))=0,"",INDEX('My equipment'!$V$4:$V$503,(_calc!$E$496-500)))&amp;". ")&amp;IF(LEN(IF(LEN(INDEX('My equipment'!$W$4:$W$503,(_calc!$E$496-500)))=0,"",INDEX('My equipment'!$W$4:$W$503,(_calc!$E$496-500))))=0,"","Claim ref: "&amp;IF(LEN(INDEX('My equipment'!$W$4:$W$503,(_calc!$E$496-500)))=0,"",INDEX('My equipment'!$W$4:$W$503,(_calc!$E$496-500)))&amp;". ")&amp;IF(LEN(IF(LEN(INDEX('My equipment'!$Y$4:$Y$503,(_calc!$E$496-500)))=0,"",INDEX('My equipment'!$Y$4:$Y$503,(_calc!$E$496-500))))=0,"",IF(LEN(INDEX('My equipment'!$Y$4:$Y$503,(_calc!$E$496-500)))=0,"",INDEX('My equipment'!$Y$4:$Y$503,(_calc!$E$496-500)))))))</f>
        <v/>
      </c>
      <c r="G494" s="54">
        <f>IF(_calc!$E$496="","",IF(_calc!$E$496&lt;=500,"",IF(LEN(INDEX('My equipment'!$X$4:$X$503,(_calc!$E$496-500)))=0,"",INDEX('My equipment'!$X$4:$X$503,(_calc!$E$496-500)))))</f>
        <v/>
      </c>
      <c r="K494" s="54">
        <f>IF(_calc!$E$496="","",IF(_calc!$E$496&lt;=500,"",IF(LEN(INDEX('My equipment'!$T$4:$T$503,(_calc!$E$496-500)))=0,"",INDEX('My equipment'!$T$4:$T$503,(_calc!$E$496-500)))))</f>
        <v/>
      </c>
    </row>
    <row r="495">
      <c r="A495" s="54">
        <f>IF(_calc!$E$497="","",IF(_calc!$E$497&lt;=500,"Warranty – "&amp;IF(LEN(INDEX('Dealer pipeline'!$C$4:$C$503,_calc!$E$497))=0,"",INDEX('Dealer pipeline'!$C$4:$C$503,_calc!$E$497))&amp;" – "&amp;IF(LEN(INDEX('Dealer pipeline'!$D$4:$D$503,_calc!$E$497))=0,"",INDEX('Dealer pipeline'!$D$4:$D$503,_calc!$E$497))&amp;" – "&amp;IF(LEN(INDEX('Dealer pipeline'!$A$4:$A$503,_calc!$E$497))=0,"",INDEX('Dealer pipeline'!$A$4:$A$503,_calc!$E$497)),"Warranty – "&amp;IF(LEN(INDEX('My equipment'!$A$4:$A$503,(_calc!$E$497-500)))=0,"",INDEX('My equipment'!$A$4:$A$503,(_calc!$E$497-500)))&amp;" – "&amp;IF(LEN(INDEX('My equipment'!$D$4:$D$503,(_calc!$E$497-500)))=0,"",INDEX('My equipment'!$D$4:$D$503,(_calc!$E$497-500)))))</f>
        <v/>
      </c>
      <c r="B495" s="54">
        <f>IF(_calc!$E$497="","",IF(_calc!$E$497&lt;=500,IF(ISNUMBER(INDEX('Dealer pipeline'!$M$4:$M$503,_calc!$E$497)),TEXT(INDEX('Dealer pipeline'!$M$4:$M$503,_calc!$E$497),"yyyy-mm-dd"),""),IF(ISNUMBER(INDEX('My equipment'!$M$4:$M$503,(_calc!$E$497-500))),TEXT(INDEX('My equipment'!$M$4:$M$503,(_calc!$E$497-500)),"yyyy-mm-dd"),"")))</f>
        <v/>
      </c>
      <c r="C495" s="54">
        <f>IF(_calc!$E$497="","",IF(_calc!$E$497&lt;=500,"Warranty","Warranty"))</f>
        <v/>
      </c>
      <c r="D495" s="54">
        <f>IF(_calc!$E$497="","",IF(_calc!$E$497&lt;=500,IF(ISNUMBER(INDEX('Dealer pipeline'!$H$4:$H$503,_calc!$E$497)),TEXT(INDEX('Dealer pipeline'!$H$4:$H$503,_calc!$E$497),"yyyy-mm-dd"),""),IF(ISNUMBER(INDEX('My equipment'!$H$4:$H$503,(_calc!$E$497-500))),TEXT(INDEX('My equipment'!$H$4:$H$503,(_calc!$E$497-500)),"yyyy-mm-dd"),"")))</f>
        <v/>
      </c>
      <c r="F495" s="54">
        <f>IF(_calc!$E$497="","",IF(_calc!$E$497&lt;=500,TRIM(IF(LEN(IF(LEN(INDEX('Dealer pipeline'!$A$4:$A$503,_calc!$E$497))=0,"",INDEX('Dealer pipeline'!$A$4:$A$503,_calc!$E$497)))=0,"","Customer: "&amp;IF(LEN(INDEX('Dealer pipeline'!$A$4:$A$503,_calc!$E$497))=0,"",INDEX('Dealer pipeline'!$A$4:$A$503,_calc!$E$497))&amp;". ")&amp;IF(LEN(IF(LEN(INDEX('Dealer pipeline'!$B$4:$B$503,_calc!$E$497))=0,"",INDEX('Dealer pipeline'!$B$4:$B$503,_calc!$E$497)))=0,"","Contact: "&amp;IF(LEN(INDEX('Dealer pipeline'!$B$4:$B$503,_calc!$E$497))=0,"",INDEX('Dealer pipeline'!$B$4:$B$503,_calc!$E$497))&amp;". ")&amp;IF(LEN(IF(LEN(INDEX('Dealer pipeline'!$D$4:$D$503,_calc!$E$497))=0,"",INDEX('Dealer pipeline'!$D$4:$D$503,_calc!$E$497)))=0,"","Serial: "&amp;IF(LEN(INDEX('Dealer pipeline'!$D$4:$D$503,_calc!$E$497))=0,"",INDEX('Dealer pipeline'!$D$4:$D$503,_calc!$E$497))&amp;". ")&amp;IF(LEN(IF(ISNUMBER(INDEX('Dealer pipeline'!$J$4:$J$503,_calc!$E$497)),TEXT(INDEX('Dealer pipeline'!$J$4:$J$503,_calc!$E$497),"yyyy-mm-dd"),""))=0,"","Parts end: "&amp;IF(ISNUMBER(INDEX('Dealer pipeline'!$J$4:$J$503,_calc!$E$497)),TEXT(INDEX('Dealer pipeline'!$J$4:$J$503,_calc!$E$497),"yyyy-mm-dd"),"")&amp;". ")&amp;IF(LEN(IF(ISNUMBER(INDEX('Dealer pipeline'!$L$4:$L$503,_calc!$E$497)),TEXT(INDEX('Dealer pipeline'!$L$4:$L$503,_calc!$E$497),"yyyy-mm-dd"),""))=0,"","Labor end: "&amp;IF(ISNUMBER(INDEX('Dealer pipeline'!$L$4:$L$503,_calc!$E$497)),TEXT(INDEX('Dealer pipeline'!$L$4:$L$503,_calc!$E$497),"yyyy-mm-dd"),"")&amp;". ")&amp;IF(LEN(IF(LEN(INDEX('Dealer pipeline'!$Q$4:$Q$503,_calc!$E$497))=0,"",INDEX('Dealer pipeline'!$Q$4:$Q$503,_calc!$E$497)))=0,"","Status: "&amp;IF(LEN(INDEX('Dealer pipeline'!$Q$4:$Q$503,_calc!$E$497))=0,"",INDEX('Dealer pipeline'!$Q$4:$Q$503,_calc!$E$497))&amp;". ")&amp;IF(LEN(IF(LEN(INDEX('Dealer pipeline'!$P$4:$P$503,_calc!$E$497))=0,"",INDEX('Dealer pipeline'!$P$4:$P$503,_calc!$E$497)))=0,"","Last touch: "&amp;IF(LEN(INDEX('Dealer pipeline'!$P$4:$P$503,_calc!$E$497))=0,"",INDEX('Dealer pipeline'!$P$4:$P$503,_calc!$E$497))&amp;". ")&amp;IF(LEN(IF(LEN(INDEX('Dealer pipeline'!$R$4:$R$503,_calc!$E$497))=0,"",INDEX('Dealer pipeline'!$R$4:$R$503,_calc!$E$497)))=0,"","Owner: "&amp;IF(LEN(INDEX('Dealer pipeline'!$R$4:$R$503,_calc!$E$497))=0,"",INDEX('Dealer pipeline'!$R$4:$R$503,_calc!$E$497))&amp;". ")&amp;IF(LEN(IF(LEN(INDEX('Dealer pipeline'!$S$4:$S$503,_calc!$E$497))=0,"",INDEX('Dealer pipeline'!$S$4:$S$503,_calc!$E$497)))=0,"","Backup: "&amp;IF(LEN(INDEX('Dealer pipeline'!$S$4:$S$503,_calc!$E$497))=0,"",INDEX('Dealer pipeline'!$S$4:$S$503,_calc!$E$497))&amp;". ")&amp;IF(LEN(IF(LEN(INDEX('Dealer pipeline'!$T$4:$T$503,_calc!$E$497))=0,"",INDEX('Dealer pipeline'!$T$4:$T$503,_calc!$E$497)))=0,"",IF(LEN(INDEX('Dealer pipeline'!$T$4:$T$503,_calc!$E$497))=0,"",INDEX('Dealer pipeline'!$T$4:$T$503,_calc!$E$497)))),TRIM(IF(LEN(IF(LEN(INDEX('My equipment'!$C$4:$C$503,(_calc!$E$497-500)))=0,"",INDEX('My equipment'!$C$4:$C$503,(_calc!$E$497-500))))=0,"","Model: "&amp;IF(LEN(INDEX('My equipment'!$C$4:$C$503,(_calc!$E$497-500)))=0,"",INDEX('My equipment'!$C$4:$C$503,(_calc!$E$497-500)))&amp;". ")&amp;IF(LEN(IF(LEN(INDEX('My equipment'!$D$4:$D$503,(_calc!$E$497-500)))=0,"",INDEX('My equipment'!$D$4:$D$503,(_calc!$E$497-500))))=0,"","Serial: "&amp;IF(LEN(INDEX('My equipment'!$D$4:$D$503,(_calc!$E$497-500)))=0,"",INDEX('My equipment'!$D$4:$D$503,(_calc!$E$497-500)))&amp;". ")&amp;IF(LEN(IF(ISNUMBER(INDEX('My equipment'!$J$4:$J$503,(_calc!$E$497-500))),TEXT(INDEX('My equipment'!$J$4:$J$503,(_calc!$E$497-500)),"yyyy-mm-dd"),""))=0,"","Parts end: "&amp;IF(ISNUMBER(INDEX('My equipment'!$J$4:$J$503,(_calc!$E$497-500))),TEXT(INDEX('My equipment'!$J$4:$J$503,(_calc!$E$497-500)),"yyyy-mm-dd"),"")&amp;". ")&amp;IF(LEN(IF(ISNUMBER(INDEX('My equipment'!$L$4:$L$503,(_calc!$E$497-500))),TEXT(INDEX('My equipment'!$L$4:$L$503,(_calc!$E$497-500)),"yyyy-mm-dd"),""))=0,"","Labor end: "&amp;IF(ISNUMBER(INDEX('My equipment'!$L$4:$L$503,(_calc!$E$497-500))),TEXT(INDEX('My equipment'!$L$4:$L$503,(_calc!$E$497-500)),"yyyy-mm-dd"),"")&amp;". ")&amp;IF(LEN(IF(ISNUMBER(INDEX('My equipment'!$P$4:$P$503,(_calc!$E$497-500))),TEXT(INDEX('My equipment'!$P$4:$P$503,(_calc!$E$497-500)),"yyyy-mm-dd"),""))=0,"","Check by: "&amp;IF(ISNUMBER(INDEX('My equipment'!$P$4:$P$503,(_calc!$E$497-500))),TEXT(INDEX('My equipment'!$P$4:$P$503,(_calc!$E$497-500)),"yyyy-mm-dd"),"")&amp;". ")&amp;IF(LEN(IF(LEN(INDEX('My equipment'!$Q$4:$Q$503,(_calc!$E$497-500)))=0,"",INDEX('My equipment'!$Q$4:$Q$503,(_calc!$E$497-500))))=0,"","Claim status: "&amp;IF(LEN(INDEX('My equipment'!$Q$4:$Q$503,(_calc!$E$497-500)))=0,"",INDEX('My equipment'!$Q$4:$Q$503,(_calc!$E$497-500)))&amp;". ")&amp;IF(LEN(IF(LEN(INDEX('My equipment'!$R$4:$R$503,(_calc!$E$497-500)))=0,"",INDEX('My equipment'!$R$4:$R$503,(_calc!$E$497-500))))=0,"","Claims contact: "&amp;IF(LEN(INDEX('My equipment'!$R$4:$R$503,(_calc!$E$497-500)))=0,"",INDEX('My equipment'!$R$4:$R$503,(_calc!$E$497-500)))&amp;". ")&amp;IF(LEN(IF(LEN(INDEX('My equipment'!$S$4:$S$503,(_calc!$E$497-500)))=0,"",INDEX('My equipment'!$S$4:$S$503,(_calc!$E$497-500))))=0,"","Claims email: "&amp;IF(LEN(INDEX('My equipment'!$S$4:$S$503,(_calc!$E$497-500)))=0,"",INDEX('My equipment'!$S$4:$S$503,(_calc!$E$497-500)))&amp;". ")&amp;IF(LEN(IF(LEN(INDEX('My equipment'!$U$4:$U$503,(_calc!$E$497-500)))=0,"",INDEX('My equipment'!$U$4:$U$503,(_calc!$E$497-500))))=0,"","Registered: "&amp;IF(LEN(INDEX('My equipment'!$U$4:$U$503,(_calc!$E$497-500)))=0,"",INDEX('My equipment'!$U$4:$U$503,(_calc!$E$497-500)))&amp;". ")&amp;IF(LEN(IF(LEN(INDEX('My equipment'!$V$4:$V$503,(_calc!$E$497-500)))=0,"",INDEX('My equipment'!$V$4:$V$503,(_calc!$E$497-500))))=0,"","Proof on file: "&amp;IF(LEN(INDEX('My equipment'!$V$4:$V$503,(_calc!$E$497-500)))=0,"",INDEX('My equipment'!$V$4:$V$503,(_calc!$E$497-500)))&amp;". ")&amp;IF(LEN(IF(LEN(INDEX('My equipment'!$W$4:$W$503,(_calc!$E$497-500)))=0,"",INDEX('My equipment'!$W$4:$W$503,(_calc!$E$497-500))))=0,"","Claim ref: "&amp;IF(LEN(INDEX('My equipment'!$W$4:$W$503,(_calc!$E$497-500)))=0,"",INDEX('My equipment'!$W$4:$W$503,(_calc!$E$497-500)))&amp;". ")&amp;IF(LEN(IF(LEN(INDEX('My equipment'!$Y$4:$Y$503,(_calc!$E$497-500)))=0,"",INDEX('My equipment'!$Y$4:$Y$503,(_calc!$E$497-500))))=0,"",IF(LEN(INDEX('My equipment'!$Y$4:$Y$503,(_calc!$E$497-500)))=0,"",INDEX('My equipment'!$Y$4:$Y$503,(_calc!$E$497-500)))))))</f>
        <v/>
      </c>
      <c r="G495" s="54">
        <f>IF(_calc!$E$497="","",IF(_calc!$E$497&lt;=500,"",IF(LEN(INDEX('My equipment'!$X$4:$X$503,(_calc!$E$497-500)))=0,"",INDEX('My equipment'!$X$4:$X$503,(_calc!$E$497-500)))))</f>
        <v/>
      </c>
      <c r="K495" s="54">
        <f>IF(_calc!$E$497="","",IF(_calc!$E$497&lt;=500,"",IF(LEN(INDEX('My equipment'!$T$4:$T$503,(_calc!$E$497-500)))=0,"",INDEX('My equipment'!$T$4:$T$503,(_calc!$E$497-500)))))</f>
        <v/>
      </c>
    </row>
    <row r="496">
      <c r="A496" s="54">
        <f>IF(_calc!$E$498="","",IF(_calc!$E$498&lt;=500,"Warranty – "&amp;IF(LEN(INDEX('Dealer pipeline'!$C$4:$C$503,_calc!$E$498))=0,"",INDEX('Dealer pipeline'!$C$4:$C$503,_calc!$E$498))&amp;" – "&amp;IF(LEN(INDEX('Dealer pipeline'!$D$4:$D$503,_calc!$E$498))=0,"",INDEX('Dealer pipeline'!$D$4:$D$503,_calc!$E$498))&amp;" – "&amp;IF(LEN(INDEX('Dealer pipeline'!$A$4:$A$503,_calc!$E$498))=0,"",INDEX('Dealer pipeline'!$A$4:$A$503,_calc!$E$498)),"Warranty – "&amp;IF(LEN(INDEX('My equipment'!$A$4:$A$503,(_calc!$E$498-500)))=0,"",INDEX('My equipment'!$A$4:$A$503,(_calc!$E$498-500)))&amp;" – "&amp;IF(LEN(INDEX('My equipment'!$D$4:$D$503,(_calc!$E$498-500)))=0,"",INDEX('My equipment'!$D$4:$D$503,(_calc!$E$498-500)))))</f>
        <v/>
      </c>
      <c r="B496" s="54">
        <f>IF(_calc!$E$498="","",IF(_calc!$E$498&lt;=500,IF(ISNUMBER(INDEX('Dealer pipeline'!$M$4:$M$503,_calc!$E$498)),TEXT(INDEX('Dealer pipeline'!$M$4:$M$503,_calc!$E$498),"yyyy-mm-dd"),""),IF(ISNUMBER(INDEX('My equipment'!$M$4:$M$503,(_calc!$E$498-500))),TEXT(INDEX('My equipment'!$M$4:$M$503,(_calc!$E$498-500)),"yyyy-mm-dd"),"")))</f>
        <v/>
      </c>
      <c r="C496" s="54">
        <f>IF(_calc!$E$498="","",IF(_calc!$E$498&lt;=500,"Warranty","Warranty"))</f>
        <v/>
      </c>
      <c r="D496" s="54">
        <f>IF(_calc!$E$498="","",IF(_calc!$E$498&lt;=500,IF(ISNUMBER(INDEX('Dealer pipeline'!$H$4:$H$503,_calc!$E$498)),TEXT(INDEX('Dealer pipeline'!$H$4:$H$503,_calc!$E$498),"yyyy-mm-dd"),""),IF(ISNUMBER(INDEX('My equipment'!$H$4:$H$503,(_calc!$E$498-500))),TEXT(INDEX('My equipment'!$H$4:$H$503,(_calc!$E$498-500)),"yyyy-mm-dd"),"")))</f>
        <v/>
      </c>
      <c r="F496" s="54">
        <f>IF(_calc!$E$498="","",IF(_calc!$E$498&lt;=500,TRIM(IF(LEN(IF(LEN(INDEX('Dealer pipeline'!$A$4:$A$503,_calc!$E$498))=0,"",INDEX('Dealer pipeline'!$A$4:$A$503,_calc!$E$498)))=0,"","Customer: "&amp;IF(LEN(INDEX('Dealer pipeline'!$A$4:$A$503,_calc!$E$498))=0,"",INDEX('Dealer pipeline'!$A$4:$A$503,_calc!$E$498))&amp;". ")&amp;IF(LEN(IF(LEN(INDEX('Dealer pipeline'!$B$4:$B$503,_calc!$E$498))=0,"",INDEX('Dealer pipeline'!$B$4:$B$503,_calc!$E$498)))=0,"","Contact: "&amp;IF(LEN(INDEX('Dealer pipeline'!$B$4:$B$503,_calc!$E$498))=0,"",INDEX('Dealer pipeline'!$B$4:$B$503,_calc!$E$498))&amp;". ")&amp;IF(LEN(IF(LEN(INDEX('Dealer pipeline'!$D$4:$D$503,_calc!$E$498))=0,"",INDEX('Dealer pipeline'!$D$4:$D$503,_calc!$E$498)))=0,"","Serial: "&amp;IF(LEN(INDEX('Dealer pipeline'!$D$4:$D$503,_calc!$E$498))=0,"",INDEX('Dealer pipeline'!$D$4:$D$503,_calc!$E$498))&amp;". ")&amp;IF(LEN(IF(ISNUMBER(INDEX('Dealer pipeline'!$J$4:$J$503,_calc!$E$498)),TEXT(INDEX('Dealer pipeline'!$J$4:$J$503,_calc!$E$498),"yyyy-mm-dd"),""))=0,"","Parts end: "&amp;IF(ISNUMBER(INDEX('Dealer pipeline'!$J$4:$J$503,_calc!$E$498)),TEXT(INDEX('Dealer pipeline'!$J$4:$J$503,_calc!$E$498),"yyyy-mm-dd"),"")&amp;". ")&amp;IF(LEN(IF(ISNUMBER(INDEX('Dealer pipeline'!$L$4:$L$503,_calc!$E$498)),TEXT(INDEX('Dealer pipeline'!$L$4:$L$503,_calc!$E$498),"yyyy-mm-dd"),""))=0,"","Labor end: "&amp;IF(ISNUMBER(INDEX('Dealer pipeline'!$L$4:$L$503,_calc!$E$498)),TEXT(INDEX('Dealer pipeline'!$L$4:$L$503,_calc!$E$498),"yyyy-mm-dd"),"")&amp;". ")&amp;IF(LEN(IF(LEN(INDEX('Dealer pipeline'!$Q$4:$Q$503,_calc!$E$498))=0,"",INDEX('Dealer pipeline'!$Q$4:$Q$503,_calc!$E$498)))=0,"","Status: "&amp;IF(LEN(INDEX('Dealer pipeline'!$Q$4:$Q$503,_calc!$E$498))=0,"",INDEX('Dealer pipeline'!$Q$4:$Q$503,_calc!$E$498))&amp;". ")&amp;IF(LEN(IF(LEN(INDEX('Dealer pipeline'!$P$4:$P$503,_calc!$E$498))=0,"",INDEX('Dealer pipeline'!$P$4:$P$503,_calc!$E$498)))=0,"","Last touch: "&amp;IF(LEN(INDEX('Dealer pipeline'!$P$4:$P$503,_calc!$E$498))=0,"",INDEX('Dealer pipeline'!$P$4:$P$503,_calc!$E$498))&amp;". ")&amp;IF(LEN(IF(LEN(INDEX('Dealer pipeline'!$R$4:$R$503,_calc!$E$498))=0,"",INDEX('Dealer pipeline'!$R$4:$R$503,_calc!$E$498)))=0,"","Owner: "&amp;IF(LEN(INDEX('Dealer pipeline'!$R$4:$R$503,_calc!$E$498))=0,"",INDEX('Dealer pipeline'!$R$4:$R$503,_calc!$E$498))&amp;". ")&amp;IF(LEN(IF(LEN(INDEX('Dealer pipeline'!$S$4:$S$503,_calc!$E$498))=0,"",INDEX('Dealer pipeline'!$S$4:$S$503,_calc!$E$498)))=0,"","Backup: "&amp;IF(LEN(INDEX('Dealer pipeline'!$S$4:$S$503,_calc!$E$498))=0,"",INDEX('Dealer pipeline'!$S$4:$S$503,_calc!$E$498))&amp;". ")&amp;IF(LEN(IF(LEN(INDEX('Dealer pipeline'!$T$4:$T$503,_calc!$E$498))=0,"",INDEX('Dealer pipeline'!$T$4:$T$503,_calc!$E$498)))=0,"",IF(LEN(INDEX('Dealer pipeline'!$T$4:$T$503,_calc!$E$498))=0,"",INDEX('Dealer pipeline'!$T$4:$T$503,_calc!$E$498)))),TRIM(IF(LEN(IF(LEN(INDEX('My equipment'!$C$4:$C$503,(_calc!$E$498-500)))=0,"",INDEX('My equipment'!$C$4:$C$503,(_calc!$E$498-500))))=0,"","Model: "&amp;IF(LEN(INDEX('My equipment'!$C$4:$C$503,(_calc!$E$498-500)))=0,"",INDEX('My equipment'!$C$4:$C$503,(_calc!$E$498-500)))&amp;". ")&amp;IF(LEN(IF(LEN(INDEX('My equipment'!$D$4:$D$503,(_calc!$E$498-500)))=0,"",INDEX('My equipment'!$D$4:$D$503,(_calc!$E$498-500))))=0,"","Serial: "&amp;IF(LEN(INDEX('My equipment'!$D$4:$D$503,(_calc!$E$498-500)))=0,"",INDEX('My equipment'!$D$4:$D$503,(_calc!$E$498-500)))&amp;". ")&amp;IF(LEN(IF(ISNUMBER(INDEX('My equipment'!$J$4:$J$503,(_calc!$E$498-500))),TEXT(INDEX('My equipment'!$J$4:$J$503,(_calc!$E$498-500)),"yyyy-mm-dd"),""))=0,"","Parts end: "&amp;IF(ISNUMBER(INDEX('My equipment'!$J$4:$J$503,(_calc!$E$498-500))),TEXT(INDEX('My equipment'!$J$4:$J$503,(_calc!$E$498-500)),"yyyy-mm-dd"),"")&amp;". ")&amp;IF(LEN(IF(ISNUMBER(INDEX('My equipment'!$L$4:$L$503,(_calc!$E$498-500))),TEXT(INDEX('My equipment'!$L$4:$L$503,(_calc!$E$498-500)),"yyyy-mm-dd"),""))=0,"","Labor end: "&amp;IF(ISNUMBER(INDEX('My equipment'!$L$4:$L$503,(_calc!$E$498-500))),TEXT(INDEX('My equipment'!$L$4:$L$503,(_calc!$E$498-500)),"yyyy-mm-dd"),"")&amp;". ")&amp;IF(LEN(IF(ISNUMBER(INDEX('My equipment'!$P$4:$P$503,(_calc!$E$498-500))),TEXT(INDEX('My equipment'!$P$4:$P$503,(_calc!$E$498-500)),"yyyy-mm-dd"),""))=0,"","Check by: "&amp;IF(ISNUMBER(INDEX('My equipment'!$P$4:$P$503,(_calc!$E$498-500))),TEXT(INDEX('My equipment'!$P$4:$P$503,(_calc!$E$498-500)),"yyyy-mm-dd"),"")&amp;". ")&amp;IF(LEN(IF(LEN(INDEX('My equipment'!$Q$4:$Q$503,(_calc!$E$498-500)))=0,"",INDEX('My equipment'!$Q$4:$Q$503,(_calc!$E$498-500))))=0,"","Claim status: "&amp;IF(LEN(INDEX('My equipment'!$Q$4:$Q$503,(_calc!$E$498-500)))=0,"",INDEX('My equipment'!$Q$4:$Q$503,(_calc!$E$498-500)))&amp;". ")&amp;IF(LEN(IF(LEN(INDEX('My equipment'!$R$4:$R$503,(_calc!$E$498-500)))=0,"",INDEX('My equipment'!$R$4:$R$503,(_calc!$E$498-500))))=0,"","Claims contact: "&amp;IF(LEN(INDEX('My equipment'!$R$4:$R$503,(_calc!$E$498-500)))=0,"",INDEX('My equipment'!$R$4:$R$503,(_calc!$E$498-500)))&amp;". ")&amp;IF(LEN(IF(LEN(INDEX('My equipment'!$S$4:$S$503,(_calc!$E$498-500)))=0,"",INDEX('My equipment'!$S$4:$S$503,(_calc!$E$498-500))))=0,"","Claims email: "&amp;IF(LEN(INDEX('My equipment'!$S$4:$S$503,(_calc!$E$498-500)))=0,"",INDEX('My equipment'!$S$4:$S$503,(_calc!$E$498-500)))&amp;". ")&amp;IF(LEN(IF(LEN(INDEX('My equipment'!$U$4:$U$503,(_calc!$E$498-500)))=0,"",INDEX('My equipment'!$U$4:$U$503,(_calc!$E$498-500))))=0,"","Registered: "&amp;IF(LEN(INDEX('My equipment'!$U$4:$U$503,(_calc!$E$498-500)))=0,"",INDEX('My equipment'!$U$4:$U$503,(_calc!$E$498-500)))&amp;". ")&amp;IF(LEN(IF(LEN(INDEX('My equipment'!$V$4:$V$503,(_calc!$E$498-500)))=0,"",INDEX('My equipment'!$V$4:$V$503,(_calc!$E$498-500))))=0,"","Proof on file: "&amp;IF(LEN(INDEX('My equipment'!$V$4:$V$503,(_calc!$E$498-500)))=0,"",INDEX('My equipment'!$V$4:$V$503,(_calc!$E$498-500)))&amp;". ")&amp;IF(LEN(IF(LEN(INDEX('My equipment'!$W$4:$W$503,(_calc!$E$498-500)))=0,"",INDEX('My equipment'!$W$4:$W$503,(_calc!$E$498-500))))=0,"","Claim ref: "&amp;IF(LEN(INDEX('My equipment'!$W$4:$W$503,(_calc!$E$498-500)))=0,"",INDEX('My equipment'!$W$4:$W$503,(_calc!$E$498-500)))&amp;". ")&amp;IF(LEN(IF(LEN(INDEX('My equipment'!$Y$4:$Y$503,(_calc!$E$498-500)))=0,"",INDEX('My equipment'!$Y$4:$Y$503,(_calc!$E$498-500))))=0,"",IF(LEN(INDEX('My equipment'!$Y$4:$Y$503,(_calc!$E$498-500)))=0,"",INDEX('My equipment'!$Y$4:$Y$503,(_calc!$E$498-500)))))))</f>
        <v/>
      </c>
      <c r="G496" s="54">
        <f>IF(_calc!$E$498="","",IF(_calc!$E$498&lt;=500,"",IF(LEN(INDEX('My equipment'!$X$4:$X$503,(_calc!$E$498-500)))=0,"",INDEX('My equipment'!$X$4:$X$503,(_calc!$E$498-500)))))</f>
        <v/>
      </c>
      <c r="K496" s="54">
        <f>IF(_calc!$E$498="","",IF(_calc!$E$498&lt;=500,"",IF(LEN(INDEX('My equipment'!$T$4:$T$503,(_calc!$E$498-500)))=0,"",INDEX('My equipment'!$T$4:$T$503,(_calc!$E$498-500)))))</f>
        <v/>
      </c>
    </row>
    <row r="497">
      <c r="A497" s="54">
        <f>IF(_calc!$E$499="","",IF(_calc!$E$499&lt;=500,"Warranty – "&amp;IF(LEN(INDEX('Dealer pipeline'!$C$4:$C$503,_calc!$E$499))=0,"",INDEX('Dealer pipeline'!$C$4:$C$503,_calc!$E$499))&amp;" – "&amp;IF(LEN(INDEX('Dealer pipeline'!$D$4:$D$503,_calc!$E$499))=0,"",INDEX('Dealer pipeline'!$D$4:$D$503,_calc!$E$499))&amp;" – "&amp;IF(LEN(INDEX('Dealer pipeline'!$A$4:$A$503,_calc!$E$499))=0,"",INDEX('Dealer pipeline'!$A$4:$A$503,_calc!$E$499)),"Warranty – "&amp;IF(LEN(INDEX('My equipment'!$A$4:$A$503,(_calc!$E$499-500)))=0,"",INDEX('My equipment'!$A$4:$A$503,(_calc!$E$499-500)))&amp;" – "&amp;IF(LEN(INDEX('My equipment'!$D$4:$D$503,(_calc!$E$499-500)))=0,"",INDEX('My equipment'!$D$4:$D$503,(_calc!$E$499-500)))))</f>
        <v/>
      </c>
      <c r="B497" s="54">
        <f>IF(_calc!$E$499="","",IF(_calc!$E$499&lt;=500,IF(ISNUMBER(INDEX('Dealer pipeline'!$M$4:$M$503,_calc!$E$499)),TEXT(INDEX('Dealer pipeline'!$M$4:$M$503,_calc!$E$499),"yyyy-mm-dd"),""),IF(ISNUMBER(INDEX('My equipment'!$M$4:$M$503,(_calc!$E$499-500))),TEXT(INDEX('My equipment'!$M$4:$M$503,(_calc!$E$499-500)),"yyyy-mm-dd"),"")))</f>
        <v/>
      </c>
      <c r="C497" s="54">
        <f>IF(_calc!$E$499="","",IF(_calc!$E$499&lt;=500,"Warranty","Warranty"))</f>
        <v/>
      </c>
      <c r="D497" s="54">
        <f>IF(_calc!$E$499="","",IF(_calc!$E$499&lt;=500,IF(ISNUMBER(INDEX('Dealer pipeline'!$H$4:$H$503,_calc!$E$499)),TEXT(INDEX('Dealer pipeline'!$H$4:$H$503,_calc!$E$499),"yyyy-mm-dd"),""),IF(ISNUMBER(INDEX('My equipment'!$H$4:$H$503,(_calc!$E$499-500))),TEXT(INDEX('My equipment'!$H$4:$H$503,(_calc!$E$499-500)),"yyyy-mm-dd"),"")))</f>
        <v/>
      </c>
      <c r="F497" s="54">
        <f>IF(_calc!$E$499="","",IF(_calc!$E$499&lt;=500,TRIM(IF(LEN(IF(LEN(INDEX('Dealer pipeline'!$A$4:$A$503,_calc!$E$499))=0,"",INDEX('Dealer pipeline'!$A$4:$A$503,_calc!$E$499)))=0,"","Customer: "&amp;IF(LEN(INDEX('Dealer pipeline'!$A$4:$A$503,_calc!$E$499))=0,"",INDEX('Dealer pipeline'!$A$4:$A$503,_calc!$E$499))&amp;". ")&amp;IF(LEN(IF(LEN(INDEX('Dealer pipeline'!$B$4:$B$503,_calc!$E$499))=0,"",INDEX('Dealer pipeline'!$B$4:$B$503,_calc!$E$499)))=0,"","Contact: "&amp;IF(LEN(INDEX('Dealer pipeline'!$B$4:$B$503,_calc!$E$499))=0,"",INDEX('Dealer pipeline'!$B$4:$B$503,_calc!$E$499))&amp;". ")&amp;IF(LEN(IF(LEN(INDEX('Dealer pipeline'!$D$4:$D$503,_calc!$E$499))=0,"",INDEX('Dealer pipeline'!$D$4:$D$503,_calc!$E$499)))=0,"","Serial: "&amp;IF(LEN(INDEX('Dealer pipeline'!$D$4:$D$503,_calc!$E$499))=0,"",INDEX('Dealer pipeline'!$D$4:$D$503,_calc!$E$499))&amp;". ")&amp;IF(LEN(IF(ISNUMBER(INDEX('Dealer pipeline'!$J$4:$J$503,_calc!$E$499)),TEXT(INDEX('Dealer pipeline'!$J$4:$J$503,_calc!$E$499),"yyyy-mm-dd"),""))=0,"","Parts end: "&amp;IF(ISNUMBER(INDEX('Dealer pipeline'!$J$4:$J$503,_calc!$E$499)),TEXT(INDEX('Dealer pipeline'!$J$4:$J$503,_calc!$E$499),"yyyy-mm-dd"),"")&amp;". ")&amp;IF(LEN(IF(ISNUMBER(INDEX('Dealer pipeline'!$L$4:$L$503,_calc!$E$499)),TEXT(INDEX('Dealer pipeline'!$L$4:$L$503,_calc!$E$499),"yyyy-mm-dd"),""))=0,"","Labor end: "&amp;IF(ISNUMBER(INDEX('Dealer pipeline'!$L$4:$L$503,_calc!$E$499)),TEXT(INDEX('Dealer pipeline'!$L$4:$L$503,_calc!$E$499),"yyyy-mm-dd"),"")&amp;". ")&amp;IF(LEN(IF(LEN(INDEX('Dealer pipeline'!$Q$4:$Q$503,_calc!$E$499))=0,"",INDEX('Dealer pipeline'!$Q$4:$Q$503,_calc!$E$499)))=0,"","Status: "&amp;IF(LEN(INDEX('Dealer pipeline'!$Q$4:$Q$503,_calc!$E$499))=0,"",INDEX('Dealer pipeline'!$Q$4:$Q$503,_calc!$E$499))&amp;". ")&amp;IF(LEN(IF(LEN(INDEX('Dealer pipeline'!$P$4:$P$503,_calc!$E$499))=0,"",INDEX('Dealer pipeline'!$P$4:$P$503,_calc!$E$499)))=0,"","Last touch: "&amp;IF(LEN(INDEX('Dealer pipeline'!$P$4:$P$503,_calc!$E$499))=0,"",INDEX('Dealer pipeline'!$P$4:$P$503,_calc!$E$499))&amp;". ")&amp;IF(LEN(IF(LEN(INDEX('Dealer pipeline'!$R$4:$R$503,_calc!$E$499))=0,"",INDEX('Dealer pipeline'!$R$4:$R$503,_calc!$E$499)))=0,"","Owner: "&amp;IF(LEN(INDEX('Dealer pipeline'!$R$4:$R$503,_calc!$E$499))=0,"",INDEX('Dealer pipeline'!$R$4:$R$503,_calc!$E$499))&amp;". ")&amp;IF(LEN(IF(LEN(INDEX('Dealer pipeline'!$S$4:$S$503,_calc!$E$499))=0,"",INDEX('Dealer pipeline'!$S$4:$S$503,_calc!$E$499)))=0,"","Backup: "&amp;IF(LEN(INDEX('Dealer pipeline'!$S$4:$S$503,_calc!$E$499))=0,"",INDEX('Dealer pipeline'!$S$4:$S$503,_calc!$E$499))&amp;". ")&amp;IF(LEN(IF(LEN(INDEX('Dealer pipeline'!$T$4:$T$503,_calc!$E$499))=0,"",INDEX('Dealer pipeline'!$T$4:$T$503,_calc!$E$499)))=0,"",IF(LEN(INDEX('Dealer pipeline'!$T$4:$T$503,_calc!$E$499))=0,"",INDEX('Dealer pipeline'!$T$4:$T$503,_calc!$E$499)))),TRIM(IF(LEN(IF(LEN(INDEX('My equipment'!$C$4:$C$503,(_calc!$E$499-500)))=0,"",INDEX('My equipment'!$C$4:$C$503,(_calc!$E$499-500))))=0,"","Model: "&amp;IF(LEN(INDEX('My equipment'!$C$4:$C$503,(_calc!$E$499-500)))=0,"",INDEX('My equipment'!$C$4:$C$503,(_calc!$E$499-500)))&amp;". ")&amp;IF(LEN(IF(LEN(INDEX('My equipment'!$D$4:$D$503,(_calc!$E$499-500)))=0,"",INDEX('My equipment'!$D$4:$D$503,(_calc!$E$499-500))))=0,"","Serial: "&amp;IF(LEN(INDEX('My equipment'!$D$4:$D$503,(_calc!$E$499-500)))=0,"",INDEX('My equipment'!$D$4:$D$503,(_calc!$E$499-500)))&amp;". ")&amp;IF(LEN(IF(ISNUMBER(INDEX('My equipment'!$J$4:$J$503,(_calc!$E$499-500))),TEXT(INDEX('My equipment'!$J$4:$J$503,(_calc!$E$499-500)),"yyyy-mm-dd"),""))=0,"","Parts end: "&amp;IF(ISNUMBER(INDEX('My equipment'!$J$4:$J$503,(_calc!$E$499-500))),TEXT(INDEX('My equipment'!$J$4:$J$503,(_calc!$E$499-500)),"yyyy-mm-dd"),"")&amp;". ")&amp;IF(LEN(IF(ISNUMBER(INDEX('My equipment'!$L$4:$L$503,(_calc!$E$499-500))),TEXT(INDEX('My equipment'!$L$4:$L$503,(_calc!$E$499-500)),"yyyy-mm-dd"),""))=0,"","Labor end: "&amp;IF(ISNUMBER(INDEX('My equipment'!$L$4:$L$503,(_calc!$E$499-500))),TEXT(INDEX('My equipment'!$L$4:$L$503,(_calc!$E$499-500)),"yyyy-mm-dd"),"")&amp;". ")&amp;IF(LEN(IF(ISNUMBER(INDEX('My equipment'!$P$4:$P$503,(_calc!$E$499-500))),TEXT(INDEX('My equipment'!$P$4:$P$503,(_calc!$E$499-500)),"yyyy-mm-dd"),""))=0,"","Check by: "&amp;IF(ISNUMBER(INDEX('My equipment'!$P$4:$P$503,(_calc!$E$499-500))),TEXT(INDEX('My equipment'!$P$4:$P$503,(_calc!$E$499-500)),"yyyy-mm-dd"),"")&amp;". ")&amp;IF(LEN(IF(LEN(INDEX('My equipment'!$Q$4:$Q$503,(_calc!$E$499-500)))=0,"",INDEX('My equipment'!$Q$4:$Q$503,(_calc!$E$499-500))))=0,"","Claim status: "&amp;IF(LEN(INDEX('My equipment'!$Q$4:$Q$503,(_calc!$E$499-500)))=0,"",INDEX('My equipment'!$Q$4:$Q$503,(_calc!$E$499-500)))&amp;". ")&amp;IF(LEN(IF(LEN(INDEX('My equipment'!$R$4:$R$503,(_calc!$E$499-500)))=0,"",INDEX('My equipment'!$R$4:$R$503,(_calc!$E$499-500))))=0,"","Claims contact: "&amp;IF(LEN(INDEX('My equipment'!$R$4:$R$503,(_calc!$E$499-500)))=0,"",INDEX('My equipment'!$R$4:$R$503,(_calc!$E$499-500)))&amp;". ")&amp;IF(LEN(IF(LEN(INDEX('My equipment'!$S$4:$S$503,(_calc!$E$499-500)))=0,"",INDEX('My equipment'!$S$4:$S$503,(_calc!$E$499-500))))=0,"","Claims email: "&amp;IF(LEN(INDEX('My equipment'!$S$4:$S$503,(_calc!$E$499-500)))=0,"",INDEX('My equipment'!$S$4:$S$503,(_calc!$E$499-500)))&amp;". ")&amp;IF(LEN(IF(LEN(INDEX('My equipment'!$U$4:$U$503,(_calc!$E$499-500)))=0,"",INDEX('My equipment'!$U$4:$U$503,(_calc!$E$499-500))))=0,"","Registered: "&amp;IF(LEN(INDEX('My equipment'!$U$4:$U$503,(_calc!$E$499-500)))=0,"",INDEX('My equipment'!$U$4:$U$503,(_calc!$E$499-500)))&amp;". ")&amp;IF(LEN(IF(LEN(INDEX('My equipment'!$V$4:$V$503,(_calc!$E$499-500)))=0,"",INDEX('My equipment'!$V$4:$V$503,(_calc!$E$499-500))))=0,"","Proof on file: "&amp;IF(LEN(INDEX('My equipment'!$V$4:$V$503,(_calc!$E$499-500)))=0,"",INDEX('My equipment'!$V$4:$V$503,(_calc!$E$499-500)))&amp;". ")&amp;IF(LEN(IF(LEN(INDEX('My equipment'!$W$4:$W$503,(_calc!$E$499-500)))=0,"",INDEX('My equipment'!$W$4:$W$503,(_calc!$E$499-500))))=0,"","Claim ref: "&amp;IF(LEN(INDEX('My equipment'!$W$4:$W$503,(_calc!$E$499-500)))=0,"",INDEX('My equipment'!$W$4:$W$503,(_calc!$E$499-500)))&amp;". ")&amp;IF(LEN(IF(LEN(INDEX('My equipment'!$Y$4:$Y$503,(_calc!$E$499-500)))=0,"",INDEX('My equipment'!$Y$4:$Y$503,(_calc!$E$499-500))))=0,"",IF(LEN(INDEX('My equipment'!$Y$4:$Y$503,(_calc!$E$499-500)))=0,"",INDEX('My equipment'!$Y$4:$Y$503,(_calc!$E$499-500)))))))</f>
        <v/>
      </c>
      <c r="G497" s="54">
        <f>IF(_calc!$E$499="","",IF(_calc!$E$499&lt;=500,"",IF(LEN(INDEX('My equipment'!$X$4:$X$503,(_calc!$E$499-500)))=0,"",INDEX('My equipment'!$X$4:$X$503,(_calc!$E$499-500)))))</f>
        <v/>
      </c>
      <c r="K497" s="54">
        <f>IF(_calc!$E$499="","",IF(_calc!$E$499&lt;=500,"",IF(LEN(INDEX('My equipment'!$T$4:$T$503,(_calc!$E$499-500)))=0,"",INDEX('My equipment'!$T$4:$T$503,(_calc!$E$499-500)))))</f>
        <v/>
      </c>
    </row>
    <row r="498">
      <c r="A498" s="54">
        <f>IF(_calc!$E$500="","",IF(_calc!$E$500&lt;=500,"Warranty – "&amp;IF(LEN(INDEX('Dealer pipeline'!$C$4:$C$503,_calc!$E$500))=0,"",INDEX('Dealer pipeline'!$C$4:$C$503,_calc!$E$500))&amp;" – "&amp;IF(LEN(INDEX('Dealer pipeline'!$D$4:$D$503,_calc!$E$500))=0,"",INDEX('Dealer pipeline'!$D$4:$D$503,_calc!$E$500))&amp;" – "&amp;IF(LEN(INDEX('Dealer pipeline'!$A$4:$A$503,_calc!$E$500))=0,"",INDEX('Dealer pipeline'!$A$4:$A$503,_calc!$E$500)),"Warranty – "&amp;IF(LEN(INDEX('My equipment'!$A$4:$A$503,(_calc!$E$500-500)))=0,"",INDEX('My equipment'!$A$4:$A$503,(_calc!$E$500-500)))&amp;" – "&amp;IF(LEN(INDEX('My equipment'!$D$4:$D$503,(_calc!$E$500-500)))=0,"",INDEX('My equipment'!$D$4:$D$503,(_calc!$E$500-500)))))</f>
        <v/>
      </c>
      <c r="B498" s="54">
        <f>IF(_calc!$E$500="","",IF(_calc!$E$500&lt;=500,IF(ISNUMBER(INDEX('Dealer pipeline'!$M$4:$M$503,_calc!$E$500)),TEXT(INDEX('Dealer pipeline'!$M$4:$M$503,_calc!$E$500),"yyyy-mm-dd"),""),IF(ISNUMBER(INDEX('My equipment'!$M$4:$M$503,(_calc!$E$500-500))),TEXT(INDEX('My equipment'!$M$4:$M$503,(_calc!$E$500-500)),"yyyy-mm-dd"),"")))</f>
        <v/>
      </c>
      <c r="C498" s="54">
        <f>IF(_calc!$E$500="","",IF(_calc!$E$500&lt;=500,"Warranty","Warranty"))</f>
        <v/>
      </c>
      <c r="D498" s="54">
        <f>IF(_calc!$E$500="","",IF(_calc!$E$500&lt;=500,IF(ISNUMBER(INDEX('Dealer pipeline'!$H$4:$H$503,_calc!$E$500)),TEXT(INDEX('Dealer pipeline'!$H$4:$H$503,_calc!$E$500),"yyyy-mm-dd"),""),IF(ISNUMBER(INDEX('My equipment'!$H$4:$H$503,(_calc!$E$500-500))),TEXT(INDEX('My equipment'!$H$4:$H$503,(_calc!$E$500-500)),"yyyy-mm-dd"),"")))</f>
        <v/>
      </c>
      <c r="F498" s="54">
        <f>IF(_calc!$E$500="","",IF(_calc!$E$500&lt;=500,TRIM(IF(LEN(IF(LEN(INDEX('Dealer pipeline'!$A$4:$A$503,_calc!$E$500))=0,"",INDEX('Dealer pipeline'!$A$4:$A$503,_calc!$E$500)))=0,"","Customer: "&amp;IF(LEN(INDEX('Dealer pipeline'!$A$4:$A$503,_calc!$E$500))=0,"",INDEX('Dealer pipeline'!$A$4:$A$503,_calc!$E$500))&amp;". ")&amp;IF(LEN(IF(LEN(INDEX('Dealer pipeline'!$B$4:$B$503,_calc!$E$500))=0,"",INDEX('Dealer pipeline'!$B$4:$B$503,_calc!$E$500)))=0,"","Contact: "&amp;IF(LEN(INDEX('Dealer pipeline'!$B$4:$B$503,_calc!$E$500))=0,"",INDEX('Dealer pipeline'!$B$4:$B$503,_calc!$E$500))&amp;". ")&amp;IF(LEN(IF(LEN(INDEX('Dealer pipeline'!$D$4:$D$503,_calc!$E$500))=0,"",INDEX('Dealer pipeline'!$D$4:$D$503,_calc!$E$500)))=0,"","Serial: "&amp;IF(LEN(INDEX('Dealer pipeline'!$D$4:$D$503,_calc!$E$500))=0,"",INDEX('Dealer pipeline'!$D$4:$D$503,_calc!$E$500))&amp;". ")&amp;IF(LEN(IF(ISNUMBER(INDEX('Dealer pipeline'!$J$4:$J$503,_calc!$E$500)),TEXT(INDEX('Dealer pipeline'!$J$4:$J$503,_calc!$E$500),"yyyy-mm-dd"),""))=0,"","Parts end: "&amp;IF(ISNUMBER(INDEX('Dealer pipeline'!$J$4:$J$503,_calc!$E$500)),TEXT(INDEX('Dealer pipeline'!$J$4:$J$503,_calc!$E$500),"yyyy-mm-dd"),"")&amp;". ")&amp;IF(LEN(IF(ISNUMBER(INDEX('Dealer pipeline'!$L$4:$L$503,_calc!$E$500)),TEXT(INDEX('Dealer pipeline'!$L$4:$L$503,_calc!$E$500),"yyyy-mm-dd"),""))=0,"","Labor end: "&amp;IF(ISNUMBER(INDEX('Dealer pipeline'!$L$4:$L$503,_calc!$E$500)),TEXT(INDEX('Dealer pipeline'!$L$4:$L$503,_calc!$E$500),"yyyy-mm-dd"),"")&amp;". ")&amp;IF(LEN(IF(LEN(INDEX('Dealer pipeline'!$Q$4:$Q$503,_calc!$E$500))=0,"",INDEX('Dealer pipeline'!$Q$4:$Q$503,_calc!$E$500)))=0,"","Status: "&amp;IF(LEN(INDEX('Dealer pipeline'!$Q$4:$Q$503,_calc!$E$500))=0,"",INDEX('Dealer pipeline'!$Q$4:$Q$503,_calc!$E$500))&amp;". ")&amp;IF(LEN(IF(LEN(INDEX('Dealer pipeline'!$P$4:$P$503,_calc!$E$500))=0,"",INDEX('Dealer pipeline'!$P$4:$P$503,_calc!$E$500)))=0,"","Last touch: "&amp;IF(LEN(INDEX('Dealer pipeline'!$P$4:$P$503,_calc!$E$500))=0,"",INDEX('Dealer pipeline'!$P$4:$P$503,_calc!$E$500))&amp;". ")&amp;IF(LEN(IF(LEN(INDEX('Dealer pipeline'!$R$4:$R$503,_calc!$E$500))=0,"",INDEX('Dealer pipeline'!$R$4:$R$503,_calc!$E$500)))=0,"","Owner: "&amp;IF(LEN(INDEX('Dealer pipeline'!$R$4:$R$503,_calc!$E$500))=0,"",INDEX('Dealer pipeline'!$R$4:$R$503,_calc!$E$500))&amp;". ")&amp;IF(LEN(IF(LEN(INDEX('Dealer pipeline'!$S$4:$S$503,_calc!$E$500))=0,"",INDEX('Dealer pipeline'!$S$4:$S$503,_calc!$E$500)))=0,"","Backup: "&amp;IF(LEN(INDEX('Dealer pipeline'!$S$4:$S$503,_calc!$E$500))=0,"",INDEX('Dealer pipeline'!$S$4:$S$503,_calc!$E$500))&amp;". ")&amp;IF(LEN(IF(LEN(INDEX('Dealer pipeline'!$T$4:$T$503,_calc!$E$500))=0,"",INDEX('Dealer pipeline'!$T$4:$T$503,_calc!$E$500)))=0,"",IF(LEN(INDEX('Dealer pipeline'!$T$4:$T$503,_calc!$E$500))=0,"",INDEX('Dealer pipeline'!$T$4:$T$503,_calc!$E$500)))),TRIM(IF(LEN(IF(LEN(INDEX('My equipment'!$C$4:$C$503,(_calc!$E$500-500)))=0,"",INDEX('My equipment'!$C$4:$C$503,(_calc!$E$500-500))))=0,"","Model: "&amp;IF(LEN(INDEX('My equipment'!$C$4:$C$503,(_calc!$E$500-500)))=0,"",INDEX('My equipment'!$C$4:$C$503,(_calc!$E$500-500)))&amp;". ")&amp;IF(LEN(IF(LEN(INDEX('My equipment'!$D$4:$D$503,(_calc!$E$500-500)))=0,"",INDEX('My equipment'!$D$4:$D$503,(_calc!$E$500-500))))=0,"","Serial: "&amp;IF(LEN(INDEX('My equipment'!$D$4:$D$503,(_calc!$E$500-500)))=0,"",INDEX('My equipment'!$D$4:$D$503,(_calc!$E$500-500)))&amp;". ")&amp;IF(LEN(IF(ISNUMBER(INDEX('My equipment'!$J$4:$J$503,(_calc!$E$500-500))),TEXT(INDEX('My equipment'!$J$4:$J$503,(_calc!$E$500-500)),"yyyy-mm-dd"),""))=0,"","Parts end: "&amp;IF(ISNUMBER(INDEX('My equipment'!$J$4:$J$503,(_calc!$E$500-500))),TEXT(INDEX('My equipment'!$J$4:$J$503,(_calc!$E$500-500)),"yyyy-mm-dd"),"")&amp;". ")&amp;IF(LEN(IF(ISNUMBER(INDEX('My equipment'!$L$4:$L$503,(_calc!$E$500-500))),TEXT(INDEX('My equipment'!$L$4:$L$503,(_calc!$E$500-500)),"yyyy-mm-dd"),""))=0,"","Labor end: "&amp;IF(ISNUMBER(INDEX('My equipment'!$L$4:$L$503,(_calc!$E$500-500))),TEXT(INDEX('My equipment'!$L$4:$L$503,(_calc!$E$500-500)),"yyyy-mm-dd"),"")&amp;". ")&amp;IF(LEN(IF(ISNUMBER(INDEX('My equipment'!$P$4:$P$503,(_calc!$E$500-500))),TEXT(INDEX('My equipment'!$P$4:$P$503,(_calc!$E$500-500)),"yyyy-mm-dd"),""))=0,"","Check by: "&amp;IF(ISNUMBER(INDEX('My equipment'!$P$4:$P$503,(_calc!$E$500-500))),TEXT(INDEX('My equipment'!$P$4:$P$503,(_calc!$E$500-500)),"yyyy-mm-dd"),"")&amp;". ")&amp;IF(LEN(IF(LEN(INDEX('My equipment'!$Q$4:$Q$503,(_calc!$E$500-500)))=0,"",INDEX('My equipment'!$Q$4:$Q$503,(_calc!$E$500-500))))=0,"","Claim status: "&amp;IF(LEN(INDEX('My equipment'!$Q$4:$Q$503,(_calc!$E$500-500)))=0,"",INDEX('My equipment'!$Q$4:$Q$503,(_calc!$E$500-500)))&amp;". ")&amp;IF(LEN(IF(LEN(INDEX('My equipment'!$R$4:$R$503,(_calc!$E$500-500)))=0,"",INDEX('My equipment'!$R$4:$R$503,(_calc!$E$500-500))))=0,"","Claims contact: "&amp;IF(LEN(INDEX('My equipment'!$R$4:$R$503,(_calc!$E$500-500)))=0,"",INDEX('My equipment'!$R$4:$R$503,(_calc!$E$500-500)))&amp;". ")&amp;IF(LEN(IF(LEN(INDEX('My equipment'!$S$4:$S$503,(_calc!$E$500-500)))=0,"",INDEX('My equipment'!$S$4:$S$503,(_calc!$E$500-500))))=0,"","Claims email: "&amp;IF(LEN(INDEX('My equipment'!$S$4:$S$503,(_calc!$E$500-500)))=0,"",INDEX('My equipment'!$S$4:$S$503,(_calc!$E$500-500)))&amp;". ")&amp;IF(LEN(IF(LEN(INDEX('My equipment'!$U$4:$U$503,(_calc!$E$500-500)))=0,"",INDEX('My equipment'!$U$4:$U$503,(_calc!$E$500-500))))=0,"","Registered: "&amp;IF(LEN(INDEX('My equipment'!$U$4:$U$503,(_calc!$E$500-500)))=0,"",INDEX('My equipment'!$U$4:$U$503,(_calc!$E$500-500)))&amp;". ")&amp;IF(LEN(IF(LEN(INDEX('My equipment'!$V$4:$V$503,(_calc!$E$500-500)))=0,"",INDEX('My equipment'!$V$4:$V$503,(_calc!$E$500-500))))=0,"","Proof on file: "&amp;IF(LEN(INDEX('My equipment'!$V$4:$V$503,(_calc!$E$500-500)))=0,"",INDEX('My equipment'!$V$4:$V$503,(_calc!$E$500-500)))&amp;". ")&amp;IF(LEN(IF(LEN(INDEX('My equipment'!$W$4:$W$503,(_calc!$E$500-500)))=0,"",INDEX('My equipment'!$W$4:$W$503,(_calc!$E$500-500))))=0,"","Claim ref: "&amp;IF(LEN(INDEX('My equipment'!$W$4:$W$503,(_calc!$E$500-500)))=0,"",INDEX('My equipment'!$W$4:$W$503,(_calc!$E$500-500)))&amp;". ")&amp;IF(LEN(IF(LEN(INDEX('My equipment'!$Y$4:$Y$503,(_calc!$E$500-500)))=0,"",INDEX('My equipment'!$Y$4:$Y$503,(_calc!$E$500-500))))=0,"",IF(LEN(INDEX('My equipment'!$Y$4:$Y$503,(_calc!$E$500-500)))=0,"",INDEX('My equipment'!$Y$4:$Y$503,(_calc!$E$500-500)))))))</f>
        <v/>
      </c>
      <c r="G498" s="54">
        <f>IF(_calc!$E$500="","",IF(_calc!$E$500&lt;=500,"",IF(LEN(INDEX('My equipment'!$X$4:$X$503,(_calc!$E$500-500)))=0,"",INDEX('My equipment'!$X$4:$X$503,(_calc!$E$500-500)))))</f>
        <v/>
      </c>
      <c r="K498" s="54">
        <f>IF(_calc!$E$500="","",IF(_calc!$E$500&lt;=500,"",IF(LEN(INDEX('My equipment'!$T$4:$T$503,(_calc!$E$500-500)))=0,"",INDEX('My equipment'!$T$4:$T$503,(_calc!$E$500-500)))))</f>
        <v/>
      </c>
    </row>
    <row r="499">
      <c r="A499" s="54">
        <f>IF(_calc!$E$501="","",IF(_calc!$E$501&lt;=500,"Warranty – "&amp;IF(LEN(INDEX('Dealer pipeline'!$C$4:$C$503,_calc!$E$501))=0,"",INDEX('Dealer pipeline'!$C$4:$C$503,_calc!$E$501))&amp;" – "&amp;IF(LEN(INDEX('Dealer pipeline'!$D$4:$D$503,_calc!$E$501))=0,"",INDEX('Dealer pipeline'!$D$4:$D$503,_calc!$E$501))&amp;" – "&amp;IF(LEN(INDEX('Dealer pipeline'!$A$4:$A$503,_calc!$E$501))=0,"",INDEX('Dealer pipeline'!$A$4:$A$503,_calc!$E$501)),"Warranty – "&amp;IF(LEN(INDEX('My equipment'!$A$4:$A$503,(_calc!$E$501-500)))=0,"",INDEX('My equipment'!$A$4:$A$503,(_calc!$E$501-500)))&amp;" – "&amp;IF(LEN(INDEX('My equipment'!$D$4:$D$503,(_calc!$E$501-500)))=0,"",INDEX('My equipment'!$D$4:$D$503,(_calc!$E$501-500)))))</f>
        <v/>
      </c>
      <c r="B499" s="54">
        <f>IF(_calc!$E$501="","",IF(_calc!$E$501&lt;=500,IF(ISNUMBER(INDEX('Dealer pipeline'!$M$4:$M$503,_calc!$E$501)),TEXT(INDEX('Dealer pipeline'!$M$4:$M$503,_calc!$E$501),"yyyy-mm-dd"),""),IF(ISNUMBER(INDEX('My equipment'!$M$4:$M$503,(_calc!$E$501-500))),TEXT(INDEX('My equipment'!$M$4:$M$503,(_calc!$E$501-500)),"yyyy-mm-dd"),"")))</f>
        <v/>
      </c>
      <c r="C499" s="54">
        <f>IF(_calc!$E$501="","",IF(_calc!$E$501&lt;=500,"Warranty","Warranty"))</f>
        <v/>
      </c>
      <c r="D499" s="54">
        <f>IF(_calc!$E$501="","",IF(_calc!$E$501&lt;=500,IF(ISNUMBER(INDEX('Dealer pipeline'!$H$4:$H$503,_calc!$E$501)),TEXT(INDEX('Dealer pipeline'!$H$4:$H$503,_calc!$E$501),"yyyy-mm-dd"),""),IF(ISNUMBER(INDEX('My equipment'!$H$4:$H$503,(_calc!$E$501-500))),TEXT(INDEX('My equipment'!$H$4:$H$503,(_calc!$E$501-500)),"yyyy-mm-dd"),"")))</f>
        <v/>
      </c>
      <c r="F499" s="54">
        <f>IF(_calc!$E$501="","",IF(_calc!$E$501&lt;=500,TRIM(IF(LEN(IF(LEN(INDEX('Dealer pipeline'!$A$4:$A$503,_calc!$E$501))=0,"",INDEX('Dealer pipeline'!$A$4:$A$503,_calc!$E$501)))=0,"","Customer: "&amp;IF(LEN(INDEX('Dealer pipeline'!$A$4:$A$503,_calc!$E$501))=0,"",INDEX('Dealer pipeline'!$A$4:$A$503,_calc!$E$501))&amp;". ")&amp;IF(LEN(IF(LEN(INDEX('Dealer pipeline'!$B$4:$B$503,_calc!$E$501))=0,"",INDEX('Dealer pipeline'!$B$4:$B$503,_calc!$E$501)))=0,"","Contact: "&amp;IF(LEN(INDEX('Dealer pipeline'!$B$4:$B$503,_calc!$E$501))=0,"",INDEX('Dealer pipeline'!$B$4:$B$503,_calc!$E$501))&amp;". ")&amp;IF(LEN(IF(LEN(INDEX('Dealer pipeline'!$D$4:$D$503,_calc!$E$501))=0,"",INDEX('Dealer pipeline'!$D$4:$D$503,_calc!$E$501)))=0,"","Serial: "&amp;IF(LEN(INDEX('Dealer pipeline'!$D$4:$D$503,_calc!$E$501))=0,"",INDEX('Dealer pipeline'!$D$4:$D$503,_calc!$E$501))&amp;". ")&amp;IF(LEN(IF(ISNUMBER(INDEX('Dealer pipeline'!$J$4:$J$503,_calc!$E$501)),TEXT(INDEX('Dealer pipeline'!$J$4:$J$503,_calc!$E$501),"yyyy-mm-dd"),""))=0,"","Parts end: "&amp;IF(ISNUMBER(INDEX('Dealer pipeline'!$J$4:$J$503,_calc!$E$501)),TEXT(INDEX('Dealer pipeline'!$J$4:$J$503,_calc!$E$501),"yyyy-mm-dd"),"")&amp;". ")&amp;IF(LEN(IF(ISNUMBER(INDEX('Dealer pipeline'!$L$4:$L$503,_calc!$E$501)),TEXT(INDEX('Dealer pipeline'!$L$4:$L$503,_calc!$E$501),"yyyy-mm-dd"),""))=0,"","Labor end: "&amp;IF(ISNUMBER(INDEX('Dealer pipeline'!$L$4:$L$503,_calc!$E$501)),TEXT(INDEX('Dealer pipeline'!$L$4:$L$503,_calc!$E$501),"yyyy-mm-dd"),"")&amp;". ")&amp;IF(LEN(IF(LEN(INDEX('Dealer pipeline'!$Q$4:$Q$503,_calc!$E$501))=0,"",INDEX('Dealer pipeline'!$Q$4:$Q$503,_calc!$E$501)))=0,"","Status: "&amp;IF(LEN(INDEX('Dealer pipeline'!$Q$4:$Q$503,_calc!$E$501))=0,"",INDEX('Dealer pipeline'!$Q$4:$Q$503,_calc!$E$501))&amp;". ")&amp;IF(LEN(IF(LEN(INDEX('Dealer pipeline'!$P$4:$P$503,_calc!$E$501))=0,"",INDEX('Dealer pipeline'!$P$4:$P$503,_calc!$E$501)))=0,"","Last touch: "&amp;IF(LEN(INDEX('Dealer pipeline'!$P$4:$P$503,_calc!$E$501))=0,"",INDEX('Dealer pipeline'!$P$4:$P$503,_calc!$E$501))&amp;". ")&amp;IF(LEN(IF(LEN(INDEX('Dealer pipeline'!$R$4:$R$503,_calc!$E$501))=0,"",INDEX('Dealer pipeline'!$R$4:$R$503,_calc!$E$501)))=0,"","Owner: "&amp;IF(LEN(INDEX('Dealer pipeline'!$R$4:$R$503,_calc!$E$501))=0,"",INDEX('Dealer pipeline'!$R$4:$R$503,_calc!$E$501))&amp;". ")&amp;IF(LEN(IF(LEN(INDEX('Dealer pipeline'!$S$4:$S$503,_calc!$E$501))=0,"",INDEX('Dealer pipeline'!$S$4:$S$503,_calc!$E$501)))=0,"","Backup: "&amp;IF(LEN(INDEX('Dealer pipeline'!$S$4:$S$503,_calc!$E$501))=0,"",INDEX('Dealer pipeline'!$S$4:$S$503,_calc!$E$501))&amp;". ")&amp;IF(LEN(IF(LEN(INDEX('Dealer pipeline'!$T$4:$T$503,_calc!$E$501))=0,"",INDEX('Dealer pipeline'!$T$4:$T$503,_calc!$E$501)))=0,"",IF(LEN(INDEX('Dealer pipeline'!$T$4:$T$503,_calc!$E$501))=0,"",INDEX('Dealer pipeline'!$T$4:$T$503,_calc!$E$501)))),TRIM(IF(LEN(IF(LEN(INDEX('My equipment'!$C$4:$C$503,(_calc!$E$501-500)))=0,"",INDEX('My equipment'!$C$4:$C$503,(_calc!$E$501-500))))=0,"","Model: "&amp;IF(LEN(INDEX('My equipment'!$C$4:$C$503,(_calc!$E$501-500)))=0,"",INDEX('My equipment'!$C$4:$C$503,(_calc!$E$501-500)))&amp;". ")&amp;IF(LEN(IF(LEN(INDEX('My equipment'!$D$4:$D$503,(_calc!$E$501-500)))=0,"",INDEX('My equipment'!$D$4:$D$503,(_calc!$E$501-500))))=0,"","Serial: "&amp;IF(LEN(INDEX('My equipment'!$D$4:$D$503,(_calc!$E$501-500)))=0,"",INDEX('My equipment'!$D$4:$D$503,(_calc!$E$501-500)))&amp;". ")&amp;IF(LEN(IF(ISNUMBER(INDEX('My equipment'!$J$4:$J$503,(_calc!$E$501-500))),TEXT(INDEX('My equipment'!$J$4:$J$503,(_calc!$E$501-500)),"yyyy-mm-dd"),""))=0,"","Parts end: "&amp;IF(ISNUMBER(INDEX('My equipment'!$J$4:$J$503,(_calc!$E$501-500))),TEXT(INDEX('My equipment'!$J$4:$J$503,(_calc!$E$501-500)),"yyyy-mm-dd"),"")&amp;". ")&amp;IF(LEN(IF(ISNUMBER(INDEX('My equipment'!$L$4:$L$503,(_calc!$E$501-500))),TEXT(INDEX('My equipment'!$L$4:$L$503,(_calc!$E$501-500)),"yyyy-mm-dd"),""))=0,"","Labor end: "&amp;IF(ISNUMBER(INDEX('My equipment'!$L$4:$L$503,(_calc!$E$501-500))),TEXT(INDEX('My equipment'!$L$4:$L$503,(_calc!$E$501-500)),"yyyy-mm-dd"),"")&amp;". ")&amp;IF(LEN(IF(ISNUMBER(INDEX('My equipment'!$P$4:$P$503,(_calc!$E$501-500))),TEXT(INDEX('My equipment'!$P$4:$P$503,(_calc!$E$501-500)),"yyyy-mm-dd"),""))=0,"","Check by: "&amp;IF(ISNUMBER(INDEX('My equipment'!$P$4:$P$503,(_calc!$E$501-500))),TEXT(INDEX('My equipment'!$P$4:$P$503,(_calc!$E$501-500)),"yyyy-mm-dd"),"")&amp;". ")&amp;IF(LEN(IF(LEN(INDEX('My equipment'!$Q$4:$Q$503,(_calc!$E$501-500)))=0,"",INDEX('My equipment'!$Q$4:$Q$503,(_calc!$E$501-500))))=0,"","Claim status: "&amp;IF(LEN(INDEX('My equipment'!$Q$4:$Q$503,(_calc!$E$501-500)))=0,"",INDEX('My equipment'!$Q$4:$Q$503,(_calc!$E$501-500)))&amp;". ")&amp;IF(LEN(IF(LEN(INDEX('My equipment'!$R$4:$R$503,(_calc!$E$501-500)))=0,"",INDEX('My equipment'!$R$4:$R$503,(_calc!$E$501-500))))=0,"","Claims contact: "&amp;IF(LEN(INDEX('My equipment'!$R$4:$R$503,(_calc!$E$501-500)))=0,"",INDEX('My equipment'!$R$4:$R$503,(_calc!$E$501-500)))&amp;". ")&amp;IF(LEN(IF(LEN(INDEX('My equipment'!$S$4:$S$503,(_calc!$E$501-500)))=0,"",INDEX('My equipment'!$S$4:$S$503,(_calc!$E$501-500))))=0,"","Claims email: "&amp;IF(LEN(INDEX('My equipment'!$S$4:$S$503,(_calc!$E$501-500)))=0,"",INDEX('My equipment'!$S$4:$S$503,(_calc!$E$501-500)))&amp;". ")&amp;IF(LEN(IF(LEN(INDEX('My equipment'!$U$4:$U$503,(_calc!$E$501-500)))=0,"",INDEX('My equipment'!$U$4:$U$503,(_calc!$E$501-500))))=0,"","Registered: "&amp;IF(LEN(INDEX('My equipment'!$U$4:$U$503,(_calc!$E$501-500)))=0,"",INDEX('My equipment'!$U$4:$U$503,(_calc!$E$501-500)))&amp;". ")&amp;IF(LEN(IF(LEN(INDEX('My equipment'!$V$4:$V$503,(_calc!$E$501-500)))=0,"",INDEX('My equipment'!$V$4:$V$503,(_calc!$E$501-500))))=0,"","Proof on file: "&amp;IF(LEN(INDEX('My equipment'!$V$4:$V$503,(_calc!$E$501-500)))=0,"",INDEX('My equipment'!$V$4:$V$503,(_calc!$E$501-500)))&amp;". ")&amp;IF(LEN(IF(LEN(INDEX('My equipment'!$W$4:$W$503,(_calc!$E$501-500)))=0,"",INDEX('My equipment'!$W$4:$W$503,(_calc!$E$501-500))))=0,"","Claim ref: "&amp;IF(LEN(INDEX('My equipment'!$W$4:$W$503,(_calc!$E$501-500)))=0,"",INDEX('My equipment'!$W$4:$W$503,(_calc!$E$501-500)))&amp;". ")&amp;IF(LEN(IF(LEN(INDEX('My equipment'!$Y$4:$Y$503,(_calc!$E$501-500)))=0,"",INDEX('My equipment'!$Y$4:$Y$503,(_calc!$E$501-500))))=0,"",IF(LEN(INDEX('My equipment'!$Y$4:$Y$503,(_calc!$E$501-500)))=0,"",INDEX('My equipment'!$Y$4:$Y$503,(_calc!$E$501-500)))))))</f>
        <v/>
      </c>
      <c r="G499" s="54">
        <f>IF(_calc!$E$501="","",IF(_calc!$E$501&lt;=500,"",IF(LEN(INDEX('My equipment'!$X$4:$X$503,(_calc!$E$501-500)))=0,"",INDEX('My equipment'!$X$4:$X$503,(_calc!$E$501-500)))))</f>
        <v/>
      </c>
      <c r="K499" s="54">
        <f>IF(_calc!$E$501="","",IF(_calc!$E$501&lt;=500,"",IF(LEN(INDEX('My equipment'!$T$4:$T$503,(_calc!$E$501-500)))=0,"",INDEX('My equipment'!$T$4:$T$503,(_calc!$E$501-500)))))</f>
        <v/>
      </c>
    </row>
    <row r="500">
      <c r="A500" s="54">
        <f>IF(_calc!$E$502="","",IF(_calc!$E$502&lt;=500,"Warranty – "&amp;IF(LEN(INDEX('Dealer pipeline'!$C$4:$C$503,_calc!$E$502))=0,"",INDEX('Dealer pipeline'!$C$4:$C$503,_calc!$E$502))&amp;" – "&amp;IF(LEN(INDEX('Dealer pipeline'!$D$4:$D$503,_calc!$E$502))=0,"",INDEX('Dealer pipeline'!$D$4:$D$503,_calc!$E$502))&amp;" – "&amp;IF(LEN(INDEX('Dealer pipeline'!$A$4:$A$503,_calc!$E$502))=0,"",INDEX('Dealer pipeline'!$A$4:$A$503,_calc!$E$502)),"Warranty – "&amp;IF(LEN(INDEX('My equipment'!$A$4:$A$503,(_calc!$E$502-500)))=0,"",INDEX('My equipment'!$A$4:$A$503,(_calc!$E$502-500)))&amp;" – "&amp;IF(LEN(INDEX('My equipment'!$D$4:$D$503,(_calc!$E$502-500)))=0,"",INDEX('My equipment'!$D$4:$D$503,(_calc!$E$502-500)))))</f>
        <v/>
      </c>
      <c r="B500" s="54">
        <f>IF(_calc!$E$502="","",IF(_calc!$E$502&lt;=500,IF(ISNUMBER(INDEX('Dealer pipeline'!$M$4:$M$503,_calc!$E$502)),TEXT(INDEX('Dealer pipeline'!$M$4:$M$503,_calc!$E$502),"yyyy-mm-dd"),""),IF(ISNUMBER(INDEX('My equipment'!$M$4:$M$503,(_calc!$E$502-500))),TEXT(INDEX('My equipment'!$M$4:$M$503,(_calc!$E$502-500)),"yyyy-mm-dd"),"")))</f>
        <v/>
      </c>
      <c r="C500" s="54">
        <f>IF(_calc!$E$502="","",IF(_calc!$E$502&lt;=500,"Warranty","Warranty"))</f>
        <v/>
      </c>
      <c r="D500" s="54">
        <f>IF(_calc!$E$502="","",IF(_calc!$E$502&lt;=500,IF(ISNUMBER(INDEX('Dealer pipeline'!$H$4:$H$503,_calc!$E$502)),TEXT(INDEX('Dealer pipeline'!$H$4:$H$503,_calc!$E$502),"yyyy-mm-dd"),""),IF(ISNUMBER(INDEX('My equipment'!$H$4:$H$503,(_calc!$E$502-500))),TEXT(INDEX('My equipment'!$H$4:$H$503,(_calc!$E$502-500)),"yyyy-mm-dd"),"")))</f>
        <v/>
      </c>
      <c r="F500" s="54">
        <f>IF(_calc!$E$502="","",IF(_calc!$E$502&lt;=500,TRIM(IF(LEN(IF(LEN(INDEX('Dealer pipeline'!$A$4:$A$503,_calc!$E$502))=0,"",INDEX('Dealer pipeline'!$A$4:$A$503,_calc!$E$502)))=0,"","Customer: "&amp;IF(LEN(INDEX('Dealer pipeline'!$A$4:$A$503,_calc!$E$502))=0,"",INDEX('Dealer pipeline'!$A$4:$A$503,_calc!$E$502))&amp;". ")&amp;IF(LEN(IF(LEN(INDEX('Dealer pipeline'!$B$4:$B$503,_calc!$E$502))=0,"",INDEX('Dealer pipeline'!$B$4:$B$503,_calc!$E$502)))=0,"","Contact: "&amp;IF(LEN(INDEX('Dealer pipeline'!$B$4:$B$503,_calc!$E$502))=0,"",INDEX('Dealer pipeline'!$B$4:$B$503,_calc!$E$502))&amp;". ")&amp;IF(LEN(IF(LEN(INDEX('Dealer pipeline'!$D$4:$D$503,_calc!$E$502))=0,"",INDEX('Dealer pipeline'!$D$4:$D$503,_calc!$E$502)))=0,"","Serial: "&amp;IF(LEN(INDEX('Dealer pipeline'!$D$4:$D$503,_calc!$E$502))=0,"",INDEX('Dealer pipeline'!$D$4:$D$503,_calc!$E$502))&amp;". ")&amp;IF(LEN(IF(ISNUMBER(INDEX('Dealer pipeline'!$J$4:$J$503,_calc!$E$502)),TEXT(INDEX('Dealer pipeline'!$J$4:$J$503,_calc!$E$502),"yyyy-mm-dd"),""))=0,"","Parts end: "&amp;IF(ISNUMBER(INDEX('Dealer pipeline'!$J$4:$J$503,_calc!$E$502)),TEXT(INDEX('Dealer pipeline'!$J$4:$J$503,_calc!$E$502),"yyyy-mm-dd"),"")&amp;". ")&amp;IF(LEN(IF(ISNUMBER(INDEX('Dealer pipeline'!$L$4:$L$503,_calc!$E$502)),TEXT(INDEX('Dealer pipeline'!$L$4:$L$503,_calc!$E$502),"yyyy-mm-dd"),""))=0,"","Labor end: "&amp;IF(ISNUMBER(INDEX('Dealer pipeline'!$L$4:$L$503,_calc!$E$502)),TEXT(INDEX('Dealer pipeline'!$L$4:$L$503,_calc!$E$502),"yyyy-mm-dd"),"")&amp;". ")&amp;IF(LEN(IF(LEN(INDEX('Dealer pipeline'!$Q$4:$Q$503,_calc!$E$502))=0,"",INDEX('Dealer pipeline'!$Q$4:$Q$503,_calc!$E$502)))=0,"","Status: "&amp;IF(LEN(INDEX('Dealer pipeline'!$Q$4:$Q$503,_calc!$E$502))=0,"",INDEX('Dealer pipeline'!$Q$4:$Q$503,_calc!$E$502))&amp;". ")&amp;IF(LEN(IF(LEN(INDEX('Dealer pipeline'!$P$4:$P$503,_calc!$E$502))=0,"",INDEX('Dealer pipeline'!$P$4:$P$503,_calc!$E$502)))=0,"","Last touch: "&amp;IF(LEN(INDEX('Dealer pipeline'!$P$4:$P$503,_calc!$E$502))=0,"",INDEX('Dealer pipeline'!$P$4:$P$503,_calc!$E$502))&amp;". ")&amp;IF(LEN(IF(LEN(INDEX('Dealer pipeline'!$R$4:$R$503,_calc!$E$502))=0,"",INDEX('Dealer pipeline'!$R$4:$R$503,_calc!$E$502)))=0,"","Owner: "&amp;IF(LEN(INDEX('Dealer pipeline'!$R$4:$R$503,_calc!$E$502))=0,"",INDEX('Dealer pipeline'!$R$4:$R$503,_calc!$E$502))&amp;". ")&amp;IF(LEN(IF(LEN(INDEX('Dealer pipeline'!$S$4:$S$503,_calc!$E$502))=0,"",INDEX('Dealer pipeline'!$S$4:$S$503,_calc!$E$502)))=0,"","Backup: "&amp;IF(LEN(INDEX('Dealer pipeline'!$S$4:$S$503,_calc!$E$502))=0,"",INDEX('Dealer pipeline'!$S$4:$S$503,_calc!$E$502))&amp;". ")&amp;IF(LEN(IF(LEN(INDEX('Dealer pipeline'!$T$4:$T$503,_calc!$E$502))=0,"",INDEX('Dealer pipeline'!$T$4:$T$503,_calc!$E$502)))=0,"",IF(LEN(INDEX('Dealer pipeline'!$T$4:$T$503,_calc!$E$502))=0,"",INDEX('Dealer pipeline'!$T$4:$T$503,_calc!$E$502)))),TRIM(IF(LEN(IF(LEN(INDEX('My equipment'!$C$4:$C$503,(_calc!$E$502-500)))=0,"",INDEX('My equipment'!$C$4:$C$503,(_calc!$E$502-500))))=0,"","Model: "&amp;IF(LEN(INDEX('My equipment'!$C$4:$C$503,(_calc!$E$502-500)))=0,"",INDEX('My equipment'!$C$4:$C$503,(_calc!$E$502-500)))&amp;". ")&amp;IF(LEN(IF(LEN(INDEX('My equipment'!$D$4:$D$503,(_calc!$E$502-500)))=0,"",INDEX('My equipment'!$D$4:$D$503,(_calc!$E$502-500))))=0,"","Serial: "&amp;IF(LEN(INDEX('My equipment'!$D$4:$D$503,(_calc!$E$502-500)))=0,"",INDEX('My equipment'!$D$4:$D$503,(_calc!$E$502-500)))&amp;". ")&amp;IF(LEN(IF(ISNUMBER(INDEX('My equipment'!$J$4:$J$503,(_calc!$E$502-500))),TEXT(INDEX('My equipment'!$J$4:$J$503,(_calc!$E$502-500)),"yyyy-mm-dd"),""))=0,"","Parts end: "&amp;IF(ISNUMBER(INDEX('My equipment'!$J$4:$J$503,(_calc!$E$502-500))),TEXT(INDEX('My equipment'!$J$4:$J$503,(_calc!$E$502-500)),"yyyy-mm-dd"),"")&amp;". ")&amp;IF(LEN(IF(ISNUMBER(INDEX('My equipment'!$L$4:$L$503,(_calc!$E$502-500))),TEXT(INDEX('My equipment'!$L$4:$L$503,(_calc!$E$502-500)),"yyyy-mm-dd"),""))=0,"","Labor end: "&amp;IF(ISNUMBER(INDEX('My equipment'!$L$4:$L$503,(_calc!$E$502-500))),TEXT(INDEX('My equipment'!$L$4:$L$503,(_calc!$E$502-500)),"yyyy-mm-dd"),"")&amp;". ")&amp;IF(LEN(IF(ISNUMBER(INDEX('My equipment'!$P$4:$P$503,(_calc!$E$502-500))),TEXT(INDEX('My equipment'!$P$4:$P$503,(_calc!$E$502-500)),"yyyy-mm-dd"),""))=0,"","Check by: "&amp;IF(ISNUMBER(INDEX('My equipment'!$P$4:$P$503,(_calc!$E$502-500))),TEXT(INDEX('My equipment'!$P$4:$P$503,(_calc!$E$502-500)),"yyyy-mm-dd"),"")&amp;". ")&amp;IF(LEN(IF(LEN(INDEX('My equipment'!$Q$4:$Q$503,(_calc!$E$502-500)))=0,"",INDEX('My equipment'!$Q$4:$Q$503,(_calc!$E$502-500))))=0,"","Claim status: "&amp;IF(LEN(INDEX('My equipment'!$Q$4:$Q$503,(_calc!$E$502-500)))=0,"",INDEX('My equipment'!$Q$4:$Q$503,(_calc!$E$502-500)))&amp;". ")&amp;IF(LEN(IF(LEN(INDEX('My equipment'!$R$4:$R$503,(_calc!$E$502-500)))=0,"",INDEX('My equipment'!$R$4:$R$503,(_calc!$E$502-500))))=0,"","Claims contact: "&amp;IF(LEN(INDEX('My equipment'!$R$4:$R$503,(_calc!$E$502-500)))=0,"",INDEX('My equipment'!$R$4:$R$503,(_calc!$E$502-500)))&amp;". ")&amp;IF(LEN(IF(LEN(INDEX('My equipment'!$S$4:$S$503,(_calc!$E$502-500)))=0,"",INDEX('My equipment'!$S$4:$S$503,(_calc!$E$502-500))))=0,"","Claims email: "&amp;IF(LEN(INDEX('My equipment'!$S$4:$S$503,(_calc!$E$502-500)))=0,"",INDEX('My equipment'!$S$4:$S$503,(_calc!$E$502-500)))&amp;". ")&amp;IF(LEN(IF(LEN(INDEX('My equipment'!$U$4:$U$503,(_calc!$E$502-500)))=0,"",INDEX('My equipment'!$U$4:$U$503,(_calc!$E$502-500))))=0,"","Registered: "&amp;IF(LEN(INDEX('My equipment'!$U$4:$U$503,(_calc!$E$502-500)))=0,"",INDEX('My equipment'!$U$4:$U$503,(_calc!$E$502-500)))&amp;". ")&amp;IF(LEN(IF(LEN(INDEX('My equipment'!$V$4:$V$503,(_calc!$E$502-500)))=0,"",INDEX('My equipment'!$V$4:$V$503,(_calc!$E$502-500))))=0,"","Proof on file: "&amp;IF(LEN(INDEX('My equipment'!$V$4:$V$503,(_calc!$E$502-500)))=0,"",INDEX('My equipment'!$V$4:$V$503,(_calc!$E$502-500)))&amp;". ")&amp;IF(LEN(IF(LEN(INDEX('My equipment'!$W$4:$W$503,(_calc!$E$502-500)))=0,"",INDEX('My equipment'!$W$4:$W$503,(_calc!$E$502-500))))=0,"","Claim ref: "&amp;IF(LEN(INDEX('My equipment'!$W$4:$W$503,(_calc!$E$502-500)))=0,"",INDEX('My equipment'!$W$4:$W$503,(_calc!$E$502-500)))&amp;". ")&amp;IF(LEN(IF(LEN(INDEX('My equipment'!$Y$4:$Y$503,(_calc!$E$502-500)))=0,"",INDEX('My equipment'!$Y$4:$Y$503,(_calc!$E$502-500))))=0,"",IF(LEN(INDEX('My equipment'!$Y$4:$Y$503,(_calc!$E$502-500)))=0,"",INDEX('My equipment'!$Y$4:$Y$503,(_calc!$E$502-500)))))))</f>
        <v/>
      </c>
      <c r="G500" s="54">
        <f>IF(_calc!$E$502="","",IF(_calc!$E$502&lt;=500,"",IF(LEN(INDEX('My equipment'!$X$4:$X$503,(_calc!$E$502-500)))=0,"",INDEX('My equipment'!$X$4:$X$503,(_calc!$E$502-500)))))</f>
        <v/>
      </c>
      <c r="K500" s="54">
        <f>IF(_calc!$E$502="","",IF(_calc!$E$502&lt;=500,"",IF(LEN(INDEX('My equipment'!$T$4:$T$503,(_calc!$E$502-500)))=0,"",INDEX('My equipment'!$T$4:$T$503,(_calc!$E$502-500)))))</f>
        <v/>
      </c>
    </row>
    <row r="501">
      <c r="A501" s="54">
        <f>IF(_calc!$E$503="","",IF(_calc!$E$503&lt;=500,"Warranty – "&amp;IF(LEN(INDEX('Dealer pipeline'!$C$4:$C$503,_calc!$E$503))=0,"",INDEX('Dealer pipeline'!$C$4:$C$503,_calc!$E$503))&amp;" – "&amp;IF(LEN(INDEX('Dealer pipeline'!$D$4:$D$503,_calc!$E$503))=0,"",INDEX('Dealer pipeline'!$D$4:$D$503,_calc!$E$503))&amp;" – "&amp;IF(LEN(INDEX('Dealer pipeline'!$A$4:$A$503,_calc!$E$503))=0,"",INDEX('Dealer pipeline'!$A$4:$A$503,_calc!$E$503)),"Warranty – "&amp;IF(LEN(INDEX('My equipment'!$A$4:$A$503,(_calc!$E$503-500)))=0,"",INDEX('My equipment'!$A$4:$A$503,(_calc!$E$503-500)))&amp;" – "&amp;IF(LEN(INDEX('My equipment'!$D$4:$D$503,(_calc!$E$503-500)))=0,"",INDEX('My equipment'!$D$4:$D$503,(_calc!$E$503-500)))))</f>
        <v/>
      </c>
      <c r="B501" s="54">
        <f>IF(_calc!$E$503="","",IF(_calc!$E$503&lt;=500,IF(ISNUMBER(INDEX('Dealer pipeline'!$M$4:$M$503,_calc!$E$503)),TEXT(INDEX('Dealer pipeline'!$M$4:$M$503,_calc!$E$503),"yyyy-mm-dd"),""),IF(ISNUMBER(INDEX('My equipment'!$M$4:$M$503,(_calc!$E$503-500))),TEXT(INDEX('My equipment'!$M$4:$M$503,(_calc!$E$503-500)),"yyyy-mm-dd"),"")))</f>
        <v/>
      </c>
      <c r="C501" s="54">
        <f>IF(_calc!$E$503="","",IF(_calc!$E$503&lt;=500,"Warranty","Warranty"))</f>
        <v/>
      </c>
      <c r="D501" s="54">
        <f>IF(_calc!$E$503="","",IF(_calc!$E$503&lt;=500,IF(ISNUMBER(INDEX('Dealer pipeline'!$H$4:$H$503,_calc!$E$503)),TEXT(INDEX('Dealer pipeline'!$H$4:$H$503,_calc!$E$503),"yyyy-mm-dd"),""),IF(ISNUMBER(INDEX('My equipment'!$H$4:$H$503,(_calc!$E$503-500))),TEXT(INDEX('My equipment'!$H$4:$H$503,(_calc!$E$503-500)),"yyyy-mm-dd"),"")))</f>
        <v/>
      </c>
      <c r="F501" s="54">
        <f>IF(_calc!$E$503="","",IF(_calc!$E$503&lt;=500,TRIM(IF(LEN(IF(LEN(INDEX('Dealer pipeline'!$A$4:$A$503,_calc!$E$503))=0,"",INDEX('Dealer pipeline'!$A$4:$A$503,_calc!$E$503)))=0,"","Customer: "&amp;IF(LEN(INDEX('Dealer pipeline'!$A$4:$A$503,_calc!$E$503))=0,"",INDEX('Dealer pipeline'!$A$4:$A$503,_calc!$E$503))&amp;". ")&amp;IF(LEN(IF(LEN(INDEX('Dealer pipeline'!$B$4:$B$503,_calc!$E$503))=0,"",INDEX('Dealer pipeline'!$B$4:$B$503,_calc!$E$503)))=0,"","Contact: "&amp;IF(LEN(INDEX('Dealer pipeline'!$B$4:$B$503,_calc!$E$503))=0,"",INDEX('Dealer pipeline'!$B$4:$B$503,_calc!$E$503))&amp;". ")&amp;IF(LEN(IF(LEN(INDEX('Dealer pipeline'!$D$4:$D$503,_calc!$E$503))=0,"",INDEX('Dealer pipeline'!$D$4:$D$503,_calc!$E$503)))=0,"","Serial: "&amp;IF(LEN(INDEX('Dealer pipeline'!$D$4:$D$503,_calc!$E$503))=0,"",INDEX('Dealer pipeline'!$D$4:$D$503,_calc!$E$503))&amp;". ")&amp;IF(LEN(IF(ISNUMBER(INDEX('Dealer pipeline'!$J$4:$J$503,_calc!$E$503)),TEXT(INDEX('Dealer pipeline'!$J$4:$J$503,_calc!$E$503),"yyyy-mm-dd"),""))=0,"","Parts end: "&amp;IF(ISNUMBER(INDEX('Dealer pipeline'!$J$4:$J$503,_calc!$E$503)),TEXT(INDEX('Dealer pipeline'!$J$4:$J$503,_calc!$E$503),"yyyy-mm-dd"),"")&amp;". ")&amp;IF(LEN(IF(ISNUMBER(INDEX('Dealer pipeline'!$L$4:$L$503,_calc!$E$503)),TEXT(INDEX('Dealer pipeline'!$L$4:$L$503,_calc!$E$503),"yyyy-mm-dd"),""))=0,"","Labor end: "&amp;IF(ISNUMBER(INDEX('Dealer pipeline'!$L$4:$L$503,_calc!$E$503)),TEXT(INDEX('Dealer pipeline'!$L$4:$L$503,_calc!$E$503),"yyyy-mm-dd"),"")&amp;". ")&amp;IF(LEN(IF(LEN(INDEX('Dealer pipeline'!$Q$4:$Q$503,_calc!$E$503))=0,"",INDEX('Dealer pipeline'!$Q$4:$Q$503,_calc!$E$503)))=0,"","Status: "&amp;IF(LEN(INDEX('Dealer pipeline'!$Q$4:$Q$503,_calc!$E$503))=0,"",INDEX('Dealer pipeline'!$Q$4:$Q$503,_calc!$E$503))&amp;". ")&amp;IF(LEN(IF(LEN(INDEX('Dealer pipeline'!$P$4:$P$503,_calc!$E$503))=0,"",INDEX('Dealer pipeline'!$P$4:$P$503,_calc!$E$503)))=0,"","Last touch: "&amp;IF(LEN(INDEX('Dealer pipeline'!$P$4:$P$503,_calc!$E$503))=0,"",INDEX('Dealer pipeline'!$P$4:$P$503,_calc!$E$503))&amp;". ")&amp;IF(LEN(IF(LEN(INDEX('Dealer pipeline'!$R$4:$R$503,_calc!$E$503))=0,"",INDEX('Dealer pipeline'!$R$4:$R$503,_calc!$E$503)))=0,"","Owner: "&amp;IF(LEN(INDEX('Dealer pipeline'!$R$4:$R$503,_calc!$E$503))=0,"",INDEX('Dealer pipeline'!$R$4:$R$503,_calc!$E$503))&amp;". ")&amp;IF(LEN(IF(LEN(INDEX('Dealer pipeline'!$S$4:$S$503,_calc!$E$503))=0,"",INDEX('Dealer pipeline'!$S$4:$S$503,_calc!$E$503)))=0,"","Backup: "&amp;IF(LEN(INDEX('Dealer pipeline'!$S$4:$S$503,_calc!$E$503))=0,"",INDEX('Dealer pipeline'!$S$4:$S$503,_calc!$E$503))&amp;". ")&amp;IF(LEN(IF(LEN(INDEX('Dealer pipeline'!$T$4:$T$503,_calc!$E$503))=0,"",INDEX('Dealer pipeline'!$T$4:$T$503,_calc!$E$503)))=0,"",IF(LEN(INDEX('Dealer pipeline'!$T$4:$T$503,_calc!$E$503))=0,"",INDEX('Dealer pipeline'!$T$4:$T$503,_calc!$E$503)))),TRIM(IF(LEN(IF(LEN(INDEX('My equipment'!$C$4:$C$503,(_calc!$E$503-500)))=0,"",INDEX('My equipment'!$C$4:$C$503,(_calc!$E$503-500))))=0,"","Model: "&amp;IF(LEN(INDEX('My equipment'!$C$4:$C$503,(_calc!$E$503-500)))=0,"",INDEX('My equipment'!$C$4:$C$503,(_calc!$E$503-500)))&amp;". ")&amp;IF(LEN(IF(LEN(INDEX('My equipment'!$D$4:$D$503,(_calc!$E$503-500)))=0,"",INDEX('My equipment'!$D$4:$D$503,(_calc!$E$503-500))))=0,"","Serial: "&amp;IF(LEN(INDEX('My equipment'!$D$4:$D$503,(_calc!$E$503-500)))=0,"",INDEX('My equipment'!$D$4:$D$503,(_calc!$E$503-500)))&amp;". ")&amp;IF(LEN(IF(ISNUMBER(INDEX('My equipment'!$J$4:$J$503,(_calc!$E$503-500))),TEXT(INDEX('My equipment'!$J$4:$J$503,(_calc!$E$503-500)),"yyyy-mm-dd"),""))=0,"","Parts end: "&amp;IF(ISNUMBER(INDEX('My equipment'!$J$4:$J$503,(_calc!$E$503-500))),TEXT(INDEX('My equipment'!$J$4:$J$503,(_calc!$E$503-500)),"yyyy-mm-dd"),"")&amp;". ")&amp;IF(LEN(IF(ISNUMBER(INDEX('My equipment'!$L$4:$L$503,(_calc!$E$503-500))),TEXT(INDEX('My equipment'!$L$4:$L$503,(_calc!$E$503-500)),"yyyy-mm-dd"),""))=0,"","Labor end: "&amp;IF(ISNUMBER(INDEX('My equipment'!$L$4:$L$503,(_calc!$E$503-500))),TEXT(INDEX('My equipment'!$L$4:$L$503,(_calc!$E$503-500)),"yyyy-mm-dd"),"")&amp;". ")&amp;IF(LEN(IF(ISNUMBER(INDEX('My equipment'!$P$4:$P$503,(_calc!$E$503-500))),TEXT(INDEX('My equipment'!$P$4:$P$503,(_calc!$E$503-500)),"yyyy-mm-dd"),""))=0,"","Check by: "&amp;IF(ISNUMBER(INDEX('My equipment'!$P$4:$P$503,(_calc!$E$503-500))),TEXT(INDEX('My equipment'!$P$4:$P$503,(_calc!$E$503-500)),"yyyy-mm-dd"),"")&amp;". ")&amp;IF(LEN(IF(LEN(INDEX('My equipment'!$Q$4:$Q$503,(_calc!$E$503-500)))=0,"",INDEX('My equipment'!$Q$4:$Q$503,(_calc!$E$503-500))))=0,"","Claim status: "&amp;IF(LEN(INDEX('My equipment'!$Q$4:$Q$503,(_calc!$E$503-500)))=0,"",INDEX('My equipment'!$Q$4:$Q$503,(_calc!$E$503-500)))&amp;". ")&amp;IF(LEN(IF(LEN(INDEX('My equipment'!$R$4:$R$503,(_calc!$E$503-500)))=0,"",INDEX('My equipment'!$R$4:$R$503,(_calc!$E$503-500))))=0,"","Claims contact: "&amp;IF(LEN(INDEX('My equipment'!$R$4:$R$503,(_calc!$E$503-500)))=0,"",INDEX('My equipment'!$R$4:$R$503,(_calc!$E$503-500)))&amp;". ")&amp;IF(LEN(IF(LEN(INDEX('My equipment'!$S$4:$S$503,(_calc!$E$503-500)))=0,"",INDEX('My equipment'!$S$4:$S$503,(_calc!$E$503-500))))=0,"","Claims email: "&amp;IF(LEN(INDEX('My equipment'!$S$4:$S$503,(_calc!$E$503-500)))=0,"",INDEX('My equipment'!$S$4:$S$503,(_calc!$E$503-500)))&amp;". ")&amp;IF(LEN(IF(LEN(INDEX('My equipment'!$U$4:$U$503,(_calc!$E$503-500)))=0,"",INDEX('My equipment'!$U$4:$U$503,(_calc!$E$503-500))))=0,"","Registered: "&amp;IF(LEN(INDEX('My equipment'!$U$4:$U$503,(_calc!$E$503-500)))=0,"",INDEX('My equipment'!$U$4:$U$503,(_calc!$E$503-500)))&amp;". ")&amp;IF(LEN(IF(LEN(INDEX('My equipment'!$V$4:$V$503,(_calc!$E$503-500)))=0,"",INDEX('My equipment'!$V$4:$V$503,(_calc!$E$503-500))))=0,"","Proof on file: "&amp;IF(LEN(INDEX('My equipment'!$V$4:$V$503,(_calc!$E$503-500)))=0,"",INDEX('My equipment'!$V$4:$V$503,(_calc!$E$503-500)))&amp;". ")&amp;IF(LEN(IF(LEN(INDEX('My equipment'!$W$4:$W$503,(_calc!$E$503-500)))=0,"",INDEX('My equipment'!$W$4:$W$503,(_calc!$E$503-500))))=0,"","Claim ref: "&amp;IF(LEN(INDEX('My equipment'!$W$4:$W$503,(_calc!$E$503-500)))=0,"",INDEX('My equipment'!$W$4:$W$503,(_calc!$E$503-500)))&amp;". ")&amp;IF(LEN(IF(LEN(INDEX('My equipment'!$Y$4:$Y$503,(_calc!$E$503-500)))=0,"",INDEX('My equipment'!$Y$4:$Y$503,(_calc!$E$503-500))))=0,"",IF(LEN(INDEX('My equipment'!$Y$4:$Y$503,(_calc!$E$503-500)))=0,"",INDEX('My equipment'!$Y$4:$Y$503,(_calc!$E$503-500)))))))</f>
        <v/>
      </c>
      <c r="G501" s="54">
        <f>IF(_calc!$E$503="","",IF(_calc!$E$503&lt;=500,"",IF(LEN(INDEX('My equipment'!$X$4:$X$503,(_calc!$E$503-500)))=0,"",INDEX('My equipment'!$X$4:$X$503,(_calc!$E$503-500)))))</f>
        <v/>
      </c>
      <c r="K501" s="54">
        <f>IF(_calc!$E$503="","",IF(_calc!$E$503&lt;=500,"",IF(LEN(INDEX('My equipment'!$T$4:$T$503,(_calc!$E$503-500)))=0,"",INDEX('My equipment'!$T$4:$T$503,(_calc!$E$503-500)))))</f>
        <v/>
      </c>
    </row>
    <row r="502">
      <c r="A502" s="54">
        <f>IF(_calc!$E$504="","",IF(_calc!$E$504&lt;=500,"Warranty – "&amp;IF(LEN(INDEX('Dealer pipeline'!$C$4:$C$503,_calc!$E$504))=0,"",INDEX('Dealer pipeline'!$C$4:$C$503,_calc!$E$504))&amp;" – "&amp;IF(LEN(INDEX('Dealer pipeline'!$D$4:$D$503,_calc!$E$504))=0,"",INDEX('Dealer pipeline'!$D$4:$D$503,_calc!$E$504))&amp;" – "&amp;IF(LEN(INDEX('Dealer pipeline'!$A$4:$A$503,_calc!$E$504))=0,"",INDEX('Dealer pipeline'!$A$4:$A$503,_calc!$E$504)),"Warranty – "&amp;IF(LEN(INDEX('My equipment'!$A$4:$A$503,(_calc!$E$504-500)))=0,"",INDEX('My equipment'!$A$4:$A$503,(_calc!$E$504-500)))&amp;" – "&amp;IF(LEN(INDEX('My equipment'!$D$4:$D$503,(_calc!$E$504-500)))=0,"",INDEX('My equipment'!$D$4:$D$503,(_calc!$E$504-500)))))</f>
        <v/>
      </c>
      <c r="B502" s="54">
        <f>IF(_calc!$E$504="","",IF(_calc!$E$504&lt;=500,IF(ISNUMBER(INDEX('Dealer pipeline'!$M$4:$M$503,_calc!$E$504)),TEXT(INDEX('Dealer pipeline'!$M$4:$M$503,_calc!$E$504),"yyyy-mm-dd"),""),IF(ISNUMBER(INDEX('My equipment'!$M$4:$M$503,(_calc!$E$504-500))),TEXT(INDEX('My equipment'!$M$4:$M$503,(_calc!$E$504-500)),"yyyy-mm-dd"),"")))</f>
        <v/>
      </c>
      <c r="C502" s="54">
        <f>IF(_calc!$E$504="","",IF(_calc!$E$504&lt;=500,"Warranty","Warranty"))</f>
        <v/>
      </c>
      <c r="D502" s="54">
        <f>IF(_calc!$E$504="","",IF(_calc!$E$504&lt;=500,IF(ISNUMBER(INDEX('Dealer pipeline'!$H$4:$H$503,_calc!$E$504)),TEXT(INDEX('Dealer pipeline'!$H$4:$H$503,_calc!$E$504),"yyyy-mm-dd"),""),IF(ISNUMBER(INDEX('My equipment'!$H$4:$H$503,(_calc!$E$504-500))),TEXT(INDEX('My equipment'!$H$4:$H$503,(_calc!$E$504-500)),"yyyy-mm-dd"),"")))</f>
        <v/>
      </c>
      <c r="F502" s="54">
        <f>IF(_calc!$E$504="","",IF(_calc!$E$504&lt;=500,TRIM(IF(LEN(IF(LEN(INDEX('Dealer pipeline'!$A$4:$A$503,_calc!$E$504))=0,"",INDEX('Dealer pipeline'!$A$4:$A$503,_calc!$E$504)))=0,"","Customer: "&amp;IF(LEN(INDEX('Dealer pipeline'!$A$4:$A$503,_calc!$E$504))=0,"",INDEX('Dealer pipeline'!$A$4:$A$503,_calc!$E$504))&amp;". ")&amp;IF(LEN(IF(LEN(INDEX('Dealer pipeline'!$B$4:$B$503,_calc!$E$504))=0,"",INDEX('Dealer pipeline'!$B$4:$B$503,_calc!$E$504)))=0,"","Contact: "&amp;IF(LEN(INDEX('Dealer pipeline'!$B$4:$B$503,_calc!$E$504))=0,"",INDEX('Dealer pipeline'!$B$4:$B$503,_calc!$E$504))&amp;". ")&amp;IF(LEN(IF(LEN(INDEX('Dealer pipeline'!$D$4:$D$503,_calc!$E$504))=0,"",INDEX('Dealer pipeline'!$D$4:$D$503,_calc!$E$504)))=0,"","Serial: "&amp;IF(LEN(INDEX('Dealer pipeline'!$D$4:$D$503,_calc!$E$504))=0,"",INDEX('Dealer pipeline'!$D$4:$D$503,_calc!$E$504))&amp;". ")&amp;IF(LEN(IF(ISNUMBER(INDEX('Dealer pipeline'!$J$4:$J$503,_calc!$E$504)),TEXT(INDEX('Dealer pipeline'!$J$4:$J$503,_calc!$E$504),"yyyy-mm-dd"),""))=0,"","Parts end: "&amp;IF(ISNUMBER(INDEX('Dealer pipeline'!$J$4:$J$503,_calc!$E$504)),TEXT(INDEX('Dealer pipeline'!$J$4:$J$503,_calc!$E$504),"yyyy-mm-dd"),"")&amp;". ")&amp;IF(LEN(IF(ISNUMBER(INDEX('Dealer pipeline'!$L$4:$L$503,_calc!$E$504)),TEXT(INDEX('Dealer pipeline'!$L$4:$L$503,_calc!$E$504),"yyyy-mm-dd"),""))=0,"","Labor end: "&amp;IF(ISNUMBER(INDEX('Dealer pipeline'!$L$4:$L$503,_calc!$E$504)),TEXT(INDEX('Dealer pipeline'!$L$4:$L$503,_calc!$E$504),"yyyy-mm-dd"),"")&amp;". ")&amp;IF(LEN(IF(LEN(INDEX('Dealer pipeline'!$Q$4:$Q$503,_calc!$E$504))=0,"",INDEX('Dealer pipeline'!$Q$4:$Q$503,_calc!$E$504)))=0,"","Status: "&amp;IF(LEN(INDEX('Dealer pipeline'!$Q$4:$Q$503,_calc!$E$504))=0,"",INDEX('Dealer pipeline'!$Q$4:$Q$503,_calc!$E$504))&amp;". ")&amp;IF(LEN(IF(LEN(INDEX('Dealer pipeline'!$P$4:$P$503,_calc!$E$504))=0,"",INDEX('Dealer pipeline'!$P$4:$P$503,_calc!$E$504)))=0,"","Last touch: "&amp;IF(LEN(INDEX('Dealer pipeline'!$P$4:$P$503,_calc!$E$504))=0,"",INDEX('Dealer pipeline'!$P$4:$P$503,_calc!$E$504))&amp;". ")&amp;IF(LEN(IF(LEN(INDEX('Dealer pipeline'!$R$4:$R$503,_calc!$E$504))=0,"",INDEX('Dealer pipeline'!$R$4:$R$503,_calc!$E$504)))=0,"","Owner: "&amp;IF(LEN(INDEX('Dealer pipeline'!$R$4:$R$503,_calc!$E$504))=0,"",INDEX('Dealer pipeline'!$R$4:$R$503,_calc!$E$504))&amp;". ")&amp;IF(LEN(IF(LEN(INDEX('Dealer pipeline'!$S$4:$S$503,_calc!$E$504))=0,"",INDEX('Dealer pipeline'!$S$4:$S$503,_calc!$E$504)))=0,"","Backup: "&amp;IF(LEN(INDEX('Dealer pipeline'!$S$4:$S$503,_calc!$E$504))=0,"",INDEX('Dealer pipeline'!$S$4:$S$503,_calc!$E$504))&amp;". ")&amp;IF(LEN(IF(LEN(INDEX('Dealer pipeline'!$T$4:$T$503,_calc!$E$504))=0,"",INDEX('Dealer pipeline'!$T$4:$T$503,_calc!$E$504)))=0,"",IF(LEN(INDEX('Dealer pipeline'!$T$4:$T$503,_calc!$E$504))=0,"",INDEX('Dealer pipeline'!$T$4:$T$503,_calc!$E$504)))),TRIM(IF(LEN(IF(LEN(INDEX('My equipment'!$C$4:$C$503,(_calc!$E$504-500)))=0,"",INDEX('My equipment'!$C$4:$C$503,(_calc!$E$504-500))))=0,"","Model: "&amp;IF(LEN(INDEX('My equipment'!$C$4:$C$503,(_calc!$E$504-500)))=0,"",INDEX('My equipment'!$C$4:$C$503,(_calc!$E$504-500)))&amp;". ")&amp;IF(LEN(IF(LEN(INDEX('My equipment'!$D$4:$D$503,(_calc!$E$504-500)))=0,"",INDEX('My equipment'!$D$4:$D$503,(_calc!$E$504-500))))=0,"","Serial: "&amp;IF(LEN(INDEX('My equipment'!$D$4:$D$503,(_calc!$E$504-500)))=0,"",INDEX('My equipment'!$D$4:$D$503,(_calc!$E$504-500)))&amp;". ")&amp;IF(LEN(IF(ISNUMBER(INDEX('My equipment'!$J$4:$J$503,(_calc!$E$504-500))),TEXT(INDEX('My equipment'!$J$4:$J$503,(_calc!$E$504-500)),"yyyy-mm-dd"),""))=0,"","Parts end: "&amp;IF(ISNUMBER(INDEX('My equipment'!$J$4:$J$503,(_calc!$E$504-500))),TEXT(INDEX('My equipment'!$J$4:$J$503,(_calc!$E$504-500)),"yyyy-mm-dd"),"")&amp;". ")&amp;IF(LEN(IF(ISNUMBER(INDEX('My equipment'!$L$4:$L$503,(_calc!$E$504-500))),TEXT(INDEX('My equipment'!$L$4:$L$503,(_calc!$E$504-500)),"yyyy-mm-dd"),""))=0,"","Labor end: "&amp;IF(ISNUMBER(INDEX('My equipment'!$L$4:$L$503,(_calc!$E$504-500))),TEXT(INDEX('My equipment'!$L$4:$L$503,(_calc!$E$504-500)),"yyyy-mm-dd"),"")&amp;". ")&amp;IF(LEN(IF(ISNUMBER(INDEX('My equipment'!$P$4:$P$503,(_calc!$E$504-500))),TEXT(INDEX('My equipment'!$P$4:$P$503,(_calc!$E$504-500)),"yyyy-mm-dd"),""))=0,"","Check by: "&amp;IF(ISNUMBER(INDEX('My equipment'!$P$4:$P$503,(_calc!$E$504-500))),TEXT(INDEX('My equipment'!$P$4:$P$503,(_calc!$E$504-500)),"yyyy-mm-dd"),"")&amp;". ")&amp;IF(LEN(IF(LEN(INDEX('My equipment'!$Q$4:$Q$503,(_calc!$E$504-500)))=0,"",INDEX('My equipment'!$Q$4:$Q$503,(_calc!$E$504-500))))=0,"","Claim status: "&amp;IF(LEN(INDEX('My equipment'!$Q$4:$Q$503,(_calc!$E$504-500)))=0,"",INDEX('My equipment'!$Q$4:$Q$503,(_calc!$E$504-500)))&amp;". ")&amp;IF(LEN(IF(LEN(INDEX('My equipment'!$R$4:$R$503,(_calc!$E$504-500)))=0,"",INDEX('My equipment'!$R$4:$R$503,(_calc!$E$504-500))))=0,"","Claims contact: "&amp;IF(LEN(INDEX('My equipment'!$R$4:$R$503,(_calc!$E$504-500)))=0,"",INDEX('My equipment'!$R$4:$R$503,(_calc!$E$504-500)))&amp;". ")&amp;IF(LEN(IF(LEN(INDEX('My equipment'!$S$4:$S$503,(_calc!$E$504-500)))=0,"",INDEX('My equipment'!$S$4:$S$503,(_calc!$E$504-500))))=0,"","Claims email: "&amp;IF(LEN(INDEX('My equipment'!$S$4:$S$503,(_calc!$E$504-500)))=0,"",INDEX('My equipment'!$S$4:$S$503,(_calc!$E$504-500)))&amp;". ")&amp;IF(LEN(IF(LEN(INDEX('My equipment'!$U$4:$U$503,(_calc!$E$504-500)))=0,"",INDEX('My equipment'!$U$4:$U$503,(_calc!$E$504-500))))=0,"","Registered: "&amp;IF(LEN(INDEX('My equipment'!$U$4:$U$503,(_calc!$E$504-500)))=0,"",INDEX('My equipment'!$U$4:$U$503,(_calc!$E$504-500)))&amp;". ")&amp;IF(LEN(IF(LEN(INDEX('My equipment'!$V$4:$V$503,(_calc!$E$504-500)))=0,"",INDEX('My equipment'!$V$4:$V$503,(_calc!$E$504-500))))=0,"","Proof on file: "&amp;IF(LEN(INDEX('My equipment'!$V$4:$V$503,(_calc!$E$504-500)))=0,"",INDEX('My equipment'!$V$4:$V$503,(_calc!$E$504-500)))&amp;". ")&amp;IF(LEN(IF(LEN(INDEX('My equipment'!$W$4:$W$503,(_calc!$E$504-500)))=0,"",INDEX('My equipment'!$W$4:$W$503,(_calc!$E$504-500))))=0,"","Claim ref: "&amp;IF(LEN(INDEX('My equipment'!$W$4:$W$503,(_calc!$E$504-500)))=0,"",INDEX('My equipment'!$W$4:$W$503,(_calc!$E$504-500)))&amp;". ")&amp;IF(LEN(IF(LEN(INDEX('My equipment'!$Y$4:$Y$503,(_calc!$E$504-500)))=0,"",INDEX('My equipment'!$Y$4:$Y$503,(_calc!$E$504-500))))=0,"",IF(LEN(INDEX('My equipment'!$Y$4:$Y$503,(_calc!$E$504-500)))=0,"",INDEX('My equipment'!$Y$4:$Y$503,(_calc!$E$504-500)))))))</f>
        <v/>
      </c>
      <c r="G502" s="54">
        <f>IF(_calc!$E$504="","",IF(_calc!$E$504&lt;=500,"",IF(LEN(INDEX('My equipment'!$X$4:$X$503,(_calc!$E$504-500)))=0,"",INDEX('My equipment'!$X$4:$X$503,(_calc!$E$504-500)))))</f>
        <v/>
      </c>
      <c r="K502" s="54">
        <f>IF(_calc!$E$504="","",IF(_calc!$E$504&lt;=500,"",IF(LEN(INDEX('My equipment'!$T$4:$T$503,(_calc!$E$504-500)))=0,"",INDEX('My equipment'!$T$4:$T$503,(_calc!$E$504-500)))))</f>
        <v/>
      </c>
    </row>
    <row r="503">
      <c r="A503" s="54">
        <f>IF(_calc!$E$505="","",IF(_calc!$E$505&lt;=500,"Warranty – "&amp;IF(LEN(INDEX('Dealer pipeline'!$C$4:$C$503,_calc!$E$505))=0,"",INDEX('Dealer pipeline'!$C$4:$C$503,_calc!$E$505))&amp;" – "&amp;IF(LEN(INDEX('Dealer pipeline'!$D$4:$D$503,_calc!$E$505))=0,"",INDEX('Dealer pipeline'!$D$4:$D$503,_calc!$E$505))&amp;" – "&amp;IF(LEN(INDEX('Dealer pipeline'!$A$4:$A$503,_calc!$E$505))=0,"",INDEX('Dealer pipeline'!$A$4:$A$503,_calc!$E$505)),"Warranty – "&amp;IF(LEN(INDEX('My equipment'!$A$4:$A$503,(_calc!$E$505-500)))=0,"",INDEX('My equipment'!$A$4:$A$503,(_calc!$E$505-500)))&amp;" – "&amp;IF(LEN(INDEX('My equipment'!$D$4:$D$503,(_calc!$E$505-500)))=0,"",INDEX('My equipment'!$D$4:$D$503,(_calc!$E$505-500)))))</f>
        <v/>
      </c>
      <c r="B503" s="54">
        <f>IF(_calc!$E$505="","",IF(_calc!$E$505&lt;=500,IF(ISNUMBER(INDEX('Dealer pipeline'!$M$4:$M$503,_calc!$E$505)),TEXT(INDEX('Dealer pipeline'!$M$4:$M$503,_calc!$E$505),"yyyy-mm-dd"),""),IF(ISNUMBER(INDEX('My equipment'!$M$4:$M$503,(_calc!$E$505-500))),TEXT(INDEX('My equipment'!$M$4:$M$503,(_calc!$E$505-500)),"yyyy-mm-dd"),"")))</f>
        <v/>
      </c>
      <c r="C503" s="54">
        <f>IF(_calc!$E$505="","",IF(_calc!$E$505&lt;=500,"Warranty","Warranty"))</f>
        <v/>
      </c>
      <c r="D503" s="54">
        <f>IF(_calc!$E$505="","",IF(_calc!$E$505&lt;=500,IF(ISNUMBER(INDEX('Dealer pipeline'!$H$4:$H$503,_calc!$E$505)),TEXT(INDEX('Dealer pipeline'!$H$4:$H$503,_calc!$E$505),"yyyy-mm-dd"),""),IF(ISNUMBER(INDEX('My equipment'!$H$4:$H$503,(_calc!$E$505-500))),TEXT(INDEX('My equipment'!$H$4:$H$503,(_calc!$E$505-500)),"yyyy-mm-dd"),"")))</f>
        <v/>
      </c>
      <c r="F503" s="54">
        <f>IF(_calc!$E$505="","",IF(_calc!$E$505&lt;=500,TRIM(IF(LEN(IF(LEN(INDEX('Dealer pipeline'!$A$4:$A$503,_calc!$E$505))=0,"",INDEX('Dealer pipeline'!$A$4:$A$503,_calc!$E$505)))=0,"","Customer: "&amp;IF(LEN(INDEX('Dealer pipeline'!$A$4:$A$503,_calc!$E$505))=0,"",INDEX('Dealer pipeline'!$A$4:$A$503,_calc!$E$505))&amp;". ")&amp;IF(LEN(IF(LEN(INDEX('Dealer pipeline'!$B$4:$B$503,_calc!$E$505))=0,"",INDEX('Dealer pipeline'!$B$4:$B$503,_calc!$E$505)))=0,"","Contact: "&amp;IF(LEN(INDEX('Dealer pipeline'!$B$4:$B$503,_calc!$E$505))=0,"",INDEX('Dealer pipeline'!$B$4:$B$503,_calc!$E$505))&amp;". ")&amp;IF(LEN(IF(LEN(INDEX('Dealer pipeline'!$D$4:$D$503,_calc!$E$505))=0,"",INDEX('Dealer pipeline'!$D$4:$D$503,_calc!$E$505)))=0,"","Serial: "&amp;IF(LEN(INDEX('Dealer pipeline'!$D$4:$D$503,_calc!$E$505))=0,"",INDEX('Dealer pipeline'!$D$4:$D$503,_calc!$E$505))&amp;". ")&amp;IF(LEN(IF(ISNUMBER(INDEX('Dealer pipeline'!$J$4:$J$503,_calc!$E$505)),TEXT(INDEX('Dealer pipeline'!$J$4:$J$503,_calc!$E$505),"yyyy-mm-dd"),""))=0,"","Parts end: "&amp;IF(ISNUMBER(INDEX('Dealer pipeline'!$J$4:$J$503,_calc!$E$505)),TEXT(INDEX('Dealer pipeline'!$J$4:$J$503,_calc!$E$505),"yyyy-mm-dd"),"")&amp;". ")&amp;IF(LEN(IF(ISNUMBER(INDEX('Dealer pipeline'!$L$4:$L$503,_calc!$E$505)),TEXT(INDEX('Dealer pipeline'!$L$4:$L$503,_calc!$E$505),"yyyy-mm-dd"),""))=0,"","Labor end: "&amp;IF(ISNUMBER(INDEX('Dealer pipeline'!$L$4:$L$503,_calc!$E$505)),TEXT(INDEX('Dealer pipeline'!$L$4:$L$503,_calc!$E$505),"yyyy-mm-dd"),"")&amp;". ")&amp;IF(LEN(IF(LEN(INDEX('Dealer pipeline'!$Q$4:$Q$503,_calc!$E$505))=0,"",INDEX('Dealer pipeline'!$Q$4:$Q$503,_calc!$E$505)))=0,"","Status: "&amp;IF(LEN(INDEX('Dealer pipeline'!$Q$4:$Q$503,_calc!$E$505))=0,"",INDEX('Dealer pipeline'!$Q$4:$Q$503,_calc!$E$505))&amp;". ")&amp;IF(LEN(IF(LEN(INDEX('Dealer pipeline'!$P$4:$P$503,_calc!$E$505))=0,"",INDEX('Dealer pipeline'!$P$4:$P$503,_calc!$E$505)))=0,"","Last touch: "&amp;IF(LEN(INDEX('Dealer pipeline'!$P$4:$P$503,_calc!$E$505))=0,"",INDEX('Dealer pipeline'!$P$4:$P$503,_calc!$E$505))&amp;". ")&amp;IF(LEN(IF(LEN(INDEX('Dealer pipeline'!$R$4:$R$503,_calc!$E$505))=0,"",INDEX('Dealer pipeline'!$R$4:$R$503,_calc!$E$505)))=0,"","Owner: "&amp;IF(LEN(INDEX('Dealer pipeline'!$R$4:$R$503,_calc!$E$505))=0,"",INDEX('Dealer pipeline'!$R$4:$R$503,_calc!$E$505))&amp;". ")&amp;IF(LEN(IF(LEN(INDEX('Dealer pipeline'!$S$4:$S$503,_calc!$E$505))=0,"",INDEX('Dealer pipeline'!$S$4:$S$503,_calc!$E$505)))=0,"","Backup: "&amp;IF(LEN(INDEX('Dealer pipeline'!$S$4:$S$503,_calc!$E$505))=0,"",INDEX('Dealer pipeline'!$S$4:$S$503,_calc!$E$505))&amp;". ")&amp;IF(LEN(IF(LEN(INDEX('Dealer pipeline'!$T$4:$T$503,_calc!$E$505))=0,"",INDEX('Dealer pipeline'!$T$4:$T$503,_calc!$E$505)))=0,"",IF(LEN(INDEX('Dealer pipeline'!$T$4:$T$503,_calc!$E$505))=0,"",INDEX('Dealer pipeline'!$T$4:$T$503,_calc!$E$505)))),TRIM(IF(LEN(IF(LEN(INDEX('My equipment'!$C$4:$C$503,(_calc!$E$505-500)))=0,"",INDEX('My equipment'!$C$4:$C$503,(_calc!$E$505-500))))=0,"","Model: "&amp;IF(LEN(INDEX('My equipment'!$C$4:$C$503,(_calc!$E$505-500)))=0,"",INDEX('My equipment'!$C$4:$C$503,(_calc!$E$505-500)))&amp;". ")&amp;IF(LEN(IF(LEN(INDEX('My equipment'!$D$4:$D$503,(_calc!$E$505-500)))=0,"",INDEX('My equipment'!$D$4:$D$503,(_calc!$E$505-500))))=0,"","Serial: "&amp;IF(LEN(INDEX('My equipment'!$D$4:$D$503,(_calc!$E$505-500)))=0,"",INDEX('My equipment'!$D$4:$D$503,(_calc!$E$505-500)))&amp;". ")&amp;IF(LEN(IF(ISNUMBER(INDEX('My equipment'!$J$4:$J$503,(_calc!$E$505-500))),TEXT(INDEX('My equipment'!$J$4:$J$503,(_calc!$E$505-500)),"yyyy-mm-dd"),""))=0,"","Parts end: "&amp;IF(ISNUMBER(INDEX('My equipment'!$J$4:$J$503,(_calc!$E$505-500))),TEXT(INDEX('My equipment'!$J$4:$J$503,(_calc!$E$505-500)),"yyyy-mm-dd"),"")&amp;". ")&amp;IF(LEN(IF(ISNUMBER(INDEX('My equipment'!$L$4:$L$503,(_calc!$E$505-500))),TEXT(INDEX('My equipment'!$L$4:$L$503,(_calc!$E$505-500)),"yyyy-mm-dd"),""))=0,"","Labor end: "&amp;IF(ISNUMBER(INDEX('My equipment'!$L$4:$L$503,(_calc!$E$505-500))),TEXT(INDEX('My equipment'!$L$4:$L$503,(_calc!$E$505-500)),"yyyy-mm-dd"),"")&amp;". ")&amp;IF(LEN(IF(ISNUMBER(INDEX('My equipment'!$P$4:$P$503,(_calc!$E$505-500))),TEXT(INDEX('My equipment'!$P$4:$P$503,(_calc!$E$505-500)),"yyyy-mm-dd"),""))=0,"","Check by: "&amp;IF(ISNUMBER(INDEX('My equipment'!$P$4:$P$503,(_calc!$E$505-500))),TEXT(INDEX('My equipment'!$P$4:$P$503,(_calc!$E$505-500)),"yyyy-mm-dd"),"")&amp;". ")&amp;IF(LEN(IF(LEN(INDEX('My equipment'!$Q$4:$Q$503,(_calc!$E$505-500)))=0,"",INDEX('My equipment'!$Q$4:$Q$503,(_calc!$E$505-500))))=0,"","Claim status: "&amp;IF(LEN(INDEX('My equipment'!$Q$4:$Q$503,(_calc!$E$505-500)))=0,"",INDEX('My equipment'!$Q$4:$Q$503,(_calc!$E$505-500)))&amp;". ")&amp;IF(LEN(IF(LEN(INDEX('My equipment'!$R$4:$R$503,(_calc!$E$505-500)))=0,"",INDEX('My equipment'!$R$4:$R$503,(_calc!$E$505-500))))=0,"","Claims contact: "&amp;IF(LEN(INDEX('My equipment'!$R$4:$R$503,(_calc!$E$505-500)))=0,"",INDEX('My equipment'!$R$4:$R$503,(_calc!$E$505-500)))&amp;". ")&amp;IF(LEN(IF(LEN(INDEX('My equipment'!$S$4:$S$503,(_calc!$E$505-500)))=0,"",INDEX('My equipment'!$S$4:$S$503,(_calc!$E$505-500))))=0,"","Claims email: "&amp;IF(LEN(INDEX('My equipment'!$S$4:$S$503,(_calc!$E$505-500)))=0,"",INDEX('My equipment'!$S$4:$S$503,(_calc!$E$505-500)))&amp;". ")&amp;IF(LEN(IF(LEN(INDEX('My equipment'!$U$4:$U$503,(_calc!$E$505-500)))=0,"",INDEX('My equipment'!$U$4:$U$503,(_calc!$E$505-500))))=0,"","Registered: "&amp;IF(LEN(INDEX('My equipment'!$U$4:$U$503,(_calc!$E$505-500)))=0,"",INDEX('My equipment'!$U$4:$U$503,(_calc!$E$505-500)))&amp;". ")&amp;IF(LEN(IF(LEN(INDEX('My equipment'!$V$4:$V$503,(_calc!$E$505-500)))=0,"",INDEX('My equipment'!$V$4:$V$503,(_calc!$E$505-500))))=0,"","Proof on file: "&amp;IF(LEN(INDEX('My equipment'!$V$4:$V$503,(_calc!$E$505-500)))=0,"",INDEX('My equipment'!$V$4:$V$503,(_calc!$E$505-500)))&amp;". ")&amp;IF(LEN(IF(LEN(INDEX('My equipment'!$W$4:$W$503,(_calc!$E$505-500)))=0,"",INDEX('My equipment'!$W$4:$W$503,(_calc!$E$505-500))))=0,"","Claim ref: "&amp;IF(LEN(INDEX('My equipment'!$W$4:$W$503,(_calc!$E$505-500)))=0,"",INDEX('My equipment'!$W$4:$W$503,(_calc!$E$505-500)))&amp;". ")&amp;IF(LEN(IF(LEN(INDEX('My equipment'!$Y$4:$Y$503,(_calc!$E$505-500)))=0,"",INDEX('My equipment'!$Y$4:$Y$503,(_calc!$E$505-500))))=0,"",IF(LEN(INDEX('My equipment'!$Y$4:$Y$503,(_calc!$E$505-500)))=0,"",INDEX('My equipment'!$Y$4:$Y$503,(_calc!$E$505-500)))))))</f>
        <v/>
      </c>
      <c r="G503" s="54">
        <f>IF(_calc!$E$505="","",IF(_calc!$E$505&lt;=500,"",IF(LEN(INDEX('My equipment'!$X$4:$X$503,(_calc!$E$505-500)))=0,"",INDEX('My equipment'!$X$4:$X$503,(_calc!$E$505-500)))))</f>
        <v/>
      </c>
      <c r="K503" s="54">
        <f>IF(_calc!$E$505="","",IF(_calc!$E$505&lt;=500,"",IF(LEN(INDEX('My equipment'!$T$4:$T$503,(_calc!$E$505-500)))=0,"",INDEX('My equipment'!$T$4:$T$503,(_calc!$E$505-500)))))</f>
        <v/>
      </c>
    </row>
    <row r="504">
      <c r="A504" s="54">
        <f>IF(_calc!$E$506="","",IF(_calc!$E$506&lt;=500,"Warranty – "&amp;IF(LEN(INDEX('Dealer pipeline'!$C$4:$C$503,_calc!$E$506))=0,"",INDEX('Dealer pipeline'!$C$4:$C$503,_calc!$E$506))&amp;" – "&amp;IF(LEN(INDEX('Dealer pipeline'!$D$4:$D$503,_calc!$E$506))=0,"",INDEX('Dealer pipeline'!$D$4:$D$503,_calc!$E$506))&amp;" – "&amp;IF(LEN(INDEX('Dealer pipeline'!$A$4:$A$503,_calc!$E$506))=0,"",INDEX('Dealer pipeline'!$A$4:$A$503,_calc!$E$506)),"Warranty – "&amp;IF(LEN(INDEX('My equipment'!$A$4:$A$503,(_calc!$E$506-500)))=0,"",INDEX('My equipment'!$A$4:$A$503,(_calc!$E$506-500)))&amp;" – "&amp;IF(LEN(INDEX('My equipment'!$D$4:$D$503,(_calc!$E$506-500)))=0,"",INDEX('My equipment'!$D$4:$D$503,(_calc!$E$506-500)))))</f>
        <v/>
      </c>
      <c r="B504" s="54">
        <f>IF(_calc!$E$506="","",IF(_calc!$E$506&lt;=500,IF(ISNUMBER(INDEX('Dealer pipeline'!$M$4:$M$503,_calc!$E$506)),TEXT(INDEX('Dealer pipeline'!$M$4:$M$503,_calc!$E$506),"yyyy-mm-dd"),""),IF(ISNUMBER(INDEX('My equipment'!$M$4:$M$503,(_calc!$E$506-500))),TEXT(INDEX('My equipment'!$M$4:$M$503,(_calc!$E$506-500)),"yyyy-mm-dd"),"")))</f>
        <v/>
      </c>
      <c r="C504" s="54">
        <f>IF(_calc!$E$506="","",IF(_calc!$E$506&lt;=500,"Warranty","Warranty"))</f>
        <v/>
      </c>
      <c r="D504" s="54">
        <f>IF(_calc!$E$506="","",IF(_calc!$E$506&lt;=500,IF(ISNUMBER(INDEX('Dealer pipeline'!$H$4:$H$503,_calc!$E$506)),TEXT(INDEX('Dealer pipeline'!$H$4:$H$503,_calc!$E$506),"yyyy-mm-dd"),""),IF(ISNUMBER(INDEX('My equipment'!$H$4:$H$503,(_calc!$E$506-500))),TEXT(INDEX('My equipment'!$H$4:$H$503,(_calc!$E$506-500)),"yyyy-mm-dd"),"")))</f>
        <v/>
      </c>
      <c r="F504" s="54">
        <f>IF(_calc!$E$506="","",IF(_calc!$E$506&lt;=500,TRIM(IF(LEN(IF(LEN(INDEX('Dealer pipeline'!$A$4:$A$503,_calc!$E$506))=0,"",INDEX('Dealer pipeline'!$A$4:$A$503,_calc!$E$506)))=0,"","Customer: "&amp;IF(LEN(INDEX('Dealer pipeline'!$A$4:$A$503,_calc!$E$506))=0,"",INDEX('Dealer pipeline'!$A$4:$A$503,_calc!$E$506))&amp;". ")&amp;IF(LEN(IF(LEN(INDEX('Dealer pipeline'!$B$4:$B$503,_calc!$E$506))=0,"",INDEX('Dealer pipeline'!$B$4:$B$503,_calc!$E$506)))=0,"","Contact: "&amp;IF(LEN(INDEX('Dealer pipeline'!$B$4:$B$503,_calc!$E$506))=0,"",INDEX('Dealer pipeline'!$B$4:$B$503,_calc!$E$506))&amp;". ")&amp;IF(LEN(IF(LEN(INDEX('Dealer pipeline'!$D$4:$D$503,_calc!$E$506))=0,"",INDEX('Dealer pipeline'!$D$4:$D$503,_calc!$E$506)))=0,"","Serial: "&amp;IF(LEN(INDEX('Dealer pipeline'!$D$4:$D$503,_calc!$E$506))=0,"",INDEX('Dealer pipeline'!$D$4:$D$503,_calc!$E$506))&amp;". ")&amp;IF(LEN(IF(ISNUMBER(INDEX('Dealer pipeline'!$J$4:$J$503,_calc!$E$506)),TEXT(INDEX('Dealer pipeline'!$J$4:$J$503,_calc!$E$506),"yyyy-mm-dd"),""))=0,"","Parts end: "&amp;IF(ISNUMBER(INDEX('Dealer pipeline'!$J$4:$J$503,_calc!$E$506)),TEXT(INDEX('Dealer pipeline'!$J$4:$J$503,_calc!$E$506),"yyyy-mm-dd"),"")&amp;". ")&amp;IF(LEN(IF(ISNUMBER(INDEX('Dealer pipeline'!$L$4:$L$503,_calc!$E$506)),TEXT(INDEX('Dealer pipeline'!$L$4:$L$503,_calc!$E$506),"yyyy-mm-dd"),""))=0,"","Labor end: "&amp;IF(ISNUMBER(INDEX('Dealer pipeline'!$L$4:$L$503,_calc!$E$506)),TEXT(INDEX('Dealer pipeline'!$L$4:$L$503,_calc!$E$506),"yyyy-mm-dd"),"")&amp;". ")&amp;IF(LEN(IF(LEN(INDEX('Dealer pipeline'!$Q$4:$Q$503,_calc!$E$506))=0,"",INDEX('Dealer pipeline'!$Q$4:$Q$503,_calc!$E$506)))=0,"","Status: "&amp;IF(LEN(INDEX('Dealer pipeline'!$Q$4:$Q$503,_calc!$E$506))=0,"",INDEX('Dealer pipeline'!$Q$4:$Q$503,_calc!$E$506))&amp;". ")&amp;IF(LEN(IF(LEN(INDEX('Dealer pipeline'!$P$4:$P$503,_calc!$E$506))=0,"",INDEX('Dealer pipeline'!$P$4:$P$503,_calc!$E$506)))=0,"","Last touch: "&amp;IF(LEN(INDEX('Dealer pipeline'!$P$4:$P$503,_calc!$E$506))=0,"",INDEX('Dealer pipeline'!$P$4:$P$503,_calc!$E$506))&amp;". ")&amp;IF(LEN(IF(LEN(INDEX('Dealer pipeline'!$R$4:$R$503,_calc!$E$506))=0,"",INDEX('Dealer pipeline'!$R$4:$R$503,_calc!$E$506)))=0,"","Owner: "&amp;IF(LEN(INDEX('Dealer pipeline'!$R$4:$R$503,_calc!$E$506))=0,"",INDEX('Dealer pipeline'!$R$4:$R$503,_calc!$E$506))&amp;". ")&amp;IF(LEN(IF(LEN(INDEX('Dealer pipeline'!$S$4:$S$503,_calc!$E$506))=0,"",INDEX('Dealer pipeline'!$S$4:$S$503,_calc!$E$506)))=0,"","Backup: "&amp;IF(LEN(INDEX('Dealer pipeline'!$S$4:$S$503,_calc!$E$506))=0,"",INDEX('Dealer pipeline'!$S$4:$S$503,_calc!$E$506))&amp;". ")&amp;IF(LEN(IF(LEN(INDEX('Dealer pipeline'!$T$4:$T$503,_calc!$E$506))=0,"",INDEX('Dealer pipeline'!$T$4:$T$503,_calc!$E$506)))=0,"",IF(LEN(INDEX('Dealer pipeline'!$T$4:$T$503,_calc!$E$506))=0,"",INDEX('Dealer pipeline'!$T$4:$T$503,_calc!$E$506)))),TRIM(IF(LEN(IF(LEN(INDEX('My equipment'!$C$4:$C$503,(_calc!$E$506-500)))=0,"",INDEX('My equipment'!$C$4:$C$503,(_calc!$E$506-500))))=0,"","Model: "&amp;IF(LEN(INDEX('My equipment'!$C$4:$C$503,(_calc!$E$506-500)))=0,"",INDEX('My equipment'!$C$4:$C$503,(_calc!$E$506-500)))&amp;". ")&amp;IF(LEN(IF(LEN(INDEX('My equipment'!$D$4:$D$503,(_calc!$E$506-500)))=0,"",INDEX('My equipment'!$D$4:$D$503,(_calc!$E$506-500))))=0,"","Serial: "&amp;IF(LEN(INDEX('My equipment'!$D$4:$D$503,(_calc!$E$506-500)))=0,"",INDEX('My equipment'!$D$4:$D$503,(_calc!$E$506-500)))&amp;". ")&amp;IF(LEN(IF(ISNUMBER(INDEX('My equipment'!$J$4:$J$503,(_calc!$E$506-500))),TEXT(INDEX('My equipment'!$J$4:$J$503,(_calc!$E$506-500)),"yyyy-mm-dd"),""))=0,"","Parts end: "&amp;IF(ISNUMBER(INDEX('My equipment'!$J$4:$J$503,(_calc!$E$506-500))),TEXT(INDEX('My equipment'!$J$4:$J$503,(_calc!$E$506-500)),"yyyy-mm-dd"),"")&amp;". ")&amp;IF(LEN(IF(ISNUMBER(INDEX('My equipment'!$L$4:$L$503,(_calc!$E$506-500))),TEXT(INDEX('My equipment'!$L$4:$L$503,(_calc!$E$506-500)),"yyyy-mm-dd"),""))=0,"","Labor end: "&amp;IF(ISNUMBER(INDEX('My equipment'!$L$4:$L$503,(_calc!$E$506-500))),TEXT(INDEX('My equipment'!$L$4:$L$503,(_calc!$E$506-500)),"yyyy-mm-dd"),"")&amp;". ")&amp;IF(LEN(IF(ISNUMBER(INDEX('My equipment'!$P$4:$P$503,(_calc!$E$506-500))),TEXT(INDEX('My equipment'!$P$4:$P$503,(_calc!$E$506-500)),"yyyy-mm-dd"),""))=0,"","Check by: "&amp;IF(ISNUMBER(INDEX('My equipment'!$P$4:$P$503,(_calc!$E$506-500))),TEXT(INDEX('My equipment'!$P$4:$P$503,(_calc!$E$506-500)),"yyyy-mm-dd"),"")&amp;". ")&amp;IF(LEN(IF(LEN(INDEX('My equipment'!$Q$4:$Q$503,(_calc!$E$506-500)))=0,"",INDEX('My equipment'!$Q$4:$Q$503,(_calc!$E$506-500))))=0,"","Claim status: "&amp;IF(LEN(INDEX('My equipment'!$Q$4:$Q$503,(_calc!$E$506-500)))=0,"",INDEX('My equipment'!$Q$4:$Q$503,(_calc!$E$506-500)))&amp;". ")&amp;IF(LEN(IF(LEN(INDEX('My equipment'!$R$4:$R$503,(_calc!$E$506-500)))=0,"",INDEX('My equipment'!$R$4:$R$503,(_calc!$E$506-500))))=0,"","Claims contact: "&amp;IF(LEN(INDEX('My equipment'!$R$4:$R$503,(_calc!$E$506-500)))=0,"",INDEX('My equipment'!$R$4:$R$503,(_calc!$E$506-500)))&amp;". ")&amp;IF(LEN(IF(LEN(INDEX('My equipment'!$S$4:$S$503,(_calc!$E$506-500)))=0,"",INDEX('My equipment'!$S$4:$S$503,(_calc!$E$506-500))))=0,"","Claims email: "&amp;IF(LEN(INDEX('My equipment'!$S$4:$S$503,(_calc!$E$506-500)))=0,"",INDEX('My equipment'!$S$4:$S$503,(_calc!$E$506-500)))&amp;". ")&amp;IF(LEN(IF(LEN(INDEX('My equipment'!$U$4:$U$503,(_calc!$E$506-500)))=0,"",INDEX('My equipment'!$U$4:$U$503,(_calc!$E$506-500))))=0,"","Registered: "&amp;IF(LEN(INDEX('My equipment'!$U$4:$U$503,(_calc!$E$506-500)))=0,"",INDEX('My equipment'!$U$4:$U$503,(_calc!$E$506-500)))&amp;". ")&amp;IF(LEN(IF(LEN(INDEX('My equipment'!$V$4:$V$503,(_calc!$E$506-500)))=0,"",INDEX('My equipment'!$V$4:$V$503,(_calc!$E$506-500))))=0,"","Proof on file: "&amp;IF(LEN(INDEX('My equipment'!$V$4:$V$503,(_calc!$E$506-500)))=0,"",INDEX('My equipment'!$V$4:$V$503,(_calc!$E$506-500)))&amp;". ")&amp;IF(LEN(IF(LEN(INDEX('My equipment'!$W$4:$W$503,(_calc!$E$506-500)))=0,"",INDEX('My equipment'!$W$4:$W$503,(_calc!$E$506-500))))=0,"","Claim ref: "&amp;IF(LEN(INDEX('My equipment'!$W$4:$W$503,(_calc!$E$506-500)))=0,"",INDEX('My equipment'!$W$4:$W$503,(_calc!$E$506-500)))&amp;". ")&amp;IF(LEN(IF(LEN(INDEX('My equipment'!$Y$4:$Y$503,(_calc!$E$506-500)))=0,"",INDEX('My equipment'!$Y$4:$Y$503,(_calc!$E$506-500))))=0,"",IF(LEN(INDEX('My equipment'!$Y$4:$Y$503,(_calc!$E$506-500)))=0,"",INDEX('My equipment'!$Y$4:$Y$503,(_calc!$E$506-500)))))))</f>
        <v/>
      </c>
      <c r="G504" s="54">
        <f>IF(_calc!$E$506="","",IF(_calc!$E$506&lt;=500,"",IF(LEN(INDEX('My equipment'!$X$4:$X$503,(_calc!$E$506-500)))=0,"",INDEX('My equipment'!$X$4:$X$503,(_calc!$E$506-500)))))</f>
        <v/>
      </c>
      <c r="K504" s="54">
        <f>IF(_calc!$E$506="","",IF(_calc!$E$506&lt;=500,"",IF(LEN(INDEX('My equipment'!$T$4:$T$503,(_calc!$E$506-500)))=0,"",INDEX('My equipment'!$T$4:$T$503,(_calc!$E$506-500)))))</f>
        <v/>
      </c>
    </row>
    <row r="505">
      <c r="A505" s="54">
        <f>IF(_calc!$E$507="","",IF(_calc!$E$507&lt;=500,"Warranty – "&amp;IF(LEN(INDEX('Dealer pipeline'!$C$4:$C$503,_calc!$E$507))=0,"",INDEX('Dealer pipeline'!$C$4:$C$503,_calc!$E$507))&amp;" – "&amp;IF(LEN(INDEX('Dealer pipeline'!$D$4:$D$503,_calc!$E$507))=0,"",INDEX('Dealer pipeline'!$D$4:$D$503,_calc!$E$507))&amp;" – "&amp;IF(LEN(INDEX('Dealer pipeline'!$A$4:$A$503,_calc!$E$507))=0,"",INDEX('Dealer pipeline'!$A$4:$A$503,_calc!$E$507)),"Warranty – "&amp;IF(LEN(INDEX('My equipment'!$A$4:$A$503,(_calc!$E$507-500)))=0,"",INDEX('My equipment'!$A$4:$A$503,(_calc!$E$507-500)))&amp;" – "&amp;IF(LEN(INDEX('My equipment'!$D$4:$D$503,(_calc!$E$507-500)))=0,"",INDEX('My equipment'!$D$4:$D$503,(_calc!$E$507-500)))))</f>
        <v/>
      </c>
      <c r="B505" s="54">
        <f>IF(_calc!$E$507="","",IF(_calc!$E$507&lt;=500,IF(ISNUMBER(INDEX('Dealer pipeline'!$M$4:$M$503,_calc!$E$507)),TEXT(INDEX('Dealer pipeline'!$M$4:$M$503,_calc!$E$507),"yyyy-mm-dd"),""),IF(ISNUMBER(INDEX('My equipment'!$M$4:$M$503,(_calc!$E$507-500))),TEXT(INDEX('My equipment'!$M$4:$M$503,(_calc!$E$507-500)),"yyyy-mm-dd"),"")))</f>
        <v/>
      </c>
      <c r="C505" s="54">
        <f>IF(_calc!$E$507="","",IF(_calc!$E$507&lt;=500,"Warranty","Warranty"))</f>
        <v/>
      </c>
      <c r="D505" s="54">
        <f>IF(_calc!$E$507="","",IF(_calc!$E$507&lt;=500,IF(ISNUMBER(INDEX('Dealer pipeline'!$H$4:$H$503,_calc!$E$507)),TEXT(INDEX('Dealer pipeline'!$H$4:$H$503,_calc!$E$507),"yyyy-mm-dd"),""),IF(ISNUMBER(INDEX('My equipment'!$H$4:$H$503,(_calc!$E$507-500))),TEXT(INDEX('My equipment'!$H$4:$H$503,(_calc!$E$507-500)),"yyyy-mm-dd"),"")))</f>
        <v/>
      </c>
      <c r="F505" s="54">
        <f>IF(_calc!$E$507="","",IF(_calc!$E$507&lt;=500,TRIM(IF(LEN(IF(LEN(INDEX('Dealer pipeline'!$A$4:$A$503,_calc!$E$507))=0,"",INDEX('Dealer pipeline'!$A$4:$A$503,_calc!$E$507)))=0,"","Customer: "&amp;IF(LEN(INDEX('Dealer pipeline'!$A$4:$A$503,_calc!$E$507))=0,"",INDEX('Dealer pipeline'!$A$4:$A$503,_calc!$E$507))&amp;". ")&amp;IF(LEN(IF(LEN(INDEX('Dealer pipeline'!$B$4:$B$503,_calc!$E$507))=0,"",INDEX('Dealer pipeline'!$B$4:$B$503,_calc!$E$507)))=0,"","Contact: "&amp;IF(LEN(INDEX('Dealer pipeline'!$B$4:$B$503,_calc!$E$507))=0,"",INDEX('Dealer pipeline'!$B$4:$B$503,_calc!$E$507))&amp;". ")&amp;IF(LEN(IF(LEN(INDEX('Dealer pipeline'!$D$4:$D$503,_calc!$E$507))=0,"",INDEX('Dealer pipeline'!$D$4:$D$503,_calc!$E$507)))=0,"","Serial: "&amp;IF(LEN(INDEX('Dealer pipeline'!$D$4:$D$503,_calc!$E$507))=0,"",INDEX('Dealer pipeline'!$D$4:$D$503,_calc!$E$507))&amp;". ")&amp;IF(LEN(IF(ISNUMBER(INDEX('Dealer pipeline'!$J$4:$J$503,_calc!$E$507)),TEXT(INDEX('Dealer pipeline'!$J$4:$J$503,_calc!$E$507),"yyyy-mm-dd"),""))=0,"","Parts end: "&amp;IF(ISNUMBER(INDEX('Dealer pipeline'!$J$4:$J$503,_calc!$E$507)),TEXT(INDEX('Dealer pipeline'!$J$4:$J$503,_calc!$E$507),"yyyy-mm-dd"),"")&amp;". ")&amp;IF(LEN(IF(ISNUMBER(INDEX('Dealer pipeline'!$L$4:$L$503,_calc!$E$507)),TEXT(INDEX('Dealer pipeline'!$L$4:$L$503,_calc!$E$507),"yyyy-mm-dd"),""))=0,"","Labor end: "&amp;IF(ISNUMBER(INDEX('Dealer pipeline'!$L$4:$L$503,_calc!$E$507)),TEXT(INDEX('Dealer pipeline'!$L$4:$L$503,_calc!$E$507),"yyyy-mm-dd"),"")&amp;". ")&amp;IF(LEN(IF(LEN(INDEX('Dealer pipeline'!$Q$4:$Q$503,_calc!$E$507))=0,"",INDEX('Dealer pipeline'!$Q$4:$Q$503,_calc!$E$507)))=0,"","Status: "&amp;IF(LEN(INDEX('Dealer pipeline'!$Q$4:$Q$503,_calc!$E$507))=0,"",INDEX('Dealer pipeline'!$Q$4:$Q$503,_calc!$E$507))&amp;". ")&amp;IF(LEN(IF(LEN(INDEX('Dealer pipeline'!$P$4:$P$503,_calc!$E$507))=0,"",INDEX('Dealer pipeline'!$P$4:$P$503,_calc!$E$507)))=0,"","Last touch: "&amp;IF(LEN(INDEX('Dealer pipeline'!$P$4:$P$503,_calc!$E$507))=0,"",INDEX('Dealer pipeline'!$P$4:$P$503,_calc!$E$507))&amp;". ")&amp;IF(LEN(IF(LEN(INDEX('Dealer pipeline'!$R$4:$R$503,_calc!$E$507))=0,"",INDEX('Dealer pipeline'!$R$4:$R$503,_calc!$E$507)))=0,"","Owner: "&amp;IF(LEN(INDEX('Dealer pipeline'!$R$4:$R$503,_calc!$E$507))=0,"",INDEX('Dealer pipeline'!$R$4:$R$503,_calc!$E$507))&amp;". ")&amp;IF(LEN(IF(LEN(INDEX('Dealer pipeline'!$S$4:$S$503,_calc!$E$507))=0,"",INDEX('Dealer pipeline'!$S$4:$S$503,_calc!$E$507)))=0,"","Backup: "&amp;IF(LEN(INDEX('Dealer pipeline'!$S$4:$S$503,_calc!$E$507))=0,"",INDEX('Dealer pipeline'!$S$4:$S$503,_calc!$E$507))&amp;". ")&amp;IF(LEN(IF(LEN(INDEX('Dealer pipeline'!$T$4:$T$503,_calc!$E$507))=0,"",INDEX('Dealer pipeline'!$T$4:$T$503,_calc!$E$507)))=0,"",IF(LEN(INDEX('Dealer pipeline'!$T$4:$T$503,_calc!$E$507))=0,"",INDEX('Dealer pipeline'!$T$4:$T$503,_calc!$E$507)))),TRIM(IF(LEN(IF(LEN(INDEX('My equipment'!$C$4:$C$503,(_calc!$E$507-500)))=0,"",INDEX('My equipment'!$C$4:$C$503,(_calc!$E$507-500))))=0,"","Model: "&amp;IF(LEN(INDEX('My equipment'!$C$4:$C$503,(_calc!$E$507-500)))=0,"",INDEX('My equipment'!$C$4:$C$503,(_calc!$E$507-500)))&amp;". ")&amp;IF(LEN(IF(LEN(INDEX('My equipment'!$D$4:$D$503,(_calc!$E$507-500)))=0,"",INDEX('My equipment'!$D$4:$D$503,(_calc!$E$507-500))))=0,"","Serial: "&amp;IF(LEN(INDEX('My equipment'!$D$4:$D$503,(_calc!$E$507-500)))=0,"",INDEX('My equipment'!$D$4:$D$503,(_calc!$E$507-500)))&amp;". ")&amp;IF(LEN(IF(ISNUMBER(INDEX('My equipment'!$J$4:$J$503,(_calc!$E$507-500))),TEXT(INDEX('My equipment'!$J$4:$J$503,(_calc!$E$507-500)),"yyyy-mm-dd"),""))=0,"","Parts end: "&amp;IF(ISNUMBER(INDEX('My equipment'!$J$4:$J$503,(_calc!$E$507-500))),TEXT(INDEX('My equipment'!$J$4:$J$503,(_calc!$E$507-500)),"yyyy-mm-dd"),"")&amp;". ")&amp;IF(LEN(IF(ISNUMBER(INDEX('My equipment'!$L$4:$L$503,(_calc!$E$507-500))),TEXT(INDEX('My equipment'!$L$4:$L$503,(_calc!$E$507-500)),"yyyy-mm-dd"),""))=0,"","Labor end: "&amp;IF(ISNUMBER(INDEX('My equipment'!$L$4:$L$503,(_calc!$E$507-500))),TEXT(INDEX('My equipment'!$L$4:$L$503,(_calc!$E$507-500)),"yyyy-mm-dd"),"")&amp;". ")&amp;IF(LEN(IF(ISNUMBER(INDEX('My equipment'!$P$4:$P$503,(_calc!$E$507-500))),TEXT(INDEX('My equipment'!$P$4:$P$503,(_calc!$E$507-500)),"yyyy-mm-dd"),""))=0,"","Check by: "&amp;IF(ISNUMBER(INDEX('My equipment'!$P$4:$P$503,(_calc!$E$507-500))),TEXT(INDEX('My equipment'!$P$4:$P$503,(_calc!$E$507-500)),"yyyy-mm-dd"),"")&amp;". ")&amp;IF(LEN(IF(LEN(INDEX('My equipment'!$Q$4:$Q$503,(_calc!$E$507-500)))=0,"",INDEX('My equipment'!$Q$4:$Q$503,(_calc!$E$507-500))))=0,"","Claim status: "&amp;IF(LEN(INDEX('My equipment'!$Q$4:$Q$503,(_calc!$E$507-500)))=0,"",INDEX('My equipment'!$Q$4:$Q$503,(_calc!$E$507-500)))&amp;". ")&amp;IF(LEN(IF(LEN(INDEX('My equipment'!$R$4:$R$503,(_calc!$E$507-500)))=0,"",INDEX('My equipment'!$R$4:$R$503,(_calc!$E$507-500))))=0,"","Claims contact: "&amp;IF(LEN(INDEX('My equipment'!$R$4:$R$503,(_calc!$E$507-500)))=0,"",INDEX('My equipment'!$R$4:$R$503,(_calc!$E$507-500)))&amp;". ")&amp;IF(LEN(IF(LEN(INDEX('My equipment'!$S$4:$S$503,(_calc!$E$507-500)))=0,"",INDEX('My equipment'!$S$4:$S$503,(_calc!$E$507-500))))=0,"","Claims email: "&amp;IF(LEN(INDEX('My equipment'!$S$4:$S$503,(_calc!$E$507-500)))=0,"",INDEX('My equipment'!$S$4:$S$503,(_calc!$E$507-500)))&amp;". ")&amp;IF(LEN(IF(LEN(INDEX('My equipment'!$U$4:$U$503,(_calc!$E$507-500)))=0,"",INDEX('My equipment'!$U$4:$U$503,(_calc!$E$507-500))))=0,"","Registered: "&amp;IF(LEN(INDEX('My equipment'!$U$4:$U$503,(_calc!$E$507-500)))=0,"",INDEX('My equipment'!$U$4:$U$503,(_calc!$E$507-500)))&amp;". ")&amp;IF(LEN(IF(LEN(INDEX('My equipment'!$V$4:$V$503,(_calc!$E$507-500)))=0,"",INDEX('My equipment'!$V$4:$V$503,(_calc!$E$507-500))))=0,"","Proof on file: "&amp;IF(LEN(INDEX('My equipment'!$V$4:$V$503,(_calc!$E$507-500)))=0,"",INDEX('My equipment'!$V$4:$V$503,(_calc!$E$507-500)))&amp;". ")&amp;IF(LEN(IF(LEN(INDEX('My equipment'!$W$4:$W$503,(_calc!$E$507-500)))=0,"",INDEX('My equipment'!$W$4:$W$503,(_calc!$E$507-500))))=0,"","Claim ref: "&amp;IF(LEN(INDEX('My equipment'!$W$4:$W$503,(_calc!$E$507-500)))=0,"",INDEX('My equipment'!$W$4:$W$503,(_calc!$E$507-500)))&amp;". ")&amp;IF(LEN(IF(LEN(INDEX('My equipment'!$Y$4:$Y$503,(_calc!$E$507-500)))=0,"",INDEX('My equipment'!$Y$4:$Y$503,(_calc!$E$507-500))))=0,"",IF(LEN(INDEX('My equipment'!$Y$4:$Y$503,(_calc!$E$507-500)))=0,"",INDEX('My equipment'!$Y$4:$Y$503,(_calc!$E$507-500)))))))</f>
        <v/>
      </c>
      <c r="G505" s="54">
        <f>IF(_calc!$E$507="","",IF(_calc!$E$507&lt;=500,"",IF(LEN(INDEX('My equipment'!$X$4:$X$503,(_calc!$E$507-500)))=0,"",INDEX('My equipment'!$X$4:$X$503,(_calc!$E$507-500)))))</f>
        <v/>
      </c>
      <c r="K505" s="54">
        <f>IF(_calc!$E$507="","",IF(_calc!$E$507&lt;=500,"",IF(LEN(INDEX('My equipment'!$T$4:$T$503,(_calc!$E$507-500)))=0,"",INDEX('My equipment'!$T$4:$T$503,(_calc!$E$507-500)))))</f>
        <v/>
      </c>
    </row>
    <row r="506">
      <c r="A506" s="54">
        <f>IF(_calc!$E$508="","",IF(_calc!$E$508&lt;=500,"Warranty – "&amp;IF(LEN(INDEX('Dealer pipeline'!$C$4:$C$503,_calc!$E$508))=0,"",INDEX('Dealer pipeline'!$C$4:$C$503,_calc!$E$508))&amp;" – "&amp;IF(LEN(INDEX('Dealer pipeline'!$D$4:$D$503,_calc!$E$508))=0,"",INDEX('Dealer pipeline'!$D$4:$D$503,_calc!$E$508))&amp;" – "&amp;IF(LEN(INDEX('Dealer pipeline'!$A$4:$A$503,_calc!$E$508))=0,"",INDEX('Dealer pipeline'!$A$4:$A$503,_calc!$E$508)),"Warranty – "&amp;IF(LEN(INDEX('My equipment'!$A$4:$A$503,(_calc!$E$508-500)))=0,"",INDEX('My equipment'!$A$4:$A$503,(_calc!$E$508-500)))&amp;" – "&amp;IF(LEN(INDEX('My equipment'!$D$4:$D$503,(_calc!$E$508-500)))=0,"",INDEX('My equipment'!$D$4:$D$503,(_calc!$E$508-500)))))</f>
        <v/>
      </c>
      <c r="B506" s="54">
        <f>IF(_calc!$E$508="","",IF(_calc!$E$508&lt;=500,IF(ISNUMBER(INDEX('Dealer pipeline'!$M$4:$M$503,_calc!$E$508)),TEXT(INDEX('Dealer pipeline'!$M$4:$M$503,_calc!$E$508),"yyyy-mm-dd"),""),IF(ISNUMBER(INDEX('My equipment'!$M$4:$M$503,(_calc!$E$508-500))),TEXT(INDEX('My equipment'!$M$4:$M$503,(_calc!$E$508-500)),"yyyy-mm-dd"),"")))</f>
        <v/>
      </c>
      <c r="C506" s="54">
        <f>IF(_calc!$E$508="","",IF(_calc!$E$508&lt;=500,"Warranty","Warranty"))</f>
        <v/>
      </c>
      <c r="D506" s="54">
        <f>IF(_calc!$E$508="","",IF(_calc!$E$508&lt;=500,IF(ISNUMBER(INDEX('Dealer pipeline'!$H$4:$H$503,_calc!$E$508)),TEXT(INDEX('Dealer pipeline'!$H$4:$H$503,_calc!$E$508),"yyyy-mm-dd"),""),IF(ISNUMBER(INDEX('My equipment'!$H$4:$H$503,(_calc!$E$508-500))),TEXT(INDEX('My equipment'!$H$4:$H$503,(_calc!$E$508-500)),"yyyy-mm-dd"),"")))</f>
        <v/>
      </c>
      <c r="F506" s="54">
        <f>IF(_calc!$E$508="","",IF(_calc!$E$508&lt;=500,TRIM(IF(LEN(IF(LEN(INDEX('Dealer pipeline'!$A$4:$A$503,_calc!$E$508))=0,"",INDEX('Dealer pipeline'!$A$4:$A$503,_calc!$E$508)))=0,"","Customer: "&amp;IF(LEN(INDEX('Dealer pipeline'!$A$4:$A$503,_calc!$E$508))=0,"",INDEX('Dealer pipeline'!$A$4:$A$503,_calc!$E$508))&amp;". ")&amp;IF(LEN(IF(LEN(INDEX('Dealer pipeline'!$B$4:$B$503,_calc!$E$508))=0,"",INDEX('Dealer pipeline'!$B$4:$B$503,_calc!$E$508)))=0,"","Contact: "&amp;IF(LEN(INDEX('Dealer pipeline'!$B$4:$B$503,_calc!$E$508))=0,"",INDEX('Dealer pipeline'!$B$4:$B$503,_calc!$E$508))&amp;". ")&amp;IF(LEN(IF(LEN(INDEX('Dealer pipeline'!$D$4:$D$503,_calc!$E$508))=0,"",INDEX('Dealer pipeline'!$D$4:$D$503,_calc!$E$508)))=0,"","Serial: "&amp;IF(LEN(INDEX('Dealer pipeline'!$D$4:$D$503,_calc!$E$508))=0,"",INDEX('Dealer pipeline'!$D$4:$D$503,_calc!$E$508))&amp;". ")&amp;IF(LEN(IF(ISNUMBER(INDEX('Dealer pipeline'!$J$4:$J$503,_calc!$E$508)),TEXT(INDEX('Dealer pipeline'!$J$4:$J$503,_calc!$E$508),"yyyy-mm-dd"),""))=0,"","Parts end: "&amp;IF(ISNUMBER(INDEX('Dealer pipeline'!$J$4:$J$503,_calc!$E$508)),TEXT(INDEX('Dealer pipeline'!$J$4:$J$503,_calc!$E$508),"yyyy-mm-dd"),"")&amp;". ")&amp;IF(LEN(IF(ISNUMBER(INDEX('Dealer pipeline'!$L$4:$L$503,_calc!$E$508)),TEXT(INDEX('Dealer pipeline'!$L$4:$L$503,_calc!$E$508),"yyyy-mm-dd"),""))=0,"","Labor end: "&amp;IF(ISNUMBER(INDEX('Dealer pipeline'!$L$4:$L$503,_calc!$E$508)),TEXT(INDEX('Dealer pipeline'!$L$4:$L$503,_calc!$E$508),"yyyy-mm-dd"),"")&amp;". ")&amp;IF(LEN(IF(LEN(INDEX('Dealer pipeline'!$Q$4:$Q$503,_calc!$E$508))=0,"",INDEX('Dealer pipeline'!$Q$4:$Q$503,_calc!$E$508)))=0,"","Status: "&amp;IF(LEN(INDEX('Dealer pipeline'!$Q$4:$Q$503,_calc!$E$508))=0,"",INDEX('Dealer pipeline'!$Q$4:$Q$503,_calc!$E$508))&amp;". ")&amp;IF(LEN(IF(LEN(INDEX('Dealer pipeline'!$P$4:$P$503,_calc!$E$508))=0,"",INDEX('Dealer pipeline'!$P$4:$P$503,_calc!$E$508)))=0,"","Last touch: "&amp;IF(LEN(INDEX('Dealer pipeline'!$P$4:$P$503,_calc!$E$508))=0,"",INDEX('Dealer pipeline'!$P$4:$P$503,_calc!$E$508))&amp;". ")&amp;IF(LEN(IF(LEN(INDEX('Dealer pipeline'!$R$4:$R$503,_calc!$E$508))=0,"",INDEX('Dealer pipeline'!$R$4:$R$503,_calc!$E$508)))=0,"","Owner: "&amp;IF(LEN(INDEX('Dealer pipeline'!$R$4:$R$503,_calc!$E$508))=0,"",INDEX('Dealer pipeline'!$R$4:$R$503,_calc!$E$508))&amp;". ")&amp;IF(LEN(IF(LEN(INDEX('Dealer pipeline'!$S$4:$S$503,_calc!$E$508))=0,"",INDEX('Dealer pipeline'!$S$4:$S$503,_calc!$E$508)))=0,"","Backup: "&amp;IF(LEN(INDEX('Dealer pipeline'!$S$4:$S$503,_calc!$E$508))=0,"",INDEX('Dealer pipeline'!$S$4:$S$503,_calc!$E$508))&amp;". ")&amp;IF(LEN(IF(LEN(INDEX('Dealer pipeline'!$T$4:$T$503,_calc!$E$508))=0,"",INDEX('Dealer pipeline'!$T$4:$T$503,_calc!$E$508)))=0,"",IF(LEN(INDEX('Dealer pipeline'!$T$4:$T$503,_calc!$E$508))=0,"",INDEX('Dealer pipeline'!$T$4:$T$503,_calc!$E$508)))),TRIM(IF(LEN(IF(LEN(INDEX('My equipment'!$C$4:$C$503,(_calc!$E$508-500)))=0,"",INDEX('My equipment'!$C$4:$C$503,(_calc!$E$508-500))))=0,"","Model: "&amp;IF(LEN(INDEX('My equipment'!$C$4:$C$503,(_calc!$E$508-500)))=0,"",INDEX('My equipment'!$C$4:$C$503,(_calc!$E$508-500)))&amp;". ")&amp;IF(LEN(IF(LEN(INDEX('My equipment'!$D$4:$D$503,(_calc!$E$508-500)))=0,"",INDEX('My equipment'!$D$4:$D$503,(_calc!$E$508-500))))=0,"","Serial: "&amp;IF(LEN(INDEX('My equipment'!$D$4:$D$503,(_calc!$E$508-500)))=0,"",INDEX('My equipment'!$D$4:$D$503,(_calc!$E$508-500)))&amp;". ")&amp;IF(LEN(IF(ISNUMBER(INDEX('My equipment'!$J$4:$J$503,(_calc!$E$508-500))),TEXT(INDEX('My equipment'!$J$4:$J$503,(_calc!$E$508-500)),"yyyy-mm-dd"),""))=0,"","Parts end: "&amp;IF(ISNUMBER(INDEX('My equipment'!$J$4:$J$503,(_calc!$E$508-500))),TEXT(INDEX('My equipment'!$J$4:$J$503,(_calc!$E$508-500)),"yyyy-mm-dd"),"")&amp;". ")&amp;IF(LEN(IF(ISNUMBER(INDEX('My equipment'!$L$4:$L$503,(_calc!$E$508-500))),TEXT(INDEX('My equipment'!$L$4:$L$503,(_calc!$E$508-500)),"yyyy-mm-dd"),""))=0,"","Labor end: "&amp;IF(ISNUMBER(INDEX('My equipment'!$L$4:$L$503,(_calc!$E$508-500))),TEXT(INDEX('My equipment'!$L$4:$L$503,(_calc!$E$508-500)),"yyyy-mm-dd"),"")&amp;". ")&amp;IF(LEN(IF(ISNUMBER(INDEX('My equipment'!$P$4:$P$503,(_calc!$E$508-500))),TEXT(INDEX('My equipment'!$P$4:$P$503,(_calc!$E$508-500)),"yyyy-mm-dd"),""))=0,"","Check by: "&amp;IF(ISNUMBER(INDEX('My equipment'!$P$4:$P$503,(_calc!$E$508-500))),TEXT(INDEX('My equipment'!$P$4:$P$503,(_calc!$E$508-500)),"yyyy-mm-dd"),"")&amp;". ")&amp;IF(LEN(IF(LEN(INDEX('My equipment'!$Q$4:$Q$503,(_calc!$E$508-500)))=0,"",INDEX('My equipment'!$Q$4:$Q$503,(_calc!$E$508-500))))=0,"","Claim status: "&amp;IF(LEN(INDEX('My equipment'!$Q$4:$Q$503,(_calc!$E$508-500)))=0,"",INDEX('My equipment'!$Q$4:$Q$503,(_calc!$E$508-500)))&amp;". ")&amp;IF(LEN(IF(LEN(INDEX('My equipment'!$R$4:$R$503,(_calc!$E$508-500)))=0,"",INDEX('My equipment'!$R$4:$R$503,(_calc!$E$508-500))))=0,"","Claims contact: "&amp;IF(LEN(INDEX('My equipment'!$R$4:$R$503,(_calc!$E$508-500)))=0,"",INDEX('My equipment'!$R$4:$R$503,(_calc!$E$508-500)))&amp;". ")&amp;IF(LEN(IF(LEN(INDEX('My equipment'!$S$4:$S$503,(_calc!$E$508-500)))=0,"",INDEX('My equipment'!$S$4:$S$503,(_calc!$E$508-500))))=0,"","Claims email: "&amp;IF(LEN(INDEX('My equipment'!$S$4:$S$503,(_calc!$E$508-500)))=0,"",INDEX('My equipment'!$S$4:$S$503,(_calc!$E$508-500)))&amp;". ")&amp;IF(LEN(IF(LEN(INDEX('My equipment'!$U$4:$U$503,(_calc!$E$508-500)))=0,"",INDEX('My equipment'!$U$4:$U$503,(_calc!$E$508-500))))=0,"","Registered: "&amp;IF(LEN(INDEX('My equipment'!$U$4:$U$503,(_calc!$E$508-500)))=0,"",INDEX('My equipment'!$U$4:$U$503,(_calc!$E$508-500)))&amp;". ")&amp;IF(LEN(IF(LEN(INDEX('My equipment'!$V$4:$V$503,(_calc!$E$508-500)))=0,"",INDEX('My equipment'!$V$4:$V$503,(_calc!$E$508-500))))=0,"","Proof on file: "&amp;IF(LEN(INDEX('My equipment'!$V$4:$V$503,(_calc!$E$508-500)))=0,"",INDEX('My equipment'!$V$4:$V$503,(_calc!$E$508-500)))&amp;". ")&amp;IF(LEN(IF(LEN(INDEX('My equipment'!$W$4:$W$503,(_calc!$E$508-500)))=0,"",INDEX('My equipment'!$W$4:$W$503,(_calc!$E$508-500))))=0,"","Claim ref: "&amp;IF(LEN(INDEX('My equipment'!$W$4:$W$503,(_calc!$E$508-500)))=0,"",INDEX('My equipment'!$W$4:$W$503,(_calc!$E$508-500)))&amp;". ")&amp;IF(LEN(IF(LEN(INDEX('My equipment'!$Y$4:$Y$503,(_calc!$E$508-500)))=0,"",INDEX('My equipment'!$Y$4:$Y$503,(_calc!$E$508-500))))=0,"",IF(LEN(INDEX('My equipment'!$Y$4:$Y$503,(_calc!$E$508-500)))=0,"",INDEX('My equipment'!$Y$4:$Y$503,(_calc!$E$508-500)))))))</f>
        <v/>
      </c>
      <c r="G506" s="54">
        <f>IF(_calc!$E$508="","",IF(_calc!$E$508&lt;=500,"",IF(LEN(INDEX('My equipment'!$X$4:$X$503,(_calc!$E$508-500)))=0,"",INDEX('My equipment'!$X$4:$X$503,(_calc!$E$508-500)))))</f>
        <v/>
      </c>
      <c r="K506" s="54">
        <f>IF(_calc!$E$508="","",IF(_calc!$E$508&lt;=500,"",IF(LEN(INDEX('My equipment'!$T$4:$T$503,(_calc!$E$508-500)))=0,"",INDEX('My equipment'!$T$4:$T$503,(_calc!$E$508-500)))))</f>
        <v/>
      </c>
    </row>
    <row r="507">
      <c r="A507" s="54">
        <f>IF(_calc!$E$509="","",IF(_calc!$E$509&lt;=500,"Warranty – "&amp;IF(LEN(INDEX('Dealer pipeline'!$C$4:$C$503,_calc!$E$509))=0,"",INDEX('Dealer pipeline'!$C$4:$C$503,_calc!$E$509))&amp;" – "&amp;IF(LEN(INDEX('Dealer pipeline'!$D$4:$D$503,_calc!$E$509))=0,"",INDEX('Dealer pipeline'!$D$4:$D$503,_calc!$E$509))&amp;" – "&amp;IF(LEN(INDEX('Dealer pipeline'!$A$4:$A$503,_calc!$E$509))=0,"",INDEX('Dealer pipeline'!$A$4:$A$503,_calc!$E$509)),"Warranty – "&amp;IF(LEN(INDEX('My equipment'!$A$4:$A$503,(_calc!$E$509-500)))=0,"",INDEX('My equipment'!$A$4:$A$503,(_calc!$E$509-500)))&amp;" – "&amp;IF(LEN(INDEX('My equipment'!$D$4:$D$503,(_calc!$E$509-500)))=0,"",INDEX('My equipment'!$D$4:$D$503,(_calc!$E$509-500)))))</f>
        <v/>
      </c>
      <c r="B507" s="54">
        <f>IF(_calc!$E$509="","",IF(_calc!$E$509&lt;=500,IF(ISNUMBER(INDEX('Dealer pipeline'!$M$4:$M$503,_calc!$E$509)),TEXT(INDEX('Dealer pipeline'!$M$4:$M$503,_calc!$E$509),"yyyy-mm-dd"),""),IF(ISNUMBER(INDEX('My equipment'!$M$4:$M$503,(_calc!$E$509-500))),TEXT(INDEX('My equipment'!$M$4:$M$503,(_calc!$E$509-500)),"yyyy-mm-dd"),"")))</f>
        <v/>
      </c>
      <c r="C507" s="54">
        <f>IF(_calc!$E$509="","",IF(_calc!$E$509&lt;=500,"Warranty","Warranty"))</f>
        <v/>
      </c>
      <c r="D507" s="54">
        <f>IF(_calc!$E$509="","",IF(_calc!$E$509&lt;=500,IF(ISNUMBER(INDEX('Dealer pipeline'!$H$4:$H$503,_calc!$E$509)),TEXT(INDEX('Dealer pipeline'!$H$4:$H$503,_calc!$E$509),"yyyy-mm-dd"),""),IF(ISNUMBER(INDEX('My equipment'!$H$4:$H$503,(_calc!$E$509-500))),TEXT(INDEX('My equipment'!$H$4:$H$503,(_calc!$E$509-500)),"yyyy-mm-dd"),"")))</f>
        <v/>
      </c>
      <c r="F507" s="54">
        <f>IF(_calc!$E$509="","",IF(_calc!$E$509&lt;=500,TRIM(IF(LEN(IF(LEN(INDEX('Dealer pipeline'!$A$4:$A$503,_calc!$E$509))=0,"",INDEX('Dealer pipeline'!$A$4:$A$503,_calc!$E$509)))=0,"","Customer: "&amp;IF(LEN(INDEX('Dealer pipeline'!$A$4:$A$503,_calc!$E$509))=0,"",INDEX('Dealer pipeline'!$A$4:$A$503,_calc!$E$509))&amp;". ")&amp;IF(LEN(IF(LEN(INDEX('Dealer pipeline'!$B$4:$B$503,_calc!$E$509))=0,"",INDEX('Dealer pipeline'!$B$4:$B$503,_calc!$E$509)))=0,"","Contact: "&amp;IF(LEN(INDEX('Dealer pipeline'!$B$4:$B$503,_calc!$E$509))=0,"",INDEX('Dealer pipeline'!$B$4:$B$503,_calc!$E$509))&amp;". ")&amp;IF(LEN(IF(LEN(INDEX('Dealer pipeline'!$D$4:$D$503,_calc!$E$509))=0,"",INDEX('Dealer pipeline'!$D$4:$D$503,_calc!$E$509)))=0,"","Serial: "&amp;IF(LEN(INDEX('Dealer pipeline'!$D$4:$D$503,_calc!$E$509))=0,"",INDEX('Dealer pipeline'!$D$4:$D$503,_calc!$E$509))&amp;". ")&amp;IF(LEN(IF(ISNUMBER(INDEX('Dealer pipeline'!$J$4:$J$503,_calc!$E$509)),TEXT(INDEX('Dealer pipeline'!$J$4:$J$503,_calc!$E$509),"yyyy-mm-dd"),""))=0,"","Parts end: "&amp;IF(ISNUMBER(INDEX('Dealer pipeline'!$J$4:$J$503,_calc!$E$509)),TEXT(INDEX('Dealer pipeline'!$J$4:$J$503,_calc!$E$509),"yyyy-mm-dd"),"")&amp;". ")&amp;IF(LEN(IF(ISNUMBER(INDEX('Dealer pipeline'!$L$4:$L$503,_calc!$E$509)),TEXT(INDEX('Dealer pipeline'!$L$4:$L$503,_calc!$E$509),"yyyy-mm-dd"),""))=0,"","Labor end: "&amp;IF(ISNUMBER(INDEX('Dealer pipeline'!$L$4:$L$503,_calc!$E$509)),TEXT(INDEX('Dealer pipeline'!$L$4:$L$503,_calc!$E$509),"yyyy-mm-dd"),"")&amp;". ")&amp;IF(LEN(IF(LEN(INDEX('Dealer pipeline'!$Q$4:$Q$503,_calc!$E$509))=0,"",INDEX('Dealer pipeline'!$Q$4:$Q$503,_calc!$E$509)))=0,"","Status: "&amp;IF(LEN(INDEX('Dealer pipeline'!$Q$4:$Q$503,_calc!$E$509))=0,"",INDEX('Dealer pipeline'!$Q$4:$Q$503,_calc!$E$509))&amp;". ")&amp;IF(LEN(IF(LEN(INDEX('Dealer pipeline'!$P$4:$P$503,_calc!$E$509))=0,"",INDEX('Dealer pipeline'!$P$4:$P$503,_calc!$E$509)))=0,"","Last touch: "&amp;IF(LEN(INDEX('Dealer pipeline'!$P$4:$P$503,_calc!$E$509))=0,"",INDEX('Dealer pipeline'!$P$4:$P$503,_calc!$E$509))&amp;". ")&amp;IF(LEN(IF(LEN(INDEX('Dealer pipeline'!$R$4:$R$503,_calc!$E$509))=0,"",INDEX('Dealer pipeline'!$R$4:$R$503,_calc!$E$509)))=0,"","Owner: "&amp;IF(LEN(INDEX('Dealer pipeline'!$R$4:$R$503,_calc!$E$509))=0,"",INDEX('Dealer pipeline'!$R$4:$R$503,_calc!$E$509))&amp;". ")&amp;IF(LEN(IF(LEN(INDEX('Dealer pipeline'!$S$4:$S$503,_calc!$E$509))=0,"",INDEX('Dealer pipeline'!$S$4:$S$503,_calc!$E$509)))=0,"","Backup: "&amp;IF(LEN(INDEX('Dealer pipeline'!$S$4:$S$503,_calc!$E$509))=0,"",INDEX('Dealer pipeline'!$S$4:$S$503,_calc!$E$509))&amp;". ")&amp;IF(LEN(IF(LEN(INDEX('Dealer pipeline'!$T$4:$T$503,_calc!$E$509))=0,"",INDEX('Dealer pipeline'!$T$4:$T$503,_calc!$E$509)))=0,"",IF(LEN(INDEX('Dealer pipeline'!$T$4:$T$503,_calc!$E$509))=0,"",INDEX('Dealer pipeline'!$T$4:$T$503,_calc!$E$509)))),TRIM(IF(LEN(IF(LEN(INDEX('My equipment'!$C$4:$C$503,(_calc!$E$509-500)))=0,"",INDEX('My equipment'!$C$4:$C$503,(_calc!$E$509-500))))=0,"","Model: "&amp;IF(LEN(INDEX('My equipment'!$C$4:$C$503,(_calc!$E$509-500)))=0,"",INDEX('My equipment'!$C$4:$C$503,(_calc!$E$509-500)))&amp;". ")&amp;IF(LEN(IF(LEN(INDEX('My equipment'!$D$4:$D$503,(_calc!$E$509-500)))=0,"",INDEX('My equipment'!$D$4:$D$503,(_calc!$E$509-500))))=0,"","Serial: "&amp;IF(LEN(INDEX('My equipment'!$D$4:$D$503,(_calc!$E$509-500)))=0,"",INDEX('My equipment'!$D$4:$D$503,(_calc!$E$509-500)))&amp;". ")&amp;IF(LEN(IF(ISNUMBER(INDEX('My equipment'!$J$4:$J$503,(_calc!$E$509-500))),TEXT(INDEX('My equipment'!$J$4:$J$503,(_calc!$E$509-500)),"yyyy-mm-dd"),""))=0,"","Parts end: "&amp;IF(ISNUMBER(INDEX('My equipment'!$J$4:$J$503,(_calc!$E$509-500))),TEXT(INDEX('My equipment'!$J$4:$J$503,(_calc!$E$509-500)),"yyyy-mm-dd"),"")&amp;". ")&amp;IF(LEN(IF(ISNUMBER(INDEX('My equipment'!$L$4:$L$503,(_calc!$E$509-500))),TEXT(INDEX('My equipment'!$L$4:$L$503,(_calc!$E$509-500)),"yyyy-mm-dd"),""))=0,"","Labor end: "&amp;IF(ISNUMBER(INDEX('My equipment'!$L$4:$L$503,(_calc!$E$509-500))),TEXT(INDEX('My equipment'!$L$4:$L$503,(_calc!$E$509-500)),"yyyy-mm-dd"),"")&amp;". ")&amp;IF(LEN(IF(ISNUMBER(INDEX('My equipment'!$P$4:$P$503,(_calc!$E$509-500))),TEXT(INDEX('My equipment'!$P$4:$P$503,(_calc!$E$509-500)),"yyyy-mm-dd"),""))=0,"","Check by: "&amp;IF(ISNUMBER(INDEX('My equipment'!$P$4:$P$503,(_calc!$E$509-500))),TEXT(INDEX('My equipment'!$P$4:$P$503,(_calc!$E$509-500)),"yyyy-mm-dd"),"")&amp;". ")&amp;IF(LEN(IF(LEN(INDEX('My equipment'!$Q$4:$Q$503,(_calc!$E$509-500)))=0,"",INDEX('My equipment'!$Q$4:$Q$503,(_calc!$E$509-500))))=0,"","Claim status: "&amp;IF(LEN(INDEX('My equipment'!$Q$4:$Q$503,(_calc!$E$509-500)))=0,"",INDEX('My equipment'!$Q$4:$Q$503,(_calc!$E$509-500)))&amp;". ")&amp;IF(LEN(IF(LEN(INDEX('My equipment'!$R$4:$R$503,(_calc!$E$509-500)))=0,"",INDEX('My equipment'!$R$4:$R$503,(_calc!$E$509-500))))=0,"","Claims contact: "&amp;IF(LEN(INDEX('My equipment'!$R$4:$R$503,(_calc!$E$509-500)))=0,"",INDEX('My equipment'!$R$4:$R$503,(_calc!$E$509-500)))&amp;". ")&amp;IF(LEN(IF(LEN(INDEX('My equipment'!$S$4:$S$503,(_calc!$E$509-500)))=0,"",INDEX('My equipment'!$S$4:$S$503,(_calc!$E$509-500))))=0,"","Claims email: "&amp;IF(LEN(INDEX('My equipment'!$S$4:$S$503,(_calc!$E$509-500)))=0,"",INDEX('My equipment'!$S$4:$S$503,(_calc!$E$509-500)))&amp;". ")&amp;IF(LEN(IF(LEN(INDEX('My equipment'!$U$4:$U$503,(_calc!$E$509-500)))=0,"",INDEX('My equipment'!$U$4:$U$503,(_calc!$E$509-500))))=0,"","Registered: "&amp;IF(LEN(INDEX('My equipment'!$U$4:$U$503,(_calc!$E$509-500)))=0,"",INDEX('My equipment'!$U$4:$U$503,(_calc!$E$509-500)))&amp;". ")&amp;IF(LEN(IF(LEN(INDEX('My equipment'!$V$4:$V$503,(_calc!$E$509-500)))=0,"",INDEX('My equipment'!$V$4:$V$503,(_calc!$E$509-500))))=0,"","Proof on file: "&amp;IF(LEN(INDEX('My equipment'!$V$4:$V$503,(_calc!$E$509-500)))=0,"",INDEX('My equipment'!$V$4:$V$503,(_calc!$E$509-500)))&amp;". ")&amp;IF(LEN(IF(LEN(INDEX('My equipment'!$W$4:$W$503,(_calc!$E$509-500)))=0,"",INDEX('My equipment'!$W$4:$W$503,(_calc!$E$509-500))))=0,"","Claim ref: "&amp;IF(LEN(INDEX('My equipment'!$W$4:$W$503,(_calc!$E$509-500)))=0,"",INDEX('My equipment'!$W$4:$W$503,(_calc!$E$509-500)))&amp;". ")&amp;IF(LEN(IF(LEN(INDEX('My equipment'!$Y$4:$Y$503,(_calc!$E$509-500)))=0,"",INDEX('My equipment'!$Y$4:$Y$503,(_calc!$E$509-500))))=0,"",IF(LEN(INDEX('My equipment'!$Y$4:$Y$503,(_calc!$E$509-500)))=0,"",INDEX('My equipment'!$Y$4:$Y$503,(_calc!$E$509-500)))))))</f>
        <v/>
      </c>
      <c r="G507" s="54">
        <f>IF(_calc!$E$509="","",IF(_calc!$E$509&lt;=500,"",IF(LEN(INDEX('My equipment'!$X$4:$X$503,(_calc!$E$509-500)))=0,"",INDEX('My equipment'!$X$4:$X$503,(_calc!$E$509-500)))))</f>
        <v/>
      </c>
      <c r="K507" s="54">
        <f>IF(_calc!$E$509="","",IF(_calc!$E$509&lt;=500,"",IF(LEN(INDEX('My equipment'!$T$4:$T$503,(_calc!$E$509-500)))=0,"",INDEX('My equipment'!$T$4:$T$503,(_calc!$E$509-500)))))</f>
        <v/>
      </c>
    </row>
    <row r="508">
      <c r="A508" s="54">
        <f>IF(_calc!$E$510="","",IF(_calc!$E$510&lt;=500,"Warranty – "&amp;IF(LEN(INDEX('Dealer pipeline'!$C$4:$C$503,_calc!$E$510))=0,"",INDEX('Dealer pipeline'!$C$4:$C$503,_calc!$E$510))&amp;" – "&amp;IF(LEN(INDEX('Dealer pipeline'!$D$4:$D$503,_calc!$E$510))=0,"",INDEX('Dealer pipeline'!$D$4:$D$503,_calc!$E$510))&amp;" – "&amp;IF(LEN(INDEX('Dealer pipeline'!$A$4:$A$503,_calc!$E$510))=0,"",INDEX('Dealer pipeline'!$A$4:$A$503,_calc!$E$510)),"Warranty – "&amp;IF(LEN(INDEX('My equipment'!$A$4:$A$503,(_calc!$E$510-500)))=0,"",INDEX('My equipment'!$A$4:$A$503,(_calc!$E$510-500)))&amp;" – "&amp;IF(LEN(INDEX('My equipment'!$D$4:$D$503,(_calc!$E$510-500)))=0,"",INDEX('My equipment'!$D$4:$D$503,(_calc!$E$510-500)))))</f>
        <v/>
      </c>
      <c r="B508" s="54">
        <f>IF(_calc!$E$510="","",IF(_calc!$E$510&lt;=500,IF(ISNUMBER(INDEX('Dealer pipeline'!$M$4:$M$503,_calc!$E$510)),TEXT(INDEX('Dealer pipeline'!$M$4:$M$503,_calc!$E$510),"yyyy-mm-dd"),""),IF(ISNUMBER(INDEX('My equipment'!$M$4:$M$503,(_calc!$E$510-500))),TEXT(INDEX('My equipment'!$M$4:$M$503,(_calc!$E$510-500)),"yyyy-mm-dd"),"")))</f>
        <v/>
      </c>
      <c r="C508" s="54">
        <f>IF(_calc!$E$510="","",IF(_calc!$E$510&lt;=500,"Warranty","Warranty"))</f>
        <v/>
      </c>
      <c r="D508" s="54">
        <f>IF(_calc!$E$510="","",IF(_calc!$E$510&lt;=500,IF(ISNUMBER(INDEX('Dealer pipeline'!$H$4:$H$503,_calc!$E$510)),TEXT(INDEX('Dealer pipeline'!$H$4:$H$503,_calc!$E$510),"yyyy-mm-dd"),""),IF(ISNUMBER(INDEX('My equipment'!$H$4:$H$503,(_calc!$E$510-500))),TEXT(INDEX('My equipment'!$H$4:$H$503,(_calc!$E$510-500)),"yyyy-mm-dd"),"")))</f>
        <v/>
      </c>
      <c r="F508" s="54">
        <f>IF(_calc!$E$510="","",IF(_calc!$E$510&lt;=500,TRIM(IF(LEN(IF(LEN(INDEX('Dealer pipeline'!$A$4:$A$503,_calc!$E$510))=0,"",INDEX('Dealer pipeline'!$A$4:$A$503,_calc!$E$510)))=0,"","Customer: "&amp;IF(LEN(INDEX('Dealer pipeline'!$A$4:$A$503,_calc!$E$510))=0,"",INDEX('Dealer pipeline'!$A$4:$A$503,_calc!$E$510))&amp;". ")&amp;IF(LEN(IF(LEN(INDEX('Dealer pipeline'!$B$4:$B$503,_calc!$E$510))=0,"",INDEX('Dealer pipeline'!$B$4:$B$503,_calc!$E$510)))=0,"","Contact: "&amp;IF(LEN(INDEX('Dealer pipeline'!$B$4:$B$503,_calc!$E$510))=0,"",INDEX('Dealer pipeline'!$B$4:$B$503,_calc!$E$510))&amp;". ")&amp;IF(LEN(IF(LEN(INDEX('Dealer pipeline'!$D$4:$D$503,_calc!$E$510))=0,"",INDEX('Dealer pipeline'!$D$4:$D$503,_calc!$E$510)))=0,"","Serial: "&amp;IF(LEN(INDEX('Dealer pipeline'!$D$4:$D$503,_calc!$E$510))=0,"",INDEX('Dealer pipeline'!$D$4:$D$503,_calc!$E$510))&amp;". ")&amp;IF(LEN(IF(ISNUMBER(INDEX('Dealer pipeline'!$J$4:$J$503,_calc!$E$510)),TEXT(INDEX('Dealer pipeline'!$J$4:$J$503,_calc!$E$510),"yyyy-mm-dd"),""))=0,"","Parts end: "&amp;IF(ISNUMBER(INDEX('Dealer pipeline'!$J$4:$J$503,_calc!$E$510)),TEXT(INDEX('Dealer pipeline'!$J$4:$J$503,_calc!$E$510),"yyyy-mm-dd"),"")&amp;". ")&amp;IF(LEN(IF(ISNUMBER(INDEX('Dealer pipeline'!$L$4:$L$503,_calc!$E$510)),TEXT(INDEX('Dealer pipeline'!$L$4:$L$503,_calc!$E$510),"yyyy-mm-dd"),""))=0,"","Labor end: "&amp;IF(ISNUMBER(INDEX('Dealer pipeline'!$L$4:$L$503,_calc!$E$510)),TEXT(INDEX('Dealer pipeline'!$L$4:$L$503,_calc!$E$510),"yyyy-mm-dd"),"")&amp;". ")&amp;IF(LEN(IF(LEN(INDEX('Dealer pipeline'!$Q$4:$Q$503,_calc!$E$510))=0,"",INDEX('Dealer pipeline'!$Q$4:$Q$503,_calc!$E$510)))=0,"","Status: "&amp;IF(LEN(INDEX('Dealer pipeline'!$Q$4:$Q$503,_calc!$E$510))=0,"",INDEX('Dealer pipeline'!$Q$4:$Q$503,_calc!$E$510))&amp;". ")&amp;IF(LEN(IF(LEN(INDEX('Dealer pipeline'!$P$4:$P$503,_calc!$E$510))=0,"",INDEX('Dealer pipeline'!$P$4:$P$503,_calc!$E$510)))=0,"","Last touch: "&amp;IF(LEN(INDEX('Dealer pipeline'!$P$4:$P$503,_calc!$E$510))=0,"",INDEX('Dealer pipeline'!$P$4:$P$503,_calc!$E$510))&amp;". ")&amp;IF(LEN(IF(LEN(INDEX('Dealer pipeline'!$R$4:$R$503,_calc!$E$510))=0,"",INDEX('Dealer pipeline'!$R$4:$R$503,_calc!$E$510)))=0,"","Owner: "&amp;IF(LEN(INDEX('Dealer pipeline'!$R$4:$R$503,_calc!$E$510))=0,"",INDEX('Dealer pipeline'!$R$4:$R$503,_calc!$E$510))&amp;". ")&amp;IF(LEN(IF(LEN(INDEX('Dealer pipeline'!$S$4:$S$503,_calc!$E$510))=0,"",INDEX('Dealer pipeline'!$S$4:$S$503,_calc!$E$510)))=0,"","Backup: "&amp;IF(LEN(INDEX('Dealer pipeline'!$S$4:$S$503,_calc!$E$510))=0,"",INDEX('Dealer pipeline'!$S$4:$S$503,_calc!$E$510))&amp;". ")&amp;IF(LEN(IF(LEN(INDEX('Dealer pipeline'!$T$4:$T$503,_calc!$E$510))=0,"",INDEX('Dealer pipeline'!$T$4:$T$503,_calc!$E$510)))=0,"",IF(LEN(INDEX('Dealer pipeline'!$T$4:$T$503,_calc!$E$510))=0,"",INDEX('Dealer pipeline'!$T$4:$T$503,_calc!$E$510)))),TRIM(IF(LEN(IF(LEN(INDEX('My equipment'!$C$4:$C$503,(_calc!$E$510-500)))=0,"",INDEX('My equipment'!$C$4:$C$503,(_calc!$E$510-500))))=0,"","Model: "&amp;IF(LEN(INDEX('My equipment'!$C$4:$C$503,(_calc!$E$510-500)))=0,"",INDEX('My equipment'!$C$4:$C$503,(_calc!$E$510-500)))&amp;". ")&amp;IF(LEN(IF(LEN(INDEX('My equipment'!$D$4:$D$503,(_calc!$E$510-500)))=0,"",INDEX('My equipment'!$D$4:$D$503,(_calc!$E$510-500))))=0,"","Serial: "&amp;IF(LEN(INDEX('My equipment'!$D$4:$D$503,(_calc!$E$510-500)))=0,"",INDEX('My equipment'!$D$4:$D$503,(_calc!$E$510-500)))&amp;". ")&amp;IF(LEN(IF(ISNUMBER(INDEX('My equipment'!$J$4:$J$503,(_calc!$E$510-500))),TEXT(INDEX('My equipment'!$J$4:$J$503,(_calc!$E$510-500)),"yyyy-mm-dd"),""))=0,"","Parts end: "&amp;IF(ISNUMBER(INDEX('My equipment'!$J$4:$J$503,(_calc!$E$510-500))),TEXT(INDEX('My equipment'!$J$4:$J$503,(_calc!$E$510-500)),"yyyy-mm-dd"),"")&amp;". ")&amp;IF(LEN(IF(ISNUMBER(INDEX('My equipment'!$L$4:$L$503,(_calc!$E$510-500))),TEXT(INDEX('My equipment'!$L$4:$L$503,(_calc!$E$510-500)),"yyyy-mm-dd"),""))=0,"","Labor end: "&amp;IF(ISNUMBER(INDEX('My equipment'!$L$4:$L$503,(_calc!$E$510-500))),TEXT(INDEX('My equipment'!$L$4:$L$503,(_calc!$E$510-500)),"yyyy-mm-dd"),"")&amp;". ")&amp;IF(LEN(IF(ISNUMBER(INDEX('My equipment'!$P$4:$P$503,(_calc!$E$510-500))),TEXT(INDEX('My equipment'!$P$4:$P$503,(_calc!$E$510-500)),"yyyy-mm-dd"),""))=0,"","Check by: "&amp;IF(ISNUMBER(INDEX('My equipment'!$P$4:$P$503,(_calc!$E$510-500))),TEXT(INDEX('My equipment'!$P$4:$P$503,(_calc!$E$510-500)),"yyyy-mm-dd"),"")&amp;". ")&amp;IF(LEN(IF(LEN(INDEX('My equipment'!$Q$4:$Q$503,(_calc!$E$510-500)))=0,"",INDEX('My equipment'!$Q$4:$Q$503,(_calc!$E$510-500))))=0,"","Claim status: "&amp;IF(LEN(INDEX('My equipment'!$Q$4:$Q$503,(_calc!$E$510-500)))=0,"",INDEX('My equipment'!$Q$4:$Q$503,(_calc!$E$510-500)))&amp;". ")&amp;IF(LEN(IF(LEN(INDEX('My equipment'!$R$4:$R$503,(_calc!$E$510-500)))=0,"",INDEX('My equipment'!$R$4:$R$503,(_calc!$E$510-500))))=0,"","Claims contact: "&amp;IF(LEN(INDEX('My equipment'!$R$4:$R$503,(_calc!$E$510-500)))=0,"",INDEX('My equipment'!$R$4:$R$503,(_calc!$E$510-500)))&amp;". ")&amp;IF(LEN(IF(LEN(INDEX('My equipment'!$S$4:$S$503,(_calc!$E$510-500)))=0,"",INDEX('My equipment'!$S$4:$S$503,(_calc!$E$510-500))))=0,"","Claims email: "&amp;IF(LEN(INDEX('My equipment'!$S$4:$S$503,(_calc!$E$510-500)))=0,"",INDEX('My equipment'!$S$4:$S$503,(_calc!$E$510-500)))&amp;". ")&amp;IF(LEN(IF(LEN(INDEX('My equipment'!$U$4:$U$503,(_calc!$E$510-500)))=0,"",INDEX('My equipment'!$U$4:$U$503,(_calc!$E$510-500))))=0,"","Registered: "&amp;IF(LEN(INDEX('My equipment'!$U$4:$U$503,(_calc!$E$510-500)))=0,"",INDEX('My equipment'!$U$4:$U$503,(_calc!$E$510-500)))&amp;". ")&amp;IF(LEN(IF(LEN(INDEX('My equipment'!$V$4:$V$503,(_calc!$E$510-500)))=0,"",INDEX('My equipment'!$V$4:$V$503,(_calc!$E$510-500))))=0,"","Proof on file: "&amp;IF(LEN(INDEX('My equipment'!$V$4:$V$503,(_calc!$E$510-500)))=0,"",INDEX('My equipment'!$V$4:$V$503,(_calc!$E$510-500)))&amp;". ")&amp;IF(LEN(IF(LEN(INDEX('My equipment'!$W$4:$W$503,(_calc!$E$510-500)))=0,"",INDEX('My equipment'!$W$4:$W$503,(_calc!$E$510-500))))=0,"","Claim ref: "&amp;IF(LEN(INDEX('My equipment'!$W$4:$W$503,(_calc!$E$510-500)))=0,"",INDEX('My equipment'!$W$4:$W$503,(_calc!$E$510-500)))&amp;". ")&amp;IF(LEN(IF(LEN(INDEX('My equipment'!$Y$4:$Y$503,(_calc!$E$510-500)))=0,"",INDEX('My equipment'!$Y$4:$Y$503,(_calc!$E$510-500))))=0,"",IF(LEN(INDEX('My equipment'!$Y$4:$Y$503,(_calc!$E$510-500)))=0,"",INDEX('My equipment'!$Y$4:$Y$503,(_calc!$E$510-500)))))))</f>
        <v/>
      </c>
      <c r="G508" s="54">
        <f>IF(_calc!$E$510="","",IF(_calc!$E$510&lt;=500,"",IF(LEN(INDEX('My equipment'!$X$4:$X$503,(_calc!$E$510-500)))=0,"",INDEX('My equipment'!$X$4:$X$503,(_calc!$E$510-500)))))</f>
        <v/>
      </c>
      <c r="K508" s="54">
        <f>IF(_calc!$E$510="","",IF(_calc!$E$510&lt;=500,"",IF(LEN(INDEX('My equipment'!$T$4:$T$503,(_calc!$E$510-500)))=0,"",INDEX('My equipment'!$T$4:$T$503,(_calc!$E$510-500)))))</f>
        <v/>
      </c>
    </row>
    <row r="509">
      <c r="A509" s="54">
        <f>IF(_calc!$E$511="","",IF(_calc!$E$511&lt;=500,"Warranty – "&amp;IF(LEN(INDEX('Dealer pipeline'!$C$4:$C$503,_calc!$E$511))=0,"",INDEX('Dealer pipeline'!$C$4:$C$503,_calc!$E$511))&amp;" – "&amp;IF(LEN(INDEX('Dealer pipeline'!$D$4:$D$503,_calc!$E$511))=0,"",INDEX('Dealer pipeline'!$D$4:$D$503,_calc!$E$511))&amp;" – "&amp;IF(LEN(INDEX('Dealer pipeline'!$A$4:$A$503,_calc!$E$511))=0,"",INDEX('Dealer pipeline'!$A$4:$A$503,_calc!$E$511)),"Warranty – "&amp;IF(LEN(INDEX('My equipment'!$A$4:$A$503,(_calc!$E$511-500)))=0,"",INDEX('My equipment'!$A$4:$A$503,(_calc!$E$511-500)))&amp;" – "&amp;IF(LEN(INDEX('My equipment'!$D$4:$D$503,(_calc!$E$511-500)))=0,"",INDEX('My equipment'!$D$4:$D$503,(_calc!$E$511-500)))))</f>
        <v/>
      </c>
      <c r="B509" s="54">
        <f>IF(_calc!$E$511="","",IF(_calc!$E$511&lt;=500,IF(ISNUMBER(INDEX('Dealer pipeline'!$M$4:$M$503,_calc!$E$511)),TEXT(INDEX('Dealer pipeline'!$M$4:$M$503,_calc!$E$511),"yyyy-mm-dd"),""),IF(ISNUMBER(INDEX('My equipment'!$M$4:$M$503,(_calc!$E$511-500))),TEXT(INDEX('My equipment'!$M$4:$M$503,(_calc!$E$511-500)),"yyyy-mm-dd"),"")))</f>
        <v/>
      </c>
      <c r="C509" s="54">
        <f>IF(_calc!$E$511="","",IF(_calc!$E$511&lt;=500,"Warranty","Warranty"))</f>
        <v/>
      </c>
      <c r="D509" s="54">
        <f>IF(_calc!$E$511="","",IF(_calc!$E$511&lt;=500,IF(ISNUMBER(INDEX('Dealer pipeline'!$H$4:$H$503,_calc!$E$511)),TEXT(INDEX('Dealer pipeline'!$H$4:$H$503,_calc!$E$511),"yyyy-mm-dd"),""),IF(ISNUMBER(INDEX('My equipment'!$H$4:$H$503,(_calc!$E$511-500))),TEXT(INDEX('My equipment'!$H$4:$H$503,(_calc!$E$511-500)),"yyyy-mm-dd"),"")))</f>
        <v/>
      </c>
      <c r="F509" s="54">
        <f>IF(_calc!$E$511="","",IF(_calc!$E$511&lt;=500,TRIM(IF(LEN(IF(LEN(INDEX('Dealer pipeline'!$A$4:$A$503,_calc!$E$511))=0,"",INDEX('Dealer pipeline'!$A$4:$A$503,_calc!$E$511)))=0,"","Customer: "&amp;IF(LEN(INDEX('Dealer pipeline'!$A$4:$A$503,_calc!$E$511))=0,"",INDEX('Dealer pipeline'!$A$4:$A$503,_calc!$E$511))&amp;". ")&amp;IF(LEN(IF(LEN(INDEX('Dealer pipeline'!$B$4:$B$503,_calc!$E$511))=0,"",INDEX('Dealer pipeline'!$B$4:$B$503,_calc!$E$511)))=0,"","Contact: "&amp;IF(LEN(INDEX('Dealer pipeline'!$B$4:$B$503,_calc!$E$511))=0,"",INDEX('Dealer pipeline'!$B$4:$B$503,_calc!$E$511))&amp;". ")&amp;IF(LEN(IF(LEN(INDEX('Dealer pipeline'!$D$4:$D$503,_calc!$E$511))=0,"",INDEX('Dealer pipeline'!$D$4:$D$503,_calc!$E$511)))=0,"","Serial: "&amp;IF(LEN(INDEX('Dealer pipeline'!$D$4:$D$503,_calc!$E$511))=0,"",INDEX('Dealer pipeline'!$D$4:$D$503,_calc!$E$511))&amp;". ")&amp;IF(LEN(IF(ISNUMBER(INDEX('Dealer pipeline'!$J$4:$J$503,_calc!$E$511)),TEXT(INDEX('Dealer pipeline'!$J$4:$J$503,_calc!$E$511),"yyyy-mm-dd"),""))=0,"","Parts end: "&amp;IF(ISNUMBER(INDEX('Dealer pipeline'!$J$4:$J$503,_calc!$E$511)),TEXT(INDEX('Dealer pipeline'!$J$4:$J$503,_calc!$E$511),"yyyy-mm-dd"),"")&amp;". ")&amp;IF(LEN(IF(ISNUMBER(INDEX('Dealer pipeline'!$L$4:$L$503,_calc!$E$511)),TEXT(INDEX('Dealer pipeline'!$L$4:$L$503,_calc!$E$511),"yyyy-mm-dd"),""))=0,"","Labor end: "&amp;IF(ISNUMBER(INDEX('Dealer pipeline'!$L$4:$L$503,_calc!$E$511)),TEXT(INDEX('Dealer pipeline'!$L$4:$L$503,_calc!$E$511),"yyyy-mm-dd"),"")&amp;". ")&amp;IF(LEN(IF(LEN(INDEX('Dealer pipeline'!$Q$4:$Q$503,_calc!$E$511))=0,"",INDEX('Dealer pipeline'!$Q$4:$Q$503,_calc!$E$511)))=0,"","Status: "&amp;IF(LEN(INDEX('Dealer pipeline'!$Q$4:$Q$503,_calc!$E$511))=0,"",INDEX('Dealer pipeline'!$Q$4:$Q$503,_calc!$E$511))&amp;". ")&amp;IF(LEN(IF(LEN(INDEX('Dealer pipeline'!$P$4:$P$503,_calc!$E$511))=0,"",INDEX('Dealer pipeline'!$P$4:$P$503,_calc!$E$511)))=0,"","Last touch: "&amp;IF(LEN(INDEX('Dealer pipeline'!$P$4:$P$503,_calc!$E$511))=0,"",INDEX('Dealer pipeline'!$P$4:$P$503,_calc!$E$511))&amp;". ")&amp;IF(LEN(IF(LEN(INDEX('Dealer pipeline'!$R$4:$R$503,_calc!$E$511))=0,"",INDEX('Dealer pipeline'!$R$4:$R$503,_calc!$E$511)))=0,"","Owner: "&amp;IF(LEN(INDEX('Dealer pipeline'!$R$4:$R$503,_calc!$E$511))=0,"",INDEX('Dealer pipeline'!$R$4:$R$503,_calc!$E$511))&amp;". ")&amp;IF(LEN(IF(LEN(INDEX('Dealer pipeline'!$S$4:$S$503,_calc!$E$511))=0,"",INDEX('Dealer pipeline'!$S$4:$S$503,_calc!$E$511)))=0,"","Backup: "&amp;IF(LEN(INDEX('Dealer pipeline'!$S$4:$S$503,_calc!$E$511))=0,"",INDEX('Dealer pipeline'!$S$4:$S$503,_calc!$E$511))&amp;". ")&amp;IF(LEN(IF(LEN(INDEX('Dealer pipeline'!$T$4:$T$503,_calc!$E$511))=0,"",INDEX('Dealer pipeline'!$T$4:$T$503,_calc!$E$511)))=0,"",IF(LEN(INDEX('Dealer pipeline'!$T$4:$T$503,_calc!$E$511))=0,"",INDEX('Dealer pipeline'!$T$4:$T$503,_calc!$E$511)))),TRIM(IF(LEN(IF(LEN(INDEX('My equipment'!$C$4:$C$503,(_calc!$E$511-500)))=0,"",INDEX('My equipment'!$C$4:$C$503,(_calc!$E$511-500))))=0,"","Model: "&amp;IF(LEN(INDEX('My equipment'!$C$4:$C$503,(_calc!$E$511-500)))=0,"",INDEX('My equipment'!$C$4:$C$503,(_calc!$E$511-500)))&amp;". ")&amp;IF(LEN(IF(LEN(INDEX('My equipment'!$D$4:$D$503,(_calc!$E$511-500)))=0,"",INDEX('My equipment'!$D$4:$D$503,(_calc!$E$511-500))))=0,"","Serial: "&amp;IF(LEN(INDEX('My equipment'!$D$4:$D$503,(_calc!$E$511-500)))=0,"",INDEX('My equipment'!$D$4:$D$503,(_calc!$E$511-500)))&amp;". ")&amp;IF(LEN(IF(ISNUMBER(INDEX('My equipment'!$J$4:$J$503,(_calc!$E$511-500))),TEXT(INDEX('My equipment'!$J$4:$J$503,(_calc!$E$511-500)),"yyyy-mm-dd"),""))=0,"","Parts end: "&amp;IF(ISNUMBER(INDEX('My equipment'!$J$4:$J$503,(_calc!$E$511-500))),TEXT(INDEX('My equipment'!$J$4:$J$503,(_calc!$E$511-500)),"yyyy-mm-dd"),"")&amp;". ")&amp;IF(LEN(IF(ISNUMBER(INDEX('My equipment'!$L$4:$L$503,(_calc!$E$511-500))),TEXT(INDEX('My equipment'!$L$4:$L$503,(_calc!$E$511-500)),"yyyy-mm-dd"),""))=0,"","Labor end: "&amp;IF(ISNUMBER(INDEX('My equipment'!$L$4:$L$503,(_calc!$E$511-500))),TEXT(INDEX('My equipment'!$L$4:$L$503,(_calc!$E$511-500)),"yyyy-mm-dd"),"")&amp;". ")&amp;IF(LEN(IF(ISNUMBER(INDEX('My equipment'!$P$4:$P$503,(_calc!$E$511-500))),TEXT(INDEX('My equipment'!$P$4:$P$503,(_calc!$E$511-500)),"yyyy-mm-dd"),""))=0,"","Check by: "&amp;IF(ISNUMBER(INDEX('My equipment'!$P$4:$P$503,(_calc!$E$511-500))),TEXT(INDEX('My equipment'!$P$4:$P$503,(_calc!$E$511-500)),"yyyy-mm-dd"),"")&amp;". ")&amp;IF(LEN(IF(LEN(INDEX('My equipment'!$Q$4:$Q$503,(_calc!$E$511-500)))=0,"",INDEX('My equipment'!$Q$4:$Q$503,(_calc!$E$511-500))))=0,"","Claim status: "&amp;IF(LEN(INDEX('My equipment'!$Q$4:$Q$503,(_calc!$E$511-500)))=0,"",INDEX('My equipment'!$Q$4:$Q$503,(_calc!$E$511-500)))&amp;". ")&amp;IF(LEN(IF(LEN(INDEX('My equipment'!$R$4:$R$503,(_calc!$E$511-500)))=0,"",INDEX('My equipment'!$R$4:$R$503,(_calc!$E$511-500))))=0,"","Claims contact: "&amp;IF(LEN(INDEX('My equipment'!$R$4:$R$503,(_calc!$E$511-500)))=0,"",INDEX('My equipment'!$R$4:$R$503,(_calc!$E$511-500)))&amp;". ")&amp;IF(LEN(IF(LEN(INDEX('My equipment'!$S$4:$S$503,(_calc!$E$511-500)))=0,"",INDEX('My equipment'!$S$4:$S$503,(_calc!$E$511-500))))=0,"","Claims email: "&amp;IF(LEN(INDEX('My equipment'!$S$4:$S$503,(_calc!$E$511-500)))=0,"",INDEX('My equipment'!$S$4:$S$503,(_calc!$E$511-500)))&amp;". ")&amp;IF(LEN(IF(LEN(INDEX('My equipment'!$U$4:$U$503,(_calc!$E$511-500)))=0,"",INDEX('My equipment'!$U$4:$U$503,(_calc!$E$511-500))))=0,"","Registered: "&amp;IF(LEN(INDEX('My equipment'!$U$4:$U$503,(_calc!$E$511-500)))=0,"",INDEX('My equipment'!$U$4:$U$503,(_calc!$E$511-500)))&amp;". ")&amp;IF(LEN(IF(LEN(INDEX('My equipment'!$V$4:$V$503,(_calc!$E$511-500)))=0,"",INDEX('My equipment'!$V$4:$V$503,(_calc!$E$511-500))))=0,"","Proof on file: "&amp;IF(LEN(INDEX('My equipment'!$V$4:$V$503,(_calc!$E$511-500)))=0,"",INDEX('My equipment'!$V$4:$V$503,(_calc!$E$511-500)))&amp;". ")&amp;IF(LEN(IF(LEN(INDEX('My equipment'!$W$4:$W$503,(_calc!$E$511-500)))=0,"",INDEX('My equipment'!$W$4:$W$503,(_calc!$E$511-500))))=0,"","Claim ref: "&amp;IF(LEN(INDEX('My equipment'!$W$4:$W$503,(_calc!$E$511-500)))=0,"",INDEX('My equipment'!$W$4:$W$503,(_calc!$E$511-500)))&amp;". ")&amp;IF(LEN(IF(LEN(INDEX('My equipment'!$Y$4:$Y$503,(_calc!$E$511-500)))=0,"",INDEX('My equipment'!$Y$4:$Y$503,(_calc!$E$511-500))))=0,"",IF(LEN(INDEX('My equipment'!$Y$4:$Y$503,(_calc!$E$511-500)))=0,"",INDEX('My equipment'!$Y$4:$Y$503,(_calc!$E$511-500)))))))</f>
        <v/>
      </c>
      <c r="G509" s="54">
        <f>IF(_calc!$E$511="","",IF(_calc!$E$511&lt;=500,"",IF(LEN(INDEX('My equipment'!$X$4:$X$503,(_calc!$E$511-500)))=0,"",INDEX('My equipment'!$X$4:$X$503,(_calc!$E$511-500)))))</f>
        <v/>
      </c>
      <c r="K509" s="54">
        <f>IF(_calc!$E$511="","",IF(_calc!$E$511&lt;=500,"",IF(LEN(INDEX('My equipment'!$T$4:$T$503,(_calc!$E$511-500)))=0,"",INDEX('My equipment'!$T$4:$T$503,(_calc!$E$511-500)))))</f>
        <v/>
      </c>
    </row>
    <row r="510">
      <c r="A510" s="54">
        <f>IF(_calc!$E$512="","",IF(_calc!$E$512&lt;=500,"Warranty – "&amp;IF(LEN(INDEX('Dealer pipeline'!$C$4:$C$503,_calc!$E$512))=0,"",INDEX('Dealer pipeline'!$C$4:$C$503,_calc!$E$512))&amp;" – "&amp;IF(LEN(INDEX('Dealer pipeline'!$D$4:$D$503,_calc!$E$512))=0,"",INDEX('Dealer pipeline'!$D$4:$D$503,_calc!$E$512))&amp;" – "&amp;IF(LEN(INDEX('Dealer pipeline'!$A$4:$A$503,_calc!$E$512))=0,"",INDEX('Dealer pipeline'!$A$4:$A$503,_calc!$E$512)),"Warranty – "&amp;IF(LEN(INDEX('My equipment'!$A$4:$A$503,(_calc!$E$512-500)))=0,"",INDEX('My equipment'!$A$4:$A$503,(_calc!$E$512-500)))&amp;" – "&amp;IF(LEN(INDEX('My equipment'!$D$4:$D$503,(_calc!$E$512-500)))=0,"",INDEX('My equipment'!$D$4:$D$503,(_calc!$E$512-500)))))</f>
        <v/>
      </c>
      <c r="B510" s="54">
        <f>IF(_calc!$E$512="","",IF(_calc!$E$512&lt;=500,IF(ISNUMBER(INDEX('Dealer pipeline'!$M$4:$M$503,_calc!$E$512)),TEXT(INDEX('Dealer pipeline'!$M$4:$M$503,_calc!$E$512),"yyyy-mm-dd"),""),IF(ISNUMBER(INDEX('My equipment'!$M$4:$M$503,(_calc!$E$512-500))),TEXT(INDEX('My equipment'!$M$4:$M$503,(_calc!$E$512-500)),"yyyy-mm-dd"),"")))</f>
        <v/>
      </c>
      <c r="C510" s="54">
        <f>IF(_calc!$E$512="","",IF(_calc!$E$512&lt;=500,"Warranty","Warranty"))</f>
        <v/>
      </c>
      <c r="D510" s="54">
        <f>IF(_calc!$E$512="","",IF(_calc!$E$512&lt;=500,IF(ISNUMBER(INDEX('Dealer pipeline'!$H$4:$H$503,_calc!$E$512)),TEXT(INDEX('Dealer pipeline'!$H$4:$H$503,_calc!$E$512),"yyyy-mm-dd"),""),IF(ISNUMBER(INDEX('My equipment'!$H$4:$H$503,(_calc!$E$512-500))),TEXT(INDEX('My equipment'!$H$4:$H$503,(_calc!$E$512-500)),"yyyy-mm-dd"),"")))</f>
        <v/>
      </c>
      <c r="F510" s="54">
        <f>IF(_calc!$E$512="","",IF(_calc!$E$512&lt;=500,TRIM(IF(LEN(IF(LEN(INDEX('Dealer pipeline'!$A$4:$A$503,_calc!$E$512))=0,"",INDEX('Dealer pipeline'!$A$4:$A$503,_calc!$E$512)))=0,"","Customer: "&amp;IF(LEN(INDEX('Dealer pipeline'!$A$4:$A$503,_calc!$E$512))=0,"",INDEX('Dealer pipeline'!$A$4:$A$503,_calc!$E$512))&amp;". ")&amp;IF(LEN(IF(LEN(INDEX('Dealer pipeline'!$B$4:$B$503,_calc!$E$512))=0,"",INDEX('Dealer pipeline'!$B$4:$B$503,_calc!$E$512)))=0,"","Contact: "&amp;IF(LEN(INDEX('Dealer pipeline'!$B$4:$B$503,_calc!$E$512))=0,"",INDEX('Dealer pipeline'!$B$4:$B$503,_calc!$E$512))&amp;". ")&amp;IF(LEN(IF(LEN(INDEX('Dealer pipeline'!$D$4:$D$503,_calc!$E$512))=0,"",INDEX('Dealer pipeline'!$D$4:$D$503,_calc!$E$512)))=0,"","Serial: "&amp;IF(LEN(INDEX('Dealer pipeline'!$D$4:$D$503,_calc!$E$512))=0,"",INDEX('Dealer pipeline'!$D$4:$D$503,_calc!$E$512))&amp;". ")&amp;IF(LEN(IF(ISNUMBER(INDEX('Dealer pipeline'!$J$4:$J$503,_calc!$E$512)),TEXT(INDEX('Dealer pipeline'!$J$4:$J$503,_calc!$E$512),"yyyy-mm-dd"),""))=0,"","Parts end: "&amp;IF(ISNUMBER(INDEX('Dealer pipeline'!$J$4:$J$503,_calc!$E$512)),TEXT(INDEX('Dealer pipeline'!$J$4:$J$503,_calc!$E$512),"yyyy-mm-dd"),"")&amp;". ")&amp;IF(LEN(IF(ISNUMBER(INDEX('Dealer pipeline'!$L$4:$L$503,_calc!$E$512)),TEXT(INDEX('Dealer pipeline'!$L$4:$L$503,_calc!$E$512),"yyyy-mm-dd"),""))=0,"","Labor end: "&amp;IF(ISNUMBER(INDEX('Dealer pipeline'!$L$4:$L$503,_calc!$E$512)),TEXT(INDEX('Dealer pipeline'!$L$4:$L$503,_calc!$E$512),"yyyy-mm-dd"),"")&amp;". ")&amp;IF(LEN(IF(LEN(INDEX('Dealer pipeline'!$Q$4:$Q$503,_calc!$E$512))=0,"",INDEX('Dealer pipeline'!$Q$4:$Q$503,_calc!$E$512)))=0,"","Status: "&amp;IF(LEN(INDEX('Dealer pipeline'!$Q$4:$Q$503,_calc!$E$512))=0,"",INDEX('Dealer pipeline'!$Q$4:$Q$503,_calc!$E$512))&amp;". ")&amp;IF(LEN(IF(LEN(INDEX('Dealer pipeline'!$P$4:$P$503,_calc!$E$512))=0,"",INDEX('Dealer pipeline'!$P$4:$P$503,_calc!$E$512)))=0,"","Last touch: "&amp;IF(LEN(INDEX('Dealer pipeline'!$P$4:$P$503,_calc!$E$512))=0,"",INDEX('Dealer pipeline'!$P$4:$P$503,_calc!$E$512))&amp;". ")&amp;IF(LEN(IF(LEN(INDEX('Dealer pipeline'!$R$4:$R$503,_calc!$E$512))=0,"",INDEX('Dealer pipeline'!$R$4:$R$503,_calc!$E$512)))=0,"","Owner: "&amp;IF(LEN(INDEX('Dealer pipeline'!$R$4:$R$503,_calc!$E$512))=0,"",INDEX('Dealer pipeline'!$R$4:$R$503,_calc!$E$512))&amp;". ")&amp;IF(LEN(IF(LEN(INDEX('Dealer pipeline'!$S$4:$S$503,_calc!$E$512))=0,"",INDEX('Dealer pipeline'!$S$4:$S$503,_calc!$E$512)))=0,"","Backup: "&amp;IF(LEN(INDEX('Dealer pipeline'!$S$4:$S$503,_calc!$E$512))=0,"",INDEX('Dealer pipeline'!$S$4:$S$503,_calc!$E$512))&amp;". ")&amp;IF(LEN(IF(LEN(INDEX('Dealer pipeline'!$T$4:$T$503,_calc!$E$512))=0,"",INDEX('Dealer pipeline'!$T$4:$T$503,_calc!$E$512)))=0,"",IF(LEN(INDEX('Dealer pipeline'!$T$4:$T$503,_calc!$E$512))=0,"",INDEX('Dealer pipeline'!$T$4:$T$503,_calc!$E$512)))),TRIM(IF(LEN(IF(LEN(INDEX('My equipment'!$C$4:$C$503,(_calc!$E$512-500)))=0,"",INDEX('My equipment'!$C$4:$C$503,(_calc!$E$512-500))))=0,"","Model: "&amp;IF(LEN(INDEX('My equipment'!$C$4:$C$503,(_calc!$E$512-500)))=0,"",INDEX('My equipment'!$C$4:$C$503,(_calc!$E$512-500)))&amp;". ")&amp;IF(LEN(IF(LEN(INDEX('My equipment'!$D$4:$D$503,(_calc!$E$512-500)))=0,"",INDEX('My equipment'!$D$4:$D$503,(_calc!$E$512-500))))=0,"","Serial: "&amp;IF(LEN(INDEX('My equipment'!$D$4:$D$503,(_calc!$E$512-500)))=0,"",INDEX('My equipment'!$D$4:$D$503,(_calc!$E$512-500)))&amp;". ")&amp;IF(LEN(IF(ISNUMBER(INDEX('My equipment'!$J$4:$J$503,(_calc!$E$512-500))),TEXT(INDEX('My equipment'!$J$4:$J$503,(_calc!$E$512-500)),"yyyy-mm-dd"),""))=0,"","Parts end: "&amp;IF(ISNUMBER(INDEX('My equipment'!$J$4:$J$503,(_calc!$E$512-500))),TEXT(INDEX('My equipment'!$J$4:$J$503,(_calc!$E$512-500)),"yyyy-mm-dd"),"")&amp;". ")&amp;IF(LEN(IF(ISNUMBER(INDEX('My equipment'!$L$4:$L$503,(_calc!$E$512-500))),TEXT(INDEX('My equipment'!$L$4:$L$503,(_calc!$E$512-500)),"yyyy-mm-dd"),""))=0,"","Labor end: "&amp;IF(ISNUMBER(INDEX('My equipment'!$L$4:$L$503,(_calc!$E$512-500))),TEXT(INDEX('My equipment'!$L$4:$L$503,(_calc!$E$512-500)),"yyyy-mm-dd"),"")&amp;". ")&amp;IF(LEN(IF(ISNUMBER(INDEX('My equipment'!$P$4:$P$503,(_calc!$E$512-500))),TEXT(INDEX('My equipment'!$P$4:$P$503,(_calc!$E$512-500)),"yyyy-mm-dd"),""))=0,"","Check by: "&amp;IF(ISNUMBER(INDEX('My equipment'!$P$4:$P$503,(_calc!$E$512-500))),TEXT(INDEX('My equipment'!$P$4:$P$503,(_calc!$E$512-500)),"yyyy-mm-dd"),"")&amp;". ")&amp;IF(LEN(IF(LEN(INDEX('My equipment'!$Q$4:$Q$503,(_calc!$E$512-500)))=0,"",INDEX('My equipment'!$Q$4:$Q$503,(_calc!$E$512-500))))=0,"","Claim status: "&amp;IF(LEN(INDEX('My equipment'!$Q$4:$Q$503,(_calc!$E$512-500)))=0,"",INDEX('My equipment'!$Q$4:$Q$503,(_calc!$E$512-500)))&amp;". ")&amp;IF(LEN(IF(LEN(INDEX('My equipment'!$R$4:$R$503,(_calc!$E$512-500)))=0,"",INDEX('My equipment'!$R$4:$R$503,(_calc!$E$512-500))))=0,"","Claims contact: "&amp;IF(LEN(INDEX('My equipment'!$R$4:$R$503,(_calc!$E$512-500)))=0,"",INDEX('My equipment'!$R$4:$R$503,(_calc!$E$512-500)))&amp;". ")&amp;IF(LEN(IF(LEN(INDEX('My equipment'!$S$4:$S$503,(_calc!$E$512-500)))=0,"",INDEX('My equipment'!$S$4:$S$503,(_calc!$E$512-500))))=0,"","Claims email: "&amp;IF(LEN(INDEX('My equipment'!$S$4:$S$503,(_calc!$E$512-500)))=0,"",INDEX('My equipment'!$S$4:$S$503,(_calc!$E$512-500)))&amp;". ")&amp;IF(LEN(IF(LEN(INDEX('My equipment'!$U$4:$U$503,(_calc!$E$512-500)))=0,"",INDEX('My equipment'!$U$4:$U$503,(_calc!$E$512-500))))=0,"","Registered: "&amp;IF(LEN(INDEX('My equipment'!$U$4:$U$503,(_calc!$E$512-500)))=0,"",INDEX('My equipment'!$U$4:$U$503,(_calc!$E$512-500)))&amp;". ")&amp;IF(LEN(IF(LEN(INDEX('My equipment'!$V$4:$V$503,(_calc!$E$512-500)))=0,"",INDEX('My equipment'!$V$4:$V$503,(_calc!$E$512-500))))=0,"","Proof on file: "&amp;IF(LEN(INDEX('My equipment'!$V$4:$V$503,(_calc!$E$512-500)))=0,"",INDEX('My equipment'!$V$4:$V$503,(_calc!$E$512-500)))&amp;". ")&amp;IF(LEN(IF(LEN(INDEX('My equipment'!$W$4:$W$503,(_calc!$E$512-500)))=0,"",INDEX('My equipment'!$W$4:$W$503,(_calc!$E$512-500))))=0,"","Claim ref: "&amp;IF(LEN(INDEX('My equipment'!$W$4:$W$503,(_calc!$E$512-500)))=0,"",INDEX('My equipment'!$W$4:$W$503,(_calc!$E$512-500)))&amp;". ")&amp;IF(LEN(IF(LEN(INDEX('My equipment'!$Y$4:$Y$503,(_calc!$E$512-500)))=0,"",INDEX('My equipment'!$Y$4:$Y$503,(_calc!$E$512-500))))=0,"",IF(LEN(INDEX('My equipment'!$Y$4:$Y$503,(_calc!$E$512-500)))=0,"",INDEX('My equipment'!$Y$4:$Y$503,(_calc!$E$512-500)))))))</f>
        <v/>
      </c>
      <c r="G510" s="54">
        <f>IF(_calc!$E$512="","",IF(_calc!$E$512&lt;=500,"",IF(LEN(INDEX('My equipment'!$X$4:$X$503,(_calc!$E$512-500)))=0,"",INDEX('My equipment'!$X$4:$X$503,(_calc!$E$512-500)))))</f>
        <v/>
      </c>
      <c r="K510" s="54">
        <f>IF(_calc!$E$512="","",IF(_calc!$E$512&lt;=500,"",IF(LEN(INDEX('My equipment'!$T$4:$T$503,(_calc!$E$512-500)))=0,"",INDEX('My equipment'!$T$4:$T$503,(_calc!$E$512-500)))))</f>
        <v/>
      </c>
    </row>
    <row r="511">
      <c r="A511" s="54">
        <f>IF(_calc!$E$513="","",IF(_calc!$E$513&lt;=500,"Warranty – "&amp;IF(LEN(INDEX('Dealer pipeline'!$C$4:$C$503,_calc!$E$513))=0,"",INDEX('Dealer pipeline'!$C$4:$C$503,_calc!$E$513))&amp;" – "&amp;IF(LEN(INDEX('Dealer pipeline'!$D$4:$D$503,_calc!$E$513))=0,"",INDEX('Dealer pipeline'!$D$4:$D$503,_calc!$E$513))&amp;" – "&amp;IF(LEN(INDEX('Dealer pipeline'!$A$4:$A$503,_calc!$E$513))=0,"",INDEX('Dealer pipeline'!$A$4:$A$503,_calc!$E$513)),"Warranty – "&amp;IF(LEN(INDEX('My equipment'!$A$4:$A$503,(_calc!$E$513-500)))=0,"",INDEX('My equipment'!$A$4:$A$503,(_calc!$E$513-500)))&amp;" – "&amp;IF(LEN(INDEX('My equipment'!$D$4:$D$503,(_calc!$E$513-500)))=0,"",INDEX('My equipment'!$D$4:$D$503,(_calc!$E$513-500)))))</f>
        <v/>
      </c>
      <c r="B511" s="54">
        <f>IF(_calc!$E$513="","",IF(_calc!$E$513&lt;=500,IF(ISNUMBER(INDEX('Dealer pipeline'!$M$4:$M$503,_calc!$E$513)),TEXT(INDEX('Dealer pipeline'!$M$4:$M$503,_calc!$E$513),"yyyy-mm-dd"),""),IF(ISNUMBER(INDEX('My equipment'!$M$4:$M$503,(_calc!$E$513-500))),TEXT(INDEX('My equipment'!$M$4:$M$503,(_calc!$E$513-500)),"yyyy-mm-dd"),"")))</f>
        <v/>
      </c>
      <c r="C511" s="54">
        <f>IF(_calc!$E$513="","",IF(_calc!$E$513&lt;=500,"Warranty","Warranty"))</f>
        <v/>
      </c>
      <c r="D511" s="54">
        <f>IF(_calc!$E$513="","",IF(_calc!$E$513&lt;=500,IF(ISNUMBER(INDEX('Dealer pipeline'!$H$4:$H$503,_calc!$E$513)),TEXT(INDEX('Dealer pipeline'!$H$4:$H$503,_calc!$E$513),"yyyy-mm-dd"),""),IF(ISNUMBER(INDEX('My equipment'!$H$4:$H$503,(_calc!$E$513-500))),TEXT(INDEX('My equipment'!$H$4:$H$503,(_calc!$E$513-500)),"yyyy-mm-dd"),"")))</f>
        <v/>
      </c>
      <c r="F511" s="54">
        <f>IF(_calc!$E$513="","",IF(_calc!$E$513&lt;=500,TRIM(IF(LEN(IF(LEN(INDEX('Dealer pipeline'!$A$4:$A$503,_calc!$E$513))=0,"",INDEX('Dealer pipeline'!$A$4:$A$503,_calc!$E$513)))=0,"","Customer: "&amp;IF(LEN(INDEX('Dealer pipeline'!$A$4:$A$503,_calc!$E$513))=0,"",INDEX('Dealer pipeline'!$A$4:$A$503,_calc!$E$513))&amp;". ")&amp;IF(LEN(IF(LEN(INDEX('Dealer pipeline'!$B$4:$B$503,_calc!$E$513))=0,"",INDEX('Dealer pipeline'!$B$4:$B$503,_calc!$E$513)))=0,"","Contact: "&amp;IF(LEN(INDEX('Dealer pipeline'!$B$4:$B$503,_calc!$E$513))=0,"",INDEX('Dealer pipeline'!$B$4:$B$503,_calc!$E$513))&amp;". ")&amp;IF(LEN(IF(LEN(INDEX('Dealer pipeline'!$D$4:$D$503,_calc!$E$513))=0,"",INDEX('Dealer pipeline'!$D$4:$D$503,_calc!$E$513)))=0,"","Serial: "&amp;IF(LEN(INDEX('Dealer pipeline'!$D$4:$D$503,_calc!$E$513))=0,"",INDEX('Dealer pipeline'!$D$4:$D$503,_calc!$E$513))&amp;". ")&amp;IF(LEN(IF(ISNUMBER(INDEX('Dealer pipeline'!$J$4:$J$503,_calc!$E$513)),TEXT(INDEX('Dealer pipeline'!$J$4:$J$503,_calc!$E$513),"yyyy-mm-dd"),""))=0,"","Parts end: "&amp;IF(ISNUMBER(INDEX('Dealer pipeline'!$J$4:$J$503,_calc!$E$513)),TEXT(INDEX('Dealer pipeline'!$J$4:$J$503,_calc!$E$513),"yyyy-mm-dd"),"")&amp;". ")&amp;IF(LEN(IF(ISNUMBER(INDEX('Dealer pipeline'!$L$4:$L$503,_calc!$E$513)),TEXT(INDEX('Dealer pipeline'!$L$4:$L$503,_calc!$E$513),"yyyy-mm-dd"),""))=0,"","Labor end: "&amp;IF(ISNUMBER(INDEX('Dealer pipeline'!$L$4:$L$503,_calc!$E$513)),TEXT(INDEX('Dealer pipeline'!$L$4:$L$503,_calc!$E$513),"yyyy-mm-dd"),"")&amp;". ")&amp;IF(LEN(IF(LEN(INDEX('Dealer pipeline'!$Q$4:$Q$503,_calc!$E$513))=0,"",INDEX('Dealer pipeline'!$Q$4:$Q$503,_calc!$E$513)))=0,"","Status: "&amp;IF(LEN(INDEX('Dealer pipeline'!$Q$4:$Q$503,_calc!$E$513))=0,"",INDEX('Dealer pipeline'!$Q$4:$Q$503,_calc!$E$513))&amp;". ")&amp;IF(LEN(IF(LEN(INDEX('Dealer pipeline'!$P$4:$P$503,_calc!$E$513))=0,"",INDEX('Dealer pipeline'!$P$4:$P$503,_calc!$E$513)))=0,"","Last touch: "&amp;IF(LEN(INDEX('Dealer pipeline'!$P$4:$P$503,_calc!$E$513))=0,"",INDEX('Dealer pipeline'!$P$4:$P$503,_calc!$E$513))&amp;". ")&amp;IF(LEN(IF(LEN(INDEX('Dealer pipeline'!$R$4:$R$503,_calc!$E$513))=0,"",INDEX('Dealer pipeline'!$R$4:$R$503,_calc!$E$513)))=0,"","Owner: "&amp;IF(LEN(INDEX('Dealer pipeline'!$R$4:$R$503,_calc!$E$513))=0,"",INDEX('Dealer pipeline'!$R$4:$R$503,_calc!$E$513))&amp;". ")&amp;IF(LEN(IF(LEN(INDEX('Dealer pipeline'!$S$4:$S$503,_calc!$E$513))=0,"",INDEX('Dealer pipeline'!$S$4:$S$503,_calc!$E$513)))=0,"","Backup: "&amp;IF(LEN(INDEX('Dealer pipeline'!$S$4:$S$503,_calc!$E$513))=0,"",INDEX('Dealer pipeline'!$S$4:$S$503,_calc!$E$513))&amp;". ")&amp;IF(LEN(IF(LEN(INDEX('Dealer pipeline'!$T$4:$T$503,_calc!$E$513))=0,"",INDEX('Dealer pipeline'!$T$4:$T$503,_calc!$E$513)))=0,"",IF(LEN(INDEX('Dealer pipeline'!$T$4:$T$503,_calc!$E$513))=0,"",INDEX('Dealer pipeline'!$T$4:$T$503,_calc!$E$513)))),TRIM(IF(LEN(IF(LEN(INDEX('My equipment'!$C$4:$C$503,(_calc!$E$513-500)))=0,"",INDEX('My equipment'!$C$4:$C$503,(_calc!$E$513-500))))=0,"","Model: "&amp;IF(LEN(INDEX('My equipment'!$C$4:$C$503,(_calc!$E$513-500)))=0,"",INDEX('My equipment'!$C$4:$C$503,(_calc!$E$513-500)))&amp;". ")&amp;IF(LEN(IF(LEN(INDEX('My equipment'!$D$4:$D$503,(_calc!$E$513-500)))=0,"",INDEX('My equipment'!$D$4:$D$503,(_calc!$E$513-500))))=0,"","Serial: "&amp;IF(LEN(INDEX('My equipment'!$D$4:$D$503,(_calc!$E$513-500)))=0,"",INDEX('My equipment'!$D$4:$D$503,(_calc!$E$513-500)))&amp;". ")&amp;IF(LEN(IF(ISNUMBER(INDEX('My equipment'!$J$4:$J$503,(_calc!$E$513-500))),TEXT(INDEX('My equipment'!$J$4:$J$503,(_calc!$E$513-500)),"yyyy-mm-dd"),""))=0,"","Parts end: "&amp;IF(ISNUMBER(INDEX('My equipment'!$J$4:$J$503,(_calc!$E$513-500))),TEXT(INDEX('My equipment'!$J$4:$J$503,(_calc!$E$513-500)),"yyyy-mm-dd"),"")&amp;". ")&amp;IF(LEN(IF(ISNUMBER(INDEX('My equipment'!$L$4:$L$503,(_calc!$E$513-500))),TEXT(INDEX('My equipment'!$L$4:$L$503,(_calc!$E$513-500)),"yyyy-mm-dd"),""))=0,"","Labor end: "&amp;IF(ISNUMBER(INDEX('My equipment'!$L$4:$L$503,(_calc!$E$513-500))),TEXT(INDEX('My equipment'!$L$4:$L$503,(_calc!$E$513-500)),"yyyy-mm-dd"),"")&amp;". ")&amp;IF(LEN(IF(ISNUMBER(INDEX('My equipment'!$P$4:$P$503,(_calc!$E$513-500))),TEXT(INDEX('My equipment'!$P$4:$P$503,(_calc!$E$513-500)),"yyyy-mm-dd"),""))=0,"","Check by: "&amp;IF(ISNUMBER(INDEX('My equipment'!$P$4:$P$503,(_calc!$E$513-500))),TEXT(INDEX('My equipment'!$P$4:$P$503,(_calc!$E$513-500)),"yyyy-mm-dd"),"")&amp;". ")&amp;IF(LEN(IF(LEN(INDEX('My equipment'!$Q$4:$Q$503,(_calc!$E$513-500)))=0,"",INDEX('My equipment'!$Q$4:$Q$503,(_calc!$E$513-500))))=0,"","Claim status: "&amp;IF(LEN(INDEX('My equipment'!$Q$4:$Q$503,(_calc!$E$513-500)))=0,"",INDEX('My equipment'!$Q$4:$Q$503,(_calc!$E$513-500)))&amp;". ")&amp;IF(LEN(IF(LEN(INDEX('My equipment'!$R$4:$R$503,(_calc!$E$513-500)))=0,"",INDEX('My equipment'!$R$4:$R$503,(_calc!$E$513-500))))=0,"","Claims contact: "&amp;IF(LEN(INDEX('My equipment'!$R$4:$R$503,(_calc!$E$513-500)))=0,"",INDEX('My equipment'!$R$4:$R$503,(_calc!$E$513-500)))&amp;". ")&amp;IF(LEN(IF(LEN(INDEX('My equipment'!$S$4:$S$503,(_calc!$E$513-500)))=0,"",INDEX('My equipment'!$S$4:$S$503,(_calc!$E$513-500))))=0,"","Claims email: "&amp;IF(LEN(INDEX('My equipment'!$S$4:$S$503,(_calc!$E$513-500)))=0,"",INDEX('My equipment'!$S$4:$S$503,(_calc!$E$513-500)))&amp;". ")&amp;IF(LEN(IF(LEN(INDEX('My equipment'!$U$4:$U$503,(_calc!$E$513-500)))=0,"",INDEX('My equipment'!$U$4:$U$503,(_calc!$E$513-500))))=0,"","Registered: "&amp;IF(LEN(INDEX('My equipment'!$U$4:$U$503,(_calc!$E$513-500)))=0,"",INDEX('My equipment'!$U$4:$U$503,(_calc!$E$513-500)))&amp;". ")&amp;IF(LEN(IF(LEN(INDEX('My equipment'!$V$4:$V$503,(_calc!$E$513-500)))=0,"",INDEX('My equipment'!$V$4:$V$503,(_calc!$E$513-500))))=0,"","Proof on file: "&amp;IF(LEN(INDEX('My equipment'!$V$4:$V$503,(_calc!$E$513-500)))=0,"",INDEX('My equipment'!$V$4:$V$503,(_calc!$E$513-500)))&amp;". ")&amp;IF(LEN(IF(LEN(INDEX('My equipment'!$W$4:$W$503,(_calc!$E$513-500)))=0,"",INDEX('My equipment'!$W$4:$W$503,(_calc!$E$513-500))))=0,"","Claim ref: "&amp;IF(LEN(INDEX('My equipment'!$W$4:$W$503,(_calc!$E$513-500)))=0,"",INDEX('My equipment'!$W$4:$W$503,(_calc!$E$513-500)))&amp;". ")&amp;IF(LEN(IF(LEN(INDEX('My equipment'!$Y$4:$Y$503,(_calc!$E$513-500)))=0,"",INDEX('My equipment'!$Y$4:$Y$503,(_calc!$E$513-500))))=0,"",IF(LEN(INDEX('My equipment'!$Y$4:$Y$503,(_calc!$E$513-500)))=0,"",INDEX('My equipment'!$Y$4:$Y$503,(_calc!$E$513-500)))))))</f>
        <v/>
      </c>
      <c r="G511" s="54">
        <f>IF(_calc!$E$513="","",IF(_calc!$E$513&lt;=500,"",IF(LEN(INDEX('My equipment'!$X$4:$X$503,(_calc!$E$513-500)))=0,"",INDEX('My equipment'!$X$4:$X$503,(_calc!$E$513-500)))))</f>
        <v/>
      </c>
      <c r="K511" s="54">
        <f>IF(_calc!$E$513="","",IF(_calc!$E$513&lt;=500,"",IF(LEN(INDEX('My equipment'!$T$4:$T$503,(_calc!$E$513-500)))=0,"",INDEX('My equipment'!$T$4:$T$503,(_calc!$E$513-500)))))</f>
        <v/>
      </c>
    </row>
    <row r="512">
      <c r="A512" s="54">
        <f>IF(_calc!$E$514="","",IF(_calc!$E$514&lt;=500,"Warranty – "&amp;IF(LEN(INDEX('Dealer pipeline'!$C$4:$C$503,_calc!$E$514))=0,"",INDEX('Dealer pipeline'!$C$4:$C$503,_calc!$E$514))&amp;" – "&amp;IF(LEN(INDEX('Dealer pipeline'!$D$4:$D$503,_calc!$E$514))=0,"",INDEX('Dealer pipeline'!$D$4:$D$503,_calc!$E$514))&amp;" – "&amp;IF(LEN(INDEX('Dealer pipeline'!$A$4:$A$503,_calc!$E$514))=0,"",INDEX('Dealer pipeline'!$A$4:$A$503,_calc!$E$514)),"Warranty – "&amp;IF(LEN(INDEX('My equipment'!$A$4:$A$503,(_calc!$E$514-500)))=0,"",INDEX('My equipment'!$A$4:$A$503,(_calc!$E$514-500)))&amp;" – "&amp;IF(LEN(INDEX('My equipment'!$D$4:$D$503,(_calc!$E$514-500)))=0,"",INDEX('My equipment'!$D$4:$D$503,(_calc!$E$514-500)))))</f>
        <v/>
      </c>
      <c r="B512" s="54">
        <f>IF(_calc!$E$514="","",IF(_calc!$E$514&lt;=500,IF(ISNUMBER(INDEX('Dealer pipeline'!$M$4:$M$503,_calc!$E$514)),TEXT(INDEX('Dealer pipeline'!$M$4:$M$503,_calc!$E$514),"yyyy-mm-dd"),""),IF(ISNUMBER(INDEX('My equipment'!$M$4:$M$503,(_calc!$E$514-500))),TEXT(INDEX('My equipment'!$M$4:$M$503,(_calc!$E$514-500)),"yyyy-mm-dd"),"")))</f>
        <v/>
      </c>
      <c r="C512" s="54">
        <f>IF(_calc!$E$514="","",IF(_calc!$E$514&lt;=500,"Warranty","Warranty"))</f>
        <v/>
      </c>
      <c r="D512" s="54">
        <f>IF(_calc!$E$514="","",IF(_calc!$E$514&lt;=500,IF(ISNUMBER(INDEX('Dealer pipeline'!$H$4:$H$503,_calc!$E$514)),TEXT(INDEX('Dealer pipeline'!$H$4:$H$503,_calc!$E$514),"yyyy-mm-dd"),""),IF(ISNUMBER(INDEX('My equipment'!$H$4:$H$503,(_calc!$E$514-500))),TEXT(INDEX('My equipment'!$H$4:$H$503,(_calc!$E$514-500)),"yyyy-mm-dd"),"")))</f>
        <v/>
      </c>
      <c r="F512" s="54">
        <f>IF(_calc!$E$514="","",IF(_calc!$E$514&lt;=500,TRIM(IF(LEN(IF(LEN(INDEX('Dealer pipeline'!$A$4:$A$503,_calc!$E$514))=0,"",INDEX('Dealer pipeline'!$A$4:$A$503,_calc!$E$514)))=0,"","Customer: "&amp;IF(LEN(INDEX('Dealer pipeline'!$A$4:$A$503,_calc!$E$514))=0,"",INDEX('Dealer pipeline'!$A$4:$A$503,_calc!$E$514))&amp;". ")&amp;IF(LEN(IF(LEN(INDEX('Dealer pipeline'!$B$4:$B$503,_calc!$E$514))=0,"",INDEX('Dealer pipeline'!$B$4:$B$503,_calc!$E$514)))=0,"","Contact: "&amp;IF(LEN(INDEX('Dealer pipeline'!$B$4:$B$503,_calc!$E$514))=0,"",INDEX('Dealer pipeline'!$B$4:$B$503,_calc!$E$514))&amp;". ")&amp;IF(LEN(IF(LEN(INDEX('Dealer pipeline'!$D$4:$D$503,_calc!$E$514))=0,"",INDEX('Dealer pipeline'!$D$4:$D$503,_calc!$E$514)))=0,"","Serial: "&amp;IF(LEN(INDEX('Dealer pipeline'!$D$4:$D$503,_calc!$E$514))=0,"",INDEX('Dealer pipeline'!$D$4:$D$503,_calc!$E$514))&amp;". ")&amp;IF(LEN(IF(ISNUMBER(INDEX('Dealer pipeline'!$J$4:$J$503,_calc!$E$514)),TEXT(INDEX('Dealer pipeline'!$J$4:$J$503,_calc!$E$514),"yyyy-mm-dd"),""))=0,"","Parts end: "&amp;IF(ISNUMBER(INDEX('Dealer pipeline'!$J$4:$J$503,_calc!$E$514)),TEXT(INDEX('Dealer pipeline'!$J$4:$J$503,_calc!$E$514),"yyyy-mm-dd"),"")&amp;". ")&amp;IF(LEN(IF(ISNUMBER(INDEX('Dealer pipeline'!$L$4:$L$503,_calc!$E$514)),TEXT(INDEX('Dealer pipeline'!$L$4:$L$503,_calc!$E$514),"yyyy-mm-dd"),""))=0,"","Labor end: "&amp;IF(ISNUMBER(INDEX('Dealer pipeline'!$L$4:$L$503,_calc!$E$514)),TEXT(INDEX('Dealer pipeline'!$L$4:$L$503,_calc!$E$514),"yyyy-mm-dd"),"")&amp;". ")&amp;IF(LEN(IF(LEN(INDEX('Dealer pipeline'!$Q$4:$Q$503,_calc!$E$514))=0,"",INDEX('Dealer pipeline'!$Q$4:$Q$503,_calc!$E$514)))=0,"","Status: "&amp;IF(LEN(INDEX('Dealer pipeline'!$Q$4:$Q$503,_calc!$E$514))=0,"",INDEX('Dealer pipeline'!$Q$4:$Q$503,_calc!$E$514))&amp;". ")&amp;IF(LEN(IF(LEN(INDEX('Dealer pipeline'!$P$4:$P$503,_calc!$E$514))=0,"",INDEX('Dealer pipeline'!$P$4:$P$503,_calc!$E$514)))=0,"","Last touch: "&amp;IF(LEN(INDEX('Dealer pipeline'!$P$4:$P$503,_calc!$E$514))=0,"",INDEX('Dealer pipeline'!$P$4:$P$503,_calc!$E$514))&amp;". ")&amp;IF(LEN(IF(LEN(INDEX('Dealer pipeline'!$R$4:$R$503,_calc!$E$514))=0,"",INDEX('Dealer pipeline'!$R$4:$R$503,_calc!$E$514)))=0,"","Owner: "&amp;IF(LEN(INDEX('Dealer pipeline'!$R$4:$R$503,_calc!$E$514))=0,"",INDEX('Dealer pipeline'!$R$4:$R$503,_calc!$E$514))&amp;". ")&amp;IF(LEN(IF(LEN(INDEX('Dealer pipeline'!$S$4:$S$503,_calc!$E$514))=0,"",INDEX('Dealer pipeline'!$S$4:$S$503,_calc!$E$514)))=0,"","Backup: "&amp;IF(LEN(INDEX('Dealer pipeline'!$S$4:$S$503,_calc!$E$514))=0,"",INDEX('Dealer pipeline'!$S$4:$S$503,_calc!$E$514))&amp;". ")&amp;IF(LEN(IF(LEN(INDEX('Dealer pipeline'!$T$4:$T$503,_calc!$E$514))=0,"",INDEX('Dealer pipeline'!$T$4:$T$503,_calc!$E$514)))=0,"",IF(LEN(INDEX('Dealer pipeline'!$T$4:$T$503,_calc!$E$514))=0,"",INDEX('Dealer pipeline'!$T$4:$T$503,_calc!$E$514)))),TRIM(IF(LEN(IF(LEN(INDEX('My equipment'!$C$4:$C$503,(_calc!$E$514-500)))=0,"",INDEX('My equipment'!$C$4:$C$503,(_calc!$E$514-500))))=0,"","Model: "&amp;IF(LEN(INDEX('My equipment'!$C$4:$C$503,(_calc!$E$514-500)))=0,"",INDEX('My equipment'!$C$4:$C$503,(_calc!$E$514-500)))&amp;". ")&amp;IF(LEN(IF(LEN(INDEX('My equipment'!$D$4:$D$503,(_calc!$E$514-500)))=0,"",INDEX('My equipment'!$D$4:$D$503,(_calc!$E$514-500))))=0,"","Serial: "&amp;IF(LEN(INDEX('My equipment'!$D$4:$D$503,(_calc!$E$514-500)))=0,"",INDEX('My equipment'!$D$4:$D$503,(_calc!$E$514-500)))&amp;". ")&amp;IF(LEN(IF(ISNUMBER(INDEX('My equipment'!$J$4:$J$503,(_calc!$E$514-500))),TEXT(INDEX('My equipment'!$J$4:$J$503,(_calc!$E$514-500)),"yyyy-mm-dd"),""))=0,"","Parts end: "&amp;IF(ISNUMBER(INDEX('My equipment'!$J$4:$J$503,(_calc!$E$514-500))),TEXT(INDEX('My equipment'!$J$4:$J$503,(_calc!$E$514-500)),"yyyy-mm-dd"),"")&amp;". ")&amp;IF(LEN(IF(ISNUMBER(INDEX('My equipment'!$L$4:$L$503,(_calc!$E$514-500))),TEXT(INDEX('My equipment'!$L$4:$L$503,(_calc!$E$514-500)),"yyyy-mm-dd"),""))=0,"","Labor end: "&amp;IF(ISNUMBER(INDEX('My equipment'!$L$4:$L$503,(_calc!$E$514-500))),TEXT(INDEX('My equipment'!$L$4:$L$503,(_calc!$E$514-500)),"yyyy-mm-dd"),"")&amp;". ")&amp;IF(LEN(IF(ISNUMBER(INDEX('My equipment'!$P$4:$P$503,(_calc!$E$514-500))),TEXT(INDEX('My equipment'!$P$4:$P$503,(_calc!$E$514-500)),"yyyy-mm-dd"),""))=0,"","Check by: "&amp;IF(ISNUMBER(INDEX('My equipment'!$P$4:$P$503,(_calc!$E$514-500))),TEXT(INDEX('My equipment'!$P$4:$P$503,(_calc!$E$514-500)),"yyyy-mm-dd"),"")&amp;". ")&amp;IF(LEN(IF(LEN(INDEX('My equipment'!$Q$4:$Q$503,(_calc!$E$514-500)))=0,"",INDEX('My equipment'!$Q$4:$Q$503,(_calc!$E$514-500))))=0,"","Claim status: "&amp;IF(LEN(INDEX('My equipment'!$Q$4:$Q$503,(_calc!$E$514-500)))=0,"",INDEX('My equipment'!$Q$4:$Q$503,(_calc!$E$514-500)))&amp;". ")&amp;IF(LEN(IF(LEN(INDEX('My equipment'!$R$4:$R$503,(_calc!$E$514-500)))=0,"",INDEX('My equipment'!$R$4:$R$503,(_calc!$E$514-500))))=0,"","Claims contact: "&amp;IF(LEN(INDEX('My equipment'!$R$4:$R$503,(_calc!$E$514-500)))=0,"",INDEX('My equipment'!$R$4:$R$503,(_calc!$E$514-500)))&amp;". ")&amp;IF(LEN(IF(LEN(INDEX('My equipment'!$S$4:$S$503,(_calc!$E$514-500)))=0,"",INDEX('My equipment'!$S$4:$S$503,(_calc!$E$514-500))))=0,"","Claims email: "&amp;IF(LEN(INDEX('My equipment'!$S$4:$S$503,(_calc!$E$514-500)))=0,"",INDEX('My equipment'!$S$4:$S$503,(_calc!$E$514-500)))&amp;". ")&amp;IF(LEN(IF(LEN(INDEX('My equipment'!$U$4:$U$503,(_calc!$E$514-500)))=0,"",INDEX('My equipment'!$U$4:$U$503,(_calc!$E$514-500))))=0,"","Registered: "&amp;IF(LEN(INDEX('My equipment'!$U$4:$U$503,(_calc!$E$514-500)))=0,"",INDEX('My equipment'!$U$4:$U$503,(_calc!$E$514-500)))&amp;". ")&amp;IF(LEN(IF(LEN(INDEX('My equipment'!$V$4:$V$503,(_calc!$E$514-500)))=0,"",INDEX('My equipment'!$V$4:$V$503,(_calc!$E$514-500))))=0,"","Proof on file: "&amp;IF(LEN(INDEX('My equipment'!$V$4:$V$503,(_calc!$E$514-500)))=0,"",INDEX('My equipment'!$V$4:$V$503,(_calc!$E$514-500)))&amp;". ")&amp;IF(LEN(IF(LEN(INDEX('My equipment'!$W$4:$W$503,(_calc!$E$514-500)))=0,"",INDEX('My equipment'!$W$4:$W$503,(_calc!$E$514-500))))=0,"","Claim ref: "&amp;IF(LEN(INDEX('My equipment'!$W$4:$W$503,(_calc!$E$514-500)))=0,"",INDEX('My equipment'!$W$4:$W$503,(_calc!$E$514-500)))&amp;". ")&amp;IF(LEN(IF(LEN(INDEX('My equipment'!$Y$4:$Y$503,(_calc!$E$514-500)))=0,"",INDEX('My equipment'!$Y$4:$Y$503,(_calc!$E$514-500))))=0,"",IF(LEN(INDEX('My equipment'!$Y$4:$Y$503,(_calc!$E$514-500)))=0,"",INDEX('My equipment'!$Y$4:$Y$503,(_calc!$E$514-500)))))))</f>
        <v/>
      </c>
      <c r="G512" s="54">
        <f>IF(_calc!$E$514="","",IF(_calc!$E$514&lt;=500,"",IF(LEN(INDEX('My equipment'!$X$4:$X$503,(_calc!$E$514-500)))=0,"",INDEX('My equipment'!$X$4:$X$503,(_calc!$E$514-500)))))</f>
        <v/>
      </c>
      <c r="K512" s="54">
        <f>IF(_calc!$E$514="","",IF(_calc!$E$514&lt;=500,"",IF(LEN(INDEX('My equipment'!$T$4:$T$503,(_calc!$E$514-500)))=0,"",INDEX('My equipment'!$T$4:$T$503,(_calc!$E$514-500)))))</f>
        <v/>
      </c>
    </row>
    <row r="513">
      <c r="A513" s="54">
        <f>IF(_calc!$E$515="","",IF(_calc!$E$515&lt;=500,"Warranty – "&amp;IF(LEN(INDEX('Dealer pipeline'!$C$4:$C$503,_calc!$E$515))=0,"",INDEX('Dealer pipeline'!$C$4:$C$503,_calc!$E$515))&amp;" – "&amp;IF(LEN(INDEX('Dealer pipeline'!$D$4:$D$503,_calc!$E$515))=0,"",INDEX('Dealer pipeline'!$D$4:$D$503,_calc!$E$515))&amp;" – "&amp;IF(LEN(INDEX('Dealer pipeline'!$A$4:$A$503,_calc!$E$515))=0,"",INDEX('Dealer pipeline'!$A$4:$A$503,_calc!$E$515)),"Warranty – "&amp;IF(LEN(INDEX('My equipment'!$A$4:$A$503,(_calc!$E$515-500)))=0,"",INDEX('My equipment'!$A$4:$A$503,(_calc!$E$515-500)))&amp;" – "&amp;IF(LEN(INDEX('My equipment'!$D$4:$D$503,(_calc!$E$515-500)))=0,"",INDEX('My equipment'!$D$4:$D$503,(_calc!$E$515-500)))))</f>
        <v/>
      </c>
      <c r="B513" s="54">
        <f>IF(_calc!$E$515="","",IF(_calc!$E$515&lt;=500,IF(ISNUMBER(INDEX('Dealer pipeline'!$M$4:$M$503,_calc!$E$515)),TEXT(INDEX('Dealer pipeline'!$M$4:$M$503,_calc!$E$515),"yyyy-mm-dd"),""),IF(ISNUMBER(INDEX('My equipment'!$M$4:$M$503,(_calc!$E$515-500))),TEXT(INDEX('My equipment'!$M$4:$M$503,(_calc!$E$515-500)),"yyyy-mm-dd"),"")))</f>
        <v/>
      </c>
      <c r="C513" s="54">
        <f>IF(_calc!$E$515="","",IF(_calc!$E$515&lt;=500,"Warranty","Warranty"))</f>
        <v/>
      </c>
      <c r="D513" s="54">
        <f>IF(_calc!$E$515="","",IF(_calc!$E$515&lt;=500,IF(ISNUMBER(INDEX('Dealer pipeline'!$H$4:$H$503,_calc!$E$515)),TEXT(INDEX('Dealer pipeline'!$H$4:$H$503,_calc!$E$515),"yyyy-mm-dd"),""),IF(ISNUMBER(INDEX('My equipment'!$H$4:$H$503,(_calc!$E$515-500))),TEXT(INDEX('My equipment'!$H$4:$H$503,(_calc!$E$515-500)),"yyyy-mm-dd"),"")))</f>
        <v/>
      </c>
      <c r="F513" s="54">
        <f>IF(_calc!$E$515="","",IF(_calc!$E$515&lt;=500,TRIM(IF(LEN(IF(LEN(INDEX('Dealer pipeline'!$A$4:$A$503,_calc!$E$515))=0,"",INDEX('Dealer pipeline'!$A$4:$A$503,_calc!$E$515)))=0,"","Customer: "&amp;IF(LEN(INDEX('Dealer pipeline'!$A$4:$A$503,_calc!$E$515))=0,"",INDEX('Dealer pipeline'!$A$4:$A$503,_calc!$E$515))&amp;". ")&amp;IF(LEN(IF(LEN(INDEX('Dealer pipeline'!$B$4:$B$503,_calc!$E$515))=0,"",INDEX('Dealer pipeline'!$B$4:$B$503,_calc!$E$515)))=0,"","Contact: "&amp;IF(LEN(INDEX('Dealer pipeline'!$B$4:$B$503,_calc!$E$515))=0,"",INDEX('Dealer pipeline'!$B$4:$B$503,_calc!$E$515))&amp;". ")&amp;IF(LEN(IF(LEN(INDEX('Dealer pipeline'!$D$4:$D$503,_calc!$E$515))=0,"",INDEX('Dealer pipeline'!$D$4:$D$503,_calc!$E$515)))=0,"","Serial: "&amp;IF(LEN(INDEX('Dealer pipeline'!$D$4:$D$503,_calc!$E$515))=0,"",INDEX('Dealer pipeline'!$D$4:$D$503,_calc!$E$515))&amp;". ")&amp;IF(LEN(IF(ISNUMBER(INDEX('Dealer pipeline'!$J$4:$J$503,_calc!$E$515)),TEXT(INDEX('Dealer pipeline'!$J$4:$J$503,_calc!$E$515),"yyyy-mm-dd"),""))=0,"","Parts end: "&amp;IF(ISNUMBER(INDEX('Dealer pipeline'!$J$4:$J$503,_calc!$E$515)),TEXT(INDEX('Dealer pipeline'!$J$4:$J$503,_calc!$E$515),"yyyy-mm-dd"),"")&amp;". ")&amp;IF(LEN(IF(ISNUMBER(INDEX('Dealer pipeline'!$L$4:$L$503,_calc!$E$515)),TEXT(INDEX('Dealer pipeline'!$L$4:$L$503,_calc!$E$515),"yyyy-mm-dd"),""))=0,"","Labor end: "&amp;IF(ISNUMBER(INDEX('Dealer pipeline'!$L$4:$L$503,_calc!$E$515)),TEXT(INDEX('Dealer pipeline'!$L$4:$L$503,_calc!$E$515),"yyyy-mm-dd"),"")&amp;". ")&amp;IF(LEN(IF(LEN(INDEX('Dealer pipeline'!$Q$4:$Q$503,_calc!$E$515))=0,"",INDEX('Dealer pipeline'!$Q$4:$Q$503,_calc!$E$515)))=0,"","Status: "&amp;IF(LEN(INDEX('Dealer pipeline'!$Q$4:$Q$503,_calc!$E$515))=0,"",INDEX('Dealer pipeline'!$Q$4:$Q$503,_calc!$E$515))&amp;". ")&amp;IF(LEN(IF(LEN(INDEX('Dealer pipeline'!$P$4:$P$503,_calc!$E$515))=0,"",INDEX('Dealer pipeline'!$P$4:$P$503,_calc!$E$515)))=0,"","Last touch: "&amp;IF(LEN(INDEX('Dealer pipeline'!$P$4:$P$503,_calc!$E$515))=0,"",INDEX('Dealer pipeline'!$P$4:$P$503,_calc!$E$515))&amp;". ")&amp;IF(LEN(IF(LEN(INDEX('Dealer pipeline'!$R$4:$R$503,_calc!$E$515))=0,"",INDEX('Dealer pipeline'!$R$4:$R$503,_calc!$E$515)))=0,"","Owner: "&amp;IF(LEN(INDEX('Dealer pipeline'!$R$4:$R$503,_calc!$E$515))=0,"",INDEX('Dealer pipeline'!$R$4:$R$503,_calc!$E$515))&amp;". ")&amp;IF(LEN(IF(LEN(INDEX('Dealer pipeline'!$S$4:$S$503,_calc!$E$515))=0,"",INDEX('Dealer pipeline'!$S$4:$S$503,_calc!$E$515)))=0,"","Backup: "&amp;IF(LEN(INDEX('Dealer pipeline'!$S$4:$S$503,_calc!$E$515))=0,"",INDEX('Dealer pipeline'!$S$4:$S$503,_calc!$E$515))&amp;". ")&amp;IF(LEN(IF(LEN(INDEX('Dealer pipeline'!$T$4:$T$503,_calc!$E$515))=0,"",INDEX('Dealer pipeline'!$T$4:$T$503,_calc!$E$515)))=0,"",IF(LEN(INDEX('Dealer pipeline'!$T$4:$T$503,_calc!$E$515))=0,"",INDEX('Dealer pipeline'!$T$4:$T$503,_calc!$E$515)))),TRIM(IF(LEN(IF(LEN(INDEX('My equipment'!$C$4:$C$503,(_calc!$E$515-500)))=0,"",INDEX('My equipment'!$C$4:$C$503,(_calc!$E$515-500))))=0,"","Model: "&amp;IF(LEN(INDEX('My equipment'!$C$4:$C$503,(_calc!$E$515-500)))=0,"",INDEX('My equipment'!$C$4:$C$503,(_calc!$E$515-500)))&amp;". ")&amp;IF(LEN(IF(LEN(INDEX('My equipment'!$D$4:$D$503,(_calc!$E$515-500)))=0,"",INDEX('My equipment'!$D$4:$D$503,(_calc!$E$515-500))))=0,"","Serial: "&amp;IF(LEN(INDEX('My equipment'!$D$4:$D$503,(_calc!$E$515-500)))=0,"",INDEX('My equipment'!$D$4:$D$503,(_calc!$E$515-500)))&amp;". ")&amp;IF(LEN(IF(ISNUMBER(INDEX('My equipment'!$J$4:$J$503,(_calc!$E$515-500))),TEXT(INDEX('My equipment'!$J$4:$J$503,(_calc!$E$515-500)),"yyyy-mm-dd"),""))=0,"","Parts end: "&amp;IF(ISNUMBER(INDEX('My equipment'!$J$4:$J$503,(_calc!$E$515-500))),TEXT(INDEX('My equipment'!$J$4:$J$503,(_calc!$E$515-500)),"yyyy-mm-dd"),"")&amp;". ")&amp;IF(LEN(IF(ISNUMBER(INDEX('My equipment'!$L$4:$L$503,(_calc!$E$515-500))),TEXT(INDEX('My equipment'!$L$4:$L$503,(_calc!$E$515-500)),"yyyy-mm-dd"),""))=0,"","Labor end: "&amp;IF(ISNUMBER(INDEX('My equipment'!$L$4:$L$503,(_calc!$E$515-500))),TEXT(INDEX('My equipment'!$L$4:$L$503,(_calc!$E$515-500)),"yyyy-mm-dd"),"")&amp;". ")&amp;IF(LEN(IF(ISNUMBER(INDEX('My equipment'!$P$4:$P$503,(_calc!$E$515-500))),TEXT(INDEX('My equipment'!$P$4:$P$503,(_calc!$E$515-500)),"yyyy-mm-dd"),""))=0,"","Check by: "&amp;IF(ISNUMBER(INDEX('My equipment'!$P$4:$P$503,(_calc!$E$515-500))),TEXT(INDEX('My equipment'!$P$4:$P$503,(_calc!$E$515-500)),"yyyy-mm-dd"),"")&amp;". ")&amp;IF(LEN(IF(LEN(INDEX('My equipment'!$Q$4:$Q$503,(_calc!$E$515-500)))=0,"",INDEX('My equipment'!$Q$4:$Q$503,(_calc!$E$515-500))))=0,"","Claim status: "&amp;IF(LEN(INDEX('My equipment'!$Q$4:$Q$503,(_calc!$E$515-500)))=0,"",INDEX('My equipment'!$Q$4:$Q$503,(_calc!$E$515-500)))&amp;". ")&amp;IF(LEN(IF(LEN(INDEX('My equipment'!$R$4:$R$503,(_calc!$E$515-500)))=0,"",INDEX('My equipment'!$R$4:$R$503,(_calc!$E$515-500))))=0,"","Claims contact: "&amp;IF(LEN(INDEX('My equipment'!$R$4:$R$503,(_calc!$E$515-500)))=0,"",INDEX('My equipment'!$R$4:$R$503,(_calc!$E$515-500)))&amp;". ")&amp;IF(LEN(IF(LEN(INDEX('My equipment'!$S$4:$S$503,(_calc!$E$515-500)))=0,"",INDEX('My equipment'!$S$4:$S$503,(_calc!$E$515-500))))=0,"","Claims email: "&amp;IF(LEN(INDEX('My equipment'!$S$4:$S$503,(_calc!$E$515-500)))=0,"",INDEX('My equipment'!$S$4:$S$503,(_calc!$E$515-500)))&amp;". ")&amp;IF(LEN(IF(LEN(INDEX('My equipment'!$U$4:$U$503,(_calc!$E$515-500)))=0,"",INDEX('My equipment'!$U$4:$U$503,(_calc!$E$515-500))))=0,"","Registered: "&amp;IF(LEN(INDEX('My equipment'!$U$4:$U$503,(_calc!$E$515-500)))=0,"",INDEX('My equipment'!$U$4:$U$503,(_calc!$E$515-500)))&amp;". ")&amp;IF(LEN(IF(LEN(INDEX('My equipment'!$V$4:$V$503,(_calc!$E$515-500)))=0,"",INDEX('My equipment'!$V$4:$V$503,(_calc!$E$515-500))))=0,"","Proof on file: "&amp;IF(LEN(INDEX('My equipment'!$V$4:$V$503,(_calc!$E$515-500)))=0,"",INDEX('My equipment'!$V$4:$V$503,(_calc!$E$515-500)))&amp;". ")&amp;IF(LEN(IF(LEN(INDEX('My equipment'!$W$4:$W$503,(_calc!$E$515-500)))=0,"",INDEX('My equipment'!$W$4:$W$503,(_calc!$E$515-500))))=0,"","Claim ref: "&amp;IF(LEN(INDEX('My equipment'!$W$4:$W$503,(_calc!$E$515-500)))=0,"",INDEX('My equipment'!$W$4:$W$503,(_calc!$E$515-500)))&amp;". ")&amp;IF(LEN(IF(LEN(INDEX('My equipment'!$Y$4:$Y$503,(_calc!$E$515-500)))=0,"",INDEX('My equipment'!$Y$4:$Y$503,(_calc!$E$515-500))))=0,"",IF(LEN(INDEX('My equipment'!$Y$4:$Y$503,(_calc!$E$515-500)))=0,"",INDEX('My equipment'!$Y$4:$Y$503,(_calc!$E$515-500)))))))</f>
        <v/>
      </c>
      <c r="G513" s="54">
        <f>IF(_calc!$E$515="","",IF(_calc!$E$515&lt;=500,"",IF(LEN(INDEX('My equipment'!$X$4:$X$503,(_calc!$E$515-500)))=0,"",INDEX('My equipment'!$X$4:$X$503,(_calc!$E$515-500)))))</f>
        <v/>
      </c>
      <c r="K513" s="54">
        <f>IF(_calc!$E$515="","",IF(_calc!$E$515&lt;=500,"",IF(LEN(INDEX('My equipment'!$T$4:$T$503,(_calc!$E$515-500)))=0,"",INDEX('My equipment'!$T$4:$T$503,(_calc!$E$515-500)))))</f>
        <v/>
      </c>
    </row>
    <row r="514">
      <c r="A514" s="54">
        <f>IF(_calc!$E$516="","",IF(_calc!$E$516&lt;=500,"Warranty – "&amp;IF(LEN(INDEX('Dealer pipeline'!$C$4:$C$503,_calc!$E$516))=0,"",INDEX('Dealer pipeline'!$C$4:$C$503,_calc!$E$516))&amp;" – "&amp;IF(LEN(INDEX('Dealer pipeline'!$D$4:$D$503,_calc!$E$516))=0,"",INDEX('Dealer pipeline'!$D$4:$D$503,_calc!$E$516))&amp;" – "&amp;IF(LEN(INDEX('Dealer pipeline'!$A$4:$A$503,_calc!$E$516))=0,"",INDEX('Dealer pipeline'!$A$4:$A$503,_calc!$E$516)),"Warranty – "&amp;IF(LEN(INDEX('My equipment'!$A$4:$A$503,(_calc!$E$516-500)))=0,"",INDEX('My equipment'!$A$4:$A$503,(_calc!$E$516-500)))&amp;" – "&amp;IF(LEN(INDEX('My equipment'!$D$4:$D$503,(_calc!$E$516-500)))=0,"",INDEX('My equipment'!$D$4:$D$503,(_calc!$E$516-500)))))</f>
        <v/>
      </c>
      <c r="B514" s="54">
        <f>IF(_calc!$E$516="","",IF(_calc!$E$516&lt;=500,IF(ISNUMBER(INDEX('Dealer pipeline'!$M$4:$M$503,_calc!$E$516)),TEXT(INDEX('Dealer pipeline'!$M$4:$M$503,_calc!$E$516),"yyyy-mm-dd"),""),IF(ISNUMBER(INDEX('My equipment'!$M$4:$M$503,(_calc!$E$516-500))),TEXT(INDEX('My equipment'!$M$4:$M$503,(_calc!$E$516-500)),"yyyy-mm-dd"),"")))</f>
        <v/>
      </c>
      <c r="C514" s="54">
        <f>IF(_calc!$E$516="","",IF(_calc!$E$516&lt;=500,"Warranty","Warranty"))</f>
        <v/>
      </c>
      <c r="D514" s="54">
        <f>IF(_calc!$E$516="","",IF(_calc!$E$516&lt;=500,IF(ISNUMBER(INDEX('Dealer pipeline'!$H$4:$H$503,_calc!$E$516)),TEXT(INDEX('Dealer pipeline'!$H$4:$H$503,_calc!$E$516),"yyyy-mm-dd"),""),IF(ISNUMBER(INDEX('My equipment'!$H$4:$H$503,(_calc!$E$516-500))),TEXT(INDEX('My equipment'!$H$4:$H$503,(_calc!$E$516-500)),"yyyy-mm-dd"),"")))</f>
        <v/>
      </c>
      <c r="F514" s="54">
        <f>IF(_calc!$E$516="","",IF(_calc!$E$516&lt;=500,TRIM(IF(LEN(IF(LEN(INDEX('Dealer pipeline'!$A$4:$A$503,_calc!$E$516))=0,"",INDEX('Dealer pipeline'!$A$4:$A$503,_calc!$E$516)))=0,"","Customer: "&amp;IF(LEN(INDEX('Dealer pipeline'!$A$4:$A$503,_calc!$E$516))=0,"",INDEX('Dealer pipeline'!$A$4:$A$503,_calc!$E$516))&amp;". ")&amp;IF(LEN(IF(LEN(INDEX('Dealer pipeline'!$B$4:$B$503,_calc!$E$516))=0,"",INDEX('Dealer pipeline'!$B$4:$B$503,_calc!$E$516)))=0,"","Contact: "&amp;IF(LEN(INDEX('Dealer pipeline'!$B$4:$B$503,_calc!$E$516))=0,"",INDEX('Dealer pipeline'!$B$4:$B$503,_calc!$E$516))&amp;". ")&amp;IF(LEN(IF(LEN(INDEX('Dealer pipeline'!$D$4:$D$503,_calc!$E$516))=0,"",INDEX('Dealer pipeline'!$D$4:$D$503,_calc!$E$516)))=0,"","Serial: "&amp;IF(LEN(INDEX('Dealer pipeline'!$D$4:$D$503,_calc!$E$516))=0,"",INDEX('Dealer pipeline'!$D$4:$D$503,_calc!$E$516))&amp;". ")&amp;IF(LEN(IF(ISNUMBER(INDEX('Dealer pipeline'!$J$4:$J$503,_calc!$E$516)),TEXT(INDEX('Dealer pipeline'!$J$4:$J$503,_calc!$E$516),"yyyy-mm-dd"),""))=0,"","Parts end: "&amp;IF(ISNUMBER(INDEX('Dealer pipeline'!$J$4:$J$503,_calc!$E$516)),TEXT(INDEX('Dealer pipeline'!$J$4:$J$503,_calc!$E$516),"yyyy-mm-dd"),"")&amp;". ")&amp;IF(LEN(IF(ISNUMBER(INDEX('Dealer pipeline'!$L$4:$L$503,_calc!$E$516)),TEXT(INDEX('Dealer pipeline'!$L$4:$L$503,_calc!$E$516),"yyyy-mm-dd"),""))=0,"","Labor end: "&amp;IF(ISNUMBER(INDEX('Dealer pipeline'!$L$4:$L$503,_calc!$E$516)),TEXT(INDEX('Dealer pipeline'!$L$4:$L$503,_calc!$E$516),"yyyy-mm-dd"),"")&amp;". ")&amp;IF(LEN(IF(LEN(INDEX('Dealer pipeline'!$Q$4:$Q$503,_calc!$E$516))=0,"",INDEX('Dealer pipeline'!$Q$4:$Q$503,_calc!$E$516)))=0,"","Status: "&amp;IF(LEN(INDEX('Dealer pipeline'!$Q$4:$Q$503,_calc!$E$516))=0,"",INDEX('Dealer pipeline'!$Q$4:$Q$503,_calc!$E$516))&amp;". ")&amp;IF(LEN(IF(LEN(INDEX('Dealer pipeline'!$P$4:$P$503,_calc!$E$516))=0,"",INDEX('Dealer pipeline'!$P$4:$P$503,_calc!$E$516)))=0,"","Last touch: "&amp;IF(LEN(INDEX('Dealer pipeline'!$P$4:$P$503,_calc!$E$516))=0,"",INDEX('Dealer pipeline'!$P$4:$P$503,_calc!$E$516))&amp;". ")&amp;IF(LEN(IF(LEN(INDEX('Dealer pipeline'!$R$4:$R$503,_calc!$E$516))=0,"",INDEX('Dealer pipeline'!$R$4:$R$503,_calc!$E$516)))=0,"","Owner: "&amp;IF(LEN(INDEX('Dealer pipeline'!$R$4:$R$503,_calc!$E$516))=0,"",INDEX('Dealer pipeline'!$R$4:$R$503,_calc!$E$516))&amp;". ")&amp;IF(LEN(IF(LEN(INDEX('Dealer pipeline'!$S$4:$S$503,_calc!$E$516))=0,"",INDEX('Dealer pipeline'!$S$4:$S$503,_calc!$E$516)))=0,"","Backup: "&amp;IF(LEN(INDEX('Dealer pipeline'!$S$4:$S$503,_calc!$E$516))=0,"",INDEX('Dealer pipeline'!$S$4:$S$503,_calc!$E$516))&amp;". ")&amp;IF(LEN(IF(LEN(INDEX('Dealer pipeline'!$T$4:$T$503,_calc!$E$516))=0,"",INDEX('Dealer pipeline'!$T$4:$T$503,_calc!$E$516)))=0,"",IF(LEN(INDEX('Dealer pipeline'!$T$4:$T$503,_calc!$E$516))=0,"",INDEX('Dealer pipeline'!$T$4:$T$503,_calc!$E$516)))),TRIM(IF(LEN(IF(LEN(INDEX('My equipment'!$C$4:$C$503,(_calc!$E$516-500)))=0,"",INDEX('My equipment'!$C$4:$C$503,(_calc!$E$516-500))))=0,"","Model: "&amp;IF(LEN(INDEX('My equipment'!$C$4:$C$503,(_calc!$E$516-500)))=0,"",INDEX('My equipment'!$C$4:$C$503,(_calc!$E$516-500)))&amp;". ")&amp;IF(LEN(IF(LEN(INDEX('My equipment'!$D$4:$D$503,(_calc!$E$516-500)))=0,"",INDEX('My equipment'!$D$4:$D$503,(_calc!$E$516-500))))=0,"","Serial: "&amp;IF(LEN(INDEX('My equipment'!$D$4:$D$503,(_calc!$E$516-500)))=0,"",INDEX('My equipment'!$D$4:$D$503,(_calc!$E$516-500)))&amp;". ")&amp;IF(LEN(IF(ISNUMBER(INDEX('My equipment'!$J$4:$J$503,(_calc!$E$516-500))),TEXT(INDEX('My equipment'!$J$4:$J$503,(_calc!$E$516-500)),"yyyy-mm-dd"),""))=0,"","Parts end: "&amp;IF(ISNUMBER(INDEX('My equipment'!$J$4:$J$503,(_calc!$E$516-500))),TEXT(INDEX('My equipment'!$J$4:$J$503,(_calc!$E$516-500)),"yyyy-mm-dd"),"")&amp;". ")&amp;IF(LEN(IF(ISNUMBER(INDEX('My equipment'!$L$4:$L$503,(_calc!$E$516-500))),TEXT(INDEX('My equipment'!$L$4:$L$503,(_calc!$E$516-500)),"yyyy-mm-dd"),""))=0,"","Labor end: "&amp;IF(ISNUMBER(INDEX('My equipment'!$L$4:$L$503,(_calc!$E$516-500))),TEXT(INDEX('My equipment'!$L$4:$L$503,(_calc!$E$516-500)),"yyyy-mm-dd"),"")&amp;". ")&amp;IF(LEN(IF(ISNUMBER(INDEX('My equipment'!$P$4:$P$503,(_calc!$E$516-500))),TEXT(INDEX('My equipment'!$P$4:$P$503,(_calc!$E$516-500)),"yyyy-mm-dd"),""))=0,"","Check by: "&amp;IF(ISNUMBER(INDEX('My equipment'!$P$4:$P$503,(_calc!$E$516-500))),TEXT(INDEX('My equipment'!$P$4:$P$503,(_calc!$E$516-500)),"yyyy-mm-dd"),"")&amp;". ")&amp;IF(LEN(IF(LEN(INDEX('My equipment'!$Q$4:$Q$503,(_calc!$E$516-500)))=0,"",INDEX('My equipment'!$Q$4:$Q$503,(_calc!$E$516-500))))=0,"","Claim status: "&amp;IF(LEN(INDEX('My equipment'!$Q$4:$Q$503,(_calc!$E$516-500)))=0,"",INDEX('My equipment'!$Q$4:$Q$503,(_calc!$E$516-500)))&amp;". ")&amp;IF(LEN(IF(LEN(INDEX('My equipment'!$R$4:$R$503,(_calc!$E$516-500)))=0,"",INDEX('My equipment'!$R$4:$R$503,(_calc!$E$516-500))))=0,"","Claims contact: "&amp;IF(LEN(INDEX('My equipment'!$R$4:$R$503,(_calc!$E$516-500)))=0,"",INDEX('My equipment'!$R$4:$R$503,(_calc!$E$516-500)))&amp;". ")&amp;IF(LEN(IF(LEN(INDEX('My equipment'!$S$4:$S$503,(_calc!$E$516-500)))=0,"",INDEX('My equipment'!$S$4:$S$503,(_calc!$E$516-500))))=0,"","Claims email: "&amp;IF(LEN(INDEX('My equipment'!$S$4:$S$503,(_calc!$E$516-500)))=0,"",INDEX('My equipment'!$S$4:$S$503,(_calc!$E$516-500)))&amp;". ")&amp;IF(LEN(IF(LEN(INDEX('My equipment'!$U$4:$U$503,(_calc!$E$516-500)))=0,"",INDEX('My equipment'!$U$4:$U$503,(_calc!$E$516-500))))=0,"","Registered: "&amp;IF(LEN(INDEX('My equipment'!$U$4:$U$503,(_calc!$E$516-500)))=0,"",INDEX('My equipment'!$U$4:$U$503,(_calc!$E$516-500)))&amp;". ")&amp;IF(LEN(IF(LEN(INDEX('My equipment'!$V$4:$V$503,(_calc!$E$516-500)))=0,"",INDEX('My equipment'!$V$4:$V$503,(_calc!$E$516-500))))=0,"","Proof on file: "&amp;IF(LEN(INDEX('My equipment'!$V$4:$V$503,(_calc!$E$516-500)))=0,"",INDEX('My equipment'!$V$4:$V$503,(_calc!$E$516-500)))&amp;". ")&amp;IF(LEN(IF(LEN(INDEX('My equipment'!$W$4:$W$503,(_calc!$E$516-500)))=0,"",INDEX('My equipment'!$W$4:$W$503,(_calc!$E$516-500))))=0,"","Claim ref: "&amp;IF(LEN(INDEX('My equipment'!$W$4:$W$503,(_calc!$E$516-500)))=0,"",INDEX('My equipment'!$W$4:$W$503,(_calc!$E$516-500)))&amp;". ")&amp;IF(LEN(IF(LEN(INDEX('My equipment'!$Y$4:$Y$503,(_calc!$E$516-500)))=0,"",INDEX('My equipment'!$Y$4:$Y$503,(_calc!$E$516-500))))=0,"",IF(LEN(INDEX('My equipment'!$Y$4:$Y$503,(_calc!$E$516-500)))=0,"",INDEX('My equipment'!$Y$4:$Y$503,(_calc!$E$516-500)))))))</f>
        <v/>
      </c>
      <c r="G514" s="54">
        <f>IF(_calc!$E$516="","",IF(_calc!$E$516&lt;=500,"",IF(LEN(INDEX('My equipment'!$X$4:$X$503,(_calc!$E$516-500)))=0,"",INDEX('My equipment'!$X$4:$X$503,(_calc!$E$516-500)))))</f>
        <v/>
      </c>
      <c r="K514" s="54">
        <f>IF(_calc!$E$516="","",IF(_calc!$E$516&lt;=500,"",IF(LEN(INDEX('My equipment'!$T$4:$T$503,(_calc!$E$516-500)))=0,"",INDEX('My equipment'!$T$4:$T$503,(_calc!$E$516-500)))))</f>
        <v/>
      </c>
    </row>
    <row r="515">
      <c r="A515" s="54">
        <f>IF(_calc!$E$517="","",IF(_calc!$E$517&lt;=500,"Warranty – "&amp;IF(LEN(INDEX('Dealer pipeline'!$C$4:$C$503,_calc!$E$517))=0,"",INDEX('Dealer pipeline'!$C$4:$C$503,_calc!$E$517))&amp;" – "&amp;IF(LEN(INDEX('Dealer pipeline'!$D$4:$D$503,_calc!$E$517))=0,"",INDEX('Dealer pipeline'!$D$4:$D$503,_calc!$E$517))&amp;" – "&amp;IF(LEN(INDEX('Dealer pipeline'!$A$4:$A$503,_calc!$E$517))=0,"",INDEX('Dealer pipeline'!$A$4:$A$503,_calc!$E$517)),"Warranty – "&amp;IF(LEN(INDEX('My equipment'!$A$4:$A$503,(_calc!$E$517-500)))=0,"",INDEX('My equipment'!$A$4:$A$503,(_calc!$E$517-500)))&amp;" – "&amp;IF(LEN(INDEX('My equipment'!$D$4:$D$503,(_calc!$E$517-500)))=0,"",INDEX('My equipment'!$D$4:$D$503,(_calc!$E$517-500)))))</f>
        <v/>
      </c>
      <c r="B515" s="54">
        <f>IF(_calc!$E$517="","",IF(_calc!$E$517&lt;=500,IF(ISNUMBER(INDEX('Dealer pipeline'!$M$4:$M$503,_calc!$E$517)),TEXT(INDEX('Dealer pipeline'!$M$4:$M$503,_calc!$E$517),"yyyy-mm-dd"),""),IF(ISNUMBER(INDEX('My equipment'!$M$4:$M$503,(_calc!$E$517-500))),TEXT(INDEX('My equipment'!$M$4:$M$503,(_calc!$E$517-500)),"yyyy-mm-dd"),"")))</f>
        <v/>
      </c>
      <c r="C515" s="54">
        <f>IF(_calc!$E$517="","",IF(_calc!$E$517&lt;=500,"Warranty","Warranty"))</f>
        <v/>
      </c>
      <c r="D515" s="54">
        <f>IF(_calc!$E$517="","",IF(_calc!$E$517&lt;=500,IF(ISNUMBER(INDEX('Dealer pipeline'!$H$4:$H$503,_calc!$E$517)),TEXT(INDEX('Dealer pipeline'!$H$4:$H$503,_calc!$E$517),"yyyy-mm-dd"),""),IF(ISNUMBER(INDEX('My equipment'!$H$4:$H$503,(_calc!$E$517-500))),TEXT(INDEX('My equipment'!$H$4:$H$503,(_calc!$E$517-500)),"yyyy-mm-dd"),"")))</f>
        <v/>
      </c>
      <c r="F515" s="54">
        <f>IF(_calc!$E$517="","",IF(_calc!$E$517&lt;=500,TRIM(IF(LEN(IF(LEN(INDEX('Dealer pipeline'!$A$4:$A$503,_calc!$E$517))=0,"",INDEX('Dealer pipeline'!$A$4:$A$503,_calc!$E$517)))=0,"","Customer: "&amp;IF(LEN(INDEX('Dealer pipeline'!$A$4:$A$503,_calc!$E$517))=0,"",INDEX('Dealer pipeline'!$A$4:$A$503,_calc!$E$517))&amp;". ")&amp;IF(LEN(IF(LEN(INDEX('Dealer pipeline'!$B$4:$B$503,_calc!$E$517))=0,"",INDEX('Dealer pipeline'!$B$4:$B$503,_calc!$E$517)))=0,"","Contact: "&amp;IF(LEN(INDEX('Dealer pipeline'!$B$4:$B$503,_calc!$E$517))=0,"",INDEX('Dealer pipeline'!$B$4:$B$503,_calc!$E$517))&amp;". ")&amp;IF(LEN(IF(LEN(INDEX('Dealer pipeline'!$D$4:$D$503,_calc!$E$517))=0,"",INDEX('Dealer pipeline'!$D$4:$D$503,_calc!$E$517)))=0,"","Serial: "&amp;IF(LEN(INDEX('Dealer pipeline'!$D$4:$D$503,_calc!$E$517))=0,"",INDEX('Dealer pipeline'!$D$4:$D$503,_calc!$E$517))&amp;". ")&amp;IF(LEN(IF(ISNUMBER(INDEX('Dealer pipeline'!$J$4:$J$503,_calc!$E$517)),TEXT(INDEX('Dealer pipeline'!$J$4:$J$503,_calc!$E$517),"yyyy-mm-dd"),""))=0,"","Parts end: "&amp;IF(ISNUMBER(INDEX('Dealer pipeline'!$J$4:$J$503,_calc!$E$517)),TEXT(INDEX('Dealer pipeline'!$J$4:$J$503,_calc!$E$517),"yyyy-mm-dd"),"")&amp;". ")&amp;IF(LEN(IF(ISNUMBER(INDEX('Dealer pipeline'!$L$4:$L$503,_calc!$E$517)),TEXT(INDEX('Dealer pipeline'!$L$4:$L$503,_calc!$E$517),"yyyy-mm-dd"),""))=0,"","Labor end: "&amp;IF(ISNUMBER(INDEX('Dealer pipeline'!$L$4:$L$503,_calc!$E$517)),TEXT(INDEX('Dealer pipeline'!$L$4:$L$503,_calc!$E$517),"yyyy-mm-dd"),"")&amp;". ")&amp;IF(LEN(IF(LEN(INDEX('Dealer pipeline'!$Q$4:$Q$503,_calc!$E$517))=0,"",INDEX('Dealer pipeline'!$Q$4:$Q$503,_calc!$E$517)))=0,"","Status: "&amp;IF(LEN(INDEX('Dealer pipeline'!$Q$4:$Q$503,_calc!$E$517))=0,"",INDEX('Dealer pipeline'!$Q$4:$Q$503,_calc!$E$517))&amp;". ")&amp;IF(LEN(IF(LEN(INDEX('Dealer pipeline'!$P$4:$P$503,_calc!$E$517))=0,"",INDEX('Dealer pipeline'!$P$4:$P$503,_calc!$E$517)))=0,"","Last touch: "&amp;IF(LEN(INDEX('Dealer pipeline'!$P$4:$P$503,_calc!$E$517))=0,"",INDEX('Dealer pipeline'!$P$4:$P$503,_calc!$E$517))&amp;". ")&amp;IF(LEN(IF(LEN(INDEX('Dealer pipeline'!$R$4:$R$503,_calc!$E$517))=0,"",INDEX('Dealer pipeline'!$R$4:$R$503,_calc!$E$517)))=0,"","Owner: "&amp;IF(LEN(INDEX('Dealer pipeline'!$R$4:$R$503,_calc!$E$517))=0,"",INDEX('Dealer pipeline'!$R$4:$R$503,_calc!$E$517))&amp;". ")&amp;IF(LEN(IF(LEN(INDEX('Dealer pipeline'!$S$4:$S$503,_calc!$E$517))=0,"",INDEX('Dealer pipeline'!$S$4:$S$503,_calc!$E$517)))=0,"","Backup: "&amp;IF(LEN(INDEX('Dealer pipeline'!$S$4:$S$503,_calc!$E$517))=0,"",INDEX('Dealer pipeline'!$S$4:$S$503,_calc!$E$517))&amp;". ")&amp;IF(LEN(IF(LEN(INDEX('Dealer pipeline'!$T$4:$T$503,_calc!$E$517))=0,"",INDEX('Dealer pipeline'!$T$4:$T$503,_calc!$E$517)))=0,"",IF(LEN(INDEX('Dealer pipeline'!$T$4:$T$503,_calc!$E$517))=0,"",INDEX('Dealer pipeline'!$T$4:$T$503,_calc!$E$517)))),TRIM(IF(LEN(IF(LEN(INDEX('My equipment'!$C$4:$C$503,(_calc!$E$517-500)))=0,"",INDEX('My equipment'!$C$4:$C$503,(_calc!$E$517-500))))=0,"","Model: "&amp;IF(LEN(INDEX('My equipment'!$C$4:$C$503,(_calc!$E$517-500)))=0,"",INDEX('My equipment'!$C$4:$C$503,(_calc!$E$517-500)))&amp;". ")&amp;IF(LEN(IF(LEN(INDEX('My equipment'!$D$4:$D$503,(_calc!$E$517-500)))=0,"",INDEX('My equipment'!$D$4:$D$503,(_calc!$E$517-500))))=0,"","Serial: "&amp;IF(LEN(INDEX('My equipment'!$D$4:$D$503,(_calc!$E$517-500)))=0,"",INDEX('My equipment'!$D$4:$D$503,(_calc!$E$517-500)))&amp;". ")&amp;IF(LEN(IF(ISNUMBER(INDEX('My equipment'!$J$4:$J$503,(_calc!$E$517-500))),TEXT(INDEX('My equipment'!$J$4:$J$503,(_calc!$E$517-500)),"yyyy-mm-dd"),""))=0,"","Parts end: "&amp;IF(ISNUMBER(INDEX('My equipment'!$J$4:$J$503,(_calc!$E$517-500))),TEXT(INDEX('My equipment'!$J$4:$J$503,(_calc!$E$517-500)),"yyyy-mm-dd"),"")&amp;". ")&amp;IF(LEN(IF(ISNUMBER(INDEX('My equipment'!$L$4:$L$503,(_calc!$E$517-500))),TEXT(INDEX('My equipment'!$L$4:$L$503,(_calc!$E$517-500)),"yyyy-mm-dd"),""))=0,"","Labor end: "&amp;IF(ISNUMBER(INDEX('My equipment'!$L$4:$L$503,(_calc!$E$517-500))),TEXT(INDEX('My equipment'!$L$4:$L$503,(_calc!$E$517-500)),"yyyy-mm-dd"),"")&amp;". ")&amp;IF(LEN(IF(ISNUMBER(INDEX('My equipment'!$P$4:$P$503,(_calc!$E$517-500))),TEXT(INDEX('My equipment'!$P$4:$P$503,(_calc!$E$517-500)),"yyyy-mm-dd"),""))=0,"","Check by: "&amp;IF(ISNUMBER(INDEX('My equipment'!$P$4:$P$503,(_calc!$E$517-500))),TEXT(INDEX('My equipment'!$P$4:$P$503,(_calc!$E$517-500)),"yyyy-mm-dd"),"")&amp;". ")&amp;IF(LEN(IF(LEN(INDEX('My equipment'!$Q$4:$Q$503,(_calc!$E$517-500)))=0,"",INDEX('My equipment'!$Q$4:$Q$503,(_calc!$E$517-500))))=0,"","Claim status: "&amp;IF(LEN(INDEX('My equipment'!$Q$4:$Q$503,(_calc!$E$517-500)))=0,"",INDEX('My equipment'!$Q$4:$Q$503,(_calc!$E$517-500)))&amp;". ")&amp;IF(LEN(IF(LEN(INDEX('My equipment'!$R$4:$R$503,(_calc!$E$517-500)))=0,"",INDEX('My equipment'!$R$4:$R$503,(_calc!$E$517-500))))=0,"","Claims contact: "&amp;IF(LEN(INDEX('My equipment'!$R$4:$R$503,(_calc!$E$517-500)))=0,"",INDEX('My equipment'!$R$4:$R$503,(_calc!$E$517-500)))&amp;". ")&amp;IF(LEN(IF(LEN(INDEX('My equipment'!$S$4:$S$503,(_calc!$E$517-500)))=0,"",INDEX('My equipment'!$S$4:$S$503,(_calc!$E$517-500))))=0,"","Claims email: "&amp;IF(LEN(INDEX('My equipment'!$S$4:$S$503,(_calc!$E$517-500)))=0,"",INDEX('My equipment'!$S$4:$S$503,(_calc!$E$517-500)))&amp;". ")&amp;IF(LEN(IF(LEN(INDEX('My equipment'!$U$4:$U$503,(_calc!$E$517-500)))=0,"",INDEX('My equipment'!$U$4:$U$503,(_calc!$E$517-500))))=0,"","Registered: "&amp;IF(LEN(INDEX('My equipment'!$U$4:$U$503,(_calc!$E$517-500)))=0,"",INDEX('My equipment'!$U$4:$U$503,(_calc!$E$517-500)))&amp;". ")&amp;IF(LEN(IF(LEN(INDEX('My equipment'!$V$4:$V$503,(_calc!$E$517-500)))=0,"",INDEX('My equipment'!$V$4:$V$503,(_calc!$E$517-500))))=0,"","Proof on file: "&amp;IF(LEN(INDEX('My equipment'!$V$4:$V$503,(_calc!$E$517-500)))=0,"",INDEX('My equipment'!$V$4:$V$503,(_calc!$E$517-500)))&amp;". ")&amp;IF(LEN(IF(LEN(INDEX('My equipment'!$W$4:$W$503,(_calc!$E$517-500)))=0,"",INDEX('My equipment'!$W$4:$W$503,(_calc!$E$517-500))))=0,"","Claim ref: "&amp;IF(LEN(INDEX('My equipment'!$W$4:$W$503,(_calc!$E$517-500)))=0,"",INDEX('My equipment'!$W$4:$W$503,(_calc!$E$517-500)))&amp;". ")&amp;IF(LEN(IF(LEN(INDEX('My equipment'!$Y$4:$Y$503,(_calc!$E$517-500)))=0,"",INDEX('My equipment'!$Y$4:$Y$503,(_calc!$E$517-500))))=0,"",IF(LEN(INDEX('My equipment'!$Y$4:$Y$503,(_calc!$E$517-500)))=0,"",INDEX('My equipment'!$Y$4:$Y$503,(_calc!$E$517-500)))))))</f>
        <v/>
      </c>
      <c r="G515" s="54">
        <f>IF(_calc!$E$517="","",IF(_calc!$E$517&lt;=500,"",IF(LEN(INDEX('My equipment'!$X$4:$X$503,(_calc!$E$517-500)))=0,"",INDEX('My equipment'!$X$4:$X$503,(_calc!$E$517-500)))))</f>
        <v/>
      </c>
      <c r="K515" s="54">
        <f>IF(_calc!$E$517="","",IF(_calc!$E$517&lt;=500,"",IF(LEN(INDEX('My equipment'!$T$4:$T$503,(_calc!$E$517-500)))=0,"",INDEX('My equipment'!$T$4:$T$503,(_calc!$E$517-500)))))</f>
        <v/>
      </c>
    </row>
    <row r="516">
      <c r="A516" s="54">
        <f>IF(_calc!$E$518="","",IF(_calc!$E$518&lt;=500,"Warranty – "&amp;IF(LEN(INDEX('Dealer pipeline'!$C$4:$C$503,_calc!$E$518))=0,"",INDEX('Dealer pipeline'!$C$4:$C$503,_calc!$E$518))&amp;" – "&amp;IF(LEN(INDEX('Dealer pipeline'!$D$4:$D$503,_calc!$E$518))=0,"",INDEX('Dealer pipeline'!$D$4:$D$503,_calc!$E$518))&amp;" – "&amp;IF(LEN(INDEX('Dealer pipeline'!$A$4:$A$503,_calc!$E$518))=0,"",INDEX('Dealer pipeline'!$A$4:$A$503,_calc!$E$518)),"Warranty – "&amp;IF(LEN(INDEX('My equipment'!$A$4:$A$503,(_calc!$E$518-500)))=0,"",INDEX('My equipment'!$A$4:$A$503,(_calc!$E$518-500)))&amp;" – "&amp;IF(LEN(INDEX('My equipment'!$D$4:$D$503,(_calc!$E$518-500)))=0,"",INDEX('My equipment'!$D$4:$D$503,(_calc!$E$518-500)))))</f>
        <v/>
      </c>
      <c r="B516" s="54">
        <f>IF(_calc!$E$518="","",IF(_calc!$E$518&lt;=500,IF(ISNUMBER(INDEX('Dealer pipeline'!$M$4:$M$503,_calc!$E$518)),TEXT(INDEX('Dealer pipeline'!$M$4:$M$503,_calc!$E$518),"yyyy-mm-dd"),""),IF(ISNUMBER(INDEX('My equipment'!$M$4:$M$503,(_calc!$E$518-500))),TEXT(INDEX('My equipment'!$M$4:$M$503,(_calc!$E$518-500)),"yyyy-mm-dd"),"")))</f>
        <v/>
      </c>
      <c r="C516" s="54">
        <f>IF(_calc!$E$518="","",IF(_calc!$E$518&lt;=500,"Warranty","Warranty"))</f>
        <v/>
      </c>
      <c r="D516" s="54">
        <f>IF(_calc!$E$518="","",IF(_calc!$E$518&lt;=500,IF(ISNUMBER(INDEX('Dealer pipeline'!$H$4:$H$503,_calc!$E$518)),TEXT(INDEX('Dealer pipeline'!$H$4:$H$503,_calc!$E$518),"yyyy-mm-dd"),""),IF(ISNUMBER(INDEX('My equipment'!$H$4:$H$503,(_calc!$E$518-500))),TEXT(INDEX('My equipment'!$H$4:$H$503,(_calc!$E$518-500)),"yyyy-mm-dd"),"")))</f>
        <v/>
      </c>
      <c r="F516" s="54">
        <f>IF(_calc!$E$518="","",IF(_calc!$E$518&lt;=500,TRIM(IF(LEN(IF(LEN(INDEX('Dealer pipeline'!$A$4:$A$503,_calc!$E$518))=0,"",INDEX('Dealer pipeline'!$A$4:$A$503,_calc!$E$518)))=0,"","Customer: "&amp;IF(LEN(INDEX('Dealer pipeline'!$A$4:$A$503,_calc!$E$518))=0,"",INDEX('Dealer pipeline'!$A$4:$A$503,_calc!$E$518))&amp;". ")&amp;IF(LEN(IF(LEN(INDEX('Dealer pipeline'!$B$4:$B$503,_calc!$E$518))=0,"",INDEX('Dealer pipeline'!$B$4:$B$503,_calc!$E$518)))=0,"","Contact: "&amp;IF(LEN(INDEX('Dealer pipeline'!$B$4:$B$503,_calc!$E$518))=0,"",INDEX('Dealer pipeline'!$B$4:$B$503,_calc!$E$518))&amp;". ")&amp;IF(LEN(IF(LEN(INDEX('Dealer pipeline'!$D$4:$D$503,_calc!$E$518))=0,"",INDEX('Dealer pipeline'!$D$4:$D$503,_calc!$E$518)))=0,"","Serial: "&amp;IF(LEN(INDEX('Dealer pipeline'!$D$4:$D$503,_calc!$E$518))=0,"",INDEX('Dealer pipeline'!$D$4:$D$503,_calc!$E$518))&amp;". ")&amp;IF(LEN(IF(ISNUMBER(INDEX('Dealer pipeline'!$J$4:$J$503,_calc!$E$518)),TEXT(INDEX('Dealer pipeline'!$J$4:$J$503,_calc!$E$518),"yyyy-mm-dd"),""))=0,"","Parts end: "&amp;IF(ISNUMBER(INDEX('Dealer pipeline'!$J$4:$J$503,_calc!$E$518)),TEXT(INDEX('Dealer pipeline'!$J$4:$J$503,_calc!$E$518),"yyyy-mm-dd"),"")&amp;". ")&amp;IF(LEN(IF(ISNUMBER(INDEX('Dealer pipeline'!$L$4:$L$503,_calc!$E$518)),TEXT(INDEX('Dealer pipeline'!$L$4:$L$503,_calc!$E$518),"yyyy-mm-dd"),""))=0,"","Labor end: "&amp;IF(ISNUMBER(INDEX('Dealer pipeline'!$L$4:$L$503,_calc!$E$518)),TEXT(INDEX('Dealer pipeline'!$L$4:$L$503,_calc!$E$518),"yyyy-mm-dd"),"")&amp;". ")&amp;IF(LEN(IF(LEN(INDEX('Dealer pipeline'!$Q$4:$Q$503,_calc!$E$518))=0,"",INDEX('Dealer pipeline'!$Q$4:$Q$503,_calc!$E$518)))=0,"","Status: "&amp;IF(LEN(INDEX('Dealer pipeline'!$Q$4:$Q$503,_calc!$E$518))=0,"",INDEX('Dealer pipeline'!$Q$4:$Q$503,_calc!$E$518))&amp;". ")&amp;IF(LEN(IF(LEN(INDEX('Dealer pipeline'!$P$4:$P$503,_calc!$E$518))=0,"",INDEX('Dealer pipeline'!$P$4:$P$503,_calc!$E$518)))=0,"","Last touch: "&amp;IF(LEN(INDEX('Dealer pipeline'!$P$4:$P$503,_calc!$E$518))=0,"",INDEX('Dealer pipeline'!$P$4:$P$503,_calc!$E$518))&amp;". ")&amp;IF(LEN(IF(LEN(INDEX('Dealer pipeline'!$R$4:$R$503,_calc!$E$518))=0,"",INDEX('Dealer pipeline'!$R$4:$R$503,_calc!$E$518)))=0,"","Owner: "&amp;IF(LEN(INDEX('Dealer pipeline'!$R$4:$R$503,_calc!$E$518))=0,"",INDEX('Dealer pipeline'!$R$4:$R$503,_calc!$E$518))&amp;". ")&amp;IF(LEN(IF(LEN(INDEX('Dealer pipeline'!$S$4:$S$503,_calc!$E$518))=0,"",INDEX('Dealer pipeline'!$S$4:$S$503,_calc!$E$518)))=0,"","Backup: "&amp;IF(LEN(INDEX('Dealer pipeline'!$S$4:$S$503,_calc!$E$518))=0,"",INDEX('Dealer pipeline'!$S$4:$S$503,_calc!$E$518))&amp;". ")&amp;IF(LEN(IF(LEN(INDEX('Dealer pipeline'!$T$4:$T$503,_calc!$E$518))=0,"",INDEX('Dealer pipeline'!$T$4:$T$503,_calc!$E$518)))=0,"",IF(LEN(INDEX('Dealer pipeline'!$T$4:$T$503,_calc!$E$518))=0,"",INDEX('Dealer pipeline'!$T$4:$T$503,_calc!$E$518)))),TRIM(IF(LEN(IF(LEN(INDEX('My equipment'!$C$4:$C$503,(_calc!$E$518-500)))=0,"",INDEX('My equipment'!$C$4:$C$503,(_calc!$E$518-500))))=0,"","Model: "&amp;IF(LEN(INDEX('My equipment'!$C$4:$C$503,(_calc!$E$518-500)))=0,"",INDEX('My equipment'!$C$4:$C$503,(_calc!$E$518-500)))&amp;". ")&amp;IF(LEN(IF(LEN(INDEX('My equipment'!$D$4:$D$503,(_calc!$E$518-500)))=0,"",INDEX('My equipment'!$D$4:$D$503,(_calc!$E$518-500))))=0,"","Serial: "&amp;IF(LEN(INDEX('My equipment'!$D$4:$D$503,(_calc!$E$518-500)))=0,"",INDEX('My equipment'!$D$4:$D$503,(_calc!$E$518-500)))&amp;". ")&amp;IF(LEN(IF(ISNUMBER(INDEX('My equipment'!$J$4:$J$503,(_calc!$E$518-500))),TEXT(INDEX('My equipment'!$J$4:$J$503,(_calc!$E$518-500)),"yyyy-mm-dd"),""))=0,"","Parts end: "&amp;IF(ISNUMBER(INDEX('My equipment'!$J$4:$J$503,(_calc!$E$518-500))),TEXT(INDEX('My equipment'!$J$4:$J$503,(_calc!$E$518-500)),"yyyy-mm-dd"),"")&amp;". ")&amp;IF(LEN(IF(ISNUMBER(INDEX('My equipment'!$L$4:$L$503,(_calc!$E$518-500))),TEXT(INDEX('My equipment'!$L$4:$L$503,(_calc!$E$518-500)),"yyyy-mm-dd"),""))=0,"","Labor end: "&amp;IF(ISNUMBER(INDEX('My equipment'!$L$4:$L$503,(_calc!$E$518-500))),TEXT(INDEX('My equipment'!$L$4:$L$503,(_calc!$E$518-500)),"yyyy-mm-dd"),"")&amp;". ")&amp;IF(LEN(IF(ISNUMBER(INDEX('My equipment'!$P$4:$P$503,(_calc!$E$518-500))),TEXT(INDEX('My equipment'!$P$4:$P$503,(_calc!$E$518-500)),"yyyy-mm-dd"),""))=0,"","Check by: "&amp;IF(ISNUMBER(INDEX('My equipment'!$P$4:$P$503,(_calc!$E$518-500))),TEXT(INDEX('My equipment'!$P$4:$P$503,(_calc!$E$518-500)),"yyyy-mm-dd"),"")&amp;". ")&amp;IF(LEN(IF(LEN(INDEX('My equipment'!$Q$4:$Q$503,(_calc!$E$518-500)))=0,"",INDEX('My equipment'!$Q$4:$Q$503,(_calc!$E$518-500))))=0,"","Claim status: "&amp;IF(LEN(INDEX('My equipment'!$Q$4:$Q$503,(_calc!$E$518-500)))=0,"",INDEX('My equipment'!$Q$4:$Q$503,(_calc!$E$518-500)))&amp;". ")&amp;IF(LEN(IF(LEN(INDEX('My equipment'!$R$4:$R$503,(_calc!$E$518-500)))=0,"",INDEX('My equipment'!$R$4:$R$503,(_calc!$E$518-500))))=0,"","Claims contact: "&amp;IF(LEN(INDEX('My equipment'!$R$4:$R$503,(_calc!$E$518-500)))=0,"",INDEX('My equipment'!$R$4:$R$503,(_calc!$E$518-500)))&amp;". ")&amp;IF(LEN(IF(LEN(INDEX('My equipment'!$S$4:$S$503,(_calc!$E$518-500)))=0,"",INDEX('My equipment'!$S$4:$S$503,(_calc!$E$518-500))))=0,"","Claims email: "&amp;IF(LEN(INDEX('My equipment'!$S$4:$S$503,(_calc!$E$518-500)))=0,"",INDEX('My equipment'!$S$4:$S$503,(_calc!$E$518-500)))&amp;". ")&amp;IF(LEN(IF(LEN(INDEX('My equipment'!$U$4:$U$503,(_calc!$E$518-500)))=0,"",INDEX('My equipment'!$U$4:$U$503,(_calc!$E$518-500))))=0,"","Registered: "&amp;IF(LEN(INDEX('My equipment'!$U$4:$U$503,(_calc!$E$518-500)))=0,"",INDEX('My equipment'!$U$4:$U$503,(_calc!$E$518-500)))&amp;". ")&amp;IF(LEN(IF(LEN(INDEX('My equipment'!$V$4:$V$503,(_calc!$E$518-500)))=0,"",INDEX('My equipment'!$V$4:$V$503,(_calc!$E$518-500))))=0,"","Proof on file: "&amp;IF(LEN(INDEX('My equipment'!$V$4:$V$503,(_calc!$E$518-500)))=0,"",INDEX('My equipment'!$V$4:$V$503,(_calc!$E$518-500)))&amp;". ")&amp;IF(LEN(IF(LEN(INDEX('My equipment'!$W$4:$W$503,(_calc!$E$518-500)))=0,"",INDEX('My equipment'!$W$4:$W$503,(_calc!$E$518-500))))=0,"","Claim ref: "&amp;IF(LEN(INDEX('My equipment'!$W$4:$W$503,(_calc!$E$518-500)))=0,"",INDEX('My equipment'!$W$4:$W$503,(_calc!$E$518-500)))&amp;". ")&amp;IF(LEN(IF(LEN(INDEX('My equipment'!$Y$4:$Y$503,(_calc!$E$518-500)))=0,"",INDEX('My equipment'!$Y$4:$Y$503,(_calc!$E$518-500))))=0,"",IF(LEN(INDEX('My equipment'!$Y$4:$Y$503,(_calc!$E$518-500)))=0,"",INDEX('My equipment'!$Y$4:$Y$503,(_calc!$E$518-500)))))))</f>
        <v/>
      </c>
      <c r="G516" s="54">
        <f>IF(_calc!$E$518="","",IF(_calc!$E$518&lt;=500,"",IF(LEN(INDEX('My equipment'!$X$4:$X$503,(_calc!$E$518-500)))=0,"",INDEX('My equipment'!$X$4:$X$503,(_calc!$E$518-500)))))</f>
        <v/>
      </c>
      <c r="K516" s="54">
        <f>IF(_calc!$E$518="","",IF(_calc!$E$518&lt;=500,"",IF(LEN(INDEX('My equipment'!$T$4:$T$503,(_calc!$E$518-500)))=0,"",INDEX('My equipment'!$T$4:$T$503,(_calc!$E$518-500)))))</f>
        <v/>
      </c>
    </row>
    <row r="517">
      <c r="A517" s="54">
        <f>IF(_calc!$E$519="","",IF(_calc!$E$519&lt;=500,"Warranty – "&amp;IF(LEN(INDEX('Dealer pipeline'!$C$4:$C$503,_calc!$E$519))=0,"",INDEX('Dealer pipeline'!$C$4:$C$503,_calc!$E$519))&amp;" – "&amp;IF(LEN(INDEX('Dealer pipeline'!$D$4:$D$503,_calc!$E$519))=0,"",INDEX('Dealer pipeline'!$D$4:$D$503,_calc!$E$519))&amp;" – "&amp;IF(LEN(INDEX('Dealer pipeline'!$A$4:$A$503,_calc!$E$519))=0,"",INDEX('Dealer pipeline'!$A$4:$A$503,_calc!$E$519)),"Warranty – "&amp;IF(LEN(INDEX('My equipment'!$A$4:$A$503,(_calc!$E$519-500)))=0,"",INDEX('My equipment'!$A$4:$A$503,(_calc!$E$519-500)))&amp;" – "&amp;IF(LEN(INDEX('My equipment'!$D$4:$D$503,(_calc!$E$519-500)))=0,"",INDEX('My equipment'!$D$4:$D$503,(_calc!$E$519-500)))))</f>
        <v/>
      </c>
      <c r="B517" s="54">
        <f>IF(_calc!$E$519="","",IF(_calc!$E$519&lt;=500,IF(ISNUMBER(INDEX('Dealer pipeline'!$M$4:$M$503,_calc!$E$519)),TEXT(INDEX('Dealer pipeline'!$M$4:$M$503,_calc!$E$519),"yyyy-mm-dd"),""),IF(ISNUMBER(INDEX('My equipment'!$M$4:$M$503,(_calc!$E$519-500))),TEXT(INDEX('My equipment'!$M$4:$M$503,(_calc!$E$519-500)),"yyyy-mm-dd"),"")))</f>
        <v/>
      </c>
      <c r="C517" s="54">
        <f>IF(_calc!$E$519="","",IF(_calc!$E$519&lt;=500,"Warranty","Warranty"))</f>
        <v/>
      </c>
      <c r="D517" s="54">
        <f>IF(_calc!$E$519="","",IF(_calc!$E$519&lt;=500,IF(ISNUMBER(INDEX('Dealer pipeline'!$H$4:$H$503,_calc!$E$519)),TEXT(INDEX('Dealer pipeline'!$H$4:$H$503,_calc!$E$519),"yyyy-mm-dd"),""),IF(ISNUMBER(INDEX('My equipment'!$H$4:$H$503,(_calc!$E$519-500))),TEXT(INDEX('My equipment'!$H$4:$H$503,(_calc!$E$519-500)),"yyyy-mm-dd"),"")))</f>
        <v/>
      </c>
      <c r="F517" s="54">
        <f>IF(_calc!$E$519="","",IF(_calc!$E$519&lt;=500,TRIM(IF(LEN(IF(LEN(INDEX('Dealer pipeline'!$A$4:$A$503,_calc!$E$519))=0,"",INDEX('Dealer pipeline'!$A$4:$A$503,_calc!$E$519)))=0,"","Customer: "&amp;IF(LEN(INDEX('Dealer pipeline'!$A$4:$A$503,_calc!$E$519))=0,"",INDEX('Dealer pipeline'!$A$4:$A$503,_calc!$E$519))&amp;". ")&amp;IF(LEN(IF(LEN(INDEX('Dealer pipeline'!$B$4:$B$503,_calc!$E$519))=0,"",INDEX('Dealer pipeline'!$B$4:$B$503,_calc!$E$519)))=0,"","Contact: "&amp;IF(LEN(INDEX('Dealer pipeline'!$B$4:$B$503,_calc!$E$519))=0,"",INDEX('Dealer pipeline'!$B$4:$B$503,_calc!$E$519))&amp;". ")&amp;IF(LEN(IF(LEN(INDEX('Dealer pipeline'!$D$4:$D$503,_calc!$E$519))=0,"",INDEX('Dealer pipeline'!$D$4:$D$503,_calc!$E$519)))=0,"","Serial: "&amp;IF(LEN(INDEX('Dealer pipeline'!$D$4:$D$503,_calc!$E$519))=0,"",INDEX('Dealer pipeline'!$D$4:$D$503,_calc!$E$519))&amp;". ")&amp;IF(LEN(IF(ISNUMBER(INDEX('Dealer pipeline'!$J$4:$J$503,_calc!$E$519)),TEXT(INDEX('Dealer pipeline'!$J$4:$J$503,_calc!$E$519),"yyyy-mm-dd"),""))=0,"","Parts end: "&amp;IF(ISNUMBER(INDEX('Dealer pipeline'!$J$4:$J$503,_calc!$E$519)),TEXT(INDEX('Dealer pipeline'!$J$4:$J$503,_calc!$E$519),"yyyy-mm-dd"),"")&amp;". ")&amp;IF(LEN(IF(ISNUMBER(INDEX('Dealer pipeline'!$L$4:$L$503,_calc!$E$519)),TEXT(INDEX('Dealer pipeline'!$L$4:$L$503,_calc!$E$519),"yyyy-mm-dd"),""))=0,"","Labor end: "&amp;IF(ISNUMBER(INDEX('Dealer pipeline'!$L$4:$L$503,_calc!$E$519)),TEXT(INDEX('Dealer pipeline'!$L$4:$L$503,_calc!$E$519),"yyyy-mm-dd"),"")&amp;". ")&amp;IF(LEN(IF(LEN(INDEX('Dealer pipeline'!$Q$4:$Q$503,_calc!$E$519))=0,"",INDEX('Dealer pipeline'!$Q$4:$Q$503,_calc!$E$519)))=0,"","Status: "&amp;IF(LEN(INDEX('Dealer pipeline'!$Q$4:$Q$503,_calc!$E$519))=0,"",INDEX('Dealer pipeline'!$Q$4:$Q$503,_calc!$E$519))&amp;". ")&amp;IF(LEN(IF(LEN(INDEX('Dealer pipeline'!$P$4:$P$503,_calc!$E$519))=0,"",INDEX('Dealer pipeline'!$P$4:$P$503,_calc!$E$519)))=0,"","Last touch: "&amp;IF(LEN(INDEX('Dealer pipeline'!$P$4:$P$503,_calc!$E$519))=0,"",INDEX('Dealer pipeline'!$P$4:$P$503,_calc!$E$519))&amp;". ")&amp;IF(LEN(IF(LEN(INDEX('Dealer pipeline'!$R$4:$R$503,_calc!$E$519))=0,"",INDEX('Dealer pipeline'!$R$4:$R$503,_calc!$E$519)))=0,"","Owner: "&amp;IF(LEN(INDEX('Dealer pipeline'!$R$4:$R$503,_calc!$E$519))=0,"",INDEX('Dealer pipeline'!$R$4:$R$503,_calc!$E$519))&amp;". ")&amp;IF(LEN(IF(LEN(INDEX('Dealer pipeline'!$S$4:$S$503,_calc!$E$519))=0,"",INDEX('Dealer pipeline'!$S$4:$S$503,_calc!$E$519)))=0,"","Backup: "&amp;IF(LEN(INDEX('Dealer pipeline'!$S$4:$S$503,_calc!$E$519))=0,"",INDEX('Dealer pipeline'!$S$4:$S$503,_calc!$E$519))&amp;". ")&amp;IF(LEN(IF(LEN(INDEX('Dealer pipeline'!$T$4:$T$503,_calc!$E$519))=0,"",INDEX('Dealer pipeline'!$T$4:$T$503,_calc!$E$519)))=0,"",IF(LEN(INDEX('Dealer pipeline'!$T$4:$T$503,_calc!$E$519))=0,"",INDEX('Dealer pipeline'!$T$4:$T$503,_calc!$E$519)))),TRIM(IF(LEN(IF(LEN(INDEX('My equipment'!$C$4:$C$503,(_calc!$E$519-500)))=0,"",INDEX('My equipment'!$C$4:$C$503,(_calc!$E$519-500))))=0,"","Model: "&amp;IF(LEN(INDEX('My equipment'!$C$4:$C$503,(_calc!$E$519-500)))=0,"",INDEX('My equipment'!$C$4:$C$503,(_calc!$E$519-500)))&amp;". ")&amp;IF(LEN(IF(LEN(INDEX('My equipment'!$D$4:$D$503,(_calc!$E$519-500)))=0,"",INDEX('My equipment'!$D$4:$D$503,(_calc!$E$519-500))))=0,"","Serial: "&amp;IF(LEN(INDEX('My equipment'!$D$4:$D$503,(_calc!$E$519-500)))=0,"",INDEX('My equipment'!$D$4:$D$503,(_calc!$E$519-500)))&amp;". ")&amp;IF(LEN(IF(ISNUMBER(INDEX('My equipment'!$J$4:$J$503,(_calc!$E$519-500))),TEXT(INDEX('My equipment'!$J$4:$J$503,(_calc!$E$519-500)),"yyyy-mm-dd"),""))=0,"","Parts end: "&amp;IF(ISNUMBER(INDEX('My equipment'!$J$4:$J$503,(_calc!$E$519-500))),TEXT(INDEX('My equipment'!$J$4:$J$503,(_calc!$E$519-500)),"yyyy-mm-dd"),"")&amp;". ")&amp;IF(LEN(IF(ISNUMBER(INDEX('My equipment'!$L$4:$L$503,(_calc!$E$519-500))),TEXT(INDEX('My equipment'!$L$4:$L$503,(_calc!$E$519-500)),"yyyy-mm-dd"),""))=0,"","Labor end: "&amp;IF(ISNUMBER(INDEX('My equipment'!$L$4:$L$503,(_calc!$E$519-500))),TEXT(INDEX('My equipment'!$L$4:$L$503,(_calc!$E$519-500)),"yyyy-mm-dd"),"")&amp;". ")&amp;IF(LEN(IF(ISNUMBER(INDEX('My equipment'!$P$4:$P$503,(_calc!$E$519-500))),TEXT(INDEX('My equipment'!$P$4:$P$503,(_calc!$E$519-500)),"yyyy-mm-dd"),""))=0,"","Check by: "&amp;IF(ISNUMBER(INDEX('My equipment'!$P$4:$P$503,(_calc!$E$519-500))),TEXT(INDEX('My equipment'!$P$4:$P$503,(_calc!$E$519-500)),"yyyy-mm-dd"),"")&amp;". ")&amp;IF(LEN(IF(LEN(INDEX('My equipment'!$Q$4:$Q$503,(_calc!$E$519-500)))=0,"",INDEX('My equipment'!$Q$4:$Q$503,(_calc!$E$519-500))))=0,"","Claim status: "&amp;IF(LEN(INDEX('My equipment'!$Q$4:$Q$503,(_calc!$E$519-500)))=0,"",INDEX('My equipment'!$Q$4:$Q$503,(_calc!$E$519-500)))&amp;". ")&amp;IF(LEN(IF(LEN(INDEX('My equipment'!$R$4:$R$503,(_calc!$E$519-500)))=0,"",INDEX('My equipment'!$R$4:$R$503,(_calc!$E$519-500))))=0,"","Claims contact: "&amp;IF(LEN(INDEX('My equipment'!$R$4:$R$503,(_calc!$E$519-500)))=0,"",INDEX('My equipment'!$R$4:$R$503,(_calc!$E$519-500)))&amp;". ")&amp;IF(LEN(IF(LEN(INDEX('My equipment'!$S$4:$S$503,(_calc!$E$519-500)))=0,"",INDEX('My equipment'!$S$4:$S$503,(_calc!$E$519-500))))=0,"","Claims email: "&amp;IF(LEN(INDEX('My equipment'!$S$4:$S$503,(_calc!$E$519-500)))=0,"",INDEX('My equipment'!$S$4:$S$503,(_calc!$E$519-500)))&amp;". ")&amp;IF(LEN(IF(LEN(INDEX('My equipment'!$U$4:$U$503,(_calc!$E$519-500)))=0,"",INDEX('My equipment'!$U$4:$U$503,(_calc!$E$519-500))))=0,"","Registered: "&amp;IF(LEN(INDEX('My equipment'!$U$4:$U$503,(_calc!$E$519-500)))=0,"",INDEX('My equipment'!$U$4:$U$503,(_calc!$E$519-500)))&amp;". ")&amp;IF(LEN(IF(LEN(INDEX('My equipment'!$V$4:$V$503,(_calc!$E$519-500)))=0,"",INDEX('My equipment'!$V$4:$V$503,(_calc!$E$519-500))))=0,"","Proof on file: "&amp;IF(LEN(INDEX('My equipment'!$V$4:$V$503,(_calc!$E$519-500)))=0,"",INDEX('My equipment'!$V$4:$V$503,(_calc!$E$519-500)))&amp;". ")&amp;IF(LEN(IF(LEN(INDEX('My equipment'!$W$4:$W$503,(_calc!$E$519-500)))=0,"",INDEX('My equipment'!$W$4:$W$503,(_calc!$E$519-500))))=0,"","Claim ref: "&amp;IF(LEN(INDEX('My equipment'!$W$4:$W$503,(_calc!$E$519-500)))=0,"",INDEX('My equipment'!$W$4:$W$503,(_calc!$E$519-500)))&amp;". ")&amp;IF(LEN(IF(LEN(INDEX('My equipment'!$Y$4:$Y$503,(_calc!$E$519-500)))=0,"",INDEX('My equipment'!$Y$4:$Y$503,(_calc!$E$519-500))))=0,"",IF(LEN(INDEX('My equipment'!$Y$4:$Y$503,(_calc!$E$519-500)))=0,"",INDEX('My equipment'!$Y$4:$Y$503,(_calc!$E$519-500)))))))</f>
        <v/>
      </c>
      <c r="G517" s="54">
        <f>IF(_calc!$E$519="","",IF(_calc!$E$519&lt;=500,"",IF(LEN(INDEX('My equipment'!$X$4:$X$503,(_calc!$E$519-500)))=0,"",INDEX('My equipment'!$X$4:$X$503,(_calc!$E$519-500)))))</f>
        <v/>
      </c>
      <c r="K517" s="54">
        <f>IF(_calc!$E$519="","",IF(_calc!$E$519&lt;=500,"",IF(LEN(INDEX('My equipment'!$T$4:$T$503,(_calc!$E$519-500)))=0,"",INDEX('My equipment'!$T$4:$T$503,(_calc!$E$519-500)))))</f>
        <v/>
      </c>
    </row>
    <row r="518">
      <c r="A518" s="54">
        <f>IF(_calc!$E$520="","",IF(_calc!$E$520&lt;=500,"Warranty – "&amp;IF(LEN(INDEX('Dealer pipeline'!$C$4:$C$503,_calc!$E$520))=0,"",INDEX('Dealer pipeline'!$C$4:$C$503,_calc!$E$520))&amp;" – "&amp;IF(LEN(INDEX('Dealer pipeline'!$D$4:$D$503,_calc!$E$520))=0,"",INDEX('Dealer pipeline'!$D$4:$D$503,_calc!$E$520))&amp;" – "&amp;IF(LEN(INDEX('Dealer pipeline'!$A$4:$A$503,_calc!$E$520))=0,"",INDEX('Dealer pipeline'!$A$4:$A$503,_calc!$E$520)),"Warranty – "&amp;IF(LEN(INDEX('My equipment'!$A$4:$A$503,(_calc!$E$520-500)))=0,"",INDEX('My equipment'!$A$4:$A$503,(_calc!$E$520-500)))&amp;" – "&amp;IF(LEN(INDEX('My equipment'!$D$4:$D$503,(_calc!$E$520-500)))=0,"",INDEX('My equipment'!$D$4:$D$503,(_calc!$E$520-500)))))</f>
        <v/>
      </c>
      <c r="B518" s="54">
        <f>IF(_calc!$E$520="","",IF(_calc!$E$520&lt;=500,IF(ISNUMBER(INDEX('Dealer pipeline'!$M$4:$M$503,_calc!$E$520)),TEXT(INDEX('Dealer pipeline'!$M$4:$M$503,_calc!$E$520),"yyyy-mm-dd"),""),IF(ISNUMBER(INDEX('My equipment'!$M$4:$M$503,(_calc!$E$520-500))),TEXT(INDEX('My equipment'!$M$4:$M$503,(_calc!$E$520-500)),"yyyy-mm-dd"),"")))</f>
        <v/>
      </c>
      <c r="C518" s="54">
        <f>IF(_calc!$E$520="","",IF(_calc!$E$520&lt;=500,"Warranty","Warranty"))</f>
        <v/>
      </c>
      <c r="D518" s="54">
        <f>IF(_calc!$E$520="","",IF(_calc!$E$520&lt;=500,IF(ISNUMBER(INDEX('Dealer pipeline'!$H$4:$H$503,_calc!$E$520)),TEXT(INDEX('Dealer pipeline'!$H$4:$H$503,_calc!$E$520),"yyyy-mm-dd"),""),IF(ISNUMBER(INDEX('My equipment'!$H$4:$H$503,(_calc!$E$520-500))),TEXT(INDEX('My equipment'!$H$4:$H$503,(_calc!$E$520-500)),"yyyy-mm-dd"),"")))</f>
        <v/>
      </c>
      <c r="F518" s="54">
        <f>IF(_calc!$E$520="","",IF(_calc!$E$520&lt;=500,TRIM(IF(LEN(IF(LEN(INDEX('Dealer pipeline'!$A$4:$A$503,_calc!$E$520))=0,"",INDEX('Dealer pipeline'!$A$4:$A$503,_calc!$E$520)))=0,"","Customer: "&amp;IF(LEN(INDEX('Dealer pipeline'!$A$4:$A$503,_calc!$E$520))=0,"",INDEX('Dealer pipeline'!$A$4:$A$503,_calc!$E$520))&amp;". ")&amp;IF(LEN(IF(LEN(INDEX('Dealer pipeline'!$B$4:$B$503,_calc!$E$520))=0,"",INDEX('Dealer pipeline'!$B$4:$B$503,_calc!$E$520)))=0,"","Contact: "&amp;IF(LEN(INDEX('Dealer pipeline'!$B$4:$B$503,_calc!$E$520))=0,"",INDEX('Dealer pipeline'!$B$4:$B$503,_calc!$E$520))&amp;". ")&amp;IF(LEN(IF(LEN(INDEX('Dealer pipeline'!$D$4:$D$503,_calc!$E$520))=0,"",INDEX('Dealer pipeline'!$D$4:$D$503,_calc!$E$520)))=0,"","Serial: "&amp;IF(LEN(INDEX('Dealer pipeline'!$D$4:$D$503,_calc!$E$520))=0,"",INDEX('Dealer pipeline'!$D$4:$D$503,_calc!$E$520))&amp;". ")&amp;IF(LEN(IF(ISNUMBER(INDEX('Dealer pipeline'!$J$4:$J$503,_calc!$E$520)),TEXT(INDEX('Dealer pipeline'!$J$4:$J$503,_calc!$E$520),"yyyy-mm-dd"),""))=0,"","Parts end: "&amp;IF(ISNUMBER(INDEX('Dealer pipeline'!$J$4:$J$503,_calc!$E$520)),TEXT(INDEX('Dealer pipeline'!$J$4:$J$503,_calc!$E$520),"yyyy-mm-dd"),"")&amp;". ")&amp;IF(LEN(IF(ISNUMBER(INDEX('Dealer pipeline'!$L$4:$L$503,_calc!$E$520)),TEXT(INDEX('Dealer pipeline'!$L$4:$L$503,_calc!$E$520),"yyyy-mm-dd"),""))=0,"","Labor end: "&amp;IF(ISNUMBER(INDEX('Dealer pipeline'!$L$4:$L$503,_calc!$E$520)),TEXT(INDEX('Dealer pipeline'!$L$4:$L$503,_calc!$E$520),"yyyy-mm-dd"),"")&amp;". ")&amp;IF(LEN(IF(LEN(INDEX('Dealer pipeline'!$Q$4:$Q$503,_calc!$E$520))=0,"",INDEX('Dealer pipeline'!$Q$4:$Q$503,_calc!$E$520)))=0,"","Status: "&amp;IF(LEN(INDEX('Dealer pipeline'!$Q$4:$Q$503,_calc!$E$520))=0,"",INDEX('Dealer pipeline'!$Q$4:$Q$503,_calc!$E$520))&amp;". ")&amp;IF(LEN(IF(LEN(INDEX('Dealer pipeline'!$P$4:$P$503,_calc!$E$520))=0,"",INDEX('Dealer pipeline'!$P$4:$P$503,_calc!$E$520)))=0,"","Last touch: "&amp;IF(LEN(INDEX('Dealer pipeline'!$P$4:$P$503,_calc!$E$520))=0,"",INDEX('Dealer pipeline'!$P$4:$P$503,_calc!$E$520))&amp;". ")&amp;IF(LEN(IF(LEN(INDEX('Dealer pipeline'!$R$4:$R$503,_calc!$E$520))=0,"",INDEX('Dealer pipeline'!$R$4:$R$503,_calc!$E$520)))=0,"","Owner: "&amp;IF(LEN(INDEX('Dealer pipeline'!$R$4:$R$503,_calc!$E$520))=0,"",INDEX('Dealer pipeline'!$R$4:$R$503,_calc!$E$520))&amp;". ")&amp;IF(LEN(IF(LEN(INDEX('Dealer pipeline'!$S$4:$S$503,_calc!$E$520))=0,"",INDEX('Dealer pipeline'!$S$4:$S$503,_calc!$E$520)))=0,"","Backup: "&amp;IF(LEN(INDEX('Dealer pipeline'!$S$4:$S$503,_calc!$E$520))=0,"",INDEX('Dealer pipeline'!$S$4:$S$503,_calc!$E$520))&amp;". ")&amp;IF(LEN(IF(LEN(INDEX('Dealer pipeline'!$T$4:$T$503,_calc!$E$520))=0,"",INDEX('Dealer pipeline'!$T$4:$T$503,_calc!$E$520)))=0,"",IF(LEN(INDEX('Dealer pipeline'!$T$4:$T$503,_calc!$E$520))=0,"",INDEX('Dealer pipeline'!$T$4:$T$503,_calc!$E$520)))),TRIM(IF(LEN(IF(LEN(INDEX('My equipment'!$C$4:$C$503,(_calc!$E$520-500)))=0,"",INDEX('My equipment'!$C$4:$C$503,(_calc!$E$520-500))))=0,"","Model: "&amp;IF(LEN(INDEX('My equipment'!$C$4:$C$503,(_calc!$E$520-500)))=0,"",INDEX('My equipment'!$C$4:$C$503,(_calc!$E$520-500)))&amp;". ")&amp;IF(LEN(IF(LEN(INDEX('My equipment'!$D$4:$D$503,(_calc!$E$520-500)))=0,"",INDEX('My equipment'!$D$4:$D$503,(_calc!$E$520-500))))=0,"","Serial: "&amp;IF(LEN(INDEX('My equipment'!$D$4:$D$503,(_calc!$E$520-500)))=0,"",INDEX('My equipment'!$D$4:$D$503,(_calc!$E$520-500)))&amp;". ")&amp;IF(LEN(IF(ISNUMBER(INDEX('My equipment'!$J$4:$J$503,(_calc!$E$520-500))),TEXT(INDEX('My equipment'!$J$4:$J$503,(_calc!$E$520-500)),"yyyy-mm-dd"),""))=0,"","Parts end: "&amp;IF(ISNUMBER(INDEX('My equipment'!$J$4:$J$503,(_calc!$E$520-500))),TEXT(INDEX('My equipment'!$J$4:$J$503,(_calc!$E$520-500)),"yyyy-mm-dd"),"")&amp;". ")&amp;IF(LEN(IF(ISNUMBER(INDEX('My equipment'!$L$4:$L$503,(_calc!$E$520-500))),TEXT(INDEX('My equipment'!$L$4:$L$503,(_calc!$E$520-500)),"yyyy-mm-dd"),""))=0,"","Labor end: "&amp;IF(ISNUMBER(INDEX('My equipment'!$L$4:$L$503,(_calc!$E$520-500))),TEXT(INDEX('My equipment'!$L$4:$L$503,(_calc!$E$520-500)),"yyyy-mm-dd"),"")&amp;". ")&amp;IF(LEN(IF(ISNUMBER(INDEX('My equipment'!$P$4:$P$503,(_calc!$E$520-500))),TEXT(INDEX('My equipment'!$P$4:$P$503,(_calc!$E$520-500)),"yyyy-mm-dd"),""))=0,"","Check by: "&amp;IF(ISNUMBER(INDEX('My equipment'!$P$4:$P$503,(_calc!$E$520-500))),TEXT(INDEX('My equipment'!$P$4:$P$503,(_calc!$E$520-500)),"yyyy-mm-dd"),"")&amp;". ")&amp;IF(LEN(IF(LEN(INDEX('My equipment'!$Q$4:$Q$503,(_calc!$E$520-500)))=0,"",INDEX('My equipment'!$Q$4:$Q$503,(_calc!$E$520-500))))=0,"","Claim status: "&amp;IF(LEN(INDEX('My equipment'!$Q$4:$Q$503,(_calc!$E$520-500)))=0,"",INDEX('My equipment'!$Q$4:$Q$503,(_calc!$E$520-500)))&amp;". ")&amp;IF(LEN(IF(LEN(INDEX('My equipment'!$R$4:$R$503,(_calc!$E$520-500)))=0,"",INDEX('My equipment'!$R$4:$R$503,(_calc!$E$520-500))))=0,"","Claims contact: "&amp;IF(LEN(INDEX('My equipment'!$R$4:$R$503,(_calc!$E$520-500)))=0,"",INDEX('My equipment'!$R$4:$R$503,(_calc!$E$520-500)))&amp;". ")&amp;IF(LEN(IF(LEN(INDEX('My equipment'!$S$4:$S$503,(_calc!$E$520-500)))=0,"",INDEX('My equipment'!$S$4:$S$503,(_calc!$E$520-500))))=0,"","Claims email: "&amp;IF(LEN(INDEX('My equipment'!$S$4:$S$503,(_calc!$E$520-500)))=0,"",INDEX('My equipment'!$S$4:$S$503,(_calc!$E$520-500)))&amp;". ")&amp;IF(LEN(IF(LEN(INDEX('My equipment'!$U$4:$U$503,(_calc!$E$520-500)))=0,"",INDEX('My equipment'!$U$4:$U$503,(_calc!$E$520-500))))=0,"","Registered: "&amp;IF(LEN(INDEX('My equipment'!$U$4:$U$503,(_calc!$E$520-500)))=0,"",INDEX('My equipment'!$U$4:$U$503,(_calc!$E$520-500)))&amp;". ")&amp;IF(LEN(IF(LEN(INDEX('My equipment'!$V$4:$V$503,(_calc!$E$520-500)))=0,"",INDEX('My equipment'!$V$4:$V$503,(_calc!$E$520-500))))=0,"","Proof on file: "&amp;IF(LEN(INDEX('My equipment'!$V$4:$V$503,(_calc!$E$520-500)))=0,"",INDEX('My equipment'!$V$4:$V$503,(_calc!$E$520-500)))&amp;". ")&amp;IF(LEN(IF(LEN(INDEX('My equipment'!$W$4:$W$503,(_calc!$E$520-500)))=0,"",INDEX('My equipment'!$W$4:$W$503,(_calc!$E$520-500))))=0,"","Claim ref: "&amp;IF(LEN(INDEX('My equipment'!$W$4:$W$503,(_calc!$E$520-500)))=0,"",INDEX('My equipment'!$W$4:$W$503,(_calc!$E$520-500)))&amp;". ")&amp;IF(LEN(IF(LEN(INDEX('My equipment'!$Y$4:$Y$503,(_calc!$E$520-500)))=0,"",INDEX('My equipment'!$Y$4:$Y$503,(_calc!$E$520-500))))=0,"",IF(LEN(INDEX('My equipment'!$Y$4:$Y$503,(_calc!$E$520-500)))=0,"",INDEX('My equipment'!$Y$4:$Y$503,(_calc!$E$520-500)))))))</f>
        <v/>
      </c>
      <c r="G518" s="54">
        <f>IF(_calc!$E$520="","",IF(_calc!$E$520&lt;=500,"",IF(LEN(INDEX('My equipment'!$X$4:$X$503,(_calc!$E$520-500)))=0,"",INDEX('My equipment'!$X$4:$X$503,(_calc!$E$520-500)))))</f>
        <v/>
      </c>
      <c r="K518" s="54">
        <f>IF(_calc!$E$520="","",IF(_calc!$E$520&lt;=500,"",IF(LEN(INDEX('My equipment'!$T$4:$T$503,(_calc!$E$520-500)))=0,"",INDEX('My equipment'!$T$4:$T$503,(_calc!$E$520-500)))))</f>
        <v/>
      </c>
    </row>
    <row r="519">
      <c r="A519" s="54">
        <f>IF(_calc!$E$521="","",IF(_calc!$E$521&lt;=500,"Warranty – "&amp;IF(LEN(INDEX('Dealer pipeline'!$C$4:$C$503,_calc!$E$521))=0,"",INDEX('Dealer pipeline'!$C$4:$C$503,_calc!$E$521))&amp;" – "&amp;IF(LEN(INDEX('Dealer pipeline'!$D$4:$D$503,_calc!$E$521))=0,"",INDEX('Dealer pipeline'!$D$4:$D$503,_calc!$E$521))&amp;" – "&amp;IF(LEN(INDEX('Dealer pipeline'!$A$4:$A$503,_calc!$E$521))=0,"",INDEX('Dealer pipeline'!$A$4:$A$503,_calc!$E$521)),"Warranty – "&amp;IF(LEN(INDEX('My equipment'!$A$4:$A$503,(_calc!$E$521-500)))=0,"",INDEX('My equipment'!$A$4:$A$503,(_calc!$E$521-500)))&amp;" – "&amp;IF(LEN(INDEX('My equipment'!$D$4:$D$503,(_calc!$E$521-500)))=0,"",INDEX('My equipment'!$D$4:$D$503,(_calc!$E$521-500)))))</f>
        <v/>
      </c>
      <c r="B519" s="54">
        <f>IF(_calc!$E$521="","",IF(_calc!$E$521&lt;=500,IF(ISNUMBER(INDEX('Dealer pipeline'!$M$4:$M$503,_calc!$E$521)),TEXT(INDEX('Dealer pipeline'!$M$4:$M$503,_calc!$E$521),"yyyy-mm-dd"),""),IF(ISNUMBER(INDEX('My equipment'!$M$4:$M$503,(_calc!$E$521-500))),TEXT(INDEX('My equipment'!$M$4:$M$503,(_calc!$E$521-500)),"yyyy-mm-dd"),"")))</f>
        <v/>
      </c>
      <c r="C519" s="54">
        <f>IF(_calc!$E$521="","",IF(_calc!$E$521&lt;=500,"Warranty","Warranty"))</f>
        <v/>
      </c>
      <c r="D519" s="54">
        <f>IF(_calc!$E$521="","",IF(_calc!$E$521&lt;=500,IF(ISNUMBER(INDEX('Dealer pipeline'!$H$4:$H$503,_calc!$E$521)),TEXT(INDEX('Dealer pipeline'!$H$4:$H$503,_calc!$E$521),"yyyy-mm-dd"),""),IF(ISNUMBER(INDEX('My equipment'!$H$4:$H$503,(_calc!$E$521-500))),TEXT(INDEX('My equipment'!$H$4:$H$503,(_calc!$E$521-500)),"yyyy-mm-dd"),"")))</f>
        <v/>
      </c>
      <c r="F519" s="54">
        <f>IF(_calc!$E$521="","",IF(_calc!$E$521&lt;=500,TRIM(IF(LEN(IF(LEN(INDEX('Dealer pipeline'!$A$4:$A$503,_calc!$E$521))=0,"",INDEX('Dealer pipeline'!$A$4:$A$503,_calc!$E$521)))=0,"","Customer: "&amp;IF(LEN(INDEX('Dealer pipeline'!$A$4:$A$503,_calc!$E$521))=0,"",INDEX('Dealer pipeline'!$A$4:$A$503,_calc!$E$521))&amp;". ")&amp;IF(LEN(IF(LEN(INDEX('Dealer pipeline'!$B$4:$B$503,_calc!$E$521))=0,"",INDEX('Dealer pipeline'!$B$4:$B$503,_calc!$E$521)))=0,"","Contact: "&amp;IF(LEN(INDEX('Dealer pipeline'!$B$4:$B$503,_calc!$E$521))=0,"",INDEX('Dealer pipeline'!$B$4:$B$503,_calc!$E$521))&amp;". ")&amp;IF(LEN(IF(LEN(INDEX('Dealer pipeline'!$D$4:$D$503,_calc!$E$521))=0,"",INDEX('Dealer pipeline'!$D$4:$D$503,_calc!$E$521)))=0,"","Serial: "&amp;IF(LEN(INDEX('Dealer pipeline'!$D$4:$D$503,_calc!$E$521))=0,"",INDEX('Dealer pipeline'!$D$4:$D$503,_calc!$E$521))&amp;". ")&amp;IF(LEN(IF(ISNUMBER(INDEX('Dealer pipeline'!$J$4:$J$503,_calc!$E$521)),TEXT(INDEX('Dealer pipeline'!$J$4:$J$503,_calc!$E$521),"yyyy-mm-dd"),""))=0,"","Parts end: "&amp;IF(ISNUMBER(INDEX('Dealer pipeline'!$J$4:$J$503,_calc!$E$521)),TEXT(INDEX('Dealer pipeline'!$J$4:$J$503,_calc!$E$521),"yyyy-mm-dd"),"")&amp;". ")&amp;IF(LEN(IF(ISNUMBER(INDEX('Dealer pipeline'!$L$4:$L$503,_calc!$E$521)),TEXT(INDEX('Dealer pipeline'!$L$4:$L$503,_calc!$E$521),"yyyy-mm-dd"),""))=0,"","Labor end: "&amp;IF(ISNUMBER(INDEX('Dealer pipeline'!$L$4:$L$503,_calc!$E$521)),TEXT(INDEX('Dealer pipeline'!$L$4:$L$503,_calc!$E$521),"yyyy-mm-dd"),"")&amp;". ")&amp;IF(LEN(IF(LEN(INDEX('Dealer pipeline'!$Q$4:$Q$503,_calc!$E$521))=0,"",INDEX('Dealer pipeline'!$Q$4:$Q$503,_calc!$E$521)))=0,"","Status: "&amp;IF(LEN(INDEX('Dealer pipeline'!$Q$4:$Q$503,_calc!$E$521))=0,"",INDEX('Dealer pipeline'!$Q$4:$Q$503,_calc!$E$521))&amp;". ")&amp;IF(LEN(IF(LEN(INDEX('Dealer pipeline'!$P$4:$P$503,_calc!$E$521))=0,"",INDEX('Dealer pipeline'!$P$4:$P$503,_calc!$E$521)))=0,"","Last touch: "&amp;IF(LEN(INDEX('Dealer pipeline'!$P$4:$P$503,_calc!$E$521))=0,"",INDEX('Dealer pipeline'!$P$4:$P$503,_calc!$E$521))&amp;". ")&amp;IF(LEN(IF(LEN(INDEX('Dealer pipeline'!$R$4:$R$503,_calc!$E$521))=0,"",INDEX('Dealer pipeline'!$R$4:$R$503,_calc!$E$521)))=0,"","Owner: "&amp;IF(LEN(INDEX('Dealer pipeline'!$R$4:$R$503,_calc!$E$521))=0,"",INDEX('Dealer pipeline'!$R$4:$R$503,_calc!$E$521))&amp;". ")&amp;IF(LEN(IF(LEN(INDEX('Dealer pipeline'!$S$4:$S$503,_calc!$E$521))=0,"",INDEX('Dealer pipeline'!$S$4:$S$503,_calc!$E$521)))=0,"","Backup: "&amp;IF(LEN(INDEX('Dealer pipeline'!$S$4:$S$503,_calc!$E$521))=0,"",INDEX('Dealer pipeline'!$S$4:$S$503,_calc!$E$521))&amp;". ")&amp;IF(LEN(IF(LEN(INDEX('Dealer pipeline'!$T$4:$T$503,_calc!$E$521))=0,"",INDEX('Dealer pipeline'!$T$4:$T$503,_calc!$E$521)))=0,"",IF(LEN(INDEX('Dealer pipeline'!$T$4:$T$503,_calc!$E$521))=0,"",INDEX('Dealer pipeline'!$T$4:$T$503,_calc!$E$521)))),TRIM(IF(LEN(IF(LEN(INDEX('My equipment'!$C$4:$C$503,(_calc!$E$521-500)))=0,"",INDEX('My equipment'!$C$4:$C$503,(_calc!$E$521-500))))=0,"","Model: "&amp;IF(LEN(INDEX('My equipment'!$C$4:$C$503,(_calc!$E$521-500)))=0,"",INDEX('My equipment'!$C$4:$C$503,(_calc!$E$521-500)))&amp;". ")&amp;IF(LEN(IF(LEN(INDEX('My equipment'!$D$4:$D$503,(_calc!$E$521-500)))=0,"",INDEX('My equipment'!$D$4:$D$503,(_calc!$E$521-500))))=0,"","Serial: "&amp;IF(LEN(INDEX('My equipment'!$D$4:$D$503,(_calc!$E$521-500)))=0,"",INDEX('My equipment'!$D$4:$D$503,(_calc!$E$521-500)))&amp;". ")&amp;IF(LEN(IF(ISNUMBER(INDEX('My equipment'!$J$4:$J$503,(_calc!$E$521-500))),TEXT(INDEX('My equipment'!$J$4:$J$503,(_calc!$E$521-500)),"yyyy-mm-dd"),""))=0,"","Parts end: "&amp;IF(ISNUMBER(INDEX('My equipment'!$J$4:$J$503,(_calc!$E$521-500))),TEXT(INDEX('My equipment'!$J$4:$J$503,(_calc!$E$521-500)),"yyyy-mm-dd"),"")&amp;". ")&amp;IF(LEN(IF(ISNUMBER(INDEX('My equipment'!$L$4:$L$503,(_calc!$E$521-500))),TEXT(INDEX('My equipment'!$L$4:$L$503,(_calc!$E$521-500)),"yyyy-mm-dd"),""))=0,"","Labor end: "&amp;IF(ISNUMBER(INDEX('My equipment'!$L$4:$L$503,(_calc!$E$521-500))),TEXT(INDEX('My equipment'!$L$4:$L$503,(_calc!$E$521-500)),"yyyy-mm-dd"),"")&amp;". ")&amp;IF(LEN(IF(ISNUMBER(INDEX('My equipment'!$P$4:$P$503,(_calc!$E$521-500))),TEXT(INDEX('My equipment'!$P$4:$P$503,(_calc!$E$521-500)),"yyyy-mm-dd"),""))=0,"","Check by: "&amp;IF(ISNUMBER(INDEX('My equipment'!$P$4:$P$503,(_calc!$E$521-500))),TEXT(INDEX('My equipment'!$P$4:$P$503,(_calc!$E$521-500)),"yyyy-mm-dd"),"")&amp;". ")&amp;IF(LEN(IF(LEN(INDEX('My equipment'!$Q$4:$Q$503,(_calc!$E$521-500)))=0,"",INDEX('My equipment'!$Q$4:$Q$503,(_calc!$E$521-500))))=0,"","Claim status: "&amp;IF(LEN(INDEX('My equipment'!$Q$4:$Q$503,(_calc!$E$521-500)))=0,"",INDEX('My equipment'!$Q$4:$Q$503,(_calc!$E$521-500)))&amp;". ")&amp;IF(LEN(IF(LEN(INDEX('My equipment'!$R$4:$R$503,(_calc!$E$521-500)))=0,"",INDEX('My equipment'!$R$4:$R$503,(_calc!$E$521-500))))=0,"","Claims contact: "&amp;IF(LEN(INDEX('My equipment'!$R$4:$R$503,(_calc!$E$521-500)))=0,"",INDEX('My equipment'!$R$4:$R$503,(_calc!$E$521-500)))&amp;". ")&amp;IF(LEN(IF(LEN(INDEX('My equipment'!$S$4:$S$503,(_calc!$E$521-500)))=0,"",INDEX('My equipment'!$S$4:$S$503,(_calc!$E$521-500))))=0,"","Claims email: "&amp;IF(LEN(INDEX('My equipment'!$S$4:$S$503,(_calc!$E$521-500)))=0,"",INDEX('My equipment'!$S$4:$S$503,(_calc!$E$521-500)))&amp;". ")&amp;IF(LEN(IF(LEN(INDEX('My equipment'!$U$4:$U$503,(_calc!$E$521-500)))=0,"",INDEX('My equipment'!$U$4:$U$503,(_calc!$E$521-500))))=0,"","Registered: "&amp;IF(LEN(INDEX('My equipment'!$U$4:$U$503,(_calc!$E$521-500)))=0,"",INDEX('My equipment'!$U$4:$U$503,(_calc!$E$521-500)))&amp;". ")&amp;IF(LEN(IF(LEN(INDEX('My equipment'!$V$4:$V$503,(_calc!$E$521-500)))=0,"",INDEX('My equipment'!$V$4:$V$503,(_calc!$E$521-500))))=0,"","Proof on file: "&amp;IF(LEN(INDEX('My equipment'!$V$4:$V$503,(_calc!$E$521-500)))=0,"",INDEX('My equipment'!$V$4:$V$503,(_calc!$E$521-500)))&amp;". ")&amp;IF(LEN(IF(LEN(INDEX('My equipment'!$W$4:$W$503,(_calc!$E$521-500)))=0,"",INDEX('My equipment'!$W$4:$W$503,(_calc!$E$521-500))))=0,"","Claim ref: "&amp;IF(LEN(INDEX('My equipment'!$W$4:$W$503,(_calc!$E$521-500)))=0,"",INDEX('My equipment'!$W$4:$W$503,(_calc!$E$521-500)))&amp;". ")&amp;IF(LEN(IF(LEN(INDEX('My equipment'!$Y$4:$Y$503,(_calc!$E$521-500)))=0,"",INDEX('My equipment'!$Y$4:$Y$503,(_calc!$E$521-500))))=0,"",IF(LEN(INDEX('My equipment'!$Y$4:$Y$503,(_calc!$E$521-500)))=0,"",INDEX('My equipment'!$Y$4:$Y$503,(_calc!$E$521-500)))))))</f>
        <v/>
      </c>
      <c r="G519" s="54">
        <f>IF(_calc!$E$521="","",IF(_calc!$E$521&lt;=500,"",IF(LEN(INDEX('My equipment'!$X$4:$X$503,(_calc!$E$521-500)))=0,"",INDEX('My equipment'!$X$4:$X$503,(_calc!$E$521-500)))))</f>
        <v/>
      </c>
      <c r="K519" s="54">
        <f>IF(_calc!$E$521="","",IF(_calc!$E$521&lt;=500,"",IF(LEN(INDEX('My equipment'!$T$4:$T$503,(_calc!$E$521-500)))=0,"",INDEX('My equipment'!$T$4:$T$503,(_calc!$E$521-500)))))</f>
        <v/>
      </c>
    </row>
    <row r="520">
      <c r="A520" s="54">
        <f>IF(_calc!$E$522="","",IF(_calc!$E$522&lt;=500,"Warranty – "&amp;IF(LEN(INDEX('Dealer pipeline'!$C$4:$C$503,_calc!$E$522))=0,"",INDEX('Dealer pipeline'!$C$4:$C$503,_calc!$E$522))&amp;" – "&amp;IF(LEN(INDEX('Dealer pipeline'!$D$4:$D$503,_calc!$E$522))=0,"",INDEX('Dealer pipeline'!$D$4:$D$503,_calc!$E$522))&amp;" – "&amp;IF(LEN(INDEX('Dealer pipeline'!$A$4:$A$503,_calc!$E$522))=0,"",INDEX('Dealer pipeline'!$A$4:$A$503,_calc!$E$522)),"Warranty – "&amp;IF(LEN(INDEX('My equipment'!$A$4:$A$503,(_calc!$E$522-500)))=0,"",INDEX('My equipment'!$A$4:$A$503,(_calc!$E$522-500)))&amp;" – "&amp;IF(LEN(INDEX('My equipment'!$D$4:$D$503,(_calc!$E$522-500)))=0,"",INDEX('My equipment'!$D$4:$D$503,(_calc!$E$522-500)))))</f>
        <v/>
      </c>
      <c r="B520" s="54">
        <f>IF(_calc!$E$522="","",IF(_calc!$E$522&lt;=500,IF(ISNUMBER(INDEX('Dealer pipeline'!$M$4:$M$503,_calc!$E$522)),TEXT(INDEX('Dealer pipeline'!$M$4:$M$503,_calc!$E$522),"yyyy-mm-dd"),""),IF(ISNUMBER(INDEX('My equipment'!$M$4:$M$503,(_calc!$E$522-500))),TEXT(INDEX('My equipment'!$M$4:$M$503,(_calc!$E$522-500)),"yyyy-mm-dd"),"")))</f>
        <v/>
      </c>
      <c r="C520" s="54">
        <f>IF(_calc!$E$522="","",IF(_calc!$E$522&lt;=500,"Warranty","Warranty"))</f>
        <v/>
      </c>
      <c r="D520" s="54">
        <f>IF(_calc!$E$522="","",IF(_calc!$E$522&lt;=500,IF(ISNUMBER(INDEX('Dealer pipeline'!$H$4:$H$503,_calc!$E$522)),TEXT(INDEX('Dealer pipeline'!$H$4:$H$503,_calc!$E$522),"yyyy-mm-dd"),""),IF(ISNUMBER(INDEX('My equipment'!$H$4:$H$503,(_calc!$E$522-500))),TEXT(INDEX('My equipment'!$H$4:$H$503,(_calc!$E$522-500)),"yyyy-mm-dd"),"")))</f>
        <v/>
      </c>
      <c r="F520" s="54">
        <f>IF(_calc!$E$522="","",IF(_calc!$E$522&lt;=500,TRIM(IF(LEN(IF(LEN(INDEX('Dealer pipeline'!$A$4:$A$503,_calc!$E$522))=0,"",INDEX('Dealer pipeline'!$A$4:$A$503,_calc!$E$522)))=0,"","Customer: "&amp;IF(LEN(INDEX('Dealer pipeline'!$A$4:$A$503,_calc!$E$522))=0,"",INDEX('Dealer pipeline'!$A$4:$A$503,_calc!$E$522))&amp;". ")&amp;IF(LEN(IF(LEN(INDEX('Dealer pipeline'!$B$4:$B$503,_calc!$E$522))=0,"",INDEX('Dealer pipeline'!$B$4:$B$503,_calc!$E$522)))=0,"","Contact: "&amp;IF(LEN(INDEX('Dealer pipeline'!$B$4:$B$503,_calc!$E$522))=0,"",INDEX('Dealer pipeline'!$B$4:$B$503,_calc!$E$522))&amp;". ")&amp;IF(LEN(IF(LEN(INDEX('Dealer pipeline'!$D$4:$D$503,_calc!$E$522))=0,"",INDEX('Dealer pipeline'!$D$4:$D$503,_calc!$E$522)))=0,"","Serial: "&amp;IF(LEN(INDEX('Dealer pipeline'!$D$4:$D$503,_calc!$E$522))=0,"",INDEX('Dealer pipeline'!$D$4:$D$503,_calc!$E$522))&amp;". ")&amp;IF(LEN(IF(ISNUMBER(INDEX('Dealer pipeline'!$J$4:$J$503,_calc!$E$522)),TEXT(INDEX('Dealer pipeline'!$J$4:$J$503,_calc!$E$522),"yyyy-mm-dd"),""))=0,"","Parts end: "&amp;IF(ISNUMBER(INDEX('Dealer pipeline'!$J$4:$J$503,_calc!$E$522)),TEXT(INDEX('Dealer pipeline'!$J$4:$J$503,_calc!$E$522),"yyyy-mm-dd"),"")&amp;". ")&amp;IF(LEN(IF(ISNUMBER(INDEX('Dealer pipeline'!$L$4:$L$503,_calc!$E$522)),TEXT(INDEX('Dealer pipeline'!$L$4:$L$503,_calc!$E$522),"yyyy-mm-dd"),""))=0,"","Labor end: "&amp;IF(ISNUMBER(INDEX('Dealer pipeline'!$L$4:$L$503,_calc!$E$522)),TEXT(INDEX('Dealer pipeline'!$L$4:$L$503,_calc!$E$522),"yyyy-mm-dd"),"")&amp;". ")&amp;IF(LEN(IF(LEN(INDEX('Dealer pipeline'!$Q$4:$Q$503,_calc!$E$522))=0,"",INDEX('Dealer pipeline'!$Q$4:$Q$503,_calc!$E$522)))=0,"","Status: "&amp;IF(LEN(INDEX('Dealer pipeline'!$Q$4:$Q$503,_calc!$E$522))=0,"",INDEX('Dealer pipeline'!$Q$4:$Q$503,_calc!$E$522))&amp;". ")&amp;IF(LEN(IF(LEN(INDEX('Dealer pipeline'!$P$4:$P$503,_calc!$E$522))=0,"",INDEX('Dealer pipeline'!$P$4:$P$503,_calc!$E$522)))=0,"","Last touch: "&amp;IF(LEN(INDEX('Dealer pipeline'!$P$4:$P$503,_calc!$E$522))=0,"",INDEX('Dealer pipeline'!$P$4:$P$503,_calc!$E$522))&amp;". ")&amp;IF(LEN(IF(LEN(INDEX('Dealer pipeline'!$R$4:$R$503,_calc!$E$522))=0,"",INDEX('Dealer pipeline'!$R$4:$R$503,_calc!$E$522)))=0,"","Owner: "&amp;IF(LEN(INDEX('Dealer pipeline'!$R$4:$R$503,_calc!$E$522))=0,"",INDEX('Dealer pipeline'!$R$4:$R$503,_calc!$E$522))&amp;". ")&amp;IF(LEN(IF(LEN(INDEX('Dealer pipeline'!$S$4:$S$503,_calc!$E$522))=0,"",INDEX('Dealer pipeline'!$S$4:$S$503,_calc!$E$522)))=0,"","Backup: "&amp;IF(LEN(INDEX('Dealer pipeline'!$S$4:$S$503,_calc!$E$522))=0,"",INDEX('Dealer pipeline'!$S$4:$S$503,_calc!$E$522))&amp;". ")&amp;IF(LEN(IF(LEN(INDEX('Dealer pipeline'!$T$4:$T$503,_calc!$E$522))=0,"",INDEX('Dealer pipeline'!$T$4:$T$503,_calc!$E$522)))=0,"",IF(LEN(INDEX('Dealer pipeline'!$T$4:$T$503,_calc!$E$522))=0,"",INDEX('Dealer pipeline'!$T$4:$T$503,_calc!$E$522)))),TRIM(IF(LEN(IF(LEN(INDEX('My equipment'!$C$4:$C$503,(_calc!$E$522-500)))=0,"",INDEX('My equipment'!$C$4:$C$503,(_calc!$E$522-500))))=0,"","Model: "&amp;IF(LEN(INDEX('My equipment'!$C$4:$C$503,(_calc!$E$522-500)))=0,"",INDEX('My equipment'!$C$4:$C$503,(_calc!$E$522-500)))&amp;". ")&amp;IF(LEN(IF(LEN(INDEX('My equipment'!$D$4:$D$503,(_calc!$E$522-500)))=0,"",INDEX('My equipment'!$D$4:$D$503,(_calc!$E$522-500))))=0,"","Serial: "&amp;IF(LEN(INDEX('My equipment'!$D$4:$D$503,(_calc!$E$522-500)))=0,"",INDEX('My equipment'!$D$4:$D$503,(_calc!$E$522-500)))&amp;". ")&amp;IF(LEN(IF(ISNUMBER(INDEX('My equipment'!$J$4:$J$503,(_calc!$E$522-500))),TEXT(INDEX('My equipment'!$J$4:$J$503,(_calc!$E$522-500)),"yyyy-mm-dd"),""))=0,"","Parts end: "&amp;IF(ISNUMBER(INDEX('My equipment'!$J$4:$J$503,(_calc!$E$522-500))),TEXT(INDEX('My equipment'!$J$4:$J$503,(_calc!$E$522-500)),"yyyy-mm-dd"),"")&amp;". ")&amp;IF(LEN(IF(ISNUMBER(INDEX('My equipment'!$L$4:$L$503,(_calc!$E$522-500))),TEXT(INDEX('My equipment'!$L$4:$L$503,(_calc!$E$522-500)),"yyyy-mm-dd"),""))=0,"","Labor end: "&amp;IF(ISNUMBER(INDEX('My equipment'!$L$4:$L$503,(_calc!$E$522-500))),TEXT(INDEX('My equipment'!$L$4:$L$503,(_calc!$E$522-500)),"yyyy-mm-dd"),"")&amp;". ")&amp;IF(LEN(IF(ISNUMBER(INDEX('My equipment'!$P$4:$P$503,(_calc!$E$522-500))),TEXT(INDEX('My equipment'!$P$4:$P$503,(_calc!$E$522-500)),"yyyy-mm-dd"),""))=0,"","Check by: "&amp;IF(ISNUMBER(INDEX('My equipment'!$P$4:$P$503,(_calc!$E$522-500))),TEXT(INDEX('My equipment'!$P$4:$P$503,(_calc!$E$522-500)),"yyyy-mm-dd"),"")&amp;". ")&amp;IF(LEN(IF(LEN(INDEX('My equipment'!$Q$4:$Q$503,(_calc!$E$522-500)))=0,"",INDEX('My equipment'!$Q$4:$Q$503,(_calc!$E$522-500))))=0,"","Claim status: "&amp;IF(LEN(INDEX('My equipment'!$Q$4:$Q$503,(_calc!$E$522-500)))=0,"",INDEX('My equipment'!$Q$4:$Q$503,(_calc!$E$522-500)))&amp;". ")&amp;IF(LEN(IF(LEN(INDEX('My equipment'!$R$4:$R$503,(_calc!$E$522-500)))=0,"",INDEX('My equipment'!$R$4:$R$503,(_calc!$E$522-500))))=0,"","Claims contact: "&amp;IF(LEN(INDEX('My equipment'!$R$4:$R$503,(_calc!$E$522-500)))=0,"",INDEX('My equipment'!$R$4:$R$503,(_calc!$E$522-500)))&amp;". ")&amp;IF(LEN(IF(LEN(INDEX('My equipment'!$S$4:$S$503,(_calc!$E$522-500)))=0,"",INDEX('My equipment'!$S$4:$S$503,(_calc!$E$522-500))))=0,"","Claims email: "&amp;IF(LEN(INDEX('My equipment'!$S$4:$S$503,(_calc!$E$522-500)))=0,"",INDEX('My equipment'!$S$4:$S$503,(_calc!$E$522-500)))&amp;". ")&amp;IF(LEN(IF(LEN(INDEX('My equipment'!$U$4:$U$503,(_calc!$E$522-500)))=0,"",INDEX('My equipment'!$U$4:$U$503,(_calc!$E$522-500))))=0,"","Registered: "&amp;IF(LEN(INDEX('My equipment'!$U$4:$U$503,(_calc!$E$522-500)))=0,"",INDEX('My equipment'!$U$4:$U$503,(_calc!$E$522-500)))&amp;". ")&amp;IF(LEN(IF(LEN(INDEX('My equipment'!$V$4:$V$503,(_calc!$E$522-500)))=0,"",INDEX('My equipment'!$V$4:$V$503,(_calc!$E$522-500))))=0,"","Proof on file: "&amp;IF(LEN(INDEX('My equipment'!$V$4:$V$503,(_calc!$E$522-500)))=0,"",INDEX('My equipment'!$V$4:$V$503,(_calc!$E$522-500)))&amp;". ")&amp;IF(LEN(IF(LEN(INDEX('My equipment'!$W$4:$W$503,(_calc!$E$522-500)))=0,"",INDEX('My equipment'!$W$4:$W$503,(_calc!$E$522-500))))=0,"","Claim ref: "&amp;IF(LEN(INDEX('My equipment'!$W$4:$W$503,(_calc!$E$522-500)))=0,"",INDEX('My equipment'!$W$4:$W$503,(_calc!$E$522-500)))&amp;". ")&amp;IF(LEN(IF(LEN(INDEX('My equipment'!$Y$4:$Y$503,(_calc!$E$522-500)))=0,"",INDEX('My equipment'!$Y$4:$Y$503,(_calc!$E$522-500))))=0,"",IF(LEN(INDEX('My equipment'!$Y$4:$Y$503,(_calc!$E$522-500)))=0,"",INDEX('My equipment'!$Y$4:$Y$503,(_calc!$E$522-500)))))))</f>
        <v/>
      </c>
      <c r="G520" s="54">
        <f>IF(_calc!$E$522="","",IF(_calc!$E$522&lt;=500,"",IF(LEN(INDEX('My equipment'!$X$4:$X$503,(_calc!$E$522-500)))=0,"",INDEX('My equipment'!$X$4:$X$503,(_calc!$E$522-500)))))</f>
        <v/>
      </c>
      <c r="K520" s="54">
        <f>IF(_calc!$E$522="","",IF(_calc!$E$522&lt;=500,"",IF(LEN(INDEX('My equipment'!$T$4:$T$503,(_calc!$E$522-500)))=0,"",INDEX('My equipment'!$T$4:$T$503,(_calc!$E$522-500)))))</f>
        <v/>
      </c>
    </row>
    <row r="521">
      <c r="A521" s="54">
        <f>IF(_calc!$E$523="","",IF(_calc!$E$523&lt;=500,"Warranty – "&amp;IF(LEN(INDEX('Dealer pipeline'!$C$4:$C$503,_calc!$E$523))=0,"",INDEX('Dealer pipeline'!$C$4:$C$503,_calc!$E$523))&amp;" – "&amp;IF(LEN(INDEX('Dealer pipeline'!$D$4:$D$503,_calc!$E$523))=0,"",INDEX('Dealer pipeline'!$D$4:$D$503,_calc!$E$523))&amp;" – "&amp;IF(LEN(INDEX('Dealer pipeline'!$A$4:$A$503,_calc!$E$523))=0,"",INDEX('Dealer pipeline'!$A$4:$A$503,_calc!$E$523)),"Warranty – "&amp;IF(LEN(INDEX('My equipment'!$A$4:$A$503,(_calc!$E$523-500)))=0,"",INDEX('My equipment'!$A$4:$A$503,(_calc!$E$523-500)))&amp;" – "&amp;IF(LEN(INDEX('My equipment'!$D$4:$D$503,(_calc!$E$523-500)))=0,"",INDEX('My equipment'!$D$4:$D$503,(_calc!$E$523-500)))))</f>
        <v/>
      </c>
      <c r="B521" s="54">
        <f>IF(_calc!$E$523="","",IF(_calc!$E$523&lt;=500,IF(ISNUMBER(INDEX('Dealer pipeline'!$M$4:$M$503,_calc!$E$523)),TEXT(INDEX('Dealer pipeline'!$M$4:$M$503,_calc!$E$523),"yyyy-mm-dd"),""),IF(ISNUMBER(INDEX('My equipment'!$M$4:$M$503,(_calc!$E$523-500))),TEXT(INDEX('My equipment'!$M$4:$M$503,(_calc!$E$523-500)),"yyyy-mm-dd"),"")))</f>
        <v/>
      </c>
      <c r="C521" s="54">
        <f>IF(_calc!$E$523="","",IF(_calc!$E$523&lt;=500,"Warranty","Warranty"))</f>
        <v/>
      </c>
      <c r="D521" s="54">
        <f>IF(_calc!$E$523="","",IF(_calc!$E$523&lt;=500,IF(ISNUMBER(INDEX('Dealer pipeline'!$H$4:$H$503,_calc!$E$523)),TEXT(INDEX('Dealer pipeline'!$H$4:$H$503,_calc!$E$523),"yyyy-mm-dd"),""),IF(ISNUMBER(INDEX('My equipment'!$H$4:$H$503,(_calc!$E$523-500))),TEXT(INDEX('My equipment'!$H$4:$H$503,(_calc!$E$523-500)),"yyyy-mm-dd"),"")))</f>
        <v/>
      </c>
      <c r="F521" s="54">
        <f>IF(_calc!$E$523="","",IF(_calc!$E$523&lt;=500,TRIM(IF(LEN(IF(LEN(INDEX('Dealer pipeline'!$A$4:$A$503,_calc!$E$523))=0,"",INDEX('Dealer pipeline'!$A$4:$A$503,_calc!$E$523)))=0,"","Customer: "&amp;IF(LEN(INDEX('Dealer pipeline'!$A$4:$A$503,_calc!$E$523))=0,"",INDEX('Dealer pipeline'!$A$4:$A$503,_calc!$E$523))&amp;". ")&amp;IF(LEN(IF(LEN(INDEX('Dealer pipeline'!$B$4:$B$503,_calc!$E$523))=0,"",INDEX('Dealer pipeline'!$B$4:$B$503,_calc!$E$523)))=0,"","Contact: "&amp;IF(LEN(INDEX('Dealer pipeline'!$B$4:$B$503,_calc!$E$523))=0,"",INDEX('Dealer pipeline'!$B$4:$B$503,_calc!$E$523))&amp;". ")&amp;IF(LEN(IF(LEN(INDEX('Dealer pipeline'!$D$4:$D$503,_calc!$E$523))=0,"",INDEX('Dealer pipeline'!$D$4:$D$503,_calc!$E$523)))=0,"","Serial: "&amp;IF(LEN(INDEX('Dealer pipeline'!$D$4:$D$503,_calc!$E$523))=0,"",INDEX('Dealer pipeline'!$D$4:$D$503,_calc!$E$523))&amp;". ")&amp;IF(LEN(IF(ISNUMBER(INDEX('Dealer pipeline'!$J$4:$J$503,_calc!$E$523)),TEXT(INDEX('Dealer pipeline'!$J$4:$J$503,_calc!$E$523),"yyyy-mm-dd"),""))=0,"","Parts end: "&amp;IF(ISNUMBER(INDEX('Dealer pipeline'!$J$4:$J$503,_calc!$E$523)),TEXT(INDEX('Dealer pipeline'!$J$4:$J$503,_calc!$E$523),"yyyy-mm-dd"),"")&amp;". ")&amp;IF(LEN(IF(ISNUMBER(INDEX('Dealer pipeline'!$L$4:$L$503,_calc!$E$523)),TEXT(INDEX('Dealer pipeline'!$L$4:$L$503,_calc!$E$523),"yyyy-mm-dd"),""))=0,"","Labor end: "&amp;IF(ISNUMBER(INDEX('Dealer pipeline'!$L$4:$L$503,_calc!$E$523)),TEXT(INDEX('Dealer pipeline'!$L$4:$L$503,_calc!$E$523),"yyyy-mm-dd"),"")&amp;". ")&amp;IF(LEN(IF(LEN(INDEX('Dealer pipeline'!$Q$4:$Q$503,_calc!$E$523))=0,"",INDEX('Dealer pipeline'!$Q$4:$Q$503,_calc!$E$523)))=0,"","Status: "&amp;IF(LEN(INDEX('Dealer pipeline'!$Q$4:$Q$503,_calc!$E$523))=0,"",INDEX('Dealer pipeline'!$Q$4:$Q$503,_calc!$E$523))&amp;". ")&amp;IF(LEN(IF(LEN(INDEX('Dealer pipeline'!$P$4:$P$503,_calc!$E$523))=0,"",INDEX('Dealer pipeline'!$P$4:$P$503,_calc!$E$523)))=0,"","Last touch: "&amp;IF(LEN(INDEX('Dealer pipeline'!$P$4:$P$503,_calc!$E$523))=0,"",INDEX('Dealer pipeline'!$P$4:$P$503,_calc!$E$523))&amp;". ")&amp;IF(LEN(IF(LEN(INDEX('Dealer pipeline'!$R$4:$R$503,_calc!$E$523))=0,"",INDEX('Dealer pipeline'!$R$4:$R$503,_calc!$E$523)))=0,"","Owner: "&amp;IF(LEN(INDEX('Dealer pipeline'!$R$4:$R$503,_calc!$E$523))=0,"",INDEX('Dealer pipeline'!$R$4:$R$503,_calc!$E$523))&amp;". ")&amp;IF(LEN(IF(LEN(INDEX('Dealer pipeline'!$S$4:$S$503,_calc!$E$523))=0,"",INDEX('Dealer pipeline'!$S$4:$S$503,_calc!$E$523)))=0,"","Backup: "&amp;IF(LEN(INDEX('Dealer pipeline'!$S$4:$S$503,_calc!$E$523))=0,"",INDEX('Dealer pipeline'!$S$4:$S$503,_calc!$E$523))&amp;". ")&amp;IF(LEN(IF(LEN(INDEX('Dealer pipeline'!$T$4:$T$503,_calc!$E$523))=0,"",INDEX('Dealer pipeline'!$T$4:$T$503,_calc!$E$523)))=0,"",IF(LEN(INDEX('Dealer pipeline'!$T$4:$T$503,_calc!$E$523))=0,"",INDEX('Dealer pipeline'!$T$4:$T$503,_calc!$E$523)))),TRIM(IF(LEN(IF(LEN(INDEX('My equipment'!$C$4:$C$503,(_calc!$E$523-500)))=0,"",INDEX('My equipment'!$C$4:$C$503,(_calc!$E$523-500))))=0,"","Model: "&amp;IF(LEN(INDEX('My equipment'!$C$4:$C$503,(_calc!$E$523-500)))=0,"",INDEX('My equipment'!$C$4:$C$503,(_calc!$E$523-500)))&amp;". ")&amp;IF(LEN(IF(LEN(INDEX('My equipment'!$D$4:$D$503,(_calc!$E$523-500)))=0,"",INDEX('My equipment'!$D$4:$D$503,(_calc!$E$523-500))))=0,"","Serial: "&amp;IF(LEN(INDEX('My equipment'!$D$4:$D$503,(_calc!$E$523-500)))=0,"",INDEX('My equipment'!$D$4:$D$503,(_calc!$E$523-500)))&amp;". ")&amp;IF(LEN(IF(ISNUMBER(INDEX('My equipment'!$J$4:$J$503,(_calc!$E$523-500))),TEXT(INDEX('My equipment'!$J$4:$J$503,(_calc!$E$523-500)),"yyyy-mm-dd"),""))=0,"","Parts end: "&amp;IF(ISNUMBER(INDEX('My equipment'!$J$4:$J$503,(_calc!$E$523-500))),TEXT(INDEX('My equipment'!$J$4:$J$503,(_calc!$E$523-500)),"yyyy-mm-dd"),"")&amp;". ")&amp;IF(LEN(IF(ISNUMBER(INDEX('My equipment'!$L$4:$L$503,(_calc!$E$523-500))),TEXT(INDEX('My equipment'!$L$4:$L$503,(_calc!$E$523-500)),"yyyy-mm-dd"),""))=0,"","Labor end: "&amp;IF(ISNUMBER(INDEX('My equipment'!$L$4:$L$503,(_calc!$E$523-500))),TEXT(INDEX('My equipment'!$L$4:$L$503,(_calc!$E$523-500)),"yyyy-mm-dd"),"")&amp;". ")&amp;IF(LEN(IF(ISNUMBER(INDEX('My equipment'!$P$4:$P$503,(_calc!$E$523-500))),TEXT(INDEX('My equipment'!$P$4:$P$503,(_calc!$E$523-500)),"yyyy-mm-dd"),""))=0,"","Check by: "&amp;IF(ISNUMBER(INDEX('My equipment'!$P$4:$P$503,(_calc!$E$523-500))),TEXT(INDEX('My equipment'!$P$4:$P$503,(_calc!$E$523-500)),"yyyy-mm-dd"),"")&amp;". ")&amp;IF(LEN(IF(LEN(INDEX('My equipment'!$Q$4:$Q$503,(_calc!$E$523-500)))=0,"",INDEX('My equipment'!$Q$4:$Q$503,(_calc!$E$523-500))))=0,"","Claim status: "&amp;IF(LEN(INDEX('My equipment'!$Q$4:$Q$503,(_calc!$E$523-500)))=0,"",INDEX('My equipment'!$Q$4:$Q$503,(_calc!$E$523-500)))&amp;". ")&amp;IF(LEN(IF(LEN(INDEX('My equipment'!$R$4:$R$503,(_calc!$E$523-500)))=0,"",INDEX('My equipment'!$R$4:$R$503,(_calc!$E$523-500))))=0,"","Claims contact: "&amp;IF(LEN(INDEX('My equipment'!$R$4:$R$503,(_calc!$E$523-500)))=0,"",INDEX('My equipment'!$R$4:$R$503,(_calc!$E$523-500)))&amp;". ")&amp;IF(LEN(IF(LEN(INDEX('My equipment'!$S$4:$S$503,(_calc!$E$523-500)))=0,"",INDEX('My equipment'!$S$4:$S$503,(_calc!$E$523-500))))=0,"","Claims email: "&amp;IF(LEN(INDEX('My equipment'!$S$4:$S$503,(_calc!$E$523-500)))=0,"",INDEX('My equipment'!$S$4:$S$503,(_calc!$E$523-500)))&amp;". ")&amp;IF(LEN(IF(LEN(INDEX('My equipment'!$U$4:$U$503,(_calc!$E$523-500)))=0,"",INDEX('My equipment'!$U$4:$U$503,(_calc!$E$523-500))))=0,"","Registered: "&amp;IF(LEN(INDEX('My equipment'!$U$4:$U$503,(_calc!$E$523-500)))=0,"",INDEX('My equipment'!$U$4:$U$503,(_calc!$E$523-500)))&amp;". ")&amp;IF(LEN(IF(LEN(INDEX('My equipment'!$V$4:$V$503,(_calc!$E$523-500)))=0,"",INDEX('My equipment'!$V$4:$V$503,(_calc!$E$523-500))))=0,"","Proof on file: "&amp;IF(LEN(INDEX('My equipment'!$V$4:$V$503,(_calc!$E$523-500)))=0,"",INDEX('My equipment'!$V$4:$V$503,(_calc!$E$523-500)))&amp;". ")&amp;IF(LEN(IF(LEN(INDEX('My equipment'!$W$4:$W$503,(_calc!$E$523-500)))=0,"",INDEX('My equipment'!$W$4:$W$503,(_calc!$E$523-500))))=0,"","Claim ref: "&amp;IF(LEN(INDEX('My equipment'!$W$4:$W$503,(_calc!$E$523-500)))=0,"",INDEX('My equipment'!$W$4:$W$503,(_calc!$E$523-500)))&amp;". ")&amp;IF(LEN(IF(LEN(INDEX('My equipment'!$Y$4:$Y$503,(_calc!$E$523-500)))=0,"",INDEX('My equipment'!$Y$4:$Y$503,(_calc!$E$523-500))))=0,"",IF(LEN(INDEX('My equipment'!$Y$4:$Y$503,(_calc!$E$523-500)))=0,"",INDEX('My equipment'!$Y$4:$Y$503,(_calc!$E$523-500)))))))</f>
        <v/>
      </c>
      <c r="G521" s="54">
        <f>IF(_calc!$E$523="","",IF(_calc!$E$523&lt;=500,"",IF(LEN(INDEX('My equipment'!$X$4:$X$503,(_calc!$E$523-500)))=0,"",INDEX('My equipment'!$X$4:$X$503,(_calc!$E$523-500)))))</f>
        <v/>
      </c>
      <c r="K521" s="54">
        <f>IF(_calc!$E$523="","",IF(_calc!$E$523&lt;=500,"",IF(LEN(INDEX('My equipment'!$T$4:$T$503,(_calc!$E$523-500)))=0,"",INDEX('My equipment'!$T$4:$T$503,(_calc!$E$523-500)))))</f>
        <v/>
      </c>
    </row>
    <row r="522">
      <c r="A522" s="54">
        <f>IF(_calc!$E$524="","",IF(_calc!$E$524&lt;=500,"Warranty – "&amp;IF(LEN(INDEX('Dealer pipeline'!$C$4:$C$503,_calc!$E$524))=0,"",INDEX('Dealer pipeline'!$C$4:$C$503,_calc!$E$524))&amp;" – "&amp;IF(LEN(INDEX('Dealer pipeline'!$D$4:$D$503,_calc!$E$524))=0,"",INDEX('Dealer pipeline'!$D$4:$D$503,_calc!$E$524))&amp;" – "&amp;IF(LEN(INDEX('Dealer pipeline'!$A$4:$A$503,_calc!$E$524))=0,"",INDEX('Dealer pipeline'!$A$4:$A$503,_calc!$E$524)),"Warranty – "&amp;IF(LEN(INDEX('My equipment'!$A$4:$A$503,(_calc!$E$524-500)))=0,"",INDEX('My equipment'!$A$4:$A$503,(_calc!$E$524-500)))&amp;" – "&amp;IF(LEN(INDEX('My equipment'!$D$4:$D$503,(_calc!$E$524-500)))=0,"",INDEX('My equipment'!$D$4:$D$503,(_calc!$E$524-500)))))</f>
        <v/>
      </c>
      <c r="B522" s="54">
        <f>IF(_calc!$E$524="","",IF(_calc!$E$524&lt;=500,IF(ISNUMBER(INDEX('Dealer pipeline'!$M$4:$M$503,_calc!$E$524)),TEXT(INDEX('Dealer pipeline'!$M$4:$M$503,_calc!$E$524),"yyyy-mm-dd"),""),IF(ISNUMBER(INDEX('My equipment'!$M$4:$M$503,(_calc!$E$524-500))),TEXT(INDEX('My equipment'!$M$4:$M$503,(_calc!$E$524-500)),"yyyy-mm-dd"),"")))</f>
        <v/>
      </c>
      <c r="C522" s="54">
        <f>IF(_calc!$E$524="","",IF(_calc!$E$524&lt;=500,"Warranty","Warranty"))</f>
        <v/>
      </c>
      <c r="D522" s="54">
        <f>IF(_calc!$E$524="","",IF(_calc!$E$524&lt;=500,IF(ISNUMBER(INDEX('Dealer pipeline'!$H$4:$H$503,_calc!$E$524)),TEXT(INDEX('Dealer pipeline'!$H$4:$H$503,_calc!$E$524),"yyyy-mm-dd"),""),IF(ISNUMBER(INDEX('My equipment'!$H$4:$H$503,(_calc!$E$524-500))),TEXT(INDEX('My equipment'!$H$4:$H$503,(_calc!$E$524-500)),"yyyy-mm-dd"),"")))</f>
        <v/>
      </c>
      <c r="F522" s="54">
        <f>IF(_calc!$E$524="","",IF(_calc!$E$524&lt;=500,TRIM(IF(LEN(IF(LEN(INDEX('Dealer pipeline'!$A$4:$A$503,_calc!$E$524))=0,"",INDEX('Dealer pipeline'!$A$4:$A$503,_calc!$E$524)))=0,"","Customer: "&amp;IF(LEN(INDEX('Dealer pipeline'!$A$4:$A$503,_calc!$E$524))=0,"",INDEX('Dealer pipeline'!$A$4:$A$503,_calc!$E$524))&amp;". ")&amp;IF(LEN(IF(LEN(INDEX('Dealer pipeline'!$B$4:$B$503,_calc!$E$524))=0,"",INDEX('Dealer pipeline'!$B$4:$B$503,_calc!$E$524)))=0,"","Contact: "&amp;IF(LEN(INDEX('Dealer pipeline'!$B$4:$B$503,_calc!$E$524))=0,"",INDEX('Dealer pipeline'!$B$4:$B$503,_calc!$E$524))&amp;". ")&amp;IF(LEN(IF(LEN(INDEX('Dealer pipeline'!$D$4:$D$503,_calc!$E$524))=0,"",INDEX('Dealer pipeline'!$D$4:$D$503,_calc!$E$524)))=0,"","Serial: "&amp;IF(LEN(INDEX('Dealer pipeline'!$D$4:$D$503,_calc!$E$524))=0,"",INDEX('Dealer pipeline'!$D$4:$D$503,_calc!$E$524))&amp;". ")&amp;IF(LEN(IF(ISNUMBER(INDEX('Dealer pipeline'!$J$4:$J$503,_calc!$E$524)),TEXT(INDEX('Dealer pipeline'!$J$4:$J$503,_calc!$E$524),"yyyy-mm-dd"),""))=0,"","Parts end: "&amp;IF(ISNUMBER(INDEX('Dealer pipeline'!$J$4:$J$503,_calc!$E$524)),TEXT(INDEX('Dealer pipeline'!$J$4:$J$503,_calc!$E$524),"yyyy-mm-dd"),"")&amp;". ")&amp;IF(LEN(IF(ISNUMBER(INDEX('Dealer pipeline'!$L$4:$L$503,_calc!$E$524)),TEXT(INDEX('Dealer pipeline'!$L$4:$L$503,_calc!$E$524),"yyyy-mm-dd"),""))=0,"","Labor end: "&amp;IF(ISNUMBER(INDEX('Dealer pipeline'!$L$4:$L$503,_calc!$E$524)),TEXT(INDEX('Dealer pipeline'!$L$4:$L$503,_calc!$E$524),"yyyy-mm-dd"),"")&amp;". ")&amp;IF(LEN(IF(LEN(INDEX('Dealer pipeline'!$Q$4:$Q$503,_calc!$E$524))=0,"",INDEX('Dealer pipeline'!$Q$4:$Q$503,_calc!$E$524)))=0,"","Status: "&amp;IF(LEN(INDEX('Dealer pipeline'!$Q$4:$Q$503,_calc!$E$524))=0,"",INDEX('Dealer pipeline'!$Q$4:$Q$503,_calc!$E$524))&amp;". ")&amp;IF(LEN(IF(LEN(INDEX('Dealer pipeline'!$P$4:$P$503,_calc!$E$524))=0,"",INDEX('Dealer pipeline'!$P$4:$P$503,_calc!$E$524)))=0,"","Last touch: "&amp;IF(LEN(INDEX('Dealer pipeline'!$P$4:$P$503,_calc!$E$524))=0,"",INDEX('Dealer pipeline'!$P$4:$P$503,_calc!$E$524))&amp;". ")&amp;IF(LEN(IF(LEN(INDEX('Dealer pipeline'!$R$4:$R$503,_calc!$E$524))=0,"",INDEX('Dealer pipeline'!$R$4:$R$503,_calc!$E$524)))=0,"","Owner: "&amp;IF(LEN(INDEX('Dealer pipeline'!$R$4:$R$503,_calc!$E$524))=0,"",INDEX('Dealer pipeline'!$R$4:$R$503,_calc!$E$524))&amp;". ")&amp;IF(LEN(IF(LEN(INDEX('Dealer pipeline'!$S$4:$S$503,_calc!$E$524))=0,"",INDEX('Dealer pipeline'!$S$4:$S$503,_calc!$E$524)))=0,"","Backup: "&amp;IF(LEN(INDEX('Dealer pipeline'!$S$4:$S$503,_calc!$E$524))=0,"",INDEX('Dealer pipeline'!$S$4:$S$503,_calc!$E$524))&amp;". ")&amp;IF(LEN(IF(LEN(INDEX('Dealer pipeline'!$T$4:$T$503,_calc!$E$524))=0,"",INDEX('Dealer pipeline'!$T$4:$T$503,_calc!$E$524)))=0,"",IF(LEN(INDEX('Dealer pipeline'!$T$4:$T$503,_calc!$E$524))=0,"",INDEX('Dealer pipeline'!$T$4:$T$503,_calc!$E$524)))),TRIM(IF(LEN(IF(LEN(INDEX('My equipment'!$C$4:$C$503,(_calc!$E$524-500)))=0,"",INDEX('My equipment'!$C$4:$C$503,(_calc!$E$524-500))))=0,"","Model: "&amp;IF(LEN(INDEX('My equipment'!$C$4:$C$503,(_calc!$E$524-500)))=0,"",INDEX('My equipment'!$C$4:$C$503,(_calc!$E$524-500)))&amp;". ")&amp;IF(LEN(IF(LEN(INDEX('My equipment'!$D$4:$D$503,(_calc!$E$524-500)))=0,"",INDEX('My equipment'!$D$4:$D$503,(_calc!$E$524-500))))=0,"","Serial: "&amp;IF(LEN(INDEX('My equipment'!$D$4:$D$503,(_calc!$E$524-500)))=0,"",INDEX('My equipment'!$D$4:$D$503,(_calc!$E$524-500)))&amp;". ")&amp;IF(LEN(IF(ISNUMBER(INDEX('My equipment'!$J$4:$J$503,(_calc!$E$524-500))),TEXT(INDEX('My equipment'!$J$4:$J$503,(_calc!$E$524-500)),"yyyy-mm-dd"),""))=0,"","Parts end: "&amp;IF(ISNUMBER(INDEX('My equipment'!$J$4:$J$503,(_calc!$E$524-500))),TEXT(INDEX('My equipment'!$J$4:$J$503,(_calc!$E$524-500)),"yyyy-mm-dd"),"")&amp;". ")&amp;IF(LEN(IF(ISNUMBER(INDEX('My equipment'!$L$4:$L$503,(_calc!$E$524-500))),TEXT(INDEX('My equipment'!$L$4:$L$503,(_calc!$E$524-500)),"yyyy-mm-dd"),""))=0,"","Labor end: "&amp;IF(ISNUMBER(INDEX('My equipment'!$L$4:$L$503,(_calc!$E$524-500))),TEXT(INDEX('My equipment'!$L$4:$L$503,(_calc!$E$524-500)),"yyyy-mm-dd"),"")&amp;". ")&amp;IF(LEN(IF(ISNUMBER(INDEX('My equipment'!$P$4:$P$503,(_calc!$E$524-500))),TEXT(INDEX('My equipment'!$P$4:$P$503,(_calc!$E$524-500)),"yyyy-mm-dd"),""))=0,"","Check by: "&amp;IF(ISNUMBER(INDEX('My equipment'!$P$4:$P$503,(_calc!$E$524-500))),TEXT(INDEX('My equipment'!$P$4:$P$503,(_calc!$E$524-500)),"yyyy-mm-dd"),"")&amp;". ")&amp;IF(LEN(IF(LEN(INDEX('My equipment'!$Q$4:$Q$503,(_calc!$E$524-500)))=0,"",INDEX('My equipment'!$Q$4:$Q$503,(_calc!$E$524-500))))=0,"","Claim status: "&amp;IF(LEN(INDEX('My equipment'!$Q$4:$Q$503,(_calc!$E$524-500)))=0,"",INDEX('My equipment'!$Q$4:$Q$503,(_calc!$E$524-500)))&amp;". ")&amp;IF(LEN(IF(LEN(INDEX('My equipment'!$R$4:$R$503,(_calc!$E$524-500)))=0,"",INDEX('My equipment'!$R$4:$R$503,(_calc!$E$524-500))))=0,"","Claims contact: "&amp;IF(LEN(INDEX('My equipment'!$R$4:$R$503,(_calc!$E$524-500)))=0,"",INDEX('My equipment'!$R$4:$R$503,(_calc!$E$524-500)))&amp;". ")&amp;IF(LEN(IF(LEN(INDEX('My equipment'!$S$4:$S$503,(_calc!$E$524-500)))=0,"",INDEX('My equipment'!$S$4:$S$503,(_calc!$E$524-500))))=0,"","Claims email: "&amp;IF(LEN(INDEX('My equipment'!$S$4:$S$503,(_calc!$E$524-500)))=0,"",INDEX('My equipment'!$S$4:$S$503,(_calc!$E$524-500)))&amp;". ")&amp;IF(LEN(IF(LEN(INDEX('My equipment'!$U$4:$U$503,(_calc!$E$524-500)))=0,"",INDEX('My equipment'!$U$4:$U$503,(_calc!$E$524-500))))=0,"","Registered: "&amp;IF(LEN(INDEX('My equipment'!$U$4:$U$503,(_calc!$E$524-500)))=0,"",INDEX('My equipment'!$U$4:$U$503,(_calc!$E$524-500)))&amp;". ")&amp;IF(LEN(IF(LEN(INDEX('My equipment'!$V$4:$V$503,(_calc!$E$524-500)))=0,"",INDEX('My equipment'!$V$4:$V$503,(_calc!$E$524-500))))=0,"","Proof on file: "&amp;IF(LEN(INDEX('My equipment'!$V$4:$V$503,(_calc!$E$524-500)))=0,"",INDEX('My equipment'!$V$4:$V$503,(_calc!$E$524-500)))&amp;". ")&amp;IF(LEN(IF(LEN(INDEX('My equipment'!$W$4:$W$503,(_calc!$E$524-500)))=0,"",INDEX('My equipment'!$W$4:$W$503,(_calc!$E$524-500))))=0,"","Claim ref: "&amp;IF(LEN(INDEX('My equipment'!$W$4:$W$503,(_calc!$E$524-500)))=0,"",INDEX('My equipment'!$W$4:$W$503,(_calc!$E$524-500)))&amp;". ")&amp;IF(LEN(IF(LEN(INDEX('My equipment'!$Y$4:$Y$503,(_calc!$E$524-500)))=0,"",INDEX('My equipment'!$Y$4:$Y$503,(_calc!$E$524-500))))=0,"",IF(LEN(INDEX('My equipment'!$Y$4:$Y$503,(_calc!$E$524-500)))=0,"",INDEX('My equipment'!$Y$4:$Y$503,(_calc!$E$524-500)))))))</f>
        <v/>
      </c>
      <c r="G522" s="54">
        <f>IF(_calc!$E$524="","",IF(_calc!$E$524&lt;=500,"",IF(LEN(INDEX('My equipment'!$X$4:$X$503,(_calc!$E$524-500)))=0,"",INDEX('My equipment'!$X$4:$X$503,(_calc!$E$524-500)))))</f>
        <v/>
      </c>
      <c r="K522" s="54">
        <f>IF(_calc!$E$524="","",IF(_calc!$E$524&lt;=500,"",IF(LEN(INDEX('My equipment'!$T$4:$T$503,(_calc!$E$524-500)))=0,"",INDEX('My equipment'!$T$4:$T$503,(_calc!$E$524-500)))))</f>
        <v/>
      </c>
    </row>
    <row r="523">
      <c r="A523" s="54">
        <f>IF(_calc!$E$525="","",IF(_calc!$E$525&lt;=500,"Warranty – "&amp;IF(LEN(INDEX('Dealer pipeline'!$C$4:$C$503,_calc!$E$525))=0,"",INDEX('Dealer pipeline'!$C$4:$C$503,_calc!$E$525))&amp;" – "&amp;IF(LEN(INDEX('Dealer pipeline'!$D$4:$D$503,_calc!$E$525))=0,"",INDEX('Dealer pipeline'!$D$4:$D$503,_calc!$E$525))&amp;" – "&amp;IF(LEN(INDEX('Dealer pipeline'!$A$4:$A$503,_calc!$E$525))=0,"",INDEX('Dealer pipeline'!$A$4:$A$503,_calc!$E$525)),"Warranty – "&amp;IF(LEN(INDEX('My equipment'!$A$4:$A$503,(_calc!$E$525-500)))=0,"",INDEX('My equipment'!$A$4:$A$503,(_calc!$E$525-500)))&amp;" – "&amp;IF(LEN(INDEX('My equipment'!$D$4:$D$503,(_calc!$E$525-500)))=0,"",INDEX('My equipment'!$D$4:$D$503,(_calc!$E$525-500)))))</f>
        <v/>
      </c>
      <c r="B523" s="54">
        <f>IF(_calc!$E$525="","",IF(_calc!$E$525&lt;=500,IF(ISNUMBER(INDEX('Dealer pipeline'!$M$4:$M$503,_calc!$E$525)),TEXT(INDEX('Dealer pipeline'!$M$4:$M$503,_calc!$E$525),"yyyy-mm-dd"),""),IF(ISNUMBER(INDEX('My equipment'!$M$4:$M$503,(_calc!$E$525-500))),TEXT(INDEX('My equipment'!$M$4:$M$503,(_calc!$E$525-500)),"yyyy-mm-dd"),"")))</f>
        <v/>
      </c>
      <c r="C523" s="54">
        <f>IF(_calc!$E$525="","",IF(_calc!$E$525&lt;=500,"Warranty","Warranty"))</f>
        <v/>
      </c>
      <c r="D523" s="54">
        <f>IF(_calc!$E$525="","",IF(_calc!$E$525&lt;=500,IF(ISNUMBER(INDEX('Dealer pipeline'!$H$4:$H$503,_calc!$E$525)),TEXT(INDEX('Dealer pipeline'!$H$4:$H$503,_calc!$E$525),"yyyy-mm-dd"),""),IF(ISNUMBER(INDEX('My equipment'!$H$4:$H$503,(_calc!$E$525-500))),TEXT(INDEX('My equipment'!$H$4:$H$503,(_calc!$E$525-500)),"yyyy-mm-dd"),"")))</f>
        <v/>
      </c>
      <c r="F523" s="54">
        <f>IF(_calc!$E$525="","",IF(_calc!$E$525&lt;=500,TRIM(IF(LEN(IF(LEN(INDEX('Dealer pipeline'!$A$4:$A$503,_calc!$E$525))=0,"",INDEX('Dealer pipeline'!$A$4:$A$503,_calc!$E$525)))=0,"","Customer: "&amp;IF(LEN(INDEX('Dealer pipeline'!$A$4:$A$503,_calc!$E$525))=0,"",INDEX('Dealer pipeline'!$A$4:$A$503,_calc!$E$525))&amp;". ")&amp;IF(LEN(IF(LEN(INDEX('Dealer pipeline'!$B$4:$B$503,_calc!$E$525))=0,"",INDEX('Dealer pipeline'!$B$4:$B$503,_calc!$E$525)))=0,"","Contact: "&amp;IF(LEN(INDEX('Dealer pipeline'!$B$4:$B$503,_calc!$E$525))=0,"",INDEX('Dealer pipeline'!$B$4:$B$503,_calc!$E$525))&amp;". ")&amp;IF(LEN(IF(LEN(INDEX('Dealer pipeline'!$D$4:$D$503,_calc!$E$525))=0,"",INDEX('Dealer pipeline'!$D$4:$D$503,_calc!$E$525)))=0,"","Serial: "&amp;IF(LEN(INDEX('Dealer pipeline'!$D$4:$D$503,_calc!$E$525))=0,"",INDEX('Dealer pipeline'!$D$4:$D$503,_calc!$E$525))&amp;". ")&amp;IF(LEN(IF(ISNUMBER(INDEX('Dealer pipeline'!$J$4:$J$503,_calc!$E$525)),TEXT(INDEX('Dealer pipeline'!$J$4:$J$503,_calc!$E$525),"yyyy-mm-dd"),""))=0,"","Parts end: "&amp;IF(ISNUMBER(INDEX('Dealer pipeline'!$J$4:$J$503,_calc!$E$525)),TEXT(INDEX('Dealer pipeline'!$J$4:$J$503,_calc!$E$525),"yyyy-mm-dd"),"")&amp;". ")&amp;IF(LEN(IF(ISNUMBER(INDEX('Dealer pipeline'!$L$4:$L$503,_calc!$E$525)),TEXT(INDEX('Dealer pipeline'!$L$4:$L$503,_calc!$E$525),"yyyy-mm-dd"),""))=0,"","Labor end: "&amp;IF(ISNUMBER(INDEX('Dealer pipeline'!$L$4:$L$503,_calc!$E$525)),TEXT(INDEX('Dealer pipeline'!$L$4:$L$503,_calc!$E$525),"yyyy-mm-dd"),"")&amp;". ")&amp;IF(LEN(IF(LEN(INDEX('Dealer pipeline'!$Q$4:$Q$503,_calc!$E$525))=0,"",INDEX('Dealer pipeline'!$Q$4:$Q$503,_calc!$E$525)))=0,"","Status: "&amp;IF(LEN(INDEX('Dealer pipeline'!$Q$4:$Q$503,_calc!$E$525))=0,"",INDEX('Dealer pipeline'!$Q$4:$Q$503,_calc!$E$525))&amp;". ")&amp;IF(LEN(IF(LEN(INDEX('Dealer pipeline'!$P$4:$P$503,_calc!$E$525))=0,"",INDEX('Dealer pipeline'!$P$4:$P$503,_calc!$E$525)))=0,"","Last touch: "&amp;IF(LEN(INDEX('Dealer pipeline'!$P$4:$P$503,_calc!$E$525))=0,"",INDEX('Dealer pipeline'!$P$4:$P$503,_calc!$E$525))&amp;". ")&amp;IF(LEN(IF(LEN(INDEX('Dealer pipeline'!$R$4:$R$503,_calc!$E$525))=0,"",INDEX('Dealer pipeline'!$R$4:$R$503,_calc!$E$525)))=0,"","Owner: "&amp;IF(LEN(INDEX('Dealer pipeline'!$R$4:$R$503,_calc!$E$525))=0,"",INDEX('Dealer pipeline'!$R$4:$R$503,_calc!$E$525))&amp;". ")&amp;IF(LEN(IF(LEN(INDEX('Dealer pipeline'!$S$4:$S$503,_calc!$E$525))=0,"",INDEX('Dealer pipeline'!$S$4:$S$503,_calc!$E$525)))=0,"","Backup: "&amp;IF(LEN(INDEX('Dealer pipeline'!$S$4:$S$503,_calc!$E$525))=0,"",INDEX('Dealer pipeline'!$S$4:$S$503,_calc!$E$525))&amp;". ")&amp;IF(LEN(IF(LEN(INDEX('Dealer pipeline'!$T$4:$T$503,_calc!$E$525))=0,"",INDEX('Dealer pipeline'!$T$4:$T$503,_calc!$E$525)))=0,"",IF(LEN(INDEX('Dealer pipeline'!$T$4:$T$503,_calc!$E$525))=0,"",INDEX('Dealer pipeline'!$T$4:$T$503,_calc!$E$525)))),TRIM(IF(LEN(IF(LEN(INDEX('My equipment'!$C$4:$C$503,(_calc!$E$525-500)))=0,"",INDEX('My equipment'!$C$4:$C$503,(_calc!$E$525-500))))=0,"","Model: "&amp;IF(LEN(INDEX('My equipment'!$C$4:$C$503,(_calc!$E$525-500)))=0,"",INDEX('My equipment'!$C$4:$C$503,(_calc!$E$525-500)))&amp;". ")&amp;IF(LEN(IF(LEN(INDEX('My equipment'!$D$4:$D$503,(_calc!$E$525-500)))=0,"",INDEX('My equipment'!$D$4:$D$503,(_calc!$E$525-500))))=0,"","Serial: "&amp;IF(LEN(INDEX('My equipment'!$D$4:$D$503,(_calc!$E$525-500)))=0,"",INDEX('My equipment'!$D$4:$D$503,(_calc!$E$525-500)))&amp;". ")&amp;IF(LEN(IF(ISNUMBER(INDEX('My equipment'!$J$4:$J$503,(_calc!$E$525-500))),TEXT(INDEX('My equipment'!$J$4:$J$503,(_calc!$E$525-500)),"yyyy-mm-dd"),""))=0,"","Parts end: "&amp;IF(ISNUMBER(INDEX('My equipment'!$J$4:$J$503,(_calc!$E$525-500))),TEXT(INDEX('My equipment'!$J$4:$J$503,(_calc!$E$525-500)),"yyyy-mm-dd"),"")&amp;". ")&amp;IF(LEN(IF(ISNUMBER(INDEX('My equipment'!$L$4:$L$503,(_calc!$E$525-500))),TEXT(INDEX('My equipment'!$L$4:$L$503,(_calc!$E$525-500)),"yyyy-mm-dd"),""))=0,"","Labor end: "&amp;IF(ISNUMBER(INDEX('My equipment'!$L$4:$L$503,(_calc!$E$525-500))),TEXT(INDEX('My equipment'!$L$4:$L$503,(_calc!$E$525-500)),"yyyy-mm-dd"),"")&amp;". ")&amp;IF(LEN(IF(ISNUMBER(INDEX('My equipment'!$P$4:$P$503,(_calc!$E$525-500))),TEXT(INDEX('My equipment'!$P$4:$P$503,(_calc!$E$525-500)),"yyyy-mm-dd"),""))=0,"","Check by: "&amp;IF(ISNUMBER(INDEX('My equipment'!$P$4:$P$503,(_calc!$E$525-500))),TEXT(INDEX('My equipment'!$P$4:$P$503,(_calc!$E$525-500)),"yyyy-mm-dd"),"")&amp;". ")&amp;IF(LEN(IF(LEN(INDEX('My equipment'!$Q$4:$Q$503,(_calc!$E$525-500)))=0,"",INDEX('My equipment'!$Q$4:$Q$503,(_calc!$E$525-500))))=0,"","Claim status: "&amp;IF(LEN(INDEX('My equipment'!$Q$4:$Q$503,(_calc!$E$525-500)))=0,"",INDEX('My equipment'!$Q$4:$Q$503,(_calc!$E$525-500)))&amp;". ")&amp;IF(LEN(IF(LEN(INDEX('My equipment'!$R$4:$R$503,(_calc!$E$525-500)))=0,"",INDEX('My equipment'!$R$4:$R$503,(_calc!$E$525-500))))=0,"","Claims contact: "&amp;IF(LEN(INDEX('My equipment'!$R$4:$R$503,(_calc!$E$525-500)))=0,"",INDEX('My equipment'!$R$4:$R$503,(_calc!$E$525-500)))&amp;". ")&amp;IF(LEN(IF(LEN(INDEX('My equipment'!$S$4:$S$503,(_calc!$E$525-500)))=0,"",INDEX('My equipment'!$S$4:$S$503,(_calc!$E$525-500))))=0,"","Claims email: "&amp;IF(LEN(INDEX('My equipment'!$S$4:$S$503,(_calc!$E$525-500)))=0,"",INDEX('My equipment'!$S$4:$S$503,(_calc!$E$525-500)))&amp;". ")&amp;IF(LEN(IF(LEN(INDEX('My equipment'!$U$4:$U$503,(_calc!$E$525-500)))=0,"",INDEX('My equipment'!$U$4:$U$503,(_calc!$E$525-500))))=0,"","Registered: "&amp;IF(LEN(INDEX('My equipment'!$U$4:$U$503,(_calc!$E$525-500)))=0,"",INDEX('My equipment'!$U$4:$U$503,(_calc!$E$525-500)))&amp;". ")&amp;IF(LEN(IF(LEN(INDEX('My equipment'!$V$4:$V$503,(_calc!$E$525-500)))=0,"",INDEX('My equipment'!$V$4:$V$503,(_calc!$E$525-500))))=0,"","Proof on file: "&amp;IF(LEN(INDEX('My equipment'!$V$4:$V$503,(_calc!$E$525-500)))=0,"",INDEX('My equipment'!$V$4:$V$503,(_calc!$E$525-500)))&amp;". ")&amp;IF(LEN(IF(LEN(INDEX('My equipment'!$W$4:$W$503,(_calc!$E$525-500)))=0,"",INDEX('My equipment'!$W$4:$W$503,(_calc!$E$525-500))))=0,"","Claim ref: "&amp;IF(LEN(INDEX('My equipment'!$W$4:$W$503,(_calc!$E$525-500)))=0,"",INDEX('My equipment'!$W$4:$W$503,(_calc!$E$525-500)))&amp;". ")&amp;IF(LEN(IF(LEN(INDEX('My equipment'!$Y$4:$Y$503,(_calc!$E$525-500)))=0,"",INDEX('My equipment'!$Y$4:$Y$503,(_calc!$E$525-500))))=0,"",IF(LEN(INDEX('My equipment'!$Y$4:$Y$503,(_calc!$E$525-500)))=0,"",INDEX('My equipment'!$Y$4:$Y$503,(_calc!$E$525-500)))))))</f>
        <v/>
      </c>
      <c r="G523" s="54">
        <f>IF(_calc!$E$525="","",IF(_calc!$E$525&lt;=500,"",IF(LEN(INDEX('My equipment'!$X$4:$X$503,(_calc!$E$525-500)))=0,"",INDEX('My equipment'!$X$4:$X$503,(_calc!$E$525-500)))))</f>
        <v/>
      </c>
      <c r="K523" s="54">
        <f>IF(_calc!$E$525="","",IF(_calc!$E$525&lt;=500,"",IF(LEN(INDEX('My equipment'!$T$4:$T$503,(_calc!$E$525-500)))=0,"",INDEX('My equipment'!$T$4:$T$503,(_calc!$E$525-500)))))</f>
        <v/>
      </c>
    </row>
    <row r="524">
      <c r="A524" s="54">
        <f>IF(_calc!$E$526="","",IF(_calc!$E$526&lt;=500,"Warranty – "&amp;IF(LEN(INDEX('Dealer pipeline'!$C$4:$C$503,_calc!$E$526))=0,"",INDEX('Dealer pipeline'!$C$4:$C$503,_calc!$E$526))&amp;" – "&amp;IF(LEN(INDEX('Dealer pipeline'!$D$4:$D$503,_calc!$E$526))=0,"",INDEX('Dealer pipeline'!$D$4:$D$503,_calc!$E$526))&amp;" – "&amp;IF(LEN(INDEX('Dealer pipeline'!$A$4:$A$503,_calc!$E$526))=0,"",INDEX('Dealer pipeline'!$A$4:$A$503,_calc!$E$526)),"Warranty – "&amp;IF(LEN(INDEX('My equipment'!$A$4:$A$503,(_calc!$E$526-500)))=0,"",INDEX('My equipment'!$A$4:$A$503,(_calc!$E$526-500)))&amp;" – "&amp;IF(LEN(INDEX('My equipment'!$D$4:$D$503,(_calc!$E$526-500)))=0,"",INDEX('My equipment'!$D$4:$D$503,(_calc!$E$526-500)))))</f>
        <v/>
      </c>
      <c r="B524" s="54">
        <f>IF(_calc!$E$526="","",IF(_calc!$E$526&lt;=500,IF(ISNUMBER(INDEX('Dealer pipeline'!$M$4:$M$503,_calc!$E$526)),TEXT(INDEX('Dealer pipeline'!$M$4:$M$503,_calc!$E$526),"yyyy-mm-dd"),""),IF(ISNUMBER(INDEX('My equipment'!$M$4:$M$503,(_calc!$E$526-500))),TEXT(INDEX('My equipment'!$M$4:$M$503,(_calc!$E$526-500)),"yyyy-mm-dd"),"")))</f>
        <v/>
      </c>
      <c r="C524" s="54">
        <f>IF(_calc!$E$526="","",IF(_calc!$E$526&lt;=500,"Warranty","Warranty"))</f>
        <v/>
      </c>
      <c r="D524" s="54">
        <f>IF(_calc!$E$526="","",IF(_calc!$E$526&lt;=500,IF(ISNUMBER(INDEX('Dealer pipeline'!$H$4:$H$503,_calc!$E$526)),TEXT(INDEX('Dealer pipeline'!$H$4:$H$503,_calc!$E$526),"yyyy-mm-dd"),""),IF(ISNUMBER(INDEX('My equipment'!$H$4:$H$503,(_calc!$E$526-500))),TEXT(INDEX('My equipment'!$H$4:$H$503,(_calc!$E$526-500)),"yyyy-mm-dd"),"")))</f>
        <v/>
      </c>
      <c r="F524" s="54">
        <f>IF(_calc!$E$526="","",IF(_calc!$E$526&lt;=500,TRIM(IF(LEN(IF(LEN(INDEX('Dealer pipeline'!$A$4:$A$503,_calc!$E$526))=0,"",INDEX('Dealer pipeline'!$A$4:$A$503,_calc!$E$526)))=0,"","Customer: "&amp;IF(LEN(INDEX('Dealer pipeline'!$A$4:$A$503,_calc!$E$526))=0,"",INDEX('Dealer pipeline'!$A$4:$A$503,_calc!$E$526))&amp;". ")&amp;IF(LEN(IF(LEN(INDEX('Dealer pipeline'!$B$4:$B$503,_calc!$E$526))=0,"",INDEX('Dealer pipeline'!$B$4:$B$503,_calc!$E$526)))=0,"","Contact: "&amp;IF(LEN(INDEX('Dealer pipeline'!$B$4:$B$503,_calc!$E$526))=0,"",INDEX('Dealer pipeline'!$B$4:$B$503,_calc!$E$526))&amp;". ")&amp;IF(LEN(IF(LEN(INDEX('Dealer pipeline'!$D$4:$D$503,_calc!$E$526))=0,"",INDEX('Dealer pipeline'!$D$4:$D$503,_calc!$E$526)))=0,"","Serial: "&amp;IF(LEN(INDEX('Dealer pipeline'!$D$4:$D$503,_calc!$E$526))=0,"",INDEX('Dealer pipeline'!$D$4:$D$503,_calc!$E$526))&amp;". ")&amp;IF(LEN(IF(ISNUMBER(INDEX('Dealer pipeline'!$J$4:$J$503,_calc!$E$526)),TEXT(INDEX('Dealer pipeline'!$J$4:$J$503,_calc!$E$526),"yyyy-mm-dd"),""))=0,"","Parts end: "&amp;IF(ISNUMBER(INDEX('Dealer pipeline'!$J$4:$J$503,_calc!$E$526)),TEXT(INDEX('Dealer pipeline'!$J$4:$J$503,_calc!$E$526),"yyyy-mm-dd"),"")&amp;". ")&amp;IF(LEN(IF(ISNUMBER(INDEX('Dealer pipeline'!$L$4:$L$503,_calc!$E$526)),TEXT(INDEX('Dealer pipeline'!$L$4:$L$503,_calc!$E$526),"yyyy-mm-dd"),""))=0,"","Labor end: "&amp;IF(ISNUMBER(INDEX('Dealer pipeline'!$L$4:$L$503,_calc!$E$526)),TEXT(INDEX('Dealer pipeline'!$L$4:$L$503,_calc!$E$526),"yyyy-mm-dd"),"")&amp;". ")&amp;IF(LEN(IF(LEN(INDEX('Dealer pipeline'!$Q$4:$Q$503,_calc!$E$526))=0,"",INDEX('Dealer pipeline'!$Q$4:$Q$503,_calc!$E$526)))=0,"","Status: "&amp;IF(LEN(INDEX('Dealer pipeline'!$Q$4:$Q$503,_calc!$E$526))=0,"",INDEX('Dealer pipeline'!$Q$4:$Q$503,_calc!$E$526))&amp;". ")&amp;IF(LEN(IF(LEN(INDEX('Dealer pipeline'!$P$4:$P$503,_calc!$E$526))=0,"",INDEX('Dealer pipeline'!$P$4:$P$503,_calc!$E$526)))=0,"","Last touch: "&amp;IF(LEN(INDEX('Dealer pipeline'!$P$4:$P$503,_calc!$E$526))=0,"",INDEX('Dealer pipeline'!$P$4:$P$503,_calc!$E$526))&amp;". ")&amp;IF(LEN(IF(LEN(INDEX('Dealer pipeline'!$R$4:$R$503,_calc!$E$526))=0,"",INDEX('Dealer pipeline'!$R$4:$R$503,_calc!$E$526)))=0,"","Owner: "&amp;IF(LEN(INDEX('Dealer pipeline'!$R$4:$R$503,_calc!$E$526))=0,"",INDEX('Dealer pipeline'!$R$4:$R$503,_calc!$E$526))&amp;". ")&amp;IF(LEN(IF(LEN(INDEX('Dealer pipeline'!$S$4:$S$503,_calc!$E$526))=0,"",INDEX('Dealer pipeline'!$S$4:$S$503,_calc!$E$526)))=0,"","Backup: "&amp;IF(LEN(INDEX('Dealer pipeline'!$S$4:$S$503,_calc!$E$526))=0,"",INDEX('Dealer pipeline'!$S$4:$S$503,_calc!$E$526))&amp;". ")&amp;IF(LEN(IF(LEN(INDEX('Dealer pipeline'!$T$4:$T$503,_calc!$E$526))=0,"",INDEX('Dealer pipeline'!$T$4:$T$503,_calc!$E$526)))=0,"",IF(LEN(INDEX('Dealer pipeline'!$T$4:$T$503,_calc!$E$526))=0,"",INDEX('Dealer pipeline'!$T$4:$T$503,_calc!$E$526)))),TRIM(IF(LEN(IF(LEN(INDEX('My equipment'!$C$4:$C$503,(_calc!$E$526-500)))=0,"",INDEX('My equipment'!$C$4:$C$503,(_calc!$E$526-500))))=0,"","Model: "&amp;IF(LEN(INDEX('My equipment'!$C$4:$C$503,(_calc!$E$526-500)))=0,"",INDEX('My equipment'!$C$4:$C$503,(_calc!$E$526-500)))&amp;". ")&amp;IF(LEN(IF(LEN(INDEX('My equipment'!$D$4:$D$503,(_calc!$E$526-500)))=0,"",INDEX('My equipment'!$D$4:$D$503,(_calc!$E$526-500))))=0,"","Serial: "&amp;IF(LEN(INDEX('My equipment'!$D$4:$D$503,(_calc!$E$526-500)))=0,"",INDEX('My equipment'!$D$4:$D$503,(_calc!$E$526-500)))&amp;". ")&amp;IF(LEN(IF(ISNUMBER(INDEX('My equipment'!$J$4:$J$503,(_calc!$E$526-500))),TEXT(INDEX('My equipment'!$J$4:$J$503,(_calc!$E$526-500)),"yyyy-mm-dd"),""))=0,"","Parts end: "&amp;IF(ISNUMBER(INDEX('My equipment'!$J$4:$J$503,(_calc!$E$526-500))),TEXT(INDEX('My equipment'!$J$4:$J$503,(_calc!$E$526-500)),"yyyy-mm-dd"),"")&amp;". ")&amp;IF(LEN(IF(ISNUMBER(INDEX('My equipment'!$L$4:$L$503,(_calc!$E$526-500))),TEXT(INDEX('My equipment'!$L$4:$L$503,(_calc!$E$526-500)),"yyyy-mm-dd"),""))=0,"","Labor end: "&amp;IF(ISNUMBER(INDEX('My equipment'!$L$4:$L$503,(_calc!$E$526-500))),TEXT(INDEX('My equipment'!$L$4:$L$503,(_calc!$E$526-500)),"yyyy-mm-dd"),"")&amp;". ")&amp;IF(LEN(IF(ISNUMBER(INDEX('My equipment'!$P$4:$P$503,(_calc!$E$526-500))),TEXT(INDEX('My equipment'!$P$4:$P$503,(_calc!$E$526-500)),"yyyy-mm-dd"),""))=0,"","Check by: "&amp;IF(ISNUMBER(INDEX('My equipment'!$P$4:$P$503,(_calc!$E$526-500))),TEXT(INDEX('My equipment'!$P$4:$P$503,(_calc!$E$526-500)),"yyyy-mm-dd"),"")&amp;". ")&amp;IF(LEN(IF(LEN(INDEX('My equipment'!$Q$4:$Q$503,(_calc!$E$526-500)))=0,"",INDEX('My equipment'!$Q$4:$Q$503,(_calc!$E$526-500))))=0,"","Claim status: "&amp;IF(LEN(INDEX('My equipment'!$Q$4:$Q$503,(_calc!$E$526-500)))=0,"",INDEX('My equipment'!$Q$4:$Q$503,(_calc!$E$526-500)))&amp;". ")&amp;IF(LEN(IF(LEN(INDEX('My equipment'!$R$4:$R$503,(_calc!$E$526-500)))=0,"",INDEX('My equipment'!$R$4:$R$503,(_calc!$E$526-500))))=0,"","Claims contact: "&amp;IF(LEN(INDEX('My equipment'!$R$4:$R$503,(_calc!$E$526-500)))=0,"",INDEX('My equipment'!$R$4:$R$503,(_calc!$E$526-500)))&amp;". ")&amp;IF(LEN(IF(LEN(INDEX('My equipment'!$S$4:$S$503,(_calc!$E$526-500)))=0,"",INDEX('My equipment'!$S$4:$S$503,(_calc!$E$526-500))))=0,"","Claims email: "&amp;IF(LEN(INDEX('My equipment'!$S$4:$S$503,(_calc!$E$526-500)))=0,"",INDEX('My equipment'!$S$4:$S$503,(_calc!$E$526-500)))&amp;". ")&amp;IF(LEN(IF(LEN(INDEX('My equipment'!$U$4:$U$503,(_calc!$E$526-500)))=0,"",INDEX('My equipment'!$U$4:$U$503,(_calc!$E$526-500))))=0,"","Registered: "&amp;IF(LEN(INDEX('My equipment'!$U$4:$U$503,(_calc!$E$526-500)))=0,"",INDEX('My equipment'!$U$4:$U$503,(_calc!$E$526-500)))&amp;". ")&amp;IF(LEN(IF(LEN(INDEX('My equipment'!$V$4:$V$503,(_calc!$E$526-500)))=0,"",INDEX('My equipment'!$V$4:$V$503,(_calc!$E$526-500))))=0,"","Proof on file: "&amp;IF(LEN(INDEX('My equipment'!$V$4:$V$503,(_calc!$E$526-500)))=0,"",INDEX('My equipment'!$V$4:$V$503,(_calc!$E$526-500)))&amp;". ")&amp;IF(LEN(IF(LEN(INDEX('My equipment'!$W$4:$W$503,(_calc!$E$526-500)))=0,"",INDEX('My equipment'!$W$4:$W$503,(_calc!$E$526-500))))=0,"","Claim ref: "&amp;IF(LEN(INDEX('My equipment'!$W$4:$W$503,(_calc!$E$526-500)))=0,"",INDEX('My equipment'!$W$4:$W$503,(_calc!$E$526-500)))&amp;". ")&amp;IF(LEN(IF(LEN(INDEX('My equipment'!$Y$4:$Y$503,(_calc!$E$526-500)))=0,"",INDEX('My equipment'!$Y$4:$Y$503,(_calc!$E$526-500))))=0,"",IF(LEN(INDEX('My equipment'!$Y$4:$Y$503,(_calc!$E$526-500)))=0,"",INDEX('My equipment'!$Y$4:$Y$503,(_calc!$E$526-500)))))))</f>
        <v/>
      </c>
      <c r="G524" s="54">
        <f>IF(_calc!$E$526="","",IF(_calc!$E$526&lt;=500,"",IF(LEN(INDEX('My equipment'!$X$4:$X$503,(_calc!$E$526-500)))=0,"",INDEX('My equipment'!$X$4:$X$503,(_calc!$E$526-500)))))</f>
        <v/>
      </c>
      <c r="K524" s="54">
        <f>IF(_calc!$E$526="","",IF(_calc!$E$526&lt;=500,"",IF(LEN(INDEX('My equipment'!$T$4:$T$503,(_calc!$E$526-500)))=0,"",INDEX('My equipment'!$T$4:$T$503,(_calc!$E$526-500)))))</f>
        <v/>
      </c>
    </row>
    <row r="525">
      <c r="A525" s="54">
        <f>IF(_calc!$E$527="","",IF(_calc!$E$527&lt;=500,"Warranty – "&amp;IF(LEN(INDEX('Dealer pipeline'!$C$4:$C$503,_calc!$E$527))=0,"",INDEX('Dealer pipeline'!$C$4:$C$503,_calc!$E$527))&amp;" – "&amp;IF(LEN(INDEX('Dealer pipeline'!$D$4:$D$503,_calc!$E$527))=0,"",INDEX('Dealer pipeline'!$D$4:$D$503,_calc!$E$527))&amp;" – "&amp;IF(LEN(INDEX('Dealer pipeline'!$A$4:$A$503,_calc!$E$527))=0,"",INDEX('Dealer pipeline'!$A$4:$A$503,_calc!$E$527)),"Warranty – "&amp;IF(LEN(INDEX('My equipment'!$A$4:$A$503,(_calc!$E$527-500)))=0,"",INDEX('My equipment'!$A$4:$A$503,(_calc!$E$527-500)))&amp;" – "&amp;IF(LEN(INDEX('My equipment'!$D$4:$D$503,(_calc!$E$527-500)))=0,"",INDEX('My equipment'!$D$4:$D$503,(_calc!$E$527-500)))))</f>
        <v/>
      </c>
      <c r="B525" s="54">
        <f>IF(_calc!$E$527="","",IF(_calc!$E$527&lt;=500,IF(ISNUMBER(INDEX('Dealer pipeline'!$M$4:$M$503,_calc!$E$527)),TEXT(INDEX('Dealer pipeline'!$M$4:$M$503,_calc!$E$527),"yyyy-mm-dd"),""),IF(ISNUMBER(INDEX('My equipment'!$M$4:$M$503,(_calc!$E$527-500))),TEXT(INDEX('My equipment'!$M$4:$M$503,(_calc!$E$527-500)),"yyyy-mm-dd"),"")))</f>
        <v/>
      </c>
      <c r="C525" s="54">
        <f>IF(_calc!$E$527="","",IF(_calc!$E$527&lt;=500,"Warranty","Warranty"))</f>
        <v/>
      </c>
      <c r="D525" s="54">
        <f>IF(_calc!$E$527="","",IF(_calc!$E$527&lt;=500,IF(ISNUMBER(INDEX('Dealer pipeline'!$H$4:$H$503,_calc!$E$527)),TEXT(INDEX('Dealer pipeline'!$H$4:$H$503,_calc!$E$527),"yyyy-mm-dd"),""),IF(ISNUMBER(INDEX('My equipment'!$H$4:$H$503,(_calc!$E$527-500))),TEXT(INDEX('My equipment'!$H$4:$H$503,(_calc!$E$527-500)),"yyyy-mm-dd"),"")))</f>
        <v/>
      </c>
      <c r="F525" s="54">
        <f>IF(_calc!$E$527="","",IF(_calc!$E$527&lt;=500,TRIM(IF(LEN(IF(LEN(INDEX('Dealer pipeline'!$A$4:$A$503,_calc!$E$527))=0,"",INDEX('Dealer pipeline'!$A$4:$A$503,_calc!$E$527)))=0,"","Customer: "&amp;IF(LEN(INDEX('Dealer pipeline'!$A$4:$A$503,_calc!$E$527))=0,"",INDEX('Dealer pipeline'!$A$4:$A$503,_calc!$E$527))&amp;". ")&amp;IF(LEN(IF(LEN(INDEX('Dealer pipeline'!$B$4:$B$503,_calc!$E$527))=0,"",INDEX('Dealer pipeline'!$B$4:$B$503,_calc!$E$527)))=0,"","Contact: "&amp;IF(LEN(INDEX('Dealer pipeline'!$B$4:$B$503,_calc!$E$527))=0,"",INDEX('Dealer pipeline'!$B$4:$B$503,_calc!$E$527))&amp;". ")&amp;IF(LEN(IF(LEN(INDEX('Dealer pipeline'!$D$4:$D$503,_calc!$E$527))=0,"",INDEX('Dealer pipeline'!$D$4:$D$503,_calc!$E$527)))=0,"","Serial: "&amp;IF(LEN(INDEX('Dealer pipeline'!$D$4:$D$503,_calc!$E$527))=0,"",INDEX('Dealer pipeline'!$D$4:$D$503,_calc!$E$527))&amp;". ")&amp;IF(LEN(IF(ISNUMBER(INDEX('Dealer pipeline'!$J$4:$J$503,_calc!$E$527)),TEXT(INDEX('Dealer pipeline'!$J$4:$J$503,_calc!$E$527),"yyyy-mm-dd"),""))=0,"","Parts end: "&amp;IF(ISNUMBER(INDEX('Dealer pipeline'!$J$4:$J$503,_calc!$E$527)),TEXT(INDEX('Dealer pipeline'!$J$4:$J$503,_calc!$E$527),"yyyy-mm-dd"),"")&amp;". ")&amp;IF(LEN(IF(ISNUMBER(INDEX('Dealer pipeline'!$L$4:$L$503,_calc!$E$527)),TEXT(INDEX('Dealer pipeline'!$L$4:$L$503,_calc!$E$527),"yyyy-mm-dd"),""))=0,"","Labor end: "&amp;IF(ISNUMBER(INDEX('Dealer pipeline'!$L$4:$L$503,_calc!$E$527)),TEXT(INDEX('Dealer pipeline'!$L$4:$L$503,_calc!$E$527),"yyyy-mm-dd"),"")&amp;". ")&amp;IF(LEN(IF(LEN(INDEX('Dealer pipeline'!$Q$4:$Q$503,_calc!$E$527))=0,"",INDEX('Dealer pipeline'!$Q$4:$Q$503,_calc!$E$527)))=0,"","Status: "&amp;IF(LEN(INDEX('Dealer pipeline'!$Q$4:$Q$503,_calc!$E$527))=0,"",INDEX('Dealer pipeline'!$Q$4:$Q$503,_calc!$E$527))&amp;". ")&amp;IF(LEN(IF(LEN(INDEX('Dealer pipeline'!$P$4:$P$503,_calc!$E$527))=0,"",INDEX('Dealer pipeline'!$P$4:$P$503,_calc!$E$527)))=0,"","Last touch: "&amp;IF(LEN(INDEX('Dealer pipeline'!$P$4:$P$503,_calc!$E$527))=0,"",INDEX('Dealer pipeline'!$P$4:$P$503,_calc!$E$527))&amp;". ")&amp;IF(LEN(IF(LEN(INDEX('Dealer pipeline'!$R$4:$R$503,_calc!$E$527))=0,"",INDEX('Dealer pipeline'!$R$4:$R$503,_calc!$E$527)))=0,"","Owner: "&amp;IF(LEN(INDEX('Dealer pipeline'!$R$4:$R$503,_calc!$E$527))=0,"",INDEX('Dealer pipeline'!$R$4:$R$503,_calc!$E$527))&amp;". ")&amp;IF(LEN(IF(LEN(INDEX('Dealer pipeline'!$S$4:$S$503,_calc!$E$527))=0,"",INDEX('Dealer pipeline'!$S$4:$S$503,_calc!$E$527)))=0,"","Backup: "&amp;IF(LEN(INDEX('Dealer pipeline'!$S$4:$S$503,_calc!$E$527))=0,"",INDEX('Dealer pipeline'!$S$4:$S$503,_calc!$E$527))&amp;". ")&amp;IF(LEN(IF(LEN(INDEX('Dealer pipeline'!$T$4:$T$503,_calc!$E$527))=0,"",INDEX('Dealer pipeline'!$T$4:$T$503,_calc!$E$527)))=0,"",IF(LEN(INDEX('Dealer pipeline'!$T$4:$T$503,_calc!$E$527))=0,"",INDEX('Dealer pipeline'!$T$4:$T$503,_calc!$E$527)))),TRIM(IF(LEN(IF(LEN(INDEX('My equipment'!$C$4:$C$503,(_calc!$E$527-500)))=0,"",INDEX('My equipment'!$C$4:$C$503,(_calc!$E$527-500))))=0,"","Model: "&amp;IF(LEN(INDEX('My equipment'!$C$4:$C$503,(_calc!$E$527-500)))=0,"",INDEX('My equipment'!$C$4:$C$503,(_calc!$E$527-500)))&amp;". ")&amp;IF(LEN(IF(LEN(INDEX('My equipment'!$D$4:$D$503,(_calc!$E$527-500)))=0,"",INDEX('My equipment'!$D$4:$D$503,(_calc!$E$527-500))))=0,"","Serial: "&amp;IF(LEN(INDEX('My equipment'!$D$4:$D$503,(_calc!$E$527-500)))=0,"",INDEX('My equipment'!$D$4:$D$503,(_calc!$E$527-500)))&amp;". ")&amp;IF(LEN(IF(ISNUMBER(INDEX('My equipment'!$J$4:$J$503,(_calc!$E$527-500))),TEXT(INDEX('My equipment'!$J$4:$J$503,(_calc!$E$527-500)),"yyyy-mm-dd"),""))=0,"","Parts end: "&amp;IF(ISNUMBER(INDEX('My equipment'!$J$4:$J$503,(_calc!$E$527-500))),TEXT(INDEX('My equipment'!$J$4:$J$503,(_calc!$E$527-500)),"yyyy-mm-dd"),"")&amp;". ")&amp;IF(LEN(IF(ISNUMBER(INDEX('My equipment'!$L$4:$L$503,(_calc!$E$527-500))),TEXT(INDEX('My equipment'!$L$4:$L$503,(_calc!$E$527-500)),"yyyy-mm-dd"),""))=0,"","Labor end: "&amp;IF(ISNUMBER(INDEX('My equipment'!$L$4:$L$503,(_calc!$E$527-500))),TEXT(INDEX('My equipment'!$L$4:$L$503,(_calc!$E$527-500)),"yyyy-mm-dd"),"")&amp;". ")&amp;IF(LEN(IF(ISNUMBER(INDEX('My equipment'!$P$4:$P$503,(_calc!$E$527-500))),TEXT(INDEX('My equipment'!$P$4:$P$503,(_calc!$E$527-500)),"yyyy-mm-dd"),""))=0,"","Check by: "&amp;IF(ISNUMBER(INDEX('My equipment'!$P$4:$P$503,(_calc!$E$527-500))),TEXT(INDEX('My equipment'!$P$4:$P$503,(_calc!$E$527-500)),"yyyy-mm-dd"),"")&amp;". ")&amp;IF(LEN(IF(LEN(INDEX('My equipment'!$Q$4:$Q$503,(_calc!$E$527-500)))=0,"",INDEX('My equipment'!$Q$4:$Q$503,(_calc!$E$527-500))))=0,"","Claim status: "&amp;IF(LEN(INDEX('My equipment'!$Q$4:$Q$503,(_calc!$E$527-500)))=0,"",INDEX('My equipment'!$Q$4:$Q$503,(_calc!$E$527-500)))&amp;". ")&amp;IF(LEN(IF(LEN(INDEX('My equipment'!$R$4:$R$503,(_calc!$E$527-500)))=0,"",INDEX('My equipment'!$R$4:$R$503,(_calc!$E$527-500))))=0,"","Claims contact: "&amp;IF(LEN(INDEX('My equipment'!$R$4:$R$503,(_calc!$E$527-500)))=0,"",INDEX('My equipment'!$R$4:$R$503,(_calc!$E$527-500)))&amp;". ")&amp;IF(LEN(IF(LEN(INDEX('My equipment'!$S$4:$S$503,(_calc!$E$527-500)))=0,"",INDEX('My equipment'!$S$4:$S$503,(_calc!$E$527-500))))=0,"","Claims email: "&amp;IF(LEN(INDEX('My equipment'!$S$4:$S$503,(_calc!$E$527-500)))=0,"",INDEX('My equipment'!$S$4:$S$503,(_calc!$E$527-500)))&amp;". ")&amp;IF(LEN(IF(LEN(INDEX('My equipment'!$U$4:$U$503,(_calc!$E$527-500)))=0,"",INDEX('My equipment'!$U$4:$U$503,(_calc!$E$527-500))))=0,"","Registered: "&amp;IF(LEN(INDEX('My equipment'!$U$4:$U$503,(_calc!$E$527-500)))=0,"",INDEX('My equipment'!$U$4:$U$503,(_calc!$E$527-500)))&amp;". ")&amp;IF(LEN(IF(LEN(INDEX('My equipment'!$V$4:$V$503,(_calc!$E$527-500)))=0,"",INDEX('My equipment'!$V$4:$V$503,(_calc!$E$527-500))))=0,"","Proof on file: "&amp;IF(LEN(INDEX('My equipment'!$V$4:$V$503,(_calc!$E$527-500)))=0,"",INDEX('My equipment'!$V$4:$V$503,(_calc!$E$527-500)))&amp;". ")&amp;IF(LEN(IF(LEN(INDEX('My equipment'!$W$4:$W$503,(_calc!$E$527-500)))=0,"",INDEX('My equipment'!$W$4:$W$503,(_calc!$E$527-500))))=0,"","Claim ref: "&amp;IF(LEN(INDEX('My equipment'!$W$4:$W$503,(_calc!$E$527-500)))=0,"",INDEX('My equipment'!$W$4:$W$503,(_calc!$E$527-500)))&amp;". ")&amp;IF(LEN(IF(LEN(INDEX('My equipment'!$Y$4:$Y$503,(_calc!$E$527-500)))=0,"",INDEX('My equipment'!$Y$4:$Y$503,(_calc!$E$527-500))))=0,"",IF(LEN(INDEX('My equipment'!$Y$4:$Y$503,(_calc!$E$527-500)))=0,"",INDEX('My equipment'!$Y$4:$Y$503,(_calc!$E$527-500)))))))</f>
        <v/>
      </c>
      <c r="G525" s="54">
        <f>IF(_calc!$E$527="","",IF(_calc!$E$527&lt;=500,"",IF(LEN(INDEX('My equipment'!$X$4:$X$503,(_calc!$E$527-500)))=0,"",INDEX('My equipment'!$X$4:$X$503,(_calc!$E$527-500)))))</f>
        <v/>
      </c>
      <c r="K525" s="54">
        <f>IF(_calc!$E$527="","",IF(_calc!$E$527&lt;=500,"",IF(LEN(INDEX('My equipment'!$T$4:$T$503,(_calc!$E$527-500)))=0,"",INDEX('My equipment'!$T$4:$T$503,(_calc!$E$527-500)))))</f>
        <v/>
      </c>
    </row>
    <row r="526">
      <c r="A526" s="54">
        <f>IF(_calc!$E$528="","",IF(_calc!$E$528&lt;=500,"Warranty – "&amp;IF(LEN(INDEX('Dealer pipeline'!$C$4:$C$503,_calc!$E$528))=0,"",INDEX('Dealer pipeline'!$C$4:$C$503,_calc!$E$528))&amp;" – "&amp;IF(LEN(INDEX('Dealer pipeline'!$D$4:$D$503,_calc!$E$528))=0,"",INDEX('Dealer pipeline'!$D$4:$D$503,_calc!$E$528))&amp;" – "&amp;IF(LEN(INDEX('Dealer pipeline'!$A$4:$A$503,_calc!$E$528))=0,"",INDEX('Dealer pipeline'!$A$4:$A$503,_calc!$E$528)),"Warranty – "&amp;IF(LEN(INDEX('My equipment'!$A$4:$A$503,(_calc!$E$528-500)))=0,"",INDEX('My equipment'!$A$4:$A$503,(_calc!$E$528-500)))&amp;" – "&amp;IF(LEN(INDEX('My equipment'!$D$4:$D$503,(_calc!$E$528-500)))=0,"",INDEX('My equipment'!$D$4:$D$503,(_calc!$E$528-500)))))</f>
        <v/>
      </c>
      <c r="B526" s="54">
        <f>IF(_calc!$E$528="","",IF(_calc!$E$528&lt;=500,IF(ISNUMBER(INDEX('Dealer pipeline'!$M$4:$M$503,_calc!$E$528)),TEXT(INDEX('Dealer pipeline'!$M$4:$M$503,_calc!$E$528),"yyyy-mm-dd"),""),IF(ISNUMBER(INDEX('My equipment'!$M$4:$M$503,(_calc!$E$528-500))),TEXT(INDEX('My equipment'!$M$4:$M$503,(_calc!$E$528-500)),"yyyy-mm-dd"),"")))</f>
        <v/>
      </c>
      <c r="C526" s="54">
        <f>IF(_calc!$E$528="","",IF(_calc!$E$528&lt;=500,"Warranty","Warranty"))</f>
        <v/>
      </c>
      <c r="D526" s="54">
        <f>IF(_calc!$E$528="","",IF(_calc!$E$528&lt;=500,IF(ISNUMBER(INDEX('Dealer pipeline'!$H$4:$H$503,_calc!$E$528)),TEXT(INDEX('Dealer pipeline'!$H$4:$H$503,_calc!$E$528),"yyyy-mm-dd"),""),IF(ISNUMBER(INDEX('My equipment'!$H$4:$H$503,(_calc!$E$528-500))),TEXT(INDEX('My equipment'!$H$4:$H$503,(_calc!$E$528-500)),"yyyy-mm-dd"),"")))</f>
        <v/>
      </c>
      <c r="F526" s="54">
        <f>IF(_calc!$E$528="","",IF(_calc!$E$528&lt;=500,TRIM(IF(LEN(IF(LEN(INDEX('Dealer pipeline'!$A$4:$A$503,_calc!$E$528))=0,"",INDEX('Dealer pipeline'!$A$4:$A$503,_calc!$E$528)))=0,"","Customer: "&amp;IF(LEN(INDEX('Dealer pipeline'!$A$4:$A$503,_calc!$E$528))=0,"",INDEX('Dealer pipeline'!$A$4:$A$503,_calc!$E$528))&amp;". ")&amp;IF(LEN(IF(LEN(INDEX('Dealer pipeline'!$B$4:$B$503,_calc!$E$528))=0,"",INDEX('Dealer pipeline'!$B$4:$B$503,_calc!$E$528)))=0,"","Contact: "&amp;IF(LEN(INDEX('Dealer pipeline'!$B$4:$B$503,_calc!$E$528))=0,"",INDEX('Dealer pipeline'!$B$4:$B$503,_calc!$E$528))&amp;". ")&amp;IF(LEN(IF(LEN(INDEX('Dealer pipeline'!$D$4:$D$503,_calc!$E$528))=0,"",INDEX('Dealer pipeline'!$D$4:$D$503,_calc!$E$528)))=0,"","Serial: "&amp;IF(LEN(INDEX('Dealer pipeline'!$D$4:$D$503,_calc!$E$528))=0,"",INDEX('Dealer pipeline'!$D$4:$D$503,_calc!$E$528))&amp;". ")&amp;IF(LEN(IF(ISNUMBER(INDEX('Dealer pipeline'!$J$4:$J$503,_calc!$E$528)),TEXT(INDEX('Dealer pipeline'!$J$4:$J$503,_calc!$E$528),"yyyy-mm-dd"),""))=0,"","Parts end: "&amp;IF(ISNUMBER(INDEX('Dealer pipeline'!$J$4:$J$503,_calc!$E$528)),TEXT(INDEX('Dealer pipeline'!$J$4:$J$503,_calc!$E$528),"yyyy-mm-dd"),"")&amp;". ")&amp;IF(LEN(IF(ISNUMBER(INDEX('Dealer pipeline'!$L$4:$L$503,_calc!$E$528)),TEXT(INDEX('Dealer pipeline'!$L$4:$L$503,_calc!$E$528),"yyyy-mm-dd"),""))=0,"","Labor end: "&amp;IF(ISNUMBER(INDEX('Dealer pipeline'!$L$4:$L$503,_calc!$E$528)),TEXT(INDEX('Dealer pipeline'!$L$4:$L$503,_calc!$E$528),"yyyy-mm-dd"),"")&amp;". ")&amp;IF(LEN(IF(LEN(INDEX('Dealer pipeline'!$Q$4:$Q$503,_calc!$E$528))=0,"",INDEX('Dealer pipeline'!$Q$4:$Q$503,_calc!$E$528)))=0,"","Status: "&amp;IF(LEN(INDEX('Dealer pipeline'!$Q$4:$Q$503,_calc!$E$528))=0,"",INDEX('Dealer pipeline'!$Q$4:$Q$503,_calc!$E$528))&amp;". ")&amp;IF(LEN(IF(LEN(INDEX('Dealer pipeline'!$P$4:$P$503,_calc!$E$528))=0,"",INDEX('Dealer pipeline'!$P$4:$P$503,_calc!$E$528)))=0,"","Last touch: "&amp;IF(LEN(INDEX('Dealer pipeline'!$P$4:$P$503,_calc!$E$528))=0,"",INDEX('Dealer pipeline'!$P$4:$P$503,_calc!$E$528))&amp;". ")&amp;IF(LEN(IF(LEN(INDEX('Dealer pipeline'!$R$4:$R$503,_calc!$E$528))=0,"",INDEX('Dealer pipeline'!$R$4:$R$503,_calc!$E$528)))=0,"","Owner: "&amp;IF(LEN(INDEX('Dealer pipeline'!$R$4:$R$503,_calc!$E$528))=0,"",INDEX('Dealer pipeline'!$R$4:$R$503,_calc!$E$528))&amp;". ")&amp;IF(LEN(IF(LEN(INDEX('Dealer pipeline'!$S$4:$S$503,_calc!$E$528))=0,"",INDEX('Dealer pipeline'!$S$4:$S$503,_calc!$E$528)))=0,"","Backup: "&amp;IF(LEN(INDEX('Dealer pipeline'!$S$4:$S$503,_calc!$E$528))=0,"",INDEX('Dealer pipeline'!$S$4:$S$503,_calc!$E$528))&amp;". ")&amp;IF(LEN(IF(LEN(INDEX('Dealer pipeline'!$T$4:$T$503,_calc!$E$528))=0,"",INDEX('Dealer pipeline'!$T$4:$T$503,_calc!$E$528)))=0,"",IF(LEN(INDEX('Dealer pipeline'!$T$4:$T$503,_calc!$E$528))=0,"",INDEX('Dealer pipeline'!$T$4:$T$503,_calc!$E$528)))),TRIM(IF(LEN(IF(LEN(INDEX('My equipment'!$C$4:$C$503,(_calc!$E$528-500)))=0,"",INDEX('My equipment'!$C$4:$C$503,(_calc!$E$528-500))))=0,"","Model: "&amp;IF(LEN(INDEX('My equipment'!$C$4:$C$503,(_calc!$E$528-500)))=0,"",INDEX('My equipment'!$C$4:$C$503,(_calc!$E$528-500)))&amp;". ")&amp;IF(LEN(IF(LEN(INDEX('My equipment'!$D$4:$D$503,(_calc!$E$528-500)))=0,"",INDEX('My equipment'!$D$4:$D$503,(_calc!$E$528-500))))=0,"","Serial: "&amp;IF(LEN(INDEX('My equipment'!$D$4:$D$503,(_calc!$E$528-500)))=0,"",INDEX('My equipment'!$D$4:$D$503,(_calc!$E$528-500)))&amp;". ")&amp;IF(LEN(IF(ISNUMBER(INDEX('My equipment'!$J$4:$J$503,(_calc!$E$528-500))),TEXT(INDEX('My equipment'!$J$4:$J$503,(_calc!$E$528-500)),"yyyy-mm-dd"),""))=0,"","Parts end: "&amp;IF(ISNUMBER(INDEX('My equipment'!$J$4:$J$503,(_calc!$E$528-500))),TEXT(INDEX('My equipment'!$J$4:$J$503,(_calc!$E$528-500)),"yyyy-mm-dd"),"")&amp;". ")&amp;IF(LEN(IF(ISNUMBER(INDEX('My equipment'!$L$4:$L$503,(_calc!$E$528-500))),TEXT(INDEX('My equipment'!$L$4:$L$503,(_calc!$E$528-500)),"yyyy-mm-dd"),""))=0,"","Labor end: "&amp;IF(ISNUMBER(INDEX('My equipment'!$L$4:$L$503,(_calc!$E$528-500))),TEXT(INDEX('My equipment'!$L$4:$L$503,(_calc!$E$528-500)),"yyyy-mm-dd"),"")&amp;". ")&amp;IF(LEN(IF(ISNUMBER(INDEX('My equipment'!$P$4:$P$503,(_calc!$E$528-500))),TEXT(INDEX('My equipment'!$P$4:$P$503,(_calc!$E$528-500)),"yyyy-mm-dd"),""))=0,"","Check by: "&amp;IF(ISNUMBER(INDEX('My equipment'!$P$4:$P$503,(_calc!$E$528-500))),TEXT(INDEX('My equipment'!$P$4:$P$503,(_calc!$E$528-500)),"yyyy-mm-dd"),"")&amp;". ")&amp;IF(LEN(IF(LEN(INDEX('My equipment'!$Q$4:$Q$503,(_calc!$E$528-500)))=0,"",INDEX('My equipment'!$Q$4:$Q$503,(_calc!$E$528-500))))=0,"","Claim status: "&amp;IF(LEN(INDEX('My equipment'!$Q$4:$Q$503,(_calc!$E$528-500)))=0,"",INDEX('My equipment'!$Q$4:$Q$503,(_calc!$E$528-500)))&amp;". ")&amp;IF(LEN(IF(LEN(INDEX('My equipment'!$R$4:$R$503,(_calc!$E$528-500)))=0,"",INDEX('My equipment'!$R$4:$R$503,(_calc!$E$528-500))))=0,"","Claims contact: "&amp;IF(LEN(INDEX('My equipment'!$R$4:$R$503,(_calc!$E$528-500)))=0,"",INDEX('My equipment'!$R$4:$R$503,(_calc!$E$528-500)))&amp;". ")&amp;IF(LEN(IF(LEN(INDEX('My equipment'!$S$4:$S$503,(_calc!$E$528-500)))=0,"",INDEX('My equipment'!$S$4:$S$503,(_calc!$E$528-500))))=0,"","Claims email: "&amp;IF(LEN(INDEX('My equipment'!$S$4:$S$503,(_calc!$E$528-500)))=0,"",INDEX('My equipment'!$S$4:$S$503,(_calc!$E$528-500)))&amp;". ")&amp;IF(LEN(IF(LEN(INDEX('My equipment'!$U$4:$U$503,(_calc!$E$528-500)))=0,"",INDEX('My equipment'!$U$4:$U$503,(_calc!$E$528-500))))=0,"","Registered: "&amp;IF(LEN(INDEX('My equipment'!$U$4:$U$503,(_calc!$E$528-500)))=0,"",INDEX('My equipment'!$U$4:$U$503,(_calc!$E$528-500)))&amp;". ")&amp;IF(LEN(IF(LEN(INDEX('My equipment'!$V$4:$V$503,(_calc!$E$528-500)))=0,"",INDEX('My equipment'!$V$4:$V$503,(_calc!$E$528-500))))=0,"","Proof on file: "&amp;IF(LEN(INDEX('My equipment'!$V$4:$V$503,(_calc!$E$528-500)))=0,"",INDEX('My equipment'!$V$4:$V$503,(_calc!$E$528-500)))&amp;". ")&amp;IF(LEN(IF(LEN(INDEX('My equipment'!$W$4:$W$503,(_calc!$E$528-500)))=0,"",INDEX('My equipment'!$W$4:$W$503,(_calc!$E$528-500))))=0,"","Claim ref: "&amp;IF(LEN(INDEX('My equipment'!$W$4:$W$503,(_calc!$E$528-500)))=0,"",INDEX('My equipment'!$W$4:$W$503,(_calc!$E$528-500)))&amp;". ")&amp;IF(LEN(IF(LEN(INDEX('My equipment'!$Y$4:$Y$503,(_calc!$E$528-500)))=0,"",INDEX('My equipment'!$Y$4:$Y$503,(_calc!$E$528-500))))=0,"",IF(LEN(INDEX('My equipment'!$Y$4:$Y$503,(_calc!$E$528-500)))=0,"",INDEX('My equipment'!$Y$4:$Y$503,(_calc!$E$528-500)))))))</f>
        <v/>
      </c>
      <c r="G526" s="54">
        <f>IF(_calc!$E$528="","",IF(_calc!$E$528&lt;=500,"",IF(LEN(INDEX('My equipment'!$X$4:$X$503,(_calc!$E$528-500)))=0,"",INDEX('My equipment'!$X$4:$X$503,(_calc!$E$528-500)))))</f>
        <v/>
      </c>
      <c r="K526" s="54">
        <f>IF(_calc!$E$528="","",IF(_calc!$E$528&lt;=500,"",IF(LEN(INDEX('My equipment'!$T$4:$T$503,(_calc!$E$528-500)))=0,"",INDEX('My equipment'!$T$4:$T$503,(_calc!$E$528-500)))))</f>
        <v/>
      </c>
    </row>
    <row r="527">
      <c r="A527" s="54">
        <f>IF(_calc!$E$529="","",IF(_calc!$E$529&lt;=500,"Warranty – "&amp;IF(LEN(INDEX('Dealer pipeline'!$C$4:$C$503,_calc!$E$529))=0,"",INDEX('Dealer pipeline'!$C$4:$C$503,_calc!$E$529))&amp;" – "&amp;IF(LEN(INDEX('Dealer pipeline'!$D$4:$D$503,_calc!$E$529))=0,"",INDEX('Dealer pipeline'!$D$4:$D$503,_calc!$E$529))&amp;" – "&amp;IF(LEN(INDEX('Dealer pipeline'!$A$4:$A$503,_calc!$E$529))=0,"",INDEX('Dealer pipeline'!$A$4:$A$503,_calc!$E$529)),"Warranty – "&amp;IF(LEN(INDEX('My equipment'!$A$4:$A$503,(_calc!$E$529-500)))=0,"",INDEX('My equipment'!$A$4:$A$503,(_calc!$E$529-500)))&amp;" – "&amp;IF(LEN(INDEX('My equipment'!$D$4:$D$503,(_calc!$E$529-500)))=0,"",INDEX('My equipment'!$D$4:$D$503,(_calc!$E$529-500)))))</f>
        <v/>
      </c>
      <c r="B527" s="54">
        <f>IF(_calc!$E$529="","",IF(_calc!$E$529&lt;=500,IF(ISNUMBER(INDEX('Dealer pipeline'!$M$4:$M$503,_calc!$E$529)),TEXT(INDEX('Dealer pipeline'!$M$4:$M$503,_calc!$E$529),"yyyy-mm-dd"),""),IF(ISNUMBER(INDEX('My equipment'!$M$4:$M$503,(_calc!$E$529-500))),TEXT(INDEX('My equipment'!$M$4:$M$503,(_calc!$E$529-500)),"yyyy-mm-dd"),"")))</f>
        <v/>
      </c>
      <c r="C527" s="54">
        <f>IF(_calc!$E$529="","",IF(_calc!$E$529&lt;=500,"Warranty","Warranty"))</f>
        <v/>
      </c>
      <c r="D527" s="54">
        <f>IF(_calc!$E$529="","",IF(_calc!$E$529&lt;=500,IF(ISNUMBER(INDEX('Dealer pipeline'!$H$4:$H$503,_calc!$E$529)),TEXT(INDEX('Dealer pipeline'!$H$4:$H$503,_calc!$E$529),"yyyy-mm-dd"),""),IF(ISNUMBER(INDEX('My equipment'!$H$4:$H$503,(_calc!$E$529-500))),TEXT(INDEX('My equipment'!$H$4:$H$503,(_calc!$E$529-500)),"yyyy-mm-dd"),"")))</f>
        <v/>
      </c>
      <c r="F527" s="54">
        <f>IF(_calc!$E$529="","",IF(_calc!$E$529&lt;=500,TRIM(IF(LEN(IF(LEN(INDEX('Dealer pipeline'!$A$4:$A$503,_calc!$E$529))=0,"",INDEX('Dealer pipeline'!$A$4:$A$503,_calc!$E$529)))=0,"","Customer: "&amp;IF(LEN(INDEX('Dealer pipeline'!$A$4:$A$503,_calc!$E$529))=0,"",INDEX('Dealer pipeline'!$A$4:$A$503,_calc!$E$529))&amp;". ")&amp;IF(LEN(IF(LEN(INDEX('Dealer pipeline'!$B$4:$B$503,_calc!$E$529))=0,"",INDEX('Dealer pipeline'!$B$4:$B$503,_calc!$E$529)))=0,"","Contact: "&amp;IF(LEN(INDEX('Dealer pipeline'!$B$4:$B$503,_calc!$E$529))=0,"",INDEX('Dealer pipeline'!$B$4:$B$503,_calc!$E$529))&amp;". ")&amp;IF(LEN(IF(LEN(INDEX('Dealer pipeline'!$D$4:$D$503,_calc!$E$529))=0,"",INDEX('Dealer pipeline'!$D$4:$D$503,_calc!$E$529)))=0,"","Serial: "&amp;IF(LEN(INDEX('Dealer pipeline'!$D$4:$D$503,_calc!$E$529))=0,"",INDEX('Dealer pipeline'!$D$4:$D$503,_calc!$E$529))&amp;". ")&amp;IF(LEN(IF(ISNUMBER(INDEX('Dealer pipeline'!$J$4:$J$503,_calc!$E$529)),TEXT(INDEX('Dealer pipeline'!$J$4:$J$503,_calc!$E$529),"yyyy-mm-dd"),""))=0,"","Parts end: "&amp;IF(ISNUMBER(INDEX('Dealer pipeline'!$J$4:$J$503,_calc!$E$529)),TEXT(INDEX('Dealer pipeline'!$J$4:$J$503,_calc!$E$529),"yyyy-mm-dd"),"")&amp;". ")&amp;IF(LEN(IF(ISNUMBER(INDEX('Dealer pipeline'!$L$4:$L$503,_calc!$E$529)),TEXT(INDEX('Dealer pipeline'!$L$4:$L$503,_calc!$E$529),"yyyy-mm-dd"),""))=0,"","Labor end: "&amp;IF(ISNUMBER(INDEX('Dealer pipeline'!$L$4:$L$503,_calc!$E$529)),TEXT(INDEX('Dealer pipeline'!$L$4:$L$503,_calc!$E$529),"yyyy-mm-dd"),"")&amp;". ")&amp;IF(LEN(IF(LEN(INDEX('Dealer pipeline'!$Q$4:$Q$503,_calc!$E$529))=0,"",INDEX('Dealer pipeline'!$Q$4:$Q$503,_calc!$E$529)))=0,"","Status: "&amp;IF(LEN(INDEX('Dealer pipeline'!$Q$4:$Q$503,_calc!$E$529))=0,"",INDEX('Dealer pipeline'!$Q$4:$Q$503,_calc!$E$529))&amp;". ")&amp;IF(LEN(IF(LEN(INDEX('Dealer pipeline'!$P$4:$P$503,_calc!$E$529))=0,"",INDEX('Dealer pipeline'!$P$4:$P$503,_calc!$E$529)))=0,"","Last touch: "&amp;IF(LEN(INDEX('Dealer pipeline'!$P$4:$P$503,_calc!$E$529))=0,"",INDEX('Dealer pipeline'!$P$4:$P$503,_calc!$E$529))&amp;". ")&amp;IF(LEN(IF(LEN(INDEX('Dealer pipeline'!$R$4:$R$503,_calc!$E$529))=0,"",INDEX('Dealer pipeline'!$R$4:$R$503,_calc!$E$529)))=0,"","Owner: "&amp;IF(LEN(INDEX('Dealer pipeline'!$R$4:$R$503,_calc!$E$529))=0,"",INDEX('Dealer pipeline'!$R$4:$R$503,_calc!$E$529))&amp;". ")&amp;IF(LEN(IF(LEN(INDEX('Dealer pipeline'!$S$4:$S$503,_calc!$E$529))=0,"",INDEX('Dealer pipeline'!$S$4:$S$503,_calc!$E$529)))=0,"","Backup: "&amp;IF(LEN(INDEX('Dealer pipeline'!$S$4:$S$503,_calc!$E$529))=0,"",INDEX('Dealer pipeline'!$S$4:$S$503,_calc!$E$529))&amp;". ")&amp;IF(LEN(IF(LEN(INDEX('Dealer pipeline'!$T$4:$T$503,_calc!$E$529))=0,"",INDEX('Dealer pipeline'!$T$4:$T$503,_calc!$E$529)))=0,"",IF(LEN(INDEX('Dealer pipeline'!$T$4:$T$503,_calc!$E$529))=0,"",INDEX('Dealer pipeline'!$T$4:$T$503,_calc!$E$529)))),TRIM(IF(LEN(IF(LEN(INDEX('My equipment'!$C$4:$C$503,(_calc!$E$529-500)))=0,"",INDEX('My equipment'!$C$4:$C$503,(_calc!$E$529-500))))=0,"","Model: "&amp;IF(LEN(INDEX('My equipment'!$C$4:$C$503,(_calc!$E$529-500)))=0,"",INDEX('My equipment'!$C$4:$C$503,(_calc!$E$529-500)))&amp;". ")&amp;IF(LEN(IF(LEN(INDEX('My equipment'!$D$4:$D$503,(_calc!$E$529-500)))=0,"",INDEX('My equipment'!$D$4:$D$503,(_calc!$E$529-500))))=0,"","Serial: "&amp;IF(LEN(INDEX('My equipment'!$D$4:$D$503,(_calc!$E$529-500)))=0,"",INDEX('My equipment'!$D$4:$D$503,(_calc!$E$529-500)))&amp;". ")&amp;IF(LEN(IF(ISNUMBER(INDEX('My equipment'!$J$4:$J$503,(_calc!$E$529-500))),TEXT(INDEX('My equipment'!$J$4:$J$503,(_calc!$E$529-500)),"yyyy-mm-dd"),""))=0,"","Parts end: "&amp;IF(ISNUMBER(INDEX('My equipment'!$J$4:$J$503,(_calc!$E$529-500))),TEXT(INDEX('My equipment'!$J$4:$J$503,(_calc!$E$529-500)),"yyyy-mm-dd"),"")&amp;". ")&amp;IF(LEN(IF(ISNUMBER(INDEX('My equipment'!$L$4:$L$503,(_calc!$E$529-500))),TEXT(INDEX('My equipment'!$L$4:$L$503,(_calc!$E$529-500)),"yyyy-mm-dd"),""))=0,"","Labor end: "&amp;IF(ISNUMBER(INDEX('My equipment'!$L$4:$L$503,(_calc!$E$529-500))),TEXT(INDEX('My equipment'!$L$4:$L$503,(_calc!$E$529-500)),"yyyy-mm-dd"),"")&amp;". ")&amp;IF(LEN(IF(ISNUMBER(INDEX('My equipment'!$P$4:$P$503,(_calc!$E$529-500))),TEXT(INDEX('My equipment'!$P$4:$P$503,(_calc!$E$529-500)),"yyyy-mm-dd"),""))=0,"","Check by: "&amp;IF(ISNUMBER(INDEX('My equipment'!$P$4:$P$503,(_calc!$E$529-500))),TEXT(INDEX('My equipment'!$P$4:$P$503,(_calc!$E$529-500)),"yyyy-mm-dd"),"")&amp;". ")&amp;IF(LEN(IF(LEN(INDEX('My equipment'!$Q$4:$Q$503,(_calc!$E$529-500)))=0,"",INDEX('My equipment'!$Q$4:$Q$503,(_calc!$E$529-500))))=0,"","Claim status: "&amp;IF(LEN(INDEX('My equipment'!$Q$4:$Q$503,(_calc!$E$529-500)))=0,"",INDEX('My equipment'!$Q$4:$Q$503,(_calc!$E$529-500)))&amp;". ")&amp;IF(LEN(IF(LEN(INDEX('My equipment'!$R$4:$R$503,(_calc!$E$529-500)))=0,"",INDEX('My equipment'!$R$4:$R$503,(_calc!$E$529-500))))=0,"","Claims contact: "&amp;IF(LEN(INDEX('My equipment'!$R$4:$R$503,(_calc!$E$529-500)))=0,"",INDEX('My equipment'!$R$4:$R$503,(_calc!$E$529-500)))&amp;". ")&amp;IF(LEN(IF(LEN(INDEX('My equipment'!$S$4:$S$503,(_calc!$E$529-500)))=0,"",INDEX('My equipment'!$S$4:$S$503,(_calc!$E$529-500))))=0,"","Claims email: "&amp;IF(LEN(INDEX('My equipment'!$S$4:$S$503,(_calc!$E$529-500)))=0,"",INDEX('My equipment'!$S$4:$S$503,(_calc!$E$529-500)))&amp;". ")&amp;IF(LEN(IF(LEN(INDEX('My equipment'!$U$4:$U$503,(_calc!$E$529-500)))=0,"",INDEX('My equipment'!$U$4:$U$503,(_calc!$E$529-500))))=0,"","Registered: "&amp;IF(LEN(INDEX('My equipment'!$U$4:$U$503,(_calc!$E$529-500)))=0,"",INDEX('My equipment'!$U$4:$U$503,(_calc!$E$529-500)))&amp;". ")&amp;IF(LEN(IF(LEN(INDEX('My equipment'!$V$4:$V$503,(_calc!$E$529-500)))=0,"",INDEX('My equipment'!$V$4:$V$503,(_calc!$E$529-500))))=0,"","Proof on file: "&amp;IF(LEN(INDEX('My equipment'!$V$4:$V$503,(_calc!$E$529-500)))=0,"",INDEX('My equipment'!$V$4:$V$503,(_calc!$E$529-500)))&amp;". ")&amp;IF(LEN(IF(LEN(INDEX('My equipment'!$W$4:$W$503,(_calc!$E$529-500)))=0,"",INDEX('My equipment'!$W$4:$W$503,(_calc!$E$529-500))))=0,"","Claim ref: "&amp;IF(LEN(INDEX('My equipment'!$W$4:$W$503,(_calc!$E$529-500)))=0,"",INDEX('My equipment'!$W$4:$W$503,(_calc!$E$529-500)))&amp;". ")&amp;IF(LEN(IF(LEN(INDEX('My equipment'!$Y$4:$Y$503,(_calc!$E$529-500)))=0,"",INDEX('My equipment'!$Y$4:$Y$503,(_calc!$E$529-500))))=0,"",IF(LEN(INDEX('My equipment'!$Y$4:$Y$503,(_calc!$E$529-500)))=0,"",INDEX('My equipment'!$Y$4:$Y$503,(_calc!$E$529-500)))))))</f>
        <v/>
      </c>
      <c r="G527" s="54">
        <f>IF(_calc!$E$529="","",IF(_calc!$E$529&lt;=500,"",IF(LEN(INDEX('My equipment'!$X$4:$X$503,(_calc!$E$529-500)))=0,"",INDEX('My equipment'!$X$4:$X$503,(_calc!$E$529-500)))))</f>
        <v/>
      </c>
      <c r="K527" s="54">
        <f>IF(_calc!$E$529="","",IF(_calc!$E$529&lt;=500,"",IF(LEN(INDEX('My equipment'!$T$4:$T$503,(_calc!$E$529-500)))=0,"",INDEX('My equipment'!$T$4:$T$503,(_calc!$E$529-500)))))</f>
        <v/>
      </c>
    </row>
    <row r="528">
      <c r="A528" s="54">
        <f>IF(_calc!$E$530="","",IF(_calc!$E$530&lt;=500,"Warranty – "&amp;IF(LEN(INDEX('Dealer pipeline'!$C$4:$C$503,_calc!$E$530))=0,"",INDEX('Dealer pipeline'!$C$4:$C$503,_calc!$E$530))&amp;" – "&amp;IF(LEN(INDEX('Dealer pipeline'!$D$4:$D$503,_calc!$E$530))=0,"",INDEX('Dealer pipeline'!$D$4:$D$503,_calc!$E$530))&amp;" – "&amp;IF(LEN(INDEX('Dealer pipeline'!$A$4:$A$503,_calc!$E$530))=0,"",INDEX('Dealer pipeline'!$A$4:$A$503,_calc!$E$530)),"Warranty – "&amp;IF(LEN(INDEX('My equipment'!$A$4:$A$503,(_calc!$E$530-500)))=0,"",INDEX('My equipment'!$A$4:$A$503,(_calc!$E$530-500)))&amp;" – "&amp;IF(LEN(INDEX('My equipment'!$D$4:$D$503,(_calc!$E$530-500)))=0,"",INDEX('My equipment'!$D$4:$D$503,(_calc!$E$530-500)))))</f>
        <v/>
      </c>
      <c r="B528" s="54">
        <f>IF(_calc!$E$530="","",IF(_calc!$E$530&lt;=500,IF(ISNUMBER(INDEX('Dealer pipeline'!$M$4:$M$503,_calc!$E$530)),TEXT(INDEX('Dealer pipeline'!$M$4:$M$503,_calc!$E$530),"yyyy-mm-dd"),""),IF(ISNUMBER(INDEX('My equipment'!$M$4:$M$503,(_calc!$E$530-500))),TEXT(INDEX('My equipment'!$M$4:$M$503,(_calc!$E$530-500)),"yyyy-mm-dd"),"")))</f>
        <v/>
      </c>
      <c r="C528" s="54">
        <f>IF(_calc!$E$530="","",IF(_calc!$E$530&lt;=500,"Warranty","Warranty"))</f>
        <v/>
      </c>
      <c r="D528" s="54">
        <f>IF(_calc!$E$530="","",IF(_calc!$E$530&lt;=500,IF(ISNUMBER(INDEX('Dealer pipeline'!$H$4:$H$503,_calc!$E$530)),TEXT(INDEX('Dealer pipeline'!$H$4:$H$503,_calc!$E$530),"yyyy-mm-dd"),""),IF(ISNUMBER(INDEX('My equipment'!$H$4:$H$503,(_calc!$E$530-500))),TEXT(INDEX('My equipment'!$H$4:$H$503,(_calc!$E$530-500)),"yyyy-mm-dd"),"")))</f>
        <v/>
      </c>
      <c r="F528" s="54">
        <f>IF(_calc!$E$530="","",IF(_calc!$E$530&lt;=500,TRIM(IF(LEN(IF(LEN(INDEX('Dealer pipeline'!$A$4:$A$503,_calc!$E$530))=0,"",INDEX('Dealer pipeline'!$A$4:$A$503,_calc!$E$530)))=0,"","Customer: "&amp;IF(LEN(INDEX('Dealer pipeline'!$A$4:$A$503,_calc!$E$530))=0,"",INDEX('Dealer pipeline'!$A$4:$A$503,_calc!$E$530))&amp;". ")&amp;IF(LEN(IF(LEN(INDEX('Dealer pipeline'!$B$4:$B$503,_calc!$E$530))=0,"",INDEX('Dealer pipeline'!$B$4:$B$503,_calc!$E$530)))=0,"","Contact: "&amp;IF(LEN(INDEX('Dealer pipeline'!$B$4:$B$503,_calc!$E$530))=0,"",INDEX('Dealer pipeline'!$B$4:$B$503,_calc!$E$530))&amp;". ")&amp;IF(LEN(IF(LEN(INDEX('Dealer pipeline'!$D$4:$D$503,_calc!$E$530))=0,"",INDEX('Dealer pipeline'!$D$4:$D$503,_calc!$E$530)))=0,"","Serial: "&amp;IF(LEN(INDEX('Dealer pipeline'!$D$4:$D$503,_calc!$E$530))=0,"",INDEX('Dealer pipeline'!$D$4:$D$503,_calc!$E$530))&amp;". ")&amp;IF(LEN(IF(ISNUMBER(INDEX('Dealer pipeline'!$J$4:$J$503,_calc!$E$530)),TEXT(INDEX('Dealer pipeline'!$J$4:$J$503,_calc!$E$530),"yyyy-mm-dd"),""))=0,"","Parts end: "&amp;IF(ISNUMBER(INDEX('Dealer pipeline'!$J$4:$J$503,_calc!$E$530)),TEXT(INDEX('Dealer pipeline'!$J$4:$J$503,_calc!$E$530),"yyyy-mm-dd"),"")&amp;". ")&amp;IF(LEN(IF(ISNUMBER(INDEX('Dealer pipeline'!$L$4:$L$503,_calc!$E$530)),TEXT(INDEX('Dealer pipeline'!$L$4:$L$503,_calc!$E$530),"yyyy-mm-dd"),""))=0,"","Labor end: "&amp;IF(ISNUMBER(INDEX('Dealer pipeline'!$L$4:$L$503,_calc!$E$530)),TEXT(INDEX('Dealer pipeline'!$L$4:$L$503,_calc!$E$530),"yyyy-mm-dd"),"")&amp;". ")&amp;IF(LEN(IF(LEN(INDEX('Dealer pipeline'!$Q$4:$Q$503,_calc!$E$530))=0,"",INDEX('Dealer pipeline'!$Q$4:$Q$503,_calc!$E$530)))=0,"","Status: "&amp;IF(LEN(INDEX('Dealer pipeline'!$Q$4:$Q$503,_calc!$E$530))=0,"",INDEX('Dealer pipeline'!$Q$4:$Q$503,_calc!$E$530))&amp;". ")&amp;IF(LEN(IF(LEN(INDEX('Dealer pipeline'!$P$4:$P$503,_calc!$E$530))=0,"",INDEX('Dealer pipeline'!$P$4:$P$503,_calc!$E$530)))=0,"","Last touch: "&amp;IF(LEN(INDEX('Dealer pipeline'!$P$4:$P$503,_calc!$E$530))=0,"",INDEX('Dealer pipeline'!$P$4:$P$503,_calc!$E$530))&amp;". ")&amp;IF(LEN(IF(LEN(INDEX('Dealer pipeline'!$R$4:$R$503,_calc!$E$530))=0,"",INDEX('Dealer pipeline'!$R$4:$R$503,_calc!$E$530)))=0,"","Owner: "&amp;IF(LEN(INDEX('Dealer pipeline'!$R$4:$R$503,_calc!$E$530))=0,"",INDEX('Dealer pipeline'!$R$4:$R$503,_calc!$E$530))&amp;". ")&amp;IF(LEN(IF(LEN(INDEX('Dealer pipeline'!$S$4:$S$503,_calc!$E$530))=0,"",INDEX('Dealer pipeline'!$S$4:$S$503,_calc!$E$530)))=0,"","Backup: "&amp;IF(LEN(INDEX('Dealer pipeline'!$S$4:$S$503,_calc!$E$530))=0,"",INDEX('Dealer pipeline'!$S$4:$S$503,_calc!$E$530))&amp;". ")&amp;IF(LEN(IF(LEN(INDEX('Dealer pipeline'!$T$4:$T$503,_calc!$E$530))=0,"",INDEX('Dealer pipeline'!$T$4:$T$503,_calc!$E$530)))=0,"",IF(LEN(INDEX('Dealer pipeline'!$T$4:$T$503,_calc!$E$530))=0,"",INDEX('Dealer pipeline'!$T$4:$T$503,_calc!$E$530)))),TRIM(IF(LEN(IF(LEN(INDEX('My equipment'!$C$4:$C$503,(_calc!$E$530-500)))=0,"",INDEX('My equipment'!$C$4:$C$503,(_calc!$E$530-500))))=0,"","Model: "&amp;IF(LEN(INDEX('My equipment'!$C$4:$C$503,(_calc!$E$530-500)))=0,"",INDEX('My equipment'!$C$4:$C$503,(_calc!$E$530-500)))&amp;". ")&amp;IF(LEN(IF(LEN(INDEX('My equipment'!$D$4:$D$503,(_calc!$E$530-500)))=0,"",INDEX('My equipment'!$D$4:$D$503,(_calc!$E$530-500))))=0,"","Serial: "&amp;IF(LEN(INDEX('My equipment'!$D$4:$D$503,(_calc!$E$530-500)))=0,"",INDEX('My equipment'!$D$4:$D$503,(_calc!$E$530-500)))&amp;". ")&amp;IF(LEN(IF(ISNUMBER(INDEX('My equipment'!$J$4:$J$503,(_calc!$E$530-500))),TEXT(INDEX('My equipment'!$J$4:$J$503,(_calc!$E$530-500)),"yyyy-mm-dd"),""))=0,"","Parts end: "&amp;IF(ISNUMBER(INDEX('My equipment'!$J$4:$J$503,(_calc!$E$530-500))),TEXT(INDEX('My equipment'!$J$4:$J$503,(_calc!$E$530-500)),"yyyy-mm-dd"),"")&amp;". ")&amp;IF(LEN(IF(ISNUMBER(INDEX('My equipment'!$L$4:$L$503,(_calc!$E$530-500))),TEXT(INDEX('My equipment'!$L$4:$L$503,(_calc!$E$530-500)),"yyyy-mm-dd"),""))=0,"","Labor end: "&amp;IF(ISNUMBER(INDEX('My equipment'!$L$4:$L$503,(_calc!$E$530-500))),TEXT(INDEX('My equipment'!$L$4:$L$503,(_calc!$E$530-500)),"yyyy-mm-dd"),"")&amp;". ")&amp;IF(LEN(IF(ISNUMBER(INDEX('My equipment'!$P$4:$P$503,(_calc!$E$530-500))),TEXT(INDEX('My equipment'!$P$4:$P$503,(_calc!$E$530-500)),"yyyy-mm-dd"),""))=0,"","Check by: "&amp;IF(ISNUMBER(INDEX('My equipment'!$P$4:$P$503,(_calc!$E$530-500))),TEXT(INDEX('My equipment'!$P$4:$P$503,(_calc!$E$530-500)),"yyyy-mm-dd"),"")&amp;". ")&amp;IF(LEN(IF(LEN(INDEX('My equipment'!$Q$4:$Q$503,(_calc!$E$530-500)))=0,"",INDEX('My equipment'!$Q$4:$Q$503,(_calc!$E$530-500))))=0,"","Claim status: "&amp;IF(LEN(INDEX('My equipment'!$Q$4:$Q$503,(_calc!$E$530-500)))=0,"",INDEX('My equipment'!$Q$4:$Q$503,(_calc!$E$530-500)))&amp;". ")&amp;IF(LEN(IF(LEN(INDEX('My equipment'!$R$4:$R$503,(_calc!$E$530-500)))=0,"",INDEX('My equipment'!$R$4:$R$503,(_calc!$E$530-500))))=0,"","Claims contact: "&amp;IF(LEN(INDEX('My equipment'!$R$4:$R$503,(_calc!$E$530-500)))=0,"",INDEX('My equipment'!$R$4:$R$503,(_calc!$E$530-500)))&amp;". ")&amp;IF(LEN(IF(LEN(INDEX('My equipment'!$S$4:$S$503,(_calc!$E$530-500)))=0,"",INDEX('My equipment'!$S$4:$S$503,(_calc!$E$530-500))))=0,"","Claims email: "&amp;IF(LEN(INDEX('My equipment'!$S$4:$S$503,(_calc!$E$530-500)))=0,"",INDEX('My equipment'!$S$4:$S$503,(_calc!$E$530-500)))&amp;". ")&amp;IF(LEN(IF(LEN(INDEX('My equipment'!$U$4:$U$503,(_calc!$E$530-500)))=0,"",INDEX('My equipment'!$U$4:$U$503,(_calc!$E$530-500))))=0,"","Registered: "&amp;IF(LEN(INDEX('My equipment'!$U$4:$U$503,(_calc!$E$530-500)))=0,"",INDEX('My equipment'!$U$4:$U$503,(_calc!$E$530-500)))&amp;". ")&amp;IF(LEN(IF(LEN(INDEX('My equipment'!$V$4:$V$503,(_calc!$E$530-500)))=0,"",INDEX('My equipment'!$V$4:$V$503,(_calc!$E$530-500))))=0,"","Proof on file: "&amp;IF(LEN(INDEX('My equipment'!$V$4:$V$503,(_calc!$E$530-500)))=0,"",INDEX('My equipment'!$V$4:$V$503,(_calc!$E$530-500)))&amp;". ")&amp;IF(LEN(IF(LEN(INDEX('My equipment'!$W$4:$W$503,(_calc!$E$530-500)))=0,"",INDEX('My equipment'!$W$4:$W$503,(_calc!$E$530-500))))=0,"","Claim ref: "&amp;IF(LEN(INDEX('My equipment'!$W$4:$W$503,(_calc!$E$530-500)))=0,"",INDEX('My equipment'!$W$4:$W$503,(_calc!$E$530-500)))&amp;". ")&amp;IF(LEN(IF(LEN(INDEX('My equipment'!$Y$4:$Y$503,(_calc!$E$530-500)))=0,"",INDEX('My equipment'!$Y$4:$Y$503,(_calc!$E$530-500))))=0,"",IF(LEN(INDEX('My equipment'!$Y$4:$Y$503,(_calc!$E$530-500)))=0,"",INDEX('My equipment'!$Y$4:$Y$503,(_calc!$E$530-500)))))))</f>
        <v/>
      </c>
      <c r="G528" s="54">
        <f>IF(_calc!$E$530="","",IF(_calc!$E$530&lt;=500,"",IF(LEN(INDEX('My equipment'!$X$4:$X$503,(_calc!$E$530-500)))=0,"",INDEX('My equipment'!$X$4:$X$503,(_calc!$E$530-500)))))</f>
        <v/>
      </c>
      <c r="K528" s="54">
        <f>IF(_calc!$E$530="","",IF(_calc!$E$530&lt;=500,"",IF(LEN(INDEX('My equipment'!$T$4:$T$503,(_calc!$E$530-500)))=0,"",INDEX('My equipment'!$T$4:$T$503,(_calc!$E$530-500)))))</f>
        <v/>
      </c>
    </row>
    <row r="529">
      <c r="A529" s="54">
        <f>IF(_calc!$E$531="","",IF(_calc!$E$531&lt;=500,"Warranty – "&amp;IF(LEN(INDEX('Dealer pipeline'!$C$4:$C$503,_calc!$E$531))=0,"",INDEX('Dealer pipeline'!$C$4:$C$503,_calc!$E$531))&amp;" – "&amp;IF(LEN(INDEX('Dealer pipeline'!$D$4:$D$503,_calc!$E$531))=0,"",INDEX('Dealer pipeline'!$D$4:$D$503,_calc!$E$531))&amp;" – "&amp;IF(LEN(INDEX('Dealer pipeline'!$A$4:$A$503,_calc!$E$531))=0,"",INDEX('Dealer pipeline'!$A$4:$A$503,_calc!$E$531)),"Warranty – "&amp;IF(LEN(INDEX('My equipment'!$A$4:$A$503,(_calc!$E$531-500)))=0,"",INDEX('My equipment'!$A$4:$A$503,(_calc!$E$531-500)))&amp;" – "&amp;IF(LEN(INDEX('My equipment'!$D$4:$D$503,(_calc!$E$531-500)))=0,"",INDEX('My equipment'!$D$4:$D$503,(_calc!$E$531-500)))))</f>
        <v/>
      </c>
      <c r="B529" s="54">
        <f>IF(_calc!$E$531="","",IF(_calc!$E$531&lt;=500,IF(ISNUMBER(INDEX('Dealer pipeline'!$M$4:$M$503,_calc!$E$531)),TEXT(INDEX('Dealer pipeline'!$M$4:$M$503,_calc!$E$531),"yyyy-mm-dd"),""),IF(ISNUMBER(INDEX('My equipment'!$M$4:$M$503,(_calc!$E$531-500))),TEXT(INDEX('My equipment'!$M$4:$M$503,(_calc!$E$531-500)),"yyyy-mm-dd"),"")))</f>
        <v/>
      </c>
      <c r="C529" s="54">
        <f>IF(_calc!$E$531="","",IF(_calc!$E$531&lt;=500,"Warranty","Warranty"))</f>
        <v/>
      </c>
      <c r="D529" s="54">
        <f>IF(_calc!$E$531="","",IF(_calc!$E$531&lt;=500,IF(ISNUMBER(INDEX('Dealer pipeline'!$H$4:$H$503,_calc!$E$531)),TEXT(INDEX('Dealer pipeline'!$H$4:$H$503,_calc!$E$531),"yyyy-mm-dd"),""),IF(ISNUMBER(INDEX('My equipment'!$H$4:$H$503,(_calc!$E$531-500))),TEXT(INDEX('My equipment'!$H$4:$H$503,(_calc!$E$531-500)),"yyyy-mm-dd"),"")))</f>
        <v/>
      </c>
      <c r="F529" s="54">
        <f>IF(_calc!$E$531="","",IF(_calc!$E$531&lt;=500,TRIM(IF(LEN(IF(LEN(INDEX('Dealer pipeline'!$A$4:$A$503,_calc!$E$531))=0,"",INDEX('Dealer pipeline'!$A$4:$A$503,_calc!$E$531)))=0,"","Customer: "&amp;IF(LEN(INDEX('Dealer pipeline'!$A$4:$A$503,_calc!$E$531))=0,"",INDEX('Dealer pipeline'!$A$4:$A$503,_calc!$E$531))&amp;". ")&amp;IF(LEN(IF(LEN(INDEX('Dealer pipeline'!$B$4:$B$503,_calc!$E$531))=0,"",INDEX('Dealer pipeline'!$B$4:$B$503,_calc!$E$531)))=0,"","Contact: "&amp;IF(LEN(INDEX('Dealer pipeline'!$B$4:$B$503,_calc!$E$531))=0,"",INDEX('Dealer pipeline'!$B$4:$B$503,_calc!$E$531))&amp;". ")&amp;IF(LEN(IF(LEN(INDEX('Dealer pipeline'!$D$4:$D$503,_calc!$E$531))=0,"",INDEX('Dealer pipeline'!$D$4:$D$503,_calc!$E$531)))=0,"","Serial: "&amp;IF(LEN(INDEX('Dealer pipeline'!$D$4:$D$503,_calc!$E$531))=0,"",INDEX('Dealer pipeline'!$D$4:$D$503,_calc!$E$531))&amp;". ")&amp;IF(LEN(IF(ISNUMBER(INDEX('Dealer pipeline'!$J$4:$J$503,_calc!$E$531)),TEXT(INDEX('Dealer pipeline'!$J$4:$J$503,_calc!$E$531),"yyyy-mm-dd"),""))=0,"","Parts end: "&amp;IF(ISNUMBER(INDEX('Dealer pipeline'!$J$4:$J$503,_calc!$E$531)),TEXT(INDEX('Dealer pipeline'!$J$4:$J$503,_calc!$E$531),"yyyy-mm-dd"),"")&amp;". ")&amp;IF(LEN(IF(ISNUMBER(INDEX('Dealer pipeline'!$L$4:$L$503,_calc!$E$531)),TEXT(INDEX('Dealer pipeline'!$L$4:$L$503,_calc!$E$531),"yyyy-mm-dd"),""))=0,"","Labor end: "&amp;IF(ISNUMBER(INDEX('Dealer pipeline'!$L$4:$L$503,_calc!$E$531)),TEXT(INDEX('Dealer pipeline'!$L$4:$L$503,_calc!$E$531),"yyyy-mm-dd"),"")&amp;". ")&amp;IF(LEN(IF(LEN(INDEX('Dealer pipeline'!$Q$4:$Q$503,_calc!$E$531))=0,"",INDEX('Dealer pipeline'!$Q$4:$Q$503,_calc!$E$531)))=0,"","Status: "&amp;IF(LEN(INDEX('Dealer pipeline'!$Q$4:$Q$503,_calc!$E$531))=0,"",INDEX('Dealer pipeline'!$Q$4:$Q$503,_calc!$E$531))&amp;". ")&amp;IF(LEN(IF(LEN(INDEX('Dealer pipeline'!$P$4:$P$503,_calc!$E$531))=0,"",INDEX('Dealer pipeline'!$P$4:$P$503,_calc!$E$531)))=0,"","Last touch: "&amp;IF(LEN(INDEX('Dealer pipeline'!$P$4:$P$503,_calc!$E$531))=0,"",INDEX('Dealer pipeline'!$P$4:$P$503,_calc!$E$531))&amp;". ")&amp;IF(LEN(IF(LEN(INDEX('Dealer pipeline'!$R$4:$R$503,_calc!$E$531))=0,"",INDEX('Dealer pipeline'!$R$4:$R$503,_calc!$E$531)))=0,"","Owner: "&amp;IF(LEN(INDEX('Dealer pipeline'!$R$4:$R$503,_calc!$E$531))=0,"",INDEX('Dealer pipeline'!$R$4:$R$503,_calc!$E$531))&amp;". ")&amp;IF(LEN(IF(LEN(INDEX('Dealer pipeline'!$S$4:$S$503,_calc!$E$531))=0,"",INDEX('Dealer pipeline'!$S$4:$S$503,_calc!$E$531)))=0,"","Backup: "&amp;IF(LEN(INDEX('Dealer pipeline'!$S$4:$S$503,_calc!$E$531))=0,"",INDEX('Dealer pipeline'!$S$4:$S$503,_calc!$E$531))&amp;". ")&amp;IF(LEN(IF(LEN(INDEX('Dealer pipeline'!$T$4:$T$503,_calc!$E$531))=0,"",INDEX('Dealer pipeline'!$T$4:$T$503,_calc!$E$531)))=0,"",IF(LEN(INDEX('Dealer pipeline'!$T$4:$T$503,_calc!$E$531))=0,"",INDEX('Dealer pipeline'!$T$4:$T$503,_calc!$E$531)))),TRIM(IF(LEN(IF(LEN(INDEX('My equipment'!$C$4:$C$503,(_calc!$E$531-500)))=0,"",INDEX('My equipment'!$C$4:$C$503,(_calc!$E$531-500))))=0,"","Model: "&amp;IF(LEN(INDEX('My equipment'!$C$4:$C$503,(_calc!$E$531-500)))=0,"",INDEX('My equipment'!$C$4:$C$503,(_calc!$E$531-500)))&amp;". ")&amp;IF(LEN(IF(LEN(INDEX('My equipment'!$D$4:$D$503,(_calc!$E$531-500)))=0,"",INDEX('My equipment'!$D$4:$D$503,(_calc!$E$531-500))))=0,"","Serial: "&amp;IF(LEN(INDEX('My equipment'!$D$4:$D$503,(_calc!$E$531-500)))=0,"",INDEX('My equipment'!$D$4:$D$503,(_calc!$E$531-500)))&amp;". ")&amp;IF(LEN(IF(ISNUMBER(INDEX('My equipment'!$J$4:$J$503,(_calc!$E$531-500))),TEXT(INDEX('My equipment'!$J$4:$J$503,(_calc!$E$531-500)),"yyyy-mm-dd"),""))=0,"","Parts end: "&amp;IF(ISNUMBER(INDEX('My equipment'!$J$4:$J$503,(_calc!$E$531-500))),TEXT(INDEX('My equipment'!$J$4:$J$503,(_calc!$E$531-500)),"yyyy-mm-dd"),"")&amp;". ")&amp;IF(LEN(IF(ISNUMBER(INDEX('My equipment'!$L$4:$L$503,(_calc!$E$531-500))),TEXT(INDEX('My equipment'!$L$4:$L$503,(_calc!$E$531-500)),"yyyy-mm-dd"),""))=0,"","Labor end: "&amp;IF(ISNUMBER(INDEX('My equipment'!$L$4:$L$503,(_calc!$E$531-500))),TEXT(INDEX('My equipment'!$L$4:$L$503,(_calc!$E$531-500)),"yyyy-mm-dd"),"")&amp;". ")&amp;IF(LEN(IF(ISNUMBER(INDEX('My equipment'!$P$4:$P$503,(_calc!$E$531-500))),TEXT(INDEX('My equipment'!$P$4:$P$503,(_calc!$E$531-500)),"yyyy-mm-dd"),""))=0,"","Check by: "&amp;IF(ISNUMBER(INDEX('My equipment'!$P$4:$P$503,(_calc!$E$531-500))),TEXT(INDEX('My equipment'!$P$4:$P$503,(_calc!$E$531-500)),"yyyy-mm-dd"),"")&amp;". ")&amp;IF(LEN(IF(LEN(INDEX('My equipment'!$Q$4:$Q$503,(_calc!$E$531-500)))=0,"",INDEX('My equipment'!$Q$4:$Q$503,(_calc!$E$531-500))))=0,"","Claim status: "&amp;IF(LEN(INDEX('My equipment'!$Q$4:$Q$503,(_calc!$E$531-500)))=0,"",INDEX('My equipment'!$Q$4:$Q$503,(_calc!$E$531-500)))&amp;". ")&amp;IF(LEN(IF(LEN(INDEX('My equipment'!$R$4:$R$503,(_calc!$E$531-500)))=0,"",INDEX('My equipment'!$R$4:$R$503,(_calc!$E$531-500))))=0,"","Claims contact: "&amp;IF(LEN(INDEX('My equipment'!$R$4:$R$503,(_calc!$E$531-500)))=0,"",INDEX('My equipment'!$R$4:$R$503,(_calc!$E$531-500)))&amp;". ")&amp;IF(LEN(IF(LEN(INDEX('My equipment'!$S$4:$S$503,(_calc!$E$531-500)))=0,"",INDEX('My equipment'!$S$4:$S$503,(_calc!$E$531-500))))=0,"","Claims email: "&amp;IF(LEN(INDEX('My equipment'!$S$4:$S$503,(_calc!$E$531-500)))=0,"",INDEX('My equipment'!$S$4:$S$503,(_calc!$E$531-500)))&amp;". ")&amp;IF(LEN(IF(LEN(INDEX('My equipment'!$U$4:$U$503,(_calc!$E$531-500)))=0,"",INDEX('My equipment'!$U$4:$U$503,(_calc!$E$531-500))))=0,"","Registered: "&amp;IF(LEN(INDEX('My equipment'!$U$4:$U$503,(_calc!$E$531-500)))=0,"",INDEX('My equipment'!$U$4:$U$503,(_calc!$E$531-500)))&amp;". ")&amp;IF(LEN(IF(LEN(INDEX('My equipment'!$V$4:$V$503,(_calc!$E$531-500)))=0,"",INDEX('My equipment'!$V$4:$V$503,(_calc!$E$531-500))))=0,"","Proof on file: "&amp;IF(LEN(INDEX('My equipment'!$V$4:$V$503,(_calc!$E$531-500)))=0,"",INDEX('My equipment'!$V$4:$V$503,(_calc!$E$531-500)))&amp;". ")&amp;IF(LEN(IF(LEN(INDEX('My equipment'!$W$4:$W$503,(_calc!$E$531-500)))=0,"",INDEX('My equipment'!$W$4:$W$503,(_calc!$E$531-500))))=0,"","Claim ref: "&amp;IF(LEN(INDEX('My equipment'!$W$4:$W$503,(_calc!$E$531-500)))=0,"",INDEX('My equipment'!$W$4:$W$503,(_calc!$E$531-500)))&amp;". ")&amp;IF(LEN(IF(LEN(INDEX('My equipment'!$Y$4:$Y$503,(_calc!$E$531-500)))=0,"",INDEX('My equipment'!$Y$4:$Y$503,(_calc!$E$531-500))))=0,"",IF(LEN(INDEX('My equipment'!$Y$4:$Y$503,(_calc!$E$531-500)))=0,"",INDEX('My equipment'!$Y$4:$Y$503,(_calc!$E$531-500)))))))</f>
        <v/>
      </c>
      <c r="G529" s="54">
        <f>IF(_calc!$E$531="","",IF(_calc!$E$531&lt;=500,"",IF(LEN(INDEX('My equipment'!$X$4:$X$503,(_calc!$E$531-500)))=0,"",INDEX('My equipment'!$X$4:$X$503,(_calc!$E$531-500)))))</f>
        <v/>
      </c>
      <c r="K529" s="54">
        <f>IF(_calc!$E$531="","",IF(_calc!$E$531&lt;=500,"",IF(LEN(INDEX('My equipment'!$T$4:$T$503,(_calc!$E$531-500)))=0,"",INDEX('My equipment'!$T$4:$T$503,(_calc!$E$531-500)))))</f>
        <v/>
      </c>
    </row>
    <row r="530">
      <c r="A530" s="54">
        <f>IF(_calc!$E$532="","",IF(_calc!$E$532&lt;=500,"Warranty – "&amp;IF(LEN(INDEX('Dealer pipeline'!$C$4:$C$503,_calc!$E$532))=0,"",INDEX('Dealer pipeline'!$C$4:$C$503,_calc!$E$532))&amp;" – "&amp;IF(LEN(INDEX('Dealer pipeline'!$D$4:$D$503,_calc!$E$532))=0,"",INDEX('Dealer pipeline'!$D$4:$D$503,_calc!$E$532))&amp;" – "&amp;IF(LEN(INDEX('Dealer pipeline'!$A$4:$A$503,_calc!$E$532))=0,"",INDEX('Dealer pipeline'!$A$4:$A$503,_calc!$E$532)),"Warranty – "&amp;IF(LEN(INDEX('My equipment'!$A$4:$A$503,(_calc!$E$532-500)))=0,"",INDEX('My equipment'!$A$4:$A$503,(_calc!$E$532-500)))&amp;" – "&amp;IF(LEN(INDEX('My equipment'!$D$4:$D$503,(_calc!$E$532-500)))=0,"",INDEX('My equipment'!$D$4:$D$503,(_calc!$E$532-500)))))</f>
        <v/>
      </c>
      <c r="B530" s="54">
        <f>IF(_calc!$E$532="","",IF(_calc!$E$532&lt;=500,IF(ISNUMBER(INDEX('Dealer pipeline'!$M$4:$M$503,_calc!$E$532)),TEXT(INDEX('Dealer pipeline'!$M$4:$M$503,_calc!$E$532),"yyyy-mm-dd"),""),IF(ISNUMBER(INDEX('My equipment'!$M$4:$M$503,(_calc!$E$532-500))),TEXT(INDEX('My equipment'!$M$4:$M$503,(_calc!$E$532-500)),"yyyy-mm-dd"),"")))</f>
        <v/>
      </c>
      <c r="C530" s="54">
        <f>IF(_calc!$E$532="","",IF(_calc!$E$532&lt;=500,"Warranty","Warranty"))</f>
        <v/>
      </c>
      <c r="D530" s="54">
        <f>IF(_calc!$E$532="","",IF(_calc!$E$532&lt;=500,IF(ISNUMBER(INDEX('Dealer pipeline'!$H$4:$H$503,_calc!$E$532)),TEXT(INDEX('Dealer pipeline'!$H$4:$H$503,_calc!$E$532),"yyyy-mm-dd"),""),IF(ISNUMBER(INDEX('My equipment'!$H$4:$H$503,(_calc!$E$532-500))),TEXT(INDEX('My equipment'!$H$4:$H$503,(_calc!$E$532-500)),"yyyy-mm-dd"),"")))</f>
        <v/>
      </c>
      <c r="F530" s="54">
        <f>IF(_calc!$E$532="","",IF(_calc!$E$532&lt;=500,TRIM(IF(LEN(IF(LEN(INDEX('Dealer pipeline'!$A$4:$A$503,_calc!$E$532))=0,"",INDEX('Dealer pipeline'!$A$4:$A$503,_calc!$E$532)))=0,"","Customer: "&amp;IF(LEN(INDEX('Dealer pipeline'!$A$4:$A$503,_calc!$E$532))=0,"",INDEX('Dealer pipeline'!$A$4:$A$503,_calc!$E$532))&amp;". ")&amp;IF(LEN(IF(LEN(INDEX('Dealer pipeline'!$B$4:$B$503,_calc!$E$532))=0,"",INDEX('Dealer pipeline'!$B$4:$B$503,_calc!$E$532)))=0,"","Contact: "&amp;IF(LEN(INDEX('Dealer pipeline'!$B$4:$B$503,_calc!$E$532))=0,"",INDEX('Dealer pipeline'!$B$4:$B$503,_calc!$E$532))&amp;". ")&amp;IF(LEN(IF(LEN(INDEX('Dealer pipeline'!$D$4:$D$503,_calc!$E$532))=0,"",INDEX('Dealer pipeline'!$D$4:$D$503,_calc!$E$532)))=0,"","Serial: "&amp;IF(LEN(INDEX('Dealer pipeline'!$D$4:$D$503,_calc!$E$532))=0,"",INDEX('Dealer pipeline'!$D$4:$D$503,_calc!$E$532))&amp;". ")&amp;IF(LEN(IF(ISNUMBER(INDEX('Dealer pipeline'!$J$4:$J$503,_calc!$E$532)),TEXT(INDEX('Dealer pipeline'!$J$4:$J$503,_calc!$E$532),"yyyy-mm-dd"),""))=0,"","Parts end: "&amp;IF(ISNUMBER(INDEX('Dealer pipeline'!$J$4:$J$503,_calc!$E$532)),TEXT(INDEX('Dealer pipeline'!$J$4:$J$503,_calc!$E$532),"yyyy-mm-dd"),"")&amp;". ")&amp;IF(LEN(IF(ISNUMBER(INDEX('Dealer pipeline'!$L$4:$L$503,_calc!$E$532)),TEXT(INDEX('Dealer pipeline'!$L$4:$L$503,_calc!$E$532),"yyyy-mm-dd"),""))=0,"","Labor end: "&amp;IF(ISNUMBER(INDEX('Dealer pipeline'!$L$4:$L$503,_calc!$E$532)),TEXT(INDEX('Dealer pipeline'!$L$4:$L$503,_calc!$E$532),"yyyy-mm-dd"),"")&amp;". ")&amp;IF(LEN(IF(LEN(INDEX('Dealer pipeline'!$Q$4:$Q$503,_calc!$E$532))=0,"",INDEX('Dealer pipeline'!$Q$4:$Q$503,_calc!$E$532)))=0,"","Status: "&amp;IF(LEN(INDEX('Dealer pipeline'!$Q$4:$Q$503,_calc!$E$532))=0,"",INDEX('Dealer pipeline'!$Q$4:$Q$503,_calc!$E$532))&amp;". ")&amp;IF(LEN(IF(LEN(INDEX('Dealer pipeline'!$P$4:$P$503,_calc!$E$532))=0,"",INDEX('Dealer pipeline'!$P$4:$P$503,_calc!$E$532)))=0,"","Last touch: "&amp;IF(LEN(INDEX('Dealer pipeline'!$P$4:$P$503,_calc!$E$532))=0,"",INDEX('Dealer pipeline'!$P$4:$P$503,_calc!$E$532))&amp;". ")&amp;IF(LEN(IF(LEN(INDEX('Dealer pipeline'!$R$4:$R$503,_calc!$E$532))=0,"",INDEX('Dealer pipeline'!$R$4:$R$503,_calc!$E$532)))=0,"","Owner: "&amp;IF(LEN(INDEX('Dealer pipeline'!$R$4:$R$503,_calc!$E$532))=0,"",INDEX('Dealer pipeline'!$R$4:$R$503,_calc!$E$532))&amp;". ")&amp;IF(LEN(IF(LEN(INDEX('Dealer pipeline'!$S$4:$S$503,_calc!$E$532))=0,"",INDEX('Dealer pipeline'!$S$4:$S$503,_calc!$E$532)))=0,"","Backup: "&amp;IF(LEN(INDEX('Dealer pipeline'!$S$4:$S$503,_calc!$E$532))=0,"",INDEX('Dealer pipeline'!$S$4:$S$503,_calc!$E$532))&amp;". ")&amp;IF(LEN(IF(LEN(INDEX('Dealer pipeline'!$T$4:$T$503,_calc!$E$532))=0,"",INDEX('Dealer pipeline'!$T$4:$T$503,_calc!$E$532)))=0,"",IF(LEN(INDEX('Dealer pipeline'!$T$4:$T$503,_calc!$E$532))=0,"",INDEX('Dealer pipeline'!$T$4:$T$503,_calc!$E$532)))),TRIM(IF(LEN(IF(LEN(INDEX('My equipment'!$C$4:$C$503,(_calc!$E$532-500)))=0,"",INDEX('My equipment'!$C$4:$C$503,(_calc!$E$532-500))))=0,"","Model: "&amp;IF(LEN(INDEX('My equipment'!$C$4:$C$503,(_calc!$E$532-500)))=0,"",INDEX('My equipment'!$C$4:$C$503,(_calc!$E$532-500)))&amp;". ")&amp;IF(LEN(IF(LEN(INDEX('My equipment'!$D$4:$D$503,(_calc!$E$532-500)))=0,"",INDEX('My equipment'!$D$4:$D$503,(_calc!$E$532-500))))=0,"","Serial: "&amp;IF(LEN(INDEX('My equipment'!$D$4:$D$503,(_calc!$E$532-500)))=0,"",INDEX('My equipment'!$D$4:$D$503,(_calc!$E$532-500)))&amp;". ")&amp;IF(LEN(IF(ISNUMBER(INDEX('My equipment'!$J$4:$J$503,(_calc!$E$532-500))),TEXT(INDEX('My equipment'!$J$4:$J$503,(_calc!$E$532-500)),"yyyy-mm-dd"),""))=0,"","Parts end: "&amp;IF(ISNUMBER(INDEX('My equipment'!$J$4:$J$503,(_calc!$E$532-500))),TEXT(INDEX('My equipment'!$J$4:$J$503,(_calc!$E$532-500)),"yyyy-mm-dd"),"")&amp;". ")&amp;IF(LEN(IF(ISNUMBER(INDEX('My equipment'!$L$4:$L$503,(_calc!$E$532-500))),TEXT(INDEX('My equipment'!$L$4:$L$503,(_calc!$E$532-500)),"yyyy-mm-dd"),""))=0,"","Labor end: "&amp;IF(ISNUMBER(INDEX('My equipment'!$L$4:$L$503,(_calc!$E$532-500))),TEXT(INDEX('My equipment'!$L$4:$L$503,(_calc!$E$532-500)),"yyyy-mm-dd"),"")&amp;". ")&amp;IF(LEN(IF(ISNUMBER(INDEX('My equipment'!$P$4:$P$503,(_calc!$E$532-500))),TEXT(INDEX('My equipment'!$P$4:$P$503,(_calc!$E$532-500)),"yyyy-mm-dd"),""))=0,"","Check by: "&amp;IF(ISNUMBER(INDEX('My equipment'!$P$4:$P$503,(_calc!$E$532-500))),TEXT(INDEX('My equipment'!$P$4:$P$503,(_calc!$E$532-500)),"yyyy-mm-dd"),"")&amp;". ")&amp;IF(LEN(IF(LEN(INDEX('My equipment'!$Q$4:$Q$503,(_calc!$E$532-500)))=0,"",INDEX('My equipment'!$Q$4:$Q$503,(_calc!$E$532-500))))=0,"","Claim status: "&amp;IF(LEN(INDEX('My equipment'!$Q$4:$Q$503,(_calc!$E$532-500)))=0,"",INDEX('My equipment'!$Q$4:$Q$503,(_calc!$E$532-500)))&amp;". ")&amp;IF(LEN(IF(LEN(INDEX('My equipment'!$R$4:$R$503,(_calc!$E$532-500)))=0,"",INDEX('My equipment'!$R$4:$R$503,(_calc!$E$532-500))))=0,"","Claims contact: "&amp;IF(LEN(INDEX('My equipment'!$R$4:$R$503,(_calc!$E$532-500)))=0,"",INDEX('My equipment'!$R$4:$R$503,(_calc!$E$532-500)))&amp;". ")&amp;IF(LEN(IF(LEN(INDEX('My equipment'!$S$4:$S$503,(_calc!$E$532-500)))=0,"",INDEX('My equipment'!$S$4:$S$503,(_calc!$E$532-500))))=0,"","Claims email: "&amp;IF(LEN(INDEX('My equipment'!$S$4:$S$503,(_calc!$E$532-500)))=0,"",INDEX('My equipment'!$S$4:$S$503,(_calc!$E$532-500)))&amp;". ")&amp;IF(LEN(IF(LEN(INDEX('My equipment'!$U$4:$U$503,(_calc!$E$532-500)))=0,"",INDEX('My equipment'!$U$4:$U$503,(_calc!$E$532-500))))=0,"","Registered: "&amp;IF(LEN(INDEX('My equipment'!$U$4:$U$503,(_calc!$E$532-500)))=0,"",INDEX('My equipment'!$U$4:$U$503,(_calc!$E$532-500)))&amp;". ")&amp;IF(LEN(IF(LEN(INDEX('My equipment'!$V$4:$V$503,(_calc!$E$532-500)))=0,"",INDEX('My equipment'!$V$4:$V$503,(_calc!$E$532-500))))=0,"","Proof on file: "&amp;IF(LEN(INDEX('My equipment'!$V$4:$V$503,(_calc!$E$532-500)))=0,"",INDEX('My equipment'!$V$4:$V$503,(_calc!$E$532-500)))&amp;". ")&amp;IF(LEN(IF(LEN(INDEX('My equipment'!$W$4:$W$503,(_calc!$E$532-500)))=0,"",INDEX('My equipment'!$W$4:$W$503,(_calc!$E$532-500))))=0,"","Claim ref: "&amp;IF(LEN(INDEX('My equipment'!$W$4:$W$503,(_calc!$E$532-500)))=0,"",INDEX('My equipment'!$W$4:$W$503,(_calc!$E$532-500)))&amp;". ")&amp;IF(LEN(IF(LEN(INDEX('My equipment'!$Y$4:$Y$503,(_calc!$E$532-500)))=0,"",INDEX('My equipment'!$Y$4:$Y$503,(_calc!$E$532-500))))=0,"",IF(LEN(INDEX('My equipment'!$Y$4:$Y$503,(_calc!$E$532-500)))=0,"",INDEX('My equipment'!$Y$4:$Y$503,(_calc!$E$532-500)))))))</f>
        <v/>
      </c>
      <c r="G530" s="54">
        <f>IF(_calc!$E$532="","",IF(_calc!$E$532&lt;=500,"",IF(LEN(INDEX('My equipment'!$X$4:$X$503,(_calc!$E$532-500)))=0,"",INDEX('My equipment'!$X$4:$X$503,(_calc!$E$532-500)))))</f>
        <v/>
      </c>
      <c r="K530" s="54">
        <f>IF(_calc!$E$532="","",IF(_calc!$E$532&lt;=500,"",IF(LEN(INDEX('My equipment'!$T$4:$T$503,(_calc!$E$532-500)))=0,"",INDEX('My equipment'!$T$4:$T$503,(_calc!$E$532-500)))))</f>
        <v/>
      </c>
    </row>
    <row r="531">
      <c r="A531" s="54">
        <f>IF(_calc!$E$533="","",IF(_calc!$E$533&lt;=500,"Warranty – "&amp;IF(LEN(INDEX('Dealer pipeline'!$C$4:$C$503,_calc!$E$533))=0,"",INDEX('Dealer pipeline'!$C$4:$C$503,_calc!$E$533))&amp;" – "&amp;IF(LEN(INDEX('Dealer pipeline'!$D$4:$D$503,_calc!$E$533))=0,"",INDEX('Dealer pipeline'!$D$4:$D$503,_calc!$E$533))&amp;" – "&amp;IF(LEN(INDEX('Dealer pipeline'!$A$4:$A$503,_calc!$E$533))=0,"",INDEX('Dealer pipeline'!$A$4:$A$503,_calc!$E$533)),"Warranty – "&amp;IF(LEN(INDEX('My equipment'!$A$4:$A$503,(_calc!$E$533-500)))=0,"",INDEX('My equipment'!$A$4:$A$503,(_calc!$E$533-500)))&amp;" – "&amp;IF(LEN(INDEX('My equipment'!$D$4:$D$503,(_calc!$E$533-500)))=0,"",INDEX('My equipment'!$D$4:$D$503,(_calc!$E$533-500)))))</f>
        <v/>
      </c>
      <c r="B531" s="54">
        <f>IF(_calc!$E$533="","",IF(_calc!$E$533&lt;=500,IF(ISNUMBER(INDEX('Dealer pipeline'!$M$4:$M$503,_calc!$E$533)),TEXT(INDEX('Dealer pipeline'!$M$4:$M$503,_calc!$E$533),"yyyy-mm-dd"),""),IF(ISNUMBER(INDEX('My equipment'!$M$4:$M$503,(_calc!$E$533-500))),TEXT(INDEX('My equipment'!$M$4:$M$503,(_calc!$E$533-500)),"yyyy-mm-dd"),"")))</f>
        <v/>
      </c>
      <c r="C531" s="54">
        <f>IF(_calc!$E$533="","",IF(_calc!$E$533&lt;=500,"Warranty","Warranty"))</f>
        <v/>
      </c>
      <c r="D531" s="54">
        <f>IF(_calc!$E$533="","",IF(_calc!$E$533&lt;=500,IF(ISNUMBER(INDEX('Dealer pipeline'!$H$4:$H$503,_calc!$E$533)),TEXT(INDEX('Dealer pipeline'!$H$4:$H$503,_calc!$E$533),"yyyy-mm-dd"),""),IF(ISNUMBER(INDEX('My equipment'!$H$4:$H$503,(_calc!$E$533-500))),TEXT(INDEX('My equipment'!$H$4:$H$503,(_calc!$E$533-500)),"yyyy-mm-dd"),"")))</f>
        <v/>
      </c>
      <c r="F531" s="54">
        <f>IF(_calc!$E$533="","",IF(_calc!$E$533&lt;=500,TRIM(IF(LEN(IF(LEN(INDEX('Dealer pipeline'!$A$4:$A$503,_calc!$E$533))=0,"",INDEX('Dealer pipeline'!$A$4:$A$503,_calc!$E$533)))=0,"","Customer: "&amp;IF(LEN(INDEX('Dealer pipeline'!$A$4:$A$503,_calc!$E$533))=0,"",INDEX('Dealer pipeline'!$A$4:$A$503,_calc!$E$533))&amp;". ")&amp;IF(LEN(IF(LEN(INDEX('Dealer pipeline'!$B$4:$B$503,_calc!$E$533))=0,"",INDEX('Dealer pipeline'!$B$4:$B$503,_calc!$E$533)))=0,"","Contact: "&amp;IF(LEN(INDEX('Dealer pipeline'!$B$4:$B$503,_calc!$E$533))=0,"",INDEX('Dealer pipeline'!$B$4:$B$503,_calc!$E$533))&amp;". ")&amp;IF(LEN(IF(LEN(INDEX('Dealer pipeline'!$D$4:$D$503,_calc!$E$533))=0,"",INDEX('Dealer pipeline'!$D$4:$D$503,_calc!$E$533)))=0,"","Serial: "&amp;IF(LEN(INDEX('Dealer pipeline'!$D$4:$D$503,_calc!$E$533))=0,"",INDEX('Dealer pipeline'!$D$4:$D$503,_calc!$E$533))&amp;". ")&amp;IF(LEN(IF(ISNUMBER(INDEX('Dealer pipeline'!$J$4:$J$503,_calc!$E$533)),TEXT(INDEX('Dealer pipeline'!$J$4:$J$503,_calc!$E$533),"yyyy-mm-dd"),""))=0,"","Parts end: "&amp;IF(ISNUMBER(INDEX('Dealer pipeline'!$J$4:$J$503,_calc!$E$533)),TEXT(INDEX('Dealer pipeline'!$J$4:$J$503,_calc!$E$533),"yyyy-mm-dd"),"")&amp;". ")&amp;IF(LEN(IF(ISNUMBER(INDEX('Dealer pipeline'!$L$4:$L$503,_calc!$E$533)),TEXT(INDEX('Dealer pipeline'!$L$4:$L$503,_calc!$E$533),"yyyy-mm-dd"),""))=0,"","Labor end: "&amp;IF(ISNUMBER(INDEX('Dealer pipeline'!$L$4:$L$503,_calc!$E$533)),TEXT(INDEX('Dealer pipeline'!$L$4:$L$503,_calc!$E$533),"yyyy-mm-dd"),"")&amp;". ")&amp;IF(LEN(IF(LEN(INDEX('Dealer pipeline'!$Q$4:$Q$503,_calc!$E$533))=0,"",INDEX('Dealer pipeline'!$Q$4:$Q$503,_calc!$E$533)))=0,"","Status: "&amp;IF(LEN(INDEX('Dealer pipeline'!$Q$4:$Q$503,_calc!$E$533))=0,"",INDEX('Dealer pipeline'!$Q$4:$Q$503,_calc!$E$533))&amp;". ")&amp;IF(LEN(IF(LEN(INDEX('Dealer pipeline'!$P$4:$P$503,_calc!$E$533))=0,"",INDEX('Dealer pipeline'!$P$4:$P$503,_calc!$E$533)))=0,"","Last touch: "&amp;IF(LEN(INDEX('Dealer pipeline'!$P$4:$P$503,_calc!$E$533))=0,"",INDEX('Dealer pipeline'!$P$4:$P$503,_calc!$E$533))&amp;". ")&amp;IF(LEN(IF(LEN(INDEX('Dealer pipeline'!$R$4:$R$503,_calc!$E$533))=0,"",INDEX('Dealer pipeline'!$R$4:$R$503,_calc!$E$533)))=0,"","Owner: "&amp;IF(LEN(INDEX('Dealer pipeline'!$R$4:$R$503,_calc!$E$533))=0,"",INDEX('Dealer pipeline'!$R$4:$R$503,_calc!$E$533))&amp;". ")&amp;IF(LEN(IF(LEN(INDEX('Dealer pipeline'!$S$4:$S$503,_calc!$E$533))=0,"",INDEX('Dealer pipeline'!$S$4:$S$503,_calc!$E$533)))=0,"","Backup: "&amp;IF(LEN(INDEX('Dealer pipeline'!$S$4:$S$503,_calc!$E$533))=0,"",INDEX('Dealer pipeline'!$S$4:$S$503,_calc!$E$533))&amp;". ")&amp;IF(LEN(IF(LEN(INDEX('Dealer pipeline'!$T$4:$T$503,_calc!$E$533))=0,"",INDEX('Dealer pipeline'!$T$4:$T$503,_calc!$E$533)))=0,"",IF(LEN(INDEX('Dealer pipeline'!$T$4:$T$503,_calc!$E$533))=0,"",INDEX('Dealer pipeline'!$T$4:$T$503,_calc!$E$533)))),TRIM(IF(LEN(IF(LEN(INDEX('My equipment'!$C$4:$C$503,(_calc!$E$533-500)))=0,"",INDEX('My equipment'!$C$4:$C$503,(_calc!$E$533-500))))=0,"","Model: "&amp;IF(LEN(INDEX('My equipment'!$C$4:$C$503,(_calc!$E$533-500)))=0,"",INDEX('My equipment'!$C$4:$C$503,(_calc!$E$533-500)))&amp;". ")&amp;IF(LEN(IF(LEN(INDEX('My equipment'!$D$4:$D$503,(_calc!$E$533-500)))=0,"",INDEX('My equipment'!$D$4:$D$503,(_calc!$E$533-500))))=0,"","Serial: "&amp;IF(LEN(INDEX('My equipment'!$D$4:$D$503,(_calc!$E$533-500)))=0,"",INDEX('My equipment'!$D$4:$D$503,(_calc!$E$533-500)))&amp;". ")&amp;IF(LEN(IF(ISNUMBER(INDEX('My equipment'!$J$4:$J$503,(_calc!$E$533-500))),TEXT(INDEX('My equipment'!$J$4:$J$503,(_calc!$E$533-500)),"yyyy-mm-dd"),""))=0,"","Parts end: "&amp;IF(ISNUMBER(INDEX('My equipment'!$J$4:$J$503,(_calc!$E$533-500))),TEXT(INDEX('My equipment'!$J$4:$J$503,(_calc!$E$533-500)),"yyyy-mm-dd"),"")&amp;". ")&amp;IF(LEN(IF(ISNUMBER(INDEX('My equipment'!$L$4:$L$503,(_calc!$E$533-500))),TEXT(INDEX('My equipment'!$L$4:$L$503,(_calc!$E$533-500)),"yyyy-mm-dd"),""))=0,"","Labor end: "&amp;IF(ISNUMBER(INDEX('My equipment'!$L$4:$L$503,(_calc!$E$533-500))),TEXT(INDEX('My equipment'!$L$4:$L$503,(_calc!$E$533-500)),"yyyy-mm-dd"),"")&amp;". ")&amp;IF(LEN(IF(ISNUMBER(INDEX('My equipment'!$P$4:$P$503,(_calc!$E$533-500))),TEXT(INDEX('My equipment'!$P$4:$P$503,(_calc!$E$533-500)),"yyyy-mm-dd"),""))=0,"","Check by: "&amp;IF(ISNUMBER(INDEX('My equipment'!$P$4:$P$503,(_calc!$E$533-500))),TEXT(INDEX('My equipment'!$P$4:$P$503,(_calc!$E$533-500)),"yyyy-mm-dd"),"")&amp;". ")&amp;IF(LEN(IF(LEN(INDEX('My equipment'!$Q$4:$Q$503,(_calc!$E$533-500)))=0,"",INDEX('My equipment'!$Q$4:$Q$503,(_calc!$E$533-500))))=0,"","Claim status: "&amp;IF(LEN(INDEX('My equipment'!$Q$4:$Q$503,(_calc!$E$533-500)))=0,"",INDEX('My equipment'!$Q$4:$Q$503,(_calc!$E$533-500)))&amp;". ")&amp;IF(LEN(IF(LEN(INDEX('My equipment'!$R$4:$R$503,(_calc!$E$533-500)))=0,"",INDEX('My equipment'!$R$4:$R$503,(_calc!$E$533-500))))=0,"","Claims contact: "&amp;IF(LEN(INDEX('My equipment'!$R$4:$R$503,(_calc!$E$533-500)))=0,"",INDEX('My equipment'!$R$4:$R$503,(_calc!$E$533-500)))&amp;". ")&amp;IF(LEN(IF(LEN(INDEX('My equipment'!$S$4:$S$503,(_calc!$E$533-500)))=0,"",INDEX('My equipment'!$S$4:$S$503,(_calc!$E$533-500))))=0,"","Claims email: "&amp;IF(LEN(INDEX('My equipment'!$S$4:$S$503,(_calc!$E$533-500)))=0,"",INDEX('My equipment'!$S$4:$S$503,(_calc!$E$533-500)))&amp;". ")&amp;IF(LEN(IF(LEN(INDEX('My equipment'!$U$4:$U$503,(_calc!$E$533-500)))=0,"",INDEX('My equipment'!$U$4:$U$503,(_calc!$E$533-500))))=0,"","Registered: "&amp;IF(LEN(INDEX('My equipment'!$U$4:$U$503,(_calc!$E$533-500)))=0,"",INDEX('My equipment'!$U$4:$U$503,(_calc!$E$533-500)))&amp;". ")&amp;IF(LEN(IF(LEN(INDEX('My equipment'!$V$4:$V$503,(_calc!$E$533-500)))=0,"",INDEX('My equipment'!$V$4:$V$503,(_calc!$E$533-500))))=0,"","Proof on file: "&amp;IF(LEN(INDEX('My equipment'!$V$4:$V$503,(_calc!$E$533-500)))=0,"",INDEX('My equipment'!$V$4:$V$503,(_calc!$E$533-500)))&amp;". ")&amp;IF(LEN(IF(LEN(INDEX('My equipment'!$W$4:$W$503,(_calc!$E$533-500)))=0,"",INDEX('My equipment'!$W$4:$W$503,(_calc!$E$533-500))))=0,"","Claim ref: "&amp;IF(LEN(INDEX('My equipment'!$W$4:$W$503,(_calc!$E$533-500)))=0,"",INDEX('My equipment'!$W$4:$W$503,(_calc!$E$533-500)))&amp;". ")&amp;IF(LEN(IF(LEN(INDEX('My equipment'!$Y$4:$Y$503,(_calc!$E$533-500)))=0,"",INDEX('My equipment'!$Y$4:$Y$503,(_calc!$E$533-500))))=0,"",IF(LEN(INDEX('My equipment'!$Y$4:$Y$503,(_calc!$E$533-500)))=0,"",INDEX('My equipment'!$Y$4:$Y$503,(_calc!$E$533-500)))))))</f>
        <v/>
      </c>
      <c r="G531" s="54">
        <f>IF(_calc!$E$533="","",IF(_calc!$E$533&lt;=500,"",IF(LEN(INDEX('My equipment'!$X$4:$X$503,(_calc!$E$533-500)))=0,"",INDEX('My equipment'!$X$4:$X$503,(_calc!$E$533-500)))))</f>
        <v/>
      </c>
      <c r="K531" s="54">
        <f>IF(_calc!$E$533="","",IF(_calc!$E$533&lt;=500,"",IF(LEN(INDEX('My equipment'!$T$4:$T$503,(_calc!$E$533-500)))=0,"",INDEX('My equipment'!$T$4:$T$503,(_calc!$E$533-500)))))</f>
        <v/>
      </c>
    </row>
    <row r="532">
      <c r="A532" s="54">
        <f>IF(_calc!$E$534="","",IF(_calc!$E$534&lt;=500,"Warranty – "&amp;IF(LEN(INDEX('Dealer pipeline'!$C$4:$C$503,_calc!$E$534))=0,"",INDEX('Dealer pipeline'!$C$4:$C$503,_calc!$E$534))&amp;" – "&amp;IF(LEN(INDEX('Dealer pipeline'!$D$4:$D$503,_calc!$E$534))=0,"",INDEX('Dealer pipeline'!$D$4:$D$503,_calc!$E$534))&amp;" – "&amp;IF(LEN(INDEX('Dealer pipeline'!$A$4:$A$503,_calc!$E$534))=0,"",INDEX('Dealer pipeline'!$A$4:$A$503,_calc!$E$534)),"Warranty – "&amp;IF(LEN(INDEX('My equipment'!$A$4:$A$503,(_calc!$E$534-500)))=0,"",INDEX('My equipment'!$A$4:$A$503,(_calc!$E$534-500)))&amp;" – "&amp;IF(LEN(INDEX('My equipment'!$D$4:$D$503,(_calc!$E$534-500)))=0,"",INDEX('My equipment'!$D$4:$D$503,(_calc!$E$534-500)))))</f>
        <v/>
      </c>
      <c r="B532" s="54">
        <f>IF(_calc!$E$534="","",IF(_calc!$E$534&lt;=500,IF(ISNUMBER(INDEX('Dealer pipeline'!$M$4:$M$503,_calc!$E$534)),TEXT(INDEX('Dealer pipeline'!$M$4:$M$503,_calc!$E$534),"yyyy-mm-dd"),""),IF(ISNUMBER(INDEX('My equipment'!$M$4:$M$503,(_calc!$E$534-500))),TEXT(INDEX('My equipment'!$M$4:$M$503,(_calc!$E$534-500)),"yyyy-mm-dd"),"")))</f>
        <v/>
      </c>
      <c r="C532" s="54">
        <f>IF(_calc!$E$534="","",IF(_calc!$E$534&lt;=500,"Warranty","Warranty"))</f>
        <v/>
      </c>
      <c r="D532" s="54">
        <f>IF(_calc!$E$534="","",IF(_calc!$E$534&lt;=500,IF(ISNUMBER(INDEX('Dealer pipeline'!$H$4:$H$503,_calc!$E$534)),TEXT(INDEX('Dealer pipeline'!$H$4:$H$503,_calc!$E$534),"yyyy-mm-dd"),""),IF(ISNUMBER(INDEX('My equipment'!$H$4:$H$503,(_calc!$E$534-500))),TEXT(INDEX('My equipment'!$H$4:$H$503,(_calc!$E$534-500)),"yyyy-mm-dd"),"")))</f>
        <v/>
      </c>
      <c r="F532" s="54">
        <f>IF(_calc!$E$534="","",IF(_calc!$E$534&lt;=500,TRIM(IF(LEN(IF(LEN(INDEX('Dealer pipeline'!$A$4:$A$503,_calc!$E$534))=0,"",INDEX('Dealer pipeline'!$A$4:$A$503,_calc!$E$534)))=0,"","Customer: "&amp;IF(LEN(INDEX('Dealer pipeline'!$A$4:$A$503,_calc!$E$534))=0,"",INDEX('Dealer pipeline'!$A$4:$A$503,_calc!$E$534))&amp;". ")&amp;IF(LEN(IF(LEN(INDEX('Dealer pipeline'!$B$4:$B$503,_calc!$E$534))=0,"",INDEX('Dealer pipeline'!$B$4:$B$503,_calc!$E$534)))=0,"","Contact: "&amp;IF(LEN(INDEX('Dealer pipeline'!$B$4:$B$503,_calc!$E$534))=0,"",INDEX('Dealer pipeline'!$B$4:$B$503,_calc!$E$534))&amp;". ")&amp;IF(LEN(IF(LEN(INDEX('Dealer pipeline'!$D$4:$D$503,_calc!$E$534))=0,"",INDEX('Dealer pipeline'!$D$4:$D$503,_calc!$E$534)))=0,"","Serial: "&amp;IF(LEN(INDEX('Dealer pipeline'!$D$4:$D$503,_calc!$E$534))=0,"",INDEX('Dealer pipeline'!$D$4:$D$503,_calc!$E$534))&amp;". ")&amp;IF(LEN(IF(ISNUMBER(INDEX('Dealer pipeline'!$J$4:$J$503,_calc!$E$534)),TEXT(INDEX('Dealer pipeline'!$J$4:$J$503,_calc!$E$534),"yyyy-mm-dd"),""))=0,"","Parts end: "&amp;IF(ISNUMBER(INDEX('Dealer pipeline'!$J$4:$J$503,_calc!$E$534)),TEXT(INDEX('Dealer pipeline'!$J$4:$J$503,_calc!$E$534),"yyyy-mm-dd"),"")&amp;". ")&amp;IF(LEN(IF(ISNUMBER(INDEX('Dealer pipeline'!$L$4:$L$503,_calc!$E$534)),TEXT(INDEX('Dealer pipeline'!$L$4:$L$503,_calc!$E$534),"yyyy-mm-dd"),""))=0,"","Labor end: "&amp;IF(ISNUMBER(INDEX('Dealer pipeline'!$L$4:$L$503,_calc!$E$534)),TEXT(INDEX('Dealer pipeline'!$L$4:$L$503,_calc!$E$534),"yyyy-mm-dd"),"")&amp;". ")&amp;IF(LEN(IF(LEN(INDEX('Dealer pipeline'!$Q$4:$Q$503,_calc!$E$534))=0,"",INDEX('Dealer pipeline'!$Q$4:$Q$503,_calc!$E$534)))=0,"","Status: "&amp;IF(LEN(INDEX('Dealer pipeline'!$Q$4:$Q$503,_calc!$E$534))=0,"",INDEX('Dealer pipeline'!$Q$4:$Q$503,_calc!$E$534))&amp;". ")&amp;IF(LEN(IF(LEN(INDEX('Dealer pipeline'!$P$4:$P$503,_calc!$E$534))=0,"",INDEX('Dealer pipeline'!$P$4:$P$503,_calc!$E$534)))=0,"","Last touch: "&amp;IF(LEN(INDEX('Dealer pipeline'!$P$4:$P$503,_calc!$E$534))=0,"",INDEX('Dealer pipeline'!$P$4:$P$503,_calc!$E$534))&amp;". ")&amp;IF(LEN(IF(LEN(INDEX('Dealer pipeline'!$R$4:$R$503,_calc!$E$534))=0,"",INDEX('Dealer pipeline'!$R$4:$R$503,_calc!$E$534)))=0,"","Owner: "&amp;IF(LEN(INDEX('Dealer pipeline'!$R$4:$R$503,_calc!$E$534))=0,"",INDEX('Dealer pipeline'!$R$4:$R$503,_calc!$E$534))&amp;". ")&amp;IF(LEN(IF(LEN(INDEX('Dealer pipeline'!$S$4:$S$503,_calc!$E$534))=0,"",INDEX('Dealer pipeline'!$S$4:$S$503,_calc!$E$534)))=0,"","Backup: "&amp;IF(LEN(INDEX('Dealer pipeline'!$S$4:$S$503,_calc!$E$534))=0,"",INDEX('Dealer pipeline'!$S$4:$S$503,_calc!$E$534))&amp;". ")&amp;IF(LEN(IF(LEN(INDEX('Dealer pipeline'!$T$4:$T$503,_calc!$E$534))=0,"",INDEX('Dealer pipeline'!$T$4:$T$503,_calc!$E$534)))=0,"",IF(LEN(INDEX('Dealer pipeline'!$T$4:$T$503,_calc!$E$534))=0,"",INDEX('Dealer pipeline'!$T$4:$T$503,_calc!$E$534)))),TRIM(IF(LEN(IF(LEN(INDEX('My equipment'!$C$4:$C$503,(_calc!$E$534-500)))=0,"",INDEX('My equipment'!$C$4:$C$503,(_calc!$E$534-500))))=0,"","Model: "&amp;IF(LEN(INDEX('My equipment'!$C$4:$C$503,(_calc!$E$534-500)))=0,"",INDEX('My equipment'!$C$4:$C$503,(_calc!$E$534-500)))&amp;". ")&amp;IF(LEN(IF(LEN(INDEX('My equipment'!$D$4:$D$503,(_calc!$E$534-500)))=0,"",INDEX('My equipment'!$D$4:$D$503,(_calc!$E$534-500))))=0,"","Serial: "&amp;IF(LEN(INDEX('My equipment'!$D$4:$D$503,(_calc!$E$534-500)))=0,"",INDEX('My equipment'!$D$4:$D$503,(_calc!$E$534-500)))&amp;". ")&amp;IF(LEN(IF(ISNUMBER(INDEX('My equipment'!$J$4:$J$503,(_calc!$E$534-500))),TEXT(INDEX('My equipment'!$J$4:$J$503,(_calc!$E$534-500)),"yyyy-mm-dd"),""))=0,"","Parts end: "&amp;IF(ISNUMBER(INDEX('My equipment'!$J$4:$J$503,(_calc!$E$534-500))),TEXT(INDEX('My equipment'!$J$4:$J$503,(_calc!$E$534-500)),"yyyy-mm-dd"),"")&amp;". ")&amp;IF(LEN(IF(ISNUMBER(INDEX('My equipment'!$L$4:$L$503,(_calc!$E$534-500))),TEXT(INDEX('My equipment'!$L$4:$L$503,(_calc!$E$534-500)),"yyyy-mm-dd"),""))=0,"","Labor end: "&amp;IF(ISNUMBER(INDEX('My equipment'!$L$4:$L$503,(_calc!$E$534-500))),TEXT(INDEX('My equipment'!$L$4:$L$503,(_calc!$E$534-500)),"yyyy-mm-dd"),"")&amp;". ")&amp;IF(LEN(IF(ISNUMBER(INDEX('My equipment'!$P$4:$P$503,(_calc!$E$534-500))),TEXT(INDEX('My equipment'!$P$4:$P$503,(_calc!$E$534-500)),"yyyy-mm-dd"),""))=0,"","Check by: "&amp;IF(ISNUMBER(INDEX('My equipment'!$P$4:$P$503,(_calc!$E$534-500))),TEXT(INDEX('My equipment'!$P$4:$P$503,(_calc!$E$534-500)),"yyyy-mm-dd"),"")&amp;". ")&amp;IF(LEN(IF(LEN(INDEX('My equipment'!$Q$4:$Q$503,(_calc!$E$534-500)))=0,"",INDEX('My equipment'!$Q$4:$Q$503,(_calc!$E$534-500))))=0,"","Claim status: "&amp;IF(LEN(INDEX('My equipment'!$Q$4:$Q$503,(_calc!$E$534-500)))=0,"",INDEX('My equipment'!$Q$4:$Q$503,(_calc!$E$534-500)))&amp;". ")&amp;IF(LEN(IF(LEN(INDEX('My equipment'!$R$4:$R$503,(_calc!$E$534-500)))=0,"",INDEX('My equipment'!$R$4:$R$503,(_calc!$E$534-500))))=0,"","Claims contact: "&amp;IF(LEN(INDEX('My equipment'!$R$4:$R$503,(_calc!$E$534-500)))=0,"",INDEX('My equipment'!$R$4:$R$503,(_calc!$E$534-500)))&amp;". ")&amp;IF(LEN(IF(LEN(INDEX('My equipment'!$S$4:$S$503,(_calc!$E$534-500)))=0,"",INDEX('My equipment'!$S$4:$S$503,(_calc!$E$534-500))))=0,"","Claims email: "&amp;IF(LEN(INDEX('My equipment'!$S$4:$S$503,(_calc!$E$534-500)))=0,"",INDEX('My equipment'!$S$4:$S$503,(_calc!$E$534-500)))&amp;". ")&amp;IF(LEN(IF(LEN(INDEX('My equipment'!$U$4:$U$503,(_calc!$E$534-500)))=0,"",INDEX('My equipment'!$U$4:$U$503,(_calc!$E$534-500))))=0,"","Registered: "&amp;IF(LEN(INDEX('My equipment'!$U$4:$U$503,(_calc!$E$534-500)))=0,"",INDEX('My equipment'!$U$4:$U$503,(_calc!$E$534-500)))&amp;". ")&amp;IF(LEN(IF(LEN(INDEX('My equipment'!$V$4:$V$503,(_calc!$E$534-500)))=0,"",INDEX('My equipment'!$V$4:$V$503,(_calc!$E$534-500))))=0,"","Proof on file: "&amp;IF(LEN(INDEX('My equipment'!$V$4:$V$503,(_calc!$E$534-500)))=0,"",INDEX('My equipment'!$V$4:$V$503,(_calc!$E$534-500)))&amp;". ")&amp;IF(LEN(IF(LEN(INDEX('My equipment'!$W$4:$W$503,(_calc!$E$534-500)))=0,"",INDEX('My equipment'!$W$4:$W$503,(_calc!$E$534-500))))=0,"","Claim ref: "&amp;IF(LEN(INDEX('My equipment'!$W$4:$W$503,(_calc!$E$534-500)))=0,"",INDEX('My equipment'!$W$4:$W$503,(_calc!$E$534-500)))&amp;". ")&amp;IF(LEN(IF(LEN(INDEX('My equipment'!$Y$4:$Y$503,(_calc!$E$534-500)))=0,"",INDEX('My equipment'!$Y$4:$Y$503,(_calc!$E$534-500))))=0,"",IF(LEN(INDEX('My equipment'!$Y$4:$Y$503,(_calc!$E$534-500)))=0,"",INDEX('My equipment'!$Y$4:$Y$503,(_calc!$E$534-500)))))))</f>
        <v/>
      </c>
      <c r="G532" s="54">
        <f>IF(_calc!$E$534="","",IF(_calc!$E$534&lt;=500,"",IF(LEN(INDEX('My equipment'!$X$4:$X$503,(_calc!$E$534-500)))=0,"",INDEX('My equipment'!$X$4:$X$503,(_calc!$E$534-500)))))</f>
        <v/>
      </c>
      <c r="K532" s="54">
        <f>IF(_calc!$E$534="","",IF(_calc!$E$534&lt;=500,"",IF(LEN(INDEX('My equipment'!$T$4:$T$503,(_calc!$E$534-500)))=0,"",INDEX('My equipment'!$T$4:$T$503,(_calc!$E$534-500)))))</f>
        <v/>
      </c>
    </row>
    <row r="533">
      <c r="A533" s="54">
        <f>IF(_calc!$E$535="","",IF(_calc!$E$535&lt;=500,"Warranty – "&amp;IF(LEN(INDEX('Dealer pipeline'!$C$4:$C$503,_calc!$E$535))=0,"",INDEX('Dealer pipeline'!$C$4:$C$503,_calc!$E$535))&amp;" – "&amp;IF(LEN(INDEX('Dealer pipeline'!$D$4:$D$503,_calc!$E$535))=0,"",INDEX('Dealer pipeline'!$D$4:$D$503,_calc!$E$535))&amp;" – "&amp;IF(LEN(INDEX('Dealer pipeline'!$A$4:$A$503,_calc!$E$535))=0,"",INDEX('Dealer pipeline'!$A$4:$A$503,_calc!$E$535)),"Warranty – "&amp;IF(LEN(INDEX('My equipment'!$A$4:$A$503,(_calc!$E$535-500)))=0,"",INDEX('My equipment'!$A$4:$A$503,(_calc!$E$535-500)))&amp;" – "&amp;IF(LEN(INDEX('My equipment'!$D$4:$D$503,(_calc!$E$535-500)))=0,"",INDEX('My equipment'!$D$4:$D$503,(_calc!$E$535-500)))))</f>
        <v/>
      </c>
      <c r="B533" s="54">
        <f>IF(_calc!$E$535="","",IF(_calc!$E$535&lt;=500,IF(ISNUMBER(INDEX('Dealer pipeline'!$M$4:$M$503,_calc!$E$535)),TEXT(INDEX('Dealer pipeline'!$M$4:$M$503,_calc!$E$535),"yyyy-mm-dd"),""),IF(ISNUMBER(INDEX('My equipment'!$M$4:$M$503,(_calc!$E$535-500))),TEXT(INDEX('My equipment'!$M$4:$M$503,(_calc!$E$535-500)),"yyyy-mm-dd"),"")))</f>
        <v/>
      </c>
      <c r="C533" s="54">
        <f>IF(_calc!$E$535="","",IF(_calc!$E$535&lt;=500,"Warranty","Warranty"))</f>
        <v/>
      </c>
      <c r="D533" s="54">
        <f>IF(_calc!$E$535="","",IF(_calc!$E$535&lt;=500,IF(ISNUMBER(INDEX('Dealer pipeline'!$H$4:$H$503,_calc!$E$535)),TEXT(INDEX('Dealer pipeline'!$H$4:$H$503,_calc!$E$535),"yyyy-mm-dd"),""),IF(ISNUMBER(INDEX('My equipment'!$H$4:$H$503,(_calc!$E$535-500))),TEXT(INDEX('My equipment'!$H$4:$H$503,(_calc!$E$535-500)),"yyyy-mm-dd"),"")))</f>
        <v/>
      </c>
      <c r="F533" s="54">
        <f>IF(_calc!$E$535="","",IF(_calc!$E$535&lt;=500,TRIM(IF(LEN(IF(LEN(INDEX('Dealer pipeline'!$A$4:$A$503,_calc!$E$535))=0,"",INDEX('Dealer pipeline'!$A$4:$A$503,_calc!$E$535)))=0,"","Customer: "&amp;IF(LEN(INDEX('Dealer pipeline'!$A$4:$A$503,_calc!$E$535))=0,"",INDEX('Dealer pipeline'!$A$4:$A$503,_calc!$E$535))&amp;". ")&amp;IF(LEN(IF(LEN(INDEX('Dealer pipeline'!$B$4:$B$503,_calc!$E$535))=0,"",INDEX('Dealer pipeline'!$B$4:$B$503,_calc!$E$535)))=0,"","Contact: "&amp;IF(LEN(INDEX('Dealer pipeline'!$B$4:$B$503,_calc!$E$535))=0,"",INDEX('Dealer pipeline'!$B$4:$B$503,_calc!$E$535))&amp;". ")&amp;IF(LEN(IF(LEN(INDEX('Dealer pipeline'!$D$4:$D$503,_calc!$E$535))=0,"",INDEX('Dealer pipeline'!$D$4:$D$503,_calc!$E$535)))=0,"","Serial: "&amp;IF(LEN(INDEX('Dealer pipeline'!$D$4:$D$503,_calc!$E$535))=0,"",INDEX('Dealer pipeline'!$D$4:$D$503,_calc!$E$535))&amp;". ")&amp;IF(LEN(IF(ISNUMBER(INDEX('Dealer pipeline'!$J$4:$J$503,_calc!$E$535)),TEXT(INDEX('Dealer pipeline'!$J$4:$J$503,_calc!$E$535),"yyyy-mm-dd"),""))=0,"","Parts end: "&amp;IF(ISNUMBER(INDEX('Dealer pipeline'!$J$4:$J$503,_calc!$E$535)),TEXT(INDEX('Dealer pipeline'!$J$4:$J$503,_calc!$E$535),"yyyy-mm-dd"),"")&amp;". ")&amp;IF(LEN(IF(ISNUMBER(INDEX('Dealer pipeline'!$L$4:$L$503,_calc!$E$535)),TEXT(INDEX('Dealer pipeline'!$L$4:$L$503,_calc!$E$535),"yyyy-mm-dd"),""))=0,"","Labor end: "&amp;IF(ISNUMBER(INDEX('Dealer pipeline'!$L$4:$L$503,_calc!$E$535)),TEXT(INDEX('Dealer pipeline'!$L$4:$L$503,_calc!$E$535),"yyyy-mm-dd"),"")&amp;". ")&amp;IF(LEN(IF(LEN(INDEX('Dealer pipeline'!$Q$4:$Q$503,_calc!$E$535))=0,"",INDEX('Dealer pipeline'!$Q$4:$Q$503,_calc!$E$535)))=0,"","Status: "&amp;IF(LEN(INDEX('Dealer pipeline'!$Q$4:$Q$503,_calc!$E$535))=0,"",INDEX('Dealer pipeline'!$Q$4:$Q$503,_calc!$E$535))&amp;". ")&amp;IF(LEN(IF(LEN(INDEX('Dealer pipeline'!$P$4:$P$503,_calc!$E$535))=0,"",INDEX('Dealer pipeline'!$P$4:$P$503,_calc!$E$535)))=0,"","Last touch: "&amp;IF(LEN(INDEX('Dealer pipeline'!$P$4:$P$503,_calc!$E$535))=0,"",INDEX('Dealer pipeline'!$P$4:$P$503,_calc!$E$535))&amp;". ")&amp;IF(LEN(IF(LEN(INDEX('Dealer pipeline'!$R$4:$R$503,_calc!$E$535))=0,"",INDEX('Dealer pipeline'!$R$4:$R$503,_calc!$E$535)))=0,"","Owner: "&amp;IF(LEN(INDEX('Dealer pipeline'!$R$4:$R$503,_calc!$E$535))=0,"",INDEX('Dealer pipeline'!$R$4:$R$503,_calc!$E$535))&amp;". ")&amp;IF(LEN(IF(LEN(INDEX('Dealer pipeline'!$S$4:$S$503,_calc!$E$535))=0,"",INDEX('Dealer pipeline'!$S$4:$S$503,_calc!$E$535)))=0,"","Backup: "&amp;IF(LEN(INDEX('Dealer pipeline'!$S$4:$S$503,_calc!$E$535))=0,"",INDEX('Dealer pipeline'!$S$4:$S$503,_calc!$E$535))&amp;". ")&amp;IF(LEN(IF(LEN(INDEX('Dealer pipeline'!$T$4:$T$503,_calc!$E$535))=0,"",INDEX('Dealer pipeline'!$T$4:$T$503,_calc!$E$535)))=0,"",IF(LEN(INDEX('Dealer pipeline'!$T$4:$T$503,_calc!$E$535))=0,"",INDEX('Dealer pipeline'!$T$4:$T$503,_calc!$E$535)))),TRIM(IF(LEN(IF(LEN(INDEX('My equipment'!$C$4:$C$503,(_calc!$E$535-500)))=0,"",INDEX('My equipment'!$C$4:$C$503,(_calc!$E$535-500))))=0,"","Model: "&amp;IF(LEN(INDEX('My equipment'!$C$4:$C$503,(_calc!$E$535-500)))=0,"",INDEX('My equipment'!$C$4:$C$503,(_calc!$E$535-500)))&amp;". ")&amp;IF(LEN(IF(LEN(INDEX('My equipment'!$D$4:$D$503,(_calc!$E$535-500)))=0,"",INDEX('My equipment'!$D$4:$D$503,(_calc!$E$535-500))))=0,"","Serial: "&amp;IF(LEN(INDEX('My equipment'!$D$4:$D$503,(_calc!$E$535-500)))=0,"",INDEX('My equipment'!$D$4:$D$503,(_calc!$E$535-500)))&amp;". ")&amp;IF(LEN(IF(ISNUMBER(INDEX('My equipment'!$J$4:$J$503,(_calc!$E$535-500))),TEXT(INDEX('My equipment'!$J$4:$J$503,(_calc!$E$535-500)),"yyyy-mm-dd"),""))=0,"","Parts end: "&amp;IF(ISNUMBER(INDEX('My equipment'!$J$4:$J$503,(_calc!$E$535-500))),TEXT(INDEX('My equipment'!$J$4:$J$503,(_calc!$E$535-500)),"yyyy-mm-dd"),"")&amp;". ")&amp;IF(LEN(IF(ISNUMBER(INDEX('My equipment'!$L$4:$L$503,(_calc!$E$535-500))),TEXT(INDEX('My equipment'!$L$4:$L$503,(_calc!$E$535-500)),"yyyy-mm-dd"),""))=0,"","Labor end: "&amp;IF(ISNUMBER(INDEX('My equipment'!$L$4:$L$503,(_calc!$E$535-500))),TEXT(INDEX('My equipment'!$L$4:$L$503,(_calc!$E$535-500)),"yyyy-mm-dd"),"")&amp;". ")&amp;IF(LEN(IF(ISNUMBER(INDEX('My equipment'!$P$4:$P$503,(_calc!$E$535-500))),TEXT(INDEX('My equipment'!$P$4:$P$503,(_calc!$E$535-500)),"yyyy-mm-dd"),""))=0,"","Check by: "&amp;IF(ISNUMBER(INDEX('My equipment'!$P$4:$P$503,(_calc!$E$535-500))),TEXT(INDEX('My equipment'!$P$4:$P$503,(_calc!$E$535-500)),"yyyy-mm-dd"),"")&amp;". ")&amp;IF(LEN(IF(LEN(INDEX('My equipment'!$Q$4:$Q$503,(_calc!$E$535-500)))=0,"",INDEX('My equipment'!$Q$4:$Q$503,(_calc!$E$535-500))))=0,"","Claim status: "&amp;IF(LEN(INDEX('My equipment'!$Q$4:$Q$503,(_calc!$E$535-500)))=0,"",INDEX('My equipment'!$Q$4:$Q$503,(_calc!$E$535-500)))&amp;". ")&amp;IF(LEN(IF(LEN(INDEX('My equipment'!$R$4:$R$503,(_calc!$E$535-500)))=0,"",INDEX('My equipment'!$R$4:$R$503,(_calc!$E$535-500))))=0,"","Claims contact: "&amp;IF(LEN(INDEX('My equipment'!$R$4:$R$503,(_calc!$E$535-500)))=0,"",INDEX('My equipment'!$R$4:$R$503,(_calc!$E$535-500)))&amp;". ")&amp;IF(LEN(IF(LEN(INDEX('My equipment'!$S$4:$S$503,(_calc!$E$535-500)))=0,"",INDEX('My equipment'!$S$4:$S$503,(_calc!$E$535-500))))=0,"","Claims email: "&amp;IF(LEN(INDEX('My equipment'!$S$4:$S$503,(_calc!$E$535-500)))=0,"",INDEX('My equipment'!$S$4:$S$503,(_calc!$E$535-500)))&amp;". ")&amp;IF(LEN(IF(LEN(INDEX('My equipment'!$U$4:$U$503,(_calc!$E$535-500)))=0,"",INDEX('My equipment'!$U$4:$U$503,(_calc!$E$535-500))))=0,"","Registered: "&amp;IF(LEN(INDEX('My equipment'!$U$4:$U$503,(_calc!$E$535-500)))=0,"",INDEX('My equipment'!$U$4:$U$503,(_calc!$E$535-500)))&amp;". ")&amp;IF(LEN(IF(LEN(INDEX('My equipment'!$V$4:$V$503,(_calc!$E$535-500)))=0,"",INDEX('My equipment'!$V$4:$V$503,(_calc!$E$535-500))))=0,"","Proof on file: "&amp;IF(LEN(INDEX('My equipment'!$V$4:$V$503,(_calc!$E$535-500)))=0,"",INDEX('My equipment'!$V$4:$V$503,(_calc!$E$535-500)))&amp;". ")&amp;IF(LEN(IF(LEN(INDEX('My equipment'!$W$4:$W$503,(_calc!$E$535-500)))=0,"",INDEX('My equipment'!$W$4:$W$503,(_calc!$E$535-500))))=0,"","Claim ref: "&amp;IF(LEN(INDEX('My equipment'!$W$4:$W$503,(_calc!$E$535-500)))=0,"",INDEX('My equipment'!$W$4:$W$503,(_calc!$E$535-500)))&amp;". ")&amp;IF(LEN(IF(LEN(INDEX('My equipment'!$Y$4:$Y$503,(_calc!$E$535-500)))=0,"",INDEX('My equipment'!$Y$4:$Y$503,(_calc!$E$535-500))))=0,"",IF(LEN(INDEX('My equipment'!$Y$4:$Y$503,(_calc!$E$535-500)))=0,"",INDEX('My equipment'!$Y$4:$Y$503,(_calc!$E$535-500)))))))</f>
        <v/>
      </c>
      <c r="G533" s="54">
        <f>IF(_calc!$E$535="","",IF(_calc!$E$535&lt;=500,"",IF(LEN(INDEX('My equipment'!$X$4:$X$503,(_calc!$E$535-500)))=0,"",INDEX('My equipment'!$X$4:$X$503,(_calc!$E$535-500)))))</f>
        <v/>
      </c>
      <c r="K533" s="54">
        <f>IF(_calc!$E$535="","",IF(_calc!$E$535&lt;=500,"",IF(LEN(INDEX('My equipment'!$T$4:$T$503,(_calc!$E$535-500)))=0,"",INDEX('My equipment'!$T$4:$T$503,(_calc!$E$535-500)))))</f>
        <v/>
      </c>
    </row>
    <row r="534">
      <c r="A534" s="54">
        <f>IF(_calc!$E$536="","",IF(_calc!$E$536&lt;=500,"Warranty – "&amp;IF(LEN(INDEX('Dealer pipeline'!$C$4:$C$503,_calc!$E$536))=0,"",INDEX('Dealer pipeline'!$C$4:$C$503,_calc!$E$536))&amp;" – "&amp;IF(LEN(INDEX('Dealer pipeline'!$D$4:$D$503,_calc!$E$536))=0,"",INDEX('Dealer pipeline'!$D$4:$D$503,_calc!$E$536))&amp;" – "&amp;IF(LEN(INDEX('Dealer pipeline'!$A$4:$A$503,_calc!$E$536))=0,"",INDEX('Dealer pipeline'!$A$4:$A$503,_calc!$E$536)),"Warranty – "&amp;IF(LEN(INDEX('My equipment'!$A$4:$A$503,(_calc!$E$536-500)))=0,"",INDEX('My equipment'!$A$4:$A$503,(_calc!$E$536-500)))&amp;" – "&amp;IF(LEN(INDEX('My equipment'!$D$4:$D$503,(_calc!$E$536-500)))=0,"",INDEX('My equipment'!$D$4:$D$503,(_calc!$E$536-500)))))</f>
        <v/>
      </c>
      <c r="B534" s="54">
        <f>IF(_calc!$E$536="","",IF(_calc!$E$536&lt;=500,IF(ISNUMBER(INDEX('Dealer pipeline'!$M$4:$M$503,_calc!$E$536)),TEXT(INDEX('Dealer pipeline'!$M$4:$M$503,_calc!$E$536),"yyyy-mm-dd"),""),IF(ISNUMBER(INDEX('My equipment'!$M$4:$M$503,(_calc!$E$536-500))),TEXT(INDEX('My equipment'!$M$4:$M$503,(_calc!$E$536-500)),"yyyy-mm-dd"),"")))</f>
        <v/>
      </c>
      <c r="C534" s="54">
        <f>IF(_calc!$E$536="","",IF(_calc!$E$536&lt;=500,"Warranty","Warranty"))</f>
        <v/>
      </c>
      <c r="D534" s="54">
        <f>IF(_calc!$E$536="","",IF(_calc!$E$536&lt;=500,IF(ISNUMBER(INDEX('Dealer pipeline'!$H$4:$H$503,_calc!$E$536)),TEXT(INDEX('Dealer pipeline'!$H$4:$H$503,_calc!$E$536),"yyyy-mm-dd"),""),IF(ISNUMBER(INDEX('My equipment'!$H$4:$H$503,(_calc!$E$536-500))),TEXT(INDEX('My equipment'!$H$4:$H$503,(_calc!$E$536-500)),"yyyy-mm-dd"),"")))</f>
        <v/>
      </c>
      <c r="F534" s="54">
        <f>IF(_calc!$E$536="","",IF(_calc!$E$536&lt;=500,TRIM(IF(LEN(IF(LEN(INDEX('Dealer pipeline'!$A$4:$A$503,_calc!$E$536))=0,"",INDEX('Dealer pipeline'!$A$4:$A$503,_calc!$E$536)))=0,"","Customer: "&amp;IF(LEN(INDEX('Dealer pipeline'!$A$4:$A$503,_calc!$E$536))=0,"",INDEX('Dealer pipeline'!$A$4:$A$503,_calc!$E$536))&amp;". ")&amp;IF(LEN(IF(LEN(INDEX('Dealer pipeline'!$B$4:$B$503,_calc!$E$536))=0,"",INDEX('Dealer pipeline'!$B$4:$B$503,_calc!$E$536)))=0,"","Contact: "&amp;IF(LEN(INDEX('Dealer pipeline'!$B$4:$B$503,_calc!$E$536))=0,"",INDEX('Dealer pipeline'!$B$4:$B$503,_calc!$E$536))&amp;". ")&amp;IF(LEN(IF(LEN(INDEX('Dealer pipeline'!$D$4:$D$503,_calc!$E$536))=0,"",INDEX('Dealer pipeline'!$D$4:$D$503,_calc!$E$536)))=0,"","Serial: "&amp;IF(LEN(INDEX('Dealer pipeline'!$D$4:$D$503,_calc!$E$536))=0,"",INDEX('Dealer pipeline'!$D$4:$D$503,_calc!$E$536))&amp;". ")&amp;IF(LEN(IF(ISNUMBER(INDEX('Dealer pipeline'!$J$4:$J$503,_calc!$E$536)),TEXT(INDEX('Dealer pipeline'!$J$4:$J$503,_calc!$E$536),"yyyy-mm-dd"),""))=0,"","Parts end: "&amp;IF(ISNUMBER(INDEX('Dealer pipeline'!$J$4:$J$503,_calc!$E$536)),TEXT(INDEX('Dealer pipeline'!$J$4:$J$503,_calc!$E$536),"yyyy-mm-dd"),"")&amp;". ")&amp;IF(LEN(IF(ISNUMBER(INDEX('Dealer pipeline'!$L$4:$L$503,_calc!$E$536)),TEXT(INDEX('Dealer pipeline'!$L$4:$L$503,_calc!$E$536),"yyyy-mm-dd"),""))=0,"","Labor end: "&amp;IF(ISNUMBER(INDEX('Dealer pipeline'!$L$4:$L$503,_calc!$E$536)),TEXT(INDEX('Dealer pipeline'!$L$4:$L$503,_calc!$E$536),"yyyy-mm-dd"),"")&amp;". ")&amp;IF(LEN(IF(LEN(INDEX('Dealer pipeline'!$Q$4:$Q$503,_calc!$E$536))=0,"",INDEX('Dealer pipeline'!$Q$4:$Q$503,_calc!$E$536)))=0,"","Status: "&amp;IF(LEN(INDEX('Dealer pipeline'!$Q$4:$Q$503,_calc!$E$536))=0,"",INDEX('Dealer pipeline'!$Q$4:$Q$503,_calc!$E$536))&amp;". ")&amp;IF(LEN(IF(LEN(INDEX('Dealer pipeline'!$P$4:$P$503,_calc!$E$536))=0,"",INDEX('Dealer pipeline'!$P$4:$P$503,_calc!$E$536)))=0,"","Last touch: "&amp;IF(LEN(INDEX('Dealer pipeline'!$P$4:$P$503,_calc!$E$536))=0,"",INDEX('Dealer pipeline'!$P$4:$P$503,_calc!$E$536))&amp;". ")&amp;IF(LEN(IF(LEN(INDEX('Dealer pipeline'!$R$4:$R$503,_calc!$E$536))=0,"",INDEX('Dealer pipeline'!$R$4:$R$503,_calc!$E$536)))=0,"","Owner: "&amp;IF(LEN(INDEX('Dealer pipeline'!$R$4:$R$503,_calc!$E$536))=0,"",INDEX('Dealer pipeline'!$R$4:$R$503,_calc!$E$536))&amp;". ")&amp;IF(LEN(IF(LEN(INDEX('Dealer pipeline'!$S$4:$S$503,_calc!$E$536))=0,"",INDEX('Dealer pipeline'!$S$4:$S$503,_calc!$E$536)))=0,"","Backup: "&amp;IF(LEN(INDEX('Dealer pipeline'!$S$4:$S$503,_calc!$E$536))=0,"",INDEX('Dealer pipeline'!$S$4:$S$503,_calc!$E$536))&amp;". ")&amp;IF(LEN(IF(LEN(INDEX('Dealer pipeline'!$T$4:$T$503,_calc!$E$536))=0,"",INDEX('Dealer pipeline'!$T$4:$T$503,_calc!$E$536)))=0,"",IF(LEN(INDEX('Dealer pipeline'!$T$4:$T$503,_calc!$E$536))=0,"",INDEX('Dealer pipeline'!$T$4:$T$503,_calc!$E$536)))),TRIM(IF(LEN(IF(LEN(INDEX('My equipment'!$C$4:$C$503,(_calc!$E$536-500)))=0,"",INDEX('My equipment'!$C$4:$C$503,(_calc!$E$536-500))))=0,"","Model: "&amp;IF(LEN(INDEX('My equipment'!$C$4:$C$503,(_calc!$E$536-500)))=0,"",INDEX('My equipment'!$C$4:$C$503,(_calc!$E$536-500)))&amp;". ")&amp;IF(LEN(IF(LEN(INDEX('My equipment'!$D$4:$D$503,(_calc!$E$536-500)))=0,"",INDEX('My equipment'!$D$4:$D$503,(_calc!$E$536-500))))=0,"","Serial: "&amp;IF(LEN(INDEX('My equipment'!$D$4:$D$503,(_calc!$E$536-500)))=0,"",INDEX('My equipment'!$D$4:$D$503,(_calc!$E$536-500)))&amp;". ")&amp;IF(LEN(IF(ISNUMBER(INDEX('My equipment'!$J$4:$J$503,(_calc!$E$536-500))),TEXT(INDEX('My equipment'!$J$4:$J$503,(_calc!$E$536-500)),"yyyy-mm-dd"),""))=0,"","Parts end: "&amp;IF(ISNUMBER(INDEX('My equipment'!$J$4:$J$503,(_calc!$E$536-500))),TEXT(INDEX('My equipment'!$J$4:$J$503,(_calc!$E$536-500)),"yyyy-mm-dd"),"")&amp;". ")&amp;IF(LEN(IF(ISNUMBER(INDEX('My equipment'!$L$4:$L$503,(_calc!$E$536-500))),TEXT(INDEX('My equipment'!$L$4:$L$503,(_calc!$E$536-500)),"yyyy-mm-dd"),""))=0,"","Labor end: "&amp;IF(ISNUMBER(INDEX('My equipment'!$L$4:$L$503,(_calc!$E$536-500))),TEXT(INDEX('My equipment'!$L$4:$L$503,(_calc!$E$536-500)),"yyyy-mm-dd"),"")&amp;". ")&amp;IF(LEN(IF(ISNUMBER(INDEX('My equipment'!$P$4:$P$503,(_calc!$E$536-500))),TEXT(INDEX('My equipment'!$P$4:$P$503,(_calc!$E$536-500)),"yyyy-mm-dd"),""))=0,"","Check by: "&amp;IF(ISNUMBER(INDEX('My equipment'!$P$4:$P$503,(_calc!$E$536-500))),TEXT(INDEX('My equipment'!$P$4:$P$503,(_calc!$E$536-500)),"yyyy-mm-dd"),"")&amp;". ")&amp;IF(LEN(IF(LEN(INDEX('My equipment'!$Q$4:$Q$503,(_calc!$E$536-500)))=0,"",INDEX('My equipment'!$Q$4:$Q$503,(_calc!$E$536-500))))=0,"","Claim status: "&amp;IF(LEN(INDEX('My equipment'!$Q$4:$Q$503,(_calc!$E$536-500)))=0,"",INDEX('My equipment'!$Q$4:$Q$503,(_calc!$E$536-500)))&amp;". ")&amp;IF(LEN(IF(LEN(INDEX('My equipment'!$R$4:$R$503,(_calc!$E$536-500)))=0,"",INDEX('My equipment'!$R$4:$R$503,(_calc!$E$536-500))))=0,"","Claims contact: "&amp;IF(LEN(INDEX('My equipment'!$R$4:$R$503,(_calc!$E$536-500)))=0,"",INDEX('My equipment'!$R$4:$R$503,(_calc!$E$536-500)))&amp;". ")&amp;IF(LEN(IF(LEN(INDEX('My equipment'!$S$4:$S$503,(_calc!$E$536-500)))=0,"",INDEX('My equipment'!$S$4:$S$503,(_calc!$E$536-500))))=0,"","Claims email: "&amp;IF(LEN(INDEX('My equipment'!$S$4:$S$503,(_calc!$E$536-500)))=0,"",INDEX('My equipment'!$S$4:$S$503,(_calc!$E$536-500)))&amp;". ")&amp;IF(LEN(IF(LEN(INDEX('My equipment'!$U$4:$U$503,(_calc!$E$536-500)))=0,"",INDEX('My equipment'!$U$4:$U$503,(_calc!$E$536-500))))=0,"","Registered: "&amp;IF(LEN(INDEX('My equipment'!$U$4:$U$503,(_calc!$E$536-500)))=0,"",INDEX('My equipment'!$U$4:$U$503,(_calc!$E$536-500)))&amp;". ")&amp;IF(LEN(IF(LEN(INDEX('My equipment'!$V$4:$V$503,(_calc!$E$536-500)))=0,"",INDEX('My equipment'!$V$4:$V$503,(_calc!$E$536-500))))=0,"","Proof on file: "&amp;IF(LEN(INDEX('My equipment'!$V$4:$V$503,(_calc!$E$536-500)))=0,"",INDEX('My equipment'!$V$4:$V$503,(_calc!$E$536-500)))&amp;". ")&amp;IF(LEN(IF(LEN(INDEX('My equipment'!$W$4:$W$503,(_calc!$E$536-500)))=0,"",INDEX('My equipment'!$W$4:$W$503,(_calc!$E$536-500))))=0,"","Claim ref: "&amp;IF(LEN(INDEX('My equipment'!$W$4:$W$503,(_calc!$E$536-500)))=0,"",INDEX('My equipment'!$W$4:$W$503,(_calc!$E$536-500)))&amp;". ")&amp;IF(LEN(IF(LEN(INDEX('My equipment'!$Y$4:$Y$503,(_calc!$E$536-500)))=0,"",INDEX('My equipment'!$Y$4:$Y$503,(_calc!$E$536-500))))=0,"",IF(LEN(INDEX('My equipment'!$Y$4:$Y$503,(_calc!$E$536-500)))=0,"",INDEX('My equipment'!$Y$4:$Y$503,(_calc!$E$536-500)))))))</f>
        <v/>
      </c>
      <c r="G534" s="54">
        <f>IF(_calc!$E$536="","",IF(_calc!$E$536&lt;=500,"",IF(LEN(INDEX('My equipment'!$X$4:$X$503,(_calc!$E$536-500)))=0,"",INDEX('My equipment'!$X$4:$X$503,(_calc!$E$536-500)))))</f>
        <v/>
      </c>
      <c r="K534" s="54">
        <f>IF(_calc!$E$536="","",IF(_calc!$E$536&lt;=500,"",IF(LEN(INDEX('My equipment'!$T$4:$T$503,(_calc!$E$536-500)))=0,"",INDEX('My equipment'!$T$4:$T$503,(_calc!$E$536-500)))))</f>
        <v/>
      </c>
    </row>
    <row r="535">
      <c r="A535" s="54">
        <f>IF(_calc!$E$537="","",IF(_calc!$E$537&lt;=500,"Warranty – "&amp;IF(LEN(INDEX('Dealer pipeline'!$C$4:$C$503,_calc!$E$537))=0,"",INDEX('Dealer pipeline'!$C$4:$C$503,_calc!$E$537))&amp;" – "&amp;IF(LEN(INDEX('Dealer pipeline'!$D$4:$D$503,_calc!$E$537))=0,"",INDEX('Dealer pipeline'!$D$4:$D$503,_calc!$E$537))&amp;" – "&amp;IF(LEN(INDEX('Dealer pipeline'!$A$4:$A$503,_calc!$E$537))=0,"",INDEX('Dealer pipeline'!$A$4:$A$503,_calc!$E$537)),"Warranty – "&amp;IF(LEN(INDEX('My equipment'!$A$4:$A$503,(_calc!$E$537-500)))=0,"",INDEX('My equipment'!$A$4:$A$503,(_calc!$E$537-500)))&amp;" – "&amp;IF(LEN(INDEX('My equipment'!$D$4:$D$503,(_calc!$E$537-500)))=0,"",INDEX('My equipment'!$D$4:$D$503,(_calc!$E$537-500)))))</f>
        <v/>
      </c>
      <c r="B535" s="54">
        <f>IF(_calc!$E$537="","",IF(_calc!$E$537&lt;=500,IF(ISNUMBER(INDEX('Dealer pipeline'!$M$4:$M$503,_calc!$E$537)),TEXT(INDEX('Dealer pipeline'!$M$4:$M$503,_calc!$E$537),"yyyy-mm-dd"),""),IF(ISNUMBER(INDEX('My equipment'!$M$4:$M$503,(_calc!$E$537-500))),TEXT(INDEX('My equipment'!$M$4:$M$503,(_calc!$E$537-500)),"yyyy-mm-dd"),"")))</f>
        <v/>
      </c>
      <c r="C535" s="54">
        <f>IF(_calc!$E$537="","",IF(_calc!$E$537&lt;=500,"Warranty","Warranty"))</f>
        <v/>
      </c>
      <c r="D535" s="54">
        <f>IF(_calc!$E$537="","",IF(_calc!$E$537&lt;=500,IF(ISNUMBER(INDEX('Dealer pipeline'!$H$4:$H$503,_calc!$E$537)),TEXT(INDEX('Dealer pipeline'!$H$4:$H$503,_calc!$E$537),"yyyy-mm-dd"),""),IF(ISNUMBER(INDEX('My equipment'!$H$4:$H$503,(_calc!$E$537-500))),TEXT(INDEX('My equipment'!$H$4:$H$503,(_calc!$E$537-500)),"yyyy-mm-dd"),"")))</f>
        <v/>
      </c>
      <c r="F535" s="54">
        <f>IF(_calc!$E$537="","",IF(_calc!$E$537&lt;=500,TRIM(IF(LEN(IF(LEN(INDEX('Dealer pipeline'!$A$4:$A$503,_calc!$E$537))=0,"",INDEX('Dealer pipeline'!$A$4:$A$503,_calc!$E$537)))=0,"","Customer: "&amp;IF(LEN(INDEX('Dealer pipeline'!$A$4:$A$503,_calc!$E$537))=0,"",INDEX('Dealer pipeline'!$A$4:$A$503,_calc!$E$537))&amp;". ")&amp;IF(LEN(IF(LEN(INDEX('Dealer pipeline'!$B$4:$B$503,_calc!$E$537))=0,"",INDEX('Dealer pipeline'!$B$4:$B$503,_calc!$E$537)))=0,"","Contact: "&amp;IF(LEN(INDEX('Dealer pipeline'!$B$4:$B$503,_calc!$E$537))=0,"",INDEX('Dealer pipeline'!$B$4:$B$503,_calc!$E$537))&amp;". ")&amp;IF(LEN(IF(LEN(INDEX('Dealer pipeline'!$D$4:$D$503,_calc!$E$537))=0,"",INDEX('Dealer pipeline'!$D$4:$D$503,_calc!$E$537)))=0,"","Serial: "&amp;IF(LEN(INDEX('Dealer pipeline'!$D$4:$D$503,_calc!$E$537))=0,"",INDEX('Dealer pipeline'!$D$4:$D$503,_calc!$E$537))&amp;". ")&amp;IF(LEN(IF(ISNUMBER(INDEX('Dealer pipeline'!$J$4:$J$503,_calc!$E$537)),TEXT(INDEX('Dealer pipeline'!$J$4:$J$503,_calc!$E$537),"yyyy-mm-dd"),""))=0,"","Parts end: "&amp;IF(ISNUMBER(INDEX('Dealer pipeline'!$J$4:$J$503,_calc!$E$537)),TEXT(INDEX('Dealer pipeline'!$J$4:$J$503,_calc!$E$537),"yyyy-mm-dd"),"")&amp;". ")&amp;IF(LEN(IF(ISNUMBER(INDEX('Dealer pipeline'!$L$4:$L$503,_calc!$E$537)),TEXT(INDEX('Dealer pipeline'!$L$4:$L$503,_calc!$E$537),"yyyy-mm-dd"),""))=0,"","Labor end: "&amp;IF(ISNUMBER(INDEX('Dealer pipeline'!$L$4:$L$503,_calc!$E$537)),TEXT(INDEX('Dealer pipeline'!$L$4:$L$503,_calc!$E$537),"yyyy-mm-dd"),"")&amp;". ")&amp;IF(LEN(IF(LEN(INDEX('Dealer pipeline'!$Q$4:$Q$503,_calc!$E$537))=0,"",INDEX('Dealer pipeline'!$Q$4:$Q$503,_calc!$E$537)))=0,"","Status: "&amp;IF(LEN(INDEX('Dealer pipeline'!$Q$4:$Q$503,_calc!$E$537))=0,"",INDEX('Dealer pipeline'!$Q$4:$Q$503,_calc!$E$537))&amp;". ")&amp;IF(LEN(IF(LEN(INDEX('Dealer pipeline'!$P$4:$P$503,_calc!$E$537))=0,"",INDEX('Dealer pipeline'!$P$4:$P$503,_calc!$E$537)))=0,"","Last touch: "&amp;IF(LEN(INDEX('Dealer pipeline'!$P$4:$P$503,_calc!$E$537))=0,"",INDEX('Dealer pipeline'!$P$4:$P$503,_calc!$E$537))&amp;". ")&amp;IF(LEN(IF(LEN(INDEX('Dealer pipeline'!$R$4:$R$503,_calc!$E$537))=0,"",INDEX('Dealer pipeline'!$R$4:$R$503,_calc!$E$537)))=0,"","Owner: "&amp;IF(LEN(INDEX('Dealer pipeline'!$R$4:$R$503,_calc!$E$537))=0,"",INDEX('Dealer pipeline'!$R$4:$R$503,_calc!$E$537))&amp;". ")&amp;IF(LEN(IF(LEN(INDEX('Dealer pipeline'!$S$4:$S$503,_calc!$E$537))=0,"",INDEX('Dealer pipeline'!$S$4:$S$503,_calc!$E$537)))=0,"","Backup: "&amp;IF(LEN(INDEX('Dealer pipeline'!$S$4:$S$503,_calc!$E$537))=0,"",INDEX('Dealer pipeline'!$S$4:$S$503,_calc!$E$537))&amp;". ")&amp;IF(LEN(IF(LEN(INDEX('Dealer pipeline'!$T$4:$T$503,_calc!$E$537))=0,"",INDEX('Dealer pipeline'!$T$4:$T$503,_calc!$E$537)))=0,"",IF(LEN(INDEX('Dealer pipeline'!$T$4:$T$503,_calc!$E$537))=0,"",INDEX('Dealer pipeline'!$T$4:$T$503,_calc!$E$537)))),TRIM(IF(LEN(IF(LEN(INDEX('My equipment'!$C$4:$C$503,(_calc!$E$537-500)))=0,"",INDEX('My equipment'!$C$4:$C$503,(_calc!$E$537-500))))=0,"","Model: "&amp;IF(LEN(INDEX('My equipment'!$C$4:$C$503,(_calc!$E$537-500)))=0,"",INDEX('My equipment'!$C$4:$C$503,(_calc!$E$537-500)))&amp;". ")&amp;IF(LEN(IF(LEN(INDEX('My equipment'!$D$4:$D$503,(_calc!$E$537-500)))=0,"",INDEX('My equipment'!$D$4:$D$503,(_calc!$E$537-500))))=0,"","Serial: "&amp;IF(LEN(INDEX('My equipment'!$D$4:$D$503,(_calc!$E$537-500)))=0,"",INDEX('My equipment'!$D$4:$D$503,(_calc!$E$537-500)))&amp;". ")&amp;IF(LEN(IF(ISNUMBER(INDEX('My equipment'!$J$4:$J$503,(_calc!$E$537-500))),TEXT(INDEX('My equipment'!$J$4:$J$503,(_calc!$E$537-500)),"yyyy-mm-dd"),""))=0,"","Parts end: "&amp;IF(ISNUMBER(INDEX('My equipment'!$J$4:$J$503,(_calc!$E$537-500))),TEXT(INDEX('My equipment'!$J$4:$J$503,(_calc!$E$537-500)),"yyyy-mm-dd"),"")&amp;". ")&amp;IF(LEN(IF(ISNUMBER(INDEX('My equipment'!$L$4:$L$503,(_calc!$E$537-500))),TEXT(INDEX('My equipment'!$L$4:$L$503,(_calc!$E$537-500)),"yyyy-mm-dd"),""))=0,"","Labor end: "&amp;IF(ISNUMBER(INDEX('My equipment'!$L$4:$L$503,(_calc!$E$537-500))),TEXT(INDEX('My equipment'!$L$4:$L$503,(_calc!$E$537-500)),"yyyy-mm-dd"),"")&amp;". ")&amp;IF(LEN(IF(ISNUMBER(INDEX('My equipment'!$P$4:$P$503,(_calc!$E$537-500))),TEXT(INDEX('My equipment'!$P$4:$P$503,(_calc!$E$537-500)),"yyyy-mm-dd"),""))=0,"","Check by: "&amp;IF(ISNUMBER(INDEX('My equipment'!$P$4:$P$503,(_calc!$E$537-500))),TEXT(INDEX('My equipment'!$P$4:$P$503,(_calc!$E$537-500)),"yyyy-mm-dd"),"")&amp;". ")&amp;IF(LEN(IF(LEN(INDEX('My equipment'!$Q$4:$Q$503,(_calc!$E$537-500)))=0,"",INDEX('My equipment'!$Q$4:$Q$503,(_calc!$E$537-500))))=0,"","Claim status: "&amp;IF(LEN(INDEX('My equipment'!$Q$4:$Q$503,(_calc!$E$537-500)))=0,"",INDEX('My equipment'!$Q$4:$Q$503,(_calc!$E$537-500)))&amp;". ")&amp;IF(LEN(IF(LEN(INDEX('My equipment'!$R$4:$R$503,(_calc!$E$537-500)))=0,"",INDEX('My equipment'!$R$4:$R$503,(_calc!$E$537-500))))=0,"","Claims contact: "&amp;IF(LEN(INDEX('My equipment'!$R$4:$R$503,(_calc!$E$537-500)))=0,"",INDEX('My equipment'!$R$4:$R$503,(_calc!$E$537-500)))&amp;". ")&amp;IF(LEN(IF(LEN(INDEX('My equipment'!$S$4:$S$503,(_calc!$E$537-500)))=0,"",INDEX('My equipment'!$S$4:$S$503,(_calc!$E$537-500))))=0,"","Claims email: "&amp;IF(LEN(INDEX('My equipment'!$S$4:$S$503,(_calc!$E$537-500)))=0,"",INDEX('My equipment'!$S$4:$S$503,(_calc!$E$537-500)))&amp;". ")&amp;IF(LEN(IF(LEN(INDEX('My equipment'!$U$4:$U$503,(_calc!$E$537-500)))=0,"",INDEX('My equipment'!$U$4:$U$503,(_calc!$E$537-500))))=0,"","Registered: "&amp;IF(LEN(INDEX('My equipment'!$U$4:$U$503,(_calc!$E$537-500)))=0,"",INDEX('My equipment'!$U$4:$U$503,(_calc!$E$537-500)))&amp;". ")&amp;IF(LEN(IF(LEN(INDEX('My equipment'!$V$4:$V$503,(_calc!$E$537-500)))=0,"",INDEX('My equipment'!$V$4:$V$503,(_calc!$E$537-500))))=0,"","Proof on file: "&amp;IF(LEN(INDEX('My equipment'!$V$4:$V$503,(_calc!$E$537-500)))=0,"",INDEX('My equipment'!$V$4:$V$503,(_calc!$E$537-500)))&amp;". ")&amp;IF(LEN(IF(LEN(INDEX('My equipment'!$W$4:$W$503,(_calc!$E$537-500)))=0,"",INDEX('My equipment'!$W$4:$W$503,(_calc!$E$537-500))))=0,"","Claim ref: "&amp;IF(LEN(INDEX('My equipment'!$W$4:$W$503,(_calc!$E$537-500)))=0,"",INDEX('My equipment'!$W$4:$W$503,(_calc!$E$537-500)))&amp;". ")&amp;IF(LEN(IF(LEN(INDEX('My equipment'!$Y$4:$Y$503,(_calc!$E$537-500)))=0,"",INDEX('My equipment'!$Y$4:$Y$503,(_calc!$E$537-500))))=0,"",IF(LEN(INDEX('My equipment'!$Y$4:$Y$503,(_calc!$E$537-500)))=0,"",INDEX('My equipment'!$Y$4:$Y$503,(_calc!$E$537-500)))))))</f>
        <v/>
      </c>
      <c r="G535" s="54">
        <f>IF(_calc!$E$537="","",IF(_calc!$E$537&lt;=500,"",IF(LEN(INDEX('My equipment'!$X$4:$X$503,(_calc!$E$537-500)))=0,"",INDEX('My equipment'!$X$4:$X$503,(_calc!$E$537-500)))))</f>
        <v/>
      </c>
      <c r="K535" s="54">
        <f>IF(_calc!$E$537="","",IF(_calc!$E$537&lt;=500,"",IF(LEN(INDEX('My equipment'!$T$4:$T$503,(_calc!$E$537-500)))=0,"",INDEX('My equipment'!$T$4:$T$503,(_calc!$E$537-500)))))</f>
        <v/>
      </c>
    </row>
    <row r="536">
      <c r="A536" s="54">
        <f>IF(_calc!$E$538="","",IF(_calc!$E$538&lt;=500,"Warranty – "&amp;IF(LEN(INDEX('Dealer pipeline'!$C$4:$C$503,_calc!$E$538))=0,"",INDEX('Dealer pipeline'!$C$4:$C$503,_calc!$E$538))&amp;" – "&amp;IF(LEN(INDEX('Dealer pipeline'!$D$4:$D$503,_calc!$E$538))=0,"",INDEX('Dealer pipeline'!$D$4:$D$503,_calc!$E$538))&amp;" – "&amp;IF(LEN(INDEX('Dealer pipeline'!$A$4:$A$503,_calc!$E$538))=0,"",INDEX('Dealer pipeline'!$A$4:$A$503,_calc!$E$538)),"Warranty – "&amp;IF(LEN(INDEX('My equipment'!$A$4:$A$503,(_calc!$E$538-500)))=0,"",INDEX('My equipment'!$A$4:$A$503,(_calc!$E$538-500)))&amp;" – "&amp;IF(LEN(INDEX('My equipment'!$D$4:$D$503,(_calc!$E$538-500)))=0,"",INDEX('My equipment'!$D$4:$D$503,(_calc!$E$538-500)))))</f>
        <v/>
      </c>
      <c r="B536" s="54">
        <f>IF(_calc!$E$538="","",IF(_calc!$E$538&lt;=500,IF(ISNUMBER(INDEX('Dealer pipeline'!$M$4:$M$503,_calc!$E$538)),TEXT(INDEX('Dealer pipeline'!$M$4:$M$503,_calc!$E$538),"yyyy-mm-dd"),""),IF(ISNUMBER(INDEX('My equipment'!$M$4:$M$503,(_calc!$E$538-500))),TEXT(INDEX('My equipment'!$M$4:$M$503,(_calc!$E$538-500)),"yyyy-mm-dd"),"")))</f>
        <v/>
      </c>
      <c r="C536" s="54">
        <f>IF(_calc!$E$538="","",IF(_calc!$E$538&lt;=500,"Warranty","Warranty"))</f>
        <v/>
      </c>
      <c r="D536" s="54">
        <f>IF(_calc!$E$538="","",IF(_calc!$E$538&lt;=500,IF(ISNUMBER(INDEX('Dealer pipeline'!$H$4:$H$503,_calc!$E$538)),TEXT(INDEX('Dealer pipeline'!$H$4:$H$503,_calc!$E$538),"yyyy-mm-dd"),""),IF(ISNUMBER(INDEX('My equipment'!$H$4:$H$503,(_calc!$E$538-500))),TEXT(INDEX('My equipment'!$H$4:$H$503,(_calc!$E$538-500)),"yyyy-mm-dd"),"")))</f>
        <v/>
      </c>
      <c r="F536" s="54">
        <f>IF(_calc!$E$538="","",IF(_calc!$E$538&lt;=500,TRIM(IF(LEN(IF(LEN(INDEX('Dealer pipeline'!$A$4:$A$503,_calc!$E$538))=0,"",INDEX('Dealer pipeline'!$A$4:$A$503,_calc!$E$538)))=0,"","Customer: "&amp;IF(LEN(INDEX('Dealer pipeline'!$A$4:$A$503,_calc!$E$538))=0,"",INDEX('Dealer pipeline'!$A$4:$A$503,_calc!$E$538))&amp;". ")&amp;IF(LEN(IF(LEN(INDEX('Dealer pipeline'!$B$4:$B$503,_calc!$E$538))=0,"",INDEX('Dealer pipeline'!$B$4:$B$503,_calc!$E$538)))=0,"","Contact: "&amp;IF(LEN(INDEX('Dealer pipeline'!$B$4:$B$503,_calc!$E$538))=0,"",INDEX('Dealer pipeline'!$B$4:$B$503,_calc!$E$538))&amp;". ")&amp;IF(LEN(IF(LEN(INDEX('Dealer pipeline'!$D$4:$D$503,_calc!$E$538))=0,"",INDEX('Dealer pipeline'!$D$4:$D$503,_calc!$E$538)))=0,"","Serial: "&amp;IF(LEN(INDEX('Dealer pipeline'!$D$4:$D$503,_calc!$E$538))=0,"",INDEX('Dealer pipeline'!$D$4:$D$503,_calc!$E$538))&amp;". ")&amp;IF(LEN(IF(ISNUMBER(INDEX('Dealer pipeline'!$J$4:$J$503,_calc!$E$538)),TEXT(INDEX('Dealer pipeline'!$J$4:$J$503,_calc!$E$538),"yyyy-mm-dd"),""))=0,"","Parts end: "&amp;IF(ISNUMBER(INDEX('Dealer pipeline'!$J$4:$J$503,_calc!$E$538)),TEXT(INDEX('Dealer pipeline'!$J$4:$J$503,_calc!$E$538),"yyyy-mm-dd"),"")&amp;". ")&amp;IF(LEN(IF(ISNUMBER(INDEX('Dealer pipeline'!$L$4:$L$503,_calc!$E$538)),TEXT(INDEX('Dealer pipeline'!$L$4:$L$503,_calc!$E$538),"yyyy-mm-dd"),""))=0,"","Labor end: "&amp;IF(ISNUMBER(INDEX('Dealer pipeline'!$L$4:$L$503,_calc!$E$538)),TEXT(INDEX('Dealer pipeline'!$L$4:$L$503,_calc!$E$538),"yyyy-mm-dd"),"")&amp;". ")&amp;IF(LEN(IF(LEN(INDEX('Dealer pipeline'!$Q$4:$Q$503,_calc!$E$538))=0,"",INDEX('Dealer pipeline'!$Q$4:$Q$503,_calc!$E$538)))=0,"","Status: "&amp;IF(LEN(INDEX('Dealer pipeline'!$Q$4:$Q$503,_calc!$E$538))=0,"",INDEX('Dealer pipeline'!$Q$4:$Q$503,_calc!$E$538))&amp;". ")&amp;IF(LEN(IF(LEN(INDEX('Dealer pipeline'!$P$4:$P$503,_calc!$E$538))=0,"",INDEX('Dealer pipeline'!$P$4:$P$503,_calc!$E$538)))=0,"","Last touch: "&amp;IF(LEN(INDEX('Dealer pipeline'!$P$4:$P$503,_calc!$E$538))=0,"",INDEX('Dealer pipeline'!$P$4:$P$503,_calc!$E$538))&amp;". ")&amp;IF(LEN(IF(LEN(INDEX('Dealer pipeline'!$R$4:$R$503,_calc!$E$538))=0,"",INDEX('Dealer pipeline'!$R$4:$R$503,_calc!$E$538)))=0,"","Owner: "&amp;IF(LEN(INDEX('Dealer pipeline'!$R$4:$R$503,_calc!$E$538))=0,"",INDEX('Dealer pipeline'!$R$4:$R$503,_calc!$E$538))&amp;". ")&amp;IF(LEN(IF(LEN(INDEX('Dealer pipeline'!$S$4:$S$503,_calc!$E$538))=0,"",INDEX('Dealer pipeline'!$S$4:$S$503,_calc!$E$538)))=0,"","Backup: "&amp;IF(LEN(INDEX('Dealer pipeline'!$S$4:$S$503,_calc!$E$538))=0,"",INDEX('Dealer pipeline'!$S$4:$S$503,_calc!$E$538))&amp;". ")&amp;IF(LEN(IF(LEN(INDEX('Dealer pipeline'!$T$4:$T$503,_calc!$E$538))=0,"",INDEX('Dealer pipeline'!$T$4:$T$503,_calc!$E$538)))=0,"",IF(LEN(INDEX('Dealer pipeline'!$T$4:$T$503,_calc!$E$538))=0,"",INDEX('Dealer pipeline'!$T$4:$T$503,_calc!$E$538)))),TRIM(IF(LEN(IF(LEN(INDEX('My equipment'!$C$4:$C$503,(_calc!$E$538-500)))=0,"",INDEX('My equipment'!$C$4:$C$503,(_calc!$E$538-500))))=0,"","Model: "&amp;IF(LEN(INDEX('My equipment'!$C$4:$C$503,(_calc!$E$538-500)))=0,"",INDEX('My equipment'!$C$4:$C$503,(_calc!$E$538-500)))&amp;". ")&amp;IF(LEN(IF(LEN(INDEX('My equipment'!$D$4:$D$503,(_calc!$E$538-500)))=0,"",INDEX('My equipment'!$D$4:$D$503,(_calc!$E$538-500))))=0,"","Serial: "&amp;IF(LEN(INDEX('My equipment'!$D$4:$D$503,(_calc!$E$538-500)))=0,"",INDEX('My equipment'!$D$4:$D$503,(_calc!$E$538-500)))&amp;". ")&amp;IF(LEN(IF(ISNUMBER(INDEX('My equipment'!$J$4:$J$503,(_calc!$E$538-500))),TEXT(INDEX('My equipment'!$J$4:$J$503,(_calc!$E$538-500)),"yyyy-mm-dd"),""))=0,"","Parts end: "&amp;IF(ISNUMBER(INDEX('My equipment'!$J$4:$J$503,(_calc!$E$538-500))),TEXT(INDEX('My equipment'!$J$4:$J$503,(_calc!$E$538-500)),"yyyy-mm-dd"),"")&amp;". ")&amp;IF(LEN(IF(ISNUMBER(INDEX('My equipment'!$L$4:$L$503,(_calc!$E$538-500))),TEXT(INDEX('My equipment'!$L$4:$L$503,(_calc!$E$538-500)),"yyyy-mm-dd"),""))=0,"","Labor end: "&amp;IF(ISNUMBER(INDEX('My equipment'!$L$4:$L$503,(_calc!$E$538-500))),TEXT(INDEX('My equipment'!$L$4:$L$503,(_calc!$E$538-500)),"yyyy-mm-dd"),"")&amp;". ")&amp;IF(LEN(IF(ISNUMBER(INDEX('My equipment'!$P$4:$P$503,(_calc!$E$538-500))),TEXT(INDEX('My equipment'!$P$4:$P$503,(_calc!$E$538-500)),"yyyy-mm-dd"),""))=0,"","Check by: "&amp;IF(ISNUMBER(INDEX('My equipment'!$P$4:$P$503,(_calc!$E$538-500))),TEXT(INDEX('My equipment'!$P$4:$P$503,(_calc!$E$538-500)),"yyyy-mm-dd"),"")&amp;". ")&amp;IF(LEN(IF(LEN(INDEX('My equipment'!$Q$4:$Q$503,(_calc!$E$538-500)))=0,"",INDEX('My equipment'!$Q$4:$Q$503,(_calc!$E$538-500))))=0,"","Claim status: "&amp;IF(LEN(INDEX('My equipment'!$Q$4:$Q$503,(_calc!$E$538-500)))=0,"",INDEX('My equipment'!$Q$4:$Q$503,(_calc!$E$538-500)))&amp;". ")&amp;IF(LEN(IF(LEN(INDEX('My equipment'!$R$4:$R$503,(_calc!$E$538-500)))=0,"",INDEX('My equipment'!$R$4:$R$503,(_calc!$E$538-500))))=0,"","Claims contact: "&amp;IF(LEN(INDEX('My equipment'!$R$4:$R$503,(_calc!$E$538-500)))=0,"",INDEX('My equipment'!$R$4:$R$503,(_calc!$E$538-500)))&amp;". ")&amp;IF(LEN(IF(LEN(INDEX('My equipment'!$S$4:$S$503,(_calc!$E$538-500)))=0,"",INDEX('My equipment'!$S$4:$S$503,(_calc!$E$538-500))))=0,"","Claims email: "&amp;IF(LEN(INDEX('My equipment'!$S$4:$S$503,(_calc!$E$538-500)))=0,"",INDEX('My equipment'!$S$4:$S$503,(_calc!$E$538-500)))&amp;". ")&amp;IF(LEN(IF(LEN(INDEX('My equipment'!$U$4:$U$503,(_calc!$E$538-500)))=0,"",INDEX('My equipment'!$U$4:$U$503,(_calc!$E$538-500))))=0,"","Registered: "&amp;IF(LEN(INDEX('My equipment'!$U$4:$U$503,(_calc!$E$538-500)))=0,"",INDEX('My equipment'!$U$4:$U$503,(_calc!$E$538-500)))&amp;". ")&amp;IF(LEN(IF(LEN(INDEX('My equipment'!$V$4:$V$503,(_calc!$E$538-500)))=0,"",INDEX('My equipment'!$V$4:$V$503,(_calc!$E$538-500))))=0,"","Proof on file: "&amp;IF(LEN(INDEX('My equipment'!$V$4:$V$503,(_calc!$E$538-500)))=0,"",INDEX('My equipment'!$V$4:$V$503,(_calc!$E$538-500)))&amp;". ")&amp;IF(LEN(IF(LEN(INDEX('My equipment'!$W$4:$W$503,(_calc!$E$538-500)))=0,"",INDEX('My equipment'!$W$4:$W$503,(_calc!$E$538-500))))=0,"","Claim ref: "&amp;IF(LEN(INDEX('My equipment'!$W$4:$W$503,(_calc!$E$538-500)))=0,"",INDEX('My equipment'!$W$4:$W$503,(_calc!$E$538-500)))&amp;". ")&amp;IF(LEN(IF(LEN(INDEX('My equipment'!$Y$4:$Y$503,(_calc!$E$538-500)))=0,"",INDEX('My equipment'!$Y$4:$Y$503,(_calc!$E$538-500))))=0,"",IF(LEN(INDEX('My equipment'!$Y$4:$Y$503,(_calc!$E$538-500)))=0,"",INDEX('My equipment'!$Y$4:$Y$503,(_calc!$E$538-500)))))))</f>
        <v/>
      </c>
      <c r="G536" s="54">
        <f>IF(_calc!$E$538="","",IF(_calc!$E$538&lt;=500,"",IF(LEN(INDEX('My equipment'!$X$4:$X$503,(_calc!$E$538-500)))=0,"",INDEX('My equipment'!$X$4:$X$503,(_calc!$E$538-500)))))</f>
        <v/>
      </c>
      <c r="K536" s="54">
        <f>IF(_calc!$E$538="","",IF(_calc!$E$538&lt;=500,"",IF(LEN(INDEX('My equipment'!$T$4:$T$503,(_calc!$E$538-500)))=0,"",INDEX('My equipment'!$T$4:$T$503,(_calc!$E$538-500)))))</f>
        <v/>
      </c>
    </row>
    <row r="537">
      <c r="A537" s="54">
        <f>IF(_calc!$E$539="","",IF(_calc!$E$539&lt;=500,"Warranty – "&amp;IF(LEN(INDEX('Dealer pipeline'!$C$4:$C$503,_calc!$E$539))=0,"",INDEX('Dealer pipeline'!$C$4:$C$503,_calc!$E$539))&amp;" – "&amp;IF(LEN(INDEX('Dealer pipeline'!$D$4:$D$503,_calc!$E$539))=0,"",INDEX('Dealer pipeline'!$D$4:$D$503,_calc!$E$539))&amp;" – "&amp;IF(LEN(INDEX('Dealer pipeline'!$A$4:$A$503,_calc!$E$539))=0,"",INDEX('Dealer pipeline'!$A$4:$A$503,_calc!$E$539)),"Warranty – "&amp;IF(LEN(INDEX('My equipment'!$A$4:$A$503,(_calc!$E$539-500)))=0,"",INDEX('My equipment'!$A$4:$A$503,(_calc!$E$539-500)))&amp;" – "&amp;IF(LEN(INDEX('My equipment'!$D$4:$D$503,(_calc!$E$539-500)))=0,"",INDEX('My equipment'!$D$4:$D$503,(_calc!$E$539-500)))))</f>
        <v/>
      </c>
      <c r="B537" s="54">
        <f>IF(_calc!$E$539="","",IF(_calc!$E$539&lt;=500,IF(ISNUMBER(INDEX('Dealer pipeline'!$M$4:$M$503,_calc!$E$539)),TEXT(INDEX('Dealer pipeline'!$M$4:$M$503,_calc!$E$539),"yyyy-mm-dd"),""),IF(ISNUMBER(INDEX('My equipment'!$M$4:$M$503,(_calc!$E$539-500))),TEXT(INDEX('My equipment'!$M$4:$M$503,(_calc!$E$539-500)),"yyyy-mm-dd"),"")))</f>
        <v/>
      </c>
      <c r="C537" s="54">
        <f>IF(_calc!$E$539="","",IF(_calc!$E$539&lt;=500,"Warranty","Warranty"))</f>
        <v/>
      </c>
      <c r="D537" s="54">
        <f>IF(_calc!$E$539="","",IF(_calc!$E$539&lt;=500,IF(ISNUMBER(INDEX('Dealer pipeline'!$H$4:$H$503,_calc!$E$539)),TEXT(INDEX('Dealer pipeline'!$H$4:$H$503,_calc!$E$539),"yyyy-mm-dd"),""),IF(ISNUMBER(INDEX('My equipment'!$H$4:$H$503,(_calc!$E$539-500))),TEXT(INDEX('My equipment'!$H$4:$H$503,(_calc!$E$539-500)),"yyyy-mm-dd"),"")))</f>
        <v/>
      </c>
      <c r="F537" s="54">
        <f>IF(_calc!$E$539="","",IF(_calc!$E$539&lt;=500,TRIM(IF(LEN(IF(LEN(INDEX('Dealer pipeline'!$A$4:$A$503,_calc!$E$539))=0,"",INDEX('Dealer pipeline'!$A$4:$A$503,_calc!$E$539)))=0,"","Customer: "&amp;IF(LEN(INDEX('Dealer pipeline'!$A$4:$A$503,_calc!$E$539))=0,"",INDEX('Dealer pipeline'!$A$4:$A$503,_calc!$E$539))&amp;". ")&amp;IF(LEN(IF(LEN(INDEX('Dealer pipeline'!$B$4:$B$503,_calc!$E$539))=0,"",INDEX('Dealer pipeline'!$B$4:$B$503,_calc!$E$539)))=0,"","Contact: "&amp;IF(LEN(INDEX('Dealer pipeline'!$B$4:$B$503,_calc!$E$539))=0,"",INDEX('Dealer pipeline'!$B$4:$B$503,_calc!$E$539))&amp;". ")&amp;IF(LEN(IF(LEN(INDEX('Dealer pipeline'!$D$4:$D$503,_calc!$E$539))=0,"",INDEX('Dealer pipeline'!$D$4:$D$503,_calc!$E$539)))=0,"","Serial: "&amp;IF(LEN(INDEX('Dealer pipeline'!$D$4:$D$503,_calc!$E$539))=0,"",INDEX('Dealer pipeline'!$D$4:$D$503,_calc!$E$539))&amp;". ")&amp;IF(LEN(IF(ISNUMBER(INDEX('Dealer pipeline'!$J$4:$J$503,_calc!$E$539)),TEXT(INDEX('Dealer pipeline'!$J$4:$J$503,_calc!$E$539),"yyyy-mm-dd"),""))=0,"","Parts end: "&amp;IF(ISNUMBER(INDEX('Dealer pipeline'!$J$4:$J$503,_calc!$E$539)),TEXT(INDEX('Dealer pipeline'!$J$4:$J$503,_calc!$E$539),"yyyy-mm-dd"),"")&amp;". ")&amp;IF(LEN(IF(ISNUMBER(INDEX('Dealer pipeline'!$L$4:$L$503,_calc!$E$539)),TEXT(INDEX('Dealer pipeline'!$L$4:$L$503,_calc!$E$539),"yyyy-mm-dd"),""))=0,"","Labor end: "&amp;IF(ISNUMBER(INDEX('Dealer pipeline'!$L$4:$L$503,_calc!$E$539)),TEXT(INDEX('Dealer pipeline'!$L$4:$L$503,_calc!$E$539),"yyyy-mm-dd"),"")&amp;". ")&amp;IF(LEN(IF(LEN(INDEX('Dealer pipeline'!$Q$4:$Q$503,_calc!$E$539))=0,"",INDEX('Dealer pipeline'!$Q$4:$Q$503,_calc!$E$539)))=0,"","Status: "&amp;IF(LEN(INDEX('Dealer pipeline'!$Q$4:$Q$503,_calc!$E$539))=0,"",INDEX('Dealer pipeline'!$Q$4:$Q$503,_calc!$E$539))&amp;". ")&amp;IF(LEN(IF(LEN(INDEX('Dealer pipeline'!$P$4:$P$503,_calc!$E$539))=0,"",INDEX('Dealer pipeline'!$P$4:$P$503,_calc!$E$539)))=0,"","Last touch: "&amp;IF(LEN(INDEX('Dealer pipeline'!$P$4:$P$503,_calc!$E$539))=0,"",INDEX('Dealer pipeline'!$P$4:$P$503,_calc!$E$539))&amp;". ")&amp;IF(LEN(IF(LEN(INDEX('Dealer pipeline'!$R$4:$R$503,_calc!$E$539))=0,"",INDEX('Dealer pipeline'!$R$4:$R$503,_calc!$E$539)))=0,"","Owner: "&amp;IF(LEN(INDEX('Dealer pipeline'!$R$4:$R$503,_calc!$E$539))=0,"",INDEX('Dealer pipeline'!$R$4:$R$503,_calc!$E$539))&amp;". ")&amp;IF(LEN(IF(LEN(INDEX('Dealer pipeline'!$S$4:$S$503,_calc!$E$539))=0,"",INDEX('Dealer pipeline'!$S$4:$S$503,_calc!$E$539)))=0,"","Backup: "&amp;IF(LEN(INDEX('Dealer pipeline'!$S$4:$S$503,_calc!$E$539))=0,"",INDEX('Dealer pipeline'!$S$4:$S$503,_calc!$E$539))&amp;". ")&amp;IF(LEN(IF(LEN(INDEX('Dealer pipeline'!$T$4:$T$503,_calc!$E$539))=0,"",INDEX('Dealer pipeline'!$T$4:$T$503,_calc!$E$539)))=0,"",IF(LEN(INDEX('Dealer pipeline'!$T$4:$T$503,_calc!$E$539))=0,"",INDEX('Dealer pipeline'!$T$4:$T$503,_calc!$E$539)))),TRIM(IF(LEN(IF(LEN(INDEX('My equipment'!$C$4:$C$503,(_calc!$E$539-500)))=0,"",INDEX('My equipment'!$C$4:$C$503,(_calc!$E$539-500))))=0,"","Model: "&amp;IF(LEN(INDEX('My equipment'!$C$4:$C$503,(_calc!$E$539-500)))=0,"",INDEX('My equipment'!$C$4:$C$503,(_calc!$E$539-500)))&amp;". ")&amp;IF(LEN(IF(LEN(INDEX('My equipment'!$D$4:$D$503,(_calc!$E$539-500)))=0,"",INDEX('My equipment'!$D$4:$D$503,(_calc!$E$539-500))))=0,"","Serial: "&amp;IF(LEN(INDEX('My equipment'!$D$4:$D$503,(_calc!$E$539-500)))=0,"",INDEX('My equipment'!$D$4:$D$503,(_calc!$E$539-500)))&amp;". ")&amp;IF(LEN(IF(ISNUMBER(INDEX('My equipment'!$J$4:$J$503,(_calc!$E$539-500))),TEXT(INDEX('My equipment'!$J$4:$J$503,(_calc!$E$539-500)),"yyyy-mm-dd"),""))=0,"","Parts end: "&amp;IF(ISNUMBER(INDEX('My equipment'!$J$4:$J$503,(_calc!$E$539-500))),TEXT(INDEX('My equipment'!$J$4:$J$503,(_calc!$E$539-500)),"yyyy-mm-dd"),"")&amp;". ")&amp;IF(LEN(IF(ISNUMBER(INDEX('My equipment'!$L$4:$L$503,(_calc!$E$539-500))),TEXT(INDEX('My equipment'!$L$4:$L$503,(_calc!$E$539-500)),"yyyy-mm-dd"),""))=0,"","Labor end: "&amp;IF(ISNUMBER(INDEX('My equipment'!$L$4:$L$503,(_calc!$E$539-500))),TEXT(INDEX('My equipment'!$L$4:$L$503,(_calc!$E$539-500)),"yyyy-mm-dd"),"")&amp;". ")&amp;IF(LEN(IF(ISNUMBER(INDEX('My equipment'!$P$4:$P$503,(_calc!$E$539-500))),TEXT(INDEX('My equipment'!$P$4:$P$503,(_calc!$E$539-500)),"yyyy-mm-dd"),""))=0,"","Check by: "&amp;IF(ISNUMBER(INDEX('My equipment'!$P$4:$P$503,(_calc!$E$539-500))),TEXT(INDEX('My equipment'!$P$4:$P$503,(_calc!$E$539-500)),"yyyy-mm-dd"),"")&amp;". ")&amp;IF(LEN(IF(LEN(INDEX('My equipment'!$Q$4:$Q$503,(_calc!$E$539-500)))=0,"",INDEX('My equipment'!$Q$4:$Q$503,(_calc!$E$539-500))))=0,"","Claim status: "&amp;IF(LEN(INDEX('My equipment'!$Q$4:$Q$503,(_calc!$E$539-500)))=0,"",INDEX('My equipment'!$Q$4:$Q$503,(_calc!$E$539-500)))&amp;". ")&amp;IF(LEN(IF(LEN(INDEX('My equipment'!$R$4:$R$503,(_calc!$E$539-500)))=0,"",INDEX('My equipment'!$R$4:$R$503,(_calc!$E$539-500))))=0,"","Claims contact: "&amp;IF(LEN(INDEX('My equipment'!$R$4:$R$503,(_calc!$E$539-500)))=0,"",INDEX('My equipment'!$R$4:$R$503,(_calc!$E$539-500)))&amp;". ")&amp;IF(LEN(IF(LEN(INDEX('My equipment'!$S$4:$S$503,(_calc!$E$539-500)))=0,"",INDEX('My equipment'!$S$4:$S$503,(_calc!$E$539-500))))=0,"","Claims email: "&amp;IF(LEN(INDEX('My equipment'!$S$4:$S$503,(_calc!$E$539-500)))=0,"",INDEX('My equipment'!$S$4:$S$503,(_calc!$E$539-500)))&amp;". ")&amp;IF(LEN(IF(LEN(INDEX('My equipment'!$U$4:$U$503,(_calc!$E$539-500)))=0,"",INDEX('My equipment'!$U$4:$U$503,(_calc!$E$539-500))))=0,"","Registered: "&amp;IF(LEN(INDEX('My equipment'!$U$4:$U$503,(_calc!$E$539-500)))=0,"",INDEX('My equipment'!$U$4:$U$503,(_calc!$E$539-500)))&amp;". ")&amp;IF(LEN(IF(LEN(INDEX('My equipment'!$V$4:$V$503,(_calc!$E$539-500)))=0,"",INDEX('My equipment'!$V$4:$V$503,(_calc!$E$539-500))))=0,"","Proof on file: "&amp;IF(LEN(INDEX('My equipment'!$V$4:$V$503,(_calc!$E$539-500)))=0,"",INDEX('My equipment'!$V$4:$V$503,(_calc!$E$539-500)))&amp;". ")&amp;IF(LEN(IF(LEN(INDEX('My equipment'!$W$4:$W$503,(_calc!$E$539-500)))=0,"",INDEX('My equipment'!$W$4:$W$503,(_calc!$E$539-500))))=0,"","Claim ref: "&amp;IF(LEN(INDEX('My equipment'!$W$4:$W$503,(_calc!$E$539-500)))=0,"",INDEX('My equipment'!$W$4:$W$503,(_calc!$E$539-500)))&amp;". ")&amp;IF(LEN(IF(LEN(INDEX('My equipment'!$Y$4:$Y$503,(_calc!$E$539-500)))=0,"",INDEX('My equipment'!$Y$4:$Y$503,(_calc!$E$539-500))))=0,"",IF(LEN(INDEX('My equipment'!$Y$4:$Y$503,(_calc!$E$539-500)))=0,"",INDEX('My equipment'!$Y$4:$Y$503,(_calc!$E$539-500)))))))</f>
        <v/>
      </c>
      <c r="G537" s="54">
        <f>IF(_calc!$E$539="","",IF(_calc!$E$539&lt;=500,"",IF(LEN(INDEX('My equipment'!$X$4:$X$503,(_calc!$E$539-500)))=0,"",INDEX('My equipment'!$X$4:$X$503,(_calc!$E$539-500)))))</f>
        <v/>
      </c>
      <c r="K537" s="54">
        <f>IF(_calc!$E$539="","",IF(_calc!$E$539&lt;=500,"",IF(LEN(INDEX('My equipment'!$T$4:$T$503,(_calc!$E$539-500)))=0,"",INDEX('My equipment'!$T$4:$T$503,(_calc!$E$539-500)))))</f>
        <v/>
      </c>
    </row>
    <row r="538">
      <c r="A538" s="54">
        <f>IF(_calc!$E$540="","",IF(_calc!$E$540&lt;=500,"Warranty – "&amp;IF(LEN(INDEX('Dealer pipeline'!$C$4:$C$503,_calc!$E$540))=0,"",INDEX('Dealer pipeline'!$C$4:$C$503,_calc!$E$540))&amp;" – "&amp;IF(LEN(INDEX('Dealer pipeline'!$D$4:$D$503,_calc!$E$540))=0,"",INDEX('Dealer pipeline'!$D$4:$D$503,_calc!$E$540))&amp;" – "&amp;IF(LEN(INDEX('Dealer pipeline'!$A$4:$A$503,_calc!$E$540))=0,"",INDEX('Dealer pipeline'!$A$4:$A$503,_calc!$E$540)),"Warranty – "&amp;IF(LEN(INDEX('My equipment'!$A$4:$A$503,(_calc!$E$540-500)))=0,"",INDEX('My equipment'!$A$4:$A$503,(_calc!$E$540-500)))&amp;" – "&amp;IF(LEN(INDEX('My equipment'!$D$4:$D$503,(_calc!$E$540-500)))=0,"",INDEX('My equipment'!$D$4:$D$503,(_calc!$E$540-500)))))</f>
        <v/>
      </c>
      <c r="B538" s="54">
        <f>IF(_calc!$E$540="","",IF(_calc!$E$540&lt;=500,IF(ISNUMBER(INDEX('Dealer pipeline'!$M$4:$M$503,_calc!$E$540)),TEXT(INDEX('Dealer pipeline'!$M$4:$M$503,_calc!$E$540),"yyyy-mm-dd"),""),IF(ISNUMBER(INDEX('My equipment'!$M$4:$M$503,(_calc!$E$540-500))),TEXT(INDEX('My equipment'!$M$4:$M$503,(_calc!$E$540-500)),"yyyy-mm-dd"),"")))</f>
        <v/>
      </c>
      <c r="C538" s="54">
        <f>IF(_calc!$E$540="","",IF(_calc!$E$540&lt;=500,"Warranty","Warranty"))</f>
        <v/>
      </c>
      <c r="D538" s="54">
        <f>IF(_calc!$E$540="","",IF(_calc!$E$540&lt;=500,IF(ISNUMBER(INDEX('Dealer pipeline'!$H$4:$H$503,_calc!$E$540)),TEXT(INDEX('Dealer pipeline'!$H$4:$H$503,_calc!$E$540),"yyyy-mm-dd"),""),IF(ISNUMBER(INDEX('My equipment'!$H$4:$H$503,(_calc!$E$540-500))),TEXT(INDEX('My equipment'!$H$4:$H$503,(_calc!$E$540-500)),"yyyy-mm-dd"),"")))</f>
        <v/>
      </c>
      <c r="F538" s="54">
        <f>IF(_calc!$E$540="","",IF(_calc!$E$540&lt;=500,TRIM(IF(LEN(IF(LEN(INDEX('Dealer pipeline'!$A$4:$A$503,_calc!$E$540))=0,"",INDEX('Dealer pipeline'!$A$4:$A$503,_calc!$E$540)))=0,"","Customer: "&amp;IF(LEN(INDEX('Dealer pipeline'!$A$4:$A$503,_calc!$E$540))=0,"",INDEX('Dealer pipeline'!$A$4:$A$503,_calc!$E$540))&amp;". ")&amp;IF(LEN(IF(LEN(INDEX('Dealer pipeline'!$B$4:$B$503,_calc!$E$540))=0,"",INDEX('Dealer pipeline'!$B$4:$B$503,_calc!$E$540)))=0,"","Contact: "&amp;IF(LEN(INDEX('Dealer pipeline'!$B$4:$B$503,_calc!$E$540))=0,"",INDEX('Dealer pipeline'!$B$4:$B$503,_calc!$E$540))&amp;". ")&amp;IF(LEN(IF(LEN(INDEX('Dealer pipeline'!$D$4:$D$503,_calc!$E$540))=0,"",INDEX('Dealer pipeline'!$D$4:$D$503,_calc!$E$540)))=0,"","Serial: "&amp;IF(LEN(INDEX('Dealer pipeline'!$D$4:$D$503,_calc!$E$540))=0,"",INDEX('Dealer pipeline'!$D$4:$D$503,_calc!$E$540))&amp;". ")&amp;IF(LEN(IF(ISNUMBER(INDEX('Dealer pipeline'!$J$4:$J$503,_calc!$E$540)),TEXT(INDEX('Dealer pipeline'!$J$4:$J$503,_calc!$E$540),"yyyy-mm-dd"),""))=0,"","Parts end: "&amp;IF(ISNUMBER(INDEX('Dealer pipeline'!$J$4:$J$503,_calc!$E$540)),TEXT(INDEX('Dealer pipeline'!$J$4:$J$503,_calc!$E$540),"yyyy-mm-dd"),"")&amp;". ")&amp;IF(LEN(IF(ISNUMBER(INDEX('Dealer pipeline'!$L$4:$L$503,_calc!$E$540)),TEXT(INDEX('Dealer pipeline'!$L$4:$L$503,_calc!$E$540),"yyyy-mm-dd"),""))=0,"","Labor end: "&amp;IF(ISNUMBER(INDEX('Dealer pipeline'!$L$4:$L$503,_calc!$E$540)),TEXT(INDEX('Dealer pipeline'!$L$4:$L$503,_calc!$E$540),"yyyy-mm-dd"),"")&amp;". ")&amp;IF(LEN(IF(LEN(INDEX('Dealer pipeline'!$Q$4:$Q$503,_calc!$E$540))=0,"",INDEX('Dealer pipeline'!$Q$4:$Q$503,_calc!$E$540)))=0,"","Status: "&amp;IF(LEN(INDEX('Dealer pipeline'!$Q$4:$Q$503,_calc!$E$540))=0,"",INDEX('Dealer pipeline'!$Q$4:$Q$503,_calc!$E$540))&amp;". ")&amp;IF(LEN(IF(LEN(INDEX('Dealer pipeline'!$P$4:$P$503,_calc!$E$540))=0,"",INDEX('Dealer pipeline'!$P$4:$P$503,_calc!$E$540)))=0,"","Last touch: "&amp;IF(LEN(INDEX('Dealer pipeline'!$P$4:$P$503,_calc!$E$540))=0,"",INDEX('Dealer pipeline'!$P$4:$P$503,_calc!$E$540))&amp;". ")&amp;IF(LEN(IF(LEN(INDEX('Dealer pipeline'!$R$4:$R$503,_calc!$E$540))=0,"",INDEX('Dealer pipeline'!$R$4:$R$503,_calc!$E$540)))=0,"","Owner: "&amp;IF(LEN(INDEX('Dealer pipeline'!$R$4:$R$503,_calc!$E$540))=0,"",INDEX('Dealer pipeline'!$R$4:$R$503,_calc!$E$540))&amp;". ")&amp;IF(LEN(IF(LEN(INDEX('Dealer pipeline'!$S$4:$S$503,_calc!$E$540))=0,"",INDEX('Dealer pipeline'!$S$4:$S$503,_calc!$E$540)))=0,"","Backup: "&amp;IF(LEN(INDEX('Dealer pipeline'!$S$4:$S$503,_calc!$E$540))=0,"",INDEX('Dealer pipeline'!$S$4:$S$503,_calc!$E$540))&amp;". ")&amp;IF(LEN(IF(LEN(INDEX('Dealer pipeline'!$T$4:$T$503,_calc!$E$540))=0,"",INDEX('Dealer pipeline'!$T$4:$T$503,_calc!$E$540)))=0,"",IF(LEN(INDEX('Dealer pipeline'!$T$4:$T$503,_calc!$E$540))=0,"",INDEX('Dealer pipeline'!$T$4:$T$503,_calc!$E$540)))),TRIM(IF(LEN(IF(LEN(INDEX('My equipment'!$C$4:$C$503,(_calc!$E$540-500)))=0,"",INDEX('My equipment'!$C$4:$C$503,(_calc!$E$540-500))))=0,"","Model: "&amp;IF(LEN(INDEX('My equipment'!$C$4:$C$503,(_calc!$E$540-500)))=0,"",INDEX('My equipment'!$C$4:$C$503,(_calc!$E$540-500)))&amp;". ")&amp;IF(LEN(IF(LEN(INDEX('My equipment'!$D$4:$D$503,(_calc!$E$540-500)))=0,"",INDEX('My equipment'!$D$4:$D$503,(_calc!$E$540-500))))=0,"","Serial: "&amp;IF(LEN(INDEX('My equipment'!$D$4:$D$503,(_calc!$E$540-500)))=0,"",INDEX('My equipment'!$D$4:$D$503,(_calc!$E$540-500)))&amp;". ")&amp;IF(LEN(IF(ISNUMBER(INDEX('My equipment'!$J$4:$J$503,(_calc!$E$540-500))),TEXT(INDEX('My equipment'!$J$4:$J$503,(_calc!$E$540-500)),"yyyy-mm-dd"),""))=0,"","Parts end: "&amp;IF(ISNUMBER(INDEX('My equipment'!$J$4:$J$503,(_calc!$E$540-500))),TEXT(INDEX('My equipment'!$J$4:$J$503,(_calc!$E$540-500)),"yyyy-mm-dd"),"")&amp;". ")&amp;IF(LEN(IF(ISNUMBER(INDEX('My equipment'!$L$4:$L$503,(_calc!$E$540-500))),TEXT(INDEX('My equipment'!$L$4:$L$503,(_calc!$E$540-500)),"yyyy-mm-dd"),""))=0,"","Labor end: "&amp;IF(ISNUMBER(INDEX('My equipment'!$L$4:$L$503,(_calc!$E$540-500))),TEXT(INDEX('My equipment'!$L$4:$L$503,(_calc!$E$540-500)),"yyyy-mm-dd"),"")&amp;". ")&amp;IF(LEN(IF(ISNUMBER(INDEX('My equipment'!$P$4:$P$503,(_calc!$E$540-500))),TEXT(INDEX('My equipment'!$P$4:$P$503,(_calc!$E$540-500)),"yyyy-mm-dd"),""))=0,"","Check by: "&amp;IF(ISNUMBER(INDEX('My equipment'!$P$4:$P$503,(_calc!$E$540-500))),TEXT(INDEX('My equipment'!$P$4:$P$503,(_calc!$E$540-500)),"yyyy-mm-dd"),"")&amp;". ")&amp;IF(LEN(IF(LEN(INDEX('My equipment'!$Q$4:$Q$503,(_calc!$E$540-500)))=0,"",INDEX('My equipment'!$Q$4:$Q$503,(_calc!$E$540-500))))=0,"","Claim status: "&amp;IF(LEN(INDEX('My equipment'!$Q$4:$Q$503,(_calc!$E$540-500)))=0,"",INDEX('My equipment'!$Q$4:$Q$503,(_calc!$E$540-500)))&amp;". ")&amp;IF(LEN(IF(LEN(INDEX('My equipment'!$R$4:$R$503,(_calc!$E$540-500)))=0,"",INDEX('My equipment'!$R$4:$R$503,(_calc!$E$540-500))))=0,"","Claims contact: "&amp;IF(LEN(INDEX('My equipment'!$R$4:$R$503,(_calc!$E$540-500)))=0,"",INDEX('My equipment'!$R$4:$R$503,(_calc!$E$540-500)))&amp;". ")&amp;IF(LEN(IF(LEN(INDEX('My equipment'!$S$4:$S$503,(_calc!$E$540-500)))=0,"",INDEX('My equipment'!$S$4:$S$503,(_calc!$E$540-500))))=0,"","Claims email: "&amp;IF(LEN(INDEX('My equipment'!$S$4:$S$503,(_calc!$E$540-500)))=0,"",INDEX('My equipment'!$S$4:$S$503,(_calc!$E$540-500)))&amp;". ")&amp;IF(LEN(IF(LEN(INDEX('My equipment'!$U$4:$U$503,(_calc!$E$540-500)))=0,"",INDEX('My equipment'!$U$4:$U$503,(_calc!$E$540-500))))=0,"","Registered: "&amp;IF(LEN(INDEX('My equipment'!$U$4:$U$503,(_calc!$E$540-500)))=0,"",INDEX('My equipment'!$U$4:$U$503,(_calc!$E$540-500)))&amp;". ")&amp;IF(LEN(IF(LEN(INDEX('My equipment'!$V$4:$V$503,(_calc!$E$540-500)))=0,"",INDEX('My equipment'!$V$4:$V$503,(_calc!$E$540-500))))=0,"","Proof on file: "&amp;IF(LEN(INDEX('My equipment'!$V$4:$V$503,(_calc!$E$540-500)))=0,"",INDEX('My equipment'!$V$4:$V$503,(_calc!$E$540-500)))&amp;". ")&amp;IF(LEN(IF(LEN(INDEX('My equipment'!$W$4:$W$503,(_calc!$E$540-500)))=0,"",INDEX('My equipment'!$W$4:$W$503,(_calc!$E$540-500))))=0,"","Claim ref: "&amp;IF(LEN(INDEX('My equipment'!$W$4:$W$503,(_calc!$E$540-500)))=0,"",INDEX('My equipment'!$W$4:$W$503,(_calc!$E$540-500)))&amp;". ")&amp;IF(LEN(IF(LEN(INDEX('My equipment'!$Y$4:$Y$503,(_calc!$E$540-500)))=0,"",INDEX('My equipment'!$Y$4:$Y$503,(_calc!$E$540-500))))=0,"",IF(LEN(INDEX('My equipment'!$Y$4:$Y$503,(_calc!$E$540-500)))=0,"",INDEX('My equipment'!$Y$4:$Y$503,(_calc!$E$540-500)))))))</f>
        <v/>
      </c>
      <c r="G538" s="54">
        <f>IF(_calc!$E$540="","",IF(_calc!$E$540&lt;=500,"",IF(LEN(INDEX('My equipment'!$X$4:$X$503,(_calc!$E$540-500)))=0,"",INDEX('My equipment'!$X$4:$X$503,(_calc!$E$540-500)))))</f>
        <v/>
      </c>
      <c r="K538" s="54">
        <f>IF(_calc!$E$540="","",IF(_calc!$E$540&lt;=500,"",IF(LEN(INDEX('My equipment'!$T$4:$T$503,(_calc!$E$540-500)))=0,"",INDEX('My equipment'!$T$4:$T$503,(_calc!$E$540-500)))))</f>
        <v/>
      </c>
    </row>
    <row r="539">
      <c r="A539" s="54">
        <f>IF(_calc!$E$541="","",IF(_calc!$E$541&lt;=500,"Warranty – "&amp;IF(LEN(INDEX('Dealer pipeline'!$C$4:$C$503,_calc!$E$541))=0,"",INDEX('Dealer pipeline'!$C$4:$C$503,_calc!$E$541))&amp;" – "&amp;IF(LEN(INDEX('Dealer pipeline'!$D$4:$D$503,_calc!$E$541))=0,"",INDEX('Dealer pipeline'!$D$4:$D$503,_calc!$E$541))&amp;" – "&amp;IF(LEN(INDEX('Dealer pipeline'!$A$4:$A$503,_calc!$E$541))=0,"",INDEX('Dealer pipeline'!$A$4:$A$503,_calc!$E$541)),"Warranty – "&amp;IF(LEN(INDEX('My equipment'!$A$4:$A$503,(_calc!$E$541-500)))=0,"",INDEX('My equipment'!$A$4:$A$503,(_calc!$E$541-500)))&amp;" – "&amp;IF(LEN(INDEX('My equipment'!$D$4:$D$503,(_calc!$E$541-500)))=0,"",INDEX('My equipment'!$D$4:$D$503,(_calc!$E$541-500)))))</f>
        <v/>
      </c>
      <c r="B539" s="54">
        <f>IF(_calc!$E$541="","",IF(_calc!$E$541&lt;=500,IF(ISNUMBER(INDEX('Dealer pipeline'!$M$4:$M$503,_calc!$E$541)),TEXT(INDEX('Dealer pipeline'!$M$4:$M$503,_calc!$E$541),"yyyy-mm-dd"),""),IF(ISNUMBER(INDEX('My equipment'!$M$4:$M$503,(_calc!$E$541-500))),TEXT(INDEX('My equipment'!$M$4:$M$503,(_calc!$E$541-500)),"yyyy-mm-dd"),"")))</f>
        <v/>
      </c>
      <c r="C539" s="54">
        <f>IF(_calc!$E$541="","",IF(_calc!$E$541&lt;=500,"Warranty","Warranty"))</f>
        <v/>
      </c>
      <c r="D539" s="54">
        <f>IF(_calc!$E$541="","",IF(_calc!$E$541&lt;=500,IF(ISNUMBER(INDEX('Dealer pipeline'!$H$4:$H$503,_calc!$E$541)),TEXT(INDEX('Dealer pipeline'!$H$4:$H$503,_calc!$E$541),"yyyy-mm-dd"),""),IF(ISNUMBER(INDEX('My equipment'!$H$4:$H$503,(_calc!$E$541-500))),TEXT(INDEX('My equipment'!$H$4:$H$503,(_calc!$E$541-500)),"yyyy-mm-dd"),"")))</f>
        <v/>
      </c>
      <c r="F539" s="54">
        <f>IF(_calc!$E$541="","",IF(_calc!$E$541&lt;=500,TRIM(IF(LEN(IF(LEN(INDEX('Dealer pipeline'!$A$4:$A$503,_calc!$E$541))=0,"",INDEX('Dealer pipeline'!$A$4:$A$503,_calc!$E$541)))=0,"","Customer: "&amp;IF(LEN(INDEX('Dealer pipeline'!$A$4:$A$503,_calc!$E$541))=0,"",INDEX('Dealer pipeline'!$A$4:$A$503,_calc!$E$541))&amp;". ")&amp;IF(LEN(IF(LEN(INDEX('Dealer pipeline'!$B$4:$B$503,_calc!$E$541))=0,"",INDEX('Dealer pipeline'!$B$4:$B$503,_calc!$E$541)))=0,"","Contact: "&amp;IF(LEN(INDEX('Dealer pipeline'!$B$4:$B$503,_calc!$E$541))=0,"",INDEX('Dealer pipeline'!$B$4:$B$503,_calc!$E$541))&amp;". ")&amp;IF(LEN(IF(LEN(INDEX('Dealer pipeline'!$D$4:$D$503,_calc!$E$541))=0,"",INDEX('Dealer pipeline'!$D$4:$D$503,_calc!$E$541)))=0,"","Serial: "&amp;IF(LEN(INDEX('Dealer pipeline'!$D$4:$D$503,_calc!$E$541))=0,"",INDEX('Dealer pipeline'!$D$4:$D$503,_calc!$E$541))&amp;". ")&amp;IF(LEN(IF(ISNUMBER(INDEX('Dealer pipeline'!$J$4:$J$503,_calc!$E$541)),TEXT(INDEX('Dealer pipeline'!$J$4:$J$503,_calc!$E$541),"yyyy-mm-dd"),""))=0,"","Parts end: "&amp;IF(ISNUMBER(INDEX('Dealer pipeline'!$J$4:$J$503,_calc!$E$541)),TEXT(INDEX('Dealer pipeline'!$J$4:$J$503,_calc!$E$541),"yyyy-mm-dd"),"")&amp;". ")&amp;IF(LEN(IF(ISNUMBER(INDEX('Dealer pipeline'!$L$4:$L$503,_calc!$E$541)),TEXT(INDEX('Dealer pipeline'!$L$4:$L$503,_calc!$E$541),"yyyy-mm-dd"),""))=0,"","Labor end: "&amp;IF(ISNUMBER(INDEX('Dealer pipeline'!$L$4:$L$503,_calc!$E$541)),TEXT(INDEX('Dealer pipeline'!$L$4:$L$503,_calc!$E$541),"yyyy-mm-dd"),"")&amp;". ")&amp;IF(LEN(IF(LEN(INDEX('Dealer pipeline'!$Q$4:$Q$503,_calc!$E$541))=0,"",INDEX('Dealer pipeline'!$Q$4:$Q$503,_calc!$E$541)))=0,"","Status: "&amp;IF(LEN(INDEX('Dealer pipeline'!$Q$4:$Q$503,_calc!$E$541))=0,"",INDEX('Dealer pipeline'!$Q$4:$Q$503,_calc!$E$541))&amp;". ")&amp;IF(LEN(IF(LEN(INDEX('Dealer pipeline'!$P$4:$P$503,_calc!$E$541))=0,"",INDEX('Dealer pipeline'!$P$4:$P$503,_calc!$E$541)))=0,"","Last touch: "&amp;IF(LEN(INDEX('Dealer pipeline'!$P$4:$P$503,_calc!$E$541))=0,"",INDEX('Dealer pipeline'!$P$4:$P$503,_calc!$E$541))&amp;". ")&amp;IF(LEN(IF(LEN(INDEX('Dealer pipeline'!$R$4:$R$503,_calc!$E$541))=0,"",INDEX('Dealer pipeline'!$R$4:$R$503,_calc!$E$541)))=0,"","Owner: "&amp;IF(LEN(INDEX('Dealer pipeline'!$R$4:$R$503,_calc!$E$541))=0,"",INDEX('Dealer pipeline'!$R$4:$R$503,_calc!$E$541))&amp;". ")&amp;IF(LEN(IF(LEN(INDEX('Dealer pipeline'!$S$4:$S$503,_calc!$E$541))=0,"",INDEX('Dealer pipeline'!$S$4:$S$503,_calc!$E$541)))=0,"","Backup: "&amp;IF(LEN(INDEX('Dealer pipeline'!$S$4:$S$503,_calc!$E$541))=0,"",INDEX('Dealer pipeline'!$S$4:$S$503,_calc!$E$541))&amp;". ")&amp;IF(LEN(IF(LEN(INDEX('Dealer pipeline'!$T$4:$T$503,_calc!$E$541))=0,"",INDEX('Dealer pipeline'!$T$4:$T$503,_calc!$E$541)))=0,"",IF(LEN(INDEX('Dealer pipeline'!$T$4:$T$503,_calc!$E$541))=0,"",INDEX('Dealer pipeline'!$T$4:$T$503,_calc!$E$541)))),TRIM(IF(LEN(IF(LEN(INDEX('My equipment'!$C$4:$C$503,(_calc!$E$541-500)))=0,"",INDEX('My equipment'!$C$4:$C$503,(_calc!$E$541-500))))=0,"","Model: "&amp;IF(LEN(INDEX('My equipment'!$C$4:$C$503,(_calc!$E$541-500)))=0,"",INDEX('My equipment'!$C$4:$C$503,(_calc!$E$541-500)))&amp;". ")&amp;IF(LEN(IF(LEN(INDEX('My equipment'!$D$4:$D$503,(_calc!$E$541-500)))=0,"",INDEX('My equipment'!$D$4:$D$503,(_calc!$E$541-500))))=0,"","Serial: "&amp;IF(LEN(INDEX('My equipment'!$D$4:$D$503,(_calc!$E$541-500)))=0,"",INDEX('My equipment'!$D$4:$D$503,(_calc!$E$541-500)))&amp;". ")&amp;IF(LEN(IF(ISNUMBER(INDEX('My equipment'!$J$4:$J$503,(_calc!$E$541-500))),TEXT(INDEX('My equipment'!$J$4:$J$503,(_calc!$E$541-500)),"yyyy-mm-dd"),""))=0,"","Parts end: "&amp;IF(ISNUMBER(INDEX('My equipment'!$J$4:$J$503,(_calc!$E$541-500))),TEXT(INDEX('My equipment'!$J$4:$J$503,(_calc!$E$541-500)),"yyyy-mm-dd"),"")&amp;". ")&amp;IF(LEN(IF(ISNUMBER(INDEX('My equipment'!$L$4:$L$503,(_calc!$E$541-500))),TEXT(INDEX('My equipment'!$L$4:$L$503,(_calc!$E$541-500)),"yyyy-mm-dd"),""))=0,"","Labor end: "&amp;IF(ISNUMBER(INDEX('My equipment'!$L$4:$L$503,(_calc!$E$541-500))),TEXT(INDEX('My equipment'!$L$4:$L$503,(_calc!$E$541-500)),"yyyy-mm-dd"),"")&amp;". ")&amp;IF(LEN(IF(ISNUMBER(INDEX('My equipment'!$P$4:$P$503,(_calc!$E$541-500))),TEXT(INDEX('My equipment'!$P$4:$P$503,(_calc!$E$541-500)),"yyyy-mm-dd"),""))=0,"","Check by: "&amp;IF(ISNUMBER(INDEX('My equipment'!$P$4:$P$503,(_calc!$E$541-500))),TEXT(INDEX('My equipment'!$P$4:$P$503,(_calc!$E$541-500)),"yyyy-mm-dd"),"")&amp;". ")&amp;IF(LEN(IF(LEN(INDEX('My equipment'!$Q$4:$Q$503,(_calc!$E$541-500)))=0,"",INDEX('My equipment'!$Q$4:$Q$503,(_calc!$E$541-500))))=0,"","Claim status: "&amp;IF(LEN(INDEX('My equipment'!$Q$4:$Q$503,(_calc!$E$541-500)))=0,"",INDEX('My equipment'!$Q$4:$Q$503,(_calc!$E$541-500)))&amp;". ")&amp;IF(LEN(IF(LEN(INDEX('My equipment'!$R$4:$R$503,(_calc!$E$541-500)))=0,"",INDEX('My equipment'!$R$4:$R$503,(_calc!$E$541-500))))=0,"","Claims contact: "&amp;IF(LEN(INDEX('My equipment'!$R$4:$R$503,(_calc!$E$541-500)))=0,"",INDEX('My equipment'!$R$4:$R$503,(_calc!$E$541-500)))&amp;". ")&amp;IF(LEN(IF(LEN(INDEX('My equipment'!$S$4:$S$503,(_calc!$E$541-500)))=0,"",INDEX('My equipment'!$S$4:$S$503,(_calc!$E$541-500))))=0,"","Claims email: "&amp;IF(LEN(INDEX('My equipment'!$S$4:$S$503,(_calc!$E$541-500)))=0,"",INDEX('My equipment'!$S$4:$S$503,(_calc!$E$541-500)))&amp;". ")&amp;IF(LEN(IF(LEN(INDEX('My equipment'!$U$4:$U$503,(_calc!$E$541-500)))=0,"",INDEX('My equipment'!$U$4:$U$503,(_calc!$E$541-500))))=0,"","Registered: "&amp;IF(LEN(INDEX('My equipment'!$U$4:$U$503,(_calc!$E$541-500)))=0,"",INDEX('My equipment'!$U$4:$U$503,(_calc!$E$541-500)))&amp;". ")&amp;IF(LEN(IF(LEN(INDEX('My equipment'!$V$4:$V$503,(_calc!$E$541-500)))=0,"",INDEX('My equipment'!$V$4:$V$503,(_calc!$E$541-500))))=0,"","Proof on file: "&amp;IF(LEN(INDEX('My equipment'!$V$4:$V$503,(_calc!$E$541-500)))=0,"",INDEX('My equipment'!$V$4:$V$503,(_calc!$E$541-500)))&amp;". ")&amp;IF(LEN(IF(LEN(INDEX('My equipment'!$W$4:$W$503,(_calc!$E$541-500)))=0,"",INDEX('My equipment'!$W$4:$W$503,(_calc!$E$541-500))))=0,"","Claim ref: "&amp;IF(LEN(INDEX('My equipment'!$W$4:$W$503,(_calc!$E$541-500)))=0,"",INDEX('My equipment'!$W$4:$W$503,(_calc!$E$541-500)))&amp;". ")&amp;IF(LEN(IF(LEN(INDEX('My equipment'!$Y$4:$Y$503,(_calc!$E$541-500)))=0,"",INDEX('My equipment'!$Y$4:$Y$503,(_calc!$E$541-500))))=0,"",IF(LEN(INDEX('My equipment'!$Y$4:$Y$503,(_calc!$E$541-500)))=0,"",INDEX('My equipment'!$Y$4:$Y$503,(_calc!$E$541-500)))))))</f>
        <v/>
      </c>
      <c r="G539" s="54">
        <f>IF(_calc!$E$541="","",IF(_calc!$E$541&lt;=500,"",IF(LEN(INDEX('My equipment'!$X$4:$X$503,(_calc!$E$541-500)))=0,"",INDEX('My equipment'!$X$4:$X$503,(_calc!$E$541-500)))))</f>
        <v/>
      </c>
      <c r="K539" s="54">
        <f>IF(_calc!$E$541="","",IF(_calc!$E$541&lt;=500,"",IF(LEN(INDEX('My equipment'!$T$4:$T$503,(_calc!$E$541-500)))=0,"",INDEX('My equipment'!$T$4:$T$503,(_calc!$E$541-500)))))</f>
        <v/>
      </c>
    </row>
    <row r="540">
      <c r="A540" s="54">
        <f>IF(_calc!$E$542="","",IF(_calc!$E$542&lt;=500,"Warranty – "&amp;IF(LEN(INDEX('Dealer pipeline'!$C$4:$C$503,_calc!$E$542))=0,"",INDEX('Dealer pipeline'!$C$4:$C$503,_calc!$E$542))&amp;" – "&amp;IF(LEN(INDEX('Dealer pipeline'!$D$4:$D$503,_calc!$E$542))=0,"",INDEX('Dealer pipeline'!$D$4:$D$503,_calc!$E$542))&amp;" – "&amp;IF(LEN(INDEX('Dealer pipeline'!$A$4:$A$503,_calc!$E$542))=0,"",INDEX('Dealer pipeline'!$A$4:$A$503,_calc!$E$542)),"Warranty – "&amp;IF(LEN(INDEX('My equipment'!$A$4:$A$503,(_calc!$E$542-500)))=0,"",INDEX('My equipment'!$A$4:$A$503,(_calc!$E$542-500)))&amp;" – "&amp;IF(LEN(INDEX('My equipment'!$D$4:$D$503,(_calc!$E$542-500)))=0,"",INDEX('My equipment'!$D$4:$D$503,(_calc!$E$542-500)))))</f>
        <v/>
      </c>
      <c r="B540" s="54">
        <f>IF(_calc!$E$542="","",IF(_calc!$E$542&lt;=500,IF(ISNUMBER(INDEX('Dealer pipeline'!$M$4:$M$503,_calc!$E$542)),TEXT(INDEX('Dealer pipeline'!$M$4:$M$503,_calc!$E$542),"yyyy-mm-dd"),""),IF(ISNUMBER(INDEX('My equipment'!$M$4:$M$503,(_calc!$E$542-500))),TEXT(INDEX('My equipment'!$M$4:$M$503,(_calc!$E$542-500)),"yyyy-mm-dd"),"")))</f>
        <v/>
      </c>
      <c r="C540" s="54">
        <f>IF(_calc!$E$542="","",IF(_calc!$E$542&lt;=500,"Warranty","Warranty"))</f>
        <v/>
      </c>
      <c r="D540" s="54">
        <f>IF(_calc!$E$542="","",IF(_calc!$E$542&lt;=500,IF(ISNUMBER(INDEX('Dealer pipeline'!$H$4:$H$503,_calc!$E$542)),TEXT(INDEX('Dealer pipeline'!$H$4:$H$503,_calc!$E$542),"yyyy-mm-dd"),""),IF(ISNUMBER(INDEX('My equipment'!$H$4:$H$503,(_calc!$E$542-500))),TEXT(INDEX('My equipment'!$H$4:$H$503,(_calc!$E$542-500)),"yyyy-mm-dd"),"")))</f>
        <v/>
      </c>
      <c r="F540" s="54">
        <f>IF(_calc!$E$542="","",IF(_calc!$E$542&lt;=500,TRIM(IF(LEN(IF(LEN(INDEX('Dealer pipeline'!$A$4:$A$503,_calc!$E$542))=0,"",INDEX('Dealer pipeline'!$A$4:$A$503,_calc!$E$542)))=0,"","Customer: "&amp;IF(LEN(INDEX('Dealer pipeline'!$A$4:$A$503,_calc!$E$542))=0,"",INDEX('Dealer pipeline'!$A$4:$A$503,_calc!$E$542))&amp;". ")&amp;IF(LEN(IF(LEN(INDEX('Dealer pipeline'!$B$4:$B$503,_calc!$E$542))=0,"",INDEX('Dealer pipeline'!$B$4:$B$503,_calc!$E$542)))=0,"","Contact: "&amp;IF(LEN(INDEX('Dealer pipeline'!$B$4:$B$503,_calc!$E$542))=0,"",INDEX('Dealer pipeline'!$B$4:$B$503,_calc!$E$542))&amp;". ")&amp;IF(LEN(IF(LEN(INDEX('Dealer pipeline'!$D$4:$D$503,_calc!$E$542))=0,"",INDEX('Dealer pipeline'!$D$4:$D$503,_calc!$E$542)))=0,"","Serial: "&amp;IF(LEN(INDEX('Dealer pipeline'!$D$4:$D$503,_calc!$E$542))=0,"",INDEX('Dealer pipeline'!$D$4:$D$503,_calc!$E$542))&amp;". ")&amp;IF(LEN(IF(ISNUMBER(INDEX('Dealer pipeline'!$J$4:$J$503,_calc!$E$542)),TEXT(INDEX('Dealer pipeline'!$J$4:$J$503,_calc!$E$542),"yyyy-mm-dd"),""))=0,"","Parts end: "&amp;IF(ISNUMBER(INDEX('Dealer pipeline'!$J$4:$J$503,_calc!$E$542)),TEXT(INDEX('Dealer pipeline'!$J$4:$J$503,_calc!$E$542),"yyyy-mm-dd"),"")&amp;". ")&amp;IF(LEN(IF(ISNUMBER(INDEX('Dealer pipeline'!$L$4:$L$503,_calc!$E$542)),TEXT(INDEX('Dealer pipeline'!$L$4:$L$503,_calc!$E$542),"yyyy-mm-dd"),""))=0,"","Labor end: "&amp;IF(ISNUMBER(INDEX('Dealer pipeline'!$L$4:$L$503,_calc!$E$542)),TEXT(INDEX('Dealer pipeline'!$L$4:$L$503,_calc!$E$542),"yyyy-mm-dd"),"")&amp;". ")&amp;IF(LEN(IF(LEN(INDEX('Dealer pipeline'!$Q$4:$Q$503,_calc!$E$542))=0,"",INDEX('Dealer pipeline'!$Q$4:$Q$503,_calc!$E$542)))=0,"","Status: "&amp;IF(LEN(INDEX('Dealer pipeline'!$Q$4:$Q$503,_calc!$E$542))=0,"",INDEX('Dealer pipeline'!$Q$4:$Q$503,_calc!$E$542))&amp;". ")&amp;IF(LEN(IF(LEN(INDEX('Dealer pipeline'!$P$4:$P$503,_calc!$E$542))=0,"",INDEX('Dealer pipeline'!$P$4:$P$503,_calc!$E$542)))=0,"","Last touch: "&amp;IF(LEN(INDEX('Dealer pipeline'!$P$4:$P$503,_calc!$E$542))=0,"",INDEX('Dealer pipeline'!$P$4:$P$503,_calc!$E$542))&amp;". ")&amp;IF(LEN(IF(LEN(INDEX('Dealer pipeline'!$R$4:$R$503,_calc!$E$542))=0,"",INDEX('Dealer pipeline'!$R$4:$R$503,_calc!$E$542)))=0,"","Owner: "&amp;IF(LEN(INDEX('Dealer pipeline'!$R$4:$R$503,_calc!$E$542))=0,"",INDEX('Dealer pipeline'!$R$4:$R$503,_calc!$E$542))&amp;". ")&amp;IF(LEN(IF(LEN(INDEX('Dealer pipeline'!$S$4:$S$503,_calc!$E$542))=0,"",INDEX('Dealer pipeline'!$S$4:$S$503,_calc!$E$542)))=0,"","Backup: "&amp;IF(LEN(INDEX('Dealer pipeline'!$S$4:$S$503,_calc!$E$542))=0,"",INDEX('Dealer pipeline'!$S$4:$S$503,_calc!$E$542))&amp;". ")&amp;IF(LEN(IF(LEN(INDEX('Dealer pipeline'!$T$4:$T$503,_calc!$E$542))=0,"",INDEX('Dealer pipeline'!$T$4:$T$503,_calc!$E$542)))=0,"",IF(LEN(INDEX('Dealer pipeline'!$T$4:$T$503,_calc!$E$542))=0,"",INDEX('Dealer pipeline'!$T$4:$T$503,_calc!$E$542)))),TRIM(IF(LEN(IF(LEN(INDEX('My equipment'!$C$4:$C$503,(_calc!$E$542-500)))=0,"",INDEX('My equipment'!$C$4:$C$503,(_calc!$E$542-500))))=0,"","Model: "&amp;IF(LEN(INDEX('My equipment'!$C$4:$C$503,(_calc!$E$542-500)))=0,"",INDEX('My equipment'!$C$4:$C$503,(_calc!$E$542-500)))&amp;". ")&amp;IF(LEN(IF(LEN(INDEX('My equipment'!$D$4:$D$503,(_calc!$E$542-500)))=0,"",INDEX('My equipment'!$D$4:$D$503,(_calc!$E$542-500))))=0,"","Serial: "&amp;IF(LEN(INDEX('My equipment'!$D$4:$D$503,(_calc!$E$542-500)))=0,"",INDEX('My equipment'!$D$4:$D$503,(_calc!$E$542-500)))&amp;". ")&amp;IF(LEN(IF(ISNUMBER(INDEX('My equipment'!$J$4:$J$503,(_calc!$E$542-500))),TEXT(INDEX('My equipment'!$J$4:$J$503,(_calc!$E$542-500)),"yyyy-mm-dd"),""))=0,"","Parts end: "&amp;IF(ISNUMBER(INDEX('My equipment'!$J$4:$J$503,(_calc!$E$542-500))),TEXT(INDEX('My equipment'!$J$4:$J$503,(_calc!$E$542-500)),"yyyy-mm-dd"),"")&amp;". ")&amp;IF(LEN(IF(ISNUMBER(INDEX('My equipment'!$L$4:$L$503,(_calc!$E$542-500))),TEXT(INDEX('My equipment'!$L$4:$L$503,(_calc!$E$542-500)),"yyyy-mm-dd"),""))=0,"","Labor end: "&amp;IF(ISNUMBER(INDEX('My equipment'!$L$4:$L$503,(_calc!$E$542-500))),TEXT(INDEX('My equipment'!$L$4:$L$503,(_calc!$E$542-500)),"yyyy-mm-dd"),"")&amp;". ")&amp;IF(LEN(IF(ISNUMBER(INDEX('My equipment'!$P$4:$P$503,(_calc!$E$542-500))),TEXT(INDEX('My equipment'!$P$4:$P$503,(_calc!$E$542-500)),"yyyy-mm-dd"),""))=0,"","Check by: "&amp;IF(ISNUMBER(INDEX('My equipment'!$P$4:$P$503,(_calc!$E$542-500))),TEXT(INDEX('My equipment'!$P$4:$P$503,(_calc!$E$542-500)),"yyyy-mm-dd"),"")&amp;". ")&amp;IF(LEN(IF(LEN(INDEX('My equipment'!$Q$4:$Q$503,(_calc!$E$542-500)))=0,"",INDEX('My equipment'!$Q$4:$Q$503,(_calc!$E$542-500))))=0,"","Claim status: "&amp;IF(LEN(INDEX('My equipment'!$Q$4:$Q$503,(_calc!$E$542-500)))=0,"",INDEX('My equipment'!$Q$4:$Q$503,(_calc!$E$542-500)))&amp;". ")&amp;IF(LEN(IF(LEN(INDEX('My equipment'!$R$4:$R$503,(_calc!$E$542-500)))=0,"",INDEX('My equipment'!$R$4:$R$503,(_calc!$E$542-500))))=0,"","Claims contact: "&amp;IF(LEN(INDEX('My equipment'!$R$4:$R$503,(_calc!$E$542-500)))=0,"",INDEX('My equipment'!$R$4:$R$503,(_calc!$E$542-500)))&amp;". ")&amp;IF(LEN(IF(LEN(INDEX('My equipment'!$S$4:$S$503,(_calc!$E$542-500)))=0,"",INDEX('My equipment'!$S$4:$S$503,(_calc!$E$542-500))))=0,"","Claims email: "&amp;IF(LEN(INDEX('My equipment'!$S$4:$S$503,(_calc!$E$542-500)))=0,"",INDEX('My equipment'!$S$4:$S$503,(_calc!$E$542-500)))&amp;". ")&amp;IF(LEN(IF(LEN(INDEX('My equipment'!$U$4:$U$503,(_calc!$E$542-500)))=0,"",INDEX('My equipment'!$U$4:$U$503,(_calc!$E$542-500))))=0,"","Registered: "&amp;IF(LEN(INDEX('My equipment'!$U$4:$U$503,(_calc!$E$542-500)))=0,"",INDEX('My equipment'!$U$4:$U$503,(_calc!$E$542-500)))&amp;". ")&amp;IF(LEN(IF(LEN(INDEX('My equipment'!$V$4:$V$503,(_calc!$E$542-500)))=0,"",INDEX('My equipment'!$V$4:$V$503,(_calc!$E$542-500))))=0,"","Proof on file: "&amp;IF(LEN(INDEX('My equipment'!$V$4:$V$503,(_calc!$E$542-500)))=0,"",INDEX('My equipment'!$V$4:$V$503,(_calc!$E$542-500)))&amp;". ")&amp;IF(LEN(IF(LEN(INDEX('My equipment'!$W$4:$W$503,(_calc!$E$542-500)))=0,"",INDEX('My equipment'!$W$4:$W$503,(_calc!$E$542-500))))=0,"","Claim ref: "&amp;IF(LEN(INDEX('My equipment'!$W$4:$W$503,(_calc!$E$542-500)))=0,"",INDEX('My equipment'!$W$4:$W$503,(_calc!$E$542-500)))&amp;". ")&amp;IF(LEN(IF(LEN(INDEX('My equipment'!$Y$4:$Y$503,(_calc!$E$542-500)))=0,"",INDEX('My equipment'!$Y$4:$Y$503,(_calc!$E$542-500))))=0,"",IF(LEN(INDEX('My equipment'!$Y$4:$Y$503,(_calc!$E$542-500)))=0,"",INDEX('My equipment'!$Y$4:$Y$503,(_calc!$E$542-500)))))))</f>
        <v/>
      </c>
      <c r="G540" s="54">
        <f>IF(_calc!$E$542="","",IF(_calc!$E$542&lt;=500,"",IF(LEN(INDEX('My equipment'!$X$4:$X$503,(_calc!$E$542-500)))=0,"",INDEX('My equipment'!$X$4:$X$503,(_calc!$E$542-500)))))</f>
        <v/>
      </c>
      <c r="K540" s="54">
        <f>IF(_calc!$E$542="","",IF(_calc!$E$542&lt;=500,"",IF(LEN(INDEX('My equipment'!$T$4:$T$503,(_calc!$E$542-500)))=0,"",INDEX('My equipment'!$T$4:$T$503,(_calc!$E$542-500)))))</f>
        <v/>
      </c>
    </row>
    <row r="541">
      <c r="A541" s="54">
        <f>IF(_calc!$E$543="","",IF(_calc!$E$543&lt;=500,"Warranty – "&amp;IF(LEN(INDEX('Dealer pipeline'!$C$4:$C$503,_calc!$E$543))=0,"",INDEX('Dealer pipeline'!$C$4:$C$503,_calc!$E$543))&amp;" – "&amp;IF(LEN(INDEX('Dealer pipeline'!$D$4:$D$503,_calc!$E$543))=0,"",INDEX('Dealer pipeline'!$D$4:$D$503,_calc!$E$543))&amp;" – "&amp;IF(LEN(INDEX('Dealer pipeline'!$A$4:$A$503,_calc!$E$543))=0,"",INDEX('Dealer pipeline'!$A$4:$A$503,_calc!$E$543)),"Warranty – "&amp;IF(LEN(INDEX('My equipment'!$A$4:$A$503,(_calc!$E$543-500)))=0,"",INDEX('My equipment'!$A$4:$A$503,(_calc!$E$543-500)))&amp;" – "&amp;IF(LEN(INDEX('My equipment'!$D$4:$D$503,(_calc!$E$543-500)))=0,"",INDEX('My equipment'!$D$4:$D$503,(_calc!$E$543-500)))))</f>
        <v/>
      </c>
      <c r="B541" s="54">
        <f>IF(_calc!$E$543="","",IF(_calc!$E$543&lt;=500,IF(ISNUMBER(INDEX('Dealer pipeline'!$M$4:$M$503,_calc!$E$543)),TEXT(INDEX('Dealer pipeline'!$M$4:$M$503,_calc!$E$543),"yyyy-mm-dd"),""),IF(ISNUMBER(INDEX('My equipment'!$M$4:$M$503,(_calc!$E$543-500))),TEXT(INDEX('My equipment'!$M$4:$M$503,(_calc!$E$543-500)),"yyyy-mm-dd"),"")))</f>
        <v/>
      </c>
      <c r="C541" s="54">
        <f>IF(_calc!$E$543="","",IF(_calc!$E$543&lt;=500,"Warranty","Warranty"))</f>
        <v/>
      </c>
      <c r="D541" s="54">
        <f>IF(_calc!$E$543="","",IF(_calc!$E$543&lt;=500,IF(ISNUMBER(INDEX('Dealer pipeline'!$H$4:$H$503,_calc!$E$543)),TEXT(INDEX('Dealer pipeline'!$H$4:$H$503,_calc!$E$543),"yyyy-mm-dd"),""),IF(ISNUMBER(INDEX('My equipment'!$H$4:$H$503,(_calc!$E$543-500))),TEXT(INDEX('My equipment'!$H$4:$H$503,(_calc!$E$543-500)),"yyyy-mm-dd"),"")))</f>
        <v/>
      </c>
      <c r="F541" s="54">
        <f>IF(_calc!$E$543="","",IF(_calc!$E$543&lt;=500,TRIM(IF(LEN(IF(LEN(INDEX('Dealer pipeline'!$A$4:$A$503,_calc!$E$543))=0,"",INDEX('Dealer pipeline'!$A$4:$A$503,_calc!$E$543)))=0,"","Customer: "&amp;IF(LEN(INDEX('Dealer pipeline'!$A$4:$A$503,_calc!$E$543))=0,"",INDEX('Dealer pipeline'!$A$4:$A$503,_calc!$E$543))&amp;". ")&amp;IF(LEN(IF(LEN(INDEX('Dealer pipeline'!$B$4:$B$503,_calc!$E$543))=0,"",INDEX('Dealer pipeline'!$B$4:$B$503,_calc!$E$543)))=0,"","Contact: "&amp;IF(LEN(INDEX('Dealer pipeline'!$B$4:$B$503,_calc!$E$543))=0,"",INDEX('Dealer pipeline'!$B$4:$B$503,_calc!$E$543))&amp;". ")&amp;IF(LEN(IF(LEN(INDEX('Dealer pipeline'!$D$4:$D$503,_calc!$E$543))=0,"",INDEX('Dealer pipeline'!$D$4:$D$503,_calc!$E$543)))=0,"","Serial: "&amp;IF(LEN(INDEX('Dealer pipeline'!$D$4:$D$503,_calc!$E$543))=0,"",INDEX('Dealer pipeline'!$D$4:$D$503,_calc!$E$543))&amp;". ")&amp;IF(LEN(IF(ISNUMBER(INDEX('Dealer pipeline'!$J$4:$J$503,_calc!$E$543)),TEXT(INDEX('Dealer pipeline'!$J$4:$J$503,_calc!$E$543),"yyyy-mm-dd"),""))=0,"","Parts end: "&amp;IF(ISNUMBER(INDEX('Dealer pipeline'!$J$4:$J$503,_calc!$E$543)),TEXT(INDEX('Dealer pipeline'!$J$4:$J$503,_calc!$E$543),"yyyy-mm-dd"),"")&amp;". ")&amp;IF(LEN(IF(ISNUMBER(INDEX('Dealer pipeline'!$L$4:$L$503,_calc!$E$543)),TEXT(INDEX('Dealer pipeline'!$L$4:$L$503,_calc!$E$543),"yyyy-mm-dd"),""))=0,"","Labor end: "&amp;IF(ISNUMBER(INDEX('Dealer pipeline'!$L$4:$L$503,_calc!$E$543)),TEXT(INDEX('Dealer pipeline'!$L$4:$L$503,_calc!$E$543),"yyyy-mm-dd"),"")&amp;". ")&amp;IF(LEN(IF(LEN(INDEX('Dealer pipeline'!$Q$4:$Q$503,_calc!$E$543))=0,"",INDEX('Dealer pipeline'!$Q$4:$Q$503,_calc!$E$543)))=0,"","Status: "&amp;IF(LEN(INDEX('Dealer pipeline'!$Q$4:$Q$503,_calc!$E$543))=0,"",INDEX('Dealer pipeline'!$Q$4:$Q$503,_calc!$E$543))&amp;". ")&amp;IF(LEN(IF(LEN(INDEX('Dealer pipeline'!$P$4:$P$503,_calc!$E$543))=0,"",INDEX('Dealer pipeline'!$P$4:$P$503,_calc!$E$543)))=0,"","Last touch: "&amp;IF(LEN(INDEX('Dealer pipeline'!$P$4:$P$503,_calc!$E$543))=0,"",INDEX('Dealer pipeline'!$P$4:$P$503,_calc!$E$543))&amp;". ")&amp;IF(LEN(IF(LEN(INDEX('Dealer pipeline'!$R$4:$R$503,_calc!$E$543))=0,"",INDEX('Dealer pipeline'!$R$4:$R$503,_calc!$E$543)))=0,"","Owner: "&amp;IF(LEN(INDEX('Dealer pipeline'!$R$4:$R$503,_calc!$E$543))=0,"",INDEX('Dealer pipeline'!$R$4:$R$503,_calc!$E$543))&amp;". ")&amp;IF(LEN(IF(LEN(INDEX('Dealer pipeline'!$S$4:$S$503,_calc!$E$543))=0,"",INDEX('Dealer pipeline'!$S$4:$S$503,_calc!$E$543)))=0,"","Backup: "&amp;IF(LEN(INDEX('Dealer pipeline'!$S$4:$S$503,_calc!$E$543))=0,"",INDEX('Dealer pipeline'!$S$4:$S$503,_calc!$E$543))&amp;". ")&amp;IF(LEN(IF(LEN(INDEX('Dealer pipeline'!$T$4:$T$503,_calc!$E$543))=0,"",INDEX('Dealer pipeline'!$T$4:$T$503,_calc!$E$543)))=0,"",IF(LEN(INDEX('Dealer pipeline'!$T$4:$T$503,_calc!$E$543))=0,"",INDEX('Dealer pipeline'!$T$4:$T$503,_calc!$E$543)))),TRIM(IF(LEN(IF(LEN(INDEX('My equipment'!$C$4:$C$503,(_calc!$E$543-500)))=0,"",INDEX('My equipment'!$C$4:$C$503,(_calc!$E$543-500))))=0,"","Model: "&amp;IF(LEN(INDEX('My equipment'!$C$4:$C$503,(_calc!$E$543-500)))=0,"",INDEX('My equipment'!$C$4:$C$503,(_calc!$E$543-500)))&amp;". ")&amp;IF(LEN(IF(LEN(INDEX('My equipment'!$D$4:$D$503,(_calc!$E$543-500)))=0,"",INDEX('My equipment'!$D$4:$D$503,(_calc!$E$543-500))))=0,"","Serial: "&amp;IF(LEN(INDEX('My equipment'!$D$4:$D$503,(_calc!$E$543-500)))=0,"",INDEX('My equipment'!$D$4:$D$503,(_calc!$E$543-500)))&amp;". ")&amp;IF(LEN(IF(ISNUMBER(INDEX('My equipment'!$J$4:$J$503,(_calc!$E$543-500))),TEXT(INDEX('My equipment'!$J$4:$J$503,(_calc!$E$543-500)),"yyyy-mm-dd"),""))=0,"","Parts end: "&amp;IF(ISNUMBER(INDEX('My equipment'!$J$4:$J$503,(_calc!$E$543-500))),TEXT(INDEX('My equipment'!$J$4:$J$503,(_calc!$E$543-500)),"yyyy-mm-dd"),"")&amp;". ")&amp;IF(LEN(IF(ISNUMBER(INDEX('My equipment'!$L$4:$L$503,(_calc!$E$543-500))),TEXT(INDEX('My equipment'!$L$4:$L$503,(_calc!$E$543-500)),"yyyy-mm-dd"),""))=0,"","Labor end: "&amp;IF(ISNUMBER(INDEX('My equipment'!$L$4:$L$503,(_calc!$E$543-500))),TEXT(INDEX('My equipment'!$L$4:$L$503,(_calc!$E$543-500)),"yyyy-mm-dd"),"")&amp;". ")&amp;IF(LEN(IF(ISNUMBER(INDEX('My equipment'!$P$4:$P$503,(_calc!$E$543-500))),TEXT(INDEX('My equipment'!$P$4:$P$503,(_calc!$E$543-500)),"yyyy-mm-dd"),""))=0,"","Check by: "&amp;IF(ISNUMBER(INDEX('My equipment'!$P$4:$P$503,(_calc!$E$543-500))),TEXT(INDEX('My equipment'!$P$4:$P$503,(_calc!$E$543-500)),"yyyy-mm-dd"),"")&amp;". ")&amp;IF(LEN(IF(LEN(INDEX('My equipment'!$Q$4:$Q$503,(_calc!$E$543-500)))=0,"",INDEX('My equipment'!$Q$4:$Q$503,(_calc!$E$543-500))))=0,"","Claim status: "&amp;IF(LEN(INDEX('My equipment'!$Q$4:$Q$503,(_calc!$E$543-500)))=0,"",INDEX('My equipment'!$Q$4:$Q$503,(_calc!$E$543-500)))&amp;". ")&amp;IF(LEN(IF(LEN(INDEX('My equipment'!$R$4:$R$503,(_calc!$E$543-500)))=0,"",INDEX('My equipment'!$R$4:$R$503,(_calc!$E$543-500))))=0,"","Claims contact: "&amp;IF(LEN(INDEX('My equipment'!$R$4:$R$503,(_calc!$E$543-500)))=0,"",INDEX('My equipment'!$R$4:$R$503,(_calc!$E$543-500)))&amp;". ")&amp;IF(LEN(IF(LEN(INDEX('My equipment'!$S$4:$S$503,(_calc!$E$543-500)))=0,"",INDEX('My equipment'!$S$4:$S$503,(_calc!$E$543-500))))=0,"","Claims email: "&amp;IF(LEN(INDEX('My equipment'!$S$4:$S$503,(_calc!$E$543-500)))=0,"",INDEX('My equipment'!$S$4:$S$503,(_calc!$E$543-500)))&amp;". ")&amp;IF(LEN(IF(LEN(INDEX('My equipment'!$U$4:$U$503,(_calc!$E$543-500)))=0,"",INDEX('My equipment'!$U$4:$U$503,(_calc!$E$543-500))))=0,"","Registered: "&amp;IF(LEN(INDEX('My equipment'!$U$4:$U$503,(_calc!$E$543-500)))=0,"",INDEX('My equipment'!$U$4:$U$503,(_calc!$E$543-500)))&amp;". ")&amp;IF(LEN(IF(LEN(INDEX('My equipment'!$V$4:$V$503,(_calc!$E$543-500)))=0,"",INDEX('My equipment'!$V$4:$V$503,(_calc!$E$543-500))))=0,"","Proof on file: "&amp;IF(LEN(INDEX('My equipment'!$V$4:$V$503,(_calc!$E$543-500)))=0,"",INDEX('My equipment'!$V$4:$V$503,(_calc!$E$543-500)))&amp;". ")&amp;IF(LEN(IF(LEN(INDEX('My equipment'!$W$4:$W$503,(_calc!$E$543-500)))=0,"",INDEX('My equipment'!$W$4:$W$503,(_calc!$E$543-500))))=0,"","Claim ref: "&amp;IF(LEN(INDEX('My equipment'!$W$4:$W$503,(_calc!$E$543-500)))=0,"",INDEX('My equipment'!$W$4:$W$503,(_calc!$E$543-500)))&amp;". ")&amp;IF(LEN(IF(LEN(INDEX('My equipment'!$Y$4:$Y$503,(_calc!$E$543-500)))=0,"",INDEX('My equipment'!$Y$4:$Y$503,(_calc!$E$543-500))))=0,"",IF(LEN(INDEX('My equipment'!$Y$4:$Y$503,(_calc!$E$543-500)))=0,"",INDEX('My equipment'!$Y$4:$Y$503,(_calc!$E$543-500)))))))</f>
        <v/>
      </c>
      <c r="G541" s="54">
        <f>IF(_calc!$E$543="","",IF(_calc!$E$543&lt;=500,"",IF(LEN(INDEX('My equipment'!$X$4:$X$503,(_calc!$E$543-500)))=0,"",INDEX('My equipment'!$X$4:$X$503,(_calc!$E$543-500)))))</f>
        <v/>
      </c>
      <c r="K541" s="54">
        <f>IF(_calc!$E$543="","",IF(_calc!$E$543&lt;=500,"",IF(LEN(INDEX('My equipment'!$T$4:$T$503,(_calc!$E$543-500)))=0,"",INDEX('My equipment'!$T$4:$T$503,(_calc!$E$543-500)))))</f>
        <v/>
      </c>
    </row>
    <row r="542">
      <c r="A542" s="54">
        <f>IF(_calc!$E$544="","",IF(_calc!$E$544&lt;=500,"Warranty – "&amp;IF(LEN(INDEX('Dealer pipeline'!$C$4:$C$503,_calc!$E$544))=0,"",INDEX('Dealer pipeline'!$C$4:$C$503,_calc!$E$544))&amp;" – "&amp;IF(LEN(INDEX('Dealer pipeline'!$D$4:$D$503,_calc!$E$544))=0,"",INDEX('Dealer pipeline'!$D$4:$D$503,_calc!$E$544))&amp;" – "&amp;IF(LEN(INDEX('Dealer pipeline'!$A$4:$A$503,_calc!$E$544))=0,"",INDEX('Dealer pipeline'!$A$4:$A$503,_calc!$E$544)),"Warranty – "&amp;IF(LEN(INDEX('My equipment'!$A$4:$A$503,(_calc!$E$544-500)))=0,"",INDEX('My equipment'!$A$4:$A$503,(_calc!$E$544-500)))&amp;" – "&amp;IF(LEN(INDEX('My equipment'!$D$4:$D$503,(_calc!$E$544-500)))=0,"",INDEX('My equipment'!$D$4:$D$503,(_calc!$E$544-500)))))</f>
        <v/>
      </c>
      <c r="B542" s="54">
        <f>IF(_calc!$E$544="","",IF(_calc!$E$544&lt;=500,IF(ISNUMBER(INDEX('Dealer pipeline'!$M$4:$M$503,_calc!$E$544)),TEXT(INDEX('Dealer pipeline'!$M$4:$M$503,_calc!$E$544),"yyyy-mm-dd"),""),IF(ISNUMBER(INDEX('My equipment'!$M$4:$M$503,(_calc!$E$544-500))),TEXT(INDEX('My equipment'!$M$4:$M$503,(_calc!$E$544-500)),"yyyy-mm-dd"),"")))</f>
        <v/>
      </c>
      <c r="C542" s="54">
        <f>IF(_calc!$E$544="","",IF(_calc!$E$544&lt;=500,"Warranty","Warranty"))</f>
        <v/>
      </c>
      <c r="D542" s="54">
        <f>IF(_calc!$E$544="","",IF(_calc!$E$544&lt;=500,IF(ISNUMBER(INDEX('Dealer pipeline'!$H$4:$H$503,_calc!$E$544)),TEXT(INDEX('Dealer pipeline'!$H$4:$H$503,_calc!$E$544),"yyyy-mm-dd"),""),IF(ISNUMBER(INDEX('My equipment'!$H$4:$H$503,(_calc!$E$544-500))),TEXT(INDEX('My equipment'!$H$4:$H$503,(_calc!$E$544-500)),"yyyy-mm-dd"),"")))</f>
        <v/>
      </c>
      <c r="F542" s="54">
        <f>IF(_calc!$E$544="","",IF(_calc!$E$544&lt;=500,TRIM(IF(LEN(IF(LEN(INDEX('Dealer pipeline'!$A$4:$A$503,_calc!$E$544))=0,"",INDEX('Dealer pipeline'!$A$4:$A$503,_calc!$E$544)))=0,"","Customer: "&amp;IF(LEN(INDEX('Dealer pipeline'!$A$4:$A$503,_calc!$E$544))=0,"",INDEX('Dealer pipeline'!$A$4:$A$503,_calc!$E$544))&amp;". ")&amp;IF(LEN(IF(LEN(INDEX('Dealer pipeline'!$B$4:$B$503,_calc!$E$544))=0,"",INDEX('Dealer pipeline'!$B$4:$B$503,_calc!$E$544)))=0,"","Contact: "&amp;IF(LEN(INDEX('Dealer pipeline'!$B$4:$B$503,_calc!$E$544))=0,"",INDEX('Dealer pipeline'!$B$4:$B$503,_calc!$E$544))&amp;". ")&amp;IF(LEN(IF(LEN(INDEX('Dealer pipeline'!$D$4:$D$503,_calc!$E$544))=0,"",INDEX('Dealer pipeline'!$D$4:$D$503,_calc!$E$544)))=0,"","Serial: "&amp;IF(LEN(INDEX('Dealer pipeline'!$D$4:$D$503,_calc!$E$544))=0,"",INDEX('Dealer pipeline'!$D$4:$D$503,_calc!$E$544))&amp;". ")&amp;IF(LEN(IF(ISNUMBER(INDEX('Dealer pipeline'!$J$4:$J$503,_calc!$E$544)),TEXT(INDEX('Dealer pipeline'!$J$4:$J$503,_calc!$E$544),"yyyy-mm-dd"),""))=0,"","Parts end: "&amp;IF(ISNUMBER(INDEX('Dealer pipeline'!$J$4:$J$503,_calc!$E$544)),TEXT(INDEX('Dealer pipeline'!$J$4:$J$503,_calc!$E$544),"yyyy-mm-dd"),"")&amp;". ")&amp;IF(LEN(IF(ISNUMBER(INDEX('Dealer pipeline'!$L$4:$L$503,_calc!$E$544)),TEXT(INDEX('Dealer pipeline'!$L$4:$L$503,_calc!$E$544),"yyyy-mm-dd"),""))=0,"","Labor end: "&amp;IF(ISNUMBER(INDEX('Dealer pipeline'!$L$4:$L$503,_calc!$E$544)),TEXT(INDEX('Dealer pipeline'!$L$4:$L$503,_calc!$E$544),"yyyy-mm-dd"),"")&amp;". ")&amp;IF(LEN(IF(LEN(INDEX('Dealer pipeline'!$Q$4:$Q$503,_calc!$E$544))=0,"",INDEX('Dealer pipeline'!$Q$4:$Q$503,_calc!$E$544)))=0,"","Status: "&amp;IF(LEN(INDEX('Dealer pipeline'!$Q$4:$Q$503,_calc!$E$544))=0,"",INDEX('Dealer pipeline'!$Q$4:$Q$503,_calc!$E$544))&amp;". ")&amp;IF(LEN(IF(LEN(INDEX('Dealer pipeline'!$P$4:$P$503,_calc!$E$544))=0,"",INDEX('Dealer pipeline'!$P$4:$P$503,_calc!$E$544)))=0,"","Last touch: "&amp;IF(LEN(INDEX('Dealer pipeline'!$P$4:$P$503,_calc!$E$544))=0,"",INDEX('Dealer pipeline'!$P$4:$P$503,_calc!$E$544))&amp;". ")&amp;IF(LEN(IF(LEN(INDEX('Dealer pipeline'!$R$4:$R$503,_calc!$E$544))=0,"",INDEX('Dealer pipeline'!$R$4:$R$503,_calc!$E$544)))=0,"","Owner: "&amp;IF(LEN(INDEX('Dealer pipeline'!$R$4:$R$503,_calc!$E$544))=0,"",INDEX('Dealer pipeline'!$R$4:$R$503,_calc!$E$544))&amp;". ")&amp;IF(LEN(IF(LEN(INDEX('Dealer pipeline'!$S$4:$S$503,_calc!$E$544))=0,"",INDEX('Dealer pipeline'!$S$4:$S$503,_calc!$E$544)))=0,"","Backup: "&amp;IF(LEN(INDEX('Dealer pipeline'!$S$4:$S$503,_calc!$E$544))=0,"",INDEX('Dealer pipeline'!$S$4:$S$503,_calc!$E$544))&amp;". ")&amp;IF(LEN(IF(LEN(INDEX('Dealer pipeline'!$T$4:$T$503,_calc!$E$544))=0,"",INDEX('Dealer pipeline'!$T$4:$T$503,_calc!$E$544)))=0,"",IF(LEN(INDEX('Dealer pipeline'!$T$4:$T$503,_calc!$E$544))=0,"",INDEX('Dealer pipeline'!$T$4:$T$503,_calc!$E$544)))),TRIM(IF(LEN(IF(LEN(INDEX('My equipment'!$C$4:$C$503,(_calc!$E$544-500)))=0,"",INDEX('My equipment'!$C$4:$C$503,(_calc!$E$544-500))))=0,"","Model: "&amp;IF(LEN(INDEX('My equipment'!$C$4:$C$503,(_calc!$E$544-500)))=0,"",INDEX('My equipment'!$C$4:$C$503,(_calc!$E$544-500)))&amp;". ")&amp;IF(LEN(IF(LEN(INDEX('My equipment'!$D$4:$D$503,(_calc!$E$544-500)))=0,"",INDEX('My equipment'!$D$4:$D$503,(_calc!$E$544-500))))=0,"","Serial: "&amp;IF(LEN(INDEX('My equipment'!$D$4:$D$503,(_calc!$E$544-500)))=0,"",INDEX('My equipment'!$D$4:$D$503,(_calc!$E$544-500)))&amp;". ")&amp;IF(LEN(IF(ISNUMBER(INDEX('My equipment'!$J$4:$J$503,(_calc!$E$544-500))),TEXT(INDEX('My equipment'!$J$4:$J$503,(_calc!$E$544-500)),"yyyy-mm-dd"),""))=0,"","Parts end: "&amp;IF(ISNUMBER(INDEX('My equipment'!$J$4:$J$503,(_calc!$E$544-500))),TEXT(INDEX('My equipment'!$J$4:$J$503,(_calc!$E$544-500)),"yyyy-mm-dd"),"")&amp;". ")&amp;IF(LEN(IF(ISNUMBER(INDEX('My equipment'!$L$4:$L$503,(_calc!$E$544-500))),TEXT(INDEX('My equipment'!$L$4:$L$503,(_calc!$E$544-500)),"yyyy-mm-dd"),""))=0,"","Labor end: "&amp;IF(ISNUMBER(INDEX('My equipment'!$L$4:$L$503,(_calc!$E$544-500))),TEXT(INDEX('My equipment'!$L$4:$L$503,(_calc!$E$544-500)),"yyyy-mm-dd"),"")&amp;". ")&amp;IF(LEN(IF(ISNUMBER(INDEX('My equipment'!$P$4:$P$503,(_calc!$E$544-500))),TEXT(INDEX('My equipment'!$P$4:$P$503,(_calc!$E$544-500)),"yyyy-mm-dd"),""))=0,"","Check by: "&amp;IF(ISNUMBER(INDEX('My equipment'!$P$4:$P$503,(_calc!$E$544-500))),TEXT(INDEX('My equipment'!$P$4:$P$503,(_calc!$E$544-500)),"yyyy-mm-dd"),"")&amp;". ")&amp;IF(LEN(IF(LEN(INDEX('My equipment'!$Q$4:$Q$503,(_calc!$E$544-500)))=0,"",INDEX('My equipment'!$Q$4:$Q$503,(_calc!$E$544-500))))=0,"","Claim status: "&amp;IF(LEN(INDEX('My equipment'!$Q$4:$Q$503,(_calc!$E$544-500)))=0,"",INDEX('My equipment'!$Q$4:$Q$503,(_calc!$E$544-500)))&amp;". ")&amp;IF(LEN(IF(LEN(INDEX('My equipment'!$R$4:$R$503,(_calc!$E$544-500)))=0,"",INDEX('My equipment'!$R$4:$R$503,(_calc!$E$544-500))))=0,"","Claims contact: "&amp;IF(LEN(INDEX('My equipment'!$R$4:$R$503,(_calc!$E$544-500)))=0,"",INDEX('My equipment'!$R$4:$R$503,(_calc!$E$544-500)))&amp;". ")&amp;IF(LEN(IF(LEN(INDEX('My equipment'!$S$4:$S$503,(_calc!$E$544-500)))=0,"",INDEX('My equipment'!$S$4:$S$503,(_calc!$E$544-500))))=0,"","Claims email: "&amp;IF(LEN(INDEX('My equipment'!$S$4:$S$503,(_calc!$E$544-500)))=0,"",INDEX('My equipment'!$S$4:$S$503,(_calc!$E$544-500)))&amp;". ")&amp;IF(LEN(IF(LEN(INDEX('My equipment'!$U$4:$U$503,(_calc!$E$544-500)))=0,"",INDEX('My equipment'!$U$4:$U$503,(_calc!$E$544-500))))=0,"","Registered: "&amp;IF(LEN(INDEX('My equipment'!$U$4:$U$503,(_calc!$E$544-500)))=0,"",INDEX('My equipment'!$U$4:$U$503,(_calc!$E$544-500)))&amp;". ")&amp;IF(LEN(IF(LEN(INDEX('My equipment'!$V$4:$V$503,(_calc!$E$544-500)))=0,"",INDEX('My equipment'!$V$4:$V$503,(_calc!$E$544-500))))=0,"","Proof on file: "&amp;IF(LEN(INDEX('My equipment'!$V$4:$V$503,(_calc!$E$544-500)))=0,"",INDEX('My equipment'!$V$4:$V$503,(_calc!$E$544-500)))&amp;". ")&amp;IF(LEN(IF(LEN(INDEX('My equipment'!$W$4:$W$503,(_calc!$E$544-500)))=0,"",INDEX('My equipment'!$W$4:$W$503,(_calc!$E$544-500))))=0,"","Claim ref: "&amp;IF(LEN(INDEX('My equipment'!$W$4:$W$503,(_calc!$E$544-500)))=0,"",INDEX('My equipment'!$W$4:$W$503,(_calc!$E$544-500)))&amp;". ")&amp;IF(LEN(IF(LEN(INDEX('My equipment'!$Y$4:$Y$503,(_calc!$E$544-500)))=0,"",INDEX('My equipment'!$Y$4:$Y$503,(_calc!$E$544-500))))=0,"",IF(LEN(INDEX('My equipment'!$Y$4:$Y$503,(_calc!$E$544-500)))=0,"",INDEX('My equipment'!$Y$4:$Y$503,(_calc!$E$544-500)))))))</f>
        <v/>
      </c>
      <c r="G542" s="54">
        <f>IF(_calc!$E$544="","",IF(_calc!$E$544&lt;=500,"",IF(LEN(INDEX('My equipment'!$X$4:$X$503,(_calc!$E$544-500)))=0,"",INDEX('My equipment'!$X$4:$X$503,(_calc!$E$544-500)))))</f>
        <v/>
      </c>
      <c r="K542" s="54">
        <f>IF(_calc!$E$544="","",IF(_calc!$E$544&lt;=500,"",IF(LEN(INDEX('My equipment'!$T$4:$T$503,(_calc!$E$544-500)))=0,"",INDEX('My equipment'!$T$4:$T$503,(_calc!$E$544-500)))))</f>
        <v/>
      </c>
    </row>
    <row r="543">
      <c r="A543" s="54">
        <f>IF(_calc!$E$545="","",IF(_calc!$E$545&lt;=500,"Warranty – "&amp;IF(LEN(INDEX('Dealer pipeline'!$C$4:$C$503,_calc!$E$545))=0,"",INDEX('Dealer pipeline'!$C$4:$C$503,_calc!$E$545))&amp;" – "&amp;IF(LEN(INDEX('Dealer pipeline'!$D$4:$D$503,_calc!$E$545))=0,"",INDEX('Dealer pipeline'!$D$4:$D$503,_calc!$E$545))&amp;" – "&amp;IF(LEN(INDEX('Dealer pipeline'!$A$4:$A$503,_calc!$E$545))=0,"",INDEX('Dealer pipeline'!$A$4:$A$503,_calc!$E$545)),"Warranty – "&amp;IF(LEN(INDEX('My equipment'!$A$4:$A$503,(_calc!$E$545-500)))=0,"",INDEX('My equipment'!$A$4:$A$503,(_calc!$E$545-500)))&amp;" – "&amp;IF(LEN(INDEX('My equipment'!$D$4:$D$503,(_calc!$E$545-500)))=0,"",INDEX('My equipment'!$D$4:$D$503,(_calc!$E$545-500)))))</f>
        <v/>
      </c>
      <c r="B543" s="54">
        <f>IF(_calc!$E$545="","",IF(_calc!$E$545&lt;=500,IF(ISNUMBER(INDEX('Dealer pipeline'!$M$4:$M$503,_calc!$E$545)),TEXT(INDEX('Dealer pipeline'!$M$4:$M$503,_calc!$E$545),"yyyy-mm-dd"),""),IF(ISNUMBER(INDEX('My equipment'!$M$4:$M$503,(_calc!$E$545-500))),TEXT(INDEX('My equipment'!$M$4:$M$503,(_calc!$E$545-500)),"yyyy-mm-dd"),"")))</f>
        <v/>
      </c>
      <c r="C543" s="54">
        <f>IF(_calc!$E$545="","",IF(_calc!$E$545&lt;=500,"Warranty","Warranty"))</f>
        <v/>
      </c>
      <c r="D543" s="54">
        <f>IF(_calc!$E$545="","",IF(_calc!$E$545&lt;=500,IF(ISNUMBER(INDEX('Dealer pipeline'!$H$4:$H$503,_calc!$E$545)),TEXT(INDEX('Dealer pipeline'!$H$4:$H$503,_calc!$E$545),"yyyy-mm-dd"),""),IF(ISNUMBER(INDEX('My equipment'!$H$4:$H$503,(_calc!$E$545-500))),TEXT(INDEX('My equipment'!$H$4:$H$503,(_calc!$E$545-500)),"yyyy-mm-dd"),"")))</f>
        <v/>
      </c>
      <c r="F543" s="54">
        <f>IF(_calc!$E$545="","",IF(_calc!$E$545&lt;=500,TRIM(IF(LEN(IF(LEN(INDEX('Dealer pipeline'!$A$4:$A$503,_calc!$E$545))=0,"",INDEX('Dealer pipeline'!$A$4:$A$503,_calc!$E$545)))=0,"","Customer: "&amp;IF(LEN(INDEX('Dealer pipeline'!$A$4:$A$503,_calc!$E$545))=0,"",INDEX('Dealer pipeline'!$A$4:$A$503,_calc!$E$545))&amp;". ")&amp;IF(LEN(IF(LEN(INDEX('Dealer pipeline'!$B$4:$B$503,_calc!$E$545))=0,"",INDEX('Dealer pipeline'!$B$4:$B$503,_calc!$E$545)))=0,"","Contact: "&amp;IF(LEN(INDEX('Dealer pipeline'!$B$4:$B$503,_calc!$E$545))=0,"",INDEX('Dealer pipeline'!$B$4:$B$503,_calc!$E$545))&amp;". ")&amp;IF(LEN(IF(LEN(INDEX('Dealer pipeline'!$D$4:$D$503,_calc!$E$545))=0,"",INDEX('Dealer pipeline'!$D$4:$D$503,_calc!$E$545)))=0,"","Serial: "&amp;IF(LEN(INDEX('Dealer pipeline'!$D$4:$D$503,_calc!$E$545))=0,"",INDEX('Dealer pipeline'!$D$4:$D$503,_calc!$E$545))&amp;". ")&amp;IF(LEN(IF(ISNUMBER(INDEX('Dealer pipeline'!$J$4:$J$503,_calc!$E$545)),TEXT(INDEX('Dealer pipeline'!$J$4:$J$503,_calc!$E$545),"yyyy-mm-dd"),""))=0,"","Parts end: "&amp;IF(ISNUMBER(INDEX('Dealer pipeline'!$J$4:$J$503,_calc!$E$545)),TEXT(INDEX('Dealer pipeline'!$J$4:$J$503,_calc!$E$545),"yyyy-mm-dd"),"")&amp;". ")&amp;IF(LEN(IF(ISNUMBER(INDEX('Dealer pipeline'!$L$4:$L$503,_calc!$E$545)),TEXT(INDEX('Dealer pipeline'!$L$4:$L$503,_calc!$E$545),"yyyy-mm-dd"),""))=0,"","Labor end: "&amp;IF(ISNUMBER(INDEX('Dealer pipeline'!$L$4:$L$503,_calc!$E$545)),TEXT(INDEX('Dealer pipeline'!$L$4:$L$503,_calc!$E$545),"yyyy-mm-dd"),"")&amp;". ")&amp;IF(LEN(IF(LEN(INDEX('Dealer pipeline'!$Q$4:$Q$503,_calc!$E$545))=0,"",INDEX('Dealer pipeline'!$Q$4:$Q$503,_calc!$E$545)))=0,"","Status: "&amp;IF(LEN(INDEX('Dealer pipeline'!$Q$4:$Q$503,_calc!$E$545))=0,"",INDEX('Dealer pipeline'!$Q$4:$Q$503,_calc!$E$545))&amp;". ")&amp;IF(LEN(IF(LEN(INDEX('Dealer pipeline'!$P$4:$P$503,_calc!$E$545))=0,"",INDEX('Dealer pipeline'!$P$4:$P$503,_calc!$E$545)))=0,"","Last touch: "&amp;IF(LEN(INDEX('Dealer pipeline'!$P$4:$P$503,_calc!$E$545))=0,"",INDEX('Dealer pipeline'!$P$4:$P$503,_calc!$E$545))&amp;". ")&amp;IF(LEN(IF(LEN(INDEX('Dealer pipeline'!$R$4:$R$503,_calc!$E$545))=0,"",INDEX('Dealer pipeline'!$R$4:$R$503,_calc!$E$545)))=0,"","Owner: "&amp;IF(LEN(INDEX('Dealer pipeline'!$R$4:$R$503,_calc!$E$545))=0,"",INDEX('Dealer pipeline'!$R$4:$R$503,_calc!$E$545))&amp;". ")&amp;IF(LEN(IF(LEN(INDEX('Dealer pipeline'!$S$4:$S$503,_calc!$E$545))=0,"",INDEX('Dealer pipeline'!$S$4:$S$503,_calc!$E$545)))=0,"","Backup: "&amp;IF(LEN(INDEX('Dealer pipeline'!$S$4:$S$503,_calc!$E$545))=0,"",INDEX('Dealer pipeline'!$S$4:$S$503,_calc!$E$545))&amp;". ")&amp;IF(LEN(IF(LEN(INDEX('Dealer pipeline'!$T$4:$T$503,_calc!$E$545))=0,"",INDEX('Dealer pipeline'!$T$4:$T$503,_calc!$E$545)))=0,"",IF(LEN(INDEX('Dealer pipeline'!$T$4:$T$503,_calc!$E$545))=0,"",INDEX('Dealer pipeline'!$T$4:$T$503,_calc!$E$545)))),TRIM(IF(LEN(IF(LEN(INDEX('My equipment'!$C$4:$C$503,(_calc!$E$545-500)))=0,"",INDEX('My equipment'!$C$4:$C$503,(_calc!$E$545-500))))=0,"","Model: "&amp;IF(LEN(INDEX('My equipment'!$C$4:$C$503,(_calc!$E$545-500)))=0,"",INDEX('My equipment'!$C$4:$C$503,(_calc!$E$545-500)))&amp;". ")&amp;IF(LEN(IF(LEN(INDEX('My equipment'!$D$4:$D$503,(_calc!$E$545-500)))=0,"",INDEX('My equipment'!$D$4:$D$503,(_calc!$E$545-500))))=0,"","Serial: "&amp;IF(LEN(INDEX('My equipment'!$D$4:$D$503,(_calc!$E$545-500)))=0,"",INDEX('My equipment'!$D$4:$D$503,(_calc!$E$545-500)))&amp;". ")&amp;IF(LEN(IF(ISNUMBER(INDEX('My equipment'!$J$4:$J$503,(_calc!$E$545-500))),TEXT(INDEX('My equipment'!$J$4:$J$503,(_calc!$E$545-500)),"yyyy-mm-dd"),""))=0,"","Parts end: "&amp;IF(ISNUMBER(INDEX('My equipment'!$J$4:$J$503,(_calc!$E$545-500))),TEXT(INDEX('My equipment'!$J$4:$J$503,(_calc!$E$545-500)),"yyyy-mm-dd"),"")&amp;". ")&amp;IF(LEN(IF(ISNUMBER(INDEX('My equipment'!$L$4:$L$503,(_calc!$E$545-500))),TEXT(INDEX('My equipment'!$L$4:$L$503,(_calc!$E$545-500)),"yyyy-mm-dd"),""))=0,"","Labor end: "&amp;IF(ISNUMBER(INDEX('My equipment'!$L$4:$L$503,(_calc!$E$545-500))),TEXT(INDEX('My equipment'!$L$4:$L$503,(_calc!$E$545-500)),"yyyy-mm-dd"),"")&amp;". ")&amp;IF(LEN(IF(ISNUMBER(INDEX('My equipment'!$P$4:$P$503,(_calc!$E$545-500))),TEXT(INDEX('My equipment'!$P$4:$P$503,(_calc!$E$545-500)),"yyyy-mm-dd"),""))=0,"","Check by: "&amp;IF(ISNUMBER(INDEX('My equipment'!$P$4:$P$503,(_calc!$E$545-500))),TEXT(INDEX('My equipment'!$P$4:$P$503,(_calc!$E$545-500)),"yyyy-mm-dd"),"")&amp;". ")&amp;IF(LEN(IF(LEN(INDEX('My equipment'!$Q$4:$Q$503,(_calc!$E$545-500)))=0,"",INDEX('My equipment'!$Q$4:$Q$503,(_calc!$E$545-500))))=0,"","Claim status: "&amp;IF(LEN(INDEX('My equipment'!$Q$4:$Q$503,(_calc!$E$545-500)))=0,"",INDEX('My equipment'!$Q$4:$Q$503,(_calc!$E$545-500)))&amp;". ")&amp;IF(LEN(IF(LEN(INDEX('My equipment'!$R$4:$R$503,(_calc!$E$545-500)))=0,"",INDEX('My equipment'!$R$4:$R$503,(_calc!$E$545-500))))=0,"","Claims contact: "&amp;IF(LEN(INDEX('My equipment'!$R$4:$R$503,(_calc!$E$545-500)))=0,"",INDEX('My equipment'!$R$4:$R$503,(_calc!$E$545-500)))&amp;". ")&amp;IF(LEN(IF(LEN(INDEX('My equipment'!$S$4:$S$503,(_calc!$E$545-500)))=0,"",INDEX('My equipment'!$S$4:$S$503,(_calc!$E$545-500))))=0,"","Claims email: "&amp;IF(LEN(INDEX('My equipment'!$S$4:$S$503,(_calc!$E$545-500)))=0,"",INDEX('My equipment'!$S$4:$S$503,(_calc!$E$545-500)))&amp;". ")&amp;IF(LEN(IF(LEN(INDEX('My equipment'!$U$4:$U$503,(_calc!$E$545-500)))=0,"",INDEX('My equipment'!$U$4:$U$503,(_calc!$E$545-500))))=0,"","Registered: "&amp;IF(LEN(INDEX('My equipment'!$U$4:$U$503,(_calc!$E$545-500)))=0,"",INDEX('My equipment'!$U$4:$U$503,(_calc!$E$545-500)))&amp;". ")&amp;IF(LEN(IF(LEN(INDEX('My equipment'!$V$4:$V$503,(_calc!$E$545-500)))=0,"",INDEX('My equipment'!$V$4:$V$503,(_calc!$E$545-500))))=0,"","Proof on file: "&amp;IF(LEN(INDEX('My equipment'!$V$4:$V$503,(_calc!$E$545-500)))=0,"",INDEX('My equipment'!$V$4:$V$503,(_calc!$E$545-500)))&amp;". ")&amp;IF(LEN(IF(LEN(INDEX('My equipment'!$W$4:$W$503,(_calc!$E$545-500)))=0,"",INDEX('My equipment'!$W$4:$W$503,(_calc!$E$545-500))))=0,"","Claim ref: "&amp;IF(LEN(INDEX('My equipment'!$W$4:$W$503,(_calc!$E$545-500)))=0,"",INDEX('My equipment'!$W$4:$W$503,(_calc!$E$545-500)))&amp;". ")&amp;IF(LEN(IF(LEN(INDEX('My equipment'!$Y$4:$Y$503,(_calc!$E$545-500)))=0,"",INDEX('My equipment'!$Y$4:$Y$503,(_calc!$E$545-500))))=0,"",IF(LEN(INDEX('My equipment'!$Y$4:$Y$503,(_calc!$E$545-500)))=0,"",INDEX('My equipment'!$Y$4:$Y$503,(_calc!$E$545-500)))))))</f>
        <v/>
      </c>
      <c r="G543" s="54">
        <f>IF(_calc!$E$545="","",IF(_calc!$E$545&lt;=500,"",IF(LEN(INDEX('My equipment'!$X$4:$X$503,(_calc!$E$545-500)))=0,"",INDEX('My equipment'!$X$4:$X$503,(_calc!$E$545-500)))))</f>
        <v/>
      </c>
      <c r="K543" s="54">
        <f>IF(_calc!$E$545="","",IF(_calc!$E$545&lt;=500,"",IF(LEN(INDEX('My equipment'!$T$4:$T$503,(_calc!$E$545-500)))=0,"",INDEX('My equipment'!$T$4:$T$503,(_calc!$E$545-500)))))</f>
        <v/>
      </c>
    </row>
    <row r="544">
      <c r="A544" s="54">
        <f>IF(_calc!$E$546="","",IF(_calc!$E$546&lt;=500,"Warranty – "&amp;IF(LEN(INDEX('Dealer pipeline'!$C$4:$C$503,_calc!$E$546))=0,"",INDEX('Dealer pipeline'!$C$4:$C$503,_calc!$E$546))&amp;" – "&amp;IF(LEN(INDEX('Dealer pipeline'!$D$4:$D$503,_calc!$E$546))=0,"",INDEX('Dealer pipeline'!$D$4:$D$503,_calc!$E$546))&amp;" – "&amp;IF(LEN(INDEX('Dealer pipeline'!$A$4:$A$503,_calc!$E$546))=0,"",INDEX('Dealer pipeline'!$A$4:$A$503,_calc!$E$546)),"Warranty – "&amp;IF(LEN(INDEX('My equipment'!$A$4:$A$503,(_calc!$E$546-500)))=0,"",INDEX('My equipment'!$A$4:$A$503,(_calc!$E$546-500)))&amp;" – "&amp;IF(LEN(INDEX('My equipment'!$D$4:$D$503,(_calc!$E$546-500)))=0,"",INDEX('My equipment'!$D$4:$D$503,(_calc!$E$546-500)))))</f>
        <v/>
      </c>
      <c r="B544" s="54">
        <f>IF(_calc!$E$546="","",IF(_calc!$E$546&lt;=500,IF(ISNUMBER(INDEX('Dealer pipeline'!$M$4:$M$503,_calc!$E$546)),TEXT(INDEX('Dealer pipeline'!$M$4:$M$503,_calc!$E$546),"yyyy-mm-dd"),""),IF(ISNUMBER(INDEX('My equipment'!$M$4:$M$503,(_calc!$E$546-500))),TEXT(INDEX('My equipment'!$M$4:$M$503,(_calc!$E$546-500)),"yyyy-mm-dd"),"")))</f>
        <v/>
      </c>
      <c r="C544" s="54">
        <f>IF(_calc!$E$546="","",IF(_calc!$E$546&lt;=500,"Warranty","Warranty"))</f>
        <v/>
      </c>
      <c r="D544" s="54">
        <f>IF(_calc!$E$546="","",IF(_calc!$E$546&lt;=500,IF(ISNUMBER(INDEX('Dealer pipeline'!$H$4:$H$503,_calc!$E$546)),TEXT(INDEX('Dealer pipeline'!$H$4:$H$503,_calc!$E$546),"yyyy-mm-dd"),""),IF(ISNUMBER(INDEX('My equipment'!$H$4:$H$503,(_calc!$E$546-500))),TEXT(INDEX('My equipment'!$H$4:$H$503,(_calc!$E$546-500)),"yyyy-mm-dd"),"")))</f>
        <v/>
      </c>
      <c r="F544" s="54">
        <f>IF(_calc!$E$546="","",IF(_calc!$E$546&lt;=500,TRIM(IF(LEN(IF(LEN(INDEX('Dealer pipeline'!$A$4:$A$503,_calc!$E$546))=0,"",INDEX('Dealer pipeline'!$A$4:$A$503,_calc!$E$546)))=0,"","Customer: "&amp;IF(LEN(INDEX('Dealer pipeline'!$A$4:$A$503,_calc!$E$546))=0,"",INDEX('Dealer pipeline'!$A$4:$A$503,_calc!$E$546))&amp;". ")&amp;IF(LEN(IF(LEN(INDEX('Dealer pipeline'!$B$4:$B$503,_calc!$E$546))=0,"",INDEX('Dealer pipeline'!$B$4:$B$503,_calc!$E$546)))=0,"","Contact: "&amp;IF(LEN(INDEX('Dealer pipeline'!$B$4:$B$503,_calc!$E$546))=0,"",INDEX('Dealer pipeline'!$B$4:$B$503,_calc!$E$546))&amp;". ")&amp;IF(LEN(IF(LEN(INDEX('Dealer pipeline'!$D$4:$D$503,_calc!$E$546))=0,"",INDEX('Dealer pipeline'!$D$4:$D$503,_calc!$E$546)))=0,"","Serial: "&amp;IF(LEN(INDEX('Dealer pipeline'!$D$4:$D$503,_calc!$E$546))=0,"",INDEX('Dealer pipeline'!$D$4:$D$503,_calc!$E$546))&amp;". ")&amp;IF(LEN(IF(ISNUMBER(INDEX('Dealer pipeline'!$J$4:$J$503,_calc!$E$546)),TEXT(INDEX('Dealer pipeline'!$J$4:$J$503,_calc!$E$546),"yyyy-mm-dd"),""))=0,"","Parts end: "&amp;IF(ISNUMBER(INDEX('Dealer pipeline'!$J$4:$J$503,_calc!$E$546)),TEXT(INDEX('Dealer pipeline'!$J$4:$J$503,_calc!$E$546),"yyyy-mm-dd"),"")&amp;". ")&amp;IF(LEN(IF(ISNUMBER(INDEX('Dealer pipeline'!$L$4:$L$503,_calc!$E$546)),TEXT(INDEX('Dealer pipeline'!$L$4:$L$503,_calc!$E$546),"yyyy-mm-dd"),""))=0,"","Labor end: "&amp;IF(ISNUMBER(INDEX('Dealer pipeline'!$L$4:$L$503,_calc!$E$546)),TEXT(INDEX('Dealer pipeline'!$L$4:$L$503,_calc!$E$546),"yyyy-mm-dd"),"")&amp;". ")&amp;IF(LEN(IF(LEN(INDEX('Dealer pipeline'!$Q$4:$Q$503,_calc!$E$546))=0,"",INDEX('Dealer pipeline'!$Q$4:$Q$503,_calc!$E$546)))=0,"","Status: "&amp;IF(LEN(INDEX('Dealer pipeline'!$Q$4:$Q$503,_calc!$E$546))=0,"",INDEX('Dealer pipeline'!$Q$4:$Q$503,_calc!$E$546))&amp;". ")&amp;IF(LEN(IF(LEN(INDEX('Dealer pipeline'!$P$4:$P$503,_calc!$E$546))=0,"",INDEX('Dealer pipeline'!$P$4:$P$503,_calc!$E$546)))=0,"","Last touch: "&amp;IF(LEN(INDEX('Dealer pipeline'!$P$4:$P$503,_calc!$E$546))=0,"",INDEX('Dealer pipeline'!$P$4:$P$503,_calc!$E$546))&amp;". ")&amp;IF(LEN(IF(LEN(INDEX('Dealer pipeline'!$R$4:$R$503,_calc!$E$546))=0,"",INDEX('Dealer pipeline'!$R$4:$R$503,_calc!$E$546)))=0,"","Owner: "&amp;IF(LEN(INDEX('Dealer pipeline'!$R$4:$R$503,_calc!$E$546))=0,"",INDEX('Dealer pipeline'!$R$4:$R$503,_calc!$E$546))&amp;". ")&amp;IF(LEN(IF(LEN(INDEX('Dealer pipeline'!$S$4:$S$503,_calc!$E$546))=0,"",INDEX('Dealer pipeline'!$S$4:$S$503,_calc!$E$546)))=0,"","Backup: "&amp;IF(LEN(INDEX('Dealer pipeline'!$S$4:$S$503,_calc!$E$546))=0,"",INDEX('Dealer pipeline'!$S$4:$S$503,_calc!$E$546))&amp;". ")&amp;IF(LEN(IF(LEN(INDEX('Dealer pipeline'!$T$4:$T$503,_calc!$E$546))=0,"",INDEX('Dealer pipeline'!$T$4:$T$503,_calc!$E$546)))=0,"",IF(LEN(INDEX('Dealer pipeline'!$T$4:$T$503,_calc!$E$546))=0,"",INDEX('Dealer pipeline'!$T$4:$T$503,_calc!$E$546)))),TRIM(IF(LEN(IF(LEN(INDEX('My equipment'!$C$4:$C$503,(_calc!$E$546-500)))=0,"",INDEX('My equipment'!$C$4:$C$503,(_calc!$E$546-500))))=0,"","Model: "&amp;IF(LEN(INDEX('My equipment'!$C$4:$C$503,(_calc!$E$546-500)))=0,"",INDEX('My equipment'!$C$4:$C$503,(_calc!$E$546-500)))&amp;". ")&amp;IF(LEN(IF(LEN(INDEX('My equipment'!$D$4:$D$503,(_calc!$E$546-500)))=0,"",INDEX('My equipment'!$D$4:$D$503,(_calc!$E$546-500))))=0,"","Serial: "&amp;IF(LEN(INDEX('My equipment'!$D$4:$D$503,(_calc!$E$546-500)))=0,"",INDEX('My equipment'!$D$4:$D$503,(_calc!$E$546-500)))&amp;". ")&amp;IF(LEN(IF(ISNUMBER(INDEX('My equipment'!$J$4:$J$503,(_calc!$E$546-500))),TEXT(INDEX('My equipment'!$J$4:$J$503,(_calc!$E$546-500)),"yyyy-mm-dd"),""))=0,"","Parts end: "&amp;IF(ISNUMBER(INDEX('My equipment'!$J$4:$J$503,(_calc!$E$546-500))),TEXT(INDEX('My equipment'!$J$4:$J$503,(_calc!$E$546-500)),"yyyy-mm-dd"),"")&amp;". ")&amp;IF(LEN(IF(ISNUMBER(INDEX('My equipment'!$L$4:$L$503,(_calc!$E$546-500))),TEXT(INDEX('My equipment'!$L$4:$L$503,(_calc!$E$546-500)),"yyyy-mm-dd"),""))=0,"","Labor end: "&amp;IF(ISNUMBER(INDEX('My equipment'!$L$4:$L$503,(_calc!$E$546-500))),TEXT(INDEX('My equipment'!$L$4:$L$503,(_calc!$E$546-500)),"yyyy-mm-dd"),"")&amp;". ")&amp;IF(LEN(IF(ISNUMBER(INDEX('My equipment'!$P$4:$P$503,(_calc!$E$546-500))),TEXT(INDEX('My equipment'!$P$4:$P$503,(_calc!$E$546-500)),"yyyy-mm-dd"),""))=0,"","Check by: "&amp;IF(ISNUMBER(INDEX('My equipment'!$P$4:$P$503,(_calc!$E$546-500))),TEXT(INDEX('My equipment'!$P$4:$P$503,(_calc!$E$546-500)),"yyyy-mm-dd"),"")&amp;". ")&amp;IF(LEN(IF(LEN(INDEX('My equipment'!$Q$4:$Q$503,(_calc!$E$546-500)))=0,"",INDEX('My equipment'!$Q$4:$Q$503,(_calc!$E$546-500))))=0,"","Claim status: "&amp;IF(LEN(INDEX('My equipment'!$Q$4:$Q$503,(_calc!$E$546-500)))=0,"",INDEX('My equipment'!$Q$4:$Q$503,(_calc!$E$546-500)))&amp;". ")&amp;IF(LEN(IF(LEN(INDEX('My equipment'!$R$4:$R$503,(_calc!$E$546-500)))=0,"",INDEX('My equipment'!$R$4:$R$503,(_calc!$E$546-500))))=0,"","Claims contact: "&amp;IF(LEN(INDEX('My equipment'!$R$4:$R$503,(_calc!$E$546-500)))=0,"",INDEX('My equipment'!$R$4:$R$503,(_calc!$E$546-500)))&amp;". ")&amp;IF(LEN(IF(LEN(INDEX('My equipment'!$S$4:$S$503,(_calc!$E$546-500)))=0,"",INDEX('My equipment'!$S$4:$S$503,(_calc!$E$546-500))))=0,"","Claims email: "&amp;IF(LEN(INDEX('My equipment'!$S$4:$S$503,(_calc!$E$546-500)))=0,"",INDEX('My equipment'!$S$4:$S$503,(_calc!$E$546-500)))&amp;". ")&amp;IF(LEN(IF(LEN(INDEX('My equipment'!$U$4:$U$503,(_calc!$E$546-500)))=0,"",INDEX('My equipment'!$U$4:$U$503,(_calc!$E$546-500))))=0,"","Registered: "&amp;IF(LEN(INDEX('My equipment'!$U$4:$U$503,(_calc!$E$546-500)))=0,"",INDEX('My equipment'!$U$4:$U$503,(_calc!$E$546-500)))&amp;". ")&amp;IF(LEN(IF(LEN(INDEX('My equipment'!$V$4:$V$503,(_calc!$E$546-500)))=0,"",INDEX('My equipment'!$V$4:$V$503,(_calc!$E$546-500))))=0,"","Proof on file: "&amp;IF(LEN(INDEX('My equipment'!$V$4:$V$503,(_calc!$E$546-500)))=0,"",INDEX('My equipment'!$V$4:$V$503,(_calc!$E$546-500)))&amp;". ")&amp;IF(LEN(IF(LEN(INDEX('My equipment'!$W$4:$W$503,(_calc!$E$546-500)))=0,"",INDEX('My equipment'!$W$4:$W$503,(_calc!$E$546-500))))=0,"","Claim ref: "&amp;IF(LEN(INDEX('My equipment'!$W$4:$W$503,(_calc!$E$546-500)))=0,"",INDEX('My equipment'!$W$4:$W$503,(_calc!$E$546-500)))&amp;". ")&amp;IF(LEN(IF(LEN(INDEX('My equipment'!$Y$4:$Y$503,(_calc!$E$546-500)))=0,"",INDEX('My equipment'!$Y$4:$Y$503,(_calc!$E$546-500))))=0,"",IF(LEN(INDEX('My equipment'!$Y$4:$Y$503,(_calc!$E$546-500)))=0,"",INDEX('My equipment'!$Y$4:$Y$503,(_calc!$E$546-500)))))))</f>
        <v/>
      </c>
      <c r="G544" s="54">
        <f>IF(_calc!$E$546="","",IF(_calc!$E$546&lt;=500,"",IF(LEN(INDEX('My equipment'!$X$4:$X$503,(_calc!$E$546-500)))=0,"",INDEX('My equipment'!$X$4:$X$503,(_calc!$E$546-500)))))</f>
        <v/>
      </c>
      <c r="K544" s="54">
        <f>IF(_calc!$E$546="","",IF(_calc!$E$546&lt;=500,"",IF(LEN(INDEX('My equipment'!$T$4:$T$503,(_calc!$E$546-500)))=0,"",INDEX('My equipment'!$T$4:$T$503,(_calc!$E$546-500)))))</f>
        <v/>
      </c>
    </row>
    <row r="545">
      <c r="A545" s="54">
        <f>IF(_calc!$E$547="","",IF(_calc!$E$547&lt;=500,"Warranty – "&amp;IF(LEN(INDEX('Dealer pipeline'!$C$4:$C$503,_calc!$E$547))=0,"",INDEX('Dealer pipeline'!$C$4:$C$503,_calc!$E$547))&amp;" – "&amp;IF(LEN(INDEX('Dealer pipeline'!$D$4:$D$503,_calc!$E$547))=0,"",INDEX('Dealer pipeline'!$D$4:$D$503,_calc!$E$547))&amp;" – "&amp;IF(LEN(INDEX('Dealer pipeline'!$A$4:$A$503,_calc!$E$547))=0,"",INDEX('Dealer pipeline'!$A$4:$A$503,_calc!$E$547)),"Warranty – "&amp;IF(LEN(INDEX('My equipment'!$A$4:$A$503,(_calc!$E$547-500)))=0,"",INDEX('My equipment'!$A$4:$A$503,(_calc!$E$547-500)))&amp;" – "&amp;IF(LEN(INDEX('My equipment'!$D$4:$D$503,(_calc!$E$547-500)))=0,"",INDEX('My equipment'!$D$4:$D$503,(_calc!$E$547-500)))))</f>
        <v/>
      </c>
      <c r="B545" s="54">
        <f>IF(_calc!$E$547="","",IF(_calc!$E$547&lt;=500,IF(ISNUMBER(INDEX('Dealer pipeline'!$M$4:$M$503,_calc!$E$547)),TEXT(INDEX('Dealer pipeline'!$M$4:$M$503,_calc!$E$547),"yyyy-mm-dd"),""),IF(ISNUMBER(INDEX('My equipment'!$M$4:$M$503,(_calc!$E$547-500))),TEXT(INDEX('My equipment'!$M$4:$M$503,(_calc!$E$547-500)),"yyyy-mm-dd"),"")))</f>
        <v/>
      </c>
      <c r="C545" s="54">
        <f>IF(_calc!$E$547="","",IF(_calc!$E$547&lt;=500,"Warranty","Warranty"))</f>
        <v/>
      </c>
      <c r="D545" s="54">
        <f>IF(_calc!$E$547="","",IF(_calc!$E$547&lt;=500,IF(ISNUMBER(INDEX('Dealer pipeline'!$H$4:$H$503,_calc!$E$547)),TEXT(INDEX('Dealer pipeline'!$H$4:$H$503,_calc!$E$547),"yyyy-mm-dd"),""),IF(ISNUMBER(INDEX('My equipment'!$H$4:$H$503,(_calc!$E$547-500))),TEXT(INDEX('My equipment'!$H$4:$H$503,(_calc!$E$547-500)),"yyyy-mm-dd"),"")))</f>
        <v/>
      </c>
      <c r="F545" s="54">
        <f>IF(_calc!$E$547="","",IF(_calc!$E$547&lt;=500,TRIM(IF(LEN(IF(LEN(INDEX('Dealer pipeline'!$A$4:$A$503,_calc!$E$547))=0,"",INDEX('Dealer pipeline'!$A$4:$A$503,_calc!$E$547)))=0,"","Customer: "&amp;IF(LEN(INDEX('Dealer pipeline'!$A$4:$A$503,_calc!$E$547))=0,"",INDEX('Dealer pipeline'!$A$4:$A$503,_calc!$E$547))&amp;". ")&amp;IF(LEN(IF(LEN(INDEX('Dealer pipeline'!$B$4:$B$503,_calc!$E$547))=0,"",INDEX('Dealer pipeline'!$B$4:$B$503,_calc!$E$547)))=0,"","Contact: "&amp;IF(LEN(INDEX('Dealer pipeline'!$B$4:$B$503,_calc!$E$547))=0,"",INDEX('Dealer pipeline'!$B$4:$B$503,_calc!$E$547))&amp;". ")&amp;IF(LEN(IF(LEN(INDEX('Dealer pipeline'!$D$4:$D$503,_calc!$E$547))=0,"",INDEX('Dealer pipeline'!$D$4:$D$503,_calc!$E$547)))=0,"","Serial: "&amp;IF(LEN(INDEX('Dealer pipeline'!$D$4:$D$503,_calc!$E$547))=0,"",INDEX('Dealer pipeline'!$D$4:$D$503,_calc!$E$547))&amp;". ")&amp;IF(LEN(IF(ISNUMBER(INDEX('Dealer pipeline'!$J$4:$J$503,_calc!$E$547)),TEXT(INDEX('Dealer pipeline'!$J$4:$J$503,_calc!$E$547),"yyyy-mm-dd"),""))=0,"","Parts end: "&amp;IF(ISNUMBER(INDEX('Dealer pipeline'!$J$4:$J$503,_calc!$E$547)),TEXT(INDEX('Dealer pipeline'!$J$4:$J$503,_calc!$E$547),"yyyy-mm-dd"),"")&amp;". ")&amp;IF(LEN(IF(ISNUMBER(INDEX('Dealer pipeline'!$L$4:$L$503,_calc!$E$547)),TEXT(INDEX('Dealer pipeline'!$L$4:$L$503,_calc!$E$547),"yyyy-mm-dd"),""))=0,"","Labor end: "&amp;IF(ISNUMBER(INDEX('Dealer pipeline'!$L$4:$L$503,_calc!$E$547)),TEXT(INDEX('Dealer pipeline'!$L$4:$L$503,_calc!$E$547),"yyyy-mm-dd"),"")&amp;". ")&amp;IF(LEN(IF(LEN(INDEX('Dealer pipeline'!$Q$4:$Q$503,_calc!$E$547))=0,"",INDEX('Dealer pipeline'!$Q$4:$Q$503,_calc!$E$547)))=0,"","Status: "&amp;IF(LEN(INDEX('Dealer pipeline'!$Q$4:$Q$503,_calc!$E$547))=0,"",INDEX('Dealer pipeline'!$Q$4:$Q$503,_calc!$E$547))&amp;". ")&amp;IF(LEN(IF(LEN(INDEX('Dealer pipeline'!$P$4:$P$503,_calc!$E$547))=0,"",INDEX('Dealer pipeline'!$P$4:$P$503,_calc!$E$547)))=0,"","Last touch: "&amp;IF(LEN(INDEX('Dealer pipeline'!$P$4:$P$503,_calc!$E$547))=0,"",INDEX('Dealer pipeline'!$P$4:$P$503,_calc!$E$547))&amp;". ")&amp;IF(LEN(IF(LEN(INDEX('Dealer pipeline'!$R$4:$R$503,_calc!$E$547))=0,"",INDEX('Dealer pipeline'!$R$4:$R$503,_calc!$E$547)))=0,"","Owner: "&amp;IF(LEN(INDEX('Dealer pipeline'!$R$4:$R$503,_calc!$E$547))=0,"",INDEX('Dealer pipeline'!$R$4:$R$503,_calc!$E$547))&amp;". ")&amp;IF(LEN(IF(LEN(INDEX('Dealer pipeline'!$S$4:$S$503,_calc!$E$547))=0,"",INDEX('Dealer pipeline'!$S$4:$S$503,_calc!$E$547)))=0,"","Backup: "&amp;IF(LEN(INDEX('Dealer pipeline'!$S$4:$S$503,_calc!$E$547))=0,"",INDEX('Dealer pipeline'!$S$4:$S$503,_calc!$E$547))&amp;". ")&amp;IF(LEN(IF(LEN(INDEX('Dealer pipeline'!$T$4:$T$503,_calc!$E$547))=0,"",INDEX('Dealer pipeline'!$T$4:$T$503,_calc!$E$547)))=0,"",IF(LEN(INDEX('Dealer pipeline'!$T$4:$T$503,_calc!$E$547))=0,"",INDEX('Dealer pipeline'!$T$4:$T$503,_calc!$E$547)))),TRIM(IF(LEN(IF(LEN(INDEX('My equipment'!$C$4:$C$503,(_calc!$E$547-500)))=0,"",INDEX('My equipment'!$C$4:$C$503,(_calc!$E$547-500))))=0,"","Model: "&amp;IF(LEN(INDEX('My equipment'!$C$4:$C$503,(_calc!$E$547-500)))=0,"",INDEX('My equipment'!$C$4:$C$503,(_calc!$E$547-500)))&amp;". ")&amp;IF(LEN(IF(LEN(INDEX('My equipment'!$D$4:$D$503,(_calc!$E$547-500)))=0,"",INDEX('My equipment'!$D$4:$D$503,(_calc!$E$547-500))))=0,"","Serial: "&amp;IF(LEN(INDEX('My equipment'!$D$4:$D$503,(_calc!$E$547-500)))=0,"",INDEX('My equipment'!$D$4:$D$503,(_calc!$E$547-500)))&amp;". ")&amp;IF(LEN(IF(ISNUMBER(INDEX('My equipment'!$J$4:$J$503,(_calc!$E$547-500))),TEXT(INDEX('My equipment'!$J$4:$J$503,(_calc!$E$547-500)),"yyyy-mm-dd"),""))=0,"","Parts end: "&amp;IF(ISNUMBER(INDEX('My equipment'!$J$4:$J$503,(_calc!$E$547-500))),TEXT(INDEX('My equipment'!$J$4:$J$503,(_calc!$E$547-500)),"yyyy-mm-dd"),"")&amp;". ")&amp;IF(LEN(IF(ISNUMBER(INDEX('My equipment'!$L$4:$L$503,(_calc!$E$547-500))),TEXT(INDEX('My equipment'!$L$4:$L$503,(_calc!$E$547-500)),"yyyy-mm-dd"),""))=0,"","Labor end: "&amp;IF(ISNUMBER(INDEX('My equipment'!$L$4:$L$503,(_calc!$E$547-500))),TEXT(INDEX('My equipment'!$L$4:$L$503,(_calc!$E$547-500)),"yyyy-mm-dd"),"")&amp;". ")&amp;IF(LEN(IF(ISNUMBER(INDEX('My equipment'!$P$4:$P$503,(_calc!$E$547-500))),TEXT(INDEX('My equipment'!$P$4:$P$503,(_calc!$E$547-500)),"yyyy-mm-dd"),""))=0,"","Check by: "&amp;IF(ISNUMBER(INDEX('My equipment'!$P$4:$P$503,(_calc!$E$547-500))),TEXT(INDEX('My equipment'!$P$4:$P$503,(_calc!$E$547-500)),"yyyy-mm-dd"),"")&amp;". ")&amp;IF(LEN(IF(LEN(INDEX('My equipment'!$Q$4:$Q$503,(_calc!$E$547-500)))=0,"",INDEX('My equipment'!$Q$4:$Q$503,(_calc!$E$547-500))))=0,"","Claim status: "&amp;IF(LEN(INDEX('My equipment'!$Q$4:$Q$503,(_calc!$E$547-500)))=0,"",INDEX('My equipment'!$Q$4:$Q$503,(_calc!$E$547-500)))&amp;". ")&amp;IF(LEN(IF(LEN(INDEX('My equipment'!$R$4:$R$503,(_calc!$E$547-500)))=0,"",INDEX('My equipment'!$R$4:$R$503,(_calc!$E$547-500))))=0,"","Claims contact: "&amp;IF(LEN(INDEX('My equipment'!$R$4:$R$503,(_calc!$E$547-500)))=0,"",INDEX('My equipment'!$R$4:$R$503,(_calc!$E$547-500)))&amp;". ")&amp;IF(LEN(IF(LEN(INDEX('My equipment'!$S$4:$S$503,(_calc!$E$547-500)))=0,"",INDEX('My equipment'!$S$4:$S$503,(_calc!$E$547-500))))=0,"","Claims email: "&amp;IF(LEN(INDEX('My equipment'!$S$4:$S$503,(_calc!$E$547-500)))=0,"",INDEX('My equipment'!$S$4:$S$503,(_calc!$E$547-500)))&amp;". ")&amp;IF(LEN(IF(LEN(INDEX('My equipment'!$U$4:$U$503,(_calc!$E$547-500)))=0,"",INDEX('My equipment'!$U$4:$U$503,(_calc!$E$547-500))))=0,"","Registered: "&amp;IF(LEN(INDEX('My equipment'!$U$4:$U$503,(_calc!$E$547-500)))=0,"",INDEX('My equipment'!$U$4:$U$503,(_calc!$E$547-500)))&amp;". ")&amp;IF(LEN(IF(LEN(INDEX('My equipment'!$V$4:$V$503,(_calc!$E$547-500)))=0,"",INDEX('My equipment'!$V$4:$V$503,(_calc!$E$547-500))))=0,"","Proof on file: "&amp;IF(LEN(INDEX('My equipment'!$V$4:$V$503,(_calc!$E$547-500)))=0,"",INDEX('My equipment'!$V$4:$V$503,(_calc!$E$547-500)))&amp;". ")&amp;IF(LEN(IF(LEN(INDEX('My equipment'!$W$4:$W$503,(_calc!$E$547-500)))=0,"",INDEX('My equipment'!$W$4:$W$503,(_calc!$E$547-500))))=0,"","Claim ref: "&amp;IF(LEN(INDEX('My equipment'!$W$4:$W$503,(_calc!$E$547-500)))=0,"",INDEX('My equipment'!$W$4:$W$503,(_calc!$E$547-500)))&amp;". ")&amp;IF(LEN(IF(LEN(INDEX('My equipment'!$Y$4:$Y$503,(_calc!$E$547-500)))=0,"",INDEX('My equipment'!$Y$4:$Y$503,(_calc!$E$547-500))))=0,"",IF(LEN(INDEX('My equipment'!$Y$4:$Y$503,(_calc!$E$547-500)))=0,"",INDEX('My equipment'!$Y$4:$Y$503,(_calc!$E$547-500)))))))</f>
        <v/>
      </c>
      <c r="G545" s="54">
        <f>IF(_calc!$E$547="","",IF(_calc!$E$547&lt;=500,"",IF(LEN(INDEX('My equipment'!$X$4:$X$503,(_calc!$E$547-500)))=0,"",INDEX('My equipment'!$X$4:$X$503,(_calc!$E$547-500)))))</f>
        <v/>
      </c>
      <c r="K545" s="54">
        <f>IF(_calc!$E$547="","",IF(_calc!$E$547&lt;=500,"",IF(LEN(INDEX('My equipment'!$T$4:$T$503,(_calc!$E$547-500)))=0,"",INDEX('My equipment'!$T$4:$T$503,(_calc!$E$547-500)))))</f>
        <v/>
      </c>
    </row>
    <row r="546">
      <c r="A546" s="54">
        <f>IF(_calc!$E$548="","",IF(_calc!$E$548&lt;=500,"Warranty – "&amp;IF(LEN(INDEX('Dealer pipeline'!$C$4:$C$503,_calc!$E$548))=0,"",INDEX('Dealer pipeline'!$C$4:$C$503,_calc!$E$548))&amp;" – "&amp;IF(LEN(INDEX('Dealer pipeline'!$D$4:$D$503,_calc!$E$548))=0,"",INDEX('Dealer pipeline'!$D$4:$D$503,_calc!$E$548))&amp;" – "&amp;IF(LEN(INDEX('Dealer pipeline'!$A$4:$A$503,_calc!$E$548))=0,"",INDEX('Dealer pipeline'!$A$4:$A$503,_calc!$E$548)),"Warranty – "&amp;IF(LEN(INDEX('My equipment'!$A$4:$A$503,(_calc!$E$548-500)))=0,"",INDEX('My equipment'!$A$4:$A$503,(_calc!$E$548-500)))&amp;" – "&amp;IF(LEN(INDEX('My equipment'!$D$4:$D$503,(_calc!$E$548-500)))=0,"",INDEX('My equipment'!$D$4:$D$503,(_calc!$E$548-500)))))</f>
        <v/>
      </c>
      <c r="B546" s="54">
        <f>IF(_calc!$E$548="","",IF(_calc!$E$548&lt;=500,IF(ISNUMBER(INDEX('Dealer pipeline'!$M$4:$M$503,_calc!$E$548)),TEXT(INDEX('Dealer pipeline'!$M$4:$M$503,_calc!$E$548),"yyyy-mm-dd"),""),IF(ISNUMBER(INDEX('My equipment'!$M$4:$M$503,(_calc!$E$548-500))),TEXT(INDEX('My equipment'!$M$4:$M$503,(_calc!$E$548-500)),"yyyy-mm-dd"),"")))</f>
        <v/>
      </c>
      <c r="C546" s="54">
        <f>IF(_calc!$E$548="","",IF(_calc!$E$548&lt;=500,"Warranty","Warranty"))</f>
        <v/>
      </c>
      <c r="D546" s="54">
        <f>IF(_calc!$E$548="","",IF(_calc!$E$548&lt;=500,IF(ISNUMBER(INDEX('Dealer pipeline'!$H$4:$H$503,_calc!$E$548)),TEXT(INDEX('Dealer pipeline'!$H$4:$H$503,_calc!$E$548),"yyyy-mm-dd"),""),IF(ISNUMBER(INDEX('My equipment'!$H$4:$H$503,(_calc!$E$548-500))),TEXT(INDEX('My equipment'!$H$4:$H$503,(_calc!$E$548-500)),"yyyy-mm-dd"),"")))</f>
        <v/>
      </c>
      <c r="F546" s="54">
        <f>IF(_calc!$E$548="","",IF(_calc!$E$548&lt;=500,TRIM(IF(LEN(IF(LEN(INDEX('Dealer pipeline'!$A$4:$A$503,_calc!$E$548))=0,"",INDEX('Dealer pipeline'!$A$4:$A$503,_calc!$E$548)))=0,"","Customer: "&amp;IF(LEN(INDEX('Dealer pipeline'!$A$4:$A$503,_calc!$E$548))=0,"",INDEX('Dealer pipeline'!$A$4:$A$503,_calc!$E$548))&amp;". ")&amp;IF(LEN(IF(LEN(INDEX('Dealer pipeline'!$B$4:$B$503,_calc!$E$548))=0,"",INDEX('Dealer pipeline'!$B$4:$B$503,_calc!$E$548)))=0,"","Contact: "&amp;IF(LEN(INDEX('Dealer pipeline'!$B$4:$B$503,_calc!$E$548))=0,"",INDEX('Dealer pipeline'!$B$4:$B$503,_calc!$E$548))&amp;". ")&amp;IF(LEN(IF(LEN(INDEX('Dealer pipeline'!$D$4:$D$503,_calc!$E$548))=0,"",INDEX('Dealer pipeline'!$D$4:$D$503,_calc!$E$548)))=0,"","Serial: "&amp;IF(LEN(INDEX('Dealer pipeline'!$D$4:$D$503,_calc!$E$548))=0,"",INDEX('Dealer pipeline'!$D$4:$D$503,_calc!$E$548))&amp;". ")&amp;IF(LEN(IF(ISNUMBER(INDEX('Dealer pipeline'!$J$4:$J$503,_calc!$E$548)),TEXT(INDEX('Dealer pipeline'!$J$4:$J$503,_calc!$E$548),"yyyy-mm-dd"),""))=0,"","Parts end: "&amp;IF(ISNUMBER(INDEX('Dealer pipeline'!$J$4:$J$503,_calc!$E$548)),TEXT(INDEX('Dealer pipeline'!$J$4:$J$503,_calc!$E$548),"yyyy-mm-dd"),"")&amp;". ")&amp;IF(LEN(IF(ISNUMBER(INDEX('Dealer pipeline'!$L$4:$L$503,_calc!$E$548)),TEXT(INDEX('Dealer pipeline'!$L$4:$L$503,_calc!$E$548),"yyyy-mm-dd"),""))=0,"","Labor end: "&amp;IF(ISNUMBER(INDEX('Dealer pipeline'!$L$4:$L$503,_calc!$E$548)),TEXT(INDEX('Dealer pipeline'!$L$4:$L$503,_calc!$E$548),"yyyy-mm-dd"),"")&amp;". ")&amp;IF(LEN(IF(LEN(INDEX('Dealer pipeline'!$Q$4:$Q$503,_calc!$E$548))=0,"",INDEX('Dealer pipeline'!$Q$4:$Q$503,_calc!$E$548)))=0,"","Status: "&amp;IF(LEN(INDEX('Dealer pipeline'!$Q$4:$Q$503,_calc!$E$548))=0,"",INDEX('Dealer pipeline'!$Q$4:$Q$503,_calc!$E$548))&amp;". ")&amp;IF(LEN(IF(LEN(INDEX('Dealer pipeline'!$P$4:$P$503,_calc!$E$548))=0,"",INDEX('Dealer pipeline'!$P$4:$P$503,_calc!$E$548)))=0,"","Last touch: "&amp;IF(LEN(INDEX('Dealer pipeline'!$P$4:$P$503,_calc!$E$548))=0,"",INDEX('Dealer pipeline'!$P$4:$P$503,_calc!$E$548))&amp;". ")&amp;IF(LEN(IF(LEN(INDEX('Dealer pipeline'!$R$4:$R$503,_calc!$E$548))=0,"",INDEX('Dealer pipeline'!$R$4:$R$503,_calc!$E$548)))=0,"","Owner: "&amp;IF(LEN(INDEX('Dealer pipeline'!$R$4:$R$503,_calc!$E$548))=0,"",INDEX('Dealer pipeline'!$R$4:$R$503,_calc!$E$548))&amp;". ")&amp;IF(LEN(IF(LEN(INDEX('Dealer pipeline'!$S$4:$S$503,_calc!$E$548))=0,"",INDEX('Dealer pipeline'!$S$4:$S$503,_calc!$E$548)))=0,"","Backup: "&amp;IF(LEN(INDEX('Dealer pipeline'!$S$4:$S$503,_calc!$E$548))=0,"",INDEX('Dealer pipeline'!$S$4:$S$503,_calc!$E$548))&amp;". ")&amp;IF(LEN(IF(LEN(INDEX('Dealer pipeline'!$T$4:$T$503,_calc!$E$548))=0,"",INDEX('Dealer pipeline'!$T$4:$T$503,_calc!$E$548)))=0,"",IF(LEN(INDEX('Dealer pipeline'!$T$4:$T$503,_calc!$E$548))=0,"",INDEX('Dealer pipeline'!$T$4:$T$503,_calc!$E$548)))),TRIM(IF(LEN(IF(LEN(INDEX('My equipment'!$C$4:$C$503,(_calc!$E$548-500)))=0,"",INDEX('My equipment'!$C$4:$C$503,(_calc!$E$548-500))))=0,"","Model: "&amp;IF(LEN(INDEX('My equipment'!$C$4:$C$503,(_calc!$E$548-500)))=0,"",INDEX('My equipment'!$C$4:$C$503,(_calc!$E$548-500)))&amp;". ")&amp;IF(LEN(IF(LEN(INDEX('My equipment'!$D$4:$D$503,(_calc!$E$548-500)))=0,"",INDEX('My equipment'!$D$4:$D$503,(_calc!$E$548-500))))=0,"","Serial: "&amp;IF(LEN(INDEX('My equipment'!$D$4:$D$503,(_calc!$E$548-500)))=0,"",INDEX('My equipment'!$D$4:$D$503,(_calc!$E$548-500)))&amp;". ")&amp;IF(LEN(IF(ISNUMBER(INDEX('My equipment'!$J$4:$J$503,(_calc!$E$548-500))),TEXT(INDEX('My equipment'!$J$4:$J$503,(_calc!$E$548-500)),"yyyy-mm-dd"),""))=0,"","Parts end: "&amp;IF(ISNUMBER(INDEX('My equipment'!$J$4:$J$503,(_calc!$E$548-500))),TEXT(INDEX('My equipment'!$J$4:$J$503,(_calc!$E$548-500)),"yyyy-mm-dd"),"")&amp;". ")&amp;IF(LEN(IF(ISNUMBER(INDEX('My equipment'!$L$4:$L$503,(_calc!$E$548-500))),TEXT(INDEX('My equipment'!$L$4:$L$503,(_calc!$E$548-500)),"yyyy-mm-dd"),""))=0,"","Labor end: "&amp;IF(ISNUMBER(INDEX('My equipment'!$L$4:$L$503,(_calc!$E$548-500))),TEXT(INDEX('My equipment'!$L$4:$L$503,(_calc!$E$548-500)),"yyyy-mm-dd"),"")&amp;". ")&amp;IF(LEN(IF(ISNUMBER(INDEX('My equipment'!$P$4:$P$503,(_calc!$E$548-500))),TEXT(INDEX('My equipment'!$P$4:$P$503,(_calc!$E$548-500)),"yyyy-mm-dd"),""))=0,"","Check by: "&amp;IF(ISNUMBER(INDEX('My equipment'!$P$4:$P$503,(_calc!$E$548-500))),TEXT(INDEX('My equipment'!$P$4:$P$503,(_calc!$E$548-500)),"yyyy-mm-dd"),"")&amp;". ")&amp;IF(LEN(IF(LEN(INDEX('My equipment'!$Q$4:$Q$503,(_calc!$E$548-500)))=0,"",INDEX('My equipment'!$Q$4:$Q$503,(_calc!$E$548-500))))=0,"","Claim status: "&amp;IF(LEN(INDEX('My equipment'!$Q$4:$Q$503,(_calc!$E$548-500)))=0,"",INDEX('My equipment'!$Q$4:$Q$503,(_calc!$E$548-500)))&amp;". ")&amp;IF(LEN(IF(LEN(INDEX('My equipment'!$R$4:$R$503,(_calc!$E$548-500)))=0,"",INDEX('My equipment'!$R$4:$R$503,(_calc!$E$548-500))))=0,"","Claims contact: "&amp;IF(LEN(INDEX('My equipment'!$R$4:$R$503,(_calc!$E$548-500)))=0,"",INDEX('My equipment'!$R$4:$R$503,(_calc!$E$548-500)))&amp;". ")&amp;IF(LEN(IF(LEN(INDEX('My equipment'!$S$4:$S$503,(_calc!$E$548-500)))=0,"",INDEX('My equipment'!$S$4:$S$503,(_calc!$E$548-500))))=0,"","Claims email: "&amp;IF(LEN(INDEX('My equipment'!$S$4:$S$503,(_calc!$E$548-500)))=0,"",INDEX('My equipment'!$S$4:$S$503,(_calc!$E$548-500)))&amp;". ")&amp;IF(LEN(IF(LEN(INDEX('My equipment'!$U$4:$U$503,(_calc!$E$548-500)))=0,"",INDEX('My equipment'!$U$4:$U$503,(_calc!$E$548-500))))=0,"","Registered: "&amp;IF(LEN(INDEX('My equipment'!$U$4:$U$503,(_calc!$E$548-500)))=0,"",INDEX('My equipment'!$U$4:$U$503,(_calc!$E$548-500)))&amp;". ")&amp;IF(LEN(IF(LEN(INDEX('My equipment'!$V$4:$V$503,(_calc!$E$548-500)))=0,"",INDEX('My equipment'!$V$4:$V$503,(_calc!$E$548-500))))=0,"","Proof on file: "&amp;IF(LEN(INDEX('My equipment'!$V$4:$V$503,(_calc!$E$548-500)))=0,"",INDEX('My equipment'!$V$4:$V$503,(_calc!$E$548-500)))&amp;". ")&amp;IF(LEN(IF(LEN(INDEX('My equipment'!$W$4:$W$503,(_calc!$E$548-500)))=0,"",INDEX('My equipment'!$W$4:$W$503,(_calc!$E$548-500))))=0,"","Claim ref: "&amp;IF(LEN(INDEX('My equipment'!$W$4:$W$503,(_calc!$E$548-500)))=0,"",INDEX('My equipment'!$W$4:$W$503,(_calc!$E$548-500)))&amp;". ")&amp;IF(LEN(IF(LEN(INDEX('My equipment'!$Y$4:$Y$503,(_calc!$E$548-500)))=0,"",INDEX('My equipment'!$Y$4:$Y$503,(_calc!$E$548-500))))=0,"",IF(LEN(INDEX('My equipment'!$Y$4:$Y$503,(_calc!$E$548-500)))=0,"",INDEX('My equipment'!$Y$4:$Y$503,(_calc!$E$548-500)))))))</f>
        <v/>
      </c>
      <c r="G546" s="54">
        <f>IF(_calc!$E$548="","",IF(_calc!$E$548&lt;=500,"",IF(LEN(INDEX('My equipment'!$X$4:$X$503,(_calc!$E$548-500)))=0,"",INDEX('My equipment'!$X$4:$X$503,(_calc!$E$548-500)))))</f>
        <v/>
      </c>
      <c r="K546" s="54">
        <f>IF(_calc!$E$548="","",IF(_calc!$E$548&lt;=500,"",IF(LEN(INDEX('My equipment'!$T$4:$T$503,(_calc!$E$548-500)))=0,"",INDEX('My equipment'!$T$4:$T$503,(_calc!$E$548-500)))))</f>
        <v/>
      </c>
    </row>
    <row r="547">
      <c r="A547" s="54">
        <f>IF(_calc!$E$549="","",IF(_calc!$E$549&lt;=500,"Warranty – "&amp;IF(LEN(INDEX('Dealer pipeline'!$C$4:$C$503,_calc!$E$549))=0,"",INDEX('Dealer pipeline'!$C$4:$C$503,_calc!$E$549))&amp;" – "&amp;IF(LEN(INDEX('Dealer pipeline'!$D$4:$D$503,_calc!$E$549))=0,"",INDEX('Dealer pipeline'!$D$4:$D$503,_calc!$E$549))&amp;" – "&amp;IF(LEN(INDEX('Dealer pipeline'!$A$4:$A$503,_calc!$E$549))=0,"",INDEX('Dealer pipeline'!$A$4:$A$503,_calc!$E$549)),"Warranty – "&amp;IF(LEN(INDEX('My equipment'!$A$4:$A$503,(_calc!$E$549-500)))=0,"",INDEX('My equipment'!$A$4:$A$503,(_calc!$E$549-500)))&amp;" – "&amp;IF(LEN(INDEX('My equipment'!$D$4:$D$503,(_calc!$E$549-500)))=0,"",INDEX('My equipment'!$D$4:$D$503,(_calc!$E$549-500)))))</f>
        <v/>
      </c>
      <c r="B547" s="54">
        <f>IF(_calc!$E$549="","",IF(_calc!$E$549&lt;=500,IF(ISNUMBER(INDEX('Dealer pipeline'!$M$4:$M$503,_calc!$E$549)),TEXT(INDEX('Dealer pipeline'!$M$4:$M$503,_calc!$E$549),"yyyy-mm-dd"),""),IF(ISNUMBER(INDEX('My equipment'!$M$4:$M$503,(_calc!$E$549-500))),TEXT(INDEX('My equipment'!$M$4:$M$503,(_calc!$E$549-500)),"yyyy-mm-dd"),"")))</f>
        <v/>
      </c>
      <c r="C547" s="54">
        <f>IF(_calc!$E$549="","",IF(_calc!$E$549&lt;=500,"Warranty","Warranty"))</f>
        <v/>
      </c>
      <c r="D547" s="54">
        <f>IF(_calc!$E$549="","",IF(_calc!$E$549&lt;=500,IF(ISNUMBER(INDEX('Dealer pipeline'!$H$4:$H$503,_calc!$E$549)),TEXT(INDEX('Dealer pipeline'!$H$4:$H$503,_calc!$E$549),"yyyy-mm-dd"),""),IF(ISNUMBER(INDEX('My equipment'!$H$4:$H$503,(_calc!$E$549-500))),TEXT(INDEX('My equipment'!$H$4:$H$503,(_calc!$E$549-500)),"yyyy-mm-dd"),"")))</f>
        <v/>
      </c>
      <c r="F547" s="54">
        <f>IF(_calc!$E$549="","",IF(_calc!$E$549&lt;=500,TRIM(IF(LEN(IF(LEN(INDEX('Dealer pipeline'!$A$4:$A$503,_calc!$E$549))=0,"",INDEX('Dealer pipeline'!$A$4:$A$503,_calc!$E$549)))=0,"","Customer: "&amp;IF(LEN(INDEX('Dealer pipeline'!$A$4:$A$503,_calc!$E$549))=0,"",INDEX('Dealer pipeline'!$A$4:$A$503,_calc!$E$549))&amp;". ")&amp;IF(LEN(IF(LEN(INDEX('Dealer pipeline'!$B$4:$B$503,_calc!$E$549))=0,"",INDEX('Dealer pipeline'!$B$4:$B$503,_calc!$E$549)))=0,"","Contact: "&amp;IF(LEN(INDEX('Dealer pipeline'!$B$4:$B$503,_calc!$E$549))=0,"",INDEX('Dealer pipeline'!$B$4:$B$503,_calc!$E$549))&amp;". ")&amp;IF(LEN(IF(LEN(INDEX('Dealer pipeline'!$D$4:$D$503,_calc!$E$549))=0,"",INDEX('Dealer pipeline'!$D$4:$D$503,_calc!$E$549)))=0,"","Serial: "&amp;IF(LEN(INDEX('Dealer pipeline'!$D$4:$D$503,_calc!$E$549))=0,"",INDEX('Dealer pipeline'!$D$4:$D$503,_calc!$E$549))&amp;". ")&amp;IF(LEN(IF(ISNUMBER(INDEX('Dealer pipeline'!$J$4:$J$503,_calc!$E$549)),TEXT(INDEX('Dealer pipeline'!$J$4:$J$503,_calc!$E$549),"yyyy-mm-dd"),""))=0,"","Parts end: "&amp;IF(ISNUMBER(INDEX('Dealer pipeline'!$J$4:$J$503,_calc!$E$549)),TEXT(INDEX('Dealer pipeline'!$J$4:$J$503,_calc!$E$549),"yyyy-mm-dd"),"")&amp;". ")&amp;IF(LEN(IF(ISNUMBER(INDEX('Dealer pipeline'!$L$4:$L$503,_calc!$E$549)),TEXT(INDEX('Dealer pipeline'!$L$4:$L$503,_calc!$E$549),"yyyy-mm-dd"),""))=0,"","Labor end: "&amp;IF(ISNUMBER(INDEX('Dealer pipeline'!$L$4:$L$503,_calc!$E$549)),TEXT(INDEX('Dealer pipeline'!$L$4:$L$503,_calc!$E$549),"yyyy-mm-dd"),"")&amp;". ")&amp;IF(LEN(IF(LEN(INDEX('Dealer pipeline'!$Q$4:$Q$503,_calc!$E$549))=0,"",INDEX('Dealer pipeline'!$Q$4:$Q$503,_calc!$E$549)))=0,"","Status: "&amp;IF(LEN(INDEX('Dealer pipeline'!$Q$4:$Q$503,_calc!$E$549))=0,"",INDEX('Dealer pipeline'!$Q$4:$Q$503,_calc!$E$549))&amp;". ")&amp;IF(LEN(IF(LEN(INDEX('Dealer pipeline'!$P$4:$P$503,_calc!$E$549))=0,"",INDEX('Dealer pipeline'!$P$4:$P$503,_calc!$E$549)))=0,"","Last touch: "&amp;IF(LEN(INDEX('Dealer pipeline'!$P$4:$P$503,_calc!$E$549))=0,"",INDEX('Dealer pipeline'!$P$4:$P$503,_calc!$E$549))&amp;". ")&amp;IF(LEN(IF(LEN(INDEX('Dealer pipeline'!$R$4:$R$503,_calc!$E$549))=0,"",INDEX('Dealer pipeline'!$R$4:$R$503,_calc!$E$549)))=0,"","Owner: "&amp;IF(LEN(INDEX('Dealer pipeline'!$R$4:$R$503,_calc!$E$549))=0,"",INDEX('Dealer pipeline'!$R$4:$R$503,_calc!$E$549))&amp;". ")&amp;IF(LEN(IF(LEN(INDEX('Dealer pipeline'!$S$4:$S$503,_calc!$E$549))=0,"",INDEX('Dealer pipeline'!$S$4:$S$503,_calc!$E$549)))=0,"","Backup: "&amp;IF(LEN(INDEX('Dealer pipeline'!$S$4:$S$503,_calc!$E$549))=0,"",INDEX('Dealer pipeline'!$S$4:$S$503,_calc!$E$549))&amp;". ")&amp;IF(LEN(IF(LEN(INDEX('Dealer pipeline'!$T$4:$T$503,_calc!$E$549))=0,"",INDEX('Dealer pipeline'!$T$4:$T$503,_calc!$E$549)))=0,"",IF(LEN(INDEX('Dealer pipeline'!$T$4:$T$503,_calc!$E$549))=0,"",INDEX('Dealer pipeline'!$T$4:$T$503,_calc!$E$549)))),TRIM(IF(LEN(IF(LEN(INDEX('My equipment'!$C$4:$C$503,(_calc!$E$549-500)))=0,"",INDEX('My equipment'!$C$4:$C$503,(_calc!$E$549-500))))=0,"","Model: "&amp;IF(LEN(INDEX('My equipment'!$C$4:$C$503,(_calc!$E$549-500)))=0,"",INDEX('My equipment'!$C$4:$C$503,(_calc!$E$549-500)))&amp;". ")&amp;IF(LEN(IF(LEN(INDEX('My equipment'!$D$4:$D$503,(_calc!$E$549-500)))=0,"",INDEX('My equipment'!$D$4:$D$503,(_calc!$E$549-500))))=0,"","Serial: "&amp;IF(LEN(INDEX('My equipment'!$D$4:$D$503,(_calc!$E$549-500)))=0,"",INDEX('My equipment'!$D$4:$D$503,(_calc!$E$549-500)))&amp;". ")&amp;IF(LEN(IF(ISNUMBER(INDEX('My equipment'!$J$4:$J$503,(_calc!$E$549-500))),TEXT(INDEX('My equipment'!$J$4:$J$503,(_calc!$E$549-500)),"yyyy-mm-dd"),""))=0,"","Parts end: "&amp;IF(ISNUMBER(INDEX('My equipment'!$J$4:$J$503,(_calc!$E$549-500))),TEXT(INDEX('My equipment'!$J$4:$J$503,(_calc!$E$549-500)),"yyyy-mm-dd"),"")&amp;". ")&amp;IF(LEN(IF(ISNUMBER(INDEX('My equipment'!$L$4:$L$503,(_calc!$E$549-500))),TEXT(INDEX('My equipment'!$L$4:$L$503,(_calc!$E$549-500)),"yyyy-mm-dd"),""))=0,"","Labor end: "&amp;IF(ISNUMBER(INDEX('My equipment'!$L$4:$L$503,(_calc!$E$549-500))),TEXT(INDEX('My equipment'!$L$4:$L$503,(_calc!$E$549-500)),"yyyy-mm-dd"),"")&amp;". ")&amp;IF(LEN(IF(ISNUMBER(INDEX('My equipment'!$P$4:$P$503,(_calc!$E$549-500))),TEXT(INDEX('My equipment'!$P$4:$P$503,(_calc!$E$549-500)),"yyyy-mm-dd"),""))=0,"","Check by: "&amp;IF(ISNUMBER(INDEX('My equipment'!$P$4:$P$503,(_calc!$E$549-500))),TEXT(INDEX('My equipment'!$P$4:$P$503,(_calc!$E$549-500)),"yyyy-mm-dd"),"")&amp;". ")&amp;IF(LEN(IF(LEN(INDEX('My equipment'!$Q$4:$Q$503,(_calc!$E$549-500)))=0,"",INDEX('My equipment'!$Q$4:$Q$503,(_calc!$E$549-500))))=0,"","Claim status: "&amp;IF(LEN(INDEX('My equipment'!$Q$4:$Q$503,(_calc!$E$549-500)))=0,"",INDEX('My equipment'!$Q$4:$Q$503,(_calc!$E$549-500)))&amp;". ")&amp;IF(LEN(IF(LEN(INDEX('My equipment'!$R$4:$R$503,(_calc!$E$549-500)))=0,"",INDEX('My equipment'!$R$4:$R$503,(_calc!$E$549-500))))=0,"","Claims contact: "&amp;IF(LEN(INDEX('My equipment'!$R$4:$R$503,(_calc!$E$549-500)))=0,"",INDEX('My equipment'!$R$4:$R$503,(_calc!$E$549-500)))&amp;". ")&amp;IF(LEN(IF(LEN(INDEX('My equipment'!$S$4:$S$503,(_calc!$E$549-500)))=0,"",INDEX('My equipment'!$S$4:$S$503,(_calc!$E$549-500))))=0,"","Claims email: "&amp;IF(LEN(INDEX('My equipment'!$S$4:$S$503,(_calc!$E$549-500)))=0,"",INDEX('My equipment'!$S$4:$S$503,(_calc!$E$549-500)))&amp;". ")&amp;IF(LEN(IF(LEN(INDEX('My equipment'!$U$4:$U$503,(_calc!$E$549-500)))=0,"",INDEX('My equipment'!$U$4:$U$503,(_calc!$E$549-500))))=0,"","Registered: "&amp;IF(LEN(INDEX('My equipment'!$U$4:$U$503,(_calc!$E$549-500)))=0,"",INDEX('My equipment'!$U$4:$U$503,(_calc!$E$549-500)))&amp;". ")&amp;IF(LEN(IF(LEN(INDEX('My equipment'!$V$4:$V$503,(_calc!$E$549-500)))=0,"",INDEX('My equipment'!$V$4:$V$503,(_calc!$E$549-500))))=0,"","Proof on file: "&amp;IF(LEN(INDEX('My equipment'!$V$4:$V$503,(_calc!$E$549-500)))=0,"",INDEX('My equipment'!$V$4:$V$503,(_calc!$E$549-500)))&amp;". ")&amp;IF(LEN(IF(LEN(INDEX('My equipment'!$W$4:$W$503,(_calc!$E$549-500)))=0,"",INDEX('My equipment'!$W$4:$W$503,(_calc!$E$549-500))))=0,"","Claim ref: "&amp;IF(LEN(INDEX('My equipment'!$W$4:$W$503,(_calc!$E$549-500)))=0,"",INDEX('My equipment'!$W$4:$W$503,(_calc!$E$549-500)))&amp;". ")&amp;IF(LEN(IF(LEN(INDEX('My equipment'!$Y$4:$Y$503,(_calc!$E$549-500)))=0,"",INDEX('My equipment'!$Y$4:$Y$503,(_calc!$E$549-500))))=0,"",IF(LEN(INDEX('My equipment'!$Y$4:$Y$503,(_calc!$E$549-500)))=0,"",INDEX('My equipment'!$Y$4:$Y$503,(_calc!$E$549-500)))))))</f>
        <v/>
      </c>
      <c r="G547" s="54">
        <f>IF(_calc!$E$549="","",IF(_calc!$E$549&lt;=500,"",IF(LEN(INDEX('My equipment'!$X$4:$X$503,(_calc!$E$549-500)))=0,"",INDEX('My equipment'!$X$4:$X$503,(_calc!$E$549-500)))))</f>
        <v/>
      </c>
      <c r="K547" s="54">
        <f>IF(_calc!$E$549="","",IF(_calc!$E$549&lt;=500,"",IF(LEN(INDEX('My equipment'!$T$4:$T$503,(_calc!$E$549-500)))=0,"",INDEX('My equipment'!$T$4:$T$503,(_calc!$E$549-500)))))</f>
        <v/>
      </c>
    </row>
    <row r="548">
      <c r="A548" s="54">
        <f>IF(_calc!$E$550="","",IF(_calc!$E$550&lt;=500,"Warranty – "&amp;IF(LEN(INDEX('Dealer pipeline'!$C$4:$C$503,_calc!$E$550))=0,"",INDEX('Dealer pipeline'!$C$4:$C$503,_calc!$E$550))&amp;" – "&amp;IF(LEN(INDEX('Dealer pipeline'!$D$4:$D$503,_calc!$E$550))=0,"",INDEX('Dealer pipeline'!$D$4:$D$503,_calc!$E$550))&amp;" – "&amp;IF(LEN(INDEX('Dealer pipeline'!$A$4:$A$503,_calc!$E$550))=0,"",INDEX('Dealer pipeline'!$A$4:$A$503,_calc!$E$550)),"Warranty – "&amp;IF(LEN(INDEX('My equipment'!$A$4:$A$503,(_calc!$E$550-500)))=0,"",INDEX('My equipment'!$A$4:$A$503,(_calc!$E$550-500)))&amp;" – "&amp;IF(LEN(INDEX('My equipment'!$D$4:$D$503,(_calc!$E$550-500)))=0,"",INDEX('My equipment'!$D$4:$D$503,(_calc!$E$550-500)))))</f>
        <v/>
      </c>
      <c r="B548" s="54">
        <f>IF(_calc!$E$550="","",IF(_calc!$E$550&lt;=500,IF(ISNUMBER(INDEX('Dealer pipeline'!$M$4:$M$503,_calc!$E$550)),TEXT(INDEX('Dealer pipeline'!$M$4:$M$503,_calc!$E$550),"yyyy-mm-dd"),""),IF(ISNUMBER(INDEX('My equipment'!$M$4:$M$503,(_calc!$E$550-500))),TEXT(INDEX('My equipment'!$M$4:$M$503,(_calc!$E$550-500)),"yyyy-mm-dd"),"")))</f>
        <v/>
      </c>
      <c r="C548" s="54">
        <f>IF(_calc!$E$550="","",IF(_calc!$E$550&lt;=500,"Warranty","Warranty"))</f>
        <v/>
      </c>
      <c r="D548" s="54">
        <f>IF(_calc!$E$550="","",IF(_calc!$E$550&lt;=500,IF(ISNUMBER(INDEX('Dealer pipeline'!$H$4:$H$503,_calc!$E$550)),TEXT(INDEX('Dealer pipeline'!$H$4:$H$503,_calc!$E$550),"yyyy-mm-dd"),""),IF(ISNUMBER(INDEX('My equipment'!$H$4:$H$503,(_calc!$E$550-500))),TEXT(INDEX('My equipment'!$H$4:$H$503,(_calc!$E$550-500)),"yyyy-mm-dd"),"")))</f>
        <v/>
      </c>
      <c r="F548" s="54">
        <f>IF(_calc!$E$550="","",IF(_calc!$E$550&lt;=500,TRIM(IF(LEN(IF(LEN(INDEX('Dealer pipeline'!$A$4:$A$503,_calc!$E$550))=0,"",INDEX('Dealer pipeline'!$A$4:$A$503,_calc!$E$550)))=0,"","Customer: "&amp;IF(LEN(INDEX('Dealer pipeline'!$A$4:$A$503,_calc!$E$550))=0,"",INDEX('Dealer pipeline'!$A$4:$A$503,_calc!$E$550))&amp;". ")&amp;IF(LEN(IF(LEN(INDEX('Dealer pipeline'!$B$4:$B$503,_calc!$E$550))=0,"",INDEX('Dealer pipeline'!$B$4:$B$503,_calc!$E$550)))=0,"","Contact: "&amp;IF(LEN(INDEX('Dealer pipeline'!$B$4:$B$503,_calc!$E$550))=0,"",INDEX('Dealer pipeline'!$B$4:$B$503,_calc!$E$550))&amp;". ")&amp;IF(LEN(IF(LEN(INDEX('Dealer pipeline'!$D$4:$D$503,_calc!$E$550))=0,"",INDEX('Dealer pipeline'!$D$4:$D$503,_calc!$E$550)))=0,"","Serial: "&amp;IF(LEN(INDEX('Dealer pipeline'!$D$4:$D$503,_calc!$E$550))=0,"",INDEX('Dealer pipeline'!$D$4:$D$503,_calc!$E$550))&amp;". ")&amp;IF(LEN(IF(ISNUMBER(INDEX('Dealer pipeline'!$J$4:$J$503,_calc!$E$550)),TEXT(INDEX('Dealer pipeline'!$J$4:$J$503,_calc!$E$550),"yyyy-mm-dd"),""))=0,"","Parts end: "&amp;IF(ISNUMBER(INDEX('Dealer pipeline'!$J$4:$J$503,_calc!$E$550)),TEXT(INDEX('Dealer pipeline'!$J$4:$J$503,_calc!$E$550),"yyyy-mm-dd"),"")&amp;". ")&amp;IF(LEN(IF(ISNUMBER(INDEX('Dealer pipeline'!$L$4:$L$503,_calc!$E$550)),TEXT(INDEX('Dealer pipeline'!$L$4:$L$503,_calc!$E$550),"yyyy-mm-dd"),""))=0,"","Labor end: "&amp;IF(ISNUMBER(INDEX('Dealer pipeline'!$L$4:$L$503,_calc!$E$550)),TEXT(INDEX('Dealer pipeline'!$L$4:$L$503,_calc!$E$550),"yyyy-mm-dd"),"")&amp;". ")&amp;IF(LEN(IF(LEN(INDEX('Dealer pipeline'!$Q$4:$Q$503,_calc!$E$550))=0,"",INDEX('Dealer pipeline'!$Q$4:$Q$503,_calc!$E$550)))=0,"","Status: "&amp;IF(LEN(INDEX('Dealer pipeline'!$Q$4:$Q$503,_calc!$E$550))=0,"",INDEX('Dealer pipeline'!$Q$4:$Q$503,_calc!$E$550))&amp;". ")&amp;IF(LEN(IF(LEN(INDEX('Dealer pipeline'!$P$4:$P$503,_calc!$E$550))=0,"",INDEX('Dealer pipeline'!$P$4:$P$503,_calc!$E$550)))=0,"","Last touch: "&amp;IF(LEN(INDEX('Dealer pipeline'!$P$4:$P$503,_calc!$E$550))=0,"",INDEX('Dealer pipeline'!$P$4:$P$503,_calc!$E$550))&amp;". ")&amp;IF(LEN(IF(LEN(INDEX('Dealer pipeline'!$R$4:$R$503,_calc!$E$550))=0,"",INDEX('Dealer pipeline'!$R$4:$R$503,_calc!$E$550)))=0,"","Owner: "&amp;IF(LEN(INDEX('Dealer pipeline'!$R$4:$R$503,_calc!$E$550))=0,"",INDEX('Dealer pipeline'!$R$4:$R$503,_calc!$E$550))&amp;". ")&amp;IF(LEN(IF(LEN(INDEX('Dealer pipeline'!$S$4:$S$503,_calc!$E$550))=0,"",INDEX('Dealer pipeline'!$S$4:$S$503,_calc!$E$550)))=0,"","Backup: "&amp;IF(LEN(INDEX('Dealer pipeline'!$S$4:$S$503,_calc!$E$550))=0,"",INDEX('Dealer pipeline'!$S$4:$S$503,_calc!$E$550))&amp;". ")&amp;IF(LEN(IF(LEN(INDEX('Dealer pipeline'!$T$4:$T$503,_calc!$E$550))=0,"",INDEX('Dealer pipeline'!$T$4:$T$503,_calc!$E$550)))=0,"",IF(LEN(INDEX('Dealer pipeline'!$T$4:$T$503,_calc!$E$550))=0,"",INDEX('Dealer pipeline'!$T$4:$T$503,_calc!$E$550)))),TRIM(IF(LEN(IF(LEN(INDEX('My equipment'!$C$4:$C$503,(_calc!$E$550-500)))=0,"",INDEX('My equipment'!$C$4:$C$503,(_calc!$E$550-500))))=0,"","Model: "&amp;IF(LEN(INDEX('My equipment'!$C$4:$C$503,(_calc!$E$550-500)))=0,"",INDEX('My equipment'!$C$4:$C$503,(_calc!$E$550-500)))&amp;". ")&amp;IF(LEN(IF(LEN(INDEX('My equipment'!$D$4:$D$503,(_calc!$E$550-500)))=0,"",INDEX('My equipment'!$D$4:$D$503,(_calc!$E$550-500))))=0,"","Serial: "&amp;IF(LEN(INDEX('My equipment'!$D$4:$D$503,(_calc!$E$550-500)))=0,"",INDEX('My equipment'!$D$4:$D$503,(_calc!$E$550-500)))&amp;". ")&amp;IF(LEN(IF(ISNUMBER(INDEX('My equipment'!$J$4:$J$503,(_calc!$E$550-500))),TEXT(INDEX('My equipment'!$J$4:$J$503,(_calc!$E$550-500)),"yyyy-mm-dd"),""))=0,"","Parts end: "&amp;IF(ISNUMBER(INDEX('My equipment'!$J$4:$J$503,(_calc!$E$550-500))),TEXT(INDEX('My equipment'!$J$4:$J$503,(_calc!$E$550-500)),"yyyy-mm-dd"),"")&amp;". ")&amp;IF(LEN(IF(ISNUMBER(INDEX('My equipment'!$L$4:$L$503,(_calc!$E$550-500))),TEXT(INDEX('My equipment'!$L$4:$L$503,(_calc!$E$550-500)),"yyyy-mm-dd"),""))=0,"","Labor end: "&amp;IF(ISNUMBER(INDEX('My equipment'!$L$4:$L$503,(_calc!$E$550-500))),TEXT(INDEX('My equipment'!$L$4:$L$503,(_calc!$E$550-500)),"yyyy-mm-dd"),"")&amp;". ")&amp;IF(LEN(IF(ISNUMBER(INDEX('My equipment'!$P$4:$P$503,(_calc!$E$550-500))),TEXT(INDEX('My equipment'!$P$4:$P$503,(_calc!$E$550-500)),"yyyy-mm-dd"),""))=0,"","Check by: "&amp;IF(ISNUMBER(INDEX('My equipment'!$P$4:$P$503,(_calc!$E$550-500))),TEXT(INDEX('My equipment'!$P$4:$P$503,(_calc!$E$550-500)),"yyyy-mm-dd"),"")&amp;". ")&amp;IF(LEN(IF(LEN(INDEX('My equipment'!$Q$4:$Q$503,(_calc!$E$550-500)))=0,"",INDEX('My equipment'!$Q$4:$Q$503,(_calc!$E$550-500))))=0,"","Claim status: "&amp;IF(LEN(INDEX('My equipment'!$Q$4:$Q$503,(_calc!$E$550-500)))=0,"",INDEX('My equipment'!$Q$4:$Q$503,(_calc!$E$550-500)))&amp;". ")&amp;IF(LEN(IF(LEN(INDEX('My equipment'!$R$4:$R$503,(_calc!$E$550-500)))=0,"",INDEX('My equipment'!$R$4:$R$503,(_calc!$E$550-500))))=0,"","Claims contact: "&amp;IF(LEN(INDEX('My equipment'!$R$4:$R$503,(_calc!$E$550-500)))=0,"",INDEX('My equipment'!$R$4:$R$503,(_calc!$E$550-500)))&amp;". ")&amp;IF(LEN(IF(LEN(INDEX('My equipment'!$S$4:$S$503,(_calc!$E$550-500)))=0,"",INDEX('My equipment'!$S$4:$S$503,(_calc!$E$550-500))))=0,"","Claims email: "&amp;IF(LEN(INDEX('My equipment'!$S$4:$S$503,(_calc!$E$550-500)))=0,"",INDEX('My equipment'!$S$4:$S$503,(_calc!$E$550-500)))&amp;". ")&amp;IF(LEN(IF(LEN(INDEX('My equipment'!$U$4:$U$503,(_calc!$E$550-500)))=0,"",INDEX('My equipment'!$U$4:$U$503,(_calc!$E$550-500))))=0,"","Registered: "&amp;IF(LEN(INDEX('My equipment'!$U$4:$U$503,(_calc!$E$550-500)))=0,"",INDEX('My equipment'!$U$4:$U$503,(_calc!$E$550-500)))&amp;". ")&amp;IF(LEN(IF(LEN(INDEX('My equipment'!$V$4:$V$503,(_calc!$E$550-500)))=0,"",INDEX('My equipment'!$V$4:$V$503,(_calc!$E$550-500))))=0,"","Proof on file: "&amp;IF(LEN(INDEX('My equipment'!$V$4:$V$503,(_calc!$E$550-500)))=0,"",INDEX('My equipment'!$V$4:$V$503,(_calc!$E$550-500)))&amp;". ")&amp;IF(LEN(IF(LEN(INDEX('My equipment'!$W$4:$W$503,(_calc!$E$550-500)))=0,"",INDEX('My equipment'!$W$4:$W$503,(_calc!$E$550-500))))=0,"","Claim ref: "&amp;IF(LEN(INDEX('My equipment'!$W$4:$W$503,(_calc!$E$550-500)))=0,"",INDEX('My equipment'!$W$4:$W$503,(_calc!$E$550-500)))&amp;". ")&amp;IF(LEN(IF(LEN(INDEX('My equipment'!$Y$4:$Y$503,(_calc!$E$550-500)))=0,"",INDEX('My equipment'!$Y$4:$Y$503,(_calc!$E$550-500))))=0,"",IF(LEN(INDEX('My equipment'!$Y$4:$Y$503,(_calc!$E$550-500)))=0,"",INDEX('My equipment'!$Y$4:$Y$503,(_calc!$E$550-500)))))))</f>
        <v/>
      </c>
      <c r="G548" s="54">
        <f>IF(_calc!$E$550="","",IF(_calc!$E$550&lt;=500,"",IF(LEN(INDEX('My equipment'!$X$4:$X$503,(_calc!$E$550-500)))=0,"",INDEX('My equipment'!$X$4:$X$503,(_calc!$E$550-500)))))</f>
        <v/>
      </c>
      <c r="K548" s="54">
        <f>IF(_calc!$E$550="","",IF(_calc!$E$550&lt;=500,"",IF(LEN(INDEX('My equipment'!$T$4:$T$503,(_calc!$E$550-500)))=0,"",INDEX('My equipment'!$T$4:$T$503,(_calc!$E$550-500)))))</f>
        <v/>
      </c>
    </row>
    <row r="549">
      <c r="A549" s="54">
        <f>IF(_calc!$E$551="","",IF(_calc!$E$551&lt;=500,"Warranty – "&amp;IF(LEN(INDEX('Dealer pipeline'!$C$4:$C$503,_calc!$E$551))=0,"",INDEX('Dealer pipeline'!$C$4:$C$503,_calc!$E$551))&amp;" – "&amp;IF(LEN(INDEX('Dealer pipeline'!$D$4:$D$503,_calc!$E$551))=0,"",INDEX('Dealer pipeline'!$D$4:$D$503,_calc!$E$551))&amp;" – "&amp;IF(LEN(INDEX('Dealer pipeline'!$A$4:$A$503,_calc!$E$551))=0,"",INDEX('Dealer pipeline'!$A$4:$A$503,_calc!$E$551)),"Warranty – "&amp;IF(LEN(INDEX('My equipment'!$A$4:$A$503,(_calc!$E$551-500)))=0,"",INDEX('My equipment'!$A$4:$A$503,(_calc!$E$551-500)))&amp;" – "&amp;IF(LEN(INDEX('My equipment'!$D$4:$D$503,(_calc!$E$551-500)))=0,"",INDEX('My equipment'!$D$4:$D$503,(_calc!$E$551-500)))))</f>
        <v/>
      </c>
      <c r="B549" s="54">
        <f>IF(_calc!$E$551="","",IF(_calc!$E$551&lt;=500,IF(ISNUMBER(INDEX('Dealer pipeline'!$M$4:$M$503,_calc!$E$551)),TEXT(INDEX('Dealer pipeline'!$M$4:$M$503,_calc!$E$551),"yyyy-mm-dd"),""),IF(ISNUMBER(INDEX('My equipment'!$M$4:$M$503,(_calc!$E$551-500))),TEXT(INDEX('My equipment'!$M$4:$M$503,(_calc!$E$551-500)),"yyyy-mm-dd"),"")))</f>
        <v/>
      </c>
      <c r="C549" s="54">
        <f>IF(_calc!$E$551="","",IF(_calc!$E$551&lt;=500,"Warranty","Warranty"))</f>
        <v/>
      </c>
      <c r="D549" s="54">
        <f>IF(_calc!$E$551="","",IF(_calc!$E$551&lt;=500,IF(ISNUMBER(INDEX('Dealer pipeline'!$H$4:$H$503,_calc!$E$551)),TEXT(INDEX('Dealer pipeline'!$H$4:$H$503,_calc!$E$551),"yyyy-mm-dd"),""),IF(ISNUMBER(INDEX('My equipment'!$H$4:$H$503,(_calc!$E$551-500))),TEXT(INDEX('My equipment'!$H$4:$H$503,(_calc!$E$551-500)),"yyyy-mm-dd"),"")))</f>
        <v/>
      </c>
      <c r="F549" s="54">
        <f>IF(_calc!$E$551="","",IF(_calc!$E$551&lt;=500,TRIM(IF(LEN(IF(LEN(INDEX('Dealer pipeline'!$A$4:$A$503,_calc!$E$551))=0,"",INDEX('Dealer pipeline'!$A$4:$A$503,_calc!$E$551)))=0,"","Customer: "&amp;IF(LEN(INDEX('Dealer pipeline'!$A$4:$A$503,_calc!$E$551))=0,"",INDEX('Dealer pipeline'!$A$4:$A$503,_calc!$E$551))&amp;". ")&amp;IF(LEN(IF(LEN(INDEX('Dealer pipeline'!$B$4:$B$503,_calc!$E$551))=0,"",INDEX('Dealer pipeline'!$B$4:$B$503,_calc!$E$551)))=0,"","Contact: "&amp;IF(LEN(INDEX('Dealer pipeline'!$B$4:$B$503,_calc!$E$551))=0,"",INDEX('Dealer pipeline'!$B$4:$B$503,_calc!$E$551))&amp;". ")&amp;IF(LEN(IF(LEN(INDEX('Dealer pipeline'!$D$4:$D$503,_calc!$E$551))=0,"",INDEX('Dealer pipeline'!$D$4:$D$503,_calc!$E$551)))=0,"","Serial: "&amp;IF(LEN(INDEX('Dealer pipeline'!$D$4:$D$503,_calc!$E$551))=0,"",INDEX('Dealer pipeline'!$D$4:$D$503,_calc!$E$551))&amp;". ")&amp;IF(LEN(IF(ISNUMBER(INDEX('Dealer pipeline'!$J$4:$J$503,_calc!$E$551)),TEXT(INDEX('Dealer pipeline'!$J$4:$J$503,_calc!$E$551),"yyyy-mm-dd"),""))=0,"","Parts end: "&amp;IF(ISNUMBER(INDEX('Dealer pipeline'!$J$4:$J$503,_calc!$E$551)),TEXT(INDEX('Dealer pipeline'!$J$4:$J$503,_calc!$E$551),"yyyy-mm-dd"),"")&amp;". ")&amp;IF(LEN(IF(ISNUMBER(INDEX('Dealer pipeline'!$L$4:$L$503,_calc!$E$551)),TEXT(INDEX('Dealer pipeline'!$L$4:$L$503,_calc!$E$551),"yyyy-mm-dd"),""))=0,"","Labor end: "&amp;IF(ISNUMBER(INDEX('Dealer pipeline'!$L$4:$L$503,_calc!$E$551)),TEXT(INDEX('Dealer pipeline'!$L$4:$L$503,_calc!$E$551),"yyyy-mm-dd"),"")&amp;". ")&amp;IF(LEN(IF(LEN(INDEX('Dealer pipeline'!$Q$4:$Q$503,_calc!$E$551))=0,"",INDEX('Dealer pipeline'!$Q$4:$Q$503,_calc!$E$551)))=0,"","Status: "&amp;IF(LEN(INDEX('Dealer pipeline'!$Q$4:$Q$503,_calc!$E$551))=0,"",INDEX('Dealer pipeline'!$Q$4:$Q$503,_calc!$E$551))&amp;". ")&amp;IF(LEN(IF(LEN(INDEX('Dealer pipeline'!$P$4:$P$503,_calc!$E$551))=0,"",INDEX('Dealer pipeline'!$P$4:$P$503,_calc!$E$551)))=0,"","Last touch: "&amp;IF(LEN(INDEX('Dealer pipeline'!$P$4:$P$503,_calc!$E$551))=0,"",INDEX('Dealer pipeline'!$P$4:$P$503,_calc!$E$551))&amp;". ")&amp;IF(LEN(IF(LEN(INDEX('Dealer pipeline'!$R$4:$R$503,_calc!$E$551))=0,"",INDEX('Dealer pipeline'!$R$4:$R$503,_calc!$E$551)))=0,"","Owner: "&amp;IF(LEN(INDEX('Dealer pipeline'!$R$4:$R$503,_calc!$E$551))=0,"",INDEX('Dealer pipeline'!$R$4:$R$503,_calc!$E$551))&amp;". ")&amp;IF(LEN(IF(LEN(INDEX('Dealer pipeline'!$S$4:$S$503,_calc!$E$551))=0,"",INDEX('Dealer pipeline'!$S$4:$S$503,_calc!$E$551)))=0,"","Backup: "&amp;IF(LEN(INDEX('Dealer pipeline'!$S$4:$S$503,_calc!$E$551))=0,"",INDEX('Dealer pipeline'!$S$4:$S$503,_calc!$E$551))&amp;". ")&amp;IF(LEN(IF(LEN(INDEX('Dealer pipeline'!$T$4:$T$503,_calc!$E$551))=0,"",INDEX('Dealer pipeline'!$T$4:$T$503,_calc!$E$551)))=0,"",IF(LEN(INDEX('Dealer pipeline'!$T$4:$T$503,_calc!$E$551))=0,"",INDEX('Dealer pipeline'!$T$4:$T$503,_calc!$E$551)))),TRIM(IF(LEN(IF(LEN(INDEX('My equipment'!$C$4:$C$503,(_calc!$E$551-500)))=0,"",INDEX('My equipment'!$C$4:$C$503,(_calc!$E$551-500))))=0,"","Model: "&amp;IF(LEN(INDEX('My equipment'!$C$4:$C$503,(_calc!$E$551-500)))=0,"",INDEX('My equipment'!$C$4:$C$503,(_calc!$E$551-500)))&amp;". ")&amp;IF(LEN(IF(LEN(INDEX('My equipment'!$D$4:$D$503,(_calc!$E$551-500)))=0,"",INDEX('My equipment'!$D$4:$D$503,(_calc!$E$551-500))))=0,"","Serial: "&amp;IF(LEN(INDEX('My equipment'!$D$4:$D$503,(_calc!$E$551-500)))=0,"",INDEX('My equipment'!$D$4:$D$503,(_calc!$E$551-500)))&amp;". ")&amp;IF(LEN(IF(ISNUMBER(INDEX('My equipment'!$J$4:$J$503,(_calc!$E$551-500))),TEXT(INDEX('My equipment'!$J$4:$J$503,(_calc!$E$551-500)),"yyyy-mm-dd"),""))=0,"","Parts end: "&amp;IF(ISNUMBER(INDEX('My equipment'!$J$4:$J$503,(_calc!$E$551-500))),TEXT(INDEX('My equipment'!$J$4:$J$503,(_calc!$E$551-500)),"yyyy-mm-dd"),"")&amp;". ")&amp;IF(LEN(IF(ISNUMBER(INDEX('My equipment'!$L$4:$L$503,(_calc!$E$551-500))),TEXT(INDEX('My equipment'!$L$4:$L$503,(_calc!$E$551-500)),"yyyy-mm-dd"),""))=0,"","Labor end: "&amp;IF(ISNUMBER(INDEX('My equipment'!$L$4:$L$503,(_calc!$E$551-500))),TEXT(INDEX('My equipment'!$L$4:$L$503,(_calc!$E$551-500)),"yyyy-mm-dd"),"")&amp;". ")&amp;IF(LEN(IF(ISNUMBER(INDEX('My equipment'!$P$4:$P$503,(_calc!$E$551-500))),TEXT(INDEX('My equipment'!$P$4:$P$503,(_calc!$E$551-500)),"yyyy-mm-dd"),""))=0,"","Check by: "&amp;IF(ISNUMBER(INDEX('My equipment'!$P$4:$P$503,(_calc!$E$551-500))),TEXT(INDEX('My equipment'!$P$4:$P$503,(_calc!$E$551-500)),"yyyy-mm-dd"),"")&amp;". ")&amp;IF(LEN(IF(LEN(INDEX('My equipment'!$Q$4:$Q$503,(_calc!$E$551-500)))=0,"",INDEX('My equipment'!$Q$4:$Q$503,(_calc!$E$551-500))))=0,"","Claim status: "&amp;IF(LEN(INDEX('My equipment'!$Q$4:$Q$503,(_calc!$E$551-500)))=0,"",INDEX('My equipment'!$Q$4:$Q$503,(_calc!$E$551-500)))&amp;". ")&amp;IF(LEN(IF(LEN(INDEX('My equipment'!$R$4:$R$503,(_calc!$E$551-500)))=0,"",INDEX('My equipment'!$R$4:$R$503,(_calc!$E$551-500))))=0,"","Claims contact: "&amp;IF(LEN(INDEX('My equipment'!$R$4:$R$503,(_calc!$E$551-500)))=0,"",INDEX('My equipment'!$R$4:$R$503,(_calc!$E$551-500)))&amp;". ")&amp;IF(LEN(IF(LEN(INDEX('My equipment'!$S$4:$S$503,(_calc!$E$551-500)))=0,"",INDEX('My equipment'!$S$4:$S$503,(_calc!$E$551-500))))=0,"","Claims email: "&amp;IF(LEN(INDEX('My equipment'!$S$4:$S$503,(_calc!$E$551-500)))=0,"",INDEX('My equipment'!$S$4:$S$503,(_calc!$E$551-500)))&amp;". ")&amp;IF(LEN(IF(LEN(INDEX('My equipment'!$U$4:$U$503,(_calc!$E$551-500)))=0,"",INDEX('My equipment'!$U$4:$U$503,(_calc!$E$551-500))))=0,"","Registered: "&amp;IF(LEN(INDEX('My equipment'!$U$4:$U$503,(_calc!$E$551-500)))=0,"",INDEX('My equipment'!$U$4:$U$503,(_calc!$E$551-500)))&amp;". ")&amp;IF(LEN(IF(LEN(INDEX('My equipment'!$V$4:$V$503,(_calc!$E$551-500)))=0,"",INDEX('My equipment'!$V$4:$V$503,(_calc!$E$551-500))))=0,"","Proof on file: "&amp;IF(LEN(INDEX('My equipment'!$V$4:$V$503,(_calc!$E$551-500)))=0,"",INDEX('My equipment'!$V$4:$V$503,(_calc!$E$551-500)))&amp;". ")&amp;IF(LEN(IF(LEN(INDEX('My equipment'!$W$4:$W$503,(_calc!$E$551-500)))=0,"",INDEX('My equipment'!$W$4:$W$503,(_calc!$E$551-500))))=0,"","Claim ref: "&amp;IF(LEN(INDEX('My equipment'!$W$4:$W$503,(_calc!$E$551-500)))=0,"",INDEX('My equipment'!$W$4:$W$503,(_calc!$E$551-500)))&amp;". ")&amp;IF(LEN(IF(LEN(INDEX('My equipment'!$Y$4:$Y$503,(_calc!$E$551-500)))=0,"",INDEX('My equipment'!$Y$4:$Y$503,(_calc!$E$551-500))))=0,"",IF(LEN(INDEX('My equipment'!$Y$4:$Y$503,(_calc!$E$551-500)))=0,"",INDEX('My equipment'!$Y$4:$Y$503,(_calc!$E$551-500)))))))</f>
        <v/>
      </c>
      <c r="G549" s="54">
        <f>IF(_calc!$E$551="","",IF(_calc!$E$551&lt;=500,"",IF(LEN(INDEX('My equipment'!$X$4:$X$503,(_calc!$E$551-500)))=0,"",INDEX('My equipment'!$X$4:$X$503,(_calc!$E$551-500)))))</f>
        <v/>
      </c>
      <c r="K549" s="54">
        <f>IF(_calc!$E$551="","",IF(_calc!$E$551&lt;=500,"",IF(LEN(INDEX('My equipment'!$T$4:$T$503,(_calc!$E$551-500)))=0,"",INDEX('My equipment'!$T$4:$T$503,(_calc!$E$551-500)))))</f>
        <v/>
      </c>
    </row>
    <row r="550">
      <c r="A550" s="54">
        <f>IF(_calc!$E$552="","",IF(_calc!$E$552&lt;=500,"Warranty – "&amp;IF(LEN(INDEX('Dealer pipeline'!$C$4:$C$503,_calc!$E$552))=0,"",INDEX('Dealer pipeline'!$C$4:$C$503,_calc!$E$552))&amp;" – "&amp;IF(LEN(INDEX('Dealer pipeline'!$D$4:$D$503,_calc!$E$552))=0,"",INDEX('Dealer pipeline'!$D$4:$D$503,_calc!$E$552))&amp;" – "&amp;IF(LEN(INDEX('Dealer pipeline'!$A$4:$A$503,_calc!$E$552))=0,"",INDEX('Dealer pipeline'!$A$4:$A$503,_calc!$E$552)),"Warranty – "&amp;IF(LEN(INDEX('My equipment'!$A$4:$A$503,(_calc!$E$552-500)))=0,"",INDEX('My equipment'!$A$4:$A$503,(_calc!$E$552-500)))&amp;" – "&amp;IF(LEN(INDEX('My equipment'!$D$4:$D$503,(_calc!$E$552-500)))=0,"",INDEX('My equipment'!$D$4:$D$503,(_calc!$E$552-500)))))</f>
        <v/>
      </c>
      <c r="B550" s="54">
        <f>IF(_calc!$E$552="","",IF(_calc!$E$552&lt;=500,IF(ISNUMBER(INDEX('Dealer pipeline'!$M$4:$M$503,_calc!$E$552)),TEXT(INDEX('Dealer pipeline'!$M$4:$M$503,_calc!$E$552),"yyyy-mm-dd"),""),IF(ISNUMBER(INDEX('My equipment'!$M$4:$M$503,(_calc!$E$552-500))),TEXT(INDEX('My equipment'!$M$4:$M$503,(_calc!$E$552-500)),"yyyy-mm-dd"),"")))</f>
        <v/>
      </c>
      <c r="C550" s="54">
        <f>IF(_calc!$E$552="","",IF(_calc!$E$552&lt;=500,"Warranty","Warranty"))</f>
        <v/>
      </c>
      <c r="D550" s="54">
        <f>IF(_calc!$E$552="","",IF(_calc!$E$552&lt;=500,IF(ISNUMBER(INDEX('Dealer pipeline'!$H$4:$H$503,_calc!$E$552)),TEXT(INDEX('Dealer pipeline'!$H$4:$H$503,_calc!$E$552),"yyyy-mm-dd"),""),IF(ISNUMBER(INDEX('My equipment'!$H$4:$H$503,(_calc!$E$552-500))),TEXT(INDEX('My equipment'!$H$4:$H$503,(_calc!$E$552-500)),"yyyy-mm-dd"),"")))</f>
        <v/>
      </c>
      <c r="F550" s="54">
        <f>IF(_calc!$E$552="","",IF(_calc!$E$552&lt;=500,TRIM(IF(LEN(IF(LEN(INDEX('Dealer pipeline'!$A$4:$A$503,_calc!$E$552))=0,"",INDEX('Dealer pipeline'!$A$4:$A$503,_calc!$E$552)))=0,"","Customer: "&amp;IF(LEN(INDEX('Dealer pipeline'!$A$4:$A$503,_calc!$E$552))=0,"",INDEX('Dealer pipeline'!$A$4:$A$503,_calc!$E$552))&amp;". ")&amp;IF(LEN(IF(LEN(INDEX('Dealer pipeline'!$B$4:$B$503,_calc!$E$552))=0,"",INDEX('Dealer pipeline'!$B$4:$B$503,_calc!$E$552)))=0,"","Contact: "&amp;IF(LEN(INDEX('Dealer pipeline'!$B$4:$B$503,_calc!$E$552))=0,"",INDEX('Dealer pipeline'!$B$4:$B$503,_calc!$E$552))&amp;". ")&amp;IF(LEN(IF(LEN(INDEX('Dealer pipeline'!$D$4:$D$503,_calc!$E$552))=0,"",INDEX('Dealer pipeline'!$D$4:$D$503,_calc!$E$552)))=0,"","Serial: "&amp;IF(LEN(INDEX('Dealer pipeline'!$D$4:$D$503,_calc!$E$552))=0,"",INDEX('Dealer pipeline'!$D$4:$D$503,_calc!$E$552))&amp;". ")&amp;IF(LEN(IF(ISNUMBER(INDEX('Dealer pipeline'!$J$4:$J$503,_calc!$E$552)),TEXT(INDEX('Dealer pipeline'!$J$4:$J$503,_calc!$E$552),"yyyy-mm-dd"),""))=0,"","Parts end: "&amp;IF(ISNUMBER(INDEX('Dealer pipeline'!$J$4:$J$503,_calc!$E$552)),TEXT(INDEX('Dealer pipeline'!$J$4:$J$503,_calc!$E$552),"yyyy-mm-dd"),"")&amp;". ")&amp;IF(LEN(IF(ISNUMBER(INDEX('Dealer pipeline'!$L$4:$L$503,_calc!$E$552)),TEXT(INDEX('Dealer pipeline'!$L$4:$L$503,_calc!$E$552),"yyyy-mm-dd"),""))=0,"","Labor end: "&amp;IF(ISNUMBER(INDEX('Dealer pipeline'!$L$4:$L$503,_calc!$E$552)),TEXT(INDEX('Dealer pipeline'!$L$4:$L$503,_calc!$E$552),"yyyy-mm-dd"),"")&amp;". ")&amp;IF(LEN(IF(LEN(INDEX('Dealer pipeline'!$Q$4:$Q$503,_calc!$E$552))=0,"",INDEX('Dealer pipeline'!$Q$4:$Q$503,_calc!$E$552)))=0,"","Status: "&amp;IF(LEN(INDEX('Dealer pipeline'!$Q$4:$Q$503,_calc!$E$552))=0,"",INDEX('Dealer pipeline'!$Q$4:$Q$503,_calc!$E$552))&amp;". ")&amp;IF(LEN(IF(LEN(INDEX('Dealer pipeline'!$P$4:$P$503,_calc!$E$552))=0,"",INDEX('Dealer pipeline'!$P$4:$P$503,_calc!$E$552)))=0,"","Last touch: "&amp;IF(LEN(INDEX('Dealer pipeline'!$P$4:$P$503,_calc!$E$552))=0,"",INDEX('Dealer pipeline'!$P$4:$P$503,_calc!$E$552))&amp;". ")&amp;IF(LEN(IF(LEN(INDEX('Dealer pipeline'!$R$4:$R$503,_calc!$E$552))=0,"",INDEX('Dealer pipeline'!$R$4:$R$503,_calc!$E$552)))=0,"","Owner: "&amp;IF(LEN(INDEX('Dealer pipeline'!$R$4:$R$503,_calc!$E$552))=0,"",INDEX('Dealer pipeline'!$R$4:$R$503,_calc!$E$552))&amp;". ")&amp;IF(LEN(IF(LEN(INDEX('Dealer pipeline'!$S$4:$S$503,_calc!$E$552))=0,"",INDEX('Dealer pipeline'!$S$4:$S$503,_calc!$E$552)))=0,"","Backup: "&amp;IF(LEN(INDEX('Dealer pipeline'!$S$4:$S$503,_calc!$E$552))=0,"",INDEX('Dealer pipeline'!$S$4:$S$503,_calc!$E$552))&amp;". ")&amp;IF(LEN(IF(LEN(INDEX('Dealer pipeline'!$T$4:$T$503,_calc!$E$552))=0,"",INDEX('Dealer pipeline'!$T$4:$T$503,_calc!$E$552)))=0,"",IF(LEN(INDEX('Dealer pipeline'!$T$4:$T$503,_calc!$E$552))=0,"",INDEX('Dealer pipeline'!$T$4:$T$503,_calc!$E$552)))),TRIM(IF(LEN(IF(LEN(INDEX('My equipment'!$C$4:$C$503,(_calc!$E$552-500)))=0,"",INDEX('My equipment'!$C$4:$C$503,(_calc!$E$552-500))))=0,"","Model: "&amp;IF(LEN(INDEX('My equipment'!$C$4:$C$503,(_calc!$E$552-500)))=0,"",INDEX('My equipment'!$C$4:$C$503,(_calc!$E$552-500)))&amp;". ")&amp;IF(LEN(IF(LEN(INDEX('My equipment'!$D$4:$D$503,(_calc!$E$552-500)))=0,"",INDEX('My equipment'!$D$4:$D$503,(_calc!$E$552-500))))=0,"","Serial: "&amp;IF(LEN(INDEX('My equipment'!$D$4:$D$503,(_calc!$E$552-500)))=0,"",INDEX('My equipment'!$D$4:$D$503,(_calc!$E$552-500)))&amp;". ")&amp;IF(LEN(IF(ISNUMBER(INDEX('My equipment'!$J$4:$J$503,(_calc!$E$552-500))),TEXT(INDEX('My equipment'!$J$4:$J$503,(_calc!$E$552-500)),"yyyy-mm-dd"),""))=0,"","Parts end: "&amp;IF(ISNUMBER(INDEX('My equipment'!$J$4:$J$503,(_calc!$E$552-500))),TEXT(INDEX('My equipment'!$J$4:$J$503,(_calc!$E$552-500)),"yyyy-mm-dd"),"")&amp;". ")&amp;IF(LEN(IF(ISNUMBER(INDEX('My equipment'!$L$4:$L$503,(_calc!$E$552-500))),TEXT(INDEX('My equipment'!$L$4:$L$503,(_calc!$E$552-500)),"yyyy-mm-dd"),""))=0,"","Labor end: "&amp;IF(ISNUMBER(INDEX('My equipment'!$L$4:$L$503,(_calc!$E$552-500))),TEXT(INDEX('My equipment'!$L$4:$L$503,(_calc!$E$552-500)),"yyyy-mm-dd"),"")&amp;". ")&amp;IF(LEN(IF(ISNUMBER(INDEX('My equipment'!$P$4:$P$503,(_calc!$E$552-500))),TEXT(INDEX('My equipment'!$P$4:$P$503,(_calc!$E$552-500)),"yyyy-mm-dd"),""))=0,"","Check by: "&amp;IF(ISNUMBER(INDEX('My equipment'!$P$4:$P$503,(_calc!$E$552-500))),TEXT(INDEX('My equipment'!$P$4:$P$503,(_calc!$E$552-500)),"yyyy-mm-dd"),"")&amp;". ")&amp;IF(LEN(IF(LEN(INDEX('My equipment'!$Q$4:$Q$503,(_calc!$E$552-500)))=0,"",INDEX('My equipment'!$Q$4:$Q$503,(_calc!$E$552-500))))=0,"","Claim status: "&amp;IF(LEN(INDEX('My equipment'!$Q$4:$Q$503,(_calc!$E$552-500)))=0,"",INDEX('My equipment'!$Q$4:$Q$503,(_calc!$E$552-500)))&amp;". ")&amp;IF(LEN(IF(LEN(INDEX('My equipment'!$R$4:$R$503,(_calc!$E$552-500)))=0,"",INDEX('My equipment'!$R$4:$R$503,(_calc!$E$552-500))))=0,"","Claims contact: "&amp;IF(LEN(INDEX('My equipment'!$R$4:$R$503,(_calc!$E$552-500)))=0,"",INDEX('My equipment'!$R$4:$R$503,(_calc!$E$552-500)))&amp;". ")&amp;IF(LEN(IF(LEN(INDEX('My equipment'!$S$4:$S$503,(_calc!$E$552-500)))=0,"",INDEX('My equipment'!$S$4:$S$503,(_calc!$E$552-500))))=0,"","Claims email: "&amp;IF(LEN(INDEX('My equipment'!$S$4:$S$503,(_calc!$E$552-500)))=0,"",INDEX('My equipment'!$S$4:$S$503,(_calc!$E$552-500)))&amp;". ")&amp;IF(LEN(IF(LEN(INDEX('My equipment'!$U$4:$U$503,(_calc!$E$552-500)))=0,"",INDEX('My equipment'!$U$4:$U$503,(_calc!$E$552-500))))=0,"","Registered: "&amp;IF(LEN(INDEX('My equipment'!$U$4:$U$503,(_calc!$E$552-500)))=0,"",INDEX('My equipment'!$U$4:$U$503,(_calc!$E$552-500)))&amp;". ")&amp;IF(LEN(IF(LEN(INDEX('My equipment'!$V$4:$V$503,(_calc!$E$552-500)))=0,"",INDEX('My equipment'!$V$4:$V$503,(_calc!$E$552-500))))=0,"","Proof on file: "&amp;IF(LEN(INDEX('My equipment'!$V$4:$V$503,(_calc!$E$552-500)))=0,"",INDEX('My equipment'!$V$4:$V$503,(_calc!$E$552-500)))&amp;". ")&amp;IF(LEN(IF(LEN(INDEX('My equipment'!$W$4:$W$503,(_calc!$E$552-500)))=0,"",INDEX('My equipment'!$W$4:$W$503,(_calc!$E$552-500))))=0,"","Claim ref: "&amp;IF(LEN(INDEX('My equipment'!$W$4:$W$503,(_calc!$E$552-500)))=0,"",INDEX('My equipment'!$W$4:$W$503,(_calc!$E$552-500)))&amp;". ")&amp;IF(LEN(IF(LEN(INDEX('My equipment'!$Y$4:$Y$503,(_calc!$E$552-500)))=0,"",INDEX('My equipment'!$Y$4:$Y$503,(_calc!$E$552-500))))=0,"",IF(LEN(INDEX('My equipment'!$Y$4:$Y$503,(_calc!$E$552-500)))=0,"",INDEX('My equipment'!$Y$4:$Y$503,(_calc!$E$552-500)))))))</f>
        <v/>
      </c>
      <c r="G550" s="54">
        <f>IF(_calc!$E$552="","",IF(_calc!$E$552&lt;=500,"",IF(LEN(INDEX('My equipment'!$X$4:$X$503,(_calc!$E$552-500)))=0,"",INDEX('My equipment'!$X$4:$X$503,(_calc!$E$552-500)))))</f>
        <v/>
      </c>
      <c r="K550" s="54">
        <f>IF(_calc!$E$552="","",IF(_calc!$E$552&lt;=500,"",IF(LEN(INDEX('My equipment'!$T$4:$T$503,(_calc!$E$552-500)))=0,"",INDEX('My equipment'!$T$4:$T$503,(_calc!$E$552-500)))))</f>
        <v/>
      </c>
    </row>
    <row r="551">
      <c r="A551" s="54">
        <f>IF(_calc!$E$553="","",IF(_calc!$E$553&lt;=500,"Warranty – "&amp;IF(LEN(INDEX('Dealer pipeline'!$C$4:$C$503,_calc!$E$553))=0,"",INDEX('Dealer pipeline'!$C$4:$C$503,_calc!$E$553))&amp;" – "&amp;IF(LEN(INDEX('Dealer pipeline'!$D$4:$D$503,_calc!$E$553))=0,"",INDEX('Dealer pipeline'!$D$4:$D$503,_calc!$E$553))&amp;" – "&amp;IF(LEN(INDEX('Dealer pipeline'!$A$4:$A$503,_calc!$E$553))=0,"",INDEX('Dealer pipeline'!$A$4:$A$503,_calc!$E$553)),"Warranty – "&amp;IF(LEN(INDEX('My equipment'!$A$4:$A$503,(_calc!$E$553-500)))=0,"",INDEX('My equipment'!$A$4:$A$503,(_calc!$E$553-500)))&amp;" – "&amp;IF(LEN(INDEX('My equipment'!$D$4:$D$503,(_calc!$E$553-500)))=0,"",INDEX('My equipment'!$D$4:$D$503,(_calc!$E$553-500)))))</f>
        <v/>
      </c>
      <c r="B551" s="54">
        <f>IF(_calc!$E$553="","",IF(_calc!$E$553&lt;=500,IF(ISNUMBER(INDEX('Dealer pipeline'!$M$4:$M$503,_calc!$E$553)),TEXT(INDEX('Dealer pipeline'!$M$4:$M$503,_calc!$E$553),"yyyy-mm-dd"),""),IF(ISNUMBER(INDEX('My equipment'!$M$4:$M$503,(_calc!$E$553-500))),TEXT(INDEX('My equipment'!$M$4:$M$503,(_calc!$E$553-500)),"yyyy-mm-dd"),"")))</f>
        <v/>
      </c>
      <c r="C551" s="54">
        <f>IF(_calc!$E$553="","",IF(_calc!$E$553&lt;=500,"Warranty","Warranty"))</f>
        <v/>
      </c>
      <c r="D551" s="54">
        <f>IF(_calc!$E$553="","",IF(_calc!$E$553&lt;=500,IF(ISNUMBER(INDEX('Dealer pipeline'!$H$4:$H$503,_calc!$E$553)),TEXT(INDEX('Dealer pipeline'!$H$4:$H$503,_calc!$E$553),"yyyy-mm-dd"),""),IF(ISNUMBER(INDEX('My equipment'!$H$4:$H$503,(_calc!$E$553-500))),TEXT(INDEX('My equipment'!$H$4:$H$503,(_calc!$E$553-500)),"yyyy-mm-dd"),"")))</f>
        <v/>
      </c>
      <c r="F551" s="54">
        <f>IF(_calc!$E$553="","",IF(_calc!$E$553&lt;=500,TRIM(IF(LEN(IF(LEN(INDEX('Dealer pipeline'!$A$4:$A$503,_calc!$E$553))=0,"",INDEX('Dealer pipeline'!$A$4:$A$503,_calc!$E$553)))=0,"","Customer: "&amp;IF(LEN(INDEX('Dealer pipeline'!$A$4:$A$503,_calc!$E$553))=0,"",INDEX('Dealer pipeline'!$A$4:$A$503,_calc!$E$553))&amp;". ")&amp;IF(LEN(IF(LEN(INDEX('Dealer pipeline'!$B$4:$B$503,_calc!$E$553))=0,"",INDEX('Dealer pipeline'!$B$4:$B$503,_calc!$E$553)))=0,"","Contact: "&amp;IF(LEN(INDEX('Dealer pipeline'!$B$4:$B$503,_calc!$E$553))=0,"",INDEX('Dealer pipeline'!$B$4:$B$503,_calc!$E$553))&amp;". ")&amp;IF(LEN(IF(LEN(INDEX('Dealer pipeline'!$D$4:$D$503,_calc!$E$553))=0,"",INDEX('Dealer pipeline'!$D$4:$D$503,_calc!$E$553)))=0,"","Serial: "&amp;IF(LEN(INDEX('Dealer pipeline'!$D$4:$D$503,_calc!$E$553))=0,"",INDEX('Dealer pipeline'!$D$4:$D$503,_calc!$E$553))&amp;". ")&amp;IF(LEN(IF(ISNUMBER(INDEX('Dealer pipeline'!$J$4:$J$503,_calc!$E$553)),TEXT(INDEX('Dealer pipeline'!$J$4:$J$503,_calc!$E$553),"yyyy-mm-dd"),""))=0,"","Parts end: "&amp;IF(ISNUMBER(INDEX('Dealer pipeline'!$J$4:$J$503,_calc!$E$553)),TEXT(INDEX('Dealer pipeline'!$J$4:$J$503,_calc!$E$553),"yyyy-mm-dd"),"")&amp;". ")&amp;IF(LEN(IF(ISNUMBER(INDEX('Dealer pipeline'!$L$4:$L$503,_calc!$E$553)),TEXT(INDEX('Dealer pipeline'!$L$4:$L$503,_calc!$E$553),"yyyy-mm-dd"),""))=0,"","Labor end: "&amp;IF(ISNUMBER(INDEX('Dealer pipeline'!$L$4:$L$503,_calc!$E$553)),TEXT(INDEX('Dealer pipeline'!$L$4:$L$503,_calc!$E$553),"yyyy-mm-dd"),"")&amp;". ")&amp;IF(LEN(IF(LEN(INDEX('Dealer pipeline'!$Q$4:$Q$503,_calc!$E$553))=0,"",INDEX('Dealer pipeline'!$Q$4:$Q$503,_calc!$E$553)))=0,"","Status: "&amp;IF(LEN(INDEX('Dealer pipeline'!$Q$4:$Q$503,_calc!$E$553))=0,"",INDEX('Dealer pipeline'!$Q$4:$Q$503,_calc!$E$553))&amp;". ")&amp;IF(LEN(IF(LEN(INDEX('Dealer pipeline'!$P$4:$P$503,_calc!$E$553))=0,"",INDEX('Dealer pipeline'!$P$4:$P$503,_calc!$E$553)))=0,"","Last touch: "&amp;IF(LEN(INDEX('Dealer pipeline'!$P$4:$P$503,_calc!$E$553))=0,"",INDEX('Dealer pipeline'!$P$4:$P$503,_calc!$E$553))&amp;". ")&amp;IF(LEN(IF(LEN(INDEX('Dealer pipeline'!$R$4:$R$503,_calc!$E$553))=0,"",INDEX('Dealer pipeline'!$R$4:$R$503,_calc!$E$553)))=0,"","Owner: "&amp;IF(LEN(INDEX('Dealer pipeline'!$R$4:$R$503,_calc!$E$553))=0,"",INDEX('Dealer pipeline'!$R$4:$R$503,_calc!$E$553))&amp;". ")&amp;IF(LEN(IF(LEN(INDEX('Dealer pipeline'!$S$4:$S$503,_calc!$E$553))=0,"",INDEX('Dealer pipeline'!$S$4:$S$503,_calc!$E$553)))=0,"","Backup: "&amp;IF(LEN(INDEX('Dealer pipeline'!$S$4:$S$503,_calc!$E$553))=0,"",INDEX('Dealer pipeline'!$S$4:$S$503,_calc!$E$553))&amp;". ")&amp;IF(LEN(IF(LEN(INDEX('Dealer pipeline'!$T$4:$T$503,_calc!$E$553))=0,"",INDEX('Dealer pipeline'!$T$4:$T$503,_calc!$E$553)))=0,"",IF(LEN(INDEX('Dealer pipeline'!$T$4:$T$503,_calc!$E$553))=0,"",INDEX('Dealer pipeline'!$T$4:$T$503,_calc!$E$553)))),TRIM(IF(LEN(IF(LEN(INDEX('My equipment'!$C$4:$C$503,(_calc!$E$553-500)))=0,"",INDEX('My equipment'!$C$4:$C$503,(_calc!$E$553-500))))=0,"","Model: "&amp;IF(LEN(INDEX('My equipment'!$C$4:$C$503,(_calc!$E$553-500)))=0,"",INDEX('My equipment'!$C$4:$C$503,(_calc!$E$553-500)))&amp;". ")&amp;IF(LEN(IF(LEN(INDEX('My equipment'!$D$4:$D$503,(_calc!$E$553-500)))=0,"",INDEX('My equipment'!$D$4:$D$503,(_calc!$E$553-500))))=0,"","Serial: "&amp;IF(LEN(INDEX('My equipment'!$D$4:$D$503,(_calc!$E$553-500)))=0,"",INDEX('My equipment'!$D$4:$D$503,(_calc!$E$553-500)))&amp;". ")&amp;IF(LEN(IF(ISNUMBER(INDEX('My equipment'!$J$4:$J$503,(_calc!$E$553-500))),TEXT(INDEX('My equipment'!$J$4:$J$503,(_calc!$E$553-500)),"yyyy-mm-dd"),""))=0,"","Parts end: "&amp;IF(ISNUMBER(INDEX('My equipment'!$J$4:$J$503,(_calc!$E$553-500))),TEXT(INDEX('My equipment'!$J$4:$J$503,(_calc!$E$553-500)),"yyyy-mm-dd"),"")&amp;". ")&amp;IF(LEN(IF(ISNUMBER(INDEX('My equipment'!$L$4:$L$503,(_calc!$E$553-500))),TEXT(INDEX('My equipment'!$L$4:$L$503,(_calc!$E$553-500)),"yyyy-mm-dd"),""))=0,"","Labor end: "&amp;IF(ISNUMBER(INDEX('My equipment'!$L$4:$L$503,(_calc!$E$553-500))),TEXT(INDEX('My equipment'!$L$4:$L$503,(_calc!$E$553-500)),"yyyy-mm-dd"),"")&amp;". ")&amp;IF(LEN(IF(ISNUMBER(INDEX('My equipment'!$P$4:$P$503,(_calc!$E$553-500))),TEXT(INDEX('My equipment'!$P$4:$P$503,(_calc!$E$553-500)),"yyyy-mm-dd"),""))=0,"","Check by: "&amp;IF(ISNUMBER(INDEX('My equipment'!$P$4:$P$503,(_calc!$E$553-500))),TEXT(INDEX('My equipment'!$P$4:$P$503,(_calc!$E$553-500)),"yyyy-mm-dd"),"")&amp;". ")&amp;IF(LEN(IF(LEN(INDEX('My equipment'!$Q$4:$Q$503,(_calc!$E$553-500)))=0,"",INDEX('My equipment'!$Q$4:$Q$503,(_calc!$E$553-500))))=0,"","Claim status: "&amp;IF(LEN(INDEX('My equipment'!$Q$4:$Q$503,(_calc!$E$553-500)))=0,"",INDEX('My equipment'!$Q$4:$Q$503,(_calc!$E$553-500)))&amp;". ")&amp;IF(LEN(IF(LEN(INDEX('My equipment'!$R$4:$R$503,(_calc!$E$553-500)))=0,"",INDEX('My equipment'!$R$4:$R$503,(_calc!$E$553-500))))=0,"","Claims contact: "&amp;IF(LEN(INDEX('My equipment'!$R$4:$R$503,(_calc!$E$553-500)))=0,"",INDEX('My equipment'!$R$4:$R$503,(_calc!$E$553-500)))&amp;". ")&amp;IF(LEN(IF(LEN(INDEX('My equipment'!$S$4:$S$503,(_calc!$E$553-500)))=0,"",INDEX('My equipment'!$S$4:$S$503,(_calc!$E$553-500))))=0,"","Claims email: "&amp;IF(LEN(INDEX('My equipment'!$S$4:$S$503,(_calc!$E$553-500)))=0,"",INDEX('My equipment'!$S$4:$S$503,(_calc!$E$553-500)))&amp;". ")&amp;IF(LEN(IF(LEN(INDEX('My equipment'!$U$4:$U$503,(_calc!$E$553-500)))=0,"",INDEX('My equipment'!$U$4:$U$503,(_calc!$E$553-500))))=0,"","Registered: "&amp;IF(LEN(INDEX('My equipment'!$U$4:$U$503,(_calc!$E$553-500)))=0,"",INDEX('My equipment'!$U$4:$U$503,(_calc!$E$553-500)))&amp;". ")&amp;IF(LEN(IF(LEN(INDEX('My equipment'!$V$4:$V$503,(_calc!$E$553-500)))=0,"",INDEX('My equipment'!$V$4:$V$503,(_calc!$E$553-500))))=0,"","Proof on file: "&amp;IF(LEN(INDEX('My equipment'!$V$4:$V$503,(_calc!$E$553-500)))=0,"",INDEX('My equipment'!$V$4:$V$503,(_calc!$E$553-500)))&amp;". ")&amp;IF(LEN(IF(LEN(INDEX('My equipment'!$W$4:$W$503,(_calc!$E$553-500)))=0,"",INDEX('My equipment'!$W$4:$W$503,(_calc!$E$553-500))))=0,"","Claim ref: "&amp;IF(LEN(INDEX('My equipment'!$W$4:$W$503,(_calc!$E$553-500)))=0,"",INDEX('My equipment'!$W$4:$W$503,(_calc!$E$553-500)))&amp;". ")&amp;IF(LEN(IF(LEN(INDEX('My equipment'!$Y$4:$Y$503,(_calc!$E$553-500)))=0,"",INDEX('My equipment'!$Y$4:$Y$503,(_calc!$E$553-500))))=0,"",IF(LEN(INDEX('My equipment'!$Y$4:$Y$503,(_calc!$E$553-500)))=0,"",INDEX('My equipment'!$Y$4:$Y$503,(_calc!$E$553-500)))))))</f>
        <v/>
      </c>
      <c r="G551" s="54">
        <f>IF(_calc!$E$553="","",IF(_calc!$E$553&lt;=500,"",IF(LEN(INDEX('My equipment'!$X$4:$X$503,(_calc!$E$553-500)))=0,"",INDEX('My equipment'!$X$4:$X$503,(_calc!$E$553-500)))))</f>
        <v/>
      </c>
      <c r="K551" s="54">
        <f>IF(_calc!$E$553="","",IF(_calc!$E$553&lt;=500,"",IF(LEN(INDEX('My equipment'!$T$4:$T$503,(_calc!$E$553-500)))=0,"",INDEX('My equipment'!$T$4:$T$503,(_calc!$E$553-500)))))</f>
        <v/>
      </c>
    </row>
    <row r="552">
      <c r="A552" s="54">
        <f>IF(_calc!$E$554="","",IF(_calc!$E$554&lt;=500,"Warranty – "&amp;IF(LEN(INDEX('Dealer pipeline'!$C$4:$C$503,_calc!$E$554))=0,"",INDEX('Dealer pipeline'!$C$4:$C$503,_calc!$E$554))&amp;" – "&amp;IF(LEN(INDEX('Dealer pipeline'!$D$4:$D$503,_calc!$E$554))=0,"",INDEX('Dealer pipeline'!$D$4:$D$503,_calc!$E$554))&amp;" – "&amp;IF(LEN(INDEX('Dealer pipeline'!$A$4:$A$503,_calc!$E$554))=0,"",INDEX('Dealer pipeline'!$A$4:$A$503,_calc!$E$554)),"Warranty – "&amp;IF(LEN(INDEX('My equipment'!$A$4:$A$503,(_calc!$E$554-500)))=0,"",INDEX('My equipment'!$A$4:$A$503,(_calc!$E$554-500)))&amp;" – "&amp;IF(LEN(INDEX('My equipment'!$D$4:$D$503,(_calc!$E$554-500)))=0,"",INDEX('My equipment'!$D$4:$D$503,(_calc!$E$554-500)))))</f>
        <v/>
      </c>
      <c r="B552" s="54">
        <f>IF(_calc!$E$554="","",IF(_calc!$E$554&lt;=500,IF(ISNUMBER(INDEX('Dealer pipeline'!$M$4:$M$503,_calc!$E$554)),TEXT(INDEX('Dealer pipeline'!$M$4:$M$503,_calc!$E$554),"yyyy-mm-dd"),""),IF(ISNUMBER(INDEX('My equipment'!$M$4:$M$503,(_calc!$E$554-500))),TEXT(INDEX('My equipment'!$M$4:$M$503,(_calc!$E$554-500)),"yyyy-mm-dd"),"")))</f>
        <v/>
      </c>
      <c r="C552" s="54">
        <f>IF(_calc!$E$554="","",IF(_calc!$E$554&lt;=500,"Warranty","Warranty"))</f>
        <v/>
      </c>
      <c r="D552" s="54">
        <f>IF(_calc!$E$554="","",IF(_calc!$E$554&lt;=500,IF(ISNUMBER(INDEX('Dealer pipeline'!$H$4:$H$503,_calc!$E$554)),TEXT(INDEX('Dealer pipeline'!$H$4:$H$503,_calc!$E$554),"yyyy-mm-dd"),""),IF(ISNUMBER(INDEX('My equipment'!$H$4:$H$503,(_calc!$E$554-500))),TEXT(INDEX('My equipment'!$H$4:$H$503,(_calc!$E$554-500)),"yyyy-mm-dd"),"")))</f>
        <v/>
      </c>
      <c r="F552" s="54">
        <f>IF(_calc!$E$554="","",IF(_calc!$E$554&lt;=500,TRIM(IF(LEN(IF(LEN(INDEX('Dealer pipeline'!$A$4:$A$503,_calc!$E$554))=0,"",INDEX('Dealer pipeline'!$A$4:$A$503,_calc!$E$554)))=0,"","Customer: "&amp;IF(LEN(INDEX('Dealer pipeline'!$A$4:$A$503,_calc!$E$554))=0,"",INDEX('Dealer pipeline'!$A$4:$A$503,_calc!$E$554))&amp;". ")&amp;IF(LEN(IF(LEN(INDEX('Dealer pipeline'!$B$4:$B$503,_calc!$E$554))=0,"",INDEX('Dealer pipeline'!$B$4:$B$503,_calc!$E$554)))=0,"","Contact: "&amp;IF(LEN(INDEX('Dealer pipeline'!$B$4:$B$503,_calc!$E$554))=0,"",INDEX('Dealer pipeline'!$B$4:$B$503,_calc!$E$554))&amp;". ")&amp;IF(LEN(IF(LEN(INDEX('Dealer pipeline'!$D$4:$D$503,_calc!$E$554))=0,"",INDEX('Dealer pipeline'!$D$4:$D$503,_calc!$E$554)))=0,"","Serial: "&amp;IF(LEN(INDEX('Dealer pipeline'!$D$4:$D$503,_calc!$E$554))=0,"",INDEX('Dealer pipeline'!$D$4:$D$503,_calc!$E$554))&amp;". ")&amp;IF(LEN(IF(ISNUMBER(INDEX('Dealer pipeline'!$J$4:$J$503,_calc!$E$554)),TEXT(INDEX('Dealer pipeline'!$J$4:$J$503,_calc!$E$554),"yyyy-mm-dd"),""))=0,"","Parts end: "&amp;IF(ISNUMBER(INDEX('Dealer pipeline'!$J$4:$J$503,_calc!$E$554)),TEXT(INDEX('Dealer pipeline'!$J$4:$J$503,_calc!$E$554),"yyyy-mm-dd"),"")&amp;". ")&amp;IF(LEN(IF(ISNUMBER(INDEX('Dealer pipeline'!$L$4:$L$503,_calc!$E$554)),TEXT(INDEX('Dealer pipeline'!$L$4:$L$503,_calc!$E$554),"yyyy-mm-dd"),""))=0,"","Labor end: "&amp;IF(ISNUMBER(INDEX('Dealer pipeline'!$L$4:$L$503,_calc!$E$554)),TEXT(INDEX('Dealer pipeline'!$L$4:$L$503,_calc!$E$554),"yyyy-mm-dd"),"")&amp;". ")&amp;IF(LEN(IF(LEN(INDEX('Dealer pipeline'!$Q$4:$Q$503,_calc!$E$554))=0,"",INDEX('Dealer pipeline'!$Q$4:$Q$503,_calc!$E$554)))=0,"","Status: "&amp;IF(LEN(INDEX('Dealer pipeline'!$Q$4:$Q$503,_calc!$E$554))=0,"",INDEX('Dealer pipeline'!$Q$4:$Q$503,_calc!$E$554))&amp;". ")&amp;IF(LEN(IF(LEN(INDEX('Dealer pipeline'!$P$4:$P$503,_calc!$E$554))=0,"",INDEX('Dealer pipeline'!$P$4:$P$503,_calc!$E$554)))=0,"","Last touch: "&amp;IF(LEN(INDEX('Dealer pipeline'!$P$4:$P$503,_calc!$E$554))=0,"",INDEX('Dealer pipeline'!$P$4:$P$503,_calc!$E$554))&amp;". ")&amp;IF(LEN(IF(LEN(INDEX('Dealer pipeline'!$R$4:$R$503,_calc!$E$554))=0,"",INDEX('Dealer pipeline'!$R$4:$R$503,_calc!$E$554)))=0,"","Owner: "&amp;IF(LEN(INDEX('Dealer pipeline'!$R$4:$R$503,_calc!$E$554))=0,"",INDEX('Dealer pipeline'!$R$4:$R$503,_calc!$E$554))&amp;". ")&amp;IF(LEN(IF(LEN(INDEX('Dealer pipeline'!$S$4:$S$503,_calc!$E$554))=0,"",INDEX('Dealer pipeline'!$S$4:$S$503,_calc!$E$554)))=0,"","Backup: "&amp;IF(LEN(INDEX('Dealer pipeline'!$S$4:$S$503,_calc!$E$554))=0,"",INDEX('Dealer pipeline'!$S$4:$S$503,_calc!$E$554))&amp;". ")&amp;IF(LEN(IF(LEN(INDEX('Dealer pipeline'!$T$4:$T$503,_calc!$E$554))=0,"",INDEX('Dealer pipeline'!$T$4:$T$503,_calc!$E$554)))=0,"",IF(LEN(INDEX('Dealer pipeline'!$T$4:$T$503,_calc!$E$554))=0,"",INDEX('Dealer pipeline'!$T$4:$T$503,_calc!$E$554)))),TRIM(IF(LEN(IF(LEN(INDEX('My equipment'!$C$4:$C$503,(_calc!$E$554-500)))=0,"",INDEX('My equipment'!$C$4:$C$503,(_calc!$E$554-500))))=0,"","Model: "&amp;IF(LEN(INDEX('My equipment'!$C$4:$C$503,(_calc!$E$554-500)))=0,"",INDEX('My equipment'!$C$4:$C$503,(_calc!$E$554-500)))&amp;". ")&amp;IF(LEN(IF(LEN(INDEX('My equipment'!$D$4:$D$503,(_calc!$E$554-500)))=0,"",INDEX('My equipment'!$D$4:$D$503,(_calc!$E$554-500))))=0,"","Serial: "&amp;IF(LEN(INDEX('My equipment'!$D$4:$D$503,(_calc!$E$554-500)))=0,"",INDEX('My equipment'!$D$4:$D$503,(_calc!$E$554-500)))&amp;". ")&amp;IF(LEN(IF(ISNUMBER(INDEX('My equipment'!$J$4:$J$503,(_calc!$E$554-500))),TEXT(INDEX('My equipment'!$J$4:$J$503,(_calc!$E$554-500)),"yyyy-mm-dd"),""))=0,"","Parts end: "&amp;IF(ISNUMBER(INDEX('My equipment'!$J$4:$J$503,(_calc!$E$554-500))),TEXT(INDEX('My equipment'!$J$4:$J$503,(_calc!$E$554-500)),"yyyy-mm-dd"),"")&amp;". ")&amp;IF(LEN(IF(ISNUMBER(INDEX('My equipment'!$L$4:$L$503,(_calc!$E$554-500))),TEXT(INDEX('My equipment'!$L$4:$L$503,(_calc!$E$554-500)),"yyyy-mm-dd"),""))=0,"","Labor end: "&amp;IF(ISNUMBER(INDEX('My equipment'!$L$4:$L$503,(_calc!$E$554-500))),TEXT(INDEX('My equipment'!$L$4:$L$503,(_calc!$E$554-500)),"yyyy-mm-dd"),"")&amp;". ")&amp;IF(LEN(IF(ISNUMBER(INDEX('My equipment'!$P$4:$P$503,(_calc!$E$554-500))),TEXT(INDEX('My equipment'!$P$4:$P$503,(_calc!$E$554-500)),"yyyy-mm-dd"),""))=0,"","Check by: "&amp;IF(ISNUMBER(INDEX('My equipment'!$P$4:$P$503,(_calc!$E$554-500))),TEXT(INDEX('My equipment'!$P$4:$P$503,(_calc!$E$554-500)),"yyyy-mm-dd"),"")&amp;". ")&amp;IF(LEN(IF(LEN(INDEX('My equipment'!$Q$4:$Q$503,(_calc!$E$554-500)))=0,"",INDEX('My equipment'!$Q$4:$Q$503,(_calc!$E$554-500))))=0,"","Claim status: "&amp;IF(LEN(INDEX('My equipment'!$Q$4:$Q$503,(_calc!$E$554-500)))=0,"",INDEX('My equipment'!$Q$4:$Q$503,(_calc!$E$554-500)))&amp;". ")&amp;IF(LEN(IF(LEN(INDEX('My equipment'!$R$4:$R$503,(_calc!$E$554-500)))=0,"",INDEX('My equipment'!$R$4:$R$503,(_calc!$E$554-500))))=0,"","Claims contact: "&amp;IF(LEN(INDEX('My equipment'!$R$4:$R$503,(_calc!$E$554-500)))=0,"",INDEX('My equipment'!$R$4:$R$503,(_calc!$E$554-500)))&amp;". ")&amp;IF(LEN(IF(LEN(INDEX('My equipment'!$S$4:$S$503,(_calc!$E$554-500)))=0,"",INDEX('My equipment'!$S$4:$S$503,(_calc!$E$554-500))))=0,"","Claims email: "&amp;IF(LEN(INDEX('My equipment'!$S$4:$S$503,(_calc!$E$554-500)))=0,"",INDEX('My equipment'!$S$4:$S$503,(_calc!$E$554-500)))&amp;". ")&amp;IF(LEN(IF(LEN(INDEX('My equipment'!$U$4:$U$503,(_calc!$E$554-500)))=0,"",INDEX('My equipment'!$U$4:$U$503,(_calc!$E$554-500))))=0,"","Registered: "&amp;IF(LEN(INDEX('My equipment'!$U$4:$U$503,(_calc!$E$554-500)))=0,"",INDEX('My equipment'!$U$4:$U$503,(_calc!$E$554-500)))&amp;". ")&amp;IF(LEN(IF(LEN(INDEX('My equipment'!$V$4:$V$503,(_calc!$E$554-500)))=0,"",INDEX('My equipment'!$V$4:$V$503,(_calc!$E$554-500))))=0,"","Proof on file: "&amp;IF(LEN(INDEX('My equipment'!$V$4:$V$503,(_calc!$E$554-500)))=0,"",INDEX('My equipment'!$V$4:$V$503,(_calc!$E$554-500)))&amp;". ")&amp;IF(LEN(IF(LEN(INDEX('My equipment'!$W$4:$W$503,(_calc!$E$554-500)))=0,"",INDEX('My equipment'!$W$4:$W$503,(_calc!$E$554-500))))=0,"","Claim ref: "&amp;IF(LEN(INDEX('My equipment'!$W$4:$W$503,(_calc!$E$554-500)))=0,"",INDEX('My equipment'!$W$4:$W$503,(_calc!$E$554-500)))&amp;". ")&amp;IF(LEN(IF(LEN(INDEX('My equipment'!$Y$4:$Y$503,(_calc!$E$554-500)))=0,"",INDEX('My equipment'!$Y$4:$Y$503,(_calc!$E$554-500))))=0,"",IF(LEN(INDEX('My equipment'!$Y$4:$Y$503,(_calc!$E$554-500)))=0,"",INDEX('My equipment'!$Y$4:$Y$503,(_calc!$E$554-500)))))))</f>
        <v/>
      </c>
      <c r="G552" s="54">
        <f>IF(_calc!$E$554="","",IF(_calc!$E$554&lt;=500,"",IF(LEN(INDEX('My equipment'!$X$4:$X$503,(_calc!$E$554-500)))=0,"",INDEX('My equipment'!$X$4:$X$503,(_calc!$E$554-500)))))</f>
        <v/>
      </c>
      <c r="K552" s="54">
        <f>IF(_calc!$E$554="","",IF(_calc!$E$554&lt;=500,"",IF(LEN(INDEX('My equipment'!$T$4:$T$503,(_calc!$E$554-500)))=0,"",INDEX('My equipment'!$T$4:$T$503,(_calc!$E$554-500)))))</f>
        <v/>
      </c>
    </row>
    <row r="553">
      <c r="A553" s="54">
        <f>IF(_calc!$E$555="","",IF(_calc!$E$555&lt;=500,"Warranty – "&amp;IF(LEN(INDEX('Dealer pipeline'!$C$4:$C$503,_calc!$E$555))=0,"",INDEX('Dealer pipeline'!$C$4:$C$503,_calc!$E$555))&amp;" – "&amp;IF(LEN(INDEX('Dealer pipeline'!$D$4:$D$503,_calc!$E$555))=0,"",INDEX('Dealer pipeline'!$D$4:$D$503,_calc!$E$555))&amp;" – "&amp;IF(LEN(INDEX('Dealer pipeline'!$A$4:$A$503,_calc!$E$555))=0,"",INDEX('Dealer pipeline'!$A$4:$A$503,_calc!$E$555)),"Warranty – "&amp;IF(LEN(INDEX('My equipment'!$A$4:$A$503,(_calc!$E$555-500)))=0,"",INDEX('My equipment'!$A$4:$A$503,(_calc!$E$555-500)))&amp;" – "&amp;IF(LEN(INDEX('My equipment'!$D$4:$D$503,(_calc!$E$555-500)))=0,"",INDEX('My equipment'!$D$4:$D$503,(_calc!$E$555-500)))))</f>
        <v/>
      </c>
      <c r="B553" s="54">
        <f>IF(_calc!$E$555="","",IF(_calc!$E$555&lt;=500,IF(ISNUMBER(INDEX('Dealer pipeline'!$M$4:$M$503,_calc!$E$555)),TEXT(INDEX('Dealer pipeline'!$M$4:$M$503,_calc!$E$555),"yyyy-mm-dd"),""),IF(ISNUMBER(INDEX('My equipment'!$M$4:$M$503,(_calc!$E$555-500))),TEXT(INDEX('My equipment'!$M$4:$M$503,(_calc!$E$555-500)),"yyyy-mm-dd"),"")))</f>
        <v/>
      </c>
      <c r="C553" s="54">
        <f>IF(_calc!$E$555="","",IF(_calc!$E$555&lt;=500,"Warranty","Warranty"))</f>
        <v/>
      </c>
      <c r="D553" s="54">
        <f>IF(_calc!$E$555="","",IF(_calc!$E$555&lt;=500,IF(ISNUMBER(INDEX('Dealer pipeline'!$H$4:$H$503,_calc!$E$555)),TEXT(INDEX('Dealer pipeline'!$H$4:$H$503,_calc!$E$555),"yyyy-mm-dd"),""),IF(ISNUMBER(INDEX('My equipment'!$H$4:$H$503,(_calc!$E$555-500))),TEXT(INDEX('My equipment'!$H$4:$H$503,(_calc!$E$555-500)),"yyyy-mm-dd"),"")))</f>
        <v/>
      </c>
      <c r="F553" s="54">
        <f>IF(_calc!$E$555="","",IF(_calc!$E$555&lt;=500,TRIM(IF(LEN(IF(LEN(INDEX('Dealer pipeline'!$A$4:$A$503,_calc!$E$555))=0,"",INDEX('Dealer pipeline'!$A$4:$A$503,_calc!$E$555)))=0,"","Customer: "&amp;IF(LEN(INDEX('Dealer pipeline'!$A$4:$A$503,_calc!$E$555))=0,"",INDEX('Dealer pipeline'!$A$4:$A$503,_calc!$E$555))&amp;". ")&amp;IF(LEN(IF(LEN(INDEX('Dealer pipeline'!$B$4:$B$503,_calc!$E$555))=0,"",INDEX('Dealer pipeline'!$B$4:$B$503,_calc!$E$555)))=0,"","Contact: "&amp;IF(LEN(INDEX('Dealer pipeline'!$B$4:$B$503,_calc!$E$555))=0,"",INDEX('Dealer pipeline'!$B$4:$B$503,_calc!$E$555))&amp;". ")&amp;IF(LEN(IF(LEN(INDEX('Dealer pipeline'!$D$4:$D$503,_calc!$E$555))=0,"",INDEX('Dealer pipeline'!$D$4:$D$503,_calc!$E$555)))=0,"","Serial: "&amp;IF(LEN(INDEX('Dealer pipeline'!$D$4:$D$503,_calc!$E$555))=0,"",INDEX('Dealer pipeline'!$D$4:$D$503,_calc!$E$555))&amp;". ")&amp;IF(LEN(IF(ISNUMBER(INDEX('Dealer pipeline'!$J$4:$J$503,_calc!$E$555)),TEXT(INDEX('Dealer pipeline'!$J$4:$J$503,_calc!$E$555),"yyyy-mm-dd"),""))=0,"","Parts end: "&amp;IF(ISNUMBER(INDEX('Dealer pipeline'!$J$4:$J$503,_calc!$E$555)),TEXT(INDEX('Dealer pipeline'!$J$4:$J$503,_calc!$E$555),"yyyy-mm-dd"),"")&amp;". ")&amp;IF(LEN(IF(ISNUMBER(INDEX('Dealer pipeline'!$L$4:$L$503,_calc!$E$555)),TEXT(INDEX('Dealer pipeline'!$L$4:$L$503,_calc!$E$555),"yyyy-mm-dd"),""))=0,"","Labor end: "&amp;IF(ISNUMBER(INDEX('Dealer pipeline'!$L$4:$L$503,_calc!$E$555)),TEXT(INDEX('Dealer pipeline'!$L$4:$L$503,_calc!$E$555),"yyyy-mm-dd"),"")&amp;". ")&amp;IF(LEN(IF(LEN(INDEX('Dealer pipeline'!$Q$4:$Q$503,_calc!$E$555))=0,"",INDEX('Dealer pipeline'!$Q$4:$Q$503,_calc!$E$555)))=0,"","Status: "&amp;IF(LEN(INDEX('Dealer pipeline'!$Q$4:$Q$503,_calc!$E$555))=0,"",INDEX('Dealer pipeline'!$Q$4:$Q$503,_calc!$E$555))&amp;". ")&amp;IF(LEN(IF(LEN(INDEX('Dealer pipeline'!$P$4:$P$503,_calc!$E$555))=0,"",INDEX('Dealer pipeline'!$P$4:$P$503,_calc!$E$555)))=0,"","Last touch: "&amp;IF(LEN(INDEX('Dealer pipeline'!$P$4:$P$503,_calc!$E$555))=0,"",INDEX('Dealer pipeline'!$P$4:$P$503,_calc!$E$555))&amp;". ")&amp;IF(LEN(IF(LEN(INDEX('Dealer pipeline'!$R$4:$R$503,_calc!$E$555))=0,"",INDEX('Dealer pipeline'!$R$4:$R$503,_calc!$E$555)))=0,"","Owner: "&amp;IF(LEN(INDEX('Dealer pipeline'!$R$4:$R$503,_calc!$E$555))=0,"",INDEX('Dealer pipeline'!$R$4:$R$503,_calc!$E$555))&amp;". ")&amp;IF(LEN(IF(LEN(INDEX('Dealer pipeline'!$S$4:$S$503,_calc!$E$555))=0,"",INDEX('Dealer pipeline'!$S$4:$S$503,_calc!$E$555)))=0,"","Backup: "&amp;IF(LEN(INDEX('Dealer pipeline'!$S$4:$S$503,_calc!$E$555))=0,"",INDEX('Dealer pipeline'!$S$4:$S$503,_calc!$E$555))&amp;". ")&amp;IF(LEN(IF(LEN(INDEX('Dealer pipeline'!$T$4:$T$503,_calc!$E$555))=0,"",INDEX('Dealer pipeline'!$T$4:$T$503,_calc!$E$555)))=0,"",IF(LEN(INDEX('Dealer pipeline'!$T$4:$T$503,_calc!$E$555))=0,"",INDEX('Dealer pipeline'!$T$4:$T$503,_calc!$E$555)))),TRIM(IF(LEN(IF(LEN(INDEX('My equipment'!$C$4:$C$503,(_calc!$E$555-500)))=0,"",INDEX('My equipment'!$C$4:$C$503,(_calc!$E$555-500))))=0,"","Model: "&amp;IF(LEN(INDEX('My equipment'!$C$4:$C$503,(_calc!$E$555-500)))=0,"",INDEX('My equipment'!$C$4:$C$503,(_calc!$E$555-500)))&amp;". ")&amp;IF(LEN(IF(LEN(INDEX('My equipment'!$D$4:$D$503,(_calc!$E$555-500)))=0,"",INDEX('My equipment'!$D$4:$D$503,(_calc!$E$555-500))))=0,"","Serial: "&amp;IF(LEN(INDEX('My equipment'!$D$4:$D$503,(_calc!$E$555-500)))=0,"",INDEX('My equipment'!$D$4:$D$503,(_calc!$E$555-500)))&amp;". ")&amp;IF(LEN(IF(ISNUMBER(INDEX('My equipment'!$J$4:$J$503,(_calc!$E$555-500))),TEXT(INDEX('My equipment'!$J$4:$J$503,(_calc!$E$555-500)),"yyyy-mm-dd"),""))=0,"","Parts end: "&amp;IF(ISNUMBER(INDEX('My equipment'!$J$4:$J$503,(_calc!$E$555-500))),TEXT(INDEX('My equipment'!$J$4:$J$503,(_calc!$E$555-500)),"yyyy-mm-dd"),"")&amp;". ")&amp;IF(LEN(IF(ISNUMBER(INDEX('My equipment'!$L$4:$L$503,(_calc!$E$555-500))),TEXT(INDEX('My equipment'!$L$4:$L$503,(_calc!$E$555-500)),"yyyy-mm-dd"),""))=0,"","Labor end: "&amp;IF(ISNUMBER(INDEX('My equipment'!$L$4:$L$503,(_calc!$E$555-500))),TEXT(INDEX('My equipment'!$L$4:$L$503,(_calc!$E$555-500)),"yyyy-mm-dd"),"")&amp;". ")&amp;IF(LEN(IF(ISNUMBER(INDEX('My equipment'!$P$4:$P$503,(_calc!$E$555-500))),TEXT(INDEX('My equipment'!$P$4:$P$503,(_calc!$E$555-500)),"yyyy-mm-dd"),""))=0,"","Check by: "&amp;IF(ISNUMBER(INDEX('My equipment'!$P$4:$P$503,(_calc!$E$555-500))),TEXT(INDEX('My equipment'!$P$4:$P$503,(_calc!$E$555-500)),"yyyy-mm-dd"),"")&amp;". ")&amp;IF(LEN(IF(LEN(INDEX('My equipment'!$Q$4:$Q$503,(_calc!$E$555-500)))=0,"",INDEX('My equipment'!$Q$4:$Q$503,(_calc!$E$555-500))))=0,"","Claim status: "&amp;IF(LEN(INDEX('My equipment'!$Q$4:$Q$503,(_calc!$E$555-500)))=0,"",INDEX('My equipment'!$Q$4:$Q$503,(_calc!$E$555-500)))&amp;". ")&amp;IF(LEN(IF(LEN(INDEX('My equipment'!$R$4:$R$503,(_calc!$E$555-500)))=0,"",INDEX('My equipment'!$R$4:$R$503,(_calc!$E$555-500))))=0,"","Claims contact: "&amp;IF(LEN(INDEX('My equipment'!$R$4:$R$503,(_calc!$E$555-500)))=0,"",INDEX('My equipment'!$R$4:$R$503,(_calc!$E$555-500)))&amp;". ")&amp;IF(LEN(IF(LEN(INDEX('My equipment'!$S$4:$S$503,(_calc!$E$555-500)))=0,"",INDEX('My equipment'!$S$4:$S$503,(_calc!$E$555-500))))=0,"","Claims email: "&amp;IF(LEN(INDEX('My equipment'!$S$4:$S$503,(_calc!$E$555-500)))=0,"",INDEX('My equipment'!$S$4:$S$503,(_calc!$E$555-500)))&amp;". ")&amp;IF(LEN(IF(LEN(INDEX('My equipment'!$U$4:$U$503,(_calc!$E$555-500)))=0,"",INDEX('My equipment'!$U$4:$U$503,(_calc!$E$555-500))))=0,"","Registered: "&amp;IF(LEN(INDEX('My equipment'!$U$4:$U$503,(_calc!$E$555-500)))=0,"",INDEX('My equipment'!$U$4:$U$503,(_calc!$E$555-500)))&amp;". ")&amp;IF(LEN(IF(LEN(INDEX('My equipment'!$V$4:$V$503,(_calc!$E$555-500)))=0,"",INDEX('My equipment'!$V$4:$V$503,(_calc!$E$555-500))))=0,"","Proof on file: "&amp;IF(LEN(INDEX('My equipment'!$V$4:$V$503,(_calc!$E$555-500)))=0,"",INDEX('My equipment'!$V$4:$V$503,(_calc!$E$555-500)))&amp;". ")&amp;IF(LEN(IF(LEN(INDEX('My equipment'!$W$4:$W$503,(_calc!$E$555-500)))=0,"",INDEX('My equipment'!$W$4:$W$503,(_calc!$E$555-500))))=0,"","Claim ref: "&amp;IF(LEN(INDEX('My equipment'!$W$4:$W$503,(_calc!$E$555-500)))=0,"",INDEX('My equipment'!$W$4:$W$503,(_calc!$E$555-500)))&amp;". ")&amp;IF(LEN(IF(LEN(INDEX('My equipment'!$Y$4:$Y$503,(_calc!$E$555-500)))=0,"",INDEX('My equipment'!$Y$4:$Y$503,(_calc!$E$555-500))))=0,"",IF(LEN(INDEX('My equipment'!$Y$4:$Y$503,(_calc!$E$555-500)))=0,"",INDEX('My equipment'!$Y$4:$Y$503,(_calc!$E$555-500)))))))</f>
        <v/>
      </c>
      <c r="G553" s="54">
        <f>IF(_calc!$E$555="","",IF(_calc!$E$555&lt;=500,"",IF(LEN(INDEX('My equipment'!$X$4:$X$503,(_calc!$E$555-500)))=0,"",INDEX('My equipment'!$X$4:$X$503,(_calc!$E$555-500)))))</f>
        <v/>
      </c>
      <c r="K553" s="54">
        <f>IF(_calc!$E$555="","",IF(_calc!$E$555&lt;=500,"",IF(LEN(INDEX('My equipment'!$T$4:$T$503,(_calc!$E$555-500)))=0,"",INDEX('My equipment'!$T$4:$T$503,(_calc!$E$555-500)))))</f>
        <v/>
      </c>
    </row>
    <row r="554">
      <c r="A554" s="54">
        <f>IF(_calc!$E$556="","",IF(_calc!$E$556&lt;=500,"Warranty – "&amp;IF(LEN(INDEX('Dealer pipeline'!$C$4:$C$503,_calc!$E$556))=0,"",INDEX('Dealer pipeline'!$C$4:$C$503,_calc!$E$556))&amp;" – "&amp;IF(LEN(INDEX('Dealer pipeline'!$D$4:$D$503,_calc!$E$556))=0,"",INDEX('Dealer pipeline'!$D$4:$D$503,_calc!$E$556))&amp;" – "&amp;IF(LEN(INDEX('Dealer pipeline'!$A$4:$A$503,_calc!$E$556))=0,"",INDEX('Dealer pipeline'!$A$4:$A$503,_calc!$E$556)),"Warranty – "&amp;IF(LEN(INDEX('My equipment'!$A$4:$A$503,(_calc!$E$556-500)))=0,"",INDEX('My equipment'!$A$4:$A$503,(_calc!$E$556-500)))&amp;" – "&amp;IF(LEN(INDEX('My equipment'!$D$4:$D$503,(_calc!$E$556-500)))=0,"",INDEX('My equipment'!$D$4:$D$503,(_calc!$E$556-500)))))</f>
        <v/>
      </c>
      <c r="B554" s="54">
        <f>IF(_calc!$E$556="","",IF(_calc!$E$556&lt;=500,IF(ISNUMBER(INDEX('Dealer pipeline'!$M$4:$M$503,_calc!$E$556)),TEXT(INDEX('Dealer pipeline'!$M$4:$M$503,_calc!$E$556),"yyyy-mm-dd"),""),IF(ISNUMBER(INDEX('My equipment'!$M$4:$M$503,(_calc!$E$556-500))),TEXT(INDEX('My equipment'!$M$4:$M$503,(_calc!$E$556-500)),"yyyy-mm-dd"),"")))</f>
        <v/>
      </c>
      <c r="C554" s="54">
        <f>IF(_calc!$E$556="","",IF(_calc!$E$556&lt;=500,"Warranty","Warranty"))</f>
        <v/>
      </c>
      <c r="D554" s="54">
        <f>IF(_calc!$E$556="","",IF(_calc!$E$556&lt;=500,IF(ISNUMBER(INDEX('Dealer pipeline'!$H$4:$H$503,_calc!$E$556)),TEXT(INDEX('Dealer pipeline'!$H$4:$H$503,_calc!$E$556),"yyyy-mm-dd"),""),IF(ISNUMBER(INDEX('My equipment'!$H$4:$H$503,(_calc!$E$556-500))),TEXT(INDEX('My equipment'!$H$4:$H$503,(_calc!$E$556-500)),"yyyy-mm-dd"),"")))</f>
        <v/>
      </c>
      <c r="F554" s="54">
        <f>IF(_calc!$E$556="","",IF(_calc!$E$556&lt;=500,TRIM(IF(LEN(IF(LEN(INDEX('Dealer pipeline'!$A$4:$A$503,_calc!$E$556))=0,"",INDEX('Dealer pipeline'!$A$4:$A$503,_calc!$E$556)))=0,"","Customer: "&amp;IF(LEN(INDEX('Dealer pipeline'!$A$4:$A$503,_calc!$E$556))=0,"",INDEX('Dealer pipeline'!$A$4:$A$503,_calc!$E$556))&amp;". ")&amp;IF(LEN(IF(LEN(INDEX('Dealer pipeline'!$B$4:$B$503,_calc!$E$556))=0,"",INDEX('Dealer pipeline'!$B$4:$B$503,_calc!$E$556)))=0,"","Contact: "&amp;IF(LEN(INDEX('Dealer pipeline'!$B$4:$B$503,_calc!$E$556))=0,"",INDEX('Dealer pipeline'!$B$4:$B$503,_calc!$E$556))&amp;". ")&amp;IF(LEN(IF(LEN(INDEX('Dealer pipeline'!$D$4:$D$503,_calc!$E$556))=0,"",INDEX('Dealer pipeline'!$D$4:$D$503,_calc!$E$556)))=0,"","Serial: "&amp;IF(LEN(INDEX('Dealer pipeline'!$D$4:$D$503,_calc!$E$556))=0,"",INDEX('Dealer pipeline'!$D$4:$D$503,_calc!$E$556))&amp;". ")&amp;IF(LEN(IF(ISNUMBER(INDEX('Dealer pipeline'!$J$4:$J$503,_calc!$E$556)),TEXT(INDEX('Dealer pipeline'!$J$4:$J$503,_calc!$E$556),"yyyy-mm-dd"),""))=0,"","Parts end: "&amp;IF(ISNUMBER(INDEX('Dealer pipeline'!$J$4:$J$503,_calc!$E$556)),TEXT(INDEX('Dealer pipeline'!$J$4:$J$503,_calc!$E$556),"yyyy-mm-dd"),"")&amp;". ")&amp;IF(LEN(IF(ISNUMBER(INDEX('Dealer pipeline'!$L$4:$L$503,_calc!$E$556)),TEXT(INDEX('Dealer pipeline'!$L$4:$L$503,_calc!$E$556),"yyyy-mm-dd"),""))=0,"","Labor end: "&amp;IF(ISNUMBER(INDEX('Dealer pipeline'!$L$4:$L$503,_calc!$E$556)),TEXT(INDEX('Dealer pipeline'!$L$4:$L$503,_calc!$E$556),"yyyy-mm-dd"),"")&amp;". ")&amp;IF(LEN(IF(LEN(INDEX('Dealer pipeline'!$Q$4:$Q$503,_calc!$E$556))=0,"",INDEX('Dealer pipeline'!$Q$4:$Q$503,_calc!$E$556)))=0,"","Status: "&amp;IF(LEN(INDEX('Dealer pipeline'!$Q$4:$Q$503,_calc!$E$556))=0,"",INDEX('Dealer pipeline'!$Q$4:$Q$503,_calc!$E$556))&amp;". ")&amp;IF(LEN(IF(LEN(INDEX('Dealer pipeline'!$P$4:$P$503,_calc!$E$556))=0,"",INDEX('Dealer pipeline'!$P$4:$P$503,_calc!$E$556)))=0,"","Last touch: "&amp;IF(LEN(INDEX('Dealer pipeline'!$P$4:$P$503,_calc!$E$556))=0,"",INDEX('Dealer pipeline'!$P$4:$P$503,_calc!$E$556))&amp;". ")&amp;IF(LEN(IF(LEN(INDEX('Dealer pipeline'!$R$4:$R$503,_calc!$E$556))=0,"",INDEX('Dealer pipeline'!$R$4:$R$503,_calc!$E$556)))=0,"","Owner: "&amp;IF(LEN(INDEX('Dealer pipeline'!$R$4:$R$503,_calc!$E$556))=0,"",INDEX('Dealer pipeline'!$R$4:$R$503,_calc!$E$556))&amp;". ")&amp;IF(LEN(IF(LEN(INDEX('Dealer pipeline'!$S$4:$S$503,_calc!$E$556))=0,"",INDEX('Dealer pipeline'!$S$4:$S$503,_calc!$E$556)))=0,"","Backup: "&amp;IF(LEN(INDEX('Dealer pipeline'!$S$4:$S$503,_calc!$E$556))=0,"",INDEX('Dealer pipeline'!$S$4:$S$503,_calc!$E$556))&amp;". ")&amp;IF(LEN(IF(LEN(INDEX('Dealer pipeline'!$T$4:$T$503,_calc!$E$556))=0,"",INDEX('Dealer pipeline'!$T$4:$T$503,_calc!$E$556)))=0,"",IF(LEN(INDEX('Dealer pipeline'!$T$4:$T$503,_calc!$E$556))=0,"",INDEX('Dealer pipeline'!$T$4:$T$503,_calc!$E$556)))),TRIM(IF(LEN(IF(LEN(INDEX('My equipment'!$C$4:$C$503,(_calc!$E$556-500)))=0,"",INDEX('My equipment'!$C$4:$C$503,(_calc!$E$556-500))))=0,"","Model: "&amp;IF(LEN(INDEX('My equipment'!$C$4:$C$503,(_calc!$E$556-500)))=0,"",INDEX('My equipment'!$C$4:$C$503,(_calc!$E$556-500)))&amp;". ")&amp;IF(LEN(IF(LEN(INDEX('My equipment'!$D$4:$D$503,(_calc!$E$556-500)))=0,"",INDEX('My equipment'!$D$4:$D$503,(_calc!$E$556-500))))=0,"","Serial: "&amp;IF(LEN(INDEX('My equipment'!$D$4:$D$503,(_calc!$E$556-500)))=0,"",INDEX('My equipment'!$D$4:$D$503,(_calc!$E$556-500)))&amp;". ")&amp;IF(LEN(IF(ISNUMBER(INDEX('My equipment'!$J$4:$J$503,(_calc!$E$556-500))),TEXT(INDEX('My equipment'!$J$4:$J$503,(_calc!$E$556-500)),"yyyy-mm-dd"),""))=0,"","Parts end: "&amp;IF(ISNUMBER(INDEX('My equipment'!$J$4:$J$503,(_calc!$E$556-500))),TEXT(INDEX('My equipment'!$J$4:$J$503,(_calc!$E$556-500)),"yyyy-mm-dd"),"")&amp;". ")&amp;IF(LEN(IF(ISNUMBER(INDEX('My equipment'!$L$4:$L$503,(_calc!$E$556-500))),TEXT(INDEX('My equipment'!$L$4:$L$503,(_calc!$E$556-500)),"yyyy-mm-dd"),""))=0,"","Labor end: "&amp;IF(ISNUMBER(INDEX('My equipment'!$L$4:$L$503,(_calc!$E$556-500))),TEXT(INDEX('My equipment'!$L$4:$L$503,(_calc!$E$556-500)),"yyyy-mm-dd"),"")&amp;". ")&amp;IF(LEN(IF(ISNUMBER(INDEX('My equipment'!$P$4:$P$503,(_calc!$E$556-500))),TEXT(INDEX('My equipment'!$P$4:$P$503,(_calc!$E$556-500)),"yyyy-mm-dd"),""))=0,"","Check by: "&amp;IF(ISNUMBER(INDEX('My equipment'!$P$4:$P$503,(_calc!$E$556-500))),TEXT(INDEX('My equipment'!$P$4:$P$503,(_calc!$E$556-500)),"yyyy-mm-dd"),"")&amp;". ")&amp;IF(LEN(IF(LEN(INDEX('My equipment'!$Q$4:$Q$503,(_calc!$E$556-500)))=0,"",INDEX('My equipment'!$Q$4:$Q$503,(_calc!$E$556-500))))=0,"","Claim status: "&amp;IF(LEN(INDEX('My equipment'!$Q$4:$Q$503,(_calc!$E$556-500)))=0,"",INDEX('My equipment'!$Q$4:$Q$503,(_calc!$E$556-500)))&amp;". ")&amp;IF(LEN(IF(LEN(INDEX('My equipment'!$R$4:$R$503,(_calc!$E$556-500)))=0,"",INDEX('My equipment'!$R$4:$R$503,(_calc!$E$556-500))))=0,"","Claims contact: "&amp;IF(LEN(INDEX('My equipment'!$R$4:$R$503,(_calc!$E$556-500)))=0,"",INDEX('My equipment'!$R$4:$R$503,(_calc!$E$556-500)))&amp;". ")&amp;IF(LEN(IF(LEN(INDEX('My equipment'!$S$4:$S$503,(_calc!$E$556-500)))=0,"",INDEX('My equipment'!$S$4:$S$503,(_calc!$E$556-500))))=0,"","Claims email: "&amp;IF(LEN(INDEX('My equipment'!$S$4:$S$503,(_calc!$E$556-500)))=0,"",INDEX('My equipment'!$S$4:$S$503,(_calc!$E$556-500)))&amp;". ")&amp;IF(LEN(IF(LEN(INDEX('My equipment'!$U$4:$U$503,(_calc!$E$556-500)))=0,"",INDEX('My equipment'!$U$4:$U$503,(_calc!$E$556-500))))=0,"","Registered: "&amp;IF(LEN(INDEX('My equipment'!$U$4:$U$503,(_calc!$E$556-500)))=0,"",INDEX('My equipment'!$U$4:$U$503,(_calc!$E$556-500)))&amp;". ")&amp;IF(LEN(IF(LEN(INDEX('My equipment'!$V$4:$V$503,(_calc!$E$556-500)))=0,"",INDEX('My equipment'!$V$4:$V$503,(_calc!$E$556-500))))=0,"","Proof on file: "&amp;IF(LEN(INDEX('My equipment'!$V$4:$V$503,(_calc!$E$556-500)))=0,"",INDEX('My equipment'!$V$4:$V$503,(_calc!$E$556-500)))&amp;". ")&amp;IF(LEN(IF(LEN(INDEX('My equipment'!$W$4:$W$503,(_calc!$E$556-500)))=0,"",INDEX('My equipment'!$W$4:$W$503,(_calc!$E$556-500))))=0,"","Claim ref: "&amp;IF(LEN(INDEX('My equipment'!$W$4:$W$503,(_calc!$E$556-500)))=0,"",INDEX('My equipment'!$W$4:$W$503,(_calc!$E$556-500)))&amp;". ")&amp;IF(LEN(IF(LEN(INDEX('My equipment'!$Y$4:$Y$503,(_calc!$E$556-500)))=0,"",INDEX('My equipment'!$Y$4:$Y$503,(_calc!$E$556-500))))=0,"",IF(LEN(INDEX('My equipment'!$Y$4:$Y$503,(_calc!$E$556-500)))=0,"",INDEX('My equipment'!$Y$4:$Y$503,(_calc!$E$556-500)))))))</f>
        <v/>
      </c>
      <c r="G554" s="54">
        <f>IF(_calc!$E$556="","",IF(_calc!$E$556&lt;=500,"",IF(LEN(INDEX('My equipment'!$X$4:$X$503,(_calc!$E$556-500)))=0,"",INDEX('My equipment'!$X$4:$X$503,(_calc!$E$556-500)))))</f>
        <v/>
      </c>
      <c r="K554" s="54">
        <f>IF(_calc!$E$556="","",IF(_calc!$E$556&lt;=500,"",IF(LEN(INDEX('My equipment'!$T$4:$T$503,(_calc!$E$556-500)))=0,"",INDEX('My equipment'!$T$4:$T$503,(_calc!$E$556-500)))))</f>
        <v/>
      </c>
    </row>
    <row r="555">
      <c r="A555" s="54">
        <f>IF(_calc!$E$557="","",IF(_calc!$E$557&lt;=500,"Warranty – "&amp;IF(LEN(INDEX('Dealer pipeline'!$C$4:$C$503,_calc!$E$557))=0,"",INDEX('Dealer pipeline'!$C$4:$C$503,_calc!$E$557))&amp;" – "&amp;IF(LEN(INDEX('Dealer pipeline'!$D$4:$D$503,_calc!$E$557))=0,"",INDEX('Dealer pipeline'!$D$4:$D$503,_calc!$E$557))&amp;" – "&amp;IF(LEN(INDEX('Dealer pipeline'!$A$4:$A$503,_calc!$E$557))=0,"",INDEX('Dealer pipeline'!$A$4:$A$503,_calc!$E$557)),"Warranty – "&amp;IF(LEN(INDEX('My equipment'!$A$4:$A$503,(_calc!$E$557-500)))=0,"",INDEX('My equipment'!$A$4:$A$503,(_calc!$E$557-500)))&amp;" – "&amp;IF(LEN(INDEX('My equipment'!$D$4:$D$503,(_calc!$E$557-500)))=0,"",INDEX('My equipment'!$D$4:$D$503,(_calc!$E$557-500)))))</f>
        <v/>
      </c>
      <c r="B555" s="54">
        <f>IF(_calc!$E$557="","",IF(_calc!$E$557&lt;=500,IF(ISNUMBER(INDEX('Dealer pipeline'!$M$4:$M$503,_calc!$E$557)),TEXT(INDEX('Dealer pipeline'!$M$4:$M$503,_calc!$E$557),"yyyy-mm-dd"),""),IF(ISNUMBER(INDEX('My equipment'!$M$4:$M$503,(_calc!$E$557-500))),TEXT(INDEX('My equipment'!$M$4:$M$503,(_calc!$E$557-500)),"yyyy-mm-dd"),"")))</f>
        <v/>
      </c>
      <c r="C555" s="54">
        <f>IF(_calc!$E$557="","",IF(_calc!$E$557&lt;=500,"Warranty","Warranty"))</f>
        <v/>
      </c>
      <c r="D555" s="54">
        <f>IF(_calc!$E$557="","",IF(_calc!$E$557&lt;=500,IF(ISNUMBER(INDEX('Dealer pipeline'!$H$4:$H$503,_calc!$E$557)),TEXT(INDEX('Dealer pipeline'!$H$4:$H$503,_calc!$E$557),"yyyy-mm-dd"),""),IF(ISNUMBER(INDEX('My equipment'!$H$4:$H$503,(_calc!$E$557-500))),TEXT(INDEX('My equipment'!$H$4:$H$503,(_calc!$E$557-500)),"yyyy-mm-dd"),"")))</f>
        <v/>
      </c>
      <c r="F555" s="54">
        <f>IF(_calc!$E$557="","",IF(_calc!$E$557&lt;=500,TRIM(IF(LEN(IF(LEN(INDEX('Dealer pipeline'!$A$4:$A$503,_calc!$E$557))=0,"",INDEX('Dealer pipeline'!$A$4:$A$503,_calc!$E$557)))=0,"","Customer: "&amp;IF(LEN(INDEX('Dealer pipeline'!$A$4:$A$503,_calc!$E$557))=0,"",INDEX('Dealer pipeline'!$A$4:$A$503,_calc!$E$557))&amp;". ")&amp;IF(LEN(IF(LEN(INDEX('Dealer pipeline'!$B$4:$B$503,_calc!$E$557))=0,"",INDEX('Dealer pipeline'!$B$4:$B$503,_calc!$E$557)))=0,"","Contact: "&amp;IF(LEN(INDEX('Dealer pipeline'!$B$4:$B$503,_calc!$E$557))=0,"",INDEX('Dealer pipeline'!$B$4:$B$503,_calc!$E$557))&amp;". ")&amp;IF(LEN(IF(LEN(INDEX('Dealer pipeline'!$D$4:$D$503,_calc!$E$557))=0,"",INDEX('Dealer pipeline'!$D$4:$D$503,_calc!$E$557)))=0,"","Serial: "&amp;IF(LEN(INDEX('Dealer pipeline'!$D$4:$D$503,_calc!$E$557))=0,"",INDEX('Dealer pipeline'!$D$4:$D$503,_calc!$E$557))&amp;". ")&amp;IF(LEN(IF(ISNUMBER(INDEX('Dealer pipeline'!$J$4:$J$503,_calc!$E$557)),TEXT(INDEX('Dealer pipeline'!$J$4:$J$503,_calc!$E$557),"yyyy-mm-dd"),""))=0,"","Parts end: "&amp;IF(ISNUMBER(INDEX('Dealer pipeline'!$J$4:$J$503,_calc!$E$557)),TEXT(INDEX('Dealer pipeline'!$J$4:$J$503,_calc!$E$557),"yyyy-mm-dd"),"")&amp;". ")&amp;IF(LEN(IF(ISNUMBER(INDEX('Dealer pipeline'!$L$4:$L$503,_calc!$E$557)),TEXT(INDEX('Dealer pipeline'!$L$4:$L$503,_calc!$E$557),"yyyy-mm-dd"),""))=0,"","Labor end: "&amp;IF(ISNUMBER(INDEX('Dealer pipeline'!$L$4:$L$503,_calc!$E$557)),TEXT(INDEX('Dealer pipeline'!$L$4:$L$503,_calc!$E$557),"yyyy-mm-dd"),"")&amp;". ")&amp;IF(LEN(IF(LEN(INDEX('Dealer pipeline'!$Q$4:$Q$503,_calc!$E$557))=0,"",INDEX('Dealer pipeline'!$Q$4:$Q$503,_calc!$E$557)))=0,"","Status: "&amp;IF(LEN(INDEX('Dealer pipeline'!$Q$4:$Q$503,_calc!$E$557))=0,"",INDEX('Dealer pipeline'!$Q$4:$Q$503,_calc!$E$557))&amp;". ")&amp;IF(LEN(IF(LEN(INDEX('Dealer pipeline'!$P$4:$P$503,_calc!$E$557))=0,"",INDEX('Dealer pipeline'!$P$4:$P$503,_calc!$E$557)))=0,"","Last touch: "&amp;IF(LEN(INDEX('Dealer pipeline'!$P$4:$P$503,_calc!$E$557))=0,"",INDEX('Dealer pipeline'!$P$4:$P$503,_calc!$E$557))&amp;". ")&amp;IF(LEN(IF(LEN(INDEX('Dealer pipeline'!$R$4:$R$503,_calc!$E$557))=0,"",INDEX('Dealer pipeline'!$R$4:$R$503,_calc!$E$557)))=0,"","Owner: "&amp;IF(LEN(INDEX('Dealer pipeline'!$R$4:$R$503,_calc!$E$557))=0,"",INDEX('Dealer pipeline'!$R$4:$R$503,_calc!$E$557))&amp;". ")&amp;IF(LEN(IF(LEN(INDEX('Dealer pipeline'!$S$4:$S$503,_calc!$E$557))=0,"",INDEX('Dealer pipeline'!$S$4:$S$503,_calc!$E$557)))=0,"","Backup: "&amp;IF(LEN(INDEX('Dealer pipeline'!$S$4:$S$503,_calc!$E$557))=0,"",INDEX('Dealer pipeline'!$S$4:$S$503,_calc!$E$557))&amp;". ")&amp;IF(LEN(IF(LEN(INDEX('Dealer pipeline'!$T$4:$T$503,_calc!$E$557))=0,"",INDEX('Dealer pipeline'!$T$4:$T$503,_calc!$E$557)))=0,"",IF(LEN(INDEX('Dealer pipeline'!$T$4:$T$503,_calc!$E$557))=0,"",INDEX('Dealer pipeline'!$T$4:$T$503,_calc!$E$557)))),TRIM(IF(LEN(IF(LEN(INDEX('My equipment'!$C$4:$C$503,(_calc!$E$557-500)))=0,"",INDEX('My equipment'!$C$4:$C$503,(_calc!$E$557-500))))=0,"","Model: "&amp;IF(LEN(INDEX('My equipment'!$C$4:$C$503,(_calc!$E$557-500)))=0,"",INDEX('My equipment'!$C$4:$C$503,(_calc!$E$557-500)))&amp;". ")&amp;IF(LEN(IF(LEN(INDEX('My equipment'!$D$4:$D$503,(_calc!$E$557-500)))=0,"",INDEX('My equipment'!$D$4:$D$503,(_calc!$E$557-500))))=0,"","Serial: "&amp;IF(LEN(INDEX('My equipment'!$D$4:$D$503,(_calc!$E$557-500)))=0,"",INDEX('My equipment'!$D$4:$D$503,(_calc!$E$557-500)))&amp;". ")&amp;IF(LEN(IF(ISNUMBER(INDEX('My equipment'!$J$4:$J$503,(_calc!$E$557-500))),TEXT(INDEX('My equipment'!$J$4:$J$503,(_calc!$E$557-500)),"yyyy-mm-dd"),""))=0,"","Parts end: "&amp;IF(ISNUMBER(INDEX('My equipment'!$J$4:$J$503,(_calc!$E$557-500))),TEXT(INDEX('My equipment'!$J$4:$J$503,(_calc!$E$557-500)),"yyyy-mm-dd"),"")&amp;". ")&amp;IF(LEN(IF(ISNUMBER(INDEX('My equipment'!$L$4:$L$503,(_calc!$E$557-500))),TEXT(INDEX('My equipment'!$L$4:$L$503,(_calc!$E$557-500)),"yyyy-mm-dd"),""))=0,"","Labor end: "&amp;IF(ISNUMBER(INDEX('My equipment'!$L$4:$L$503,(_calc!$E$557-500))),TEXT(INDEX('My equipment'!$L$4:$L$503,(_calc!$E$557-500)),"yyyy-mm-dd"),"")&amp;". ")&amp;IF(LEN(IF(ISNUMBER(INDEX('My equipment'!$P$4:$P$503,(_calc!$E$557-500))),TEXT(INDEX('My equipment'!$P$4:$P$503,(_calc!$E$557-500)),"yyyy-mm-dd"),""))=0,"","Check by: "&amp;IF(ISNUMBER(INDEX('My equipment'!$P$4:$P$503,(_calc!$E$557-500))),TEXT(INDEX('My equipment'!$P$4:$P$503,(_calc!$E$557-500)),"yyyy-mm-dd"),"")&amp;". ")&amp;IF(LEN(IF(LEN(INDEX('My equipment'!$Q$4:$Q$503,(_calc!$E$557-500)))=0,"",INDEX('My equipment'!$Q$4:$Q$503,(_calc!$E$557-500))))=0,"","Claim status: "&amp;IF(LEN(INDEX('My equipment'!$Q$4:$Q$503,(_calc!$E$557-500)))=0,"",INDEX('My equipment'!$Q$4:$Q$503,(_calc!$E$557-500)))&amp;". ")&amp;IF(LEN(IF(LEN(INDEX('My equipment'!$R$4:$R$503,(_calc!$E$557-500)))=0,"",INDEX('My equipment'!$R$4:$R$503,(_calc!$E$557-500))))=0,"","Claims contact: "&amp;IF(LEN(INDEX('My equipment'!$R$4:$R$503,(_calc!$E$557-500)))=0,"",INDEX('My equipment'!$R$4:$R$503,(_calc!$E$557-500)))&amp;". ")&amp;IF(LEN(IF(LEN(INDEX('My equipment'!$S$4:$S$503,(_calc!$E$557-500)))=0,"",INDEX('My equipment'!$S$4:$S$503,(_calc!$E$557-500))))=0,"","Claims email: "&amp;IF(LEN(INDEX('My equipment'!$S$4:$S$503,(_calc!$E$557-500)))=0,"",INDEX('My equipment'!$S$4:$S$503,(_calc!$E$557-500)))&amp;". ")&amp;IF(LEN(IF(LEN(INDEX('My equipment'!$U$4:$U$503,(_calc!$E$557-500)))=0,"",INDEX('My equipment'!$U$4:$U$503,(_calc!$E$557-500))))=0,"","Registered: "&amp;IF(LEN(INDEX('My equipment'!$U$4:$U$503,(_calc!$E$557-500)))=0,"",INDEX('My equipment'!$U$4:$U$503,(_calc!$E$557-500)))&amp;". ")&amp;IF(LEN(IF(LEN(INDEX('My equipment'!$V$4:$V$503,(_calc!$E$557-500)))=0,"",INDEX('My equipment'!$V$4:$V$503,(_calc!$E$557-500))))=0,"","Proof on file: "&amp;IF(LEN(INDEX('My equipment'!$V$4:$V$503,(_calc!$E$557-500)))=0,"",INDEX('My equipment'!$V$4:$V$503,(_calc!$E$557-500)))&amp;". ")&amp;IF(LEN(IF(LEN(INDEX('My equipment'!$W$4:$W$503,(_calc!$E$557-500)))=0,"",INDEX('My equipment'!$W$4:$W$503,(_calc!$E$557-500))))=0,"","Claim ref: "&amp;IF(LEN(INDEX('My equipment'!$W$4:$W$503,(_calc!$E$557-500)))=0,"",INDEX('My equipment'!$W$4:$W$503,(_calc!$E$557-500)))&amp;". ")&amp;IF(LEN(IF(LEN(INDEX('My equipment'!$Y$4:$Y$503,(_calc!$E$557-500)))=0,"",INDEX('My equipment'!$Y$4:$Y$503,(_calc!$E$557-500))))=0,"",IF(LEN(INDEX('My equipment'!$Y$4:$Y$503,(_calc!$E$557-500)))=0,"",INDEX('My equipment'!$Y$4:$Y$503,(_calc!$E$557-500)))))))</f>
        <v/>
      </c>
      <c r="G555" s="54">
        <f>IF(_calc!$E$557="","",IF(_calc!$E$557&lt;=500,"",IF(LEN(INDEX('My equipment'!$X$4:$X$503,(_calc!$E$557-500)))=0,"",INDEX('My equipment'!$X$4:$X$503,(_calc!$E$557-500)))))</f>
        <v/>
      </c>
      <c r="K555" s="54">
        <f>IF(_calc!$E$557="","",IF(_calc!$E$557&lt;=500,"",IF(LEN(INDEX('My equipment'!$T$4:$T$503,(_calc!$E$557-500)))=0,"",INDEX('My equipment'!$T$4:$T$503,(_calc!$E$557-500)))))</f>
        <v/>
      </c>
    </row>
    <row r="556">
      <c r="A556" s="54">
        <f>IF(_calc!$E$558="","",IF(_calc!$E$558&lt;=500,"Warranty – "&amp;IF(LEN(INDEX('Dealer pipeline'!$C$4:$C$503,_calc!$E$558))=0,"",INDEX('Dealer pipeline'!$C$4:$C$503,_calc!$E$558))&amp;" – "&amp;IF(LEN(INDEX('Dealer pipeline'!$D$4:$D$503,_calc!$E$558))=0,"",INDEX('Dealer pipeline'!$D$4:$D$503,_calc!$E$558))&amp;" – "&amp;IF(LEN(INDEX('Dealer pipeline'!$A$4:$A$503,_calc!$E$558))=0,"",INDEX('Dealer pipeline'!$A$4:$A$503,_calc!$E$558)),"Warranty – "&amp;IF(LEN(INDEX('My equipment'!$A$4:$A$503,(_calc!$E$558-500)))=0,"",INDEX('My equipment'!$A$4:$A$503,(_calc!$E$558-500)))&amp;" – "&amp;IF(LEN(INDEX('My equipment'!$D$4:$D$503,(_calc!$E$558-500)))=0,"",INDEX('My equipment'!$D$4:$D$503,(_calc!$E$558-500)))))</f>
        <v/>
      </c>
      <c r="B556" s="54">
        <f>IF(_calc!$E$558="","",IF(_calc!$E$558&lt;=500,IF(ISNUMBER(INDEX('Dealer pipeline'!$M$4:$M$503,_calc!$E$558)),TEXT(INDEX('Dealer pipeline'!$M$4:$M$503,_calc!$E$558),"yyyy-mm-dd"),""),IF(ISNUMBER(INDEX('My equipment'!$M$4:$M$503,(_calc!$E$558-500))),TEXT(INDEX('My equipment'!$M$4:$M$503,(_calc!$E$558-500)),"yyyy-mm-dd"),"")))</f>
        <v/>
      </c>
      <c r="C556" s="54">
        <f>IF(_calc!$E$558="","",IF(_calc!$E$558&lt;=500,"Warranty","Warranty"))</f>
        <v/>
      </c>
      <c r="D556" s="54">
        <f>IF(_calc!$E$558="","",IF(_calc!$E$558&lt;=500,IF(ISNUMBER(INDEX('Dealer pipeline'!$H$4:$H$503,_calc!$E$558)),TEXT(INDEX('Dealer pipeline'!$H$4:$H$503,_calc!$E$558),"yyyy-mm-dd"),""),IF(ISNUMBER(INDEX('My equipment'!$H$4:$H$503,(_calc!$E$558-500))),TEXT(INDEX('My equipment'!$H$4:$H$503,(_calc!$E$558-500)),"yyyy-mm-dd"),"")))</f>
        <v/>
      </c>
      <c r="F556" s="54">
        <f>IF(_calc!$E$558="","",IF(_calc!$E$558&lt;=500,TRIM(IF(LEN(IF(LEN(INDEX('Dealer pipeline'!$A$4:$A$503,_calc!$E$558))=0,"",INDEX('Dealer pipeline'!$A$4:$A$503,_calc!$E$558)))=0,"","Customer: "&amp;IF(LEN(INDEX('Dealer pipeline'!$A$4:$A$503,_calc!$E$558))=0,"",INDEX('Dealer pipeline'!$A$4:$A$503,_calc!$E$558))&amp;". ")&amp;IF(LEN(IF(LEN(INDEX('Dealer pipeline'!$B$4:$B$503,_calc!$E$558))=0,"",INDEX('Dealer pipeline'!$B$4:$B$503,_calc!$E$558)))=0,"","Contact: "&amp;IF(LEN(INDEX('Dealer pipeline'!$B$4:$B$503,_calc!$E$558))=0,"",INDEX('Dealer pipeline'!$B$4:$B$503,_calc!$E$558))&amp;". ")&amp;IF(LEN(IF(LEN(INDEX('Dealer pipeline'!$D$4:$D$503,_calc!$E$558))=0,"",INDEX('Dealer pipeline'!$D$4:$D$503,_calc!$E$558)))=0,"","Serial: "&amp;IF(LEN(INDEX('Dealer pipeline'!$D$4:$D$503,_calc!$E$558))=0,"",INDEX('Dealer pipeline'!$D$4:$D$503,_calc!$E$558))&amp;". ")&amp;IF(LEN(IF(ISNUMBER(INDEX('Dealer pipeline'!$J$4:$J$503,_calc!$E$558)),TEXT(INDEX('Dealer pipeline'!$J$4:$J$503,_calc!$E$558),"yyyy-mm-dd"),""))=0,"","Parts end: "&amp;IF(ISNUMBER(INDEX('Dealer pipeline'!$J$4:$J$503,_calc!$E$558)),TEXT(INDEX('Dealer pipeline'!$J$4:$J$503,_calc!$E$558),"yyyy-mm-dd"),"")&amp;". ")&amp;IF(LEN(IF(ISNUMBER(INDEX('Dealer pipeline'!$L$4:$L$503,_calc!$E$558)),TEXT(INDEX('Dealer pipeline'!$L$4:$L$503,_calc!$E$558),"yyyy-mm-dd"),""))=0,"","Labor end: "&amp;IF(ISNUMBER(INDEX('Dealer pipeline'!$L$4:$L$503,_calc!$E$558)),TEXT(INDEX('Dealer pipeline'!$L$4:$L$503,_calc!$E$558),"yyyy-mm-dd"),"")&amp;". ")&amp;IF(LEN(IF(LEN(INDEX('Dealer pipeline'!$Q$4:$Q$503,_calc!$E$558))=0,"",INDEX('Dealer pipeline'!$Q$4:$Q$503,_calc!$E$558)))=0,"","Status: "&amp;IF(LEN(INDEX('Dealer pipeline'!$Q$4:$Q$503,_calc!$E$558))=0,"",INDEX('Dealer pipeline'!$Q$4:$Q$503,_calc!$E$558))&amp;". ")&amp;IF(LEN(IF(LEN(INDEX('Dealer pipeline'!$P$4:$P$503,_calc!$E$558))=0,"",INDEX('Dealer pipeline'!$P$4:$P$503,_calc!$E$558)))=0,"","Last touch: "&amp;IF(LEN(INDEX('Dealer pipeline'!$P$4:$P$503,_calc!$E$558))=0,"",INDEX('Dealer pipeline'!$P$4:$P$503,_calc!$E$558))&amp;". ")&amp;IF(LEN(IF(LEN(INDEX('Dealer pipeline'!$R$4:$R$503,_calc!$E$558))=0,"",INDEX('Dealer pipeline'!$R$4:$R$503,_calc!$E$558)))=0,"","Owner: "&amp;IF(LEN(INDEX('Dealer pipeline'!$R$4:$R$503,_calc!$E$558))=0,"",INDEX('Dealer pipeline'!$R$4:$R$503,_calc!$E$558))&amp;". ")&amp;IF(LEN(IF(LEN(INDEX('Dealer pipeline'!$S$4:$S$503,_calc!$E$558))=0,"",INDEX('Dealer pipeline'!$S$4:$S$503,_calc!$E$558)))=0,"","Backup: "&amp;IF(LEN(INDEX('Dealer pipeline'!$S$4:$S$503,_calc!$E$558))=0,"",INDEX('Dealer pipeline'!$S$4:$S$503,_calc!$E$558))&amp;". ")&amp;IF(LEN(IF(LEN(INDEX('Dealer pipeline'!$T$4:$T$503,_calc!$E$558))=0,"",INDEX('Dealer pipeline'!$T$4:$T$503,_calc!$E$558)))=0,"",IF(LEN(INDEX('Dealer pipeline'!$T$4:$T$503,_calc!$E$558))=0,"",INDEX('Dealer pipeline'!$T$4:$T$503,_calc!$E$558)))),TRIM(IF(LEN(IF(LEN(INDEX('My equipment'!$C$4:$C$503,(_calc!$E$558-500)))=0,"",INDEX('My equipment'!$C$4:$C$503,(_calc!$E$558-500))))=0,"","Model: "&amp;IF(LEN(INDEX('My equipment'!$C$4:$C$503,(_calc!$E$558-500)))=0,"",INDEX('My equipment'!$C$4:$C$503,(_calc!$E$558-500)))&amp;". ")&amp;IF(LEN(IF(LEN(INDEX('My equipment'!$D$4:$D$503,(_calc!$E$558-500)))=0,"",INDEX('My equipment'!$D$4:$D$503,(_calc!$E$558-500))))=0,"","Serial: "&amp;IF(LEN(INDEX('My equipment'!$D$4:$D$503,(_calc!$E$558-500)))=0,"",INDEX('My equipment'!$D$4:$D$503,(_calc!$E$558-500)))&amp;". ")&amp;IF(LEN(IF(ISNUMBER(INDEX('My equipment'!$J$4:$J$503,(_calc!$E$558-500))),TEXT(INDEX('My equipment'!$J$4:$J$503,(_calc!$E$558-500)),"yyyy-mm-dd"),""))=0,"","Parts end: "&amp;IF(ISNUMBER(INDEX('My equipment'!$J$4:$J$503,(_calc!$E$558-500))),TEXT(INDEX('My equipment'!$J$4:$J$503,(_calc!$E$558-500)),"yyyy-mm-dd"),"")&amp;". ")&amp;IF(LEN(IF(ISNUMBER(INDEX('My equipment'!$L$4:$L$503,(_calc!$E$558-500))),TEXT(INDEX('My equipment'!$L$4:$L$503,(_calc!$E$558-500)),"yyyy-mm-dd"),""))=0,"","Labor end: "&amp;IF(ISNUMBER(INDEX('My equipment'!$L$4:$L$503,(_calc!$E$558-500))),TEXT(INDEX('My equipment'!$L$4:$L$503,(_calc!$E$558-500)),"yyyy-mm-dd"),"")&amp;". ")&amp;IF(LEN(IF(ISNUMBER(INDEX('My equipment'!$P$4:$P$503,(_calc!$E$558-500))),TEXT(INDEX('My equipment'!$P$4:$P$503,(_calc!$E$558-500)),"yyyy-mm-dd"),""))=0,"","Check by: "&amp;IF(ISNUMBER(INDEX('My equipment'!$P$4:$P$503,(_calc!$E$558-500))),TEXT(INDEX('My equipment'!$P$4:$P$503,(_calc!$E$558-500)),"yyyy-mm-dd"),"")&amp;". ")&amp;IF(LEN(IF(LEN(INDEX('My equipment'!$Q$4:$Q$503,(_calc!$E$558-500)))=0,"",INDEX('My equipment'!$Q$4:$Q$503,(_calc!$E$558-500))))=0,"","Claim status: "&amp;IF(LEN(INDEX('My equipment'!$Q$4:$Q$503,(_calc!$E$558-500)))=0,"",INDEX('My equipment'!$Q$4:$Q$503,(_calc!$E$558-500)))&amp;". ")&amp;IF(LEN(IF(LEN(INDEX('My equipment'!$R$4:$R$503,(_calc!$E$558-500)))=0,"",INDEX('My equipment'!$R$4:$R$503,(_calc!$E$558-500))))=0,"","Claims contact: "&amp;IF(LEN(INDEX('My equipment'!$R$4:$R$503,(_calc!$E$558-500)))=0,"",INDEX('My equipment'!$R$4:$R$503,(_calc!$E$558-500)))&amp;". ")&amp;IF(LEN(IF(LEN(INDEX('My equipment'!$S$4:$S$503,(_calc!$E$558-500)))=0,"",INDEX('My equipment'!$S$4:$S$503,(_calc!$E$558-500))))=0,"","Claims email: "&amp;IF(LEN(INDEX('My equipment'!$S$4:$S$503,(_calc!$E$558-500)))=0,"",INDEX('My equipment'!$S$4:$S$503,(_calc!$E$558-500)))&amp;". ")&amp;IF(LEN(IF(LEN(INDEX('My equipment'!$U$4:$U$503,(_calc!$E$558-500)))=0,"",INDEX('My equipment'!$U$4:$U$503,(_calc!$E$558-500))))=0,"","Registered: "&amp;IF(LEN(INDEX('My equipment'!$U$4:$U$503,(_calc!$E$558-500)))=0,"",INDEX('My equipment'!$U$4:$U$503,(_calc!$E$558-500)))&amp;". ")&amp;IF(LEN(IF(LEN(INDEX('My equipment'!$V$4:$V$503,(_calc!$E$558-500)))=0,"",INDEX('My equipment'!$V$4:$V$503,(_calc!$E$558-500))))=0,"","Proof on file: "&amp;IF(LEN(INDEX('My equipment'!$V$4:$V$503,(_calc!$E$558-500)))=0,"",INDEX('My equipment'!$V$4:$V$503,(_calc!$E$558-500)))&amp;". ")&amp;IF(LEN(IF(LEN(INDEX('My equipment'!$W$4:$W$503,(_calc!$E$558-500)))=0,"",INDEX('My equipment'!$W$4:$W$503,(_calc!$E$558-500))))=0,"","Claim ref: "&amp;IF(LEN(INDEX('My equipment'!$W$4:$W$503,(_calc!$E$558-500)))=0,"",INDEX('My equipment'!$W$4:$W$503,(_calc!$E$558-500)))&amp;". ")&amp;IF(LEN(IF(LEN(INDEX('My equipment'!$Y$4:$Y$503,(_calc!$E$558-500)))=0,"",INDEX('My equipment'!$Y$4:$Y$503,(_calc!$E$558-500))))=0,"",IF(LEN(INDEX('My equipment'!$Y$4:$Y$503,(_calc!$E$558-500)))=0,"",INDEX('My equipment'!$Y$4:$Y$503,(_calc!$E$558-500)))))))</f>
        <v/>
      </c>
      <c r="G556" s="54">
        <f>IF(_calc!$E$558="","",IF(_calc!$E$558&lt;=500,"",IF(LEN(INDEX('My equipment'!$X$4:$X$503,(_calc!$E$558-500)))=0,"",INDEX('My equipment'!$X$4:$X$503,(_calc!$E$558-500)))))</f>
        <v/>
      </c>
      <c r="K556" s="54">
        <f>IF(_calc!$E$558="","",IF(_calc!$E$558&lt;=500,"",IF(LEN(INDEX('My equipment'!$T$4:$T$503,(_calc!$E$558-500)))=0,"",INDEX('My equipment'!$T$4:$T$503,(_calc!$E$558-500)))))</f>
        <v/>
      </c>
    </row>
    <row r="557">
      <c r="A557" s="54">
        <f>IF(_calc!$E$559="","",IF(_calc!$E$559&lt;=500,"Warranty – "&amp;IF(LEN(INDEX('Dealer pipeline'!$C$4:$C$503,_calc!$E$559))=0,"",INDEX('Dealer pipeline'!$C$4:$C$503,_calc!$E$559))&amp;" – "&amp;IF(LEN(INDEX('Dealer pipeline'!$D$4:$D$503,_calc!$E$559))=0,"",INDEX('Dealer pipeline'!$D$4:$D$503,_calc!$E$559))&amp;" – "&amp;IF(LEN(INDEX('Dealer pipeline'!$A$4:$A$503,_calc!$E$559))=0,"",INDEX('Dealer pipeline'!$A$4:$A$503,_calc!$E$559)),"Warranty – "&amp;IF(LEN(INDEX('My equipment'!$A$4:$A$503,(_calc!$E$559-500)))=0,"",INDEX('My equipment'!$A$4:$A$503,(_calc!$E$559-500)))&amp;" – "&amp;IF(LEN(INDEX('My equipment'!$D$4:$D$503,(_calc!$E$559-500)))=0,"",INDEX('My equipment'!$D$4:$D$503,(_calc!$E$559-500)))))</f>
        <v/>
      </c>
      <c r="B557" s="54">
        <f>IF(_calc!$E$559="","",IF(_calc!$E$559&lt;=500,IF(ISNUMBER(INDEX('Dealer pipeline'!$M$4:$M$503,_calc!$E$559)),TEXT(INDEX('Dealer pipeline'!$M$4:$M$503,_calc!$E$559),"yyyy-mm-dd"),""),IF(ISNUMBER(INDEX('My equipment'!$M$4:$M$503,(_calc!$E$559-500))),TEXT(INDEX('My equipment'!$M$4:$M$503,(_calc!$E$559-500)),"yyyy-mm-dd"),"")))</f>
        <v/>
      </c>
      <c r="C557" s="54">
        <f>IF(_calc!$E$559="","",IF(_calc!$E$559&lt;=500,"Warranty","Warranty"))</f>
        <v/>
      </c>
      <c r="D557" s="54">
        <f>IF(_calc!$E$559="","",IF(_calc!$E$559&lt;=500,IF(ISNUMBER(INDEX('Dealer pipeline'!$H$4:$H$503,_calc!$E$559)),TEXT(INDEX('Dealer pipeline'!$H$4:$H$503,_calc!$E$559),"yyyy-mm-dd"),""),IF(ISNUMBER(INDEX('My equipment'!$H$4:$H$503,(_calc!$E$559-500))),TEXT(INDEX('My equipment'!$H$4:$H$503,(_calc!$E$559-500)),"yyyy-mm-dd"),"")))</f>
        <v/>
      </c>
      <c r="F557" s="54">
        <f>IF(_calc!$E$559="","",IF(_calc!$E$559&lt;=500,TRIM(IF(LEN(IF(LEN(INDEX('Dealer pipeline'!$A$4:$A$503,_calc!$E$559))=0,"",INDEX('Dealer pipeline'!$A$4:$A$503,_calc!$E$559)))=0,"","Customer: "&amp;IF(LEN(INDEX('Dealer pipeline'!$A$4:$A$503,_calc!$E$559))=0,"",INDEX('Dealer pipeline'!$A$4:$A$503,_calc!$E$559))&amp;". ")&amp;IF(LEN(IF(LEN(INDEX('Dealer pipeline'!$B$4:$B$503,_calc!$E$559))=0,"",INDEX('Dealer pipeline'!$B$4:$B$503,_calc!$E$559)))=0,"","Contact: "&amp;IF(LEN(INDEX('Dealer pipeline'!$B$4:$B$503,_calc!$E$559))=0,"",INDEX('Dealer pipeline'!$B$4:$B$503,_calc!$E$559))&amp;". ")&amp;IF(LEN(IF(LEN(INDEX('Dealer pipeline'!$D$4:$D$503,_calc!$E$559))=0,"",INDEX('Dealer pipeline'!$D$4:$D$503,_calc!$E$559)))=0,"","Serial: "&amp;IF(LEN(INDEX('Dealer pipeline'!$D$4:$D$503,_calc!$E$559))=0,"",INDEX('Dealer pipeline'!$D$4:$D$503,_calc!$E$559))&amp;". ")&amp;IF(LEN(IF(ISNUMBER(INDEX('Dealer pipeline'!$J$4:$J$503,_calc!$E$559)),TEXT(INDEX('Dealer pipeline'!$J$4:$J$503,_calc!$E$559),"yyyy-mm-dd"),""))=0,"","Parts end: "&amp;IF(ISNUMBER(INDEX('Dealer pipeline'!$J$4:$J$503,_calc!$E$559)),TEXT(INDEX('Dealer pipeline'!$J$4:$J$503,_calc!$E$559),"yyyy-mm-dd"),"")&amp;". ")&amp;IF(LEN(IF(ISNUMBER(INDEX('Dealer pipeline'!$L$4:$L$503,_calc!$E$559)),TEXT(INDEX('Dealer pipeline'!$L$4:$L$503,_calc!$E$559),"yyyy-mm-dd"),""))=0,"","Labor end: "&amp;IF(ISNUMBER(INDEX('Dealer pipeline'!$L$4:$L$503,_calc!$E$559)),TEXT(INDEX('Dealer pipeline'!$L$4:$L$503,_calc!$E$559),"yyyy-mm-dd"),"")&amp;". ")&amp;IF(LEN(IF(LEN(INDEX('Dealer pipeline'!$Q$4:$Q$503,_calc!$E$559))=0,"",INDEX('Dealer pipeline'!$Q$4:$Q$503,_calc!$E$559)))=0,"","Status: "&amp;IF(LEN(INDEX('Dealer pipeline'!$Q$4:$Q$503,_calc!$E$559))=0,"",INDEX('Dealer pipeline'!$Q$4:$Q$503,_calc!$E$559))&amp;". ")&amp;IF(LEN(IF(LEN(INDEX('Dealer pipeline'!$P$4:$P$503,_calc!$E$559))=0,"",INDEX('Dealer pipeline'!$P$4:$P$503,_calc!$E$559)))=0,"","Last touch: "&amp;IF(LEN(INDEX('Dealer pipeline'!$P$4:$P$503,_calc!$E$559))=0,"",INDEX('Dealer pipeline'!$P$4:$P$503,_calc!$E$559))&amp;". ")&amp;IF(LEN(IF(LEN(INDEX('Dealer pipeline'!$R$4:$R$503,_calc!$E$559))=0,"",INDEX('Dealer pipeline'!$R$4:$R$503,_calc!$E$559)))=0,"","Owner: "&amp;IF(LEN(INDEX('Dealer pipeline'!$R$4:$R$503,_calc!$E$559))=0,"",INDEX('Dealer pipeline'!$R$4:$R$503,_calc!$E$559))&amp;". ")&amp;IF(LEN(IF(LEN(INDEX('Dealer pipeline'!$S$4:$S$503,_calc!$E$559))=0,"",INDEX('Dealer pipeline'!$S$4:$S$503,_calc!$E$559)))=0,"","Backup: "&amp;IF(LEN(INDEX('Dealer pipeline'!$S$4:$S$503,_calc!$E$559))=0,"",INDEX('Dealer pipeline'!$S$4:$S$503,_calc!$E$559))&amp;". ")&amp;IF(LEN(IF(LEN(INDEX('Dealer pipeline'!$T$4:$T$503,_calc!$E$559))=0,"",INDEX('Dealer pipeline'!$T$4:$T$503,_calc!$E$559)))=0,"",IF(LEN(INDEX('Dealer pipeline'!$T$4:$T$503,_calc!$E$559))=0,"",INDEX('Dealer pipeline'!$T$4:$T$503,_calc!$E$559)))),TRIM(IF(LEN(IF(LEN(INDEX('My equipment'!$C$4:$C$503,(_calc!$E$559-500)))=0,"",INDEX('My equipment'!$C$4:$C$503,(_calc!$E$559-500))))=0,"","Model: "&amp;IF(LEN(INDEX('My equipment'!$C$4:$C$503,(_calc!$E$559-500)))=0,"",INDEX('My equipment'!$C$4:$C$503,(_calc!$E$559-500)))&amp;". ")&amp;IF(LEN(IF(LEN(INDEX('My equipment'!$D$4:$D$503,(_calc!$E$559-500)))=0,"",INDEX('My equipment'!$D$4:$D$503,(_calc!$E$559-500))))=0,"","Serial: "&amp;IF(LEN(INDEX('My equipment'!$D$4:$D$503,(_calc!$E$559-500)))=0,"",INDEX('My equipment'!$D$4:$D$503,(_calc!$E$559-500)))&amp;". ")&amp;IF(LEN(IF(ISNUMBER(INDEX('My equipment'!$J$4:$J$503,(_calc!$E$559-500))),TEXT(INDEX('My equipment'!$J$4:$J$503,(_calc!$E$559-500)),"yyyy-mm-dd"),""))=0,"","Parts end: "&amp;IF(ISNUMBER(INDEX('My equipment'!$J$4:$J$503,(_calc!$E$559-500))),TEXT(INDEX('My equipment'!$J$4:$J$503,(_calc!$E$559-500)),"yyyy-mm-dd"),"")&amp;". ")&amp;IF(LEN(IF(ISNUMBER(INDEX('My equipment'!$L$4:$L$503,(_calc!$E$559-500))),TEXT(INDEX('My equipment'!$L$4:$L$503,(_calc!$E$559-500)),"yyyy-mm-dd"),""))=0,"","Labor end: "&amp;IF(ISNUMBER(INDEX('My equipment'!$L$4:$L$503,(_calc!$E$559-500))),TEXT(INDEX('My equipment'!$L$4:$L$503,(_calc!$E$559-500)),"yyyy-mm-dd"),"")&amp;". ")&amp;IF(LEN(IF(ISNUMBER(INDEX('My equipment'!$P$4:$P$503,(_calc!$E$559-500))),TEXT(INDEX('My equipment'!$P$4:$P$503,(_calc!$E$559-500)),"yyyy-mm-dd"),""))=0,"","Check by: "&amp;IF(ISNUMBER(INDEX('My equipment'!$P$4:$P$503,(_calc!$E$559-500))),TEXT(INDEX('My equipment'!$P$4:$P$503,(_calc!$E$559-500)),"yyyy-mm-dd"),"")&amp;". ")&amp;IF(LEN(IF(LEN(INDEX('My equipment'!$Q$4:$Q$503,(_calc!$E$559-500)))=0,"",INDEX('My equipment'!$Q$4:$Q$503,(_calc!$E$559-500))))=0,"","Claim status: "&amp;IF(LEN(INDEX('My equipment'!$Q$4:$Q$503,(_calc!$E$559-500)))=0,"",INDEX('My equipment'!$Q$4:$Q$503,(_calc!$E$559-500)))&amp;". ")&amp;IF(LEN(IF(LEN(INDEX('My equipment'!$R$4:$R$503,(_calc!$E$559-500)))=0,"",INDEX('My equipment'!$R$4:$R$503,(_calc!$E$559-500))))=0,"","Claims contact: "&amp;IF(LEN(INDEX('My equipment'!$R$4:$R$503,(_calc!$E$559-500)))=0,"",INDEX('My equipment'!$R$4:$R$503,(_calc!$E$559-500)))&amp;". ")&amp;IF(LEN(IF(LEN(INDEX('My equipment'!$S$4:$S$503,(_calc!$E$559-500)))=0,"",INDEX('My equipment'!$S$4:$S$503,(_calc!$E$559-500))))=0,"","Claims email: "&amp;IF(LEN(INDEX('My equipment'!$S$4:$S$503,(_calc!$E$559-500)))=0,"",INDEX('My equipment'!$S$4:$S$503,(_calc!$E$559-500)))&amp;". ")&amp;IF(LEN(IF(LEN(INDEX('My equipment'!$U$4:$U$503,(_calc!$E$559-500)))=0,"",INDEX('My equipment'!$U$4:$U$503,(_calc!$E$559-500))))=0,"","Registered: "&amp;IF(LEN(INDEX('My equipment'!$U$4:$U$503,(_calc!$E$559-500)))=0,"",INDEX('My equipment'!$U$4:$U$503,(_calc!$E$559-500)))&amp;". ")&amp;IF(LEN(IF(LEN(INDEX('My equipment'!$V$4:$V$503,(_calc!$E$559-500)))=0,"",INDEX('My equipment'!$V$4:$V$503,(_calc!$E$559-500))))=0,"","Proof on file: "&amp;IF(LEN(INDEX('My equipment'!$V$4:$V$503,(_calc!$E$559-500)))=0,"",INDEX('My equipment'!$V$4:$V$503,(_calc!$E$559-500)))&amp;". ")&amp;IF(LEN(IF(LEN(INDEX('My equipment'!$W$4:$W$503,(_calc!$E$559-500)))=0,"",INDEX('My equipment'!$W$4:$W$503,(_calc!$E$559-500))))=0,"","Claim ref: "&amp;IF(LEN(INDEX('My equipment'!$W$4:$W$503,(_calc!$E$559-500)))=0,"",INDEX('My equipment'!$W$4:$W$503,(_calc!$E$559-500)))&amp;". ")&amp;IF(LEN(IF(LEN(INDEX('My equipment'!$Y$4:$Y$503,(_calc!$E$559-500)))=0,"",INDEX('My equipment'!$Y$4:$Y$503,(_calc!$E$559-500))))=0,"",IF(LEN(INDEX('My equipment'!$Y$4:$Y$503,(_calc!$E$559-500)))=0,"",INDEX('My equipment'!$Y$4:$Y$503,(_calc!$E$559-500)))))))</f>
        <v/>
      </c>
      <c r="G557" s="54">
        <f>IF(_calc!$E$559="","",IF(_calc!$E$559&lt;=500,"",IF(LEN(INDEX('My equipment'!$X$4:$X$503,(_calc!$E$559-500)))=0,"",INDEX('My equipment'!$X$4:$X$503,(_calc!$E$559-500)))))</f>
        <v/>
      </c>
      <c r="K557" s="54">
        <f>IF(_calc!$E$559="","",IF(_calc!$E$559&lt;=500,"",IF(LEN(INDEX('My equipment'!$T$4:$T$503,(_calc!$E$559-500)))=0,"",INDEX('My equipment'!$T$4:$T$503,(_calc!$E$559-500)))))</f>
        <v/>
      </c>
    </row>
    <row r="558">
      <c r="A558" s="54">
        <f>IF(_calc!$E$560="","",IF(_calc!$E$560&lt;=500,"Warranty – "&amp;IF(LEN(INDEX('Dealer pipeline'!$C$4:$C$503,_calc!$E$560))=0,"",INDEX('Dealer pipeline'!$C$4:$C$503,_calc!$E$560))&amp;" – "&amp;IF(LEN(INDEX('Dealer pipeline'!$D$4:$D$503,_calc!$E$560))=0,"",INDEX('Dealer pipeline'!$D$4:$D$503,_calc!$E$560))&amp;" – "&amp;IF(LEN(INDEX('Dealer pipeline'!$A$4:$A$503,_calc!$E$560))=0,"",INDEX('Dealer pipeline'!$A$4:$A$503,_calc!$E$560)),"Warranty – "&amp;IF(LEN(INDEX('My equipment'!$A$4:$A$503,(_calc!$E$560-500)))=0,"",INDEX('My equipment'!$A$4:$A$503,(_calc!$E$560-500)))&amp;" – "&amp;IF(LEN(INDEX('My equipment'!$D$4:$D$503,(_calc!$E$560-500)))=0,"",INDEX('My equipment'!$D$4:$D$503,(_calc!$E$560-500)))))</f>
        <v/>
      </c>
      <c r="B558" s="54">
        <f>IF(_calc!$E$560="","",IF(_calc!$E$560&lt;=500,IF(ISNUMBER(INDEX('Dealer pipeline'!$M$4:$M$503,_calc!$E$560)),TEXT(INDEX('Dealer pipeline'!$M$4:$M$503,_calc!$E$560),"yyyy-mm-dd"),""),IF(ISNUMBER(INDEX('My equipment'!$M$4:$M$503,(_calc!$E$560-500))),TEXT(INDEX('My equipment'!$M$4:$M$503,(_calc!$E$560-500)),"yyyy-mm-dd"),"")))</f>
        <v/>
      </c>
      <c r="C558" s="54">
        <f>IF(_calc!$E$560="","",IF(_calc!$E$560&lt;=500,"Warranty","Warranty"))</f>
        <v/>
      </c>
      <c r="D558" s="54">
        <f>IF(_calc!$E$560="","",IF(_calc!$E$560&lt;=500,IF(ISNUMBER(INDEX('Dealer pipeline'!$H$4:$H$503,_calc!$E$560)),TEXT(INDEX('Dealer pipeline'!$H$4:$H$503,_calc!$E$560),"yyyy-mm-dd"),""),IF(ISNUMBER(INDEX('My equipment'!$H$4:$H$503,(_calc!$E$560-500))),TEXT(INDEX('My equipment'!$H$4:$H$503,(_calc!$E$560-500)),"yyyy-mm-dd"),"")))</f>
        <v/>
      </c>
      <c r="F558" s="54">
        <f>IF(_calc!$E$560="","",IF(_calc!$E$560&lt;=500,TRIM(IF(LEN(IF(LEN(INDEX('Dealer pipeline'!$A$4:$A$503,_calc!$E$560))=0,"",INDEX('Dealer pipeline'!$A$4:$A$503,_calc!$E$560)))=0,"","Customer: "&amp;IF(LEN(INDEX('Dealer pipeline'!$A$4:$A$503,_calc!$E$560))=0,"",INDEX('Dealer pipeline'!$A$4:$A$503,_calc!$E$560))&amp;". ")&amp;IF(LEN(IF(LEN(INDEX('Dealer pipeline'!$B$4:$B$503,_calc!$E$560))=0,"",INDEX('Dealer pipeline'!$B$4:$B$503,_calc!$E$560)))=0,"","Contact: "&amp;IF(LEN(INDEX('Dealer pipeline'!$B$4:$B$503,_calc!$E$560))=0,"",INDEX('Dealer pipeline'!$B$4:$B$503,_calc!$E$560))&amp;". ")&amp;IF(LEN(IF(LEN(INDEX('Dealer pipeline'!$D$4:$D$503,_calc!$E$560))=0,"",INDEX('Dealer pipeline'!$D$4:$D$503,_calc!$E$560)))=0,"","Serial: "&amp;IF(LEN(INDEX('Dealer pipeline'!$D$4:$D$503,_calc!$E$560))=0,"",INDEX('Dealer pipeline'!$D$4:$D$503,_calc!$E$560))&amp;". ")&amp;IF(LEN(IF(ISNUMBER(INDEX('Dealer pipeline'!$J$4:$J$503,_calc!$E$560)),TEXT(INDEX('Dealer pipeline'!$J$4:$J$503,_calc!$E$560),"yyyy-mm-dd"),""))=0,"","Parts end: "&amp;IF(ISNUMBER(INDEX('Dealer pipeline'!$J$4:$J$503,_calc!$E$560)),TEXT(INDEX('Dealer pipeline'!$J$4:$J$503,_calc!$E$560),"yyyy-mm-dd"),"")&amp;". ")&amp;IF(LEN(IF(ISNUMBER(INDEX('Dealer pipeline'!$L$4:$L$503,_calc!$E$560)),TEXT(INDEX('Dealer pipeline'!$L$4:$L$503,_calc!$E$560),"yyyy-mm-dd"),""))=0,"","Labor end: "&amp;IF(ISNUMBER(INDEX('Dealer pipeline'!$L$4:$L$503,_calc!$E$560)),TEXT(INDEX('Dealer pipeline'!$L$4:$L$503,_calc!$E$560),"yyyy-mm-dd"),"")&amp;". ")&amp;IF(LEN(IF(LEN(INDEX('Dealer pipeline'!$Q$4:$Q$503,_calc!$E$560))=0,"",INDEX('Dealer pipeline'!$Q$4:$Q$503,_calc!$E$560)))=0,"","Status: "&amp;IF(LEN(INDEX('Dealer pipeline'!$Q$4:$Q$503,_calc!$E$560))=0,"",INDEX('Dealer pipeline'!$Q$4:$Q$503,_calc!$E$560))&amp;". ")&amp;IF(LEN(IF(LEN(INDEX('Dealer pipeline'!$P$4:$P$503,_calc!$E$560))=0,"",INDEX('Dealer pipeline'!$P$4:$P$503,_calc!$E$560)))=0,"","Last touch: "&amp;IF(LEN(INDEX('Dealer pipeline'!$P$4:$P$503,_calc!$E$560))=0,"",INDEX('Dealer pipeline'!$P$4:$P$503,_calc!$E$560))&amp;". ")&amp;IF(LEN(IF(LEN(INDEX('Dealer pipeline'!$R$4:$R$503,_calc!$E$560))=0,"",INDEX('Dealer pipeline'!$R$4:$R$503,_calc!$E$560)))=0,"","Owner: "&amp;IF(LEN(INDEX('Dealer pipeline'!$R$4:$R$503,_calc!$E$560))=0,"",INDEX('Dealer pipeline'!$R$4:$R$503,_calc!$E$560))&amp;". ")&amp;IF(LEN(IF(LEN(INDEX('Dealer pipeline'!$S$4:$S$503,_calc!$E$560))=0,"",INDEX('Dealer pipeline'!$S$4:$S$503,_calc!$E$560)))=0,"","Backup: "&amp;IF(LEN(INDEX('Dealer pipeline'!$S$4:$S$503,_calc!$E$560))=0,"",INDEX('Dealer pipeline'!$S$4:$S$503,_calc!$E$560))&amp;". ")&amp;IF(LEN(IF(LEN(INDEX('Dealer pipeline'!$T$4:$T$503,_calc!$E$560))=0,"",INDEX('Dealer pipeline'!$T$4:$T$503,_calc!$E$560)))=0,"",IF(LEN(INDEX('Dealer pipeline'!$T$4:$T$503,_calc!$E$560))=0,"",INDEX('Dealer pipeline'!$T$4:$T$503,_calc!$E$560)))),TRIM(IF(LEN(IF(LEN(INDEX('My equipment'!$C$4:$C$503,(_calc!$E$560-500)))=0,"",INDEX('My equipment'!$C$4:$C$503,(_calc!$E$560-500))))=0,"","Model: "&amp;IF(LEN(INDEX('My equipment'!$C$4:$C$503,(_calc!$E$560-500)))=0,"",INDEX('My equipment'!$C$4:$C$503,(_calc!$E$560-500)))&amp;". ")&amp;IF(LEN(IF(LEN(INDEX('My equipment'!$D$4:$D$503,(_calc!$E$560-500)))=0,"",INDEX('My equipment'!$D$4:$D$503,(_calc!$E$560-500))))=0,"","Serial: "&amp;IF(LEN(INDEX('My equipment'!$D$4:$D$503,(_calc!$E$560-500)))=0,"",INDEX('My equipment'!$D$4:$D$503,(_calc!$E$560-500)))&amp;". ")&amp;IF(LEN(IF(ISNUMBER(INDEX('My equipment'!$J$4:$J$503,(_calc!$E$560-500))),TEXT(INDEX('My equipment'!$J$4:$J$503,(_calc!$E$560-500)),"yyyy-mm-dd"),""))=0,"","Parts end: "&amp;IF(ISNUMBER(INDEX('My equipment'!$J$4:$J$503,(_calc!$E$560-500))),TEXT(INDEX('My equipment'!$J$4:$J$503,(_calc!$E$560-500)),"yyyy-mm-dd"),"")&amp;". ")&amp;IF(LEN(IF(ISNUMBER(INDEX('My equipment'!$L$4:$L$503,(_calc!$E$560-500))),TEXT(INDEX('My equipment'!$L$4:$L$503,(_calc!$E$560-500)),"yyyy-mm-dd"),""))=0,"","Labor end: "&amp;IF(ISNUMBER(INDEX('My equipment'!$L$4:$L$503,(_calc!$E$560-500))),TEXT(INDEX('My equipment'!$L$4:$L$503,(_calc!$E$560-500)),"yyyy-mm-dd"),"")&amp;". ")&amp;IF(LEN(IF(ISNUMBER(INDEX('My equipment'!$P$4:$P$503,(_calc!$E$560-500))),TEXT(INDEX('My equipment'!$P$4:$P$503,(_calc!$E$560-500)),"yyyy-mm-dd"),""))=0,"","Check by: "&amp;IF(ISNUMBER(INDEX('My equipment'!$P$4:$P$503,(_calc!$E$560-500))),TEXT(INDEX('My equipment'!$P$4:$P$503,(_calc!$E$560-500)),"yyyy-mm-dd"),"")&amp;". ")&amp;IF(LEN(IF(LEN(INDEX('My equipment'!$Q$4:$Q$503,(_calc!$E$560-500)))=0,"",INDEX('My equipment'!$Q$4:$Q$503,(_calc!$E$560-500))))=0,"","Claim status: "&amp;IF(LEN(INDEX('My equipment'!$Q$4:$Q$503,(_calc!$E$560-500)))=0,"",INDEX('My equipment'!$Q$4:$Q$503,(_calc!$E$560-500)))&amp;". ")&amp;IF(LEN(IF(LEN(INDEX('My equipment'!$R$4:$R$503,(_calc!$E$560-500)))=0,"",INDEX('My equipment'!$R$4:$R$503,(_calc!$E$560-500))))=0,"","Claims contact: "&amp;IF(LEN(INDEX('My equipment'!$R$4:$R$503,(_calc!$E$560-500)))=0,"",INDEX('My equipment'!$R$4:$R$503,(_calc!$E$560-500)))&amp;". ")&amp;IF(LEN(IF(LEN(INDEX('My equipment'!$S$4:$S$503,(_calc!$E$560-500)))=0,"",INDEX('My equipment'!$S$4:$S$503,(_calc!$E$560-500))))=0,"","Claims email: "&amp;IF(LEN(INDEX('My equipment'!$S$4:$S$503,(_calc!$E$560-500)))=0,"",INDEX('My equipment'!$S$4:$S$503,(_calc!$E$560-500)))&amp;". ")&amp;IF(LEN(IF(LEN(INDEX('My equipment'!$U$4:$U$503,(_calc!$E$560-500)))=0,"",INDEX('My equipment'!$U$4:$U$503,(_calc!$E$560-500))))=0,"","Registered: "&amp;IF(LEN(INDEX('My equipment'!$U$4:$U$503,(_calc!$E$560-500)))=0,"",INDEX('My equipment'!$U$4:$U$503,(_calc!$E$560-500)))&amp;". ")&amp;IF(LEN(IF(LEN(INDEX('My equipment'!$V$4:$V$503,(_calc!$E$560-500)))=0,"",INDEX('My equipment'!$V$4:$V$503,(_calc!$E$560-500))))=0,"","Proof on file: "&amp;IF(LEN(INDEX('My equipment'!$V$4:$V$503,(_calc!$E$560-500)))=0,"",INDEX('My equipment'!$V$4:$V$503,(_calc!$E$560-500)))&amp;". ")&amp;IF(LEN(IF(LEN(INDEX('My equipment'!$W$4:$W$503,(_calc!$E$560-500)))=0,"",INDEX('My equipment'!$W$4:$W$503,(_calc!$E$560-500))))=0,"","Claim ref: "&amp;IF(LEN(INDEX('My equipment'!$W$4:$W$503,(_calc!$E$560-500)))=0,"",INDEX('My equipment'!$W$4:$W$503,(_calc!$E$560-500)))&amp;". ")&amp;IF(LEN(IF(LEN(INDEX('My equipment'!$Y$4:$Y$503,(_calc!$E$560-500)))=0,"",INDEX('My equipment'!$Y$4:$Y$503,(_calc!$E$560-500))))=0,"",IF(LEN(INDEX('My equipment'!$Y$4:$Y$503,(_calc!$E$560-500)))=0,"",INDEX('My equipment'!$Y$4:$Y$503,(_calc!$E$560-500)))))))</f>
        <v/>
      </c>
      <c r="G558" s="54">
        <f>IF(_calc!$E$560="","",IF(_calc!$E$560&lt;=500,"",IF(LEN(INDEX('My equipment'!$X$4:$X$503,(_calc!$E$560-500)))=0,"",INDEX('My equipment'!$X$4:$X$503,(_calc!$E$560-500)))))</f>
        <v/>
      </c>
      <c r="K558" s="54">
        <f>IF(_calc!$E$560="","",IF(_calc!$E$560&lt;=500,"",IF(LEN(INDEX('My equipment'!$T$4:$T$503,(_calc!$E$560-500)))=0,"",INDEX('My equipment'!$T$4:$T$503,(_calc!$E$560-500)))))</f>
        <v/>
      </c>
    </row>
    <row r="559">
      <c r="A559" s="54">
        <f>IF(_calc!$E$561="","",IF(_calc!$E$561&lt;=500,"Warranty – "&amp;IF(LEN(INDEX('Dealer pipeline'!$C$4:$C$503,_calc!$E$561))=0,"",INDEX('Dealer pipeline'!$C$4:$C$503,_calc!$E$561))&amp;" – "&amp;IF(LEN(INDEX('Dealer pipeline'!$D$4:$D$503,_calc!$E$561))=0,"",INDEX('Dealer pipeline'!$D$4:$D$503,_calc!$E$561))&amp;" – "&amp;IF(LEN(INDEX('Dealer pipeline'!$A$4:$A$503,_calc!$E$561))=0,"",INDEX('Dealer pipeline'!$A$4:$A$503,_calc!$E$561)),"Warranty – "&amp;IF(LEN(INDEX('My equipment'!$A$4:$A$503,(_calc!$E$561-500)))=0,"",INDEX('My equipment'!$A$4:$A$503,(_calc!$E$561-500)))&amp;" – "&amp;IF(LEN(INDEX('My equipment'!$D$4:$D$503,(_calc!$E$561-500)))=0,"",INDEX('My equipment'!$D$4:$D$503,(_calc!$E$561-500)))))</f>
        <v/>
      </c>
      <c r="B559" s="54">
        <f>IF(_calc!$E$561="","",IF(_calc!$E$561&lt;=500,IF(ISNUMBER(INDEX('Dealer pipeline'!$M$4:$M$503,_calc!$E$561)),TEXT(INDEX('Dealer pipeline'!$M$4:$M$503,_calc!$E$561),"yyyy-mm-dd"),""),IF(ISNUMBER(INDEX('My equipment'!$M$4:$M$503,(_calc!$E$561-500))),TEXT(INDEX('My equipment'!$M$4:$M$503,(_calc!$E$561-500)),"yyyy-mm-dd"),"")))</f>
        <v/>
      </c>
      <c r="C559" s="54">
        <f>IF(_calc!$E$561="","",IF(_calc!$E$561&lt;=500,"Warranty","Warranty"))</f>
        <v/>
      </c>
      <c r="D559" s="54">
        <f>IF(_calc!$E$561="","",IF(_calc!$E$561&lt;=500,IF(ISNUMBER(INDEX('Dealer pipeline'!$H$4:$H$503,_calc!$E$561)),TEXT(INDEX('Dealer pipeline'!$H$4:$H$503,_calc!$E$561),"yyyy-mm-dd"),""),IF(ISNUMBER(INDEX('My equipment'!$H$4:$H$503,(_calc!$E$561-500))),TEXT(INDEX('My equipment'!$H$4:$H$503,(_calc!$E$561-500)),"yyyy-mm-dd"),"")))</f>
        <v/>
      </c>
      <c r="F559" s="54">
        <f>IF(_calc!$E$561="","",IF(_calc!$E$561&lt;=500,TRIM(IF(LEN(IF(LEN(INDEX('Dealer pipeline'!$A$4:$A$503,_calc!$E$561))=0,"",INDEX('Dealer pipeline'!$A$4:$A$503,_calc!$E$561)))=0,"","Customer: "&amp;IF(LEN(INDEX('Dealer pipeline'!$A$4:$A$503,_calc!$E$561))=0,"",INDEX('Dealer pipeline'!$A$4:$A$503,_calc!$E$561))&amp;". ")&amp;IF(LEN(IF(LEN(INDEX('Dealer pipeline'!$B$4:$B$503,_calc!$E$561))=0,"",INDEX('Dealer pipeline'!$B$4:$B$503,_calc!$E$561)))=0,"","Contact: "&amp;IF(LEN(INDEX('Dealer pipeline'!$B$4:$B$503,_calc!$E$561))=0,"",INDEX('Dealer pipeline'!$B$4:$B$503,_calc!$E$561))&amp;". ")&amp;IF(LEN(IF(LEN(INDEX('Dealer pipeline'!$D$4:$D$503,_calc!$E$561))=0,"",INDEX('Dealer pipeline'!$D$4:$D$503,_calc!$E$561)))=0,"","Serial: "&amp;IF(LEN(INDEX('Dealer pipeline'!$D$4:$D$503,_calc!$E$561))=0,"",INDEX('Dealer pipeline'!$D$4:$D$503,_calc!$E$561))&amp;". ")&amp;IF(LEN(IF(ISNUMBER(INDEX('Dealer pipeline'!$J$4:$J$503,_calc!$E$561)),TEXT(INDEX('Dealer pipeline'!$J$4:$J$503,_calc!$E$561),"yyyy-mm-dd"),""))=0,"","Parts end: "&amp;IF(ISNUMBER(INDEX('Dealer pipeline'!$J$4:$J$503,_calc!$E$561)),TEXT(INDEX('Dealer pipeline'!$J$4:$J$503,_calc!$E$561),"yyyy-mm-dd"),"")&amp;". ")&amp;IF(LEN(IF(ISNUMBER(INDEX('Dealer pipeline'!$L$4:$L$503,_calc!$E$561)),TEXT(INDEX('Dealer pipeline'!$L$4:$L$503,_calc!$E$561),"yyyy-mm-dd"),""))=0,"","Labor end: "&amp;IF(ISNUMBER(INDEX('Dealer pipeline'!$L$4:$L$503,_calc!$E$561)),TEXT(INDEX('Dealer pipeline'!$L$4:$L$503,_calc!$E$561),"yyyy-mm-dd"),"")&amp;". ")&amp;IF(LEN(IF(LEN(INDEX('Dealer pipeline'!$Q$4:$Q$503,_calc!$E$561))=0,"",INDEX('Dealer pipeline'!$Q$4:$Q$503,_calc!$E$561)))=0,"","Status: "&amp;IF(LEN(INDEX('Dealer pipeline'!$Q$4:$Q$503,_calc!$E$561))=0,"",INDEX('Dealer pipeline'!$Q$4:$Q$503,_calc!$E$561))&amp;". ")&amp;IF(LEN(IF(LEN(INDEX('Dealer pipeline'!$P$4:$P$503,_calc!$E$561))=0,"",INDEX('Dealer pipeline'!$P$4:$P$503,_calc!$E$561)))=0,"","Last touch: "&amp;IF(LEN(INDEX('Dealer pipeline'!$P$4:$P$503,_calc!$E$561))=0,"",INDEX('Dealer pipeline'!$P$4:$P$503,_calc!$E$561))&amp;". ")&amp;IF(LEN(IF(LEN(INDEX('Dealer pipeline'!$R$4:$R$503,_calc!$E$561))=0,"",INDEX('Dealer pipeline'!$R$4:$R$503,_calc!$E$561)))=0,"","Owner: "&amp;IF(LEN(INDEX('Dealer pipeline'!$R$4:$R$503,_calc!$E$561))=0,"",INDEX('Dealer pipeline'!$R$4:$R$503,_calc!$E$561))&amp;". ")&amp;IF(LEN(IF(LEN(INDEX('Dealer pipeline'!$S$4:$S$503,_calc!$E$561))=0,"",INDEX('Dealer pipeline'!$S$4:$S$503,_calc!$E$561)))=0,"","Backup: "&amp;IF(LEN(INDEX('Dealer pipeline'!$S$4:$S$503,_calc!$E$561))=0,"",INDEX('Dealer pipeline'!$S$4:$S$503,_calc!$E$561))&amp;". ")&amp;IF(LEN(IF(LEN(INDEX('Dealer pipeline'!$T$4:$T$503,_calc!$E$561))=0,"",INDEX('Dealer pipeline'!$T$4:$T$503,_calc!$E$561)))=0,"",IF(LEN(INDEX('Dealer pipeline'!$T$4:$T$503,_calc!$E$561))=0,"",INDEX('Dealer pipeline'!$T$4:$T$503,_calc!$E$561)))),TRIM(IF(LEN(IF(LEN(INDEX('My equipment'!$C$4:$C$503,(_calc!$E$561-500)))=0,"",INDEX('My equipment'!$C$4:$C$503,(_calc!$E$561-500))))=0,"","Model: "&amp;IF(LEN(INDEX('My equipment'!$C$4:$C$503,(_calc!$E$561-500)))=0,"",INDEX('My equipment'!$C$4:$C$503,(_calc!$E$561-500)))&amp;". ")&amp;IF(LEN(IF(LEN(INDEX('My equipment'!$D$4:$D$503,(_calc!$E$561-500)))=0,"",INDEX('My equipment'!$D$4:$D$503,(_calc!$E$561-500))))=0,"","Serial: "&amp;IF(LEN(INDEX('My equipment'!$D$4:$D$503,(_calc!$E$561-500)))=0,"",INDEX('My equipment'!$D$4:$D$503,(_calc!$E$561-500)))&amp;". ")&amp;IF(LEN(IF(ISNUMBER(INDEX('My equipment'!$J$4:$J$503,(_calc!$E$561-500))),TEXT(INDEX('My equipment'!$J$4:$J$503,(_calc!$E$561-500)),"yyyy-mm-dd"),""))=0,"","Parts end: "&amp;IF(ISNUMBER(INDEX('My equipment'!$J$4:$J$503,(_calc!$E$561-500))),TEXT(INDEX('My equipment'!$J$4:$J$503,(_calc!$E$561-500)),"yyyy-mm-dd"),"")&amp;". ")&amp;IF(LEN(IF(ISNUMBER(INDEX('My equipment'!$L$4:$L$503,(_calc!$E$561-500))),TEXT(INDEX('My equipment'!$L$4:$L$503,(_calc!$E$561-500)),"yyyy-mm-dd"),""))=0,"","Labor end: "&amp;IF(ISNUMBER(INDEX('My equipment'!$L$4:$L$503,(_calc!$E$561-500))),TEXT(INDEX('My equipment'!$L$4:$L$503,(_calc!$E$561-500)),"yyyy-mm-dd"),"")&amp;". ")&amp;IF(LEN(IF(ISNUMBER(INDEX('My equipment'!$P$4:$P$503,(_calc!$E$561-500))),TEXT(INDEX('My equipment'!$P$4:$P$503,(_calc!$E$561-500)),"yyyy-mm-dd"),""))=0,"","Check by: "&amp;IF(ISNUMBER(INDEX('My equipment'!$P$4:$P$503,(_calc!$E$561-500))),TEXT(INDEX('My equipment'!$P$4:$P$503,(_calc!$E$561-500)),"yyyy-mm-dd"),"")&amp;". ")&amp;IF(LEN(IF(LEN(INDEX('My equipment'!$Q$4:$Q$503,(_calc!$E$561-500)))=0,"",INDEX('My equipment'!$Q$4:$Q$503,(_calc!$E$561-500))))=0,"","Claim status: "&amp;IF(LEN(INDEX('My equipment'!$Q$4:$Q$503,(_calc!$E$561-500)))=0,"",INDEX('My equipment'!$Q$4:$Q$503,(_calc!$E$561-500)))&amp;". ")&amp;IF(LEN(IF(LEN(INDEX('My equipment'!$R$4:$R$503,(_calc!$E$561-500)))=0,"",INDEX('My equipment'!$R$4:$R$503,(_calc!$E$561-500))))=0,"","Claims contact: "&amp;IF(LEN(INDEX('My equipment'!$R$4:$R$503,(_calc!$E$561-500)))=0,"",INDEX('My equipment'!$R$4:$R$503,(_calc!$E$561-500)))&amp;". ")&amp;IF(LEN(IF(LEN(INDEX('My equipment'!$S$4:$S$503,(_calc!$E$561-500)))=0,"",INDEX('My equipment'!$S$4:$S$503,(_calc!$E$561-500))))=0,"","Claims email: "&amp;IF(LEN(INDEX('My equipment'!$S$4:$S$503,(_calc!$E$561-500)))=0,"",INDEX('My equipment'!$S$4:$S$503,(_calc!$E$561-500)))&amp;". ")&amp;IF(LEN(IF(LEN(INDEX('My equipment'!$U$4:$U$503,(_calc!$E$561-500)))=0,"",INDEX('My equipment'!$U$4:$U$503,(_calc!$E$561-500))))=0,"","Registered: "&amp;IF(LEN(INDEX('My equipment'!$U$4:$U$503,(_calc!$E$561-500)))=0,"",INDEX('My equipment'!$U$4:$U$503,(_calc!$E$561-500)))&amp;". ")&amp;IF(LEN(IF(LEN(INDEX('My equipment'!$V$4:$V$503,(_calc!$E$561-500)))=0,"",INDEX('My equipment'!$V$4:$V$503,(_calc!$E$561-500))))=0,"","Proof on file: "&amp;IF(LEN(INDEX('My equipment'!$V$4:$V$503,(_calc!$E$561-500)))=0,"",INDEX('My equipment'!$V$4:$V$503,(_calc!$E$561-500)))&amp;". ")&amp;IF(LEN(IF(LEN(INDEX('My equipment'!$W$4:$W$503,(_calc!$E$561-500)))=0,"",INDEX('My equipment'!$W$4:$W$503,(_calc!$E$561-500))))=0,"","Claim ref: "&amp;IF(LEN(INDEX('My equipment'!$W$4:$W$503,(_calc!$E$561-500)))=0,"",INDEX('My equipment'!$W$4:$W$503,(_calc!$E$561-500)))&amp;". ")&amp;IF(LEN(IF(LEN(INDEX('My equipment'!$Y$4:$Y$503,(_calc!$E$561-500)))=0,"",INDEX('My equipment'!$Y$4:$Y$503,(_calc!$E$561-500))))=0,"",IF(LEN(INDEX('My equipment'!$Y$4:$Y$503,(_calc!$E$561-500)))=0,"",INDEX('My equipment'!$Y$4:$Y$503,(_calc!$E$561-500)))))))</f>
        <v/>
      </c>
      <c r="G559" s="54">
        <f>IF(_calc!$E$561="","",IF(_calc!$E$561&lt;=500,"",IF(LEN(INDEX('My equipment'!$X$4:$X$503,(_calc!$E$561-500)))=0,"",INDEX('My equipment'!$X$4:$X$503,(_calc!$E$561-500)))))</f>
        <v/>
      </c>
      <c r="K559" s="54">
        <f>IF(_calc!$E$561="","",IF(_calc!$E$561&lt;=500,"",IF(LEN(INDEX('My equipment'!$T$4:$T$503,(_calc!$E$561-500)))=0,"",INDEX('My equipment'!$T$4:$T$503,(_calc!$E$561-500)))))</f>
        <v/>
      </c>
    </row>
    <row r="560">
      <c r="A560" s="54">
        <f>IF(_calc!$E$562="","",IF(_calc!$E$562&lt;=500,"Warranty – "&amp;IF(LEN(INDEX('Dealer pipeline'!$C$4:$C$503,_calc!$E$562))=0,"",INDEX('Dealer pipeline'!$C$4:$C$503,_calc!$E$562))&amp;" – "&amp;IF(LEN(INDEX('Dealer pipeline'!$D$4:$D$503,_calc!$E$562))=0,"",INDEX('Dealer pipeline'!$D$4:$D$503,_calc!$E$562))&amp;" – "&amp;IF(LEN(INDEX('Dealer pipeline'!$A$4:$A$503,_calc!$E$562))=0,"",INDEX('Dealer pipeline'!$A$4:$A$503,_calc!$E$562)),"Warranty – "&amp;IF(LEN(INDEX('My equipment'!$A$4:$A$503,(_calc!$E$562-500)))=0,"",INDEX('My equipment'!$A$4:$A$503,(_calc!$E$562-500)))&amp;" – "&amp;IF(LEN(INDEX('My equipment'!$D$4:$D$503,(_calc!$E$562-500)))=0,"",INDEX('My equipment'!$D$4:$D$503,(_calc!$E$562-500)))))</f>
        <v/>
      </c>
      <c r="B560" s="54">
        <f>IF(_calc!$E$562="","",IF(_calc!$E$562&lt;=500,IF(ISNUMBER(INDEX('Dealer pipeline'!$M$4:$M$503,_calc!$E$562)),TEXT(INDEX('Dealer pipeline'!$M$4:$M$503,_calc!$E$562),"yyyy-mm-dd"),""),IF(ISNUMBER(INDEX('My equipment'!$M$4:$M$503,(_calc!$E$562-500))),TEXT(INDEX('My equipment'!$M$4:$M$503,(_calc!$E$562-500)),"yyyy-mm-dd"),"")))</f>
        <v/>
      </c>
      <c r="C560" s="54">
        <f>IF(_calc!$E$562="","",IF(_calc!$E$562&lt;=500,"Warranty","Warranty"))</f>
        <v/>
      </c>
      <c r="D560" s="54">
        <f>IF(_calc!$E$562="","",IF(_calc!$E$562&lt;=500,IF(ISNUMBER(INDEX('Dealer pipeline'!$H$4:$H$503,_calc!$E$562)),TEXT(INDEX('Dealer pipeline'!$H$4:$H$503,_calc!$E$562),"yyyy-mm-dd"),""),IF(ISNUMBER(INDEX('My equipment'!$H$4:$H$503,(_calc!$E$562-500))),TEXT(INDEX('My equipment'!$H$4:$H$503,(_calc!$E$562-500)),"yyyy-mm-dd"),"")))</f>
        <v/>
      </c>
      <c r="F560" s="54">
        <f>IF(_calc!$E$562="","",IF(_calc!$E$562&lt;=500,TRIM(IF(LEN(IF(LEN(INDEX('Dealer pipeline'!$A$4:$A$503,_calc!$E$562))=0,"",INDEX('Dealer pipeline'!$A$4:$A$503,_calc!$E$562)))=0,"","Customer: "&amp;IF(LEN(INDEX('Dealer pipeline'!$A$4:$A$503,_calc!$E$562))=0,"",INDEX('Dealer pipeline'!$A$4:$A$503,_calc!$E$562))&amp;". ")&amp;IF(LEN(IF(LEN(INDEX('Dealer pipeline'!$B$4:$B$503,_calc!$E$562))=0,"",INDEX('Dealer pipeline'!$B$4:$B$503,_calc!$E$562)))=0,"","Contact: "&amp;IF(LEN(INDEX('Dealer pipeline'!$B$4:$B$503,_calc!$E$562))=0,"",INDEX('Dealer pipeline'!$B$4:$B$503,_calc!$E$562))&amp;". ")&amp;IF(LEN(IF(LEN(INDEX('Dealer pipeline'!$D$4:$D$503,_calc!$E$562))=0,"",INDEX('Dealer pipeline'!$D$4:$D$503,_calc!$E$562)))=0,"","Serial: "&amp;IF(LEN(INDEX('Dealer pipeline'!$D$4:$D$503,_calc!$E$562))=0,"",INDEX('Dealer pipeline'!$D$4:$D$503,_calc!$E$562))&amp;". ")&amp;IF(LEN(IF(ISNUMBER(INDEX('Dealer pipeline'!$J$4:$J$503,_calc!$E$562)),TEXT(INDEX('Dealer pipeline'!$J$4:$J$503,_calc!$E$562),"yyyy-mm-dd"),""))=0,"","Parts end: "&amp;IF(ISNUMBER(INDEX('Dealer pipeline'!$J$4:$J$503,_calc!$E$562)),TEXT(INDEX('Dealer pipeline'!$J$4:$J$503,_calc!$E$562),"yyyy-mm-dd"),"")&amp;". ")&amp;IF(LEN(IF(ISNUMBER(INDEX('Dealer pipeline'!$L$4:$L$503,_calc!$E$562)),TEXT(INDEX('Dealer pipeline'!$L$4:$L$503,_calc!$E$562),"yyyy-mm-dd"),""))=0,"","Labor end: "&amp;IF(ISNUMBER(INDEX('Dealer pipeline'!$L$4:$L$503,_calc!$E$562)),TEXT(INDEX('Dealer pipeline'!$L$4:$L$503,_calc!$E$562),"yyyy-mm-dd"),"")&amp;". ")&amp;IF(LEN(IF(LEN(INDEX('Dealer pipeline'!$Q$4:$Q$503,_calc!$E$562))=0,"",INDEX('Dealer pipeline'!$Q$4:$Q$503,_calc!$E$562)))=0,"","Status: "&amp;IF(LEN(INDEX('Dealer pipeline'!$Q$4:$Q$503,_calc!$E$562))=0,"",INDEX('Dealer pipeline'!$Q$4:$Q$503,_calc!$E$562))&amp;". ")&amp;IF(LEN(IF(LEN(INDEX('Dealer pipeline'!$P$4:$P$503,_calc!$E$562))=0,"",INDEX('Dealer pipeline'!$P$4:$P$503,_calc!$E$562)))=0,"","Last touch: "&amp;IF(LEN(INDEX('Dealer pipeline'!$P$4:$P$503,_calc!$E$562))=0,"",INDEX('Dealer pipeline'!$P$4:$P$503,_calc!$E$562))&amp;". ")&amp;IF(LEN(IF(LEN(INDEX('Dealer pipeline'!$R$4:$R$503,_calc!$E$562))=0,"",INDEX('Dealer pipeline'!$R$4:$R$503,_calc!$E$562)))=0,"","Owner: "&amp;IF(LEN(INDEX('Dealer pipeline'!$R$4:$R$503,_calc!$E$562))=0,"",INDEX('Dealer pipeline'!$R$4:$R$503,_calc!$E$562))&amp;". ")&amp;IF(LEN(IF(LEN(INDEX('Dealer pipeline'!$S$4:$S$503,_calc!$E$562))=0,"",INDEX('Dealer pipeline'!$S$4:$S$503,_calc!$E$562)))=0,"","Backup: "&amp;IF(LEN(INDEX('Dealer pipeline'!$S$4:$S$503,_calc!$E$562))=0,"",INDEX('Dealer pipeline'!$S$4:$S$503,_calc!$E$562))&amp;". ")&amp;IF(LEN(IF(LEN(INDEX('Dealer pipeline'!$T$4:$T$503,_calc!$E$562))=0,"",INDEX('Dealer pipeline'!$T$4:$T$503,_calc!$E$562)))=0,"",IF(LEN(INDEX('Dealer pipeline'!$T$4:$T$503,_calc!$E$562))=0,"",INDEX('Dealer pipeline'!$T$4:$T$503,_calc!$E$562)))),TRIM(IF(LEN(IF(LEN(INDEX('My equipment'!$C$4:$C$503,(_calc!$E$562-500)))=0,"",INDEX('My equipment'!$C$4:$C$503,(_calc!$E$562-500))))=0,"","Model: "&amp;IF(LEN(INDEX('My equipment'!$C$4:$C$503,(_calc!$E$562-500)))=0,"",INDEX('My equipment'!$C$4:$C$503,(_calc!$E$562-500)))&amp;". ")&amp;IF(LEN(IF(LEN(INDEX('My equipment'!$D$4:$D$503,(_calc!$E$562-500)))=0,"",INDEX('My equipment'!$D$4:$D$503,(_calc!$E$562-500))))=0,"","Serial: "&amp;IF(LEN(INDEX('My equipment'!$D$4:$D$503,(_calc!$E$562-500)))=0,"",INDEX('My equipment'!$D$4:$D$503,(_calc!$E$562-500)))&amp;". ")&amp;IF(LEN(IF(ISNUMBER(INDEX('My equipment'!$J$4:$J$503,(_calc!$E$562-500))),TEXT(INDEX('My equipment'!$J$4:$J$503,(_calc!$E$562-500)),"yyyy-mm-dd"),""))=0,"","Parts end: "&amp;IF(ISNUMBER(INDEX('My equipment'!$J$4:$J$503,(_calc!$E$562-500))),TEXT(INDEX('My equipment'!$J$4:$J$503,(_calc!$E$562-500)),"yyyy-mm-dd"),"")&amp;". ")&amp;IF(LEN(IF(ISNUMBER(INDEX('My equipment'!$L$4:$L$503,(_calc!$E$562-500))),TEXT(INDEX('My equipment'!$L$4:$L$503,(_calc!$E$562-500)),"yyyy-mm-dd"),""))=0,"","Labor end: "&amp;IF(ISNUMBER(INDEX('My equipment'!$L$4:$L$503,(_calc!$E$562-500))),TEXT(INDEX('My equipment'!$L$4:$L$503,(_calc!$E$562-500)),"yyyy-mm-dd"),"")&amp;". ")&amp;IF(LEN(IF(ISNUMBER(INDEX('My equipment'!$P$4:$P$503,(_calc!$E$562-500))),TEXT(INDEX('My equipment'!$P$4:$P$503,(_calc!$E$562-500)),"yyyy-mm-dd"),""))=0,"","Check by: "&amp;IF(ISNUMBER(INDEX('My equipment'!$P$4:$P$503,(_calc!$E$562-500))),TEXT(INDEX('My equipment'!$P$4:$P$503,(_calc!$E$562-500)),"yyyy-mm-dd"),"")&amp;". ")&amp;IF(LEN(IF(LEN(INDEX('My equipment'!$Q$4:$Q$503,(_calc!$E$562-500)))=0,"",INDEX('My equipment'!$Q$4:$Q$503,(_calc!$E$562-500))))=0,"","Claim status: "&amp;IF(LEN(INDEX('My equipment'!$Q$4:$Q$503,(_calc!$E$562-500)))=0,"",INDEX('My equipment'!$Q$4:$Q$503,(_calc!$E$562-500)))&amp;". ")&amp;IF(LEN(IF(LEN(INDEX('My equipment'!$R$4:$R$503,(_calc!$E$562-500)))=0,"",INDEX('My equipment'!$R$4:$R$503,(_calc!$E$562-500))))=0,"","Claims contact: "&amp;IF(LEN(INDEX('My equipment'!$R$4:$R$503,(_calc!$E$562-500)))=0,"",INDEX('My equipment'!$R$4:$R$503,(_calc!$E$562-500)))&amp;". ")&amp;IF(LEN(IF(LEN(INDEX('My equipment'!$S$4:$S$503,(_calc!$E$562-500)))=0,"",INDEX('My equipment'!$S$4:$S$503,(_calc!$E$562-500))))=0,"","Claims email: "&amp;IF(LEN(INDEX('My equipment'!$S$4:$S$503,(_calc!$E$562-500)))=0,"",INDEX('My equipment'!$S$4:$S$503,(_calc!$E$562-500)))&amp;". ")&amp;IF(LEN(IF(LEN(INDEX('My equipment'!$U$4:$U$503,(_calc!$E$562-500)))=0,"",INDEX('My equipment'!$U$4:$U$503,(_calc!$E$562-500))))=0,"","Registered: "&amp;IF(LEN(INDEX('My equipment'!$U$4:$U$503,(_calc!$E$562-500)))=0,"",INDEX('My equipment'!$U$4:$U$503,(_calc!$E$562-500)))&amp;". ")&amp;IF(LEN(IF(LEN(INDEX('My equipment'!$V$4:$V$503,(_calc!$E$562-500)))=0,"",INDEX('My equipment'!$V$4:$V$503,(_calc!$E$562-500))))=0,"","Proof on file: "&amp;IF(LEN(INDEX('My equipment'!$V$4:$V$503,(_calc!$E$562-500)))=0,"",INDEX('My equipment'!$V$4:$V$503,(_calc!$E$562-500)))&amp;". ")&amp;IF(LEN(IF(LEN(INDEX('My equipment'!$W$4:$W$503,(_calc!$E$562-500)))=0,"",INDEX('My equipment'!$W$4:$W$503,(_calc!$E$562-500))))=0,"","Claim ref: "&amp;IF(LEN(INDEX('My equipment'!$W$4:$W$503,(_calc!$E$562-500)))=0,"",INDEX('My equipment'!$W$4:$W$503,(_calc!$E$562-500)))&amp;". ")&amp;IF(LEN(IF(LEN(INDEX('My equipment'!$Y$4:$Y$503,(_calc!$E$562-500)))=0,"",INDEX('My equipment'!$Y$4:$Y$503,(_calc!$E$562-500))))=0,"",IF(LEN(INDEX('My equipment'!$Y$4:$Y$503,(_calc!$E$562-500)))=0,"",INDEX('My equipment'!$Y$4:$Y$503,(_calc!$E$562-500)))))))</f>
        <v/>
      </c>
      <c r="G560" s="54">
        <f>IF(_calc!$E$562="","",IF(_calc!$E$562&lt;=500,"",IF(LEN(INDEX('My equipment'!$X$4:$X$503,(_calc!$E$562-500)))=0,"",INDEX('My equipment'!$X$4:$X$503,(_calc!$E$562-500)))))</f>
        <v/>
      </c>
      <c r="K560" s="54">
        <f>IF(_calc!$E$562="","",IF(_calc!$E$562&lt;=500,"",IF(LEN(INDEX('My equipment'!$T$4:$T$503,(_calc!$E$562-500)))=0,"",INDEX('My equipment'!$T$4:$T$503,(_calc!$E$562-500)))))</f>
        <v/>
      </c>
    </row>
    <row r="561">
      <c r="A561" s="54">
        <f>IF(_calc!$E$563="","",IF(_calc!$E$563&lt;=500,"Warranty – "&amp;IF(LEN(INDEX('Dealer pipeline'!$C$4:$C$503,_calc!$E$563))=0,"",INDEX('Dealer pipeline'!$C$4:$C$503,_calc!$E$563))&amp;" – "&amp;IF(LEN(INDEX('Dealer pipeline'!$D$4:$D$503,_calc!$E$563))=0,"",INDEX('Dealer pipeline'!$D$4:$D$503,_calc!$E$563))&amp;" – "&amp;IF(LEN(INDEX('Dealer pipeline'!$A$4:$A$503,_calc!$E$563))=0,"",INDEX('Dealer pipeline'!$A$4:$A$503,_calc!$E$563)),"Warranty – "&amp;IF(LEN(INDEX('My equipment'!$A$4:$A$503,(_calc!$E$563-500)))=0,"",INDEX('My equipment'!$A$4:$A$503,(_calc!$E$563-500)))&amp;" – "&amp;IF(LEN(INDEX('My equipment'!$D$4:$D$503,(_calc!$E$563-500)))=0,"",INDEX('My equipment'!$D$4:$D$503,(_calc!$E$563-500)))))</f>
        <v/>
      </c>
      <c r="B561" s="54">
        <f>IF(_calc!$E$563="","",IF(_calc!$E$563&lt;=500,IF(ISNUMBER(INDEX('Dealer pipeline'!$M$4:$M$503,_calc!$E$563)),TEXT(INDEX('Dealer pipeline'!$M$4:$M$503,_calc!$E$563),"yyyy-mm-dd"),""),IF(ISNUMBER(INDEX('My equipment'!$M$4:$M$503,(_calc!$E$563-500))),TEXT(INDEX('My equipment'!$M$4:$M$503,(_calc!$E$563-500)),"yyyy-mm-dd"),"")))</f>
        <v/>
      </c>
      <c r="C561" s="54">
        <f>IF(_calc!$E$563="","",IF(_calc!$E$563&lt;=500,"Warranty","Warranty"))</f>
        <v/>
      </c>
      <c r="D561" s="54">
        <f>IF(_calc!$E$563="","",IF(_calc!$E$563&lt;=500,IF(ISNUMBER(INDEX('Dealer pipeline'!$H$4:$H$503,_calc!$E$563)),TEXT(INDEX('Dealer pipeline'!$H$4:$H$503,_calc!$E$563),"yyyy-mm-dd"),""),IF(ISNUMBER(INDEX('My equipment'!$H$4:$H$503,(_calc!$E$563-500))),TEXT(INDEX('My equipment'!$H$4:$H$503,(_calc!$E$563-500)),"yyyy-mm-dd"),"")))</f>
        <v/>
      </c>
      <c r="F561" s="54">
        <f>IF(_calc!$E$563="","",IF(_calc!$E$563&lt;=500,TRIM(IF(LEN(IF(LEN(INDEX('Dealer pipeline'!$A$4:$A$503,_calc!$E$563))=0,"",INDEX('Dealer pipeline'!$A$4:$A$503,_calc!$E$563)))=0,"","Customer: "&amp;IF(LEN(INDEX('Dealer pipeline'!$A$4:$A$503,_calc!$E$563))=0,"",INDEX('Dealer pipeline'!$A$4:$A$503,_calc!$E$563))&amp;". ")&amp;IF(LEN(IF(LEN(INDEX('Dealer pipeline'!$B$4:$B$503,_calc!$E$563))=0,"",INDEX('Dealer pipeline'!$B$4:$B$503,_calc!$E$563)))=0,"","Contact: "&amp;IF(LEN(INDEX('Dealer pipeline'!$B$4:$B$503,_calc!$E$563))=0,"",INDEX('Dealer pipeline'!$B$4:$B$503,_calc!$E$563))&amp;". ")&amp;IF(LEN(IF(LEN(INDEX('Dealer pipeline'!$D$4:$D$503,_calc!$E$563))=0,"",INDEX('Dealer pipeline'!$D$4:$D$503,_calc!$E$563)))=0,"","Serial: "&amp;IF(LEN(INDEX('Dealer pipeline'!$D$4:$D$503,_calc!$E$563))=0,"",INDEX('Dealer pipeline'!$D$4:$D$503,_calc!$E$563))&amp;". ")&amp;IF(LEN(IF(ISNUMBER(INDEX('Dealer pipeline'!$J$4:$J$503,_calc!$E$563)),TEXT(INDEX('Dealer pipeline'!$J$4:$J$503,_calc!$E$563),"yyyy-mm-dd"),""))=0,"","Parts end: "&amp;IF(ISNUMBER(INDEX('Dealer pipeline'!$J$4:$J$503,_calc!$E$563)),TEXT(INDEX('Dealer pipeline'!$J$4:$J$503,_calc!$E$563),"yyyy-mm-dd"),"")&amp;". ")&amp;IF(LEN(IF(ISNUMBER(INDEX('Dealer pipeline'!$L$4:$L$503,_calc!$E$563)),TEXT(INDEX('Dealer pipeline'!$L$4:$L$503,_calc!$E$563),"yyyy-mm-dd"),""))=0,"","Labor end: "&amp;IF(ISNUMBER(INDEX('Dealer pipeline'!$L$4:$L$503,_calc!$E$563)),TEXT(INDEX('Dealer pipeline'!$L$4:$L$503,_calc!$E$563),"yyyy-mm-dd"),"")&amp;". ")&amp;IF(LEN(IF(LEN(INDEX('Dealer pipeline'!$Q$4:$Q$503,_calc!$E$563))=0,"",INDEX('Dealer pipeline'!$Q$4:$Q$503,_calc!$E$563)))=0,"","Status: "&amp;IF(LEN(INDEX('Dealer pipeline'!$Q$4:$Q$503,_calc!$E$563))=0,"",INDEX('Dealer pipeline'!$Q$4:$Q$503,_calc!$E$563))&amp;". ")&amp;IF(LEN(IF(LEN(INDEX('Dealer pipeline'!$P$4:$P$503,_calc!$E$563))=0,"",INDEX('Dealer pipeline'!$P$4:$P$503,_calc!$E$563)))=0,"","Last touch: "&amp;IF(LEN(INDEX('Dealer pipeline'!$P$4:$P$503,_calc!$E$563))=0,"",INDEX('Dealer pipeline'!$P$4:$P$503,_calc!$E$563))&amp;". ")&amp;IF(LEN(IF(LEN(INDEX('Dealer pipeline'!$R$4:$R$503,_calc!$E$563))=0,"",INDEX('Dealer pipeline'!$R$4:$R$503,_calc!$E$563)))=0,"","Owner: "&amp;IF(LEN(INDEX('Dealer pipeline'!$R$4:$R$503,_calc!$E$563))=0,"",INDEX('Dealer pipeline'!$R$4:$R$503,_calc!$E$563))&amp;". ")&amp;IF(LEN(IF(LEN(INDEX('Dealer pipeline'!$S$4:$S$503,_calc!$E$563))=0,"",INDEX('Dealer pipeline'!$S$4:$S$503,_calc!$E$563)))=0,"","Backup: "&amp;IF(LEN(INDEX('Dealer pipeline'!$S$4:$S$503,_calc!$E$563))=0,"",INDEX('Dealer pipeline'!$S$4:$S$503,_calc!$E$563))&amp;". ")&amp;IF(LEN(IF(LEN(INDEX('Dealer pipeline'!$T$4:$T$503,_calc!$E$563))=0,"",INDEX('Dealer pipeline'!$T$4:$T$503,_calc!$E$563)))=0,"",IF(LEN(INDEX('Dealer pipeline'!$T$4:$T$503,_calc!$E$563))=0,"",INDEX('Dealer pipeline'!$T$4:$T$503,_calc!$E$563)))),TRIM(IF(LEN(IF(LEN(INDEX('My equipment'!$C$4:$C$503,(_calc!$E$563-500)))=0,"",INDEX('My equipment'!$C$4:$C$503,(_calc!$E$563-500))))=0,"","Model: "&amp;IF(LEN(INDEX('My equipment'!$C$4:$C$503,(_calc!$E$563-500)))=0,"",INDEX('My equipment'!$C$4:$C$503,(_calc!$E$563-500)))&amp;". ")&amp;IF(LEN(IF(LEN(INDEX('My equipment'!$D$4:$D$503,(_calc!$E$563-500)))=0,"",INDEX('My equipment'!$D$4:$D$503,(_calc!$E$563-500))))=0,"","Serial: "&amp;IF(LEN(INDEX('My equipment'!$D$4:$D$503,(_calc!$E$563-500)))=0,"",INDEX('My equipment'!$D$4:$D$503,(_calc!$E$563-500)))&amp;". ")&amp;IF(LEN(IF(ISNUMBER(INDEX('My equipment'!$J$4:$J$503,(_calc!$E$563-500))),TEXT(INDEX('My equipment'!$J$4:$J$503,(_calc!$E$563-500)),"yyyy-mm-dd"),""))=0,"","Parts end: "&amp;IF(ISNUMBER(INDEX('My equipment'!$J$4:$J$503,(_calc!$E$563-500))),TEXT(INDEX('My equipment'!$J$4:$J$503,(_calc!$E$563-500)),"yyyy-mm-dd"),"")&amp;". ")&amp;IF(LEN(IF(ISNUMBER(INDEX('My equipment'!$L$4:$L$503,(_calc!$E$563-500))),TEXT(INDEX('My equipment'!$L$4:$L$503,(_calc!$E$563-500)),"yyyy-mm-dd"),""))=0,"","Labor end: "&amp;IF(ISNUMBER(INDEX('My equipment'!$L$4:$L$503,(_calc!$E$563-500))),TEXT(INDEX('My equipment'!$L$4:$L$503,(_calc!$E$563-500)),"yyyy-mm-dd"),"")&amp;". ")&amp;IF(LEN(IF(ISNUMBER(INDEX('My equipment'!$P$4:$P$503,(_calc!$E$563-500))),TEXT(INDEX('My equipment'!$P$4:$P$503,(_calc!$E$563-500)),"yyyy-mm-dd"),""))=0,"","Check by: "&amp;IF(ISNUMBER(INDEX('My equipment'!$P$4:$P$503,(_calc!$E$563-500))),TEXT(INDEX('My equipment'!$P$4:$P$503,(_calc!$E$563-500)),"yyyy-mm-dd"),"")&amp;". ")&amp;IF(LEN(IF(LEN(INDEX('My equipment'!$Q$4:$Q$503,(_calc!$E$563-500)))=0,"",INDEX('My equipment'!$Q$4:$Q$503,(_calc!$E$563-500))))=0,"","Claim status: "&amp;IF(LEN(INDEX('My equipment'!$Q$4:$Q$503,(_calc!$E$563-500)))=0,"",INDEX('My equipment'!$Q$4:$Q$503,(_calc!$E$563-500)))&amp;". ")&amp;IF(LEN(IF(LEN(INDEX('My equipment'!$R$4:$R$503,(_calc!$E$563-500)))=0,"",INDEX('My equipment'!$R$4:$R$503,(_calc!$E$563-500))))=0,"","Claims contact: "&amp;IF(LEN(INDEX('My equipment'!$R$4:$R$503,(_calc!$E$563-500)))=0,"",INDEX('My equipment'!$R$4:$R$503,(_calc!$E$563-500)))&amp;". ")&amp;IF(LEN(IF(LEN(INDEX('My equipment'!$S$4:$S$503,(_calc!$E$563-500)))=0,"",INDEX('My equipment'!$S$4:$S$503,(_calc!$E$563-500))))=0,"","Claims email: "&amp;IF(LEN(INDEX('My equipment'!$S$4:$S$503,(_calc!$E$563-500)))=0,"",INDEX('My equipment'!$S$4:$S$503,(_calc!$E$563-500)))&amp;". ")&amp;IF(LEN(IF(LEN(INDEX('My equipment'!$U$4:$U$503,(_calc!$E$563-500)))=0,"",INDEX('My equipment'!$U$4:$U$503,(_calc!$E$563-500))))=0,"","Registered: "&amp;IF(LEN(INDEX('My equipment'!$U$4:$U$503,(_calc!$E$563-500)))=0,"",INDEX('My equipment'!$U$4:$U$503,(_calc!$E$563-500)))&amp;". ")&amp;IF(LEN(IF(LEN(INDEX('My equipment'!$V$4:$V$503,(_calc!$E$563-500)))=0,"",INDEX('My equipment'!$V$4:$V$503,(_calc!$E$563-500))))=0,"","Proof on file: "&amp;IF(LEN(INDEX('My equipment'!$V$4:$V$503,(_calc!$E$563-500)))=0,"",INDEX('My equipment'!$V$4:$V$503,(_calc!$E$563-500)))&amp;". ")&amp;IF(LEN(IF(LEN(INDEX('My equipment'!$W$4:$W$503,(_calc!$E$563-500)))=0,"",INDEX('My equipment'!$W$4:$W$503,(_calc!$E$563-500))))=0,"","Claim ref: "&amp;IF(LEN(INDEX('My equipment'!$W$4:$W$503,(_calc!$E$563-500)))=0,"",INDEX('My equipment'!$W$4:$W$503,(_calc!$E$563-500)))&amp;". ")&amp;IF(LEN(IF(LEN(INDEX('My equipment'!$Y$4:$Y$503,(_calc!$E$563-500)))=0,"",INDEX('My equipment'!$Y$4:$Y$503,(_calc!$E$563-500))))=0,"",IF(LEN(INDEX('My equipment'!$Y$4:$Y$503,(_calc!$E$563-500)))=0,"",INDEX('My equipment'!$Y$4:$Y$503,(_calc!$E$563-500)))))))</f>
        <v/>
      </c>
      <c r="G561" s="54">
        <f>IF(_calc!$E$563="","",IF(_calc!$E$563&lt;=500,"",IF(LEN(INDEX('My equipment'!$X$4:$X$503,(_calc!$E$563-500)))=0,"",INDEX('My equipment'!$X$4:$X$503,(_calc!$E$563-500)))))</f>
        <v/>
      </c>
      <c r="K561" s="54">
        <f>IF(_calc!$E$563="","",IF(_calc!$E$563&lt;=500,"",IF(LEN(INDEX('My equipment'!$T$4:$T$503,(_calc!$E$563-500)))=0,"",INDEX('My equipment'!$T$4:$T$503,(_calc!$E$563-500)))))</f>
        <v/>
      </c>
    </row>
    <row r="562">
      <c r="A562" s="54">
        <f>IF(_calc!$E$564="","",IF(_calc!$E$564&lt;=500,"Warranty – "&amp;IF(LEN(INDEX('Dealer pipeline'!$C$4:$C$503,_calc!$E$564))=0,"",INDEX('Dealer pipeline'!$C$4:$C$503,_calc!$E$564))&amp;" – "&amp;IF(LEN(INDEX('Dealer pipeline'!$D$4:$D$503,_calc!$E$564))=0,"",INDEX('Dealer pipeline'!$D$4:$D$503,_calc!$E$564))&amp;" – "&amp;IF(LEN(INDEX('Dealer pipeline'!$A$4:$A$503,_calc!$E$564))=0,"",INDEX('Dealer pipeline'!$A$4:$A$503,_calc!$E$564)),"Warranty – "&amp;IF(LEN(INDEX('My equipment'!$A$4:$A$503,(_calc!$E$564-500)))=0,"",INDEX('My equipment'!$A$4:$A$503,(_calc!$E$564-500)))&amp;" – "&amp;IF(LEN(INDEX('My equipment'!$D$4:$D$503,(_calc!$E$564-500)))=0,"",INDEX('My equipment'!$D$4:$D$503,(_calc!$E$564-500)))))</f>
        <v/>
      </c>
      <c r="B562" s="54">
        <f>IF(_calc!$E$564="","",IF(_calc!$E$564&lt;=500,IF(ISNUMBER(INDEX('Dealer pipeline'!$M$4:$M$503,_calc!$E$564)),TEXT(INDEX('Dealer pipeline'!$M$4:$M$503,_calc!$E$564),"yyyy-mm-dd"),""),IF(ISNUMBER(INDEX('My equipment'!$M$4:$M$503,(_calc!$E$564-500))),TEXT(INDEX('My equipment'!$M$4:$M$503,(_calc!$E$564-500)),"yyyy-mm-dd"),"")))</f>
        <v/>
      </c>
      <c r="C562" s="54">
        <f>IF(_calc!$E$564="","",IF(_calc!$E$564&lt;=500,"Warranty","Warranty"))</f>
        <v/>
      </c>
      <c r="D562" s="54">
        <f>IF(_calc!$E$564="","",IF(_calc!$E$564&lt;=500,IF(ISNUMBER(INDEX('Dealer pipeline'!$H$4:$H$503,_calc!$E$564)),TEXT(INDEX('Dealer pipeline'!$H$4:$H$503,_calc!$E$564),"yyyy-mm-dd"),""),IF(ISNUMBER(INDEX('My equipment'!$H$4:$H$503,(_calc!$E$564-500))),TEXT(INDEX('My equipment'!$H$4:$H$503,(_calc!$E$564-500)),"yyyy-mm-dd"),"")))</f>
        <v/>
      </c>
      <c r="F562" s="54">
        <f>IF(_calc!$E$564="","",IF(_calc!$E$564&lt;=500,TRIM(IF(LEN(IF(LEN(INDEX('Dealer pipeline'!$A$4:$A$503,_calc!$E$564))=0,"",INDEX('Dealer pipeline'!$A$4:$A$503,_calc!$E$564)))=0,"","Customer: "&amp;IF(LEN(INDEX('Dealer pipeline'!$A$4:$A$503,_calc!$E$564))=0,"",INDEX('Dealer pipeline'!$A$4:$A$503,_calc!$E$564))&amp;". ")&amp;IF(LEN(IF(LEN(INDEX('Dealer pipeline'!$B$4:$B$503,_calc!$E$564))=0,"",INDEX('Dealer pipeline'!$B$4:$B$503,_calc!$E$564)))=0,"","Contact: "&amp;IF(LEN(INDEX('Dealer pipeline'!$B$4:$B$503,_calc!$E$564))=0,"",INDEX('Dealer pipeline'!$B$4:$B$503,_calc!$E$564))&amp;". ")&amp;IF(LEN(IF(LEN(INDEX('Dealer pipeline'!$D$4:$D$503,_calc!$E$564))=0,"",INDEX('Dealer pipeline'!$D$4:$D$503,_calc!$E$564)))=0,"","Serial: "&amp;IF(LEN(INDEX('Dealer pipeline'!$D$4:$D$503,_calc!$E$564))=0,"",INDEX('Dealer pipeline'!$D$4:$D$503,_calc!$E$564))&amp;". ")&amp;IF(LEN(IF(ISNUMBER(INDEX('Dealer pipeline'!$J$4:$J$503,_calc!$E$564)),TEXT(INDEX('Dealer pipeline'!$J$4:$J$503,_calc!$E$564),"yyyy-mm-dd"),""))=0,"","Parts end: "&amp;IF(ISNUMBER(INDEX('Dealer pipeline'!$J$4:$J$503,_calc!$E$564)),TEXT(INDEX('Dealer pipeline'!$J$4:$J$503,_calc!$E$564),"yyyy-mm-dd"),"")&amp;". ")&amp;IF(LEN(IF(ISNUMBER(INDEX('Dealer pipeline'!$L$4:$L$503,_calc!$E$564)),TEXT(INDEX('Dealer pipeline'!$L$4:$L$503,_calc!$E$564),"yyyy-mm-dd"),""))=0,"","Labor end: "&amp;IF(ISNUMBER(INDEX('Dealer pipeline'!$L$4:$L$503,_calc!$E$564)),TEXT(INDEX('Dealer pipeline'!$L$4:$L$503,_calc!$E$564),"yyyy-mm-dd"),"")&amp;". ")&amp;IF(LEN(IF(LEN(INDEX('Dealer pipeline'!$Q$4:$Q$503,_calc!$E$564))=0,"",INDEX('Dealer pipeline'!$Q$4:$Q$503,_calc!$E$564)))=0,"","Status: "&amp;IF(LEN(INDEX('Dealer pipeline'!$Q$4:$Q$503,_calc!$E$564))=0,"",INDEX('Dealer pipeline'!$Q$4:$Q$503,_calc!$E$564))&amp;". ")&amp;IF(LEN(IF(LEN(INDEX('Dealer pipeline'!$P$4:$P$503,_calc!$E$564))=0,"",INDEX('Dealer pipeline'!$P$4:$P$503,_calc!$E$564)))=0,"","Last touch: "&amp;IF(LEN(INDEX('Dealer pipeline'!$P$4:$P$503,_calc!$E$564))=0,"",INDEX('Dealer pipeline'!$P$4:$P$503,_calc!$E$564))&amp;". ")&amp;IF(LEN(IF(LEN(INDEX('Dealer pipeline'!$R$4:$R$503,_calc!$E$564))=0,"",INDEX('Dealer pipeline'!$R$4:$R$503,_calc!$E$564)))=0,"","Owner: "&amp;IF(LEN(INDEX('Dealer pipeline'!$R$4:$R$503,_calc!$E$564))=0,"",INDEX('Dealer pipeline'!$R$4:$R$503,_calc!$E$564))&amp;". ")&amp;IF(LEN(IF(LEN(INDEX('Dealer pipeline'!$S$4:$S$503,_calc!$E$564))=0,"",INDEX('Dealer pipeline'!$S$4:$S$503,_calc!$E$564)))=0,"","Backup: "&amp;IF(LEN(INDEX('Dealer pipeline'!$S$4:$S$503,_calc!$E$564))=0,"",INDEX('Dealer pipeline'!$S$4:$S$503,_calc!$E$564))&amp;". ")&amp;IF(LEN(IF(LEN(INDEX('Dealer pipeline'!$T$4:$T$503,_calc!$E$564))=0,"",INDEX('Dealer pipeline'!$T$4:$T$503,_calc!$E$564)))=0,"",IF(LEN(INDEX('Dealer pipeline'!$T$4:$T$503,_calc!$E$564))=0,"",INDEX('Dealer pipeline'!$T$4:$T$503,_calc!$E$564)))),TRIM(IF(LEN(IF(LEN(INDEX('My equipment'!$C$4:$C$503,(_calc!$E$564-500)))=0,"",INDEX('My equipment'!$C$4:$C$503,(_calc!$E$564-500))))=0,"","Model: "&amp;IF(LEN(INDEX('My equipment'!$C$4:$C$503,(_calc!$E$564-500)))=0,"",INDEX('My equipment'!$C$4:$C$503,(_calc!$E$564-500)))&amp;". ")&amp;IF(LEN(IF(LEN(INDEX('My equipment'!$D$4:$D$503,(_calc!$E$564-500)))=0,"",INDEX('My equipment'!$D$4:$D$503,(_calc!$E$564-500))))=0,"","Serial: "&amp;IF(LEN(INDEX('My equipment'!$D$4:$D$503,(_calc!$E$564-500)))=0,"",INDEX('My equipment'!$D$4:$D$503,(_calc!$E$564-500)))&amp;". ")&amp;IF(LEN(IF(ISNUMBER(INDEX('My equipment'!$J$4:$J$503,(_calc!$E$564-500))),TEXT(INDEX('My equipment'!$J$4:$J$503,(_calc!$E$564-500)),"yyyy-mm-dd"),""))=0,"","Parts end: "&amp;IF(ISNUMBER(INDEX('My equipment'!$J$4:$J$503,(_calc!$E$564-500))),TEXT(INDEX('My equipment'!$J$4:$J$503,(_calc!$E$564-500)),"yyyy-mm-dd"),"")&amp;". ")&amp;IF(LEN(IF(ISNUMBER(INDEX('My equipment'!$L$4:$L$503,(_calc!$E$564-500))),TEXT(INDEX('My equipment'!$L$4:$L$503,(_calc!$E$564-500)),"yyyy-mm-dd"),""))=0,"","Labor end: "&amp;IF(ISNUMBER(INDEX('My equipment'!$L$4:$L$503,(_calc!$E$564-500))),TEXT(INDEX('My equipment'!$L$4:$L$503,(_calc!$E$564-500)),"yyyy-mm-dd"),"")&amp;". ")&amp;IF(LEN(IF(ISNUMBER(INDEX('My equipment'!$P$4:$P$503,(_calc!$E$564-500))),TEXT(INDEX('My equipment'!$P$4:$P$503,(_calc!$E$564-500)),"yyyy-mm-dd"),""))=0,"","Check by: "&amp;IF(ISNUMBER(INDEX('My equipment'!$P$4:$P$503,(_calc!$E$564-500))),TEXT(INDEX('My equipment'!$P$4:$P$503,(_calc!$E$564-500)),"yyyy-mm-dd"),"")&amp;". ")&amp;IF(LEN(IF(LEN(INDEX('My equipment'!$Q$4:$Q$503,(_calc!$E$564-500)))=0,"",INDEX('My equipment'!$Q$4:$Q$503,(_calc!$E$564-500))))=0,"","Claim status: "&amp;IF(LEN(INDEX('My equipment'!$Q$4:$Q$503,(_calc!$E$564-500)))=0,"",INDEX('My equipment'!$Q$4:$Q$503,(_calc!$E$564-500)))&amp;". ")&amp;IF(LEN(IF(LEN(INDEX('My equipment'!$R$4:$R$503,(_calc!$E$564-500)))=0,"",INDEX('My equipment'!$R$4:$R$503,(_calc!$E$564-500))))=0,"","Claims contact: "&amp;IF(LEN(INDEX('My equipment'!$R$4:$R$503,(_calc!$E$564-500)))=0,"",INDEX('My equipment'!$R$4:$R$503,(_calc!$E$564-500)))&amp;". ")&amp;IF(LEN(IF(LEN(INDEX('My equipment'!$S$4:$S$503,(_calc!$E$564-500)))=0,"",INDEX('My equipment'!$S$4:$S$503,(_calc!$E$564-500))))=0,"","Claims email: "&amp;IF(LEN(INDEX('My equipment'!$S$4:$S$503,(_calc!$E$564-500)))=0,"",INDEX('My equipment'!$S$4:$S$503,(_calc!$E$564-500)))&amp;". ")&amp;IF(LEN(IF(LEN(INDEX('My equipment'!$U$4:$U$503,(_calc!$E$564-500)))=0,"",INDEX('My equipment'!$U$4:$U$503,(_calc!$E$564-500))))=0,"","Registered: "&amp;IF(LEN(INDEX('My equipment'!$U$4:$U$503,(_calc!$E$564-500)))=0,"",INDEX('My equipment'!$U$4:$U$503,(_calc!$E$564-500)))&amp;". ")&amp;IF(LEN(IF(LEN(INDEX('My equipment'!$V$4:$V$503,(_calc!$E$564-500)))=0,"",INDEX('My equipment'!$V$4:$V$503,(_calc!$E$564-500))))=0,"","Proof on file: "&amp;IF(LEN(INDEX('My equipment'!$V$4:$V$503,(_calc!$E$564-500)))=0,"",INDEX('My equipment'!$V$4:$V$503,(_calc!$E$564-500)))&amp;". ")&amp;IF(LEN(IF(LEN(INDEX('My equipment'!$W$4:$W$503,(_calc!$E$564-500)))=0,"",INDEX('My equipment'!$W$4:$W$503,(_calc!$E$564-500))))=0,"","Claim ref: "&amp;IF(LEN(INDEX('My equipment'!$W$4:$W$503,(_calc!$E$564-500)))=0,"",INDEX('My equipment'!$W$4:$W$503,(_calc!$E$564-500)))&amp;". ")&amp;IF(LEN(IF(LEN(INDEX('My equipment'!$Y$4:$Y$503,(_calc!$E$564-500)))=0,"",INDEX('My equipment'!$Y$4:$Y$503,(_calc!$E$564-500))))=0,"",IF(LEN(INDEX('My equipment'!$Y$4:$Y$503,(_calc!$E$564-500)))=0,"",INDEX('My equipment'!$Y$4:$Y$503,(_calc!$E$564-500)))))))</f>
        <v/>
      </c>
      <c r="G562" s="54">
        <f>IF(_calc!$E$564="","",IF(_calc!$E$564&lt;=500,"",IF(LEN(INDEX('My equipment'!$X$4:$X$503,(_calc!$E$564-500)))=0,"",INDEX('My equipment'!$X$4:$X$503,(_calc!$E$564-500)))))</f>
        <v/>
      </c>
      <c r="K562" s="54">
        <f>IF(_calc!$E$564="","",IF(_calc!$E$564&lt;=500,"",IF(LEN(INDEX('My equipment'!$T$4:$T$503,(_calc!$E$564-500)))=0,"",INDEX('My equipment'!$T$4:$T$503,(_calc!$E$564-500)))))</f>
        <v/>
      </c>
    </row>
    <row r="563">
      <c r="A563" s="54">
        <f>IF(_calc!$E$565="","",IF(_calc!$E$565&lt;=500,"Warranty – "&amp;IF(LEN(INDEX('Dealer pipeline'!$C$4:$C$503,_calc!$E$565))=0,"",INDEX('Dealer pipeline'!$C$4:$C$503,_calc!$E$565))&amp;" – "&amp;IF(LEN(INDEX('Dealer pipeline'!$D$4:$D$503,_calc!$E$565))=0,"",INDEX('Dealer pipeline'!$D$4:$D$503,_calc!$E$565))&amp;" – "&amp;IF(LEN(INDEX('Dealer pipeline'!$A$4:$A$503,_calc!$E$565))=0,"",INDEX('Dealer pipeline'!$A$4:$A$503,_calc!$E$565)),"Warranty – "&amp;IF(LEN(INDEX('My equipment'!$A$4:$A$503,(_calc!$E$565-500)))=0,"",INDEX('My equipment'!$A$4:$A$503,(_calc!$E$565-500)))&amp;" – "&amp;IF(LEN(INDEX('My equipment'!$D$4:$D$503,(_calc!$E$565-500)))=0,"",INDEX('My equipment'!$D$4:$D$503,(_calc!$E$565-500)))))</f>
        <v/>
      </c>
      <c r="B563" s="54">
        <f>IF(_calc!$E$565="","",IF(_calc!$E$565&lt;=500,IF(ISNUMBER(INDEX('Dealer pipeline'!$M$4:$M$503,_calc!$E$565)),TEXT(INDEX('Dealer pipeline'!$M$4:$M$503,_calc!$E$565),"yyyy-mm-dd"),""),IF(ISNUMBER(INDEX('My equipment'!$M$4:$M$503,(_calc!$E$565-500))),TEXT(INDEX('My equipment'!$M$4:$M$503,(_calc!$E$565-500)),"yyyy-mm-dd"),"")))</f>
        <v/>
      </c>
      <c r="C563" s="54">
        <f>IF(_calc!$E$565="","",IF(_calc!$E$565&lt;=500,"Warranty","Warranty"))</f>
        <v/>
      </c>
      <c r="D563" s="54">
        <f>IF(_calc!$E$565="","",IF(_calc!$E$565&lt;=500,IF(ISNUMBER(INDEX('Dealer pipeline'!$H$4:$H$503,_calc!$E$565)),TEXT(INDEX('Dealer pipeline'!$H$4:$H$503,_calc!$E$565),"yyyy-mm-dd"),""),IF(ISNUMBER(INDEX('My equipment'!$H$4:$H$503,(_calc!$E$565-500))),TEXT(INDEX('My equipment'!$H$4:$H$503,(_calc!$E$565-500)),"yyyy-mm-dd"),"")))</f>
        <v/>
      </c>
      <c r="F563" s="54">
        <f>IF(_calc!$E$565="","",IF(_calc!$E$565&lt;=500,TRIM(IF(LEN(IF(LEN(INDEX('Dealer pipeline'!$A$4:$A$503,_calc!$E$565))=0,"",INDEX('Dealer pipeline'!$A$4:$A$503,_calc!$E$565)))=0,"","Customer: "&amp;IF(LEN(INDEX('Dealer pipeline'!$A$4:$A$503,_calc!$E$565))=0,"",INDEX('Dealer pipeline'!$A$4:$A$503,_calc!$E$565))&amp;". ")&amp;IF(LEN(IF(LEN(INDEX('Dealer pipeline'!$B$4:$B$503,_calc!$E$565))=0,"",INDEX('Dealer pipeline'!$B$4:$B$503,_calc!$E$565)))=0,"","Contact: "&amp;IF(LEN(INDEX('Dealer pipeline'!$B$4:$B$503,_calc!$E$565))=0,"",INDEX('Dealer pipeline'!$B$4:$B$503,_calc!$E$565))&amp;". ")&amp;IF(LEN(IF(LEN(INDEX('Dealer pipeline'!$D$4:$D$503,_calc!$E$565))=0,"",INDEX('Dealer pipeline'!$D$4:$D$503,_calc!$E$565)))=0,"","Serial: "&amp;IF(LEN(INDEX('Dealer pipeline'!$D$4:$D$503,_calc!$E$565))=0,"",INDEX('Dealer pipeline'!$D$4:$D$503,_calc!$E$565))&amp;". ")&amp;IF(LEN(IF(ISNUMBER(INDEX('Dealer pipeline'!$J$4:$J$503,_calc!$E$565)),TEXT(INDEX('Dealer pipeline'!$J$4:$J$503,_calc!$E$565),"yyyy-mm-dd"),""))=0,"","Parts end: "&amp;IF(ISNUMBER(INDEX('Dealer pipeline'!$J$4:$J$503,_calc!$E$565)),TEXT(INDEX('Dealer pipeline'!$J$4:$J$503,_calc!$E$565),"yyyy-mm-dd"),"")&amp;". ")&amp;IF(LEN(IF(ISNUMBER(INDEX('Dealer pipeline'!$L$4:$L$503,_calc!$E$565)),TEXT(INDEX('Dealer pipeline'!$L$4:$L$503,_calc!$E$565),"yyyy-mm-dd"),""))=0,"","Labor end: "&amp;IF(ISNUMBER(INDEX('Dealer pipeline'!$L$4:$L$503,_calc!$E$565)),TEXT(INDEX('Dealer pipeline'!$L$4:$L$503,_calc!$E$565),"yyyy-mm-dd"),"")&amp;". ")&amp;IF(LEN(IF(LEN(INDEX('Dealer pipeline'!$Q$4:$Q$503,_calc!$E$565))=0,"",INDEX('Dealer pipeline'!$Q$4:$Q$503,_calc!$E$565)))=0,"","Status: "&amp;IF(LEN(INDEX('Dealer pipeline'!$Q$4:$Q$503,_calc!$E$565))=0,"",INDEX('Dealer pipeline'!$Q$4:$Q$503,_calc!$E$565))&amp;". ")&amp;IF(LEN(IF(LEN(INDEX('Dealer pipeline'!$P$4:$P$503,_calc!$E$565))=0,"",INDEX('Dealer pipeline'!$P$4:$P$503,_calc!$E$565)))=0,"","Last touch: "&amp;IF(LEN(INDEX('Dealer pipeline'!$P$4:$P$503,_calc!$E$565))=0,"",INDEX('Dealer pipeline'!$P$4:$P$503,_calc!$E$565))&amp;". ")&amp;IF(LEN(IF(LEN(INDEX('Dealer pipeline'!$R$4:$R$503,_calc!$E$565))=0,"",INDEX('Dealer pipeline'!$R$4:$R$503,_calc!$E$565)))=0,"","Owner: "&amp;IF(LEN(INDEX('Dealer pipeline'!$R$4:$R$503,_calc!$E$565))=0,"",INDEX('Dealer pipeline'!$R$4:$R$503,_calc!$E$565))&amp;". ")&amp;IF(LEN(IF(LEN(INDEX('Dealer pipeline'!$S$4:$S$503,_calc!$E$565))=0,"",INDEX('Dealer pipeline'!$S$4:$S$503,_calc!$E$565)))=0,"","Backup: "&amp;IF(LEN(INDEX('Dealer pipeline'!$S$4:$S$503,_calc!$E$565))=0,"",INDEX('Dealer pipeline'!$S$4:$S$503,_calc!$E$565))&amp;". ")&amp;IF(LEN(IF(LEN(INDEX('Dealer pipeline'!$T$4:$T$503,_calc!$E$565))=0,"",INDEX('Dealer pipeline'!$T$4:$T$503,_calc!$E$565)))=0,"",IF(LEN(INDEX('Dealer pipeline'!$T$4:$T$503,_calc!$E$565))=0,"",INDEX('Dealer pipeline'!$T$4:$T$503,_calc!$E$565)))),TRIM(IF(LEN(IF(LEN(INDEX('My equipment'!$C$4:$C$503,(_calc!$E$565-500)))=0,"",INDEX('My equipment'!$C$4:$C$503,(_calc!$E$565-500))))=0,"","Model: "&amp;IF(LEN(INDEX('My equipment'!$C$4:$C$503,(_calc!$E$565-500)))=0,"",INDEX('My equipment'!$C$4:$C$503,(_calc!$E$565-500)))&amp;". ")&amp;IF(LEN(IF(LEN(INDEX('My equipment'!$D$4:$D$503,(_calc!$E$565-500)))=0,"",INDEX('My equipment'!$D$4:$D$503,(_calc!$E$565-500))))=0,"","Serial: "&amp;IF(LEN(INDEX('My equipment'!$D$4:$D$503,(_calc!$E$565-500)))=0,"",INDEX('My equipment'!$D$4:$D$503,(_calc!$E$565-500)))&amp;". ")&amp;IF(LEN(IF(ISNUMBER(INDEX('My equipment'!$J$4:$J$503,(_calc!$E$565-500))),TEXT(INDEX('My equipment'!$J$4:$J$503,(_calc!$E$565-500)),"yyyy-mm-dd"),""))=0,"","Parts end: "&amp;IF(ISNUMBER(INDEX('My equipment'!$J$4:$J$503,(_calc!$E$565-500))),TEXT(INDEX('My equipment'!$J$4:$J$503,(_calc!$E$565-500)),"yyyy-mm-dd"),"")&amp;". ")&amp;IF(LEN(IF(ISNUMBER(INDEX('My equipment'!$L$4:$L$503,(_calc!$E$565-500))),TEXT(INDEX('My equipment'!$L$4:$L$503,(_calc!$E$565-500)),"yyyy-mm-dd"),""))=0,"","Labor end: "&amp;IF(ISNUMBER(INDEX('My equipment'!$L$4:$L$503,(_calc!$E$565-500))),TEXT(INDEX('My equipment'!$L$4:$L$503,(_calc!$E$565-500)),"yyyy-mm-dd"),"")&amp;". ")&amp;IF(LEN(IF(ISNUMBER(INDEX('My equipment'!$P$4:$P$503,(_calc!$E$565-500))),TEXT(INDEX('My equipment'!$P$4:$P$503,(_calc!$E$565-500)),"yyyy-mm-dd"),""))=0,"","Check by: "&amp;IF(ISNUMBER(INDEX('My equipment'!$P$4:$P$503,(_calc!$E$565-500))),TEXT(INDEX('My equipment'!$P$4:$P$503,(_calc!$E$565-500)),"yyyy-mm-dd"),"")&amp;". ")&amp;IF(LEN(IF(LEN(INDEX('My equipment'!$Q$4:$Q$503,(_calc!$E$565-500)))=0,"",INDEX('My equipment'!$Q$4:$Q$503,(_calc!$E$565-500))))=0,"","Claim status: "&amp;IF(LEN(INDEX('My equipment'!$Q$4:$Q$503,(_calc!$E$565-500)))=0,"",INDEX('My equipment'!$Q$4:$Q$503,(_calc!$E$565-500)))&amp;". ")&amp;IF(LEN(IF(LEN(INDEX('My equipment'!$R$4:$R$503,(_calc!$E$565-500)))=0,"",INDEX('My equipment'!$R$4:$R$503,(_calc!$E$565-500))))=0,"","Claims contact: "&amp;IF(LEN(INDEX('My equipment'!$R$4:$R$503,(_calc!$E$565-500)))=0,"",INDEX('My equipment'!$R$4:$R$503,(_calc!$E$565-500)))&amp;". ")&amp;IF(LEN(IF(LEN(INDEX('My equipment'!$S$4:$S$503,(_calc!$E$565-500)))=0,"",INDEX('My equipment'!$S$4:$S$503,(_calc!$E$565-500))))=0,"","Claims email: "&amp;IF(LEN(INDEX('My equipment'!$S$4:$S$503,(_calc!$E$565-500)))=0,"",INDEX('My equipment'!$S$4:$S$503,(_calc!$E$565-500)))&amp;". ")&amp;IF(LEN(IF(LEN(INDEX('My equipment'!$U$4:$U$503,(_calc!$E$565-500)))=0,"",INDEX('My equipment'!$U$4:$U$503,(_calc!$E$565-500))))=0,"","Registered: "&amp;IF(LEN(INDEX('My equipment'!$U$4:$U$503,(_calc!$E$565-500)))=0,"",INDEX('My equipment'!$U$4:$U$503,(_calc!$E$565-500)))&amp;". ")&amp;IF(LEN(IF(LEN(INDEX('My equipment'!$V$4:$V$503,(_calc!$E$565-500)))=0,"",INDEX('My equipment'!$V$4:$V$503,(_calc!$E$565-500))))=0,"","Proof on file: "&amp;IF(LEN(INDEX('My equipment'!$V$4:$V$503,(_calc!$E$565-500)))=0,"",INDEX('My equipment'!$V$4:$V$503,(_calc!$E$565-500)))&amp;". ")&amp;IF(LEN(IF(LEN(INDEX('My equipment'!$W$4:$W$503,(_calc!$E$565-500)))=0,"",INDEX('My equipment'!$W$4:$W$503,(_calc!$E$565-500))))=0,"","Claim ref: "&amp;IF(LEN(INDEX('My equipment'!$W$4:$W$503,(_calc!$E$565-500)))=0,"",INDEX('My equipment'!$W$4:$W$503,(_calc!$E$565-500)))&amp;". ")&amp;IF(LEN(IF(LEN(INDEX('My equipment'!$Y$4:$Y$503,(_calc!$E$565-500)))=0,"",INDEX('My equipment'!$Y$4:$Y$503,(_calc!$E$565-500))))=0,"",IF(LEN(INDEX('My equipment'!$Y$4:$Y$503,(_calc!$E$565-500)))=0,"",INDEX('My equipment'!$Y$4:$Y$503,(_calc!$E$565-500)))))))</f>
        <v/>
      </c>
      <c r="G563" s="54">
        <f>IF(_calc!$E$565="","",IF(_calc!$E$565&lt;=500,"",IF(LEN(INDEX('My equipment'!$X$4:$X$503,(_calc!$E$565-500)))=0,"",INDEX('My equipment'!$X$4:$X$503,(_calc!$E$565-500)))))</f>
        <v/>
      </c>
      <c r="K563" s="54">
        <f>IF(_calc!$E$565="","",IF(_calc!$E$565&lt;=500,"",IF(LEN(INDEX('My equipment'!$T$4:$T$503,(_calc!$E$565-500)))=0,"",INDEX('My equipment'!$T$4:$T$503,(_calc!$E$565-500)))))</f>
        <v/>
      </c>
    </row>
    <row r="564">
      <c r="A564" s="54">
        <f>IF(_calc!$E$566="","",IF(_calc!$E$566&lt;=500,"Warranty – "&amp;IF(LEN(INDEX('Dealer pipeline'!$C$4:$C$503,_calc!$E$566))=0,"",INDEX('Dealer pipeline'!$C$4:$C$503,_calc!$E$566))&amp;" – "&amp;IF(LEN(INDEX('Dealer pipeline'!$D$4:$D$503,_calc!$E$566))=0,"",INDEX('Dealer pipeline'!$D$4:$D$503,_calc!$E$566))&amp;" – "&amp;IF(LEN(INDEX('Dealer pipeline'!$A$4:$A$503,_calc!$E$566))=0,"",INDEX('Dealer pipeline'!$A$4:$A$503,_calc!$E$566)),"Warranty – "&amp;IF(LEN(INDEX('My equipment'!$A$4:$A$503,(_calc!$E$566-500)))=0,"",INDEX('My equipment'!$A$4:$A$503,(_calc!$E$566-500)))&amp;" – "&amp;IF(LEN(INDEX('My equipment'!$D$4:$D$503,(_calc!$E$566-500)))=0,"",INDEX('My equipment'!$D$4:$D$503,(_calc!$E$566-500)))))</f>
        <v/>
      </c>
      <c r="B564" s="54">
        <f>IF(_calc!$E$566="","",IF(_calc!$E$566&lt;=500,IF(ISNUMBER(INDEX('Dealer pipeline'!$M$4:$M$503,_calc!$E$566)),TEXT(INDEX('Dealer pipeline'!$M$4:$M$503,_calc!$E$566),"yyyy-mm-dd"),""),IF(ISNUMBER(INDEX('My equipment'!$M$4:$M$503,(_calc!$E$566-500))),TEXT(INDEX('My equipment'!$M$4:$M$503,(_calc!$E$566-500)),"yyyy-mm-dd"),"")))</f>
        <v/>
      </c>
      <c r="C564" s="54">
        <f>IF(_calc!$E$566="","",IF(_calc!$E$566&lt;=500,"Warranty","Warranty"))</f>
        <v/>
      </c>
      <c r="D564" s="54">
        <f>IF(_calc!$E$566="","",IF(_calc!$E$566&lt;=500,IF(ISNUMBER(INDEX('Dealer pipeline'!$H$4:$H$503,_calc!$E$566)),TEXT(INDEX('Dealer pipeline'!$H$4:$H$503,_calc!$E$566),"yyyy-mm-dd"),""),IF(ISNUMBER(INDEX('My equipment'!$H$4:$H$503,(_calc!$E$566-500))),TEXT(INDEX('My equipment'!$H$4:$H$503,(_calc!$E$566-500)),"yyyy-mm-dd"),"")))</f>
        <v/>
      </c>
      <c r="F564" s="54">
        <f>IF(_calc!$E$566="","",IF(_calc!$E$566&lt;=500,TRIM(IF(LEN(IF(LEN(INDEX('Dealer pipeline'!$A$4:$A$503,_calc!$E$566))=0,"",INDEX('Dealer pipeline'!$A$4:$A$503,_calc!$E$566)))=0,"","Customer: "&amp;IF(LEN(INDEX('Dealer pipeline'!$A$4:$A$503,_calc!$E$566))=0,"",INDEX('Dealer pipeline'!$A$4:$A$503,_calc!$E$566))&amp;". ")&amp;IF(LEN(IF(LEN(INDEX('Dealer pipeline'!$B$4:$B$503,_calc!$E$566))=0,"",INDEX('Dealer pipeline'!$B$4:$B$503,_calc!$E$566)))=0,"","Contact: "&amp;IF(LEN(INDEX('Dealer pipeline'!$B$4:$B$503,_calc!$E$566))=0,"",INDEX('Dealer pipeline'!$B$4:$B$503,_calc!$E$566))&amp;". ")&amp;IF(LEN(IF(LEN(INDEX('Dealer pipeline'!$D$4:$D$503,_calc!$E$566))=0,"",INDEX('Dealer pipeline'!$D$4:$D$503,_calc!$E$566)))=0,"","Serial: "&amp;IF(LEN(INDEX('Dealer pipeline'!$D$4:$D$503,_calc!$E$566))=0,"",INDEX('Dealer pipeline'!$D$4:$D$503,_calc!$E$566))&amp;". ")&amp;IF(LEN(IF(ISNUMBER(INDEX('Dealer pipeline'!$J$4:$J$503,_calc!$E$566)),TEXT(INDEX('Dealer pipeline'!$J$4:$J$503,_calc!$E$566),"yyyy-mm-dd"),""))=0,"","Parts end: "&amp;IF(ISNUMBER(INDEX('Dealer pipeline'!$J$4:$J$503,_calc!$E$566)),TEXT(INDEX('Dealer pipeline'!$J$4:$J$503,_calc!$E$566),"yyyy-mm-dd"),"")&amp;". ")&amp;IF(LEN(IF(ISNUMBER(INDEX('Dealer pipeline'!$L$4:$L$503,_calc!$E$566)),TEXT(INDEX('Dealer pipeline'!$L$4:$L$503,_calc!$E$566),"yyyy-mm-dd"),""))=0,"","Labor end: "&amp;IF(ISNUMBER(INDEX('Dealer pipeline'!$L$4:$L$503,_calc!$E$566)),TEXT(INDEX('Dealer pipeline'!$L$4:$L$503,_calc!$E$566),"yyyy-mm-dd"),"")&amp;". ")&amp;IF(LEN(IF(LEN(INDEX('Dealer pipeline'!$Q$4:$Q$503,_calc!$E$566))=0,"",INDEX('Dealer pipeline'!$Q$4:$Q$503,_calc!$E$566)))=0,"","Status: "&amp;IF(LEN(INDEX('Dealer pipeline'!$Q$4:$Q$503,_calc!$E$566))=0,"",INDEX('Dealer pipeline'!$Q$4:$Q$503,_calc!$E$566))&amp;". ")&amp;IF(LEN(IF(LEN(INDEX('Dealer pipeline'!$P$4:$P$503,_calc!$E$566))=0,"",INDEX('Dealer pipeline'!$P$4:$P$503,_calc!$E$566)))=0,"","Last touch: "&amp;IF(LEN(INDEX('Dealer pipeline'!$P$4:$P$503,_calc!$E$566))=0,"",INDEX('Dealer pipeline'!$P$4:$P$503,_calc!$E$566))&amp;". ")&amp;IF(LEN(IF(LEN(INDEX('Dealer pipeline'!$R$4:$R$503,_calc!$E$566))=0,"",INDEX('Dealer pipeline'!$R$4:$R$503,_calc!$E$566)))=0,"","Owner: "&amp;IF(LEN(INDEX('Dealer pipeline'!$R$4:$R$503,_calc!$E$566))=0,"",INDEX('Dealer pipeline'!$R$4:$R$503,_calc!$E$566))&amp;". ")&amp;IF(LEN(IF(LEN(INDEX('Dealer pipeline'!$S$4:$S$503,_calc!$E$566))=0,"",INDEX('Dealer pipeline'!$S$4:$S$503,_calc!$E$566)))=0,"","Backup: "&amp;IF(LEN(INDEX('Dealer pipeline'!$S$4:$S$503,_calc!$E$566))=0,"",INDEX('Dealer pipeline'!$S$4:$S$503,_calc!$E$566))&amp;". ")&amp;IF(LEN(IF(LEN(INDEX('Dealer pipeline'!$T$4:$T$503,_calc!$E$566))=0,"",INDEX('Dealer pipeline'!$T$4:$T$503,_calc!$E$566)))=0,"",IF(LEN(INDEX('Dealer pipeline'!$T$4:$T$503,_calc!$E$566))=0,"",INDEX('Dealer pipeline'!$T$4:$T$503,_calc!$E$566)))),TRIM(IF(LEN(IF(LEN(INDEX('My equipment'!$C$4:$C$503,(_calc!$E$566-500)))=0,"",INDEX('My equipment'!$C$4:$C$503,(_calc!$E$566-500))))=0,"","Model: "&amp;IF(LEN(INDEX('My equipment'!$C$4:$C$503,(_calc!$E$566-500)))=0,"",INDEX('My equipment'!$C$4:$C$503,(_calc!$E$566-500)))&amp;". ")&amp;IF(LEN(IF(LEN(INDEX('My equipment'!$D$4:$D$503,(_calc!$E$566-500)))=0,"",INDEX('My equipment'!$D$4:$D$503,(_calc!$E$566-500))))=0,"","Serial: "&amp;IF(LEN(INDEX('My equipment'!$D$4:$D$503,(_calc!$E$566-500)))=0,"",INDEX('My equipment'!$D$4:$D$503,(_calc!$E$566-500)))&amp;". ")&amp;IF(LEN(IF(ISNUMBER(INDEX('My equipment'!$J$4:$J$503,(_calc!$E$566-500))),TEXT(INDEX('My equipment'!$J$4:$J$503,(_calc!$E$566-500)),"yyyy-mm-dd"),""))=0,"","Parts end: "&amp;IF(ISNUMBER(INDEX('My equipment'!$J$4:$J$503,(_calc!$E$566-500))),TEXT(INDEX('My equipment'!$J$4:$J$503,(_calc!$E$566-500)),"yyyy-mm-dd"),"")&amp;". ")&amp;IF(LEN(IF(ISNUMBER(INDEX('My equipment'!$L$4:$L$503,(_calc!$E$566-500))),TEXT(INDEX('My equipment'!$L$4:$L$503,(_calc!$E$566-500)),"yyyy-mm-dd"),""))=0,"","Labor end: "&amp;IF(ISNUMBER(INDEX('My equipment'!$L$4:$L$503,(_calc!$E$566-500))),TEXT(INDEX('My equipment'!$L$4:$L$503,(_calc!$E$566-500)),"yyyy-mm-dd"),"")&amp;". ")&amp;IF(LEN(IF(ISNUMBER(INDEX('My equipment'!$P$4:$P$503,(_calc!$E$566-500))),TEXT(INDEX('My equipment'!$P$4:$P$503,(_calc!$E$566-500)),"yyyy-mm-dd"),""))=0,"","Check by: "&amp;IF(ISNUMBER(INDEX('My equipment'!$P$4:$P$503,(_calc!$E$566-500))),TEXT(INDEX('My equipment'!$P$4:$P$503,(_calc!$E$566-500)),"yyyy-mm-dd"),"")&amp;". ")&amp;IF(LEN(IF(LEN(INDEX('My equipment'!$Q$4:$Q$503,(_calc!$E$566-500)))=0,"",INDEX('My equipment'!$Q$4:$Q$503,(_calc!$E$566-500))))=0,"","Claim status: "&amp;IF(LEN(INDEX('My equipment'!$Q$4:$Q$503,(_calc!$E$566-500)))=0,"",INDEX('My equipment'!$Q$4:$Q$503,(_calc!$E$566-500)))&amp;". ")&amp;IF(LEN(IF(LEN(INDEX('My equipment'!$R$4:$R$503,(_calc!$E$566-500)))=0,"",INDEX('My equipment'!$R$4:$R$503,(_calc!$E$566-500))))=0,"","Claims contact: "&amp;IF(LEN(INDEX('My equipment'!$R$4:$R$503,(_calc!$E$566-500)))=0,"",INDEX('My equipment'!$R$4:$R$503,(_calc!$E$566-500)))&amp;". ")&amp;IF(LEN(IF(LEN(INDEX('My equipment'!$S$4:$S$503,(_calc!$E$566-500)))=0,"",INDEX('My equipment'!$S$4:$S$503,(_calc!$E$566-500))))=0,"","Claims email: "&amp;IF(LEN(INDEX('My equipment'!$S$4:$S$503,(_calc!$E$566-500)))=0,"",INDEX('My equipment'!$S$4:$S$503,(_calc!$E$566-500)))&amp;". ")&amp;IF(LEN(IF(LEN(INDEX('My equipment'!$U$4:$U$503,(_calc!$E$566-500)))=0,"",INDEX('My equipment'!$U$4:$U$503,(_calc!$E$566-500))))=0,"","Registered: "&amp;IF(LEN(INDEX('My equipment'!$U$4:$U$503,(_calc!$E$566-500)))=0,"",INDEX('My equipment'!$U$4:$U$503,(_calc!$E$566-500)))&amp;". ")&amp;IF(LEN(IF(LEN(INDEX('My equipment'!$V$4:$V$503,(_calc!$E$566-500)))=0,"",INDEX('My equipment'!$V$4:$V$503,(_calc!$E$566-500))))=0,"","Proof on file: "&amp;IF(LEN(INDEX('My equipment'!$V$4:$V$503,(_calc!$E$566-500)))=0,"",INDEX('My equipment'!$V$4:$V$503,(_calc!$E$566-500)))&amp;". ")&amp;IF(LEN(IF(LEN(INDEX('My equipment'!$W$4:$W$503,(_calc!$E$566-500)))=0,"",INDEX('My equipment'!$W$4:$W$503,(_calc!$E$566-500))))=0,"","Claim ref: "&amp;IF(LEN(INDEX('My equipment'!$W$4:$W$503,(_calc!$E$566-500)))=0,"",INDEX('My equipment'!$W$4:$W$503,(_calc!$E$566-500)))&amp;". ")&amp;IF(LEN(IF(LEN(INDEX('My equipment'!$Y$4:$Y$503,(_calc!$E$566-500)))=0,"",INDEX('My equipment'!$Y$4:$Y$503,(_calc!$E$566-500))))=0,"",IF(LEN(INDEX('My equipment'!$Y$4:$Y$503,(_calc!$E$566-500)))=0,"",INDEX('My equipment'!$Y$4:$Y$503,(_calc!$E$566-500)))))))</f>
        <v/>
      </c>
      <c r="G564" s="54">
        <f>IF(_calc!$E$566="","",IF(_calc!$E$566&lt;=500,"",IF(LEN(INDEX('My equipment'!$X$4:$X$503,(_calc!$E$566-500)))=0,"",INDEX('My equipment'!$X$4:$X$503,(_calc!$E$566-500)))))</f>
        <v/>
      </c>
      <c r="K564" s="54">
        <f>IF(_calc!$E$566="","",IF(_calc!$E$566&lt;=500,"",IF(LEN(INDEX('My equipment'!$T$4:$T$503,(_calc!$E$566-500)))=0,"",INDEX('My equipment'!$T$4:$T$503,(_calc!$E$566-500)))))</f>
        <v/>
      </c>
    </row>
    <row r="565">
      <c r="A565" s="54">
        <f>IF(_calc!$E$567="","",IF(_calc!$E$567&lt;=500,"Warranty – "&amp;IF(LEN(INDEX('Dealer pipeline'!$C$4:$C$503,_calc!$E$567))=0,"",INDEX('Dealer pipeline'!$C$4:$C$503,_calc!$E$567))&amp;" – "&amp;IF(LEN(INDEX('Dealer pipeline'!$D$4:$D$503,_calc!$E$567))=0,"",INDEX('Dealer pipeline'!$D$4:$D$503,_calc!$E$567))&amp;" – "&amp;IF(LEN(INDEX('Dealer pipeline'!$A$4:$A$503,_calc!$E$567))=0,"",INDEX('Dealer pipeline'!$A$4:$A$503,_calc!$E$567)),"Warranty – "&amp;IF(LEN(INDEX('My equipment'!$A$4:$A$503,(_calc!$E$567-500)))=0,"",INDEX('My equipment'!$A$4:$A$503,(_calc!$E$567-500)))&amp;" – "&amp;IF(LEN(INDEX('My equipment'!$D$4:$D$503,(_calc!$E$567-500)))=0,"",INDEX('My equipment'!$D$4:$D$503,(_calc!$E$567-500)))))</f>
        <v/>
      </c>
      <c r="B565" s="54">
        <f>IF(_calc!$E$567="","",IF(_calc!$E$567&lt;=500,IF(ISNUMBER(INDEX('Dealer pipeline'!$M$4:$M$503,_calc!$E$567)),TEXT(INDEX('Dealer pipeline'!$M$4:$M$503,_calc!$E$567),"yyyy-mm-dd"),""),IF(ISNUMBER(INDEX('My equipment'!$M$4:$M$503,(_calc!$E$567-500))),TEXT(INDEX('My equipment'!$M$4:$M$503,(_calc!$E$567-500)),"yyyy-mm-dd"),"")))</f>
        <v/>
      </c>
      <c r="C565" s="54">
        <f>IF(_calc!$E$567="","",IF(_calc!$E$567&lt;=500,"Warranty","Warranty"))</f>
        <v/>
      </c>
      <c r="D565" s="54">
        <f>IF(_calc!$E$567="","",IF(_calc!$E$567&lt;=500,IF(ISNUMBER(INDEX('Dealer pipeline'!$H$4:$H$503,_calc!$E$567)),TEXT(INDEX('Dealer pipeline'!$H$4:$H$503,_calc!$E$567),"yyyy-mm-dd"),""),IF(ISNUMBER(INDEX('My equipment'!$H$4:$H$503,(_calc!$E$567-500))),TEXT(INDEX('My equipment'!$H$4:$H$503,(_calc!$E$567-500)),"yyyy-mm-dd"),"")))</f>
        <v/>
      </c>
      <c r="F565" s="54">
        <f>IF(_calc!$E$567="","",IF(_calc!$E$567&lt;=500,TRIM(IF(LEN(IF(LEN(INDEX('Dealer pipeline'!$A$4:$A$503,_calc!$E$567))=0,"",INDEX('Dealer pipeline'!$A$4:$A$503,_calc!$E$567)))=0,"","Customer: "&amp;IF(LEN(INDEX('Dealer pipeline'!$A$4:$A$503,_calc!$E$567))=0,"",INDEX('Dealer pipeline'!$A$4:$A$503,_calc!$E$567))&amp;". ")&amp;IF(LEN(IF(LEN(INDEX('Dealer pipeline'!$B$4:$B$503,_calc!$E$567))=0,"",INDEX('Dealer pipeline'!$B$4:$B$503,_calc!$E$567)))=0,"","Contact: "&amp;IF(LEN(INDEX('Dealer pipeline'!$B$4:$B$503,_calc!$E$567))=0,"",INDEX('Dealer pipeline'!$B$4:$B$503,_calc!$E$567))&amp;". ")&amp;IF(LEN(IF(LEN(INDEX('Dealer pipeline'!$D$4:$D$503,_calc!$E$567))=0,"",INDEX('Dealer pipeline'!$D$4:$D$503,_calc!$E$567)))=0,"","Serial: "&amp;IF(LEN(INDEX('Dealer pipeline'!$D$4:$D$503,_calc!$E$567))=0,"",INDEX('Dealer pipeline'!$D$4:$D$503,_calc!$E$567))&amp;". ")&amp;IF(LEN(IF(ISNUMBER(INDEX('Dealer pipeline'!$J$4:$J$503,_calc!$E$567)),TEXT(INDEX('Dealer pipeline'!$J$4:$J$503,_calc!$E$567),"yyyy-mm-dd"),""))=0,"","Parts end: "&amp;IF(ISNUMBER(INDEX('Dealer pipeline'!$J$4:$J$503,_calc!$E$567)),TEXT(INDEX('Dealer pipeline'!$J$4:$J$503,_calc!$E$567),"yyyy-mm-dd"),"")&amp;". ")&amp;IF(LEN(IF(ISNUMBER(INDEX('Dealer pipeline'!$L$4:$L$503,_calc!$E$567)),TEXT(INDEX('Dealer pipeline'!$L$4:$L$503,_calc!$E$567),"yyyy-mm-dd"),""))=0,"","Labor end: "&amp;IF(ISNUMBER(INDEX('Dealer pipeline'!$L$4:$L$503,_calc!$E$567)),TEXT(INDEX('Dealer pipeline'!$L$4:$L$503,_calc!$E$567),"yyyy-mm-dd"),"")&amp;". ")&amp;IF(LEN(IF(LEN(INDEX('Dealer pipeline'!$Q$4:$Q$503,_calc!$E$567))=0,"",INDEX('Dealer pipeline'!$Q$4:$Q$503,_calc!$E$567)))=0,"","Status: "&amp;IF(LEN(INDEX('Dealer pipeline'!$Q$4:$Q$503,_calc!$E$567))=0,"",INDEX('Dealer pipeline'!$Q$4:$Q$503,_calc!$E$567))&amp;". ")&amp;IF(LEN(IF(LEN(INDEX('Dealer pipeline'!$P$4:$P$503,_calc!$E$567))=0,"",INDEX('Dealer pipeline'!$P$4:$P$503,_calc!$E$567)))=0,"","Last touch: "&amp;IF(LEN(INDEX('Dealer pipeline'!$P$4:$P$503,_calc!$E$567))=0,"",INDEX('Dealer pipeline'!$P$4:$P$503,_calc!$E$567))&amp;". ")&amp;IF(LEN(IF(LEN(INDEX('Dealer pipeline'!$R$4:$R$503,_calc!$E$567))=0,"",INDEX('Dealer pipeline'!$R$4:$R$503,_calc!$E$567)))=0,"","Owner: "&amp;IF(LEN(INDEX('Dealer pipeline'!$R$4:$R$503,_calc!$E$567))=0,"",INDEX('Dealer pipeline'!$R$4:$R$503,_calc!$E$567))&amp;". ")&amp;IF(LEN(IF(LEN(INDEX('Dealer pipeline'!$S$4:$S$503,_calc!$E$567))=0,"",INDEX('Dealer pipeline'!$S$4:$S$503,_calc!$E$567)))=0,"","Backup: "&amp;IF(LEN(INDEX('Dealer pipeline'!$S$4:$S$503,_calc!$E$567))=0,"",INDEX('Dealer pipeline'!$S$4:$S$503,_calc!$E$567))&amp;". ")&amp;IF(LEN(IF(LEN(INDEX('Dealer pipeline'!$T$4:$T$503,_calc!$E$567))=0,"",INDEX('Dealer pipeline'!$T$4:$T$503,_calc!$E$567)))=0,"",IF(LEN(INDEX('Dealer pipeline'!$T$4:$T$503,_calc!$E$567))=0,"",INDEX('Dealer pipeline'!$T$4:$T$503,_calc!$E$567)))),TRIM(IF(LEN(IF(LEN(INDEX('My equipment'!$C$4:$C$503,(_calc!$E$567-500)))=0,"",INDEX('My equipment'!$C$4:$C$503,(_calc!$E$567-500))))=0,"","Model: "&amp;IF(LEN(INDEX('My equipment'!$C$4:$C$503,(_calc!$E$567-500)))=0,"",INDEX('My equipment'!$C$4:$C$503,(_calc!$E$567-500)))&amp;". ")&amp;IF(LEN(IF(LEN(INDEX('My equipment'!$D$4:$D$503,(_calc!$E$567-500)))=0,"",INDEX('My equipment'!$D$4:$D$503,(_calc!$E$567-500))))=0,"","Serial: "&amp;IF(LEN(INDEX('My equipment'!$D$4:$D$503,(_calc!$E$567-500)))=0,"",INDEX('My equipment'!$D$4:$D$503,(_calc!$E$567-500)))&amp;". ")&amp;IF(LEN(IF(ISNUMBER(INDEX('My equipment'!$J$4:$J$503,(_calc!$E$567-500))),TEXT(INDEX('My equipment'!$J$4:$J$503,(_calc!$E$567-500)),"yyyy-mm-dd"),""))=0,"","Parts end: "&amp;IF(ISNUMBER(INDEX('My equipment'!$J$4:$J$503,(_calc!$E$567-500))),TEXT(INDEX('My equipment'!$J$4:$J$503,(_calc!$E$567-500)),"yyyy-mm-dd"),"")&amp;". ")&amp;IF(LEN(IF(ISNUMBER(INDEX('My equipment'!$L$4:$L$503,(_calc!$E$567-500))),TEXT(INDEX('My equipment'!$L$4:$L$503,(_calc!$E$567-500)),"yyyy-mm-dd"),""))=0,"","Labor end: "&amp;IF(ISNUMBER(INDEX('My equipment'!$L$4:$L$503,(_calc!$E$567-500))),TEXT(INDEX('My equipment'!$L$4:$L$503,(_calc!$E$567-500)),"yyyy-mm-dd"),"")&amp;". ")&amp;IF(LEN(IF(ISNUMBER(INDEX('My equipment'!$P$4:$P$503,(_calc!$E$567-500))),TEXT(INDEX('My equipment'!$P$4:$P$503,(_calc!$E$567-500)),"yyyy-mm-dd"),""))=0,"","Check by: "&amp;IF(ISNUMBER(INDEX('My equipment'!$P$4:$P$503,(_calc!$E$567-500))),TEXT(INDEX('My equipment'!$P$4:$P$503,(_calc!$E$567-500)),"yyyy-mm-dd"),"")&amp;". ")&amp;IF(LEN(IF(LEN(INDEX('My equipment'!$Q$4:$Q$503,(_calc!$E$567-500)))=0,"",INDEX('My equipment'!$Q$4:$Q$503,(_calc!$E$567-500))))=0,"","Claim status: "&amp;IF(LEN(INDEX('My equipment'!$Q$4:$Q$503,(_calc!$E$567-500)))=0,"",INDEX('My equipment'!$Q$4:$Q$503,(_calc!$E$567-500)))&amp;". ")&amp;IF(LEN(IF(LEN(INDEX('My equipment'!$R$4:$R$503,(_calc!$E$567-500)))=0,"",INDEX('My equipment'!$R$4:$R$503,(_calc!$E$567-500))))=0,"","Claims contact: "&amp;IF(LEN(INDEX('My equipment'!$R$4:$R$503,(_calc!$E$567-500)))=0,"",INDEX('My equipment'!$R$4:$R$503,(_calc!$E$567-500)))&amp;". ")&amp;IF(LEN(IF(LEN(INDEX('My equipment'!$S$4:$S$503,(_calc!$E$567-500)))=0,"",INDEX('My equipment'!$S$4:$S$503,(_calc!$E$567-500))))=0,"","Claims email: "&amp;IF(LEN(INDEX('My equipment'!$S$4:$S$503,(_calc!$E$567-500)))=0,"",INDEX('My equipment'!$S$4:$S$503,(_calc!$E$567-500)))&amp;". ")&amp;IF(LEN(IF(LEN(INDEX('My equipment'!$U$4:$U$503,(_calc!$E$567-500)))=0,"",INDEX('My equipment'!$U$4:$U$503,(_calc!$E$567-500))))=0,"","Registered: "&amp;IF(LEN(INDEX('My equipment'!$U$4:$U$503,(_calc!$E$567-500)))=0,"",INDEX('My equipment'!$U$4:$U$503,(_calc!$E$567-500)))&amp;". ")&amp;IF(LEN(IF(LEN(INDEX('My equipment'!$V$4:$V$503,(_calc!$E$567-500)))=0,"",INDEX('My equipment'!$V$4:$V$503,(_calc!$E$567-500))))=0,"","Proof on file: "&amp;IF(LEN(INDEX('My equipment'!$V$4:$V$503,(_calc!$E$567-500)))=0,"",INDEX('My equipment'!$V$4:$V$503,(_calc!$E$567-500)))&amp;". ")&amp;IF(LEN(IF(LEN(INDEX('My equipment'!$W$4:$W$503,(_calc!$E$567-500)))=0,"",INDEX('My equipment'!$W$4:$W$503,(_calc!$E$567-500))))=0,"","Claim ref: "&amp;IF(LEN(INDEX('My equipment'!$W$4:$W$503,(_calc!$E$567-500)))=0,"",INDEX('My equipment'!$W$4:$W$503,(_calc!$E$567-500)))&amp;". ")&amp;IF(LEN(IF(LEN(INDEX('My equipment'!$Y$4:$Y$503,(_calc!$E$567-500)))=0,"",INDEX('My equipment'!$Y$4:$Y$503,(_calc!$E$567-500))))=0,"",IF(LEN(INDEX('My equipment'!$Y$4:$Y$503,(_calc!$E$567-500)))=0,"",INDEX('My equipment'!$Y$4:$Y$503,(_calc!$E$567-500)))))))</f>
        <v/>
      </c>
      <c r="G565" s="54">
        <f>IF(_calc!$E$567="","",IF(_calc!$E$567&lt;=500,"",IF(LEN(INDEX('My equipment'!$X$4:$X$503,(_calc!$E$567-500)))=0,"",INDEX('My equipment'!$X$4:$X$503,(_calc!$E$567-500)))))</f>
        <v/>
      </c>
      <c r="K565" s="54">
        <f>IF(_calc!$E$567="","",IF(_calc!$E$567&lt;=500,"",IF(LEN(INDEX('My equipment'!$T$4:$T$503,(_calc!$E$567-500)))=0,"",INDEX('My equipment'!$T$4:$T$503,(_calc!$E$567-500)))))</f>
        <v/>
      </c>
    </row>
    <row r="566">
      <c r="A566" s="54">
        <f>IF(_calc!$E$568="","",IF(_calc!$E$568&lt;=500,"Warranty – "&amp;IF(LEN(INDEX('Dealer pipeline'!$C$4:$C$503,_calc!$E$568))=0,"",INDEX('Dealer pipeline'!$C$4:$C$503,_calc!$E$568))&amp;" – "&amp;IF(LEN(INDEX('Dealer pipeline'!$D$4:$D$503,_calc!$E$568))=0,"",INDEX('Dealer pipeline'!$D$4:$D$503,_calc!$E$568))&amp;" – "&amp;IF(LEN(INDEX('Dealer pipeline'!$A$4:$A$503,_calc!$E$568))=0,"",INDEX('Dealer pipeline'!$A$4:$A$503,_calc!$E$568)),"Warranty – "&amp;IF(LEN(INDEX('My equipment'!$A$4:$A$503,(_calc!$E$568-500)))=0,"",INDEX('My equipment'!$A$4:$A$503,(_calc!$E$568-500)))&amp;" – "&amp;IF(LEN(INDEX('My equipment'!$D$4:$D$503,(_calc!$E$568-500)))=0,"",INDEX('My equipment'!$D$4:$D$503,(_calc!$E$568-500)))))</f>
        <v/>
      </c>
      <c r="B566" s="54">
        <f>IF(_calc!$E$568="","",IF(_calc!$E$568&lt;=500,IF(ISNUMBER(INDEX('Dealer pipeline'!$M$4:$M$503,_calc!$E$568)),TEXT(INDEX('Dealer pipeline'!$M$4:$M$503,_calc!$E$568),"yyyy-mm-dd"),""),IF(ISNUMBER(INDEX('My equipment'!$M$4:$M$503,(_calc!$E$568-500))),TEXT(INDEX('My equipment'!$M$4:$M$503,(_calc!$E$568-500)),"yyyy-mm-dd"),"")))</f>
        <v/>
      </c>
      <c r="C566" s="54">
        <f>IF(_calc!$E$568="","",IF(_calc!$E$568&lt;=500,"Warranty","Warranty"))</f>
        <v/>
      </c>
      <c r="D566" s="54">
        <f>IF(_calc!$E$568="","",IF(_calc!$E$568&lt;=500,IF(ISNUMBER(INDEX('Dealer pipeline'!$H$4:$H$503,_calc!$E$568)),TEXT(INDEX('Dealer pipeline'!$H$4:$H$503,_calc!$E$568),"yyyy-mm-dd"),""),IF(ISNUMBER(INDEX('My equipment'!$H$4:$H$503,(_calc!$E$568-500))),TEXT(INDEX('My equipment'!$H$4:$H$503,(_calc!$E$568-500)),"yyyy-mm-dd"),"")))</f>
        <v/>
      </c>
      <c r="F566" s="54">
        <f>IF(_calc!$E$568="","",IF(_calc!$E$568&lt;=500,TRIM(IF(LEN(IF(LEN(INDEX('Dealer pipeline'!$A$4:$A$503,_calc!$E$568))=0,"",INDEX('Dealer pipeline'!$A$4:$A$503,_calc!$E$568)))=0,"","Customer: "&amp;IF(LEN(INDEX('Dealer pipeline'!$A$4:$A$503,_calc!$E$568))=0,"",INDEX('Dealer pipeline'!$A$4:$A$503,_calc!$E$568))&amp;". ")&amp;IF(LEN(IF(LEN(INDEX('Dealer pipeline'!$B$4:$B$503,_calc!$E$568))=0,"",INDEX('Dealer pipeline'!$B$4:$B$503,_calc!$E$568)))=0,"","Contact: "&amp;IF(LEN(INDEX('Dealer pipeline'!$B$4:$B$503,_calc!$E$568))=0,"",INDEX('Dealer pipeline'!$B$4:$B$503,_calc!$E$568))&amp;". ")&amp;IF(LEN(IF(LEN(INDEX('Dealer pipeline'!$D$4:$D$503,_calc!$E$568))=0,"",INDEX('Dealer pipeline'!$D$4:$D$503,_calc!$E$568)))=0,"","Serial: "&amp;IF(LEN(INDEX('Dealer pipeline'!$D$4:$D$503,_calc!$E$568))=0,"",INDEX('Dealer pipeline'!$D$4:$D$503,_calc!$E$568))&amp;". ")&amp;IF(LEN(IF(ISNUMBER(INDEX('Dealer pipeline'!$J$4:$J$503,_calc!$E$568)),TEXT(INDEX('Dealer pipeline'!$J$4:$J$503,_calc!$E$568),"yyyy-mm-dd"),""))=0,"","Parts end: "&amp;IF(ISNUMBER(INDEX('Dealer pipeline'!$J$4:$J$503,_calc!$E$568)),TEXT(INDEX('Dealer pipeline'!$J$4:$J$503,_calc!$E$568),"yyyy-mm-dd"),"")&amp;". ")&amp;IF(LEN(IF(ISNUMBER(INDEX('Dealer pipeline'!$L$4:$L$503,_calc!$E$568)),TEXT(INDEX('Dealer pipeline'!$L$4:$L$503,_calc!$E$568),"yyyy-mm-dd"),""))=0,"","Labor end: "&amp;IF(ISNUMBER(INDEX('Dealer pipeline'!$L$4:$L$503,_calc!$E$568)),TEXT(INDEX('Dealer pipeline'!$L$4:$L$503,_calc!$E$568),"yyyy-mm-dd"),"")&amp;". ")&amp;IF(LEN(IF(LEN(INDEX('Dealer pipeline'!$Q$4:$Q$503,_calc!$E$568))=0,"",INDEX('Dealer pipeline'!$Q$4:$Q$503,_calc!$E$568)))=0,"","Status: "&amp;IF(LEN(INDEX('Dealer pipeline'!$Q$4:$Q$503,_calc!$E$568))=0,"",INDEX('Dealer pipeline'!$Q$4:$Q$503,_calc!$E$568))&amp;". ")&amp;IF(LEN(IF(LEN(INDEX('Dealer pipeline'!$P$4:$P$503,_calc!$E$568))=0,"",INDEX('Dealer pipeline'!$P$4:$P$503,_calc!$E$568)))=0,"","Last touch: "&amp;IF(LEN(INDEX('Dealer pipeline'!$P$4:$P$503,_calc!$E$568))=0,"",INDEX('Dealer pipeline'!$P$4:$P$503,_calc!$E$568))&amp;". ")&amp;IF(LEN(IF(LEN(INDEX('Dealer pipeline'!$R$4:$R$503,_calc!$E$568))=0,"",INDEX('Dealer pipeline'!$R$4:$R$503,_calc!$E$568)))=0,"","Owner: "&amp;IF(LEN(INDEX('Dealer pipeline'!$R$4:$R$503,_calc!$E$568))=0,"",INDEX('Dealer pipeline'!$R$4:$R$503,_calc!$E$568))&amp;". ")&amp;IF(LEN(IF(LEN(INDEX('Dealer pipeline'!$S$4:$S$503,_calc!$E$568))=0,"",INDEX('Dealer pipeline'!$S$4:$S$503,_calc!$E$568)))=0,"","Backup: "&amp;IF(LEN(INDEX('Dealer pipeline'!$S$4:$S$503,_calc!$E$568))=0,"",INDEX('Dealer pipeline'!$S$4:$S$503,_calc!$E$568))&amp;". ")&amp;IF(LEN(IF(LEN(INDEX('Dealer pipeline'!$T$4:$T$503,_calc!$E$568))=0,"",INDEX('Dealer pipeline'!$T$4:$T$503,_calc!$E$568)))=0,"",IF(LEN(INDEX('Dealer pipeline'!$T$4:$T$503,_calc!$E$568))=0,"",INDEX('Dealer pipeline'!$T$4:$T$503,_calc!$E$568)))),TRIM(IF(LEN(IF(LEN(INDEX('My equipment'!$C$4:$C$503,(_calc!$E$568-500)))=0,"",INDEX('My equipment'!$C$4:$C$503,(_calc!$E$568-500))))=0,"","Model: "&amp;IF(LEN(INDEX('My equipment'!$C$4:$C$503,(_calc!$E$568-500)))=0,"",INDEX('My equipment'!$C$4:$C$503,(_calc!$E$568-500)))&amp;". ")&amp;IF(LEN(IF(LEN(INDEX('My equipment'!$D$4:$D$503,(_calc!$E$568-500)))=0,"",INDEX('My equipment'!$D$4:$D$503,(_calc!$E$568-500))))=0,"","Serial: "&amp;IF(LEN(INDEX('My equipment'!$D$4:$D$503,(_calc!$E$568-500)))=0,"",INDEX('My equipment'!$D$4:$D$503,(_calc!$E$568-500)))&amp;". ")&amp;IF(LEN(IF(ISNUMBER(INDEX('My equipment'!$J$4:$J$503,(_calc!$E$568-500))),TEXT(INDEX('My equipment'!$J$4:$J$503,(_calc!$E$568-500)),"yyyy-mm-dd"),""))=0,"","Parts end: "&amp;IF(ISNUMBER(INDEX('My equipment'!$J$4:$J$503,(_calc!$E$568-500))),TEXT(INDEX('My equipment'!$J$4:$J$503,(_calc!$E$568-500)),"yyyy-mm-dd"),"")&amp;". ")&amp;IF(LEN(IF(ISNUMBER(INDEX('My equipment'!$L$4:$L$503,(_calc!$E$568-500))),TEXT(INDEX('My equipment'!$L$4:$L$503,(_calc!$E$568-500)),"yyyy-mm-dd"),""))=0,"","Labor end: "&amp;IF(ISNUMBER(INDEX('My equipment'!$L$4:$L$503,(_calc!$E$568-500))),TEXT(INDEX('My equipment'!$L$4:$L$503,(_calc!$E$568-500)),"yyyy-mm-dd"),"")&amp;". ")&amp;IF(LEN(IF(ISNUMBER(INDEX('My equipment'!$P$4:$P$503,(_calc!$E$568-500))),TEXT(INDEX('My equipment'!$P$4:$P$503,(_calc!$E$568-500)),"yyyy-mm-dd"),""))=0,"","Check by: "&amp;IF(ISNUMBER(INDEX('My equipment'!$P$4:$P$503,(_calc!$E$568-500))),TEXT(INDEX('My equipment'!$P$4:$P$503,(_calc!$E$568-500)),"yyyy-mm-dd"),"")&amp;". ")&amp;IF(LEN(IF(LEN(INDEX('My equipment'!$Q$4:$Q$503,(_calc!$E$568-500)))=0,"",INDEX('My equipment'!$Q$4:$Q$503,(_calc!$E$568-500))))=0,"","Claim status: "&amp;IF(LEN(INDEX('My equipment'!$Q$4:$Q$503,(_calc!$E$568-500)))=0,"",INDEX('My equipment'!$Q$4:$Q$503,(_calc!$E$568-500)))&amp;". ")&amp;IF(LEN(IF(LEN(INDEX('My equipment'!$R$4:$R$503,(_calc!$E$568-500)))=0,"",INDEX('My equipment'!$R$4:$R$503,(_calc!$E$568-500))))=0,"","Claims contact: "&amp;IF(LEN(INDEX('My equipment'!$R$4:$R$503,(_calc!$E$568-500)))=0,"",INDEX('My equipment'!$R$4:$R$503,(_calc!$E$568-500)))&amp;". ")&amp;IF(LEN(IF(LEN(INDEX('My equipment'!$S$4:$S$503,(_calc!$E$568-500)))=0,"",INDEX('My equipment'!$S$4:$S$503,(_calc!$E$568-500))))=0,"","Claims email: "&amp;IF(LEN(INDEX('My equipment'!$S$4:$S$503,(_calc!$E$568-500)))=0,"",INDEX('My equipment'!$S$4:$S$503,(_calc!$E$568-500)))&amp;". ")&amp;IF(LEN(IF(LEN(INDEX('My equipment'!$U$4:$U$503,(_calc!$E$568-500)))=0,"",INDEX('My equipment'!$U$4:$U$503,(_calc!$E$568-500))))=0,"","Registered: "&amp;IF(LEN(INDEX('My equipment'!$U$4:$U$503,(_calc!$E$568-500)))=0,"",INDEX('My equipment'!$U$4:$U$503,(_calc!$E$568-500)))&amp;". ")&amp;IF(LEN(IF(LEN(INDEX('My equipment'!$V$4:$V$503,(_calc!$E$568-500)))=0,"",INDEX('My equipment'!$V$4:$V$503,(_calc!$E$568-500))))=0,"","Proof on file: "&amp;IF(LEN(INDEX('My equipment'!$V$4:$V$503,(_calc!$E$568-500)))=0,"",INDEX('My equipment'!$V$4:$V$503,(_calc!$E$568-500)))&amp;". ")&amp;IF(LEN(IF(LEN(INDEX('My equipment'!$W$4:$W$503,(_calc!$E$568-500)))=0,"",INDEX('My equipment'!$W$4:$W$503,(_calc!$E$568-500))))=0,"","Claim ref: "&amp;IF(LEN(INDEX('My equipment'!$W$4:$W$503,(_calc!$E$568-500)))=0,"",INDEX('My equipment'!$W$4:$W$503,(_calc!$E$568-500)))&amp;". ")&amp;IF(LEN(IF(LEN(INDEX('My equipment'!$Y$4:$Y$503,(_calc!$E$568-500)))=0,"",INDEX('My equipment'!$Y$4:$Y$503,(_calc!$E$568-500))))=0,"",IF(LEN(INDEX('My equipment'!$Y$4:$Y$503,(_calc!$E$568-500)))=0,"",INDEX('My equipment'!$Y$4:$Y$503,(_calc!$E$568-500)))))))</f>
        <v/>
      </c>
      <c r="G566" s="54">
        <f>IF(_calc!$E$568="","",IF(_calc!$E$568&lt;=500,"",IF(LEN(INDEX('My equipment'!$X$4:$X$503,(_calc!$E$568-500)))=0,"",INDEX('My equipment'!$X$4:$X$503,(_calc!$E$568-500)))))</f>
        <v/>
      </c>
      <c r="K566" s="54">
        <f>IF(_calc!$E$568="","",IF(_calc!$E$568&lt;=500,"",IF(LEN(INDEX('My equipment'!$T$4:$T$503,(_calc!$E$568-500)))=0,"",INDEX('My equipment'!$T$4:$T$503,(_calc!$E$568-500)))))</f>
        <v/>
      </c>
    </row>
    <row r="567">
      <c r="A567" s="54">
        <f>IF(_calc!$E$569="","",IF(_calc!$E$569&lt;=500,"Warranty – "&amp;IF(LEN(INDEX('Dealer pipeline'!$C$4:$C$503,_calc!$E$569))=0,"",INDEX('Dealer pipeline'!$C$4:$C$503,_calc!$E$569))&amp;" – "&amp;IF(LEN(INDEX('Dealer pipeline'!$D$4:$D$503,_calc!$E$569))=0,"",INDEX('Dealer pipeline'!$D$4:$D$503,_calc!$E$569))&amp;" – "&amp;IF(LEN(INDEX('Dealer pipeline'!$A$4:$A$503,_calc!$E$569))=0,"",INDEX('Dealer pipeline'!$A$4:$A$503,_calc!$E$569)),"Warranty – "&amp;IF(LEN(INDEX('My equipment'!$A$4:$A$503,(_calc!$E$569-500)))=0,"",INDEX('My equipment'!$A$4:$A$503,(_calc!$E$569-500)))&amp;" – "&amp;IF(LEN(INDEX('My equipment'!$D$4:$D$503,(_calc!$E$569-500)))=0,"",INDEX('My equipment'!$D$4:$D$503,(_calc!$E$569-500)))))</f>
        <v/>
      </c>
      <c r="B567" s="54">
        <f>IF(_calc!$E$569="","",IF(_calc!$E$569&lt;=500,IF(ISNUMBER(INDEX('Dealer pipeline'!$M$4:$M$503,_calc!$E$569)),TEXT(INDEX('Dealer pipeline'!$M$4:$M$503,_calc!$E$569),"yyyy-mm-dd"),""),IF(ISNUMBER(INDEX('My equipment'!$M$4:$M$503,(_calc!$E$569-500))),TEXT(INDEX('My equipment'!$M$4:$M$503,(_calc!$E$569-500)),"yyyy-mm-dd"),"")))</f>
        <v/>
      </c>
      <c r="C567" s="54">
        <f>IF(_calc!$E$569="","",IF(_calc!$E$569&lt;=500,"Warranty","Warranty"))</f>
        <v/>
      </c>
      <c r="D567" s="54">
        <f>IF(_calc!$E$569="","",IF(_calc!$E$569&lt;=500,IF(ISNUMBER(INDEX('Dealer pipeline'!$H$4:$H$503,_calc!$E$569)),TEXT(INDEX('Dealer pipeline'!$H$4:$H$503,_calc!$E$569),"yyyy-mm-dd"),""),IF(ISNUMBER(INDEX('My equipment'!$H$4:$H$503,(_calc!$E$569-500))),TEXT(INDEX('My equipment'!$H$4:$H$503,(_calc!$E$569-500)),"yyyy-mm-dd"),"")))</f>
        <v/>
      </c>
      <c r="F567" s="54">
        <f>IF(_calc!$E$569="","",IF(_calc!$E$569&lt;=500,TRIM(IF(LEN(IF(LEN(INDEX('Dealer pipeline'!$A$4:$A$503,_calc!$E$569))=0,"",INDEX('Dealer pipeline'!$A$4:$A$503,_calc!$E$569)))=0,"","Customer: "&amp;IF(LEN(INDEX('Dealer pipeline'!$A$4:$A$503,_calc!$E$569))=0,"",INDEX('Dealer pipeline'!$A$4:$A$503,_calc!$E$569))&amp;". ")&amp;IF(LEN(IF(LEN(INDEX('Dealer pipeline'!$B$4:$B$503,_calc!$E$569))=0,"",INDEX('Dealer pipeline'!$B$4:$B$503,_calc!$E$569)))=0,"","Contact: "&amp;IF(LEN(INDEX('Dealer pipeline'!$B$4:$B$503,_calc!$E$569))=0,"",INDEX('Dealer pipeline'!$B$4:$B$503,_calc!$E$569))&amp;". ")&amp;IF(LEN(IF(LEN(INDEX('Dealer pipeline'!$D$4:$D$503,_calc!$E$569))=0,"",INDEX('Dealer pipeline'!$D$4:$D$503,_calc!$E$569)))=0,"","Serial: "&amp;IF(LEN(INDEX('Dealer pipeline'!$D$4:$D$503,_calc!$E$569))=0,"",INDEX('Dealer pipeline'!$D$4:$D$503,_calc!$E$569))&amp;". ")&amp;IF(LEN(IF(ISNUMBER(INDEX('Dealer pipeline'!$J$4:$J$503,_calc!$E$569)),TEXT(INDEX('Dealer pipeline'!$J$4:$J$503,_calc!$E$569),"yyyy-mm-dd"),""))=0,"","Parts end: "&amp;IF(ISNUMBER(INDEX('Dealer pipeline'!$J$4:$J$503,_calc!$E$569)),TEXT(INDEX('Dealer pipeline'!$J$4:$J$503,_calc!$E$569),"yyyy-mm-dd"),"")&amp;". ")&amp;IF(LEN(IF(ISNUMBER(INDEX('Dealer pipeline'!$L$4:$L$503,_calc!$E$569)),TEXT(INDEX('Dealer pipeline'!$L$4:$L$503,_calc!$E$569),"yyyy-mm-dd"),""))=0,"","Labor end: "&amp;IF(ISNUMBER(INDEX('Dealer pipeline'!$L$4:$L$503,_calc!$E$569)),TEXT(INDEX('Dealer pipeline'!$L$4:$L$503,_calc!$E$569),"yyyy-mm-dd"),"")&amp;". ")&amp;IF(LEN(IF(LEN(INDEX('Dealer pipeline'!$Q$4:$Q$503,_calc!$E$569))=0,"",INDEX('Dealer pipeline'!$Q$4:$Q$503,_calc!$E$569)))=0,"","Status: "&amp;IF(LEN(INDEX('Dealer pipeline'!$Q$4:$Q$503,_calc!$E$569))=0,"",INDEX('Dealer pipeline'!$Q$4:$Q$503,_calc!$E$569))&amp;". ")&amp;IF(LEN(IF(LEN(INDEX('Dealer pipeline'!$P$4:$P$503,_calc!$E$569))=0,"",INDEX('Dealer pipeline'!$P$4:$P$503,_calc!$E$569)))=0,"","Last touch: "&amp;IF(LEN(INDEX('Dealer pipeline'!$P$4:$P$503,_calc!$E$569))=0,"",INDEX('Dealer pipeline'!$P$4:$P$503,_calc!$E$569))&amp;". ")&amp;IF(LEN(IF(LEN(INDEX('Dealer pipeline'!$R$4:$R$503,_calc!$E$569))=0,"",INDEX('Dealer pipeline'!$R$4:$R$503,_calc!$E$569)))=0,"","Owner: "&amp;IF(LEN(INDEX('Dealer pipeline'!$R$4:$R$503,_calc!$E$569))=0,"",INDEX('Dealer pipeline'!$R$4:$R$503,_calc!$E$569))&amp;". ")&amp;IF(LEN(IF(LEN(INDEX('Dealer pipeline'!$S$4:$S$503,_calc!$E$569))=0,"",INDEX('Dealer pipeline'!$S$4:$S$503,_calc!$E$569)))=0,"","Backup: "&amp;IF(LEN(INDEX('Dealer pipeline'!$S$4:$S$503,_calc!$E$569))=0,"",INDEX('Dealer pipeline'!$S$4:$S$503,_calc!$E$569))&amp;". ")&amp;IF(LEN(IF(LEN(INDEX('Dealer pipeline'!$T$4:$T$503,_calc!$E$569))=0,"",INDEX('Dealer pipeline'!$T$4:$T$503,_calc!$E$569)))=0,"",IF(LEN(INDEX('Dealer pipeline'!$T$4:$T$503,_calc!$E$569))=0,"",INDEX('Dealer pipeline'!$T$4:$T$503,_calc!$E$569)))),TRIM(IF(LEN(IF(LEN(INDEX('My equipment'!$C$4:$C$503,(_calc!$E$569-500)))=0,"",INDEX('My equipment'!$C$4:$C$503,(_calc!$E$569-500))))=0,"","Model: "&amp;IF(LEN(INDEX('My equipment'!$C$4:$C$503,(_calc!$E$569-500)))=0,"",INDEX('My equipment'!$C$4:$C$503,(_calc!$E$569-500)))&amp;". ")&amp;IF(LEN(IF(LEN(INDEX('My equipment'!$D$4:$D$503,(_calc!$E$569-500)))=0,"",INDEX('My equipment'!$D$4:$D$503,(_calc!$E$569-500))))=0,"","Serial: "&amp;IF(LEN(INDEX('My equipment'!$D$4:$D$503,(_calc!$E$569-500)))=0,"",INDEX('My equipment'!$D$4:$D$503,(_calc!$E$569-500)))&amp;". ")&amp;IF(LEN(IF(ISNUMBER(INDEX('My equipment'!$J$4:$J$503,(_calc!$E$569-500))),TEXT(INDEX('My equipment'!$J$4:$J$503,(_calc!$E$569-500)),"yyyy-mm-dd"),""))=0,"","Parts end: "&amp;IF(ISNUMBER(INDEX('My equipment'!$J$4:$J$503,(_calc!$E$569-500))),TEXT(INDEX('My equipment'!$J$4:$J$503,(_calc!$E$569-500)),"yyyy-mm-dd"),"")&amp;". ")&amp;IF(LEN(IF(ISNUMBER(INDEX('My equipment'!$L$4:$L$503,(_calc!$E$569-500))),TEXT(INDEX('My equipment'!$L$4:$L$503,(_calc!$E$569-500)),"yyyy-mm-dd"),""))=0,"","Labor end: "&amp;IF(ISNUMBER(INDEX('My equipment'!$L$4:$L$503,(_calc!$E$569-500))),TEXT(INDEX('My equipment'!$L$4:$L$503,(_calc!$E$569-500)),"yyyy-mm-dd"),"")&amp;". ")&amp;IF(LEN(IF(ISNUMBER(INDEX('My equipment'!$P$4:$P$503,(_calc!$E$569-500))),TEXT(INDEX('My equipment'!$P$4:$P$503,(_calc!$E$569-500)),"yyyy-mm-dd"),""))=0,"","Check by: "&amp;IF(ISNUMBER(INDEX('My equipment'!$P$4:$P$503,(_calc!$E$569-500))),TEXT(INDEX('My equipment'!$P$4:$P$503,(_calc!$E$569-500)),"yyyy-mm-dd"),"")&amp;". ")&amp;IF(LEN(IF(LEN(INDEX('My equipment'!$Q$4:$Q$503,(_calc!$E$569-500)))=0,"",INDEX('My equipment'!$Q$4:$Q$503,(_calc!$E$569-500))))=0,"","Claim status: "&amp;IF(LEN(INDEX('My equipment'!$Q$4:$Q$503,(_calc!$E$569-500)))=0,"",INDEX('My equipment'!$Q$4:$Q$503,(_calc!$E$569-500)))&amp;". ")&amp;IF(LEN(IF(LEN(INDEX('My equipment'!$R$4:$R$503,(_calc!$E$569-500)))=0,"",INDEX('My equipment'!$R$4:$R$503,(_calc!$E$569-500))))=0,"","Claims contact: "&amp;IF(LEN(INDEX('My equipment'!$R$4:$R$503,(_calc!$E$569-500)))=0,"",INDEX('My equipment'!$R$4:$R$503,(_calc!$E$569-500)))&amp;". ")&amp;IF(LEN(IF(LEN(INDEX('My equipment'!$S$4:$S$503,(_calc!$E$569-500)))=0,"",INDEX('My equipment'!$S$4:$S$503,(_calc!$E$569-500))))=0,"","Claims email: "&amp;IF(LEN(INDEX('My equipment'!$S$4:$S$503,(_calc!$E$569-500)))=0,"",INDEX('My equipment'!$S$4:$S$503,(_calc!$E$569-500)))&amp;". ")&amp;IF(LEN(IF(LEN(INDEX('My equipment'!$U$4:$U$503,(_calc!$E$569-500)))=0,"",INDEX('My equipment'!$U$4:$U$503,(_calc!$E$569-500))))=0,"","Registered: "&amp;IF(LEN(INDEX('My equipment'!$U$4:$U$503,(_calc!$E$569-500)))=0,"",INDEX('My equipment'!$U$4:$U$503,(_calc!$E$569-500)))&amp;". ")&amp;IF(LEN(IF(LEN(INDEX('My equipment'!$V$4:$V$503,(_calc!$E$569-500)))=0,"",INDEX('My equipment'!$V$4:$V$503,(_calc!$E$569-500))))=0,"","Proof on file: "&amp;IF(LEN(INDEX('My equipment'!$V$4:$V$503,(_calc!$E$569-500)))=0,"",INDEX('My equipment'!$V$4:$V$503,(_calc!$E$569-500)))&amp;". ")&amp;IF(LEN(IF(LEN(INDEX('My equipment'!$W$4:$W$503,(_calc!$E$569-500)))=0,"",INDEX('My equipment'!$W$4:$W$503,(_calc!$E$569-500))))=0,"","Claim ref: "&amp;IF(LEN(INDEX('My equipment'!$W$4:$W$503,(_calc!$E$569-500)))=0,"",INDEX('My equipment'!$W$4:$W$503,(_calc!$E$569-500)))&amp;". ")&amp;IF(LEN(IF(LEN(INDEX('My equipment'!$Y$4:$Y$503,(_calc!$E$569-500)))=0,"",INDEX('My equipment'!$Y$4:$Y$503,(_calc!$E$569-500))))=0,"",IF(LEN(INDEX('My equipment'!$Y$4:$Y$503,(_calc!$E$569-500)))=0,"",INDEX('My equipment'!$Y$4:$Y$503,(_calc!$E$569-500)))))))</f>
        <v/>
      </c>
      <c r="G567" s="54">
        <f>IF(_calc!$E$569="","",IF(_calc!$E$569&lt;=500,"",IF(LEN(INDEX('My equipment'!$X$4:$X$503,(_calc!$E$569-500)))=0,"",INDEX('My equipment'!$X$4:$X$503,(_calc!$E$569-500)))))</f>
        <v/>
      </c>
      <c r="K567" s="54">
        <f>IF(_calc!$E$569="","",IF(_calc!$E$569&lt;=500,"",IF(LEN(INDEX('My equipment'!$T$4:$T$503,(_calc!$E$569-500)))=0,"",INDEX('My equipment'!$T$4:$T$503,(_calc!$E$569-500)))))</f>
        <v/>
      </c>
    </row>
    <row r="568">
      <c r="A568" s="54">
        <f>IF(_calc!$E$570="","",IF(_calc!$E$570&lt;=500,"Warranty – "&amp;IF(LEN(INDEX('Dealer pipeline'!$C$4:$C$503,_calc!$E$570))=0,"",INDEX('Dealer pipeline'!$C$4:$C$503,_calc!$E$570))&amp;" – "&amp;IF(LEN(INDEX('Dealer pipeline'!$D$4:$D$503,_calc!$E$570))=0,"",INDEX('Dealer pipeline'!$D$4:$D$503,_calc!$E$570))&amp;" – "&amp;IF(LEN(INDEX('Dealer pipeline'!$A$4:$A$503,_calc!$E$570))=0,"",INDEX('Dealer pipeline'!$A$4:$A$503,_calc!$E$570)),"Warranty – "&amp;IF(LEN(INDEX('My equipment'!$A$4:$A$503,(_calc!$E$570-500)))=0,"",INDEX('My equipment'!$A$4:$A$503,(_calc!$E$570-500)))&amp;" – "&amp;IF(LEN(INDEX('My equipment'!$D$4:$D$503,(_calc!$E$570-500)))=0,"",INDEX('My equipment'!$D$4:$D$503,(_calc!$E$570-500)))))</f>
        <v/>
      </c>
      <c r="B568" s="54">
        <f>IF(_calc!$E$570="","",IF(_calc!$E$570&lt;=500,IF(ISNUMBER(INDEX('Dealer pipeline'!$M$4:$M$503,_calc!$E$570)),TEXT(INDEX('Dealer pipeline'!$M$4:$M$503,_calc!$E$570),"yyyy-mm-dd"),""),IF(ISNUMBER(INDEX('My equipment'!$M$4:$M$503,(_calc!$E$570-500))),TEXT(INDEX('My equipment'!$M$4:$M$503,(_calc!$E$570-500)),"yyyy-mm-dd"),"")))</f>
        <v/>
      </c>
      <c r="C568" s="54">
        <f>IF(_calc!$E$570="","",IF(_calc!$E$570&lt;=500,"Warranty","Warranty"))</f>
        <v/>
      </c>
      <c r="D568" s="54">
        <f>IF(_calc!$E$570="","",IF(_calc!$E$570&lt;=500,IF(ISNUMBER(INDEX('Dealer pipeline'!$H$4:$H$503,_calc!$E$570)),TEXT(INDEX('Dealer pipeline'!$H$4:$H$503,_calc!$E$570),"yyyy-mm-dd"),""),IF(ISNUMBER(INDEX('My equipment'!$H$4:$H$503,(_calc!$E$570-500))),TEXT(INDEX('My equipment'!$H$4:$H$503,(_calc!$E$570-500)),"yyyy-mm-dd"),"")))</f>
        <v/>
      </c>
      <c r="F568" s="54">
        <f>IF(_calc!$E$570="","",IF(_calc!$E$570&lt;=500,TRIM(IF(LEN(IF(LEN(INDEX('Dealer pipeline'!$A$4:$A$503,_calc!$E$570))=0,"",INDEX('Dealer pipeline'!$A$4:$A$503,_calc!$E$570)))=0,"","Customer: "&amp;IF(LEN(INDEX('Dealer pipeline'!$A$4:$A$503,_calc!$E$570))=0,"",INDEX('Dealer pipeline'!$A$4:$A$503,_calc!$E$570))&amp;". ")&amp;IF(LEN(IF(LEN(INDEX('Dealer pipeline'!$B$4:$B$503,_calc!$E$570))=0,"",INDEX('Dealer pipeline'!$B$4:$B$503,_calc!$E$570)))=0,"","Contact: "&amp;IF(LEN(INDEX('Dealer pipeline'!$B$4:$B$503,_calc!$E$570))=0,"",INDEX('Dealer pipeline'!$B$4:$B$503,_calc!$E$570))&amp;". ")&amp;IF(LEN(IF(LEN(INDEX('Dealer pipeline'!$D$4:$D$503,_calc!$E$570))=0,"",INDEX('Dealer pipeline'!$D$4:$D$503,_calc!$E$570)))=0,"","Serial: "&amp;IF(LEN(INDEX('Dealer pipeline'!$D$4:$D$503,_calc!$E$570))=0,"",INDEX('Dealer pipeline'!$D$4:$D$503,_calc!$E$570))&amp;". ")&amp;IF(LEN(IF(ISNUMBER(INDEX('Dealer pipeline'!$J$4:$J$503,_calc!$E$570)),TEXT(INDEX('Dealer pipeline'!$J$4:$J$503,_calc!$E$570),"yyyy-mm-dd"),""))=0,"","Parts end: "&amp;IF(ISNUMBER(INDEX('Dealer pipeline'!$J$4:$J$503,_calc!$E$570)),TEXT(INDEX('Dealer pipeline'!$J$4:$J$503,_calc!$E$570),"yyyy-mm-dd"),"")&amp;". ")&amp;IF(LEN(IF(ISNUMBER(INDEX('Dealer pipeline'!$L$4:$L$503,_calc!$E$570)),TEXT(INDEX('Dealer pipeline'!$L$4:$L$503,_calc!$E$570),"yyyy-mm-dd"),""))=0,"","Labor end: "&amp;IF(ISNUMBER(INDEX('Dealer pipeline'!$L$4:$L$503,_calc!$E$570)),TEXT(INDEX('Dealer pipeline'!$L$4:$L$503,_calc!$E$570),"yyyy-mm-dd"),"")&amp;". ")&amp;IF(LEN(IF(LEN(INDEX('Dealer pipeline'!$Q$4:$Q$503,_calc!$E$570))=0,"",INDEX('Dealer pipeline'!$Q$4:$Q$503,_calc!$E$570)))=0,"","Status: "&amp;IF(LEN(INDEX('Dealer pipeline'!$Q$4:$Q$503,_calc!$E$570))=0,"",INDEX('Dealer pipeline'!$Q$4:$Q$503,_calc!$E$570))&amp;". ")&amp;IF(LEN(IF(LEN(INDEX('Dealer pipeline'!$P$4:$P$503,_calc!$E$570))=0,"",INDEX('Dealer pipeline'!$P$4:$P$503,_calc!$E$570)))=0,"","Last touch: "&amp;IF(LEN(INDEX('Dealer pipeline'!$P$4:$P$503,_calc!$E$570))=0,"",INDEX('Dealer pipeline'!$P$4:$P$503,_calc!$E$570))&amp;". ")&amp;IF(LEN(IF(LEN(INDEX('Dealer pipeline'!$R$4:$R$503,_calc!$E$570))=0,"",INDEX('Dealer pipeline'!$R$4:$R$503,_calc!$E$570)))=0,"","Owner: "&amp;IF(LEN(INDEX('Dealer pipeline'!$R$4:$R$503,_calc!$E$570))=0,"",INDEX('Dealer pipeline'!$R$4:$R$503,_calc!$E$570))&amp;". ")&amp;IF(LEN(IF(LEN(INDEX('Dealer pipeline'!$S$4:$S$503,_calc!$E$570))=0,"",INDEX('Dealer pipeline'!$S$4:$S$503,_calc!$E$570)))=0,"","Backup: "&amp;IF(LEN(INDEX('Dealer pipeline'!$S$4:$S$503,_calc!$E$570))=0,"",INDEX('Dealer pipeline'!$S$4:$S$503,_calc!$E$570))&amp;". ")&amp;IF(LEN(IF(LEN(INDEX('Dealer pipeline'!$T$4:$T$503,_calc!$E$570))=0,"",INDEX('Dealer pipeline'!$T$4:$T$503,_calc!$E$570)))=0,"",IF(LEN(INDEX('Dealer pipeline'!$T$4:$T$503,_calc!$E$570))=0,"",INDEX('Dealer pipeline'!$T$4:$T$503,_calc!$E$570)))),TRIM(IF(LEN(IF(LEN(INDEX('My equipment'!$C$4:$C$503,(_calc!$E$570-500)))=0,"",INDEX('My equipment'!$C$4:$C$503,(_calc!$E$570-500))))=0,"","Model: "&amp;IF(LEN(INDEX('My equipment'!$C$4:$C$503,(_calc!$E$570-500)))=0,"",INDEX('My equipment'!$C$4:$C$503,(_calc!$E$570-500)))&amp;". ")&amp;IF(LEN(IF(LEN(INDEX('My equipment'!$D$4:$D$503,(_calc!$E$570-500)))=0,"",INDEX('My equipment'!$D$4:$D$503,(_calc!$E$570-500))))=0,"","Serial: "&amp;IF(LEN(INDEX('My equipment'!$D$4:$D$503,(_calc!$E$570-500)))=0,"",INDEX('My equipment'!$D$4:$D$503,(_calc!$E$570-500)))&amp;". ")&amp;IF(LEN(IF(ISNUMBER(INDEX('My equipment'!$J$4:$J$503,(_calc!$E$570-500))),TEXT(INDEX('My equipment'!$J$4:$J$503,(_calc!$E$570-500)),"yyyy-mm-dd"),""))=0,"","Parts end: "&amp;IF(ISNUMBER(INDEX('My equipment'!$J$4:$J$503,(_calc!$E$570-500))),TEXT(INDEX('My equipment'!$J$4:$J$503,(_calc!$E$570-500)),"yyyy-mm-dd"),"")&amp;". ")&amp;IF(LEN(IF(ISNUMBER(INDEX('My equipment'!$L$4:$L$503,(_calc!$E$570-500))),TEXT(INDEX('My equipment'!$L$4:$L$503,(_calc!$E$570-500)),"yyyy-mm-dd"),""))=0,"","Labor end: "&amp;IF(ISNUMBER(INDEX('My equipment'!$L$4:$L$503,(_calc!$E$570-500))),TEXT(INDEX('My equipment'!$L$4:$L$503,(_calc!$E$570-500)),"yyyy-mm-dd"),"")&amp;". ")&amp;IF(LEN(IF(ISNUMBER(INDEX('My equipment'!$P$4:$P$503,(_calc!$E$570-500))),TEXT(INDEX('My equipment'!$P$4:$P$503,(_calc!$E$570-500)),"yyyy-mm-dd"),""))=0,"","Check by: "&amp;IF(ISNUMBER(INDEX('My equipment'!$P$4:$P$503,(_calc!$E$570-500))),TEXT(INDEX('My equipment'!$P$4:$P$503,(_calc!$E$570-500)),"yyyy-mm-dd"),"")&amp;". ")&amp;IF(LEN(IF(LEN(INDEX('My equipment'!$Q$4:$Q$503,(_calc!$E$570-500)))=0,"",INDEX('My equipment'!$Q$4:$Q$503,(_calc!$E$570-500))))=0,"","Claim status: "&amp;IF(LEN(INDEX('My equipment'!$Q$4:$Q$503,(_calc!$E$570-500)))=0,"",INDEX('My equipment'!$Q$4:$Q$503,(_calc!$E$570-500)))&amp;". ")&amp;IF(LEN(IF(LEN(INDEX('My equipment'!$R$4:$R$503,(_calc!$E$570-500)))=0,"",INDEX('My equipment'!$R$4:$R$503,(_calc!$E$570-500))))=0,"","Claims contact: "&amp;IF(LEN(INDEX('My equipment'!$R$4:$R$503,(_calc!$E$570-500)))=0,"",INDEX('My equipment'!$R$4:$R$503,(_calc!$E$570-500)))&amp;". ")&amp;IF(LEN(IF(LEN(INDEX('My equipment'!$S$4:$S$503,(_calc!$E$570-500)))=0,"",INDEX('My equipment'!$S$4:$S$503,(_calc!$E$570-500))))=0,"","Claims email: "&amp;IF(LEN(INDEX('My equipment'!$S$4:$S$503,(_calc!$E$570-500)))=0,"",INDEX('My equipment'!$S$4:$S$503,(_calc!$E$570-500)))&amp;". ")&amp;IF(LEN(IF(LEN(INDEX('My equipment'!$U$4:$U$503,(_calc!$E$570-500)))=0,"",INDEX('My equipment'!$U$4:$U$503,(_calc!$E$570-500))))=0,"","Registered: "&amp;IF(LEN(INDEX('My equipment'!$U$4:$U$503,(_calc!$E$570-500)))=0,"",INDEX('My equipment'!$U$4:$U$503,(_calc!$E$570-500)))&amp;". ")&amp;IF(LEN(IF(LEN(INDEX('My equipment'!$V$4:$V$503,(_calc!$E$570-500)))=0,"",INDEX('My equipment'!$V$4:$V$503,(_calc!$E$570-500))))=0,"","Proof on file: "&amp;IF(LEN(INDEX('My equipment'!$V$4:$V$503,(_calc!$E$570-500)))=0,"",INDEX('My equipment'!$V$4:$V$503,(_calc!$E$570-500)))&amp;". ")&amp;IF(LEN(IF(LEN(INDEX('My equipment'!$W$4:$W$503,(_calc!$E$570-500)))=0,"",INDEX('My equipment'!$W$4:$W$503,(_calc!$E$570-500))))=0,"","Claim ref: "&amp;IF(LEN(INDEX('My equipment'!$W$4:$W$503,(_calc!$E$570-500)))=0,"",INDEX('My equipment'!$W$4:$W$503,(_calc!$E$570-500)))&amp;". ")&amp;IF(LEN(IF(LEN(INDEX('My equipment'!$Y$4:$Y$503,(_calc!$E$570-500)))=0,"",INDEX('My equipment'!$Y$4:$Y$503,(_calc!$E$570-500))))=0,"",IF(LEN(INDEX('My equipment'!$Y$4:$Y$503,(_calc!$E$570-500)))=0,"",INDEX('My equipment'!$Y$4:$Y$503,(_calc!$E$570-500)))))))</f>
        <v/>
      </c>
      <c r="G568" s="54">
        <f>IF(_calc!$E$570="","",IF(_calc!$E$570&lt;=500,"",IF(LEN(INDEX('My equipment'!$X$4:$X$503,(_calc!$E$570-500)))=0,"",INDEX('My equipment'!$X$4:$X$503,(_calc!$E$570-500)))))</f>
        <v/>
      </c>
      <c r="K568" s="54">
        <f>IF(_calc!$E$570="","",IF(_calc!$E$570&lt;=500,"",IF(LEN(INDEX('My equipment'!$T$4:$T$503,(_calc!$E$570-500)))=0,"",INDEX('My equipment'!$T$4:$T$503,(_calc!$E$570-500)))))</f>
        <v/>
      </c>
    </row>
    <row r="569">
      <c r="A569" s="54">
        <f>IF(_calc!$E$571="","",IF(_calc!$E$571&lt;=500,"Warranty – "&amp;IF(LEN(INDEX('Dealer pipeline'!$C$4:$C$503,_calc!$E$571))=0,"",INDEX('Dealer pipeline'!$C$4:$C$503,_calc!$E$571))&amp;" – "&amp;IF(LEN(INDEX('Dealer pipeline'!$D$4:$D$503,_calc!$E$571))=0,"",INDEX('Dealer pipeline'!$D$4:$D$503,_calc!$E$571))&amp;" – "&amp;IF(LEN(INDEX('Dealer pipeline'!$A$4:$A$503,_calc!$E$571))=0,"",INDEX('Dealer pipeline'!$A$4:$A$503,_calc!$E$571)),"Warranty – "&amp;IF(LEN(INDEX('My equipment'!$A$4:$A$503,(_calc!$E$571-500)))=0,"",INDEX('My equipment'!$A$4:$A$503,(_calc!$E$571-500)))&amp;" – "&amp;IF(LEN(INDEX('My equipment'!$D$4:$D$503,(_calc!$E$571-500)))=0,"",INDEX('My equipment'!$D$4:$D$503,(_calc!$E$571-500)))))</f>
        <v/>
      </c>
      <c r="B569" s="54">
        <f>IF(_calc!$E$571="","",IF(_calc!$E$571&lt;=500,IF(ISNUMBER(INDEX('Dealer pipeline'!$M$4:$M$503,_calc!$E$571)),TEXT(INDEX('Dealer pipeline'!$M$4:$M$503,_calc!$E$571),"yyyy-mm-dd"),""),IF(ISNUMBER(INDEX('My equipment'!$M$4:$M$503,(_calc!$E$571-500))),TEXT(INDEX('My equipment'!$M$4:$M$503,(_calc!$E$571-500)),"yyyy-mm-dd"),"")))</f>
        <v/>
      </c>
      <c r="C569" s="54">
        <f>IF(_calc!$E$571="","",IF(_calc!$E$571&lt;=500,"Warranty","Warranty"))</f>
        <v/>
      </c>
      <c r="D569" s="54">
        <f>IF(_calc!$E$571="","",IF(_calc!$E$571&lt;=500,IF(ISNUMBER(INDEX('Dealer pipeline'!$H$4:$H$503,_calc!$E$571)),TEXT(INDEX('Dealer pipeline'!$H$4:$H$503,_calc!$E$571),"yyyy-mm-dd"),""),IF(ISNUMBER(INDEX('My equipment'!$H$4:$H$503,(_calc!$E$571-500))),TEXT(INDEX('My equipment'!$H$4:$H$503,(_calc!$E$571-500)),"yyyy-mm-dd"),"")))</f>
        <v/>
      </c>
      <c r="F569" s="54">
        <f>IF(_calc!$E$571="","",IF(_calc!$E$571&lt;=500,TRIM(IF(LEN(IF(LEN(INDEX('Dealer pipeline'!$A$4:$A$503,_calc!$E$571))=0,"",INDEX('Dealer pipeline'!$A$4:$A$503,_calc!$E$571)))=0,"","Customer: "&amp;IF(LEN(INDEX('Dealer pipeline'!$A$4:$A$503,_calc!$E$571))=0,"",INDEX('Dealer pipeline'!$A$4:$A$503,_calc!$E$571))&amp;". ")&amp;IF(LEN(IF(LEN(INDEX('Dealer pipeline'!$B$4:$B$503,_calc!$E$571))=0,"",INDEX('Dealer pipeline'!$B$4:$B$503,_calc!$E$571)))=0,"","Contact: "&amp;IF(LEN(INDEX('Dealer pipeline'!$B$4:$B$503,_calc!$E$571))=0,"",INDEX('Dealer pipeline'!$B$4:$B$503,_calc!$E$571))&amp;". ")&amp;IF(LEN(IF(LEN(INDEX('Dealer pipeline'!$D$4:$D$503,_calc!$E$571))=0,"",INDEX('Dealer pipeline'!$D$4:$D$503,_calc!$E$571)))=0,"","Serial: "&amp;IF(LEN(INDEX('Dealer pipeline'!$D$4:$D$503,_calc!$E$571))=0,"",INDEX('Dealer pipeline'!$D$4:$D$503,_calc!$E$571))&amp;". ")&amp;IF(LEN(IF(ISNUMBER(INDEX('Dealer pipeline'!$J$4:$J$503,_calc!$E$571)),TEXT(INDEX('Dealer pipeline'!$J$4:$J$503,_calc!$E$571),"yyyy-mm-dd"),""))=0,"","Parts end: "&amp;IF(ISNUMBER(INDEX('Dealer pipeline'!$J$4:$J$503,_calc!$E$571)),TEXT(INDEX('Dealer pipeline'!$J$4:$J$503,_calc!$E$571),"yyyy-mm-dd"),"")&amp;". ")&amp;IF(LEN(IF(ISNUMBER(INDEX('Dealer pipeline'!$L$4:$L$503,_calc!$E$571)),TEXT(INDEX('Dealer pipeline'!$L$4:$L$503,_calc!$E$571),"yyyy-mm-dd"),""))=0,"","Labor end: "&amp;IF(ISNUMBER(INDEX('Dealer pipeline'!$L$4:$L$503,_calc!$E$571)),TEXT(INDEX('Dealer pipeline'!$L$4:$L$503,_calc!$E$571),"yyyy-mm-dd"),"")&amp;". ")&amp;IF(LEN(IF(LEN(INDEX('Dealer pipeline'!$Q$4:$Q$503,_calc!$E$571))=0,"",INDEX('Dealer pipeline'!$Q$4:$Q$503,_calc!$E$571)))=0,"","Status: "&amp;IF(LEN(INDEX('Dealer pipeline'!$Q$4:$Q$503,_calc!$E$571))=0,"",INDEX('Dealer pipeline'!$Q$4:$Q$503,_calc!$E$571))&amp;". ")&amp;IF(LEN(IF(LEN(INDEX('Dealer pipeline'!$P$4:$P$503,_calc!$E$571))=0,"",INDEX('Dealer pipeline'!$P$4:$P$503,_calc!$E$571)))=0,"","Last touch: "&amp;IF(LEN(INDEX('Dealer pipeline'!$P$4:$P$503,_calc!$E$571))=0,"",INDEX('Dealer pipeline'!$P$4:$P$503,_calc!$E$571))&amp;". ")&amp;IF(LEN(IF(LEN(INDEX('Dealer pipeline'!$R$4:$R$503,_calc!$E$571))=0,"",INDEX('Dealer pipeline'!$R$4:$R$503,_calc!$E$571)))=0,"","Owner: "&amp;IF(LEN(INDEX('Dealer pipeline'!$R$4:$R$503,_calc!$E$571))=0,"",INDEX('Dealer pipeline'!$R$4:$R$503,_calc!$E$571))&amp;". ")&amp;IF(LEN(IF(LEN(INDEX('Dealer pipeline'!$S$4:$S$503,_calc!$E$571))=0,"",INDEX('Dealer pipeline'!$S$4:$S$503,_calc!$E$571)))=0,"","Backup: "&amp;IF(LEN(INDEX('Dealer pipeline'!$S$4:$S$503,_calc!$E$571))=0,"",INDEX('Dealer pipeline'!$S$4:$S$503,_calc!$E$571))&amp;". ")&amp;IF(LEN(IF(LEN(INDEX('Dealer pipeline'!$T$4:$T$503,_calc!$E$571))=0,"",INDEX('Dealer pipeline'!$T$4:$T$503,_calc!$E$571)))=0,"",IF(LEN(INDEX('Dealer pipeline'!$T$4:$T$503,_calc!$E$571))=0,"",INDEX('Dealer pipeline'!$T$4:$T$503,_calc!$E$571)))),TRIM(IF(LEN(IF(LEN(INDEX('My equipment'!$C$4:$C$503,(_calc!$E$571-500)))=0,"",INDEX('My equipment'!$C$4:$C$503,(_calc!$E$571-500))))=0,"","Model: "&amp;IF(LEN(INDEX('My equipment'!$C$4:$C$503,(_calc!$E$571-500)))=0,"",INDEX('My equipment'!$C$4:$C$503,(_calc!$E$571-500)))&amp;". ")&amp;IF(LEN(IF(LEN(INDEX('My equipment'!$D$4:$D$503,(_calc!$E$571-500)))=0,"",INDEX('My equipment'!$D$4:$D$503,(_calc!$E$571-500))))=0,"","Serial: "&amp;IF(LEN(INDEX('My equipment'!$D$4:$D$503,(_calc!$E$571-500)))=0,"",INDEX('My equipment'!$D$4:$D$503,(_calc!$E$571-500)))&amp;". ")&amp;IF(LEN(IF(ISNUMBER(INDEX('My equipment'!$J$4:$J$503,(_calc!$E$571-500))),TEXT(INDEX('My equipment'!$J$4:$J$503,(_calc!$E$571-500)),"yyyy-mm-dd"),""))=0,"","Parts end: "&amp;IF(ISNUMBER(INDEX('My equipment'!$J$4:$J$503,(_calc!$E$571-500))),TEXT(INDEX('My equipment'!$J$4:$J$503,(_calc!$E$571-500)),"yyyy-mm-dd"),"")&amp;". ")&amp;IF(LEN(IF(ISNUMBER(INDEX('My equipment'!$L$4:$L$503,(_calc!$E$571-500))),TEXT(INDEX('My equipment'!$L$4:$L$503,(_calc!$E$571-500)),"yyyy-mm-dd"),""))=0,"","Labor end: "&amp;IF(ISNUMBER(INDEX('My equipment'!$L$4:$L$503,(_calc!$E$571-500))),TEXT(INDEX('My equipment'!$L$4:$L$503,(_calc!$E$571-500)),"yyyy-mm-dd"),"")&amp;". ")&amp;IF(LEN(IF(ISNUMBER(INDEX('My equipment'!$P$4:$P$503,(_calc!$E$571-500))),TEXT(INDEX('My equipment'!$P$4:$P$503,(_calc!$E$571-500)),"yyyy-mm-dd"),""))=0,"","Check by: "&amp;IF(ISNUMBER(INDEX('My equipment'!$P$4:$P$503,(_calc!$E$571-500))),TEXT(INDEX('My equipment'!$P$4:$P$503,(_calc!$E$571-500)),"yyyy-mm-dd"),"")&amp;". ")&amp;IF(LEN(IF(LEN(INDEX('My equipment'!$Q$4:$Q$503,(_calc!$E$571-500)))=0,"",INDEX('My equipment'!$Q$4:$Q$503,(_calc!$E$571-500))))=0,"","Claim status: "&amp;IF(LEN(INDEX('My equipment'!$Q$4:$Q$503,(_calc!$E$571-500)))=0,"",INDEX('My equipment'!$Q$4:$Q$503,(_calc!$E$571-500)))&amp;". ")&amp;IF(LEN(IF(LEN(INDEX('My equipment'!$R$4:$R$503,(_calc!$E$571-500)))=0,"",INDEX('My equipment'!$R$4:$R$503,(_calc!$E$571-500))))=0,"","Claims contact: "&amp;IF(LEN(INDEX('My equipment'!$R$4:$R$503,(_calc!$E$571-500)))=0,"",INDEX('My equipment'!$R$4:$R$503,(_calc!$E$571-500)))&amp;". ")&amp;IF(LEN(IF(LEN(INDEX('My equipment'!$S$4:$S$503,(_calc!$E$571-500)))=0,"",INDEX('My equipment'!$S$4:$S$503,(_calc!$E$571-500))))=0,"","Claims email: "&amp;IF(LEN(INDEX('My equipment'!$S$4:$S$503,(_calc!$E$571-500)))=0,"",INDEX('My equipment'!$S$4:$S$503,(_calc!$E$571-500)))&amp;". ")&amp;IF(LEN(IF(LEN(INDEX('My equipment'!$U$4:$U$503,(_calc!$E$571-500)))=0,"",INDEX('My equipment'!$U$4:$U$503,(_calc!$E$571-500))))=0,"","Registered: "&amp;IF(LEN(INDEX('My equipment'!$U$4:$U$503,(_calc!$E$571-500)))=0,"",INDEX('My equipment'!$U$4:$U$503,(_calc!$E$571-500)))&amp;". ")&amp;IF(LEN(IF(LEN(INDEX('My equipment'!$V$4:$V$503,(_calc!$E$571-500)))=0,"",INDEX('My equipment'!$V$4:$V$503,(_calc!$E$571-500))))=0,"","Proof on file: "&amp;IF(LEN(INDEX('My equipment'!$V$4:$V$503,(_calc!$E$571-500)))=0,"",INDEX('My equipment'!$V$4:$V$503,(_calc!$E$571-500)))&amp;". ")&amp;IF(LEN(IF(LEN(INDEX('My equipment'!$W$4:$W$503,(_calc!$E$571-500)))=0,"",INDEX('My equipment'!$W$4:$W$503,(_calc!$E$571-500))))=0,"","Claim ref: "&amp;IF(LEN(INDEX('My equipment'!$W$4:$W$503,(_calc!$E$571-500)))=0,"",INDEX('My equipment'!$W$4:$W$503,(_calc!$E$571-500)))&amp;". ")&amp;IF(LEN(IF(LEN(INDEX('My equipment'!$Y$4:$Y$503,(_calc!$E$571-500)))=0,"",INDEX('My equipment'!$Y$4:$Y$503,(_calc!$E$571-500))))=0,"",IF(LEN(INDEX('My equipment'!$Y$4:$Y$503,(_calc!$E$571-500)))=0,"",INDEX('My equipment'!$Y$4:$Y$503,(_calc!$E$571-500)))))))</f>
        <v/>
      </c>
      <c r="G569" s="54">
        <f>IF(_calc!$E$571="","",IF(_calc!$E$571&lt;=500,"",IF(LEN(INDEX('My equipment'!$X$4:$X$503,(_calc!$E$571-500)))=0,"",INDEX('My equipment'!$X$4:$X$503,(_calc!$E$571-500)))))</f>
        <v/>
      </c>
      <c r="K569" s="54">
        <f>IF(_calc!$E$571="","",IF(_calc!$E$571&lt;=500,"",IF(LEN(INDEX('My equipment'!$T$4:$T$503,(_calc!$E$571-500)))=0,"",INDEX('My equipment'!$T$4:$T$503,(_calc!$E$571-500)))))</f>
        <v/>
      </c>
    </row>
    <row r="570">
      <c r="A570" s="54">
        <f>IF(_calc!$E$572="","",IF(_calc!$E$572&lt;=500,"Warranty – "&amp;IF(LEN(INDEX('Dealer pipeline'!$C$4:$C$503,_calc!$E$572))=0,"",INDEX('Dealer pipeline'!$C$4:$C$503,_calc!$E$572))&amp;" – "&amp;IF(LEN(INDEX('Dealer pipeline'!$D$4:$D$503,_calc!$E$572))=0,"",INDEX('Dealer pipeline'!$D$4:$D$503,_calc!$E$572))&amp;" – "&amp;IF(LEN(INDEX('Dealer pipeline'!$A$4:$A$503,_calc!$E$572))=0,"",INDEX('Dealer pipeline'!$A$4:$A$503,_calc!$E$572)),"Warranty – "&amp;IF(LEN(INDEX('My equipment'!$A$4:$A$503,(_calc!$E$572-500)))=0,"",INDEX('My equipment'!$A$4:$A$503,(_calc!$E$572-500)))&amp;" – "&amp;IF(LEN(INDEX('My equipment'!$D$4:$D$503,(_calc!$E$572-500)))=0,"",INDEX('My equipment'!$D$4:$D$503,(_calc!$E$572-500)))))</f>
        <v/>
      </c>
      <c r="B570" s="54">
        <f>IF(_calc!$E$572="","",IF(_calc!$E$572&lt;=500,IF(ISNUMBER(INDEX('Dealer pipeline'!$M$4:$M$503,_calc!$E$572)),TEXT(INDEX('Dealer pipeline'!$M$4:$M$503,_calc!$E$572),"yyyy-mm-dd"),""),IF(ISNUMBER(INDEX('My equipment'!$M$4:$M$503,(_calc!$E$572-500))),TEXT(INDEX('My equipment'!$M$4:$M$503,(_calc!$E$572-500)),"yyyy-mm-dd"),"")))</f>
        <v/>
      </c>
      <c r="C570" s="54">
        <f>IF(_calc!$E$572="","",IF(_calc!$E$572&lt;=500,"Warranty","Warranty"))</f>
        <v/>
      </c>
      <c r="D570" s="54">
        <f>IF(_calc!$E$572="","",IF(_calc!$E$572&lt;=500,IF(ISNUMBER(INDEX('Dealer pipeline'!$H$4:$H$503,_calc!$E$572)),TEXT(INDEX('Dealer pipeline'!$H$4:$H$503,_calc!$E$572),"yyyy-mm-dd"),""),IF(ISNUMBER(INDEX('My equipment'!$H$4:$H$503,(_calc!$E$572-500))),TEXT(INDEX('My equipment'!$H$4:$H$503,(_calc!$E$572-500)),"yyyy-mm-dd"),"")))</f>
        <v/>
      </c>
      <c r="F570" s="54">
        <f>IF(_calc!$E$572="","",IF(_calc!$E$572&lt;=500,TRIM(IF(LEN(IF(LEN(INDEX('Dealer pipeline'!$A$4:$A$503,_calc!$E$572))=0,"",INDEX('Dealer pipeline'!$A$4:$A$503,_calc!$E$572)))=0,"","Customer: "&amp;IF(LEN(INDEX('Dealer pipeline'!$A$4:$A$503,_calc!$E$572))=0,"",INDEX('Dealer pipeline'!$A$4:$A$503,_calc!$E$572))&amp;". ")&amp;IF(LEN(IF(LEN(INDEX('Dealer pipeline'!$B$4:$B$503,_calc!$E$572))=0,"",INDEX('Dealer pipeline'!$B$4:$B$503,_calc!$E$572)))=0,"","Contact: "&amp;IF(LEN(INDEX('Dealer pipeline'!$B$4:$B$503,_calc!$E$572))=0,"",INDEX('Dealer pipeline'!$B$4:$B$503,_calc!$E$572))&amp;". ")&amp;IF(LEN(IF(LEN(INDEX('Dealer pipeline'!$D$4:$D$503,_calc!$E$572))=0,"",INDEX('Dealer pipeline'!$D$4:$D$503,_calc!$E$572)))=0,"","Serial: "&amp;IF(LEN(INDEX('Dealer pipeline'!$D$4:$D$503,_calc!$E$572))=0,"",INDEX('Dealer pipeline'!$D$4:$D$503,_calc!$E$572))&amp;". ")&amp;IF(LEN(IF(ISNUMBER(INDEX('Dealer pipeline'!$J$4:$J$503,_calc!$E$572)),TEXT(INDEX('Dealer pipeline'!$J$4:$J$503,_calc!$E$572),"yyyy-mm-dd"),""))=0,"","Parts end: "&amp;IF(ISNUMBER(INDEX('Dealer pipeline'!$J$4:$J$503,_calc!$E$572)),TEXT(INDEX('Dealer pipeline'!$J$4:$J$503,_calc!$E$572),"yyyy-mm-dd"),"")&amp;". ")&amp;IF(LEN(IF(ISNUMBER(INDEX('Dealer pipeline'!$L$4:$L$503,_calc!$E$572)),TEXT(INDEX('Dealer pipeline'!$L$4:$L$503,_calc!$E$572),"yyyy-mm-dd"),""))=0,"","Labor end: "&amp;IF(ISNUMBER(INDEX('Dealer pipeline'!$L$4:$L$503,_calc!$E$572)),TEXT(INDEX('Dealer pipeline'!$L$4:$L$503,_calc!$E$572),"yyyy-mm-dd"),"")&amp;". ")&amp;IF(LEN(IF(LEN(INDEX('Dealer pipeline'!$Q$4:$Q$503,_calc!$E$572))=0,"",INDEX('Dealer pipeline'!$Q$4:$Q$503,_calc!$E$572)))=0,"","Status: "&amp;IF(LEN(INDEX('Dealer pipeline'!$Q$4:$Q$503,_calc!$E$572))=0,"",INDEX('Dealer pipeline'!$Q$4:$Q$503,_calc!$E$572))&amp;". ")&amp;IF(LEN(IF(LEN(INDEX('Dealer pipeline'!$P$4:$P$503,_calc!$E$572))=0,"",INDEX('Dealer pipeline'!$P$4:$P$503,_calc!$E$572)))=0,"","Last touch: "&amp;IF(LEN(INDEX('Dealer pipeline'!$P$4:$P$503,_calc!$E$572))=0,"",INDEX('Dealer pipeline'!$P$4:$P$503,_calc!$E$572))&amp;". ")&amp;IF(LEN(IF(LEN(INDEX('Dealer pipeline'!$R$4:$R$503,_calc!$E$572))=0,"",INDEX('Dealer pipeline'!$R$4:$R$503,_calc!$E$572)))=0,"","Owner: "&amp;IF(LEN(INDEX('Dealer pipeline'!$R$4:$R$503,_calc!$E$572))=0,"",INDEX('Dealer pipeline'!$R$4:$R$503,_calc!$E$572))&amp;". ")&amp;IF(LEN(IF(LEN(INDEX('Dealer pipeline'!$S$4:$S$503,_calc!$E$572))=0,"",INDEX('Dealer pipeline'!$S$4:$S$503,_calc!$E$572)))=0,"","Backup: "&amp;IF(LEN(INDEX('Dealer pipeline'!$S$4:$S$503,_calc!$E$572))=0,"",INDEX('Dealer pipeline'!$S$4:$S$503,_calc!$E$572))&amp;". ")&amp;IF(LEN(IF(LEN(INDEX('Dealer pipeline'!$T$4:$T$503,_calc!$E$572))=0,"",INDEX('Dealer pipeline'!$T$4:$T$503,_calc!$E$572)))=0,"",IF(LEN(INDEX('Dealer pipeline'!$T$4:$T$503,_calc!$E$572))=0,"",INDEX('Dealer pipeline'!$T$4:$T$503,_calc!$E$572)))),TRIM(IF(LEN(IF(LEN(INDEX('My equipment'!$C$4:$C$503,(_calc!$E$572-500)))=0,"",INDEX('My equipment'!$C$4:$C$503,(_calc!$E$572-500))))=0,"","Model: "&amp;IF(LEN(INDEX('My equipment'!$C$4:$C$503,(_calc!$E$572-500)))=0,"",INDEX('My equipment'!$C$4:$C$503,(_calc!$E$572-500)))&amp;". ")&amp;IF(LEN(IF(LEN(INDEX('My equipment'!$D$4:$D$503,(_calc!$E$572-500)))=0,"",INDEX('My equipment'!$D$4:$D$503,(_calc!$E$572-500))))=0,"","Serial: "&amp;IF(LEN(INDEX('My equipment'!$D$4:$D$503,(_calc!$E$572-500)))=0,"",INDEX('My equipment'!$D$4:$D$503,(_calc!$E$572-500)))&amp;". ")&amp;IF(LEN(IF(ISNUMBER(INDEX('My equipment'!$J$4:$J$503,(_calc!$E$572-500))),TEXT(INDEX('My equipment'!$J$4:$J$503,(_calc!$E$572-500)),"yyyy-mm-dd"),""))=0,"","Parts end: "&amp;IF(ISNUMBER(INDEX('My equipment'!$J$4:$J$503,(_calc!$E$572-500))),TEXT(INDEX('My equipment'!$J$4:$J$503,(_calc!$E$572-500)),"yyyy-mm-dd"),"")&amp;". ")&amp;IF(LEN(IF(ISNUMBER(INDEX('My equipment'!$L$4:$L$503,(_calc!$E$572-500))),TEXT(INDEX('My equipment'!$L$4:$L$503,(_calc!$E$572-500)),"yyyy-mm-dd"),""))=0,"","Labor end: "&amp;IF(ISNUMBER(INDEX('My equipment'!$L$4:$L$503,(_calc!$E$572-500))),TEXT(INDEX('My equipment'!$L$4:$L$503,(_calc!$E$572-500)),"yyyy-mm-dd"),"")&amp;". ")&amp;IF(LEN(IF(ISNUMBER(INDEX('My equipment'!$P$4:$P$503,(_calc!$E$572-500))),TEXT(INDEX('My equipment'!$P$4:$P$503,(_calc!$E$572-500)),"yyyy-mm-dd"),""))=0,"","Check by: "&amp;IF(ISNUMBER(INDEX('My equipment'!$P$4:$P$503,(_calc!$E$572-500))),TEXT(INDEX('My equipment'!$P$4:$P$503,(_calc!$E$572-500)),"yyyy-mm-dd"),"")&amp;". ")&amp;IF(LEN(IF(LEN(INDEX('My equipment'!$Q$4:$Q$503,(_calc!$E$572-500)))=0,"",INDEX('My equipment'!$Q$4:$Q$503,(_calc!$E$572-500))))=0,"","Claim status: "&amp;IF(LEN(INDEX('My equipment'!$Q$4:$Q$503,(_calc!$E$572-500)))=0,"",INDEX('My equipment'!$Q$4:$Q$503,(_calc!$E$572-500)))&amp;". ")&amp;IF(LEN(IF(LEN(INDEX('My equipment'!$R$4:$R$503,(_calc!$E$572-500)))=0,"",INDEX('My equipment'!$R$4:$R$503,(_calc!$E$572-500))))=0,"","Claims contact: "&amp;IF(LEN(INDEX('My equipment'!$R$4:$R$503,(_calc!$E$572-500)))=0,"",INDEX('My equipment'!$R$4:$R$503,(_calc!$E$572-500)))&amp;". ")&amp;IF(LEN(IF(LEN(INDEX('My equipment'!$S$4:$S$503,(_calc!$E$572-500)))=0,"",INDEX('My equipment'!$S$4:$S$503,(_calc!$E$572-500))))=0,"","Claims email: "&amp;IF(LEN(INDEX('My equipment'!$S$4:$S$503,(_calc!$E$572-500)))=0,"",INDEX('My equipment'!$S$4:$S$503,(_calc!$E$572-500)))&amp;". ")&amp;IF(LEN(IF(LEN(INDEX('My equipment'!$U$4:$U$503,(_calc!$E$572-500)))=0,"",INDEX('My equipment'!$U$4:$U$503,(_calc!$E$572-500))))=0,"","Registered: "&amp;IF(LEN(INDEX('My equipment'!$U$4:$U$503,(_calc!$E$572-500)))=0,"",INDEX('My equipment'!$U$4:$U$503,(_calc!$E$572-500)))&amp;". ")&amp;IF(LEN(IF(LEN(INDEX('My equipment'!$V$4:$V$503,(_calc!$E$572-500)))=0,"",INDEX('My equipment'!$V$4:$V$503,(_calc!$E$572-500))))=0,"","Proof on file: "&amp;IF(LEN(INDEX('My equipment'!$V$4:$V$503,(_calc!$E$572-500)))=0,"",INDEX('My equipment'!$V$4:$V$503,(_calc!$E$572-500)))&amp;". ")&amp;IF(LEN(IF(LEN(INDEX('My equipment'!$W$4:$W$503,(_calc!$E$572-500)))=0,"",INDEX('My equipment'!$W$4:$W$503,(_calc!$E$572-500))))=0,"","Claim ref: "&amp;IF(LEN(INDEX('My equipment'!$W$4:$W$503,(_calc!$E$572-500)))=0,"",INDEX('My equipment'!$W$4:$W$503,(_calc!$E$572-500)))&amp;". ")&amp;IF(LEN(IF(LEN(INDEX('My equipment'!$Y$4:$Y$503,(_calc!$E$572-500)))=0,"",INDEX('My equipment'!$Y$4:$Y$503,(_calc!$E$572-500))))=0,"",IF(LEN(INDEX('My equipment'!$Y$4:$Y$503,(_calc!$E$572-500)))=0,"",INDEX('My equipment'!$Y$4:$Y$503,(_calc!$E$572-500)))))))</f>
        <v/>
      </c>
      <c r="G570" s="54">
        <f>IF(_calc!$E$572="","",IF(_calc!$E$572&lt;=500,"",IF(LEN(INDEX('My equipment'!$X$4:$X$503,(_calc!$E$572-500)))=0,"",INDEX('My equipment'!$X$4:$X$503,(_calc!$E$572-500)))))</f>
        <v/>
      </c>
      <c r="K570" s="54">
        <f>IF(_calc!$E$572="","",IF(_calc!$E$572&lt;=500,"",IF(LEN(INDEX('My equipment'!$T$4:$T$503,(_calc!$E$572-500)))=0,"",INDEX('My equipment'!$T$4:$T$503,(_calc!$E$572-500)))))</f>
        <v/>
      </c>
    </row>
    <row r="571">
      <c r="A571" s="54">
        <f>IF(_calc!$E$573="","",IF(_calc!$E$573&lt;=500,"Warranty – "&amp;IF(LEN(INDEX('Dealer pipeline'!$C$4:$C$503,_calc!$E$573))=0,"",INDEX('Dealer pipeline'!$C$4:$C$503,_calc!$E$573))&amp;" – "&amp;IF(LEN(INDEX('Dealer pipeline'!$D$4:$D$503,_calc!$E$573))=0,"",INDEX('Dealer pipeline'!$D$4:$D$503,_calc!$E$573))&amp;" – "&amp;IF(LEN(INDEX('Dealer pipeline'!$A$4:$A$503,_calc!$E$573))=0,"",INDEX('Dealer pipeline'!$A$4:$A$503,_calc!$E$573)),"Warranty – "&amp;IF(LEN(INDEX('My equipment'!$A$4:$A$503,(_calc!$E$573-500)))=0,"",INDEX('My equipment'!$A$4:$A$503,(_calc!$E$573-500)))&amp;" – "&amp;IF(LEN(INDEX('My equipment'!$D$4:$D$503,(_calc!$E$573-500)))=0,"",INDEX('My equipment'!$D$4:$D$503,(_calc!$E$573-500)))))</f>
        <v/>
      </c>
      <c r="B571" s="54">
        <f>IF(_calc!$E$573="","",IF(_calc!$E$573&lt;=500,IF(ISNUMBER(INDEX('Dealer pipeline'!$M$4:$M$503,_calc!$E$573)),TEXT(INDEX('Dealer pipeline'!$M$4:$M$503,_calc!$E$573),"yyyy-mm-dd"),""),IF(ISNUMBER(INDEX('My equipment'!$M$4:$M$503,(_calc!$E$573-500))),TEXT(INDEX('My equipment'!$M$4:$M$503,(_calc!$E$573-500)),"yyyy-mm-dd"),"")))</f>
        <v/>
      </c>
      <c r="C571" s="54">
        <f>IF(_calc!$E$573="","",IF(_calc!$E$573&lt;=500,"Warranty","Warranty"))</f>
        <v/>
      </c>
      <c r="D571" s="54">
        <f>IF(_calc!$E$573="","",IF(_calc!$E$573&lt;=500,IF(ISNUMBER(INDEX('Dealer pipeline'!$H$4:$H$503,_calc!$E$573)),TEXT(INDEX('Dealer pipeline'!$H$4:$H$503,_calc!$E$573),"yyyy-mm-dd"),""),IF(ISNUMBER(INDEX('My equipment'!$H$4:$H$503,(_calc!$E$573-500))),TEXT(INDEX('My equipment'!$H$4:$H$503,(_calc!$E$573-500)),"yyyy-mm-dd"),"")))</f>
        <v/>
      </c>
      <c r="F571" s="54">
        <f>IF(_calc!$E$573="","",IF(_calc!$E$573&lt;=500,TRIM(IF(LEN(IF(LEN(INDEX('Dealer pipeline'!$A$4:$A$503,_calc!$E$573))=0,"",INDEX('Dealer pipeline'!$A$4:$A$503,_calc!$E$573)))=0,"","Customer: "&amp;IF(LEN(INDEX('Dealer pipeline'!$A$4:$A$503,_calc!$E$573))=0,"",INDEX('Dealer pipeline'!$A$4:$A$503,_calc!$E$573))&amp;". ")&amp;IF(LEN(IF(LEN(INDEX('Dealer pipeline'!$B$4:$B$503,_calc!$E$573))=0,"",INDEX('Dealer pipeline'!$B$4:$B$503,_calc!$E$573)))=0,"","Contact: "&amp;IF(LEN(INDEX('Dealer pipeline'!$B$4:$B$503,_calc!$E$573))=0,"",INDEX('Dealer pipeline'!$B$4:$B$503,_calc!$E$573))&amp;". ")&amp;IF(LEN(IF(LEN(INDEX('Dealer pipeline'!$D$4:$D$503,_calc!$E$573))=0,"",INDEX('Dealer pipeline'!$D$4:$D$503,_calc!$E$573)))=0,"","Serial: "&amp;IF(LEN(INDEX('Dealer pipeline'!$D$4:$D$503,_calc!$E$573))=0,"",INDEX('Dealer pipeline'!$D$4:$D$503,_calc!$E$573))&amp;". ")&amp;IF(LEN(IF(ISNUMBER(INDEX('Dealer pipeline'!$J$4:$J$503,_calc!$E$573)),TEXT(INDEX('Dealer pipeline'!$J$4:$J$503,_calc!$E$573),"yyyy-mm-dd"),""))=0,"","Parts end: "&amp;IF(ISNUMBER(INDEX('Dealer pipeline'!$J$4:$J$503,_calc!$E$573)),TEXT(INDEX('Dealer pipeline'!$J$4:$J$503,_calc!$E$573),"yyyy-mm-dd"),"")&amp;". ")&amp;IF(LEN(IF(ISNUMBER(INDEX('Dealer pipeline'!$L$4:$L$503,_calc!$E$573)),TEXT(INDEX('Dealer pipeline'!$L$4:$L$503,_calc!$E$573),"yyyy-mm-dd"),""))=0,"","Labor end: "&amp;IF(ISNUMBER(INDEX('Dealer pipeline'!$L$4:$L$503,_calc!$E$573)),TEXT(INDEX('Dealer pipeline'!$L$4:$L$503,_calc!$E$573),"yyyy-mm-dd"),"")&amp;". ")&amp;IF(LEN(IF(LEN(INDEX('Dealer pipeline'!$Q$4:$Q$503,_calc!$E$573))=0,"",INDEX('Dealer pipeline'!$Q$4:$Q$503,_calc!$E$573)))=0,"","Status: "&amp;IF(LEN(INDEX('Dealer pipeline'!$Q$4:$Q$503,_calc!$E$573))=0,"",INDEX('Dealer pipeline'!$Q$4:$Q$503,_calc!$E$573))&amp;". ")&amp;IF(LEN(IF(LEN(INDEX('Dealer pipeline'!$P$4:$P$503,_calc!$E$573))=0,"",INDEX('Dealer pipeline'!$P$4:$P$503,_calc!$E$573)))=0,"","Last touch: "&amp;IF(LEN(INDEX('Dealer pipeline'!$P$4:$P$503,_calc!$E$573))=0,"",INDEX('Dealer pipeline'!$P$4:$P$503,_calc!$E$573))&amp;". ")&amp;IF(LEN(IF(LEN(INDEX('Dealer pipeline'!$R$4:$R$503,_calc!$E$573))=0,"",INDEX('Dealer pipeline'!$R$4:$R$503,_calc!$E$573)))=0,"","Owner: "&amp;IF(LEN(INDEX('Dealer pipeline'!$R$4:$R$503,_calc!$E$573))=0,"",INDEX('Dealer pipeline'!$R$4:$R$503,_calc!$E$573))&amp;". ")&amp;IF(LEN(IF(LEN(INDEX('Dealer pipeline'!$S$4:$S$503,_calc!$E$573))=0,"",INDEX('Dealer pipeline'!$S$4:$S$503,_calc!$E$573)))=0,"","Backup: "&amp;IF(LEN(INDEX('Dealer pipeline'!$S$4:$S$503,_calc!$E$573))=0,"",INDEX('Dealer pipeline'!$S$4:$S$503,_calc!$E$573))&amp;". ")&amp;IF(LEN(IF(LEN(INDEX('Dealer pipeline'!$T$4:$T$503,_calc!$E$573))=0,"",INDEX('Dealer pipeline'!$T$4:$T$503,_calc!$E$573)))=0,"",IF(LEN(INDEX('Dealer pipeline'!$T$4:$T$503,_calc!$E$573))=0,"",INDEX('Dealer pipeline'!$T$4:$T$503,_calc!$E$573)))),TRIM(IF(LEN(IF(LEN(INDEX('My equipment'!$C$4:$C$503,(_calc!$E$573-500)))=0,"",INDEX('My equipment'!$C$4:$C$503,(_calc!$E$573-500))))=0,"","Model: "&amp;IF(LEN(INDEX('My equipment'!$C$4:$C$503,(_calc!$E$573-500)))=0,"",INDEX('My equipment'!$C$4:$C$503,(_calc!$E$573-500)))&amp;". ")&amp;IF(LEN(IF(LEN(INDEX('My equipment'!$D$4:$D$503,(_calc!$E$573-500)))=0,"",INDEX('My equipment'!$D$4:$D$503,(_calc!$E$573-500))))=0,"","Serial: "&amp;IF(LEN(INDEX('My equipment'!$D$4:$D$503,(_calc!$E$573-500)))=0,"",INDEX('My equipment'!$D$4:$D$503,(_calc!$E$573-500)))&amp;". ")&amp;IF(LEN(IF(ISNUMBER(INDEX('My equipment'!$J$4:$J$503,(_calc!$E$573-500))),TEXT(INDEX('My equipment'!$J$4:$J$503,(_calc!$E$573-500)),"yyyy-mm-dd"),""))=0,"","Parts end: "&amp;IF(ISNUMBER(INDEX('My equipment'!$J$4:$J$503,(_calc!$E$573-500))),TEXT(INDEX('My equipment'!$J$4:$J$503,(_calc!$E$573-500)),"yyyy-mm-dd"),"")&amp;". ")&amp;IF(LEN(IF(ISNUMBER(INDEX('My equipment'!$L$4:$L$503,(_calc!$E$573-500))),TEXT(INDEX('My equipment'!$L$4:$L$503,(_calc!$E$573-500)),"yyyy-mm-dd"),""))=0,"","Labor end: "&amp;IF(ISNUMBER(INDEX('My equipment'!$L$4:$L$503,(_calc!$E$573-500))),TEXT(INDEX('My equipment'!$L$4:$L$503,(_calc!$E$573-500)),"yyyy-mm-dd"),"")&amp;". ")&amp;IF(LEN(IF(ISNUMBER(INDEX('My equipment'!$P$4:$P$503,(_calc!$E$573-500))),TEXT(INDEX('My equipment'!$P$4:$P$503,(_calc!$E$573-500)),"yyyy-mm-dd"),""))=0,"","Check by: "&amp;IF(ISNUMBER(INDEX('My equipment'!$P$4:$P$503,(_calc!$E$573-500))),TEXT(INDEX('My equipment'!$P$4:$P$503,(_calc!$E$573-500)),"yyyy-mm-dd"),"")&amp;". ")&amp;IF(LEN(IF(LEN(INDEX('My equipment'!$Q$4:$Q$503,(_calc!$E$573-500)))=0,"",INDEX('My equipment'!$Q$4:$Q$503,(_calc!$E$573-500))))=0,"","Claim status: "&amp;IF(LEN(INDEX('My equipment'!$Q$4:$Q$503,(_calc!$E$573-500)))=0,"",INDEX('My equipment'!$Q$4:$Q$503,(_calc!$E$573-500)))&amp;". ")&amp;IF(LEN(IF(LEN(INDEX('My equipment'!$R$4:$R$503,(_calc!$E$573-500)))=0,"",INDEX('My equipment'!$R$4:$R$503,(_calc!$E$573-500))))=0,"","Claims contact: "&amp;IF(LEN(INDEX('My equipment'!$R$4:$R$503,(_calc!$E$573-500)))=0,"",INDEX('My equipment'!$R$4:$R$503,(_calc!$E$573-500)))&amp;". ")&amp;IF(LEN(IF(LEN(INDEX('My equipment'!$S$4:$S$503,(_calc!$E$573-500)))=0,"",INDEX('My equipment'!$S$4:$S$503,(_calc!$E$573-500))))=0,"","Claims email: "&amp;IF(LEN(INDEX('My equipment'!$S$4:$S$503,(_calc!$E$573-500)))=0,"",INDEX('My equipment'!$S$4:$S$503,(_calc!$E$573-500)))&amp;". ")&amp;IF(LEN(IF(LEN(INDEX('My equipment'!$U$4:$U$503,(_calc!$E$573-500)))=0,"",INDEX('My equipment'!$U$4:$U$503,(_calc!$E$573-500))))=0,"","Registered: "&amp;IF(LEN(INDEX('My equipment'!$U$4:$U$503,(_calc!$E$573-500)))=0,"",INDEX('My equipment'!$U$4:$U$503,(_calc!$E$573-500)))&amp;". ")&amp;IF(LEN(IF(LEN(INDEX('My equipment'!$V$4:$V$503,(_calc!$E$573-500)))=0,"",INDEX('My equipment'!$V$4:$V$503,(_calc!$E$573-500))))=0,"","Proof on file: "&amp;IF(LEN(INDEX('My equipment'!$V$4:$V$503,(_calc!$E$573-500)))=0,"",INDEX('My equipment'!$V$4:$V$503,(_calc!$E$573-500)))&amp;". ")&amp;IF(LEN(IF(LEN(INDEX('My equipment'!$W$4:$W$503,(_calc!$E$573-500)))=0,"",INDEX('My equipment'!$W$4:$W$503,(_calc!$E$573-500))))=0,"","Claim ref: "&amp;IF(LEN(INDEX('My equipment'!$W$4:$W$503,(_calc!$E$573-500)))=0,"",INDEX('My equipment'!$W$4:$W$503,(_calc!$E$573-500)))&amp;". ")&amp;IF(LEN(IF(LEN(INDEX('My equipment'!$Y$4:$Y$503,(_calc!$E$573-500)))=0,"",INDEX('My equipment'!$Y$4:$Y$503,(_calc!$E$573-500))))=0,"",IF(LEN(INDEX('My equipment'!$Y$4:$Y$503,(_calc!$E$573-500)))=0,"",INDEX('My equipment'!$Y$4:$Y$503,(_calc!$E$573-500)))))))</f>
        <v/>
      </c>
      <c r="G571" s="54">
        <f>IF(_calc!$E$573="","",IF(_calc!$E$573&lt;=500,"",IF(LEN(INDEX('My equipment'!$X$4:$X$503,(_calc!$E$573-500)))=0,"",INDEX('My equipment'!$X$4:$X$503,(_calc!$E$573-500)))))</f>
        <v/>
      </c>
      <c r="K571" s="54">
        <f>IF(_calc!$E$573="","",IF(_calc!$E$573&lt;=500,"",IF(LEN(INDEX('My equipment'!$T$4:$T$503,(_calc!$E$573-500)))=0,"",INDEX('My equipment'!$T$4:$T$503,(_calc!$E$573-500)))))</f>
        <v/>
      </c>
    </row>
    <row r="572">
      <c r="A572" s="54">
        <f>IF(_calc!$E$574="","",IF(_calc!$E$574&lt;=500,"Warranty – "&amp;IF(LEN(INDEX('Dealer pipeline'!$C$4:$C$503,_calc!$E$574))=0,"",INDEX('Dealer pipeline'!$C$4:$C$503,_calc!$E$574))&amp;" – "&amp;IF(LEN(INDEX('Dealer pipeline'!$D$4:$D$503,_calc!$E$574))=0,"",INDEX('Dealer pipeline'!$D$4:$D$503,_calc!$E$574))&amp;" – "&amp;IF(LEN(INDEX('Dealer pipeline'!$A$4:$A$503,_calc!$E$574))=0,"",INDEX('Dealer pipeline'!$A$4:$A$503,_calc!$E$574)),"Warranty – "&amp;IF(LEN(INDEX('My equipment'!$A$4:$A$503,(_calc!$E$574-500)))=0,"",INDEX('My equipment'!$A$4:$A$503,(_calc!$E$574-500)))&amp;" – "&amp;IF(LEN(INDEX('My equipment'!$D$4:$D$503,(_calc!$E$574-500)))=0,"",INDEX('My equipment'!$D$4:$D$503,(_calc!$E$574-500)))))</f>
        <v/>
      </c>
      <c r="B572" s="54">
        <f>IF(_calc!$E$574="","",IF(_calc!$E$574&lt;=500,IF(ISNUMBER(INDEX('Dealer pipeline'!$M$4:$M$503,_calc!$E$574)),TEXT(INDEX('Dealer pipeline'!$M$4:$M$503,_calc!$E$574),"yyyy-mm-dd"),""),IF(ISNUMBER(INDEX('My equipment'!$M$4:$M$503,(_calc!$E$574-500))),TEXT(INDEX('My equipment'!$M$4:$M$503,(_calc!$E$574-500)),"yyyy-mm-dd"),"")))</f>
        <v/>
      </c>
      <c r="C572" s="54">
        <f>IF(_calc!$E$574="","",IF(_calc!$E$574&lt;=500,"Warranty","Warranty"))</f>
        <v/>
      </c>
      <c r="D572" s="54">
        <f>IF(_calc!$E$574="","",IF(_calc!$E$574&lt;=500,IF(ISNUMBER(INDEX('Dealer pipeline'!$H$4:$H$503,_calc!$E$574)),TEXT(INDEX('Dealer pipeline'!$H$4:$H$503,_calc!$E$574),"yyyy-mm-dd"),""),IF(ISNUMBER(INDEX('My equipment'!$H$4:$H$503,(_calc!$E$574-500))),TEXT(INDEX('My equipment'!$H$4:$H$503,(_calc!$E$574-500)),"yyyy-mm-dd"),"")))</f>
        <v/>
      </c>
      <c r="F572" s="54">
        <f>IF(_calc!$E$574="","",IF(_calc!$E$574&lt;=500,TRIM(IF(LEN(IF(LEN(INDEX('Dealer pipeline'!$A$4:$A$503,_calc!$E$574))=0,"",INDEX('Dealer pipeline'!$A$4:$A$503,_calc!$E$574)))=0,"","Customer: "&amp;IF(LEN(INDEX('Dealer pipeline'!$A$4:$A$503,_calc!$E$574))=0,"",INDEX('Dealer pipeline'!$A$4:$A$503,_calc!$E$574))&amp;". ")&amp;IF(LEN(IF(LEN(INDEX('Dealer pipeline'!$B$4:$B$503,_calc!$E$574))=0,"",INDEX('Dealer pipeline'!$B$4:$B$503,_calc!$E$574)))=0,"","Contact: "&amp;IF(LEN(INDEX('Dealer pipeline'!$B$4:$B$503,_calc!$E$574))=0,"",INDEX('Dealer pipeline'!$B$4:$B$503,_calc!$E$574))&amp;". ")&amp;IF(LEN(IF(LEN(INDEX('Dealer pipeline'!$D$4:$D$503,_calc!$E$574))=0,"",INDEX('Dealer pipeline'!$D$4:$D$503,_calc!$E$574)))=0,"","Serial: "&amp;IF(LEN(INDEX('Dealer pipeline'!$D$4:$D$503,_calc!$E$574))=0,"",INDEX('Dealer pipeline'!$D$4:$D$503,_calc!$E$574))&amp;". ")&amp;IF(LEN(IF(ISNUMBER(INDEX('Dealer pipeline'!$J$4:$J$503,_calc!$E$574)),TEXT(INDEX('Dealer pipeline'!$J$4:$J$503,_calc!$E$574),"yyyy-mm-dd"),""))=0,"","Parts end: "&amp;IF(ISNUMBER(INDEX('Dealer pipeline'!$J$4:$J$503,_calc!$E$574)),TEXT(INDEX('Dealer pipeline'!$J$4:$J$503,_calc!$E$574),"yyyy-mm-dd"),"")&amp;". ")&amp;IF(LEN(IF(ISNUMBER(INDEX('Dealer pipeline'!$L$4:$L$503,_calc!$E$574)),TEXT(INDEX('Dealer pipeline'!$L$4:$L$503,_calc!$E$574),"yyyy-mm-dd"),""))=0,"","Labor end: "&amp;IF(ISNUMBER(INDEX('Dealer pipeline'!$L$4:$L$503,_calc!$E$574)),TEXT(INDEX('Dealer pipeline'!$L$4:$L$503,_calc!$E$574),"yyyy-mm-dd"),"")&amp;". ")&amp;IF(LEN(IF(LEN(INDEX('Dealer pipeline'!$Q$4:$Q$503,_calc!$E$574))=0,"",INDEX('Dealer pipeline'!$Q$4:$Q$503,_calc!$E$574)))=0,"","Status: "&amp;IF(LEN(INDEX('Dealer pipeline'!$Q$4:$Q$503,_calc!$E$574))=0,"",INDEX('Dealer pipeline'!$Q$4:$Q$503,_calc!$E$574))&amp;". ")&amp;IF(LEN(IF(LEN(INDEX('Dealer pipeline'!$P$4:$P$503,_calc!$E$574))=0,"",INDEX('Dealer pipeline'!$P$4:$P$503,_calc!$E$574)))=0,"","Last touch: "&amp;IF(LEN(INDEX('Dealer pipeline'!$P$4:$P$503,_calc!$E$574))=0,"",INDEX('Dealer pipeline'!$P$4:$P$503,_calc!$E$574))&amp;". ")&amp;IF(LEN(IF(LEN(INDEX('Dealer pipeline'!$R$4:$R$503,_calc!$E$574))=0,"",INDEX('Dealer pipeline'!$R$4:$R$503,_calc!$E$574)))=0,"","Owner: "&amp;IF(LEN(INDEX('Dealer pipeline'!$R$4:$R$503,_calc!$E$574))=0,"",INDEX('Dealer pipeline'!$R$4:$R$503,_calc!$E$574))&amp;". ")&amp;IF(LEN(IF(LEN(INDEX('Dealer pipeline'!$S$4:$S$503,_calc!$E$574))=0,"",INDEX('Dealer pipeline'!$S$4:$S$503,_calc!$E$574)))=0,"","Backup: "&amp;IF(LEN(INDEX('Dealer pipeline'!$S$4:$S$503,_calc!$E$574))=0,"",INDEX('Dealer pipeline'!$S$4:$S$503,_calc!$E$574))&amp;". ")&amp;IF(LEN(IF(LEN(INDEX('Dealer pipeline'!$T$4:$T$503,_calc!$E$574))=0,"",INDEX('Dealer pipeline'!$T$4:$T$503,_calc!$E$574)))=0,"",IF(LEN(INDEX('Dealer pipeline'!$T$4:$T$503,_calc!$E$574))=0,"",INDEX('Dealer pipeline'!$T$4:$T$503,_calc!$E$574)))),TRIM(IF(LEN(IF(LEN(INDEX('My equipment'!$C$4:$C$503,(_calc!$E$574-500)))=0,"",INDEX('My equipment'!$C$4:$C$503,(_calc!$E$574-500))))=0,"","Model: "&amp;IF(LEN(INDEX('My equipment'!$C$4:$C$503,(_calc!$E$574-500)))=0,"",INDEX('My equipment'!$C$4:$C$503,(_calc!$E$574-500)))&amp;". ")&amp;IF(LEN(IF(LEN(INDEX('My equipment'!$D$4:$D$503,(_calc!$E$574-500)))=0,"",INDEX('My equipment'!$D$4:$D$503,(_calc!$E$574-500))))=0,"","Serial: "&amp;IF(LEN(INDEX('My equipment'!$D$4:$D$503,(_calc!$E$574-500)))=0,"",INDEX('My equipment'!$D$4:$D$503,(_calc!$E$574-500)))&amp;". ")&amp;IF(LEN(IF(ISNUMBER(INDEX('My equipment'!$J$4:$J$503,(_calc!$E$574-500))),TEXT(INDEX('My equipment'!$J$4:$J$503,(_calc!$E$574-500)),"yyyy-mm-dd"),""))=0,"","Parts end: "&amp;IF(ISNUMBER(INDEX('My equipment'!$J$4:$J$503,(_calc!$E$574-500))),TEXT(INDEX('My equipment'!$J$4:$J$503,(_calc!$E$574-500)),"yyyy-mm-dd"),"")&amp;". ")&amp;IF(LEN(IF(ISNUMBER(INDEX('My equipment'!$L$4:$L$503,(_calc!$E$574-500))),TEXT(INDEX('My equipment'!$L$4:$L$503,(_calc!$E$574-500)),"yyyy-mm-dd"),""))=0,"","Labor end: "&amp;IF(ISNUMBER(INDEX('My equipment'!$L$4:$L$503,(_calc!$E$574-500))),TEXT(INDEX('My equipment'!$L$4:$L$503,(_calc!$E$574-500)),"yyyy-mm-dd"),"")&amp;". ")&amp;IF(LEN(IF(ISNUMBER(INDEX('My equipment'!$P$4:$P$503,(_calc!$E$574-500))),TEXT(INDEX('My equipment'!$P$4:$P$503,(_calc!$E$574-500)),"yyyy-mm-dd"),""))=0,"","Check by: "&amp;IF(ISNUMBER(INDEX('My equipment'!$P$4:$P$503,(_calc!$E$574-500))),TEXT(INDEX('My equipment'!$P$4:$P$503,(_calc!$E$574-500)),"yyyy-mm-dd"),"")&amp;". ")&amp;IF(LEN(IF(LEN(INDEX('My equipment'!$Q$4:$Q$503,(_calc!$E$574-500)))=0,"",INDEX('My equipment'!$Q$4:$Q$503,(_calc!$E$574-500))))=0,"","Claim status: "&amp;IF(LEN(INDEX('My equipment'!$Q$4:$Q$503,(_calc!$E$574-500)))=0,"",INDEX('My equipment'!$Q$4:$Q$503,(_calc!$E$574-500)))&amp;". ")&amp;IF(LEN(IF(LEN(INDEX('My equipment'!$R$4:$R$503,(_calc!$E$574-500)))=0,"",INDEX('My equipment'!$R$4:$R$503,(_calc!$E$574-500))))=0,"","Claims contact: "&amp;IF(LEN(INDEX('My equipment'!$R$4:$R$503,(_calc!$E$574-500)))=0,"",INDEX('My equipment'!$R$4:$R$503,(_calc!$E$574-500)))&amp;". ")&amp;IF(LEN(IF(LEN(INDEX('My equipment'!$S$4:$S$503,(_calc!$E$574-500)))=0,"",INDEX('My equipment'!$S$4:$S$503,(_calc!$E$574-500))))=0,"","Claims email: "&amp;IF(LEN(INDEX('My equipment'!$S$4:$S$503,(_calc!$E$574-500)))=0,"",INDEX('My equipment'!$S$4:$S$503,(_calc!$E$574-500)))&amp;". ")&amp;IF(LEN(IF(LEN(INDEX('My equipment'!$U$4:$U$503,(_calc!$E$574-500)))=0,"",INDEX('My equipment'!$U$4:$U$503,(_calc!$E$574-500))))=0,"","Registered: "&amp;IF(LEN(INDEX('My equipment'!$U$4:$U$503,(_calc!$E$574-500)))=0,"",INDEX('My equipment'!$U$4:$U$503,(_calc!$E$574-500)))&amp;". ")&amp;IF(LEN(IF(LEN(INDEX('My equipment'!$V$4:$V$503,(_calc!$E$574-500)))=0,"",INDEX('My equipment'!$V$4:$V$503,(_calc!$E$574-500))))=0,"","Proof on file: "&amp;IF(LEN(INDEX('My equipment'!$V$4:$V$503,(_calc!$E$574-500)))=0,"",INDEX('My equipment'!$V$4:$V$503,(_calc!$E$574-500)))&amp;". ")&amp;IF(LEN(IF(LEN(INDEX('My equipment'!$W$4:$W$503,(_calc!$E$574-500)))=0,"",INDEX('My equipment'!$W$4:$W$503,(_calc!$E$574-500))))=0,"","Claim ref: "&amp;IF(LEN(INDEX('My equipment'!$W$4:$W$503,(_calc!$E$574-500)))=0,"",INDEX('My equipment'!$W$4:$W$503,(_calc!$E$574-500)))&amp;". ")&amp;IF(LEN(IF(LEN(INDEX('My equipment'!$Y$4:$Y$503,(_calc!$E$574-500)))=0,"",INDEX('My equipment'!$Y$4:$Y$503,(_calc!$E$574-500))))=0,"",IF(LEN(INDEX('My equipment'!$Y$4:$Y$503,(_calc!$E$574-500)))=0,"",INDEX('My equipment'!$Y$4:$Y$503,(_calc!$E$574-500)))))))</f>
        <v/>
      </c>
      <c r="G572" s="54">
        <f>IF(_calc!$E$574="","",IF(_calc!$E$574&lt;=500,"",IF(LEN(INDEX('My equipment'!$X$4:$X$503,(_calc!$E$574-500)))=0,"",INDEX('My equipment'!$X$4:$X$503,(_calc!$E$574-500)))))</f>
        <v/>
      </c>
      <c r="K572" s="54">
        <f>IF(_calc!$E$574="","",IF(_calc!$E$574&lt;=500,"",IF(LEN(INDEX('My equipment'!$T$4:$T$503,(_calc!$E$574-500)))=0,"",INDEX('My equipment'!$T$4:$T$503,(_calc!$E$574-500)))))</f>
        <v/>
      </c>
    </row>
    <row r="573">
      <c r="A573" s="54">
        <f>IF(_calc!$E$575="","",IF(_calc!$E$575&lt;=500,"Warranty – "&amp;IF(LEN(INDEX('Dealer pipeline'!$C$4:$C$503,_calc!$E$575))=0,"",INDEX('Dealer pipeline'!$C$4:$C$503,_calc!$E$575))&amp;" – "&amp;IF(LEN(INDEX('Dealer pipeline'!$D$4:$D$503,_calc!$E$575))=0,"",INDEX('Dealer pipeline'!$D$4:$D$503,_calc!$E$575))&amp;" – "&amp;IF(LEN(INDEX('Dealer pipeline'!$A$4:$A$503,_calc!$E$575))=0,"",INDEX('Dealer pipeline'!$A$4:$A$503,_calc!$E$575)),"Warranty – "&amp;IF(LEN(INDEX('My equipment'!$A$4:$A$503,(_calc!$E$575-500)))=0,"",INDEX('My equipment'!$A$4:$A$503,(_calc!$E$575-500)))&amp;" – "&amp;IF(LEN(INDEX('My equipment'!$D$4:$D$503,(_calc!$E$575-500)))=0,"",INDEX('My equipment'!$D$4:$D$503,(_calc!$E$575-500)))))</f>
        <v/>
      </c>
      <c r="B573" s="54">
        <f>IF(_calc!$E$575="","",IF(_calc!$E$575&lt;=500,IF(ISNUMBER(INDEX('Dealer pipeline'!$M$4:$M$503,_calc!$E$575)),TEXT(INDEX('Dealer pipeline'!$M$4:$M$503,_calc!$E$575),"yyyy-mm-dd"),""),IF(ISNUMBER(INDEX('My equipment'!$M$4:$M$503,(_calc!$E$575-500))),TEXT(INDEX('My equipment'!$M$4:$M$503,(_calc!$E$575-500)),"yyyy-mm-dd"),"")))</f>
        <v/>
      </c>
      <c r="C573" s="54">
        <f>IF(_calc!$E$575="","",IF(_calc!$E$575&lt;=500,"Warranty","Warranty"))</f>
        <v/>
      </c>
      <c r="D573" s="54">
        <f>IF(_calc!$E$575="","",IF(_calc!$E$575&lt;=500,IF(ISNUMBER(INDEX('Dealer pipeline'!$H$4:$H$503,_calc!$E$575)),TEXT(INDEX('Dealer pipeline'!$H$4:$H$503,_calc!$E$575),"yyyy-mm-dd"),""),IF(ISNUMBER(INDEX('My equipment'!$H$4:$H$503,(_calc!$E$575-500))),TEXT(INDEX('My equipment'!$H$4:$H$503,(_calc!$E$575-500)),"yyyy-mm-dd"),"")))</f>
        <v/>
      </c>
      <c r="F573" s="54">
        <f>IF(_calc!$E$575="","",IF(_calc!$E$575&lt;=500,TRIM(IF(LEN(IF(LEN(INDEX('Dealer pipeline'!$A$4:$A$503,_calc!$E$575))=0,"",INDEX('Dealer pipeline'!$A$4:$A$503,_calc!$E$575)))=0,"","Customer: "&amp;IF(LEN(INDEX('Dealer pipeline'!$A$4:$A$503,_calc!$E$575))=0,"",INDEX('Dealer pipeline'!$A$4:$A$503,_calc!$E$575))&amp;". ")&amp;IF(LEN(IF(LEN(INDEX('Dealer pipeline'!$B$4:$B$503,_calc!$E$575))=0,"",INDEX('Dealer pipeline'!$B$4:$B$503,_calc!$E$575)))=0,"","Contact: "&amp;IF(LEN(INDEX('Dealer pipeline'!$B$4:$B$503,_calc!$E$575))=0,"",INDEX('Dealer pipeline'!$B$4:$B$503,_calc!$E$575))&amp;". ")&amp;IF(LEN(IF(LEN(INDEX('Dealer pipeline'!$D$4:$D$503,_calc!$E$575))=0,"",INDEX('Dealer pipeline'!$D$4:$D$503,_calc!$E$575)))=0,"","Serial: "&amp;IF(LEN(INDEX('Dealer pipeline'!$D$4:$D$503,_calc!$E$575))=0,"",INDEX('Dealer pipeline'!$D$4:$D$503,_calc!$E$575))&amp;". ")&amp;IF(LEN(IF(ISNUMBER(INDEX('Dealer pipeline'!$J$4:$J$503,_calc!$E$575)),TEXT(INDEX('Dealer pipeline'!$J$4:$J$503,_calc!$E$575),"yyyy-mm-dd"),""))=0,"","Parts end: "&amp;IF(ISNUMBER(INDEX('Dealer pipeline'!$J$4:$J$503,_calc!$E$575)),TEXT(INDEX('Dealer pipeline'!$J$4:$J$503,_calc!$E$575),"yyyy-mm-dd"),"")&amp;". ")&amp;IF(LEN(IF(ISNUMBER(INDEX('Dealer pipeline'!$L$4:$L$503,_calc!$E$575)),TEXT(INDEX('Dealer pipeline'!$L$4:$L$503,_calc!$E$575),"yyyy-mm-dd"),""))=0,"","Labor end: "&amp;IF(ISNUMBER(INDEX('Dealer pipeline'!$L$4:$L$503,_calc!$E$575)),TEXT(INDEX('Dealer pipeline'!$L$4:$L$503,_calc!$E$575),"yyyy-mm-dd"),"")&amp;". ")&amp;IF(LEN(IF(LEN(INDEX('Dealer pipeline'!$Q$4:$Q$503,_calc!$E$575))=0,"",INDEX('Dealer pipeline'!$Q$4:$Q$503,_calc!$E$575)))=0,"","Status: "&amp;IF(LEN(INDEX('Dealer pipeline'!$Q$4:$Q$503,_calc!$E$575))=0,"",INDEX('Dealer pipeline'!$Q$4:$Q$503,_calc!$E$575))&amp;". ")&amp;IF(LEN(IF(LEN(INDEX('Dealer pipeline'!$P$4:$P$503,_calc!$E$575))=0,"",INDEX('Dealer pipeline'!$P$4:$P$503,_calc!$E$575)))=0,"","Last touch: "&amp;IF(LEN(INDEX('Dealer pipeline'!$P$4:$P$503,_calc!$E$575))=0,"",INDEX('Dealer pipeline'!$P$4:$P$503,_calc!$E$575))&amp;". ")&amp;IF(LEN(IF(LEN(INDEX('Dealer pipeline'!$R$4:$R$503,_calc!$E$575))=0,"",INDEX('Dealer pipeline'!$R$4:$R$503,_calc!$E$575)))=0,"","Owner: "&amp;IF(LEN(INDEX('Dealer pipeline'!$R$4:$R$503,_calc!$E$575))=0,"",INDEX('Dealer pipeline'!$R$4:$R$503,_calc!$E$575))&amp;". ")&amp;IF(LEN(IF(LEN(INDEX('Dealer pipeline'!$S$4:$S$503,_calc!$E$575))=0,"",INDEX('Dealer pipeline'!$S$4:$S$503,_calc!$E$575)))=0,"","Backup: "&amp;IF(LEN(INDEX('Dealer pipeline'!$S$4:$S$503,_calc!$E$575))=0,"",INDEX('Dealer pipeline'!$S$4:$S$503,_calc!$E$575))&amp;". ")&amp;IF(LEN(IF(LEN(INDEX('Dealer pipeline'!$T$4:$T$503,_calc!$E$575))=0,"",INDEX('Dealer pipeline'!$T$4:$T$503,_calc!$E$575)))=0,"",IF(LEN(INDEX('Dealer pipeline'!$T$4:$T$503,_calc!$E$575))=0,"",INDEX('Dealer pipeline'!$T$4:$T$503,_calc!$E$575)))),TRIM(IF(LEN(IF(LEN(INDEX('My equipment'!$C$4:$C$503,(_calc!$E$575-500)))=0,"",INDEX('My equipment'!$C$4:$C$503,(_calc!$E$575-500))))=0,"","Model: "&amp;IF(LEN(INDEX('My equipment'!$C$4:$C$503,(_calc!$E$575-500)))=0,"",INDEX('My equipment'!$C$4:$C$503,(_calc!$E$575-500)))&amp;". ")&amp;IF(LEN(IF(LEN(INDEX('My equipment'!$D$4:$D$503,(_calc!$E$575-500)))=0,"",INDEX('My equipment'!$D$4:$D$503,(_calc!$E$575-500))))=0,"","Serial: "&amp;IF(LEN(INDEX('My equipment'!$D$4:$D$503,(_calc!$E$575-500)))=0,"",INDEX('My equipment'!$D$4:$D$503,(_calc!$E$575-500)))&amp;". ")&amp;IF(LEN(IF(ISNUMBER(INDEX('My equipment'!$J$4:$J$503,(_calc!$E$575-500))),TEXT(INDEX('My equipment'!$J$4:$J$503,(_calc!$E$575-500)),"yyyy-mm-dd"),""))=0,"","Parts end: "&amp;IF(ISNUMBER(INDEX('My equipment'!$J$4:$J$503,(_calc!$E$575-500))),TEXT(INDEX('My equipment'!$J$4:$J$503,(_calc!$E$575-500)),"yyyy-mm-dd"),"")&amp;". ")&amp;IF(LEN(IF(ISNUMBER(INDEX('My equipment'!$L$4:$L$503,(_calc!$E$575-500))),TEXT(INDEX('My equipment'!$L$4:$L$503,(_calc!$E$575-500)),"yyyy-mm-dd"),""))=0,"","Labor end: "&amp;IF(ISNUMBER(INDEX('My equipment'!$L$4:$L$503,(_calc!$E$575-500))),TEXT(INDEX('My equipment'!$L$4:$L$503,(_calc!$E$575-500)),"yyyy-mm-dd"),"")&amp;". ")&amp;IF(LEN(IF(ISNUMBER(INDEX('My equipment'!$P$4:$P$503,(_calc!$E$575-500))),TEXT(INDEX('My equipment'!$P$4:$P$503,(_calc!$E$575-500)),"yyyy-mm-dd"),""))=0,"","Check by: "&amp;IF(ISNUMBER(INDEX('My equipment'!$P$4:$P$503,(_calc!$E$575-500))),TEXT(INDEX('My equipment'!$P$4:$P$503,(_calc!$E$575-500)),"yyyy-mm-dd"),"")&amp;". ")&amp;IF(LEN(IF(LEN(INDEX('My equipment'!$Q$4:$Q$503,(_calc!$E$575-500)))=0,"",INDEX('My equipment'!$Q$4:$Q$503,(_calc!$E$575-500))))=0,"","Claim status: "&amp;IF(LEN(INDEX('My equipment'!$Q$4:$Q$503,(_calc!$E$575-500)))=0,"",INDEX('My equipment'!$Q$4:$Q$503,(_calc!$E$575-500)))&amp;". ")&amp;IF(LEN(IF(LEN(INDEX('My equipment'!$R$4:$R$503,(_calc!$E$575-500)))=0,"",INDEX('My equipment'!$R$4:$R$503,(_calc!$E$575-500))))=0,"","Claims contact: "&amp;IF(LEN(INDEX('My equipment'!$R$4:$R$503,(_calc!$E$575-500)))=0,"",INDEX('My equipment'!$R$4:$R$503,(_calc!$E$575-500)))&amp;". ")&amp;IF(LEN(IF(LEN(INDEX('My equipment'!$S$4:$S$503,(_calc!$E$575-500)))=0,"",INDEX('My equipment'!$S$4:$S$503,(_calc!$E$575-500))))=0,"","Claims email: "&amp;IF(LEN(INDEX('My equipment'!$S$4:$S$503,(_calc!$E$575-500)))=0,"",INDEX('My equipment'!$S$4:$S$503,(_calc!$E$575-500)))&amp;". ")&amp;IF(LEN(IF(LEN(INDEX('My equipment'!$U$4:$U$503,(_calc!$E$575-500)))=0,"",INDEX('My equipment'!$U$4:$U$503,(_calc!$E$575-500))))=0,"","Registered: "&amp;IF(LEN(INDEX('My equipment'!$U$4:$U$503,(_calc!$E$575-500)))=0,"",INDEX('My equipment'!$U$4:$U$503,(_calc!$E$575-500)))&amp;". ")&amp;IF(LEN(IF(LEN(INDEX('My equipment'!$V$4:$V$503,(_calc!$E$575-500)))=0,"",INDEX('My equipment'!$V$4:$V$503,(_calc!$E$575-500))))=0,"","Proof on file: "&amp;IF(LEN(INDEX('My equipment'!$V$4:$V$503,(_calc!$E$575-500)))=0,"",INDEX('My equipment'!$V$4:$V$503,(_calc!$E$575-500)))&amp;". ")&amp;IF(LEN(IF(LEN(INDEX('My equipment'!$W$4:$W$503,(_calc!$E$575-500)))=0,"",INDEX('My equipment'!$W$4:$W$503,(_calc!$E$575-500))))=0,"","Claim ref: "&amp;IF(LEN(INDEX('My equipment'!$W$4:$W$503,(_calc!$E$575-500)))=0,"",INDEX('My equipment'!$W$4:$W$503,(_calc!$E$575-500)))&amp;". ")&amp;IF(LEN(IF(LEN(INDEX('My equipment'!$Y$4:$Y$503,(_calc!$E$575-500)))=0,"",INDEX('My equipment'!$Y$4:$Y$503,(_calc!$E$575-500))))=0,"",IF(LEN(INDEX('My equipment'!$Y$4:$Y$503,(_calc!$E$575-500)))=0,"",INDEX('My equipment'!$Y$4:$Y$503,(_calc!$E$575-500)))))))</f>
        <v/>
      </c>
      <c r="G573" s="54">
        <f>IF(_calc!$E$575="","",IF(_calc!$E$575&lt;=500,"",IF(LEN(INDEX('My equipment'!$X$4:$X$503,(_calc!$E$575-500)))=0,"",INDEX('My equipment'!$X$4:$X$503,(_calc!$E$575-500)))))</f>
        <v/>
      </c>
      <c r="K573" s="54">
        <f>IF(_calc!$E$575="","",IF(_calc!$E$575&lt;=500,"",IF(LEN(INDEX('My equipment'!$T$4:$T$503,(_calc!$E$575-500)))=0,"",INDEX('My equipment'!$T$4:$T$503,(_calc!$E$575-500)))))</f>
        <v/>
      </c>
    </row>
    <row r="574">
      <c r="A574" s="54">
        <f>IF(_calc!$E$576="","",IF(_calc!$E$576&lt;=500,"Warranty – "&amp;IF(LEN(INDEX('Dealer pipeline'!$C$4:$C$503,_calc!$E$576))=0,"",INDEX('Dealer pipeline'!$C$4:$C$503,_calc!$E$576))&amp;" – "&amp;IF(LEN(INDEX('Dealer pipeline'!$D$4:$D$503,_calc!$E$576))=0,"",INDEX('Dealer pipeline'!$D$4:$D$503,_calc!$E$576))&amp;" – "&amp;IF(LEN(INDEX('Dealer pipeline'!$A$4:$A$503,_calc!$E$576))=0,"",INDEX('Dealer pipeline'!$A$4:$A$503,_calc!$E$576)),"Warranty – "&amp;IF(LEN(INDEX('My equipment'!$A$4:$A$503,(_calc!$E$576-500)))=0,"",INDEX('My equipment'!$A$4:$A$503,(_calc!$E$576-500)))&amp;" – "&amp;IF(LEN(INDEX('My equipment'!$D$4:$D$503,(_calc!$E$576-500)))=0,"",INDEX('My equipment'!$D$4:$D$503,(_calc!$E$576-500)))))</f>
        <v/>
      </c>
      <c r="B574" s="54">
        <f>IF(_calc!$E$576="","",IF(_calc!$E$576&lt;=500,IF(ISNUMBER(INDEX('Dealer pipeline'!$M$4:$M$503,_calc!$E$576)),TEXT(INDEX('Dealer pipeline'!$M$4:$M$503,_calc!$E$576),"yyyy-mm-dd"),""),IF(ISNUMBER(INDEX('My equipment'!$M$4:$M$503,(_calc!$E$576-500))),TEXT(INDEX('My equipment'!$M$4:$M$503,(_calc!$E$576-500)),"yyyy-mm-dd"),"")))</f>
        <v/>
      </c>
      <c r="C574" s="54">
        <f>IF(_calc!$E$576="","",IF(_calc!$E$576&lt;=500,"Warranty","Warranty"))</f>
        <v/>
      </c>
      <c r="D574" s="54">
        <f>IF(_calc!$E$576="","",IF(_calc!$E$576&lt;=500,IF(ISNUMBER(INDEX('Dealer pipeline'!$H$4:$H$503,_calc!$E$576)),TEXT(INDEX('Dealer pipeline'!$H$4:$H$503,_calc!$E$576),"yyyy-mm-dd"),""),IF(ISNUMBER(INDEX('My equipment'!$H$4:$H$503,(_calc!$E$576-500))),TEXT(INDEX('My equipment'!$H$4:$H$503,(_calc!$E$576-500)),"yyyy-mm-dd"),"")))</f>
        <v/>
      </c>
      <c r="F574" s="54">
        <f>IF(_calc!$E$576="","",IF(_calc!$E$576&lt;=500,TRIM(IF(LEN(IF(LEN(INDEX('Dealer pipeline'!$A$4:$A$503,_calc!$E$576))=0,"",INDEX('Dealer pipeline'!$A$4:$A$503,_calc!$E$576)))=0,"","Customer: "&amp;IF(LEN(INDEX('Dealer pipeline'!$A$4:$A$503,_calc!$E$576))=0,"",INDEX('Dealer pipeline'!$A$4:$A$503,_calc!$E$576))&amp;". ")&amp;IF(LEN(IF(LEN(INDEX('Dealer pipeline'!$B$4:$B$503,_calc!$E$576))=0,"",INDEX('Dealer pipeline'!$B$4:$B$503,_calc!$E$576)))=0,"","Contact: "&amp;IF(LEN(INDEX('Dealer pipeline'!$B$4:$B$503,_calc!$E$576))=0,"",INDEX('Dealer pipeline'!$B$4:$B$503,_calc!$E$576))&amp;". ")&amp;IF(LEN(IF(LEN(INDEX('Dealer pipeline'!$D$4:$D$503,_calc!$E$576))=0,"",INDEX('Dealer pipeline'!$D$4:$D$503,_calc!$E$576)))=0,"","Serial: "&amp;IF(LEN(INDEX('Dealer pipeline'!$D$4:$D$503,_calc!$E$576))=0,"",INDEX('Dealer pipeline'!$D$4:$D$503,_calc!$E$576))&amp;". ")&amp;IF(LEN(IF(ISNUMBER(INDEX('Dealer pipeline'!$J$4:$J$503,_calc!$E$576)),TEXT(INDEX('Dealer pipeline'!$J$4:$J$503,_calc!$E$576),"yyyy-mm-dd"),""))=0,"","Parts end: "&amp;IF(ISNUMBER(INDEX('Dealer pipeline'!$J$4:$J$503,_calc!$E$576)),TEXT(INDEX('Dealer pipeline'!$J$4:$J$503,_calc!$E$576),"yyyy-mm-dd"),"")&amp;". ")&amp;IF(LEN(IF(ISNUMBER(INDEX('Dealer pipeline'!$L$4:$L$503,_calc!$E$576)),TEXT(INDEX('Dealer pipeline'!$L$4:$L$503,_calc!$E$576),"yyyy-mm-dd"),""))=0,"","Labor end: "&amp;IF(ISNUMBER(INDEX('Dealer pipeline'!$L$4:$L$503,_calc!$E$576)),TEXT(INDEX('Dealer pipeline'!$L$4:$L$503,_calc!$E$576),"yyyy-mm-dd"),"")&amp;". ")&amp;IF(LEN(IF(LEN(INDEX('Dealer pipeline'!$Q$4:$Q$503,_calc!$E$576))=0,"",INDEX('Dealer pipeline'!$Q$4:$Q$503,_calc!$E$576)))=0,"","Status: "&amp;IF(LEN(INDEX('Dealer pipeline'!$Q$4:$Q$503,_calc!$E$576))=0,"",INDEX('Dealer pipeline'!$Q$4:$Q$503,_calc!$E$576))&amp;". ")&amp;IF(LEN(IF(LEN(INDEX('Dealer pipeline'!$P$4:$P$503,_calc!$E$576))=0,"",INDEX('Dealer pipeline'!$P$4:$P$503,_calc!$E$576)))=0,"","Last touch: "&amp;IF(LEN(INDEX('Dealer pipeline'!$P$4:$P$503,_calc!$E$576))=0,"",INDEX('Dealer pipeline'!$P$4:$P$503,_calc!$E$576))&amp;". ")&amp;IF(LEN(IF(LEN(INDEX('Dealer pipeline'!$R$4:$R$503,_calc!$E$576))=0,"",INDEX('Dealer pipeline'!$R$4:$R$503,_calc!$E$576)))=0,"","Owner: "&amp;IF(LEN(INDEX('Dealer pipeline'!$R$4:$R$503,_calc!$E$576))=0,"",INDEX('Dealer pipeline'!$R$4:$R$503,_calc!$E$576))&amp;". ")&amp;IF(LEN(IF(LEN(INDEX('Dealer pipeline'!$S$4:$S$503,_calc!$E$576))=0,"",INDEX('Dealer pipeline'!$S$4:$S$503,_calc!$E$576)))=0,"","Backup: "&amp;IF(LEN(INDEX('Dealer pipeline'!$S$4:$S$503,_calc!$E$576))=0,"",INDEX('Dealer pipeline'!$S$4:$S$503,_calc!$E$576))&amp;". ")&amp;IF(LEN(IF(LEN(INDEX('Dealer pipeline'!$T$4:$T$503,_calc!$E$576))=0,"",INDEX('Dealer pipeline'!$T$4:$T$503,_calc!$E$576)))=0,"",IF(LEN(INDEX('Dealer pipeline'!$T$4:$T$503,_calc!$E$576))=0,"",INDEX('Dealer pipeline'!$T$4:$T$503,_calc!$E$576)))),TRIM(IF(LEN(IF(LEN(INDEX('My equipment'!$C$4:$C$503,(_calc!$E$576-500)))=0,"",INDEX('My equipment'!$C$4:$C$503,(_calc!$E$576-500))))=0,"","Model: "&amp;IF(LEN(INDEX('My equipment'!$C$4:$C$503,(_calc!$E$576-500)))=0,"",INDEX('My equipment'!$C$4:$C$503,(_calc!$E$576-500)))&amp;". ")&amp;IF(LEN(IF(LEN(INDEX('My equipment'!$D$4:$D$503,(_calc!$E$576-500)))=0,"",INDEX('My equipment'!$D$4:$D$503,(_calc!$E$576-500))))=0,"","Serial: "&amp;IF(LEN(INDEX('My equipment'!$D$4:$D$503,(_calc!$E$576-500)))=0,"",INDEX('My equipment'!$D$4:$D$503,(_calc!$E$576-500)))&amp;". ")&amp;IF(LEN(IF(ISNUMBER(INDEX('My equipment'!$J$4:$J$503,(_calc!$E$576-500))),TEXT(INDEX('My equipment'!$J$4:$J$503,(_calc!$E$576-500)),"yyyy-mm-dd"),""))=0,"","Parts end: "&amp;IF(ISNUMBER(INDEX('My equipment'!$J$4:$J$503,(_calc!$E$576-500))),TEXT(INDEX('My equipment'!$J$4:$J$503,(_calc!$E$576-500)),"yyyy-mm-dd"),"")&amp;". ")&amp;IF(LEN(IF(ISNUMBER(INDEX('My equipment'!$L$4:$L$503,(_calc!$E$576-500))),TEXT(INDEX('My equipment'!$L$4:$L$503,(_calc!$E$576-500)),"yyyy-mm-dd"),""))=0,"","Labor end: "&amp;IF(ISNUMBER(INDEX('My equipment'!$L$4:$L$503,(_calc!$E$576-500))),TEXT(INDEX('My equipment'!$L$4:$L$503,(_calc!$E$576-500)),"yyyy-mm-dd"),"")&amp;". ")&amp;IF(LEN(IF(ISNUMBER(INDEX('My equipment'!$P$4:$P$503,(_calc!$E$576-500))),TEXT(INDEX('My equipment'!$P$4:$P$503,(_calc!$E$576-500)),"yyyy-mm-dd"),""))=0,"","Check by: "&amp;IF(ISNUMBER(INDEX('My equipment'!$P$4:$P$503,(_calc!$E$576-500))),TEXT(INDEX('My equipment'!$P$4:$P$503,(_calc!$E$576-500)),"yyyy-mm-dd"),"")&amp;". ")&amp;IF(LEN(IF(LEN(INDEX('My equipment'!$Q$4:$Q$503,(_calc!$E$576-500)))=0,"",INDEX('My equipment'!$Q$4:$Q$503,(_calc!$E$576-500))))=0,"","Claim status: "&amp;IF(LEN(INDEX('My equipment'!$Q$4:$Q$503,(_calc!$E$576-500)))=0,"",INDEX('My equipment'!$Q$4:$Q$503,(_calc!$E$576-500)))&amp;". ")&amp;IF(LEN(IF(LEN(INDEX('My equipment'!$R$4:$R$503,(_calc!$E$576-500)))=0,"",INDEX('My equipment'!$R$4:$R$503,(_calc!$E$576-500))))=0,"","Claims contact: "&amp;IF(LEN(INDEX('My equipment'!$R$4:$R$503,(_calc!$E$576-500)))=0,"",INDEX('My equipment'!$R$4:$R$503,(_calc!$E$576-500)))&amp;". ")&amp;IF(LEN(IF(LEN(INDEX('My equipment'!$S$4:$S$503,(_calc!$E$576-500)))=0,"",INDEX('My equipment'!$S$4:$S$503,(_calc!$E$576-500))))=0,"","Claims email: "&amp;IF(LEN(INDEX('My equipment'!$S$4:$S$503,(_calc!$E$576-500)))=0,"",INDEX('My equipment'!$S$4:$S$503,(_calc!$E$576-500)))&amp;". ")&amp;IF(LEN(IF(LEN(INDEX('My equipment'!$U$4:$U$503,(_calc!$E$576-500)))=0,"",INDEX('My equipment'!$U$4:$U$503,(_calc!$E$576-500))))=0,"","Registered: "&amp;IF(LEN(INDEX('My equipment'!$U$4:$U$503,(_calc!$E$576-500)))=0,"",INDEX('My equipment'!$U$4:$U$503,(_calc!$E$576-500)))&amp;". ")&amp;IF(LEN(IF(LEN(INDEX('My equipment'!$V$4:$V$503,(_calc!$E$576-500)))=0,"",INDEX('My equipment'!$V$4:$V$503,(_calc!$E$576-500))))=0,"","Proof on file: "&amp;IF(LEN(INDEX('My equipment'!$V$4:$V$503,(_calc!$E$576-500)))=0,"",INDEX('My equipment'!$V$4:$V$503,(_calc!$E$576-500)))&amp;". ")&amp;IF(LEN(IF(LEN(INDEX('My equipment'!$W$4:$W$503,(_calc!$E$576-500)))=0,"",INDEX('My equipment'!$W$4:$W$503,(_calc!$E$576-500))))=0,"","Claim ref: "&amp;IF(LEN(INDEX('My equipment'!$W$4:$W$503,(_calc!$E$576-500)))=0,"",INDEX('My equipment'!$W$4:$W$503,(_calc!$E$576-500)))&amp;". ")&amp;IF(LEN(IF(LEN(INDEX('My equipment'!$Y$4:$Y$503,(_calc!$E$576-500)))=0,"",INDEX('My equipment'!$Y$4:$Y$503,(_calc!$E$576-500))))=0,"",IF(LEN(INDEX('My equipment'!$Y$4:$Y$503,(_calc!$E$576-500)))=0,"",INDEX('My equipment'!$Y$4:$Y$503,(_calc!$E$576-500)))))))</f>
        <v/>
      </c>
      <c r="G574" s="54">
        <f>IF(_calc!$E$576="","",IF(_calc!$E$576&lt;=500,"",IF(LEN(INDEX('My equipment'!$X$4:$X$503,(_calc!$E$576-500)))=0,"",INDEX('My equipment'!$X$4:$X$503,(_calc!$E$576-500)))))</f>
        <v/>
      </c>
      <c r="K574" s="54">
        <f>IF(_calc!$E$576="","",IF(_calc!$E$576&lt;=500,"",IF(LEN(INDEX('My equipment'!$T$4:$T$503,(_calc!$E$576-500)))=0,"",INDEX('My equipment'!$T$4:$T$503,(_calc!$E$576-500)))))</f>
        <v/>
      </c>
    </row>
    <row r="575">
      <c r="A575" s="54">
        <f>IF(_calc!$E$577="","",IF(_calc!$E$577&lt;=500,"Warranty – "&amp;IF(LEN(INDEX('Dealer pipeline'!$C$4:$C$503,_calc!$E$577))=0,"",INDEX('Dealer pipeline'!$C$4:$C$503,_calc!$E$577))&amp;" – "&amp;IF(LEN(INDEX('Dealer pipeline'!$D$4:$D$503,_calc!$E$577))=0,"",INDEX('Dealer pipeline'!$D$4:$D$503,_calc!$E$577))&amp;" – "&amp;IF(LEN(INDEX('Dealer pipeline'!$A$4:$A$503,_calc!$E$577))=0,"",INDEX('Dealer pipeline'!$A$4:$A$503,_calc!$E$577)),"Warranty – "&amp;IF(LEN(INDEX('My equipment'!$A$4:$A$503,(_calc!$E$577-500)))=0,"",INDEX('My equipment'!$A$4:$A$503,(_calc!$E$577-500)))&amp;" – "&amp;IF(LEN(INDEX('My equipment'!$D$4:$D$503,(_calc!$E$577-500)))=0,"",INDEX('My equipment'!$D$4:$D$503,(_calc!$E$577-500)))))</f>
        <v/>
      </c>
      <c r="B575" s="54">
        <f>IF(_calc!$E$577="","",IF(_calc!$E$577&lt;=500,IF(ISNUMBER(INDEX('Dealer pipeline'!$M$4:$M$503,_calc!$E$577)),TEXT(INDEX('Dealer pipeline'!$M$4:$M$503,_calc!$E$577),"yyyy-mm-dd"),""),IF(ISNUMBER(INDEX('My equipment'!$M$4:$M$503,(_calc!$E$577-500))),TEXT(INDEX('My equipment'!$M$4:$M$503,(_calc!$E$577-500)),"yyyy-mm-dd"),"")))</f>
        <v/>
      </c>
      <c r="C575" s="54">
        <f>IF(_calc!$E$577="","",IF(_calc!$E$577&lt;=500,"Warranty","Warranty"))</f>
        <v/>
      </c>
      <c r="D575" s="54">
        <f>IF(_calc!$E$577="","",IF(_calc!$E$577&lt;=500,IF(ISNUMBER(INDEX('Dealer pipeline'!$H$4:$H$503,_calc!$E$577)),TEXT(INDEX('Dealer pipeline'!$H$4:$H$503,_calc!$E$577),"yyyy-mm-dd"),""),IF(ISNUMBER(INDEX('My equipment'!$H$4:$H$503,(_calc!$E$577-500))),TEXT(INDEX('My equipment'!$H$4:$H$503,(_calc!$E$577-500)),"yyyy-mm-dd"),"")))</f>
        <v/>
      </c>
      <c r="F575" s="54">
        <f>IF(_calc!$E$577="","",IF(_calc!$E$577&lt;=500,TRIM(IF(LEN(IF(LEN(INDEX('Dealer pipeline'!$A$4:$A$503,_calc!$E$577))=0,"",INDEX('Dealer pipeline'!$A$4:$A$503,_calc!$E$577)))=0,"","Customer: "&amp;IF(LEN(INDEX('Dealer pipeline'!$A$4:$A$503,_calc!$E$577))=0,"",INDEX('Dealer pipeline'!$A$4:$A$503,_calc!$E$577))&amp;". ")&amp;IF(LEN(IF(LEN(INDEX('Dealer pipeline'!$B$4:$B$503,_calc!$E$577))=0,"",INDEX('Dealer pipeline'!$B$4:$B$503,_calc!$E$577)))=0,"","Contact: "&amp;IF(LEN(INDEX('Dealer pipeline'!$B$4:$B$503,_calc!$E$577))=0,"",INDEX('Dealer pipeline'!$B$4:$B$503,_calc!$E$577))&amp;". ")&amp;IF(LEN(IF(LEN(INDEX('Dealer pipeline'!$D$4:$D$503,_calc!$E$577))=0,"",INDEX('Dealer pipeline'!$D$4:$D$503,_calc!$E$577)))=0,"","Serial: "&amp;IF(LEN(INDEX('Dealer pipeline'!$D$4:$D$503,_calc!$E$577))=0,"",INDEX('Dealer pipeline'!$D$4:$D$503,_calc!$E$577))&amp;". ")&amp;IF(LEN(IF(ISNUMBER(INDEX('Dealer pipeline'!$J$4:$J$503,_calc!$E$577)),TEXT(INDEX('Dealer pipeline'!$J$4:$J$503,_calc!$E$577),"yyyy-mm-dd"),""))=0,"","Parts end: "&amp;IF(ISNUMBER(INDEX('Dealer pipeline'!$J$4:$J$503,_calc!$E$577)),TEXT(INDEX('Dealer pipeline'!$J$4:$J$503,_calc!$E$577),"yyyy-mm-dd"),"")&amp;". ")&amp;IF(LEN(IF(ISNUMBER(INDEX('Dealer pipeline'!$L$4:$L$503,_calc!$E$577)),TEXT(INDEX('Dealer pipeline'!$L$4:$L$503,_calc!$E$577),"yyyy-mm-dd"),""))=0,"","Labor end: "&amp;IF(ISNUMBER(INDEX('Dealer pipeline'!$L$4:$L$503,_calc!$E$577)),TEXT(INDEX('Dealer pipeline'!$L$4:$L$503,_calc!$E$577),"yyyy-mm-dd"),"")&amp;". ")&amp;IF(LEN(IF(LEN(INDEX('Dealer pipeline'!$Q$4:$Q$503,_calc!$E$577))=0,"",INDEX('Dealer pipeline'!$Q$4:$Q$503,_calc!$E$577)))=0,"","Status: "&amp;IF(LEN(INDEX('Dealer pipeline'!$Q$4:$Q$503,_calc!$E$577))=0,"",INDEX('Dealer pipeline'!$Q$4:$Q$503,_calc!$E$577))&amp;". ")&amp;IF(LEN(IF(LEN(INDEX('Dealer pipeline'!$P$4:$P$503,_calc!$E$577))=0,"",INDEX('Dealer pipeline'!$P$4:$P$503,_calc!$E$577)))=0,"","Last touch: "&amp;IF(LEN(INDEX('Dealer pipeline'!$P$4:$P$503,_calc!$E$577))=0,"",INDEX('Dealer pipeline'!$P$4:$P$503,_calc!$E$577))&amp;". ")&amp;IF(LEN(IF(LEN(INDEX('Dealer pipeline'!$R$4:$R$503,_calc!$E$577))=0,"",INDEX('Dealer pipeline'!$R$4:$R$503,_calc!$E$577)))=0,"","Owner: "&amp;IF(LEN(INDEX('Dealer pipeline'!$R$4:$R$503,_calc!$E$577))=0,"",INDEX('Dealer pipeline'!$R$4:$R$503,_calc!$E$577))&amp;". ")&amp;IF(LEN(IF(LEN(INDEX('Dealer pipeline'!$S$4:$S$503,_calc!$E$577))=0,"",INDEX('Dealer pipeline'!$S$4:$S$503,_calc!$E$577)))=0,"","Backup: "&amp;IF(LEN(INDEX('Dealer pipeline'!$S$4:$S$503,_calc!$E$577))=0,"",INDEX('Dealer pipeline'!$S$4:$S$503,_calc!$E$577))&amp;". ")&amp;IF(LEN(IF(LEN(INDEX('Dealer pipeline'!$T$4:$T$503,_calc!$E$577))=0,"",INDEX('Dealer pipeline'!$T$4:$T$503,_calc!$E$577)))=0,"",IF(LEN(INDEX('Dealer pipeline'!$T$4:$T$503,_calc!$E$577))=0,"",INDEX('Dealer pipeline'!$T$4:$T$503,_calc!$E$577)))),TRIM(IF(LEN(IF(LEN(INDEX('My equipment'!$C$4:$C$503,(_calc!$E$577-500)))=0,"",INDEX('My equipment'!$C$4:$C$503,(_calc!$E$577-500))))=0,"","Model: "&amp;IF(LEN(INDEX('My equipment'!$C$4:$C$503,(_calc!$E$577-500)))=0,"",INDEX('My equipment'!$C$4:$C$503,(_calc!$E$577-500)))&amp;". ")&amp;IF(LEN(IF(LEN(INDEX('My equipment'!$D$4:$D$503,(_calc!$E$577-500)))=0,"",INDEX('My equipment'!$D$4:$D$503,(_calc!$E$577-500))))=0,"","Serial: "&amp;IF(LEN(INDEX('My equipment'!$D$4:$D$503,(_calc!$E$577-500)))=0,"",INDEX('My equipment'!$D$4:$D$503,(_calc!$E$577-500)))&amp;". ")&amp;IF(LEN(IF(ISNUMBER(INDEX('My equipment'!$J$4:$J$503,(_calc!$E$577-500))),TEXT(INDEX('My equipment'!$J$4:$J$503,(_calc!$E$577-500)),"yyyy-mm-dd"),""))=0,"","Parts end: "&amp;IF(ISNUMBER(INDEX('My equipment'!$J$4:$J$503,(_calc!$E$577-500))),TEXT(INDEX('My equipment'!$J$4:$J$503,(_calc!$E$577-500)),"yyyy-mm-dd"),"")&amp;". ")&amp;IF(LEN(IF(ISNUMBER(INDEX('My equipment'!$L$4:$L$503,(_calc!$E$577-500))),TEXT(INDEX('My equipment'!$L$4:$L$503,(_calc!$E$577-500)),"yyyy-mm-dd"),""))=0,"","Labor end: "&amp;IF(ISNUMBER(INDEX('My equipment'!$L$4:$L$503,(_calc!$E$577-500))),TEXT(INDEX('My equipment'!$L$4:$L$503,(_calc!$E$577-500)),"yyyy-mm-dd"),"")&amp;". ")&amp;IF(LEN(IF(ISNUMBER(INDEX('My equipment'!$P$4:$P$503,(_calc!$E$577-500))),TEXT(INDEX('My equipment'!$P$4:$P$503,(_calc!$E$577-500)),"yyyy-mm-dd"),""))=0,"","Check by: "&amp;IF(ISNUMBER(INDEX('My equipment'!$P$4:$P$503,(_calc!$E$577-500))),TEXT(INDEX('My equipment'!$P$4:$P$503,(_calc!$E$577-500)),"yyyy-mm-dd"),"")&amp;". ")&amp;IF(LEN(IF(LEN(INDEX('My equipment'!$Q$4:$Q$503,(_calc!$E$577-500)))=0,"",INDEX('My equipment'!$Q$4:$Q$503,(_calc!$E$577-500))))=0,"","Claim status: "&amp;IF(LEN(INDEX('My equipment'!$Q$4:$Q$503,(_calc!$E$577-500)))=0,"",INDEX('My equipment'!$Q$4:$Q$503,(_calc!$E$577-500)))&amp;". ")&amp;IF(LEN(IF(LEN(INDEX('My equipment'!$R$4:$R$503,(_calc!$E$577-500)))=0,"",INDEX('My equipment'!$R$4:$R$503,(_calc!$E$577-500))))=0,"","Claims contact: "&amp;IF(LEN(INDEX('My equipment'!$R$4:$R$503,(_calc!$E$577-500)))=0,"",INDEX('My equipment'!$R$4:$R$503,(_calc!$E$577-500)))&amp;". ")&amp;IF(LEN(IF(LEN(INDEX('My equipment'!$S$4:$S$503,(_calc!$E$577-500)))=0,"",INDEX('My equipment'!$S$4:$S$503,(_calc!$E$577-500))))=0,"","Claims email: "&amp;IF(LEN(INDEX('My equipment'!$S$4:$S$503,(_calc!$E$577-500)))=0,"",INDEX('My equipment'!$S$4:$S$503,(_calc!$E$577-500)))&amp;". ")&amp;IF(LEN(IF(LEN(INDEX('My equipment'!$U$4:$U$503,(_calc!$E$577-500)))=0,"",INDEX('My equipment'!$U$4:$U$503,(_calc!$E$577-500))))=0,"","Registered: "&amp;IF(LEN(INDEX('My equipment'!$U$4:$U$503,(_calc!$E$577-500)))=0,"",INDEX('My equipment'!$U$4:$U$503,(_calc!$E$577-500)))&amp;". ")&amp;IF(LEN(IF(LEN(INDEX('My equipment'!$V$4:$V$503,(_calc!$E$577-500)))=0,"",INDEX('My equipment'!$V$4:$V$503,(_calc!$E$577-500))))=0,"","Proof on file: "&amp;IF(LEN(INDEX('My equipment'!$V$4:$V$503,(_calc!$E$577-500)))=0,"",INDEX('My equipment'!$V$4:$V$503,(_calc!$E$577-500)))&amp;". ")&amp;IF(LEN(IF(LEN(INDEX('My equipment'!$W$4:$W$503,(_calc!$E$577-500)))=0,"",INDEX('My equipment'!$W$4:$W$503,(_calc!$E$577-500))))=0,"","Claim ref: "&amp;IF(LEN(INDEX('My equipment'!$W$4:$W$503,(_calc!$E$577-500)))=0,"",INDEX('My equipment'!$W$4:$W$503,(_calc!$E$577-500)))&amp;". ")&amp;IF(LEN(IF(LEN(INDEX('My equipment'!$Y$4:$Y$503,(_calc!$E$577-500)))=0,"",INDEX('My equipment'!$Y$4:$Y$503,(_calc!$E$577-500))))=0,"",IF(LEN(INDEX('My equipment'!$Y$4:$Y$503,(_calc!$E$577-500)))=0,"",INDEX('My equipment'!$Y$4:$Y$503,(_calc!$E$577-500)))))))</f>
        <v/>
      </c>
      <c r="G575" s="54">
        <f>IF(_calc!$E$577="","",IF(_calc!$E$577&lt;=500,"",IF(LEN(INDEX('My equipment'!$X$4:$X$503,(_calc!$E$577-500)))=0,"",INDEX('My equipment'!$X$4:$X$503,(_calc!$E$577-500)))))</f>
        <v/>
      </c>
      <c r="K575" s="54">
        <f>IF(_calc!$E$577="","",IF(_calc!$E$577&lt;=500,"",IF(LEN(INDEX('My equipment'!$T$4:$T$503,(_calc!$E$577-500)))=0,"",INDEX('My equipment'!$T$4:$T$503,(_calc!$E$577-500)))))</f>
        <v/>
      </c>
    </row>
    <row r="576">
      <c r="A576" s="54">
        <f>IF(_calc!$E$578="","",IF(_calc!$E$578&lt;=500,"Warranty – "&amp;IF(LEN(INDEX('Dealer pipeline'!$C$4:$C$503,_calc!$E$578))=0,"",INDEX('Dealer pipeline'!$C$4:$C$503,_calc!$E$578))&amp;" – "&amp;IF(LEN(INDEX('Dealer pipeline'!$D$4:$D$503,_calc!$E$578))=0,"",INDEX('Dealer pipeline'!$D$4:$D$503,_calc!$E$578))&amp;" – "&amp;IF(LEN(INDEX('Dealer pipeline'!$A$4:$A$503,_calc!$E$578))=0,"",INDEX('Dealer pipeline'!$A$4:$A$503,_calc!$E$578)),"Warranty – "&amp;IF(LEN(INDEX('My equipment'!$A$4:$A$503,(_calc!$E$578-500)))=0,"",INDEX('My equipment'!$A$4:$A$503,(_calc!$E$578-500)))&amp;" – "&amp;IF(LEN(INDEX('My equipment'!$D$4:$D$503,(_calc!$E$578-500)))=0,"",INDEX('My equipment'!$D$4:$D$503,(_calc!$E$578-500)))))</f>
        <v/>
      </c>
      <c r="B576" s="54">
        <f>IF(_calc!$E$578="","",IF(_calc!$E$578&lt;=500,IF(ISNUMBER(INDEX('Dealer pipeline'!$M$4:$M$503,_calc!$E$578)),TEXT(INDEX('Dealer pipeline'!$M$4:$M$503,_calc!$E$578),"yyyy-mm-dd"),""),IF(ISNUMBER(INDEX('My equipment'!$M$4:$M$503,(_calc!$E$578-500))),TEXT(INDEX('My equipment'!$M$4:$M$503,(_calc!$E$578-500)),"yyyy-mm-dd"),"")))</f>
        <v/>
      </c>
      <c r="C576" s="54">
        <f>IF(_calc!$E$578="","",IF(_calc!$E$578&lt;=500,"Warranty","Warranty"))</f>
        <v/>
      </c>
      <c r="D576" s="54">
        <f>IF(_calc!$E$578="","",IF(_calc!$E$578&lt;=500,IF(ISNUMBER(INDEX('Dealer pipeline'!$H$4:$H$503,_calc!$E$578)),TEXT(INDEX('Dealer pipeline'!$H$4:$H$503,_calc!$E$578),"yyyy-mm-dd"),""),IF(ISNUMBER(INDEX('My equipment'!$H$4:$H$503,(_calc!$E$578-500))),TEXT(INDEX('My equipment'!$H$4:$H$503,(_calc!$E$578-500)),"yyyy-mm-dd"),"")))</f>
        <v/>
      </c>
      <c r="F576" s="54">
        <f>IF(_calc!$E$578="","",IF(_calc!$E$578&lt;=500,TRIM(IF(LEN(IF(LEN(INDEX('Dealer pipeline'!$A$4:$A$503,_calc!$E$578))=0,"",INDEX('Dealer pipeline'!$A$4:$A$503,_calc!$E$578)))=0,"","Customer: "&amp;IF(LEN(INDEX('Dealer pipeline'!$A$4:$A$503,_calc!$E$578))=0,"",INDEX('Dealer pipeline'!$A$4:$A$503,_calc!$E$578))&amp;". ")&amp;IF(LEN(IF(LEN(INDEX('Dealer pipeline'!$B$4:$B$503,_calc!$E$578))=0,"",INDEX('Dealer pipeline'!$B$4:$B$503,_calc!$E$578)))=0,"","Contact: "&amp;IF(LEN(INDEX('Dealer pipeline'!$B$4:$B$503,_calc!$E$578))=0,"",INDEX('Dealer pipeline'!$B$4:$B$503,_calc!$E$578))&amp;". ")&amp;IF(LEN(IF(LEN(INDEX('Dealer pipeline'!$D$4:$D$503,_calc!$E$578))=0,"",INDEX('Dealer pipeline'!$D$4:$D$503,_calc!$E$578)))=0,"","Serial: "&amp;IF(LEN(INDEX('Dealer pipeline'!$D$4:$D$503,_calc!$E$578))=0,"",INDEX('Dealer pipeline'!$D$4:$D$503,_calc!$E$578))&amp;". ")&amp;IF(LEN(IF(ISNUMBER(INDEX('Dealer pipeline'!$J$4:$J$503,_calc!$E$578)),TEXT(INDEX('Dealer pipeline'!$J$4:$J$503,_calc!$E$578),"yyyy-mm-dd"),""))=0,"","Parts end: "&amp;IF(ISNUMBER(INDEX('Dealer pipeline'!$J$4:$J$503,_calc!$E$578)),TEXT(INDEX('Dealer pipeline'!$J$4:$J$503,_calc!$E$578),"yyyy-mm-dd"),"")&amp;". ")&amp;IF(LEN(IF(ISNUMBER(INDEX('Dealer pipeline'!$L$4:$L$503,_calc!$E$578)),TEXT(INDEX('Dealer pipeline'!$L$4:$L$503,_calc!$E$578),"yyyy-mm-dd"),""))=0,"","Labor end: "&amp;IF(ISNUMBER(INDEX('Dealer pipeline'!$L$4:$L$503,_calc!$E$578)),TEXT(INDEX('Dealer pipeline'!$L$4:$L$503,_calc!$E$578),"yyyy-mm-dd"),"")&amp;". ")&amp;IF(LEN(IF(LEN(INDEX('Dealer pipeline'!$Q$4:$Q$503,_calc!$E$578))=0,"",INDEX('Dealer pipeline'!$Q$4:$Q$503,_calc!$E$578)))=0,"","Status: "&amp;IF(LEN(INDEX('Dealer pipeline'!$Q$4:$Q$503,_calc!$E$578))=0,"",INDEX('Dealer pipeline'!$Q$4:$Q$503,_calc!$E$578))&amp;". ")&amp;IF(LEN(IF(LEN(INDEX('Dealer pipeline'!$P$4:$P$503,_calc!$E$578))=0,"",INDEX('Dealer pipeline'!$P$4:$P$503,_calc!$E$578)))=0,"","Last touch: "&amp;IF(LEN(INDEX('Dealer pipeline'!$P$4:$P$503,_calc!$E$578))=0,"",INDEX('Dealer pipeline'!$P$4:$P$503,_calc!$E$578))&amp;". ")&amp;IF(LEN(IF(LEN(INDEX('Dealer pipeline'!$R$4:$R$503,_calc!$E$578))=0,"",INDEX('Dealer pipeline'!$R$4:$R$503,_calc!$E$578)))=0,"","Owner: "&amp;IF(LEN(INDEX('Dealer pipeline'!$R$4:$R$503,_calc!$E$578))=0,"",INDEX('Dealer pipeline'!$R$4:$R$503,_calc!$E$578))&amp;". ")&amp;IF(LEN(IF(LEN(INDEX('Dealer pipeline'!$S$4:$S$503,_calc!$E$578))=0,"",INDEX('Dealer pipeline'!$S$4:$S$503,_calc!$E$578)))=0,"","Backup: "&amp;IF(LEN(INDEX('Dealer pipeline'!$S$4:$S$503,_calc!$E$578))=0,"",INDEX('Dealer pipeline'!$S$4:$S$503,_calc!$E$578))&amp;". ")&amp;IF(LEN(IF(LEN(INDEX('Dealer pipeline'!$T$4:$T$503,_calc!$E$578))=0,"",INDEX('Dealer pipeline'!$T$4:$T$503,_calc!$E$578)))=0,"",IF(LEN(INDEX('Dealer pipeline'!$T$4:$T$503,_calc!$E$578))=0,"",INDEX('Dealer pipeline'!$T$4:$T$503,_calc!$E$578)))),TRIM(IF(LEN(IF(LEN(INDEX('My equipment'!$C$4:$C$503,(_calc!$E$578-500)))=0,"",INDEX('My equipment'!$C$4:$C$503,(_calc!$E$578-500))))=0,"","Model: "&amp;IF(LEN(INDEX('My equipment'!$C$4:$C$503,(_calc!$E$578-500)))=0,"",INDEX('My equipment'!$C$4:$C$503,(_calc!$E$578-500)))&amp;". ")&amp;IF(LEN(IF(LEN(INDEX('My equipment'!$D$4:$D$503,(_calc!$E$578-500)))=0,"",INDEX('My equipment'!$D$4:$D$503,(_calc!$E$578-500))))=0,"","Serial: "&amp;IF(LEN(INDEX('My equipment'!$D$4:$D$503,(_calc!$E$578-500)))=0,"",INDEX('My equipment'!$D$4:$D$503,(_calc!$E$578-500)))&amp;". ")&amp;IF(LEN(IF(ISNUMBER(INDEX('My equipment'!$J$4:$J$503,(_calc!$E$578-500))),TEXT(INDEX('My equipment'!$J$4:$J$503,(_calc!$E$578-500)),"yyyy-mm-dd"),""))=0,"","Parts end: "&amp;IF(ISNUMBER(INDEX('My equipment'!$J$4:$J$503,(_calc!$E$578-500))),TEXT(INDEX('My equipment'!$J$4:$J$503,(_calc!$E$578-500)),"yyyy-mm-dd"),"")&amp;". ")&amp;IF(LEN(IF(ISNUMBER(INDEX('My equipment'!$L$4:$L$503,(_calc!$E$578-500))),TEXT(INDEX('My equipment'!$L$4:$L$503,(_calc!$E$578-500)),"yyyy-mm-dd"),""))=0,"","Labor end: "&amp;IF(ISNUMBER(INDEX('My equipment'!$L$4:$L$503,(_calc!$E$578-500))),TEXT(INDEX('My equipment'!$L$4:$L$503,(_calc!$E$578-500)),"yyyy-mm-dd"),"")&amp;". ")&amp;IF(LEN(IF(ISNUMBER(INDEX('My equipment'!$P$4:$P$503,(_calc!$E$578-500))),TEXT(INDEX('My equipment'!$P$4:$P$503,(_calc!$E$578-500)),"yyyy-mm-dd"),""))=0,"","Check by: "&amp;IF(ISNUMBER(INDEX('My equipment'!$P$4:$P$503,(_calc!$E$578-500))),TEXT(INDEX('My equipment'!$P$4:$P$503,(_calc!$E$578-500)),"yyyy-mm-dd"),"")&amp;". ")&amp;IF(LEN(IF(LEN(INDEX('My equipment'!$Q$4:$Q$503,(_calc!$E$578-500)))=0,"",INDEX('My equipment'!$Q$4:$Q$503,(_calc!$E$578-500))))=0,"","Claim status: "&amp;IF(LEN(INDEX('My equipment'!$Q$4:$Q$503,(_calc!$E$578-500)))=0,"",INDEX('My equipment'!$Q$4:$Q$503,(_calc!$E$578-500)))&amp;". ")&amp;IF(LEN(IF(LEN(INDEX('My equipment'!$R$4:$R$503,(_calc!$E$578-500)))=0,"",INDEX('My equipment'!$R$4:$R$503,(_calc!$E$578-500))))=0,"","Claims contact: "&amp;IF(LEN(INDEX('My equipment'!$R$4:$R$503,(_calc!$E$578-500)))=0,"",INDEX('My equipment'!$R$4:$R$503,(_calc!$E$578-500)))&amp;". ")&amp;IF(LEN(IF(LEN(INDEX('My equipment'!$S$4:$S$503,(_calc!$E$578-500)))=0,"",INDEX('My equipment'!$S$4:$S$503,(_calc!$E$578-500))))=0,"","Claims email: "&amp;IF(LEN(INDEX('My equipment'!$S$4:$S$503,(_calc!$E$578-500)))=0,"",INDEX('My equipment'!$S$4:$S$503,(_calc!$E$578-500)))&amp;". ")&amp;IF(LEN(IF(LEN(INDEX('My equipment'!$U$4:$U$503,(_calc!$E$578-500)))=0,"",INDEX('My equipment'!$U$4:$U$503,(_calc!$E$578-500))))=0,"","Registered: "&amp;IF(LEN(INDEX('My equipment'!$U$4:$U$503,(_calc!$E$578-500)))=0,"",INDEX('My equipment'!$U$4:$U$503,(_calc!$E$578-500)))&amp;". ")&amp;IF(LEN(IF(LEN(INDEX('My equipment'!$V$4:$V$503,(_calc!$E$578-500)))=0,"",INDEX('My equipment'!$V$4:$V$503,(_calc!$E$578-500))))=0,"","Proof on file: "&amp;IF(LEN(INDEX('My equipment'!$V$4:$V$503,(_calc!$E$578-500)))=0,"",INDEX('My equipment'!$V$4:$V$503,(_calc!$E$578-500)))&amp;". ")&amp;IF(LEN(IF(LEN(INDEX('My equipment'!$W$4:$W$503,(_calc!$E$578-500)))=0,"",INDEX('My equipment'!$W$4:$W$503,(_calc!$E$578-500))))=0,"","Claim ref: "&amp;IF(LEN(INDEX('My equipment'!$W$4:$W$503,(_calc!$E$578-500)))=0,"",INDEX('My equipment'!$W$4:$W$503,(_calc!$E$578-500)))&amp;". ")&amp;IF(LEN(IF(LEN(INDEX('My equipment'!$Y$4:$Y$503,(_calc!$E$578-500)))=0,"",INDEX('My equipment'!$Y$4:$Y$503,(_calc!$E$578-500))))=0,"",IF(LEN(INDEX('My equipment'!$Y$4:$Y$503,(_calc!$E$578-500)))=0,"",INDEX('My equipment'!$Y$4:$Y$503,(_calc!$E$578-500)))))))</f>
        <v/>
      </c>
      <c r="G576" s="54">
        <f>IF(_calc!$E$578="","",IF(_calc!$E$578&lt;=500,"",IF(LEN(INDEX('My equipment'!$X$4:$X$503,(_calc!$E$578-500)))=0,"",INDEX('My equipment'!$X$4:$X$503,(_calc!$E$578-500)))))</f>
        <v/>
      </c>
      <c r="K576" s="54">
        <f>IF(_calc!$E$578="","",IF(_calc!$E$578&lt;=500,"",IF(LEN(INDEX('My equipment'!$T$4:$T$503,(_calc!$E$578-500)))=0,"",INDEX('My equipment'!$T$4:$T$503,(_calc!$E$578-500)))))</f>
        <v/>
      </c>
    </row>
    <row r="577">
      <c r="A577" s="54">
        <f>IF(_calc!$E$579="","",IF(_calc!$E$579&lt;=500,"Warranty – "&amp;IF(LEN(INDEX('Dealer pipeline'!$C$4:$C$503,_calc!$E$579))=0,"",INDEX('Dealer pipeline'!$C$4:$C$503,_calc!$E$579))&amp;" – "&amp;IF(LEN(INDEX('Dealer pipeline'!$D$4:$D$503,_calc!$E$579))=0,"",INDEX('Dealer pipeline'!$D$4:$D$503,_calc!$E$579))&amp;" – "&amp;IF(LEN(INDEX('Dealer pipeline'!$A$4:$A$503,_calc!$E$579))=0,"",INDEX('Dealer pipeline'!$A$4:$A$503,_calc!$E$579)),"Warranty – "&amp;IF(LEN(INDEX('My equipment'!$A$4:$A$503,(_calc!$E$579-500)))=0,"",INDEX('My equipment'!$A$4:$A$503,(_calc!$E$579-500)))&amp;" – "&amp;IF(LEN(INDEX('My equipment'!$D$4:$D$503,(_calc!$E$579-500)))=0,"",INDEX('My equipment'!$D$4:$D$503,(_calc!$E$579-500)))))</f>
        <v/>
      </c>
      <c r="B577" s="54">
        <f>IF(_calc!$E$579="","",IF(_calc!$E$579&lt;=500,IF(ISNUMBER(INDEX('Dealer pipeline'!$M$4:$M$503,_calc!$E$579)),TEXT(INDEX('Dealer pipeline'!$M$4:$M$503,_calc!$E$579),"yyyy-mm-dd"),""),IF(ISNUMBER(INDEX('My equipment'!$M$4:$M$503,(_calc!$E$579-500))),TEXT(INDEX('My equipment'!$M$4:$M$503,(_calc!$E$579-500)),"yyyy-mm-dd"),"")))</f>
        <v/>
      </c>
      <c r="C577" s="54">
        <f>IF(_calc!$E$579="","",IF(_calc!$E$579&lt;=500,"Warranty","Warranty"))</f>
        <v/>
      </c>
      <c r="D577" s="54">
        <f>IF(_calc!$E$579="","",IF(_calc!$E$579&lt;=500,IF(ISNUMBER(INDEX('Dealer pipeline'!$H$4:$H$503,_calc!$E$579)),TEXT(INDEX('Dealer pipeline'!$H$4:$H$503,_calc!$E$579),"yyyy-mm-dd"),""),IF(ISNUMBER(INDEX('My equipment'!$H$4:$H$503,(_calc!$E$579-500))),TEXT(INDEX('My equipment'!$H$4:$H$503,(_calc!$E$579-500)),"yyyy-mm-dd"),"")))</f>
        <v/>
      </c>
      <c r="F577" s="54">
        <f>IF(_calc!$E$579="","",IF(_calc!$E$579&lt;=500,TRIM(IF(LEN(IF(LEN(INDEX('Dealer pipeline'!$A$4:$A$503,_calc!$E$579))=0,"",INDEX('Dealer pipeline'!$A$4:$A$503,_calc!$E$579)))=0,"","Customer: "&amp;IF(LEN(INDEX('Dealer pipeline'!$A$4:$A$503,_calc!$E$579))=0,"",INDEX('Dealer pipeline'!$A$4:$A$503,_calc!$E$579))&amp;". ")&amp;IF(LEN(IF(LEN(INDEX('Dealer pipeline'!$B$4:$B$503,_calc!$E$579))=0,"",INDEX('Dealer pipeline'!$B$4:$B$503,_calc!$E$579)))=0,"","Contact: "&amp;IF(LEN(INDEX('Dealer pipeline'!$B$4:$B$503,_calc!$E$579))=0,"",INDEX('Dealer pipeline'!$B$4:$B$503,_calc!$E$579))&amp;". ")&amp;IF(LEN(IF(LEN(INDEX('Dealer pipeline'!$D$4:$D$503,_calc!$E$579))=0,"",INDEX('Dealer pipeline'!$D$4:$D$503,_calc!$E$579)))=0,"","Serial: "&amp;IF(LEN(INDEX('Dealer pipeline'!$D$4:$D$503,_calc!$E$579))=0,"",INDEX('Dealer pipeline'!$D$4:$D$503,_calc!$E$579))&amp;". ")&amp;IF(LEN(IF(ISNUMBER(INDEX('Dealer pipeline'!$J$4:$J$503,_calc!$E$579)),TEXT(INDEX('Dealer pipeline'!$J$4:$J$503,_calc!$E$579),"yyyy-mm-dd"),""))=0,"","Parts end: "&amp;IF(ISNUMBER(INDEX('Dealer pipeline'!$J$4:$J$503,_calc!$E$579)),TEXT(INDEX('Dealer pipeline'!$J$4:$J$503,_calc!$E$579),"yyyy-mm-dd"),"")&amp;". ")&amp;IF(LEN(IF(ISNUMBER(INDEX('Dealer pipeline'!$L$4:$L$503,_calc!$E$579)),TEXT(INDEX('Dealer pipeline'!$L$4:$L$503,_calc!$E$579),"yyyy-mm-dd"),""))=0,"","Labor end: "&amp;IF(ISNUMBER(INDEX('Dealer pipeline'!$L$4:$L$503,_calc!$E$579)),TEXT(INDEX('Dealer pipeline'!$L$4:$L$503,_calc!$E$579),"yyyy-mm-dd"),"")&amp;". ")&amp;IF(LEN(IF(LEN(INDEX('Dealer pipeline'!$Q$4:$Q$503,_calc!$E$579))=0,"",INDEX('Dealer pipeline'!$Q$4:$Q$503,_calc!$E$579)))=0,"","Status: "&amp;IF(LEN(INDEX('Dealer pipeline'!$Q$4:$Q$503,_calc!$E$579))=0,"",INDEX('Dealer pipeline'!$Q$4:$Q$503,_calc!$E$579))&amp;". ")&amp;IF(LEN(IF(LEN(INDEX('Dealer pipeline'!$P$4:$P$503,_calc!$E$579))=0,"",INDEX('Dealer pipeline'!$P$4:$P$503,_calc!$E$579)))=0,"","Last touch: "&amp;IF(LEN(INDEX('Dealer pipeline'!$P$4:$P$503,_calc!$E$579))=0,"",INDEX('Dealer pipeline'!$P$4:$P$503,_calc!$E$579))&amp;". ")&amp;IF(LEN(IF(LEN(INDEX('Dealer pipeline'!$R$4:$R$503,_calc!$E$579))=0,"",INDEX('Dealer pipeline'!$R$4:$R$503,_calc!$E$579)))=0,"","Owner: "&amp;IF(LEN(INDEX('Dealer pipeline'!$R$4:$R$503,_calc!$E$579))=0,"",INDEX('Dealer pipeline'!$R$4:$R$503,_calc!$E$579))&amp;". ")&amp;IF(LEN(IF(LEN(INDEX('Dealer pipeline'!$S$4:$S$503,_calc!$E$579))=0,"",INDEX('Dealer pipeline'!$S$4:$S$503,_calc!$E$579)))=0,"","Backup: "&amp;IF(LEN(INDEX('Dealer pipeline'!$S$4:$S$503,_calc!$E$579))=0,"",INDEX('Dealer pipeline'!$S$4:$S$503,_calc!$E$579))&amp;". ")&amp;IF(LEN(IF(LEN(INDEX('Dealer pipeline'!$T$4:$T$503,_calc!$E$579))=0,"",INDEX('Dealer pipeline'!$T$4:$T$503,_calc!$E$579)))=0,"",IF(LEN(INDEX('Dealer pipeline'!$T$4:$T$503,_calc!$E$579))=0,"",INDEX('Dealer pipeline'!$T$4:$T$503,_calc!$E$579)))),TRIM(IF(LEN(IF(LEN(INDEX('My equipment'!$C$4:$C$503,(_calc!$E$579-500)))=0,"",INDEX('My equipment'!$C$4:$C$503,(_calc!$E$579-500))))=0,"","Model: "&amp;IF(LEN(INDEX('My equipment'!$C$4:$C$503,(_calc!$E$579-500)))=0,"",INDEX('My equipment'!$C$4:$C$503,(_calc!$E$579-500)))&amp;". ")&amp;IF(LEN(IF(LEN(INDEX('My equipment'!$D$4:$D$503,(_calc!$E$579-500)))=0,"",INDEX('My equipment'!$D$4:$D$503,(_calc!$E$579-500))))=0,"","Serial: "&amp;IF(LEN(INDEX('My equipment'!$D$4:$D$503,(_calc!$E$579-500)))=0,"",INDEX('My equipment'!$D$4:$D$503,(_calc!$E$579-500)))&amp;". ")&amp;IF(LEN(IF(ISNUMBER(INDEX('My equipment'!$J$4:$J$503,(_calc!$E$579-500))),TEXT(INDEX('My equipment'!$J$4:$J$503,(_calc!$E$579-500)),"yyyy-mm-dd"),""))=0,"","Parts end: "&amp;IF(ISNUMBER(INDEX('My equipment'!$J$4:$J$503,(_calc!$E$579-500))),TEXT(INDEX('My equipment'!$J$4:$J$503,(_calc!$E$579-500)),"yyyy-mm-dd"),"")&amp;". ")&amp;IF(LEN(IF(ISNUMBER(INDEX('My equipment'!$L$4:$L$503,(_calc!$E$579-500))),TEXT(INDEX('My equipment'!$L$4:$L$503,(_calc!$E$579-500)),"yyyy-mm-dd"),""))=0,"","Labor end: "&amp;IF(ISNUMBER(INDEX('My equipment'!$L$4:$L$503,(_calc!$E$579-500))),TEXT(INDEX('My equipment'!$L$4:$L$503,(_calc!$E$579-500)),"yyyy-mm-dd"),"")&amp;". ")&amp;IF(LEN(IF(ISNUMBER(INDEX('My equipment'!$P$4:$P$503,(_calc!$E$579-500))),TEXT(INDEX('My equipment'!$P$4:$P$503,(_calc!$E$579-500)),"yyyy-mm-dd"),""))=0,"","Check by: "&amp;IF(ISNUMBER(INDEX('My equipment'!$P$4:$P$503,(_calc!$E$579-500))),TEXT(INDEX('My equipment'!$P$4:$P$503,(_calc!$E$579-500)),"yyyy-mm-dd"),"")&amp;". ")&amp;IF(LEN(IF(LEN(INDEX('My equipment'!$Q$4:$Q$503,(_calc!$E$579-500)))=0,"",INDEX('My equipment'!$Q$4:$Q$503,(_calc!$E$579-500))))=0,"","Claim status: "&amp;IF(LEN(INDEX('My equipment'!$Q$4:$Q$503,(_calc!$E$579-500)))=0,"",INDEX('My equipment'!$Q$4:$Q$503,(_calc!$E$579-500)))&amp;". ")&amp;IF(LEN(IF(LEN(INDEX('My equipment'!$R$4:$R$503,(_calc!$E$579-500)))=0,"",INDEX('My equipment'!$R$4:$R$503,(_calc!$E$579-500))))=0,"","Claims contact: "&amp;IF(LEN(INDEX('My equipment'!$R$4:$R$503,(_calc!$E$579-500)))=0,"",INDEX('My equipment'!$R$4:$R$503,(_calc!$E$579-500)))&amp;". ")&amp;IF(LEN(IF(LEN(INDEX('My equipment'!$S$4:$S$503,(_calc!$E$579-500)))=0,"",INDEX('My equipment'!$S$4:$S$503,(_calc!$E$579-500))))=0,"","Claims email: "&amp;IF(LEN(INDEX('My equipment'!$S$4:$S$503,(_calc!$E$579-500)))=0,"",INDEX('My equipment'!$S$4:$S$503,(_calc!$E$579-500)))&amp;". ")&amp;IF(LEN(IF(LEN(INDEX('My equipment'!$U$4:$U$503,(_calc!$E$579-500)))=0,"",INDEX('My equipment'!$U$4:$U$503,(_calc!$E$579-500))))=0,"","Registered: "&amp;IF(LEN(INDEX('My equipment'!$U$4:$U$503,(_calc!$E$579-500)))=0,"",INDEX('My equipment'!$U$4:$U$503,(_calc!$E$579-500)))&amp;". ")&amp;IF(LEN(IF(LEN(INDEX('My equipment'!$V$4:$V$503,(_calc!$E$579-500)))=0,"",INDEX('My equipment'!$V$4:$V$503,(_calc!$E$579-500))))=0,"","Proof on file: "&amp;IF(LEN(INDEX('My equipment'!$V$4:$V$503,(_calc!$E$579-500)))=0,"",INDEX('My equipment'!$V$4:$V$503,(_calc!$E$579-500)))&amp;". ")&amp;IF(LEN(IF(LEN(INDEX('My equipment'!$W$4:$W$503,(_calc!$E$579-500)))=0,"",INDEX('My equipment'!$W$4:$W$503,(_calc!$E$579-500))))=0,"","Claim ref: "&amp;IF(LEN(INDEX('My equipment'!$W$4:$W$503,(_calc!$E$579-500)))=0,"",INDEX('My equipment'!$W$4:$W$503,(_calc!$E$579-500)))&amp;". ")&amp;IF(LEN(IF(LEN(INDEX('My equipment'!$Y$4:$Y$503,(_calc!$E$579-500)))=0,"",INDEX('My equipment'!$Y$4:$Y$503,(_calc!$E$579-500))))=0,"",IF(LEN(INDEX('My equipment'!$Y$4:$Y$503,(_calc!$E$579-500)))=0,"",INDEX('My equipment'!$Y$4:$Y$503,(_calc!$E$579-500)))))))</f>
        <v/>
      </c>
      <c r="G577" s="54">
        <f>IF(_calc!$E$579="","",IF(_calc!$E$579&lt;=500,"",IF(LEN(INDEX('My equipment'!$X$4:$X$503,(_calc!$E$579-500)))=0,"",INDEX('My equipment'!$X$4:$X$503,(_calc!$E$579-500)))))</f>
        <v/>
      </c>
      <c r="K577" s="54">
        <f>IF(_calc!$E$579="","",IF(_calc!$E$579&lt;=500,"",IF(LEN(INDEX('My equipment'!$T$4:$T$503,(_calc!$E$579-500)))=0,"",INDEX('My equipment'!$T$4:$T$503,(_calc!$E$579-500)))))</f>
        <v/>
      </c>
    </row>
    <row r="578">
      <c r="A578" s="54">
        <f>IF(_calc!$E$580="","",IF(_calc!$E$580&lt;=500,"Warranty – "&amp;IF(LEN(INDEX('Dealer pipeline'!$C$4:$C$503,_calc!$E$580))=0,"",INDEX('Dealer pipeline'!$C$4:$C$503,_calc!$E$580))&amp;" – "&amp;IF(LEN(INDEX('Dealer pipeline'!$D$4:$D$503,_calc!$E$580))=0,"",INDEX('Dealer pipeline'!$D$4:$D$503,_calc!$E$580))&amp;" – "&amp;IF(LEN(INDEX('Dealer pipeline'!$A$4:$A$503,_calc!$E$580))=0,"",INDEX('Dealer pipeline'!$A$4:$A$503,_calc!$E$580)),"Warranty – "&amp;IF(LEN(INDEX('My equipment'!$A$4:$A$503,(_calc!$E$580-500)))=0,"",INDEX('My equipment'!$A$4:$A$503,(_calc!$E$580-500)))&amp;" – "&amp;IF(LEN(INDEX('My equipment'!$D$4:$D$503,(_calc!$E$580-500)))=0,"",INDEX('My equipment'!$D$4:$D$503,(_calc!$E$580-500)))))</f>
        <v/>
      </c>
      <c r="B578" s="54">
        <f>IF(_calc!$E$580="","",IF(_calc!$E$580&lt;=500,IF(ISNUMBER(INDEX('Dealer pipeline'!$M$4:$M$503,_calc!$E$580)),TEXT(INDEX('Dealer pipeline'!$M$4:$M$503,_calc!$E$580),"yyyy-mm-dd"),""),IF(ISNUMBER(INDEX('My equipment'!$M$4:$M$503,(_calc!$E$580-500))),TEXT(INDEX('My equipment'!$M$4:$M$503,(_calc!$E$580-500)),"yyyy-mm-dd"),"")))</f>
        <v/>
      </c>
      <c r="C578" s="54">
        <f>IF(_calc!$E$580="","",IF(_calc!$E$580&lt;=500,"Warranty","Warranty"))</f>
        <v/>
      </c>
      <c r="D578" s="54">
        <f>IF(_calc!$E$580="","",IF(_calc!$E$580&lt;=500,IF(ISNUMBER(INDEX('Dealer pipeline'!$H$4:$H$503,_calc!$E$580)),TEXT(INDEX('Dealer pipeline'!$H$4:$H$503,_calc!$E$580),"yyyy-mm-dd"),""),IF(ISNUMBER(INDEX('My equipment'!$H$4:$H$503,(_calc!$E$580-500))),TEXT(INDEX('My equipment'!$H$4:$H$503,(_calc!$E$580-500)),"yyyy-mm-dd"),"")))</f>
        <v/>
      </c>
      <c r="F578" s="54">
        <f>IF(_calc!$E$580="","",IF(_calc!$E$580&lt;=500,TRIM(IF(LEN(IF(LEN(INDEX('Dealer pipeline'!$A$4:$A$503,_calc!$E$580))=0,"",INDEX('Dealer pipeline'!$A$4:$A$503,_calc!$E$580)))=0,"","Customer: "&amp;IF(LEN(INDEX('Dealer pipeline'!$A$4:$A$503,_calc!$E$580))=0,"",INDEX('Dealer pipeline'!$A$4:$A$503,_calc!$E$580))&amp;". ")&amp;IF(LEN(IF(LEN(INDEX('Dealer pipeline'!$B$4:$B$503,_calc!$E$580))=0,"",INDEX('Dealer pipeline'!$B$4:$B$503,_calc!$E$580)))=0,"","Contact: "&amp;IF(LEN(INDEX('Dealer pipeline'!$B$4:$B$503,_calc!$E$580))=0,"",INDEX('Dealer pipeline'!$B$4:$B$503,_calc!$E$580))&amp;". ")&amp;IF(LEN(IF(LEN(INDEX('Dealer pipeline'!$D$4:$D$503,_calc!$E$580))=0,"",INDEX('Dealer pipeline'!$D$4:$D$503,_calc!$E$580)))=0,"","Serial: "&amp;IF(LEN(INDEX('Dealer pipeline'!$D$4:$D$503,_calc!$E$580))=0,"",INDEX('Dealer pipeline'!$D$4:$D$503,_calc!$E$580))&amp;". ")&amp;IF(LEN(IF(ISNUMBER(INDEX('Dealer pipeline'!$J$4:$J$503,_calc!$E$580)),TEXT(INDEX('Dealer pipeline'!$J$4:$J$503,_calc!$E$580),"yyyy-mm-dd"),""))=0,"","Parts end: "&amp;IF(ISNUMBER(INDEX('Dealer pipeline'!$J$4:$J$503,_calc!$E$580)),TEXT(INDEX('Dealer pipeline'!$J$4:$J$503,_calc!$E$580),"yyyy-mm-dd"),"")&amp;". ")&amp;IF(LEN(IF(ISNUMBER(INDEX('Dealer pipeline'!$L$4:$L$503,_calc!$E$580)),TEXT(INDEX('Dealer pipeline'!$L$4:$L$503,_calc!$E$580),"yyyy-mm-dd"),""))=0,"","Labor end: "&amp;IF(ISNUMBER(INDEX('Dealer pipeline'!$L$4:$L$503,_calc!$E$580)),TEXT(INDEX('Dealer pipeline'!$L$4:$L$503,_calc!$E$580),"yyyy-mm-dd"),"")&amp;". ")&amp;IF(LEN(IF(LEN(INDEX('Dealer pipeline'!$Q$4:$Q$503,_calc!$E$580))=0,"",INDEX('Dealer pipeline'!$Q$4:$Q$503,_calc!$E$580)))=0,"","Status: "&amp;IF(LEN(INDEX('Dealer pipeline'!$Q$4:$Q$503,_calc!$E$580))=0,"",INDEX('Dealer pipeline'!$Q$4:$Q$503,_calc!$E$580))&amp;". ")&amp;IF(LEN(IF(LEN(INDEX('Dealer pipeline'!$P$4:$P$503,_calc!$E$580))=0,"",INDEX('Dealer pipeline'!$P$4:$P$503,_calc!$E$580)))=0,"","Last touch: "&amp;IF(LEN(INDEX('Dealer pipeline'!$P$4:$P$503,_calc!$E$580))=0,"",INDEX('Dealer pipeline'!$P$4:$P$503,_calc!$E$580))&amp;". ")&amp;IF(LEN(IF(LEN(INDEX('Dealer pipeline'!$R$4:$R$503,_calc!$E$580))=0,"",INDEX('Dealer pipeline'!$R$4:$R$503,_calc!$E$580)))=0,"","Owner: "&amp;IF(LEN(INDEX('Dealer pipeline'!$R$4:$R$503,_calc!$E$580))=0,"",INDEX('Dealer pipeline'!$R$4:$R$503,_calc!$E$580))&amp;". ")&amp;IF(LEN(IF(LEN(INDEX('Dealer pipeline'!$S$4:$S$503,_calc!$E$580))=0,"",INDEX('Dealer pipeline'!$S$4:$S$503,_calc!$E$580)))=0,"","Backup: "&amp;IF(LEN(INDEX('Dealer pipeline'!$S$4:$S$503,_calc!$E$580))=0,"",INDEX('Dealer pipeline'!$S$4:$S$503,_calc!$E$580))&amp;". ")&amp;IF(LEN(IF(LEN(INDEX('Dealer pipeline'!$T$4:$T$503,_calc!$E$580))=0,"",INDEX('Dealer pipeline'!$T$4:$T$503,_calc!$E$580)))=0,"",IF(LEN(INDEX('Dealer pipeline'!$T$4:$T$503,_calc!$E$580))=0,"",INDEX('Dealer pipeline'!$T$4:$T$503,_calc!$E$580)))),TRIM(IF(LEN(IF(LEN(INDEX('My equipment'!$C$4:$C$503,(_calc!$E$580-500)))=0,"",INDEX('My equipment'!$C$4:$C$503,(_calc!$E$580-500))))=0,"","Model: "&amp;IF(LEN(INDEX('My equipment'!$C$4:$C$503,(_calc!$E$580-500)))=0,"",INDEX('My equipment'!$C$4:$C$503,(_calc!$E$580-500)))&amp;". ")&amp;IF(LEN(IF(LEN(INDEX('My equipment'!$D$4:$D$503,(_calc!$E$580-500)))=0,"",INDEX('My equipment'!$D$4:$D$503,(_calc!$E$580-500))))=0,"","Serial: "&amp;IF(LEN(INDEX('My equipment'!$D$4:$D$503,(_calc!$E$580-500)))=0,"",INDEX('My equipment'!$D$4:$D$503,(_calc!$E$580-500)))&amp;". ")&amp;IF(LEN(IF(ISNUMBER(INDEX('My equipment'!$J$4:$J$503,(_calc!$E$580-500))),TEXT(INDEX('My equipment'!$J$4:$J$503,(_calc!$E$580-500)),"yyyy-mm-dd"),""))=0,"","Parts end: "&amp;IF(ISNUMBER(INDEX('My equipment'!$J$4:$J$503,(_calc!$E$580-500))),TEXT(INDEX('My equipment'!$J$4:$J$503,(_calc!$E$580-500)),"yyyy-mm-dd"),"")&amp;". ")&amp;IF(LEN(IF(ISNUMBER(INDEX('My equipment'!$L$4:$L$503,(_calc!$E$580-500))),TEXT(INDEX('My equipment'!$L$4:$L$503,(_calc!$E$580-500)),"yyyy-mm-dd"),""))=0,"","Labor end: "&amp;IF(ISNUMBER(INDEX('My equipment'!$L$4:$L$503,(_calc!$E$580-500))),TEXT(INDEX('My equipment'!$L$4:$L$503,(_calc!$E$580-500)),"yyyy-mm-dd"),"")&amp;". ")&amp;IF(LEN(IF(ISNUMBER(INDEX('My equipment'!$P$4:$P$503,(_calc!$E$580-500))),TEXT(INDEX('My equipment'!$P$4:$P$503,(_calc!$E$580-500)),"yyyy-mm-dd"),""))=0,"","Check by: "&amp;IF(ISNUMBER(INDEX('My equipment'!$P$4:$P$503,(_calc!$E$580-500))),TEXT(INDEX('My equipment'!$P$4:$P$503,(_calc!$E$580-500)),"yyyy-mm-dd"),"")&amp;". ")&amp;IF(LEN(IF(LEN(INDEX('My equipment'!$Q$4:$Q$503,(_calc!$E$580-500)))=0,"",INDEX('My equipment'!$Q$4:$Q$503,(_calc!$E$580-500))))=0,"","Claim status: "&amp;IF(LEN(INDEX('My equipment'!$Q$4:$Q$503,(_calc!$E$580-500)))=0,"",INDEX('My equipment'!$Q$4:$Q$503,(_calc!$E$580-500)))&amp;". ")&amp;IF(LEN(IF(LEN(INDEX('My equipment'!$R$4:$R$503,(_calc!$E$580-500)))=0,"",INDEX('My equipment'!$R$4:$R$503,(_calc!$E$580-500))))=0,"","Claims contact: "&amp;IF(LEN(INDEX('My equipment'!$R$4:$R$503,(_calc!$E$580-500)))=0,"",INDEX('My equipment'!$R$4:$R$503,(_calc!$E$580-500)))&amp;". ")&amp;IF(LEN(IF(LEN(INDEX('My equipment'!$S$4:$S$503,(_calc!$E$580-500)))=0,"",INDEX('My equipment'!$S$4:$S$503,(_calc!$E$580-500))))=0,"","Claims email: "&amp;IF(LEN(INDEX('My equipment'!$S$4:$S$503,(_calc!$E$580-500)))=0,"",INDEX('My equipment'!$S$4:$S$503,(_calc!$E$580-500)))&amp;". ")&amp;IF(LEN(IF(LEN(INDEX('My equipment'!$U$4:$U$503,(_calc!$E$580-500)))=0,"",INDEX('My equipment'!$U$4:$U$503,(_calc!$E$580-500))))=0,"","Registered: "&amp;IF(LEN(INDEX('My equipment'!$U$4:$U$503,(_calc!$E$580-500)))=0,"",INDEX('My equipment'!$U$4:$U$503,(_calc!$E$580-500)))&amp;". ")&amp;IF(LEN(IF(LEN(INDEX('My equipment'!$V$4:$V$503,(_calc!$E$580-500)))=0,"",INDEX('My equipment'!$V$4:$V$503,(_calc!$E$580-500))))=0,"","Proof on file: "&amp;IF(LEN(INDEX('My equipment'!$V$4:$V$503,(_calc!$E$580-500)))=0,"",INDEX('My equipment'!$V$4:$V$503,(_calc!$E$580-500)))&amp;". ")&amp;IF(LEN(IF(LEN(INDEX('My equipment'!$W$4:$W$503,(_calc!$E$580-500)))=0,"",INDEX('My equipment'!$W$4:$W$503,(_calc!$E$580-500))))=0,"","Claim ref: "&amp;IF(LEN(INDEX('My equipment'!$W$4:$W$503,(_calc!$E$580-500)))=0,"",INDEX('My equipment'!$W$4:$W$503,(_calc!$E$580-500)))&amp;". ")&amp;IF(LEN(IF(LEN(INDEX('My equipment'!$Y$4:$Y$503,(_calc!$E$580-500)))=0,"",INDEX('My equipment'!$Y$4:$Y$503,(_calc!$E$580-500))))=0,"",IF(LEN(INDEX('My equipment'!$Y$4:$Y$503,(_calc!$E$580-500)))=0,"",INDEX('My equipment'!$Y$4:$Y$503,(_calc!$E$580-500)))))))</f>
        <v/>
      </c>
      <c r="G578" s="54">
        <f>IF(_calc!$E$580="","",IF(_calc!$E$580&lt;=500,"",IF(LEN(INDEX('My equipment'!$X$4:$X$503,(_calc!$E$580-500)))=0,"",INDEX('My equipment'!$X$4:$X$503,(_calc!$E$580-500)))))</f>
        <v/>
      </c>
      <c r="K578" s="54">
        <f>IF(_calc!$E$580="","",IF(_calc!$E$580&lt;=500,"",IF(LEN(INDEX('My equipment'!$T$4:$T$503,(_calc!$E$580-500)))=0,"",INDEX('My equipment'!$T$4:$T$503,(_calc!$E$580-500)))))</f>
        <v/>
      </c>
    </row>
    <row r="579">
      <c r="A579" s="54">
        <f>IF(_calc!$E$581="","",IF(_calc!$E$581&lt;=500,"Warranty – "&amp;IF(LEN(INDEX('Dealer pipeline'!$C$4:$C$503,_calc!$E$581))=0,"",INDEX('Dealer pipeline'!$C$4:$C$503,_calc!$E$581))&amp;" – "&amp;IF(LEN(INDEX('Dealer pipeline'!$D$4:$D$503,_calc!$E$581))=0,"",INDEX('Dealer pipeline'!$D$4:$D$503,_calc!$E$581))&amp;" – "&amp;IF(LEN(INDEX('Dealer pipeline'!$A$4:$A$503,_calc!$E$581))=0,"",INDEX('Dealer pipeline'!$A$4:$A$503,_calc!$E$581)),"Warranty – "&amp;IF(LEN(INDEX('My equipment'!$A$4:$A$503,(_calc!$E$581-500)))=0,"",INDEX('My equipment'!$A$4:$A$503,(_calc!$E$581-500)))&amp;" – "&amp;IF(LEN(INDEX('My equipment'!$D$4:$D$503,(_calc!$E$581-500)))=0,"",INDEX('My equipment'!$D$4:$D$503,(_calc!$E$581-500)))))</f>
        <v/>
      </c>
      <c r="B579" s="54">
        <f>IF(_calc!$E$581="","",IF(_calc!$E$581&lt;=500,IF(ISNUMBER(INDEX('Dealer pipeline'!$M$4:$M$503,_calc!$E$581)),TEXT(INDEX('Dealer pipeline'!$M$4:$M$503,_calc!$E$581),"yyyy-mm-dd"),""),IF(ISNUMBER(INDEX('My equipment'!$M$4:$M$503,(_calc!$E$581-500))),TEXT(INDEX('My equipment'!$M$4:$M$503,(_calc!$E$581-500)),"yyyy-mm-dd"),"")))</f>
        <v/>
      </c>
      <c r="C579" s="54">
        <f>IF(_calc!$E$581="","",IF(_calc!$E$581&lt;=500,"Warranty","Warranty"))</f>
        <v/>
      </c>
      <c r="D579" s="54">
        <f>IF(_calc!$E$581="","",IF(_calc!$E$581&lt;=500,IF(ISNUMBER(INDEX('Dealer pipeline'!$H$4:$H$503,_calc!$E$581)),TEXT(INDEX('Dealer pipeline'!$H$4:$H$503,_calc!$E$581),"yyyy-mm-dd"),""),IF(ISNUMBER(INDEX('My equipment'!$H$4:$H$503,(_calc!$E$581-500))),TEXT(INDEX('My equipment'!$H$4:$H$503,(_calc!$E$581-500)),"yyyy-mm-dd"),"")))</f>
        <v/>
      </c>
      <c r="F579" s="54">
        <f>IF(_calc!$E$581="","",IF(_calc!$E$581&lt;=500,TRIM(IF(LEN(IF(LEN(INDEX('Dealer pipeline'!$A$4:$A$503,_calc!$E$581))=0,"",INDEX('Dealer pipeline'!$A$4:$A$503,_calc!$E$581)))=0,"","Customer: "&amp;IF(LEN(INDEX('Dealer pipeline'!$A$4:$A$503,_calc!$E$581))=0,"",INDEX('Dealer pipeline'!$A$4:$A$503,_calc!$E$581))&amp;". ")&amp;IF(LEN(IF(LEN(INDEX('Dealer pipeline'!$B$4:$B$503,_calc!$E$581))=0,"",INDEX('Dealer pipeline'!$B$4:$B$503,_calc!$E$581)))=0,"","Contact: "&amp;IF(LEN(INDEX('Dealer pipeline'!$B$4:$B$503,_calc!$E$581))=0,"",INDEX('Dealer pipeline'!$B$4:$B$503,_calc!$E$581))&amp;". ")&amp;IF(LEN(IF(LEN(INDEX('Dealer pipeline'!$D$4:$D$503,_calc!$E$581))=0,"",INDEX('Dealer pipeline'!$D$4:$D$503,_calc!$E$581)))=0,"","Serial: "&amp;IF(LEN(INDEX('Dealer pipeline'!$D$4:$D$503,_calc!$E$581))=0,"",INDEX('Dealer pipeline'!$D$4:$D$503,_calc!$E$581))&amp;". ")&amp;IF(LEN(IF(ISNUMBER(INDEX('Dealer pipeline'!$J$4:$J$503,_calc!$E$581)),TEXT(INDEX('Dealer pipeline'!$J$4:$J$503,_calc!$E$581),"yyyy-mm-dd"),""))=0,"","Parts end: "&amp;IF(ISNUMBER(INDEX('Dealer pipeline'!$J$4:$J$503,_calc!$E$581)),TEXT(INDEX('Dealer pipeline'!$J$4:$J$503,_calc!$E$581),"yyyy-mm-dd"),"")&amp;". ")&amp;IF(LEN(IF(ISNUMBER(INDEX('Dealer pipeline'!$L$4:$L$503,_calc!$E$581)),TEXT(INDEX('Dealer pipeline'!$L$4:$L$503,_calc!$E$581),"yyyy-mm-dd"),""))=0,"","Labor end: "&amp;IF(ISNUMBER(INDEX('Dealer pipeline'!$L$4:$L$503,_calc!$E$581)),TEXT(INDEX('Dealer pipeline'!$L$4:$L$503,_calc!$E$581),"yyyy-mm-dd"),"")&amp;". ")&amp;IF(LEN(IF(LEN(INDEX('Dealer pipeline'!$Q$4:$Q$503,_calc!$E$581))=0,"",INDEX('Dealer pipeline'!$Q$4:$Q$503,_calc!$E$581)))=0,"","Status: "&amp;IF(LEN(INDEX('Dealer pipeline'!$Q$4:$Q$503,_calc!$E$581))=0,"",INDEX('Dealer pipeline'!$Q$4:$Q$503,_calc!$E$581))&amp;". ")&amp;IF(LEN(IF(LEN(INDEX('Dealer pipeline'!$P$4:$P$503,_calc!$E$581))=0,"",INDEX('Dealer pipeline'!$P$4:$P$503,_calc!$E$581)))=0,"","Last touch: "&amp;IF(LEN(INDEX('Dealer pipeline'!$P$4:$P$503,_calc!$E$581))=0,"",INDEX('Dealer pipeline'!$P$4:$P$503,_calc!$E$581))&amp;". ")&amp;IF(LEN(IF(LEN(INDEX('Dealer pipeline'!$R$4:$R$503,_calc!$E$581))=0,"",INDEX('Dealer pipeline'!$R$4:$R$503,_calc!$E$581)))=0,"","Owner: "&amp;IF(LEN(INDEX('Dealer pipeline'!$R$4:$R$503,_calc!$E$581))=0,"",INDEX('Dealer pipeline'!$R$4:$R$503,_calc!$E$581))&amp;". ")&amp;IF(LEN(IF(LEN(INDEX('Dealer pipeline'!$S$4:$S$503,_calc!$E$581))=0,"",INDEX('Dealer pipeline'!$S$4:$S$503,_calc!$E$581)))=0,"","Backup: "&amp;IF(LEN(INDEX('Dealer pipeline'!$S$4:$S$503,_calc!$E$581))=0,"",INDEX('Dealer pipeline'!$S$4:$S$503,_calc!$E$581))&amp;". ")&amp;IF(LEN(IF(LEN(INDEX('Dealer pipeline'!$T$4:$T$503,_calc!$E$581))=0,"",INDEX('Dealer pipeline'!$T$4:$T$503,_calc!$E$581)))=0,"",IF(LEN(INDEX('Dealer pipeline'!$T$4:$T$503,_calc!$E$581))=0,"",INDEX('Dealer pipeline'!$T$4:$T$503,_calc!$E$581)))),TRIM(IF(LEN(IF(LEN(INDEX('My equipment'!$C$4:$C$503,(_calc!$E$581-500)))=0,"",INDEX('My equipment'!$C$4:$C$503,(_calc!$E$581-500))))=0,"","Model: "&amp;IF(LEN(INDEX('My equipment'!$C$4:$C$503,(_calc!$E$581-500)))=0,"",INDEX('My equipment'!$C$4:$C$503,(_calc!$E$581-500)))&amp;". ")&amp;IF(LEN(IF(LEN(INDEX('My equipment'!$D$4:$D$503,(_calc!$E$581-500)))=0,"",INDEX('My equipment'!$D$4:$D$503,(_calc!$E$581-500))))=0,"","Serial: "&amp;IF(LEN(INDEX('My equipment'!$D$4:$D$503,(_calc!$E$581-500)))=0,"",INDEX('My equipment'!$D$4:$D$503,(_calc!$E$581-500)))&amp;". ")&amp;IF(LEN(IF(ISNUMBER(INDEX('My equipment'!$J$4:$J$503,(_calc!$E$581-500))),TEXT(INDEX('My equipment'!$J$4:$J$503,(_calc!$E$581-500)),"yyyy-mm-dd"),""))=0,"","Parts end: "&amp;IF(ISNUMBER(INDEX('My equipment'!$J$4:$J$503,(_calc!$E$581-500))),TEXT(INDEX('My equipment'!$J$4:$J$503,(_calc!$E$581-500)),"yyyy-mm-dd"),"")&amp;". ")&amp;IF(LEN(IF(ISNUMBER(INDEX('My equipment'!$L$4:$L$503,(_calc!$E$581-500))),TEXT(INDEX('My equipment'!$L$4:$L$503,(_calc!$E$581-500)),"yyyy-mm-dd"),""))=0,"","Labor end: "&amp;IF(ISNUMBER(INDEX('My equipment'!$L$4:$L$503,(_calc!$E$581-500))),TEXT(INDEX('My equipment'!$L$4:$L$503,(_calc!$E$581-500)),"yyyy-mm-dd"),"")&amp;". ")&amp;IF(LEN(IF(ISNUMBER(INDEX('My equipment'!$P$4:$P$503,(_calc!$E$581-500))),TEXT(INDEX('My equipment'!$P$4:$P$503,(_calc!$E$581-500)),"yyyy-mm-dd"),""))=0,"","Check by: "&amp;IF(ISNUMBER(INDEX('My equipment'!$P$4:$P$503,(_calc!$E$581-500))),TEXT(INDEX('My equipment'!$P$4:$P$503,(_calc!$E$581-500)),"yyyy-mm-dd"),"")&amp;". ")&amp;IF(LEN(IF(LEN(INDEX('My equipment'!$Q$4:$Q$503,(_calc!$E$581-500)))=0,"",INDEX('My equipment'!$Q$4:$Q$503,(_calc!$E$581-500))))=0,"","Claim status: "&amp;IF(LEN(INDEX('My equipment'!$Q$4:$Q$503,(_calc!$E$581-500)))=0,"",INDEX('My equipment'!$Q$4:$Q$503,(_calc!$E$581-500)))&amp;". ")&amp;IF(LEN(IF(LEN(INDEX('My equipment'!$R$4:$R$503,(_calc!$E$581-500)))=0,"",INDEX('My equipment'!$R$4:$R$503,(_calc!$E$581-500))))=0,"","Claims contact: "&amp;IF(LEN(INDEX('My equipment'!$R$4:$R$503,(_calc!$E$581-500)))=0,"",INDEX('My equipment'!$R$4:$R$503,(_calc!$E$581-500)))&amp;". ")&amp;IF(LEN(IF(LEN(INDEX('My equipment'!$S$4:$S$503,(_calc!$E$581-500)))=0,"",INDEX('My equipment'!$S$4:$S$503,(_calc!$E$581-500))))=0,"","Claims email: "&amp;IF(LEN(INDEX('My equipment'!$S$4:$S$503,(_calc!$E$581-500)))=0,"",INDEX('My equipment'!$S$4:$S$503,(_calc!$E$581-500)))&amp;". ")&amp;IF(LEN(IF(LEN(INDEX('My equipment'!$U$4:$U$503,(_calc!$E$581-500)))=0,"",INDEX('My equipment'!$U$4:$U$503,(_calc!$E$581-500))))=0,"","Registered: "&amp;IF(LEN(INDEX('My equipment'!$U$4:$U$503,(_calc!$E$581-500)))=0,"",INDEX('My equipment'!$U$4:$U$503,(_calc!$E$581-500)))&amp;". ")&amp;IF(LEN(IF(LEN(INDEX('My equipment'!$V$4:$V$503,(_calc!$E$581-500)))=0,"",INDEX('My equipment'!$V$4:$V$503,(_calc!$E$581-500))))=0,"","Proof on file: "&amp;IF(LEN(INDEX('My equipment'!$V$4:$V$503,(_calc!$E$581-500)))=0,"",INDEX('My equipment'!$V$4:$V$503,(_calc!$E$581-500)))&amp;". ")&amp;IF(LEN(IF(LEN(INDEX('My equipment'!$W$4:$W$503,(_calc!$E$581-500)))=0,"",INDEX('My equipment'!$W$4:$W$503,(_calc!$E$581-500))))=0,"","Claim ref: "&amp;IF(LEN(INDEX('My equipment'!$W$4:$W$503,(_calc!$E$581-500)))=0,"",INDEX('My equipment'!$W$4:$W$503,(_calc!$E$581-500)))&amp;". ")&amp;IF(LEN(IF(LEN(INDEX('My equipment'!$Y$4:$Y$503,(_calc!$E$581-500)))=0,"",INDEX('My equipment'!$Y$4:$Y$503,(_calc!$E$581-500))))=0,"",IF(LEN(INDEX('My equipment'!$Y$4:$Y$503,(_calc!$E$581-500)))=0,"",INDEX('My equipment'!$Y$4:$Y$503,(_calc!$E$581-500)))))))</f>
        <v/>
      </c>
      <c r="G579" s="54">
        <f>IF(_calc!$E$581="","",IF(_calc!$E$581&lt;=500,"",IF(LEN(INDEX('My equipment'!$X$4:$X$503,(_calc!$E$581-500)))=0,"",INDEX('My equipment'!$X$4:$X$503,(_calc!$E$581-500)))))</f>
        <v/>
      </c>
      <c r="K579" s="54">
        <f>IF(_calc!$E$581="","",IF(_calc!$E$581&lt;=500,"",IF(LEN(INDEX('My equipment'!$T$4:$T$503,(_calc!$E$581-500)))=0,"",INDEX('My equipment'!$T$4:$T$503,(_calc!$E$581-500)))))</f>
        <v/>
      </c>
    </row>
    <row r="580">
      <c r="A580" s="54">
        <f>IF(_calc!$E$582="","",IF(_calc!$E$582&lt;=500,"Warranty – "&amp;IF(LEN(INDEX('Dealer pipeline'!$C$4:$C$503,_calc!$E$582))=0,"",INDEX('Dealer pipeline'!$C$4:$C$503,_calc!$E$582))&amp;" – "&amp;IF(LEN(INDEX('Dealer pipeline'!$D$4:$D$503,_calc!$E$582))=0,"",INDEX('Dealer pipeline'!$D$4:$D$503,_calc!$E$582))&amp;" – "&amp;IF(LEN(INDEX('Dealer pipeline'!$A$4:$A$503,_calc!$E$582))=0,"",INDEX('Dealer pipeline'!$A$4:$A$503,_calc!$E$582)),"Warranty – "&amp;IF(LEN(INDEX('My equipment'!$A$4:$A$503,(_calc!$E$582-500)))=0,"",INDEX('My equipment'!$A$4:$A$503,(_calc!$E$582-500)))&amp;" – "&amp;IF(LEN(INDEX('My equipment'!$D$4:$D$503,(_calc!$E$582-500)))=0,"",INDEX('My equipment'!$D$4:$D$503,(_calc!$E$582-500)))))</f>
        <v/>
      </c>
      <c r="B580" s="54">
        <f>IF(_calc!$E$582="","",IF(_calc!$E$582&lt;=500,IF(ISNUMBER(INDEX('Dealer pipeline'!$M$4:$M$503,_calc!$E$582)),TEXT(INDEX('Dealer pipeline'!$M$4:$M$503,_calc!$E$582),"yyyy-mm-dd"),""),IF(ISNUMBER(INDEX('My equipment'!$M$4:$M$503,(_calc!$E$582-500))),TEXT(INDEX('My equipment'!$M$4:$M$503,(_calc!$E$582-500)),"yyyy-mm-dd"),"")))</f>
        <v/>
      </c>
      <c r="C580" s="54">
        <f>IF(_calc!$E$582="","",IF(_calc!$E$582&lt;=500,"Warranty","Warranty"))</f>
        <v/>
      </c>
      <c r="D580" s="54">
        <f>IF(_calc!$E$582="","",IF(_calc!$E$582&lt;=500,IF(ISNUMBER(INDEX('Dealer pipeline'!$H$4:$H$503,_calc!$E$582)),TEXT(INDEX('Dealer pipeline'!$H$4:$H$503,_calc!$E$582),"yyyy-mm-dd"),""),IF(ISNUMBER(INDEX('My equipment'!$H$4:$H$503,(_calc!$E$582-500))),TEXT(INDEX('My equipment'!$H$4:$H$503,(_calc!$E$582-500)),"yyyy-mm-dd"),"")))</f>
        <v/>
      </c>
      <c r="F580" s="54">
        <f>IF(_calc!$E$582="","",IF(_calc!$E$582&lt;=500,TRIM(IF(LEN(IF(LEN(INDEX('Dealer pipeline'!$A$4:$A$503,_calc!$E$582))=0,"",INDEX('Dealer pipeline'!$A$4:$A$503,_calc!$E$582)))=0,"","Customer: "&amp;IF(LEN(INDEX('Dealer pipeline'!$A$4:$A$503,_calc!$E$582))=0,"",INDEX('Dealer pipeline'!$A$4:$A$503,_calc!$E$582))&amp;". ")&amp;IF(LEN(IF(LEN(INDEX('Dealer pipeline'!$B$4:$B$503,_calc!$E$582))=0,"",INDEX('Dealer pipeline'!$B$4:$B$503,_calc!$E$582)))=0,"","Contact: "&amp;IF(LEN(INDEX('Dealer pipeline'!$B$4:$B$503,_calc!$E$582))=0,"",INDEX('Dealer pipeline'!$B$4:$B$503,_calc!$E$582))&amp;". ")&amp;IF(LEN(IF(LEN(INDEX('Dealer pipeline'!$D$4:$D$503,_calc!$E$582))=0,"",INDEX('Dealer pipeline'!$D$4:$D$503,_calc!$E$582)))=0,"","Serial: "&amp;IF(LEN(INDEX('Dealer pipeline'!$D$4:$D$503,_calc!$E$582))=0,"",INDEX('Dealer pipeline'!$D$4:$D$503,_calc!$E$582))&amp;". ")&amp;IF(LEN(IF(ISNUMBER(INDEX('Dealer pipeline'!$J$4:$J$503,_calc!$E$582)),TEXT(INDEX('Dealer pipeline'!$J$4:$J$503,_calc!$E$582),"yyyy-mm-dd"),""))=0,"","Parts end: "&amp;IF(ISNUMBER(INDEX('Dealer pipeline'!$J$4:$J$503,_calc!$E$582)),TEXT(INDEX('Dealer pipeline'!$J$4:$J$503,_calc!$E$582),"yyyy-mm-dd"),"")&amp;". ")&amp;IF(LEN(IF(ISNUMBER(INDEX('Dealer pipeline'!$L$4:$L$503,_calc!$E$582)),TEXT(INDEX('Dealer pipeline'!$L$4:$L$503,_calc!$E$582),"yyyy-mm-dd"),""))=0,"","Labor end: "&amp;IF(ISNUMBER(INDEX('Dealer pipeline'!$L$4:$L$503,_calc!$E$582)),TEXT(INDEX('Dealer pipeline'!$L$4:$L$503,_calc!$E$582),"yyyy-mm-dd"),"")&amp;". ")&amp;IF(LEN(IF(LEN(INDEX('Dealer pipeline'!$Q$4:$Q$503,_calc!$E$582))=0,"",INDEX('Dealer pipeline'!$Q$4:$Q$503,_calc!$E$582)))=0,"","Status: "&amp;IF(LEN(INDEX('Dealer pipeline'!$Q$4:$Q$503,_calc!$E$582))=0,"",INDEX('Dealer pipeline'!$Q$4:$Q$503,_calc!$E$582))&amp;". ")&amp;IF(LEN(IF(LEN(INDEX('Dealer pipeline'!$P$4:$P$503,_calc!$E$582))=0,"",INDEX('Dealer pipeline'!$P$4:$P$503,_calc!$E$582)))=0,"","Last touch: "&amp;IF(LEN(INDEX('Dealer pipeline'!$P$4:$P$503,_calc!$E$582))=0,"",INDEX('Dealer pipeline'!$P$4:$P$503,_calc!$E$582))&amp;". ")&amp;IF(LEN(IF(LEN(INDEX('Dealer pipeline'!$R$4:$R$503,_calc!$E$582))=0,"",INDEX('Dealer pipeline'!$R$4:$R$503,_calc!$E$582)))=0,"","Owner: "&amp;IF(LEN(INDEX('Dealer pipeline'!$R$4:$R$503,_calc!$E$582))=0,"",INDEX('Dealer pipeline'!$R$4:$R$503,_calc!$E$582))&amp;". ")&amp;IF(LEN(IF(LEN(INDEX('Dealer pipeline'!$S$4:$S$503,_calc!$E$582))=0,"",INDEX('Dealer pipeline'!$S$4:$S$503,_calc!$E$582)))=0,"","Backup: "&amp;IF(LEN(INDEX('Dealer pipeline'!$S$4:$S$503,_calc!$E$582))=0,"",INDEX('Dealer pipeline'!$S$4:$S$503,_calc!$E$582))&amp;". ")&amp;IF(LEN(IF(LEN(INDEX('Dealer pipeline'!$T$4:$T$503,_calc!$E$582))=0,"",INDEX('Dealer pipeline'!$T$4:$T$503,_calc!$E$582)))=0,"",IF(LEN(INDEX('Dealer pipeline'!$T$4:$T$503,_calc!$E$582))=0,"",INDEX('Dealer pipeline'!$T$4:$T$503,_calc!$E$582)))),TRIM(IF(LEN(IF(LEN(INDEX('My equipment'!$C$4:$C$503,(_calc!$E$582-500)))=0,"",INDEX('My equipment'!$C$4:$C$503,(_calc!$E$582-500))))=0,"","Model: "&amp;IF(LEN(INDEX('My equipment'!$C$4:$C$503,(_calc!$E$582-500)))=0,"",INDEX('My equipment'!$C$4:$C$503,(_calc!$E$582-500)))&amp;". ")&amp;IF(LEN(IF(LEN(INDEX('My equipment'!$D$4:$D$503,(_calc!$E$582-500)))=0,"",INDEX('My equipment'!$D$4:$D$503,(_calc!$E$582-500))))=0,"","Serial: "&amp;IF(LEN(INDEX('My equipment'!$D$4:$D$503,(_calc!$E$582-500)))=0,"",INDEX('My equipment'!$D$4:$D$503,(_calc!$E$582-500)))&amp;". ")&amp;IF(LEN(IF(ISNUMBER(INDEX('My equipment'!$J$4:$J$503,(_calc!$E$582-500))),TEXT(INDEX('My equipment'!$J$4:$J$503,(_calc!$E$582-500)),"yyyy-mm-dd"),""))=0,"","Parts end: "&amp;IF(ISNUMBER(INDEX('My equipment'!$J$4:$J$503,(_calc!$E$582-500))),TEXT(INDEX('My equipment'!$J$4:$J$503,(_calc!$E$582-500)),"yyyy-mm-dd"),"")&amp;". ")&amp;IF(LEN(IF(ISNUMBER(INDEX('My equipment'!$L$4:$L$503,(_calc!$E$582-500))),TEXT(INDEX('My equipment'!$L$4:$L$503,(_calc!$E$582-500)),"yyyy-mm-dd"),""))=0,"","Labor end: "&amp;IF(ISNUMBER(INDEX('My equipment'!$L$4:$L$503,(_calc!$E$582-500))),TEXT(INDEX('My equipment'!$L$4:$L$503,(_calc!$E$582-500)),"yyyy-mm-dd"),"")&amp;". ")&amp;IF(LEN(IF(ISNUMBER(INDEX('My equipment'!$P$4:$P$503,(_calc!$E$582-500))),TEXT(INDEX('My equipment'!$P$4:$P$503,(_calc!$E$582-500)),"yyyy-mm-dd"),""))=0,"","Check by: "&amp;IF(ISNUMBER(INDEX('My equipment'!$P$4:$P$503,(_calc!$E$582-500))),TEXT(INDEX('My equipment'!$P$4:$P$503,(_calc!$E$582-500)),"yyyy-mm-dd"),"")&amp;". ")&amp;IF(LEN(IF(LEN(INDEX('My equipment'!$Q$4:$Q$503,(_calc!$E$582-500)))=0,"",INDEX('My equipment'!$Q$4:$Q$503,(_calc!$E$582-500))))=0,"","Claim status: "&amp;IF(LEN(INDEX('My equipment'!$Q$4:$Q$503,(_calc!$E$582-500)))=0,"",INDEX('My equipment'!$Q$4:$Q$503,(_calc!$E$582-500)))&amp;". ")&amp;IF(LEN(IF(LEN(INDEX('My equipment'!$R$4:$R$503,(_calc!$E$582-500)))=0,"",INDEX('My equipment'!$R$4:$R$503,(_calc!$E$582-500))))=0,"","Claims contact: "&amp;IF(LEN(INDEX('My equipment'!$R$4:$R$503,(_calc!$E$582-500)))=0,"",INDEX('My equipment'!$R$4:$R$503,(_calc!$E$582-500)))&amp;". ")&amp;IF(LEN(IF(LEN(INDEX('My equipment'!$S$4:$S$503,(_calc!$E$582-500)))=0,"",INDEX('My equipment'!$S$4:$S$503,(_calc!$E$582-500))))=0,"","Claims email: "&amp;IF(LEN(INDEX('My equipment'!$S$4:$S$503,(_calc!$E$582-500)))=0,"",INDEX('My equipment'!$S$4:$S$503,(_calc!$E$582-500)))&amp;". ")&amp;IF(LEN(IF(LEN(INDEX('My equipment'!$U$4:$U$503,(_calc!$E$582-500)))=0,"",INDEX('My equipment'!$U$4:$U$503,(_calc!$E$582-500))))=0,"","Registered: "&amp;IF(LEN(INDEX('My equipment'!$U$4:$U$503,(_calc!$E$582-500)))=0,"",INDEX('My equipment'!$U$4:$U$503,(_calc!$E$582-500)))&amp;". ")&amp;IF(LEN(IF(LEN(INDEX('My equipment'!$V$4:$V$503,(_calc!$E$582-500)))=0,"",INDEX('My equipment'!$V$4:$V$503,(_calc!$E$582-500))))=0,"","Proof on file: "&amp;IF(LEN(INDEX('My equipment'!$V$4:$V$503,(_calc!$E$582-500)))=0,"",INDEX('My equipment'!$V$4:$V$503,(_calc!$E$582-500)))&amp;". ")&amp;IF(LEN(IF(LEN(INDEX('My equipment'!$W$4:$W$503,(_calc!$E$582-500)))=0,"",INDEX('My equipment'!$W$4:$W$503,(_calc!$E$582-500))))=0,"","Claim ref: "&amp;IF(LEN(INDEX('My equipment'!$W$4:$W$503,(_calc!$E$582-500)))=0,"",INDEX('My equipment'!$W$4:$W$503,(_calc!$E$582-500)))&amp;". ")&amp;IF(LEN(IF(LEN(INDEX('My equipment'!$Y$4:$Y$503,(_calc!$E$582-500)))=0,"",INDEX('My equipment'!$Y$4:$Y$503,(_calc!$E$582-500))))=0,"",IF(LEN(INDEX('My equipment'!$Y$4:$Y$503,(_calc!$E$582-500)))=0,"",INDEX('My equipment'!$Y$4:$Y$503,(_calc!$E$582-500)))))))</f>
        <v/>
      </c>
      <c r="G580" s="54">
        <f>IF(_calc!$E$582="","",IF(_calc!$E$582&lt;=500,"",IF(LEN(INDEX('My equipment'!$X$4:$X$503,(_calc!$E$582-500)))=0,"",INDEX('My equipment'!$X$4:$X$503,(_calc!$E$582-500)))))</f>
        <v/>
      </c>
      <c r="K580" s="54">
        <f>IF(_calc!$E$582="","",IF(_calc!$E$582&lt;=500,"",IF(LEN(INDEX('My equipment'!$T$4:$T$503,(_calc!$E$582-500)))=0,"",INDEX('My equipment'!$T$4:$T$503,(_calc!$E$582-500)))))</f>
        <v/>
      </c>
    </row>
    <row r="581">
      <c r="A581" s="54">
        <f>IF(_calc!$E$583="","",IF(_calc!$E$583&lt;=500,"Warranty – "&amp;IF(LEN(INDEX('Dealer pipeline'!$C$4:$C$503,_calc!$E$583))=0,"",INDEX('Dealer pipeline'!$C$4:$C$503,_calc!$E$583))&amp;" – "&amp;IF(LEN(INDEX('Dealer pipeline'!$D$4:$D$503,_calc!$E$583))=0,"",INDEX('Dealer pipeline'!$D$4:$D$503,_calc!$E$583))&amp;" – "&amp;IF(LEN(INDEX('Dealer pipeline'!$A$4:$A$503,_calc!$E$583))=0,"",INDEX('Dealer pipeline'!$A$4:$A$503,_calc!$E$583)),"Warranty – "&amp;IF(LEN(INDEX('My equipment'!$A$4:$A$503,(_calc!$E$583-500)))=0,"",INDEX('My equipment'!$A$4:$A$503,(_calc!$E$583-500)))&amp;" – "&amp;IF(LEN(INDEX('My equipment'!$D$4:$D$503,(_calc!$E$583-500)))=0,"",INDEX('My equipment'!$D$4:$D$503,(_calc!$E$583-500)))))</f>
        <v/>
      </c>
      <c r="B581" s="54">
        <f>IF(_calc!$E$583="","",IF(_calc!$E$583&lt;=500,IF(ISNUMBER(INDEX('Dealer pipeline'!$M$4:$M$503,_calc!$E$583)),TEXT(INDEX('Dealer pipeline'!$M$4:$M$503,_calc!$E$583),"yyyy-mm-dd"),""),IF(ISNUMBER(INDEX('My equipment'!$M$4:$M$503,(_calc!$E$583-500))),TEXT(INDEX('My equipment'!$M$4:$M$503,(_calc!$E$583-500)),"yyyy-mm-dd"),"")))</f>
        <v/>
      </c>
      <c r="C581" s="54">
        <f>IF(_calc!$E$583="","",IF(_calc!$E$583&lt;=500,"Warranty","Warranty"))</f>
        <v/>
      </c>
      <c r="D581" s="54">
        <f>IF(_calc!$E$583="","",IF(_calc!$E$583&lt;=500,IF(ISNUMBER(INDEX('Dealer pipeline'!$H$4:$H$503,_calc!$E$583)),TEXT(INDEX('Dealer pipeline'!$H$4:$H$503,_calc!$E$583),"yyyy-mm-dd"),""),IF(ISNUMBER(INDEX('My equipment'!$H$4:$H$503,(_calc!$E$583-500))),TEXT(INDEX('My equipment'!$H$4:$H$503,(_calc!$E$583-500)),"yyyy-mm-dd"),"")))</f>
        <v/>
      </c>
      <c r="F581" s="54">
        <f>IF(_calc!$E$583="","",IF(_calc!$E$583&lt;=500,TRIM(IF(LEN(IF(LEN(INDEX('Dealer pipeline'!$A$4:$A$503,_calc!$E$583))=0,"",INDEX('Dealer pipeline'!$A$4:$A$503,_calc!$E$583)))=0,"","Customer: "&amp;IF(LEN(INDEX('Dealer pipeline'!$A$4:$A$503,_calc!$E$583))=0,"",INDEX('Dealer pipeline'!$A$4:$A$503,_calc!$E$583))&amp;". ")&amp;IF(LEN(IF(LEN(INDEX('Dealer pipeline'!$B$4:$B$503,_calc!$E$583))=0,"",INDEX('Dealer pipeline'!$B$4:$B$503,_calc!$E$583)))=0,"","Contact: "&amp;IF(LEN(INDEX('Dealer pipeline'!$B$4:$B$503,_calc!$E$583))=0,"",INDEX('Dealer pipeline'!$B$4:$B$503,_calc!$E$583))&amp;". ")&amp;IF(LEN(IF(LEN(INDEX('Dealer pipeline'!$D$4:$D$503,_calc!$E$583))=0,"",INDEX('Dealer pipeline'!$D$4:$D$503,_calc!$E$583)))=0,"","Serial: "&amp;IF(LEN(INDEX('Dealer pipeline'!$D$4:$D$503,_calc!$E$583))=0,"",INDEX('Dealer pipeline'!$D$4:$D$503,_calc!$E$583))&amp;". ")&amp;IF(LEN(IF(ISNUMBER(INDEX('Dealer pipeline'!$J$4:$J$503,_calc!$E$583)),TEXT(INDEX('Dealer pipeline'!$J$4:$J$503,_calc!$E$583),"yyyy-mm-dd"),""))=0,"","Parts end: "&amp;IF(ISNUMBER(INDEX('Dealer pipeline'!$J$4:$J$503,_calc!$E$583)),TEXT(INDEX('Dealer pipeline'!$J$4:$J$503,_calc!$E$583),"yyyy-mm-dd"),"")&amp;". ")&amp;IF(LEN(IF(ISNUMBER(INDEX('Dealer pipeline'!$L$4:$L$503,_calc!$E$583)),TEXT(INDEX('Dealer pipeline'!$L$4:$L$503,_calc!$E$583),"yyyy-mm-dd"),""))=0,"","Labor end: "&amp;IF(ISNUMBER(INDEX('Dealer pipeline'!$L$4:$L$503,_calc!$E$583)),TEXT(INDEX('Dealer pipeline'!$L$4:$L$503,_calc!$E$583),"yyyy-mm-dd"),"")&amp;". ")&amp;IF(LEN(IF(LEN(INDEX('Dealer pipeline'!$Q$4:$Q$503,_calc!$E$583))=0,"",INDEX('Dealer pipeline'!$Q$4:$Q$503,_calc!$E$583)))=0,"","Status: "&amp;IF(LEN(INDEX('Dealer pipeline'!$Q$4:$Q$503,_calc!$E$583))=0,"",INDEX('Dealer pipeline'!$Q$4:$Q$503,_calc!$E$583))&amp;". ")&amp;IF(LEN(IF(LEN(INDEX('Dealer pipeline'!$P$4:$P$503,_calc!$E$583))=0,"",INDEX('Dealer pipeline'!$P$4:$P$503,_calc!$E$583)))=0,"","Last touch: "&amp;IF(LEN(INDEX('Dealer pipeline'!$P$4:$P$503,_calc!$E$583))=0,"",INDEX('Dealer pipeline'!$P$4:$P$503,_calc!$E$583))&amp;". ")&amp;IF(LEN(IF(LEN(INDEX('Dealer pipeline'!$R$4:$R$503,_calc!$E$583))=0,"",INDEX('Dealer pipeline'!$R$4:$R$503,_calc!$E$583)))=0,"","Owner: "&amp;IF(LEN(INDEX('Dealer pipeline'!$R$4:$R$503,_calc!$E$583))=0,"",INDEX('Dealer pipeline'!$R$4:$R$503,_calc!$E$583))&amp;". ")&amp;IF(LEN(IF(LEN(INDEX('Dealer pipeline'!$S$4:$S$503,_calc!$E$583))=0,"",INDEX('Dealer pipeline'!$S$4:$S$503,_calc!$E$583)))=0,"","Backup: "&amp;IF(LEN(INDEX('Dealer pipeline'!$S$4:$S$503,_calc!$E$583))=0,"",INDEX('Dealer pipeline'!$S$4:$S$503,_calc!$E$583))&amp;". ")&amp;IF(LEN(IF(LEN(INDEX('Dealer pipeline'!$T$4:$T$503,_calc!$E$583))=0,"",INDEX('Dealer pipeline'!$T$4:$T$503,_calc!$E$583)))=0,"",IF(LEN(INDEX('Dealer pipeline'!$T$4:$T$503,_calc!$E$583))=0,"",INDEX('Dealer pipeline'!$T$4:$T$503,_calc!$E$583)))),TRIM(IF(LEN(IF(LEN(INDEX('My equipment'!$C$4:$C$503,(_calc!$E$583-500)))=0,"",INDEX('My equipment'!$C$4:$C$503,(_calc!$E$583-500))))=0,"","Model: "&amp;IF(LEN(INDEX('My equipment'!$C$4:$C$503,(_calc!$E$583-500)))=0,"",INDEX('My equipment'!$C$4:$C$503,(_calc!$E$583-500)))&amp;". ")&amp;IF(LEN(IF(LEN(INDEX('My equipment'!$D$4:$D$503,(_calc!$E$583-500)))=0,"",INDEX('My equipment'!$D$4:$D$503,(_calc!$E$583-500))))=0,"","Serial: "&amp;IF(LEN(INDEX('My equipment'!$D$4:$D$503,(_calc!$E$583-500)))=0,"",INDEX('My equipment'!$D$4:$D$503,(_calc!$E$583-500)))&amp;". ")&amp;IF(LEN(IF(ISNUMBER(INDEX('My equipment'!$J$4:$J$503,(_calc!$E$583-500))),TEXT(INDEX('My equipment'!$J$4:$J$503,(_calc!$E$583-500)),"yyyy-mm-dd"),""))=0,"","Parts end: "&amp;IF(ISNUMBER(INDEX('My equipment'!$J$4:$J$503,(_calc!$E$583-500))),TEXT(INDEX('My equipment'!$J$4:$J$503,(_calc!$E$583-500)),"yyyy-mm-dd"),"")&amp;". ")&amp;IF(LEN(IF(ISNUMBER(INDEX('My equipment'!$L$4:$L$503,(_calc!$E$583-500))),TEXT(INDEX('My equipment'!$L$4:$L$503,(_calc!$E$583-500)),"yyyy-mm-dd"),""))=0,"","Labor end: "&amp;IF(ISNUMBER(INDEX('My equipment'!$L$4:$L$503,(_calc!$E$583-500))),TEXT(INDEX('My equipment'!$L$4:$L$503,(_calc!$E$583-500)),"yyyy-mm-dd"),"")&amp;". ")&amp;IF(LEN(IF(ISNUMBER(INDEX('My equipment'!$P$4:$P$503,(_calc!$E$583-500))),TEXT(INDEX('My equipment'!$P$4:$P$503,(_calc!$E$583-500)),"yyyy-mm-dd"),""))=0,"","Check by: "&amp;IF(ISNUMBER(INDEX('My equipment'!$P$4:$P$503,(_calc!$E$583-500))),TEXT(INDEX('My equipment'!$P$4:$P$503,(_calc!$E$583-500)),"yyyy-mm-dd"),"")&amp;". ")&amp;IF(LEN(IF(LEN(INDEX('My equipment'!$Q$4:$Q$503,(_calc!$E$583-500)))=0,"",INDEX('My equipment'!$Q$4:$Q$503,(_calc!$E$583-500))))=0,"","Claim status: "&amp;IF(LEN(INDEX('My equipment'!$Q$4:$Q$503,(_calc!$E$583-500)))=0,"",INDEX('My equipment'!$Q$4:$Q$503,(_calc!$E$583-500)))&amp;". ")&amp;IF(LEN(IF(LEN(INDEX('My equipment'!$R$4:$R$503,(_calc!$E$583-500)))=0,"",INDEX('My equipment'!$R$4:$R$503,(_calc!$E$583-500))))=0,"","Claims contact: "&amp;IF(LEN(INDEX('My equipment'!$R$4:$R$503,(_calc!$E$583-500)))=0,"",INDEX('My equipment'!$R$4:$R$503,(_calc!$E$583-500)))&amp;". ")&amp;IF(LEN(IF(LEN(INDEX('My equipment'!$S$4:$S$503,(_calc!$E$583-500)))=0,"",INDEX('My equipment'!$S$4:$S$503,(_calc!$E$583-500))))=0,"","Claims email: "&amp;IF(LEN(INDEX('My equipment'!$S$4:$S$503,(_calc!$E$583-500)))=0,"",INDEX('My equipment'!$S$4:$S$503,(_calc!$E$583-500)))&amp;". ")&amp;IF(LEN(IF(LEN(INDEX('My equipment'!$U$4:$U$503,(_calc!$E$583-500)))=0,"",INDEX('My equipment'!$U$4:$U$503,(_calc!$E$583-500))))=0,"","Registered: "&amp;IF(LEN(INDEX('My equipment'!$U$4:$U$503,(_calc!$E$583-500)))=0,"",INDEX('My equipment'!$U$4:$U$503,(_calc!$E$583-500)))&amp;". ")&amp;IF(LEN(IF(LEN(INDEX('My equipment'!$V$4:$V$503,(_calc!$E$583-500)))=0,"",INDEX('My equipment'!$V$4:$V$503,(_calc!$E$583-500))))=0,"","Proof on file: "&amp;IF(LEN(INDEX('My equipment'!$V$4:$V$503,(_calc!$E$583-500)))=0,"",INDEX('My equipment'!$V$4:$V$503,(_calc!$E$583-500)))&amp;". ")&amp;IF(LEN(IF(LEN(INDEX('My equipment'!$W$4:$W$503,(_calc!$E$583-500)))=0,"",INDEX('My equipment'!$W$4:$W$503,(_calc!$E$583-500))))=0,"","Claim ref: "&amp;IF(LEN(INDEX('My equipment'!$W$4:$W$503,(_calc!$E$583-500)))=0,"",INDEX('My equipment'!$W$4:$W$503,(_calc!$E$583-500)))&amp;". ")&amp;IF(LEN(IF(LEN(INDEX('My equipment'!$Y$4:$Y$503,(_calc!$E$583-500)))=0,"",INDEX('My equipment'!$Y$4:$Y$503,(_calc!$E$583-500))))=0,"",IF(LEN(INDEX('My equipment'!$Y$4:$Y$503,(_calc!$E$583-500)))=0,"",INDEX('My equipment'!$Y$4:$Y$503,(_calc!$E$583-500)))))))</f>
        <v/>
      </c>
      <c r="G581" s="54">
        <f>IF(_calc!$E$583="","",IF(_calc!$E$583&lt;=500,"",IF(LEN(INDEX('My equipment'!$X$4:$X$503,(_calc!$E$583-500)))=0,"",INDEX('My equipment'!$X$4:$X$503,(_calc!$E$583-500)))))</f>
        <v/>
      </c>
      <c r="K581" s="54">
        <f>IF(_calc!$E$583="","",IF(_calc!$E$583&lt;=500,"",IF(LEN(INDEX('My equipment'!$T$4:$T$503,(_calc!$E$583-500)))=0,"",INDEX('My equipment'!$T$4:$T$503,(_calc!$E$583-500)))))</f>
        <v/>
      </c>
    </row>
    <row r="582">
      <c r="A582" s="54">
        <f>IF(_calc!$E$584="","",IF(_calc!$E$584&lt;=500,"Warranty – "&amp;IF(LEN(INDEX('Dealer pipeline'!$C$4:$C$503,_calc!$E$584))=0,"",INDEX('Dealer pipeline'!$C$4:$C$503,_calc!$E$584))&amp;" – "&amp;IF(LEN(INDEX('Dealer pipeline'!$D$4:$D$503,_calc!$E$584))=0,"",INDEX('Dealer pipeline'!$D$4:$D$503,_calc!$E$584))&amp;" – "&amp;IF(LEN(INDEX('Dealer pipeline'!$A$4:$A$503,_calc!$E$584))=0,"",INDEX('Dealer pipeline'!$A$4:$A$503,_calc!$E$584)),"Warranty – "&amp;IF(LEN(INDEX('My equipment'!$A$4:$A$503,(_calc!$E$584-500)))=0,"",INDEX('My equipment'!$A$4:$A$503,(_calc!$E$584-500)))&amp;" – "&amp;IF(LEN(INDEX('My equipment'!$D$4:$D$503,(_calc!$E$584-500)))=0,"",INDEX('My equipment'!$D$4:$D$503,(_calc!$E$584-500)))))</f>
        <v/>
      </c>
      <c r="B582" s="54">
        <f>IF(_calc!$E$584="","",IF(_calc!$E$584&lt;=500,IF(ISNUMBER(INDEX('Dealer pipeline'!$M$4:$M$503,_calc!$E$584)),TEXT(INDEX('Dealer pipeline'!$M$4:$M$503,_calc!$E$584),"yyyy-mm-dd"),""),IF(ISNUMBER(INDEX('My equipment'!$M$4:$M$503,(_calc!$E$584-500))),TEXT(INDEX('My equipment'!$M$4:$M$503,(_calc!$E$584-500)),"yyyy-mm-dd"),"")))</f>
        <v/>
      </c>
      <c r="C582" s="54">
        <f>IF(_calc!$E$584="","",IF(_calc!$E$584&lt;=500,"Warranty","Warranty"))</f>
        <v/>
      </c>
      <c r="D582" s="54">
        <f>IF(_calc!$E$584="","",IF(_calc!$E$584&lt;=500,IF(ISNUMBER(INDEX('Dealer pipeline'!$H$4:$H$503,_calc!$E$584)),TEXT(INDEX('Dealer pipeline'!$H$4:$H$503,_calc!$E$584),"yyyy-mm-dd"),""),IF(ISNUMBER(INDEX('My equipment'!$H$4:$H$503,(_calc!$E$584-500))),TEXT(INDEX('My equipment'!$H$4:$H$503,(_calc!$E$584-500)),"yyyy-mm-dd"),"")))</f>
        <v/>
      </c>
      <c r="F582" s="54">
        <f>IF(_calc!$E$584="","",IF(_calc!$E$584&lt;=500,TRIM(IF(LEN(IF(LEN(INDEX('Dealer pipeline'!$A$4:$A$503,_calc!$E$584))=0,"",INDEX('Dealer pipeline'!$A$4:$A$503,_calc!$E$584)))=0,"","Customer: "&amp;IF(LEN(INDEX('Dealer pipeline'!$A$4:$A$503,_calc!$E$584))=0,"",INDEX('Dealer pipeline'!$A$4:$A$503,_calc!$E$584))&amp;". ")&amp;IF(LEN(IF(LEN(INDEX('Dealer pipeline'!$B$4:$B$503,_calc!$E$584))=0,"",INDEX('Dealer pipeline'!$B$4:$B$503,_calc!$E$584)))=0,"","Contact: "&amp;IF(LEN(INDEX('Dealer pipeline'!$B$4:$B$503,_calc!$E$584))=0,"",INDEX('Dealer pipeline'!$B$4:$B$503,_calc!$E$584))&amp;". ")&amp;IF(LEN(IF(LEN(INDEX('Dealer pipeline'!$D$4:$D$503,_calc!$E$584))=0,"",INDEX('Dealer pipeline'!$D$4:$D$503,_calc!$E$584)))=0,"","Serial: "&amp;IF(LEN(INDEX('Dealer pipeline'!$D$4:$D$503,_calc!$E$584))=0,"",INDEX('Dealer pipeline'!$D$4:$D$503,_calc!$E$584))&amp;". ")&amp;IF(LEN(IF(ISNUMBER(INDEX('Dealer pipeline'!$J$4:$J$503,_calc!$E$584)),TEXT(INDEX('Dealer pipeline'!$J$4:$J$503,_calc!$E$584),"yyyy-mm-dd"),""))=0,"","Parts end: "&amp;IF(ISNUMBER(INDEX('Dealer pipeline'!$J$4:$J$503,_calc!$E$584)),TEXT(INDEX('Dealer pipeline'!$J$4:$J$503,_calc!$E$584),"yyyy-mm-dd"),"")&amp;". ")&amp;IF(LEN(IF(ISNUMBER(INDEX('Dealer pipeline'!$L$4:$L$503,_calc!$E$584)),TEXT(INDEX('Dealer pipeline'!$L$4:$L$503,_calc!$E$584),"yyyy-mm-dd"),""))=0,"","Labor end: "&amp;IF(ISNUMBER(INDEX('Dealer pipeline'!$L$4:$L$503,_calc!$E$584)),TEXT(INDEX('Dealer pipeline'!$L$4:$L$503,_calc!$E$584),"yyyy-mm-dd"),"")&amp;". ")&amp;IF(LEN(IF(LEN(INDEX('Dealer pipeline'!$Q$4:$Q$503,_calc!$E$584))=0,"",INDEX('Dealer pipeline'!$Q$4:$Q$503,_calc!$E$584)))=0,"","Status: "&amp;IF(LEN(INDEX('Dealer pipeline'!$Q$4:$Q$503,_calc!$E$584))=0,"",INDEX('Dealer pipeline'!$Q$4:$Q$503,_calc!$E$584))&amp;". ")&amp;IF(LEN(IF(LEN(INDEX('Dealer pipeline'!$P$4:$P$503,_calc!$E$584))=0,"",INDEX('Dealer pipeline'!$P$4:$P$503,_calc!$E$584)))=0,"","Last touch: "&amp;IF(LEN(INDEX('Dealer pipeline'!$P$4:$P$503,_calc!$E$584))=0,"",INDEX('Dealer pipeline'!$P$4:$P$503,_calc!$E$584))&amp;". ")&amp;IF(LEN(IF(LEN(INDEX('Dealer pipeline'!$R$4:$R$503,_calc!$E$584))=0,"",INDEX('Dealer pipeline'!$R$4:$R$503,_calc!$E$584)))=0,"","Owner: "&amp;IF(LEN(INDEX('Dealer pipeline'!$R$4:$R$503,_calc!$E$584))=0,"",INDEX('Dealer pipeline'!$R$4:$R$503,_calc!$E$584))&amp;". ")&amp;IF(LEN(IF(LEN(INDEX('Dealer pipeline'!$S$4:$S$503,_calc!$E$584))=0,"",INDEX('Dealer pipeline'!$S$4:$S$503,_calc!$E$584)))=0,"","Backup: "&amp;IF(LEN(INDEX('Dealer pipeline'!$S$4:$S$503,_calc!$E$584))=0,"",INDEX('Dealer pipeline'!$S$4:$S$503,_calc!$E$584))&amp;". ")&amp;IF(LEN(IF(LEN(INDEX('Dealer pipeline'!$T$4:$T$503,_calc!$E$584))=0,"",INDEX('Dealer pipeline'!$T$4:$T$503,_calc!$E$584)))=0,"",IF(LEN(INDEX('Dealer pipeline'!$T$4:$T$503,_calc!$E$584))=0,"",INDEX('Dealer pipeline'!$T$4:$T$503,_calc!$E$584)))),TRIM(IF(LEN(IF(LEN(INDEX('My equipment'!$C$4:$C$503,(_calc!$E$584-500)))=0,"",INDEX('My equipment'!$C$4:$C$503,(_calc!$E$584-500))))=0,"","Model: "&amp;IF(LEN(INDEX('My equipment'!$C$4:$C$503,(_calc!$E$584-500)))=0,"",INDEX('My equipment'!$C$4:$C$503,(_calc!$E$584-500)))&amp;". ")&amp;IF(LEN(IF(LEN(INDEX('My equipment'!$D$4:$D$503,(_calc!$E$584-500)))=0,"",INDEX('My equipment'!$D$4:$D$503,(_calc!$E$584-500))))=0,"","Serial: "&amp;IF(LEN(INDEX('My equipment'!$D$4:$D$503,(_calc!$E$584-500)))=0,"",INDEX('My equipment'!$D$4:$D$503,(_calc!$E$584-500)))&amp;". ")&amp;IF(LEN(IF(ISNUMBER(INDEX('My equipment'!$J$4:$J$503,(_calc!$E$584-500))),TEXT(INDEX('My equipment'!$J$4:$J$503,(_calc!$E$584-500)),"yyyy-mm-dd"),""))=0,"","Parts end: "&amp;IF(ISNUMBER(INDEX('My equipment'!$J$4:$J$503,(_calc!$E$584-500))),TEXT(INDEX('My equipment'!$J$4:$J$503,(_calc!$E$584-500)),"yyyy-mm-dd"),"")&amp;". ")&amp;IF(LEN(IF(ISNUMBER(INDEX('My equipment'!$L$4:$L$503,(_calc!$E$584-500))),TEXT(INDEX('My equipment'!$L$4:$L$503,(_calc!$E$584-500)),"yyyy-mm-dd"),""))=0,"","Labor end: "&amp;IF(ISNUMBER(INDEX('My equipment'!$L$4:$L$503,(_calc!$E$584-500))),TEXT(INDEX('My equipment'!$L$4:$L$503,(_calc!$E$584-500)),"yyyy-mm-dd"),"")&amp;". ")&amp;IF(LEN(IF(ISNUMBER(INDEX('My equipment'!$P$4:$P$503,(_calc!$E$584-500))),TEXT(INDEX('My equipment'!$P$4:$P$503,(_calc!$E$584-500)),"yyyy-mm-dd"),""))=0,"","Check by: "&amp;IF(ISNUMBER(INDEX('My equipment'!$P$4:$P$503,(_calc!$E$584-500))),TEXT(INDEX('My equipment'!$P$4:$P$503,(_calc!$E$584-500)),"yyyy-mm-dd"),"")&amp;". ")&amp;IF(LEN(IF(LEN(INDEX('My equipment'!$Q$4:$Q$503,(_calc!$E$584-500)))=0,"",INDEX('My equipment'!$Q$4:$Q$503,(_calc!$E$584-500))))=0,"","Claim status: "&amp;IF(LEN(INDEX('My equipment'!$Q$4:$Q$503,(_calc!$E$584-500)))=0,"",INDEX('My equipment'!$Q$4:$Q$503,(_calc!$E$584-500)))&amp;". ")&amp;IF(LEN(IF(LEN(INDEX('My equipment'!$R$4:$R$503,(_calc!$E$584-500)))=0,"",INDEX('My equipment'!$R$4:$R$503,(_calc!$E$584-500))))=0,"","Claims contact: "&amp;IF(LEN(INDEX('My equipment'!$R$4:$R$503,(_calc!$E$584-500)))=0,"",INDEX('My equipment'!$R$4:$R$503,(_calc!$E$584-500)))&amp;". ")&amp;IF(LEN(IF(LEN(INDEX('My equipment'!$S$4:$S$503,(_calc!$E$584-500)))=0,"",INDEX('My equipment'!$S$4:$S$503,(_calc!$E$584-500))))=0,"","Claims email: "&amp;IF(LEN(INDEX('My equipment'!$S$4:$S$503,(_calc!$E$584-500)))=0,"",INDEX('My equipment'!$S$4:$S$503,(_calc!$E$584-500)))&amp;". ")&amp;IF(LEN(IF(LEN(INDEX('My equipment'!$U$4:$U$503,(_calc!$E$584-500)))=0,"",INDEX('My equipment'!$U$4:$U$503,(_calc!$E$584-500))))=0,"","Registered: "&amp;IF(LEN(INDEX('My equipment'!$U$4:$U$503,(_calc!$E$584-500)))=0,"",INDEX('My equipment'!$U$4:$U$503,(_calc!$E$584-500)))&amp;". ")&amp;IF(LEN(IF(LEN(INDEX('My equipment'!$V$4:$V$503,(_calc!$E$584-500)))=0,"",INDEX('My equipment'!$V$4:$V$503,(_calc!$E$584-500))))=0,"","Proof on file: "&amp;IF(LEN(INDEX('My equipment'!$V$4:$V$503,(_calc!$E$584-500)))=0,"",INDEX('My equipment'!$V$4:$V$503,(_calc!$E$584-500)))&amp;". ")&amp;IF(LEN(IF(LEN(INDEX('My equipment'!$W$4:$W$503,(_calc!$E$584-500)))=0,"",INDEX('My equipment'!$W$4:$W$503,(_calc!$E$584-500))))=0,"","Claim ref: "&amp;IF(LEN(INDEX('My equipment'!$W$4:$W$503,(_calc!$E$584-500)))=0,"",INDEX('My equipment'!$W$4:$W$503,(_calc!$E$584-500)))&amp;". ")&amp;IF(LEN(IF(LEN(INDEX('My equipment'!$Y$4:$Y$503,(_calc!$E$584-500)))=0,"",INDEX('My equipment'!$Y$4:$Y$503,(_calc!$E$584-500))))=0,"",IF(LEN(INDEX('My equipment'!$Y$4:$Y$503,(_calc!$E$584-500)))=0,"",INDEX('My equipment'!$Y$4:$Y$503,(_calc!$E$584-500)))))))</f>
        <v/>
      </c>
      <c r="G582" s="54">
        <f>IF(_calc!$E$584="","",IF(_calc!$E$584&lt;=500,"",IF(LEN(INDEX('My equipment'!$X$4:$X$503,(_calc!$E$584-500)))=0,"",INDEX('My equipment'!$X$4:$X$503,(_calc!$E$584-500)))))</f>
        <v/>
      </c>
      <c r="K582" s="54">
        <f>IF(_calc!$E$584="","",IF(_calc!$E$584&lt;=500,"",IF(LEN(INDEX('My equipment'!$T$4:$T$503,(_calc!$E$584-500)))=0,"",INDEX('My equipment'!$T$4:$T$503,(_calc!$E$584-500)))))</f>
        <v/>
      </c>
    </row>
    <row r="583">
      <c r="A583" s="54">
        <f>IF(_calc!$E$585="","",IF(_calc!$E$585&lt;=500,"Warranty – "&amp;IF(LEN(INDEX('Dealer pipeline'!$C$4:$C$503,_calc!$E$585))=0,"",INDEX('Dealer pipeline'!$C$4:$C$503,_calc!$E$585))&amp;" – "&amp;IF(LEN(INDEX('Dealer pipeline'!$D$4:$D$503,_calc!$E$585))=0,"",INDEX('Dealer pipeline'!$D$4:$D$503,_calc!$E$585))&amp;" – "&amp;IF(LEN(INDEX('Dealer pipeline'!$A$4:$A$503,_calc!$E$585))=0,"",INDEX('Dealer pipeline'!$A$4:$A$503,_calc!$E$585)),"Warranty – "&amp;IF(LEN(INDEX('My equipment'!$A$4:$A$503,(_calc!$E$585-500)))=0,"",INDEX('My equipment'!$A$4:$A$503,(_calc!$E$585-500)))&amp;" – "&amp;IF(LEN(INDEX('My equipment'!$D$4:$D$503,(_calc!$E$585-500)))=0,"",INDEX('My equipment'!$D$4:$D$503,(_calc!$E$585-500)))))</f>
        <v/>
      </c>
      <c r="B583" s="54">
        <f>IF(_calc!$E$585="","",IF(_calc!$E$585&lt;=500,IF(ISNUMBER(INDEX('Dealer pipeline'!$M$4:$M$503,_calc!$E$585)),TEXT(INDEX('Dealer pipeline'!$M$4:$M$503,_calc!$E$585),"yyyy-mm-dd"),""),IF(ISNUMBER(INDEX('My equipment'!$M$4:$M$503,(_calc!$E$585-500))),TEXT(INDEX('My equipment'!$M$4:$M$503,(_calc!$E$585-500)),"yyyy-mm-dd"),"")))</f>
        <v/>
      </c>
      <c r="C583" s="54">
        <f>IF(_calc!$E$585="","",IF(_calc!$E$585&lt;=500,"Warranty","Warranty"))</f>
        <v/>
      </c>
      <c r="D583" s="54">
        <f>IF(_calc!$E$585="","",IF(_calc!$E$585&lt;=500,IF(ISNUMBER(INDEX('Dealer pipeline'!$H$4:$H$503,_calc!$E$585)),TEXT(INDEX('Dealer pipeline'!$H$4:$H$503,_calc!$E$585),"yyyy-mm-dd"),""),IF(ISNUMBER(INDEX('My equipment'!$H$4:$H$503,(_calc!$E$585-500))),TEXT(INDEX('My equipment'!$H$4:$H$503,(_calc!$E$585-500)),"yyyy-mm-dd"),"")))</f>
        <v/>
      </c>
      <c r="F583" s="54">
        <f>IF(_calc!$E$585="","",IF(_calc!$E$585&lt;=500,TRIM(IF(LEN(IF(LEN(INDEX('Dealer pipeline'!$A$4:$A$503,_calc!$E$585))=0,"",INDEX('Dealer pipeline'!$A$4:$A$503,_calc!$E$585)))=0,"","Customer: "&amp;IF(LEN(INDEX('Dealer pipeline'!$A$4:$A$503,_calc!$E$585))=0,"",INDEX('Dealer pipeline'!$A$4:$A$503,_calc!$E$585))&amp;". ")&amp;IF(LEN(IF(LEN(INDEX('Dealer pipeline'!$B$4:$B$503,_calc!$E$585))=0,"",INDEX('Dealer pipeline'!$B$4:$B$503,_calc!$E$585)))=0,"","Contact: "&amp;IF(LEN(INDEX('Dealer pipeline'!$B$4:$B$503,_calc!$E$585))=0,"",INDEX('Dealer pipeline'!$B$4:$B$503,_calc!$E$585))&amp;". ")&amp;IF(LEN(IF(LEN(INDEX('Dealer pipeline'!$D$4:$D$503,_calc!$E$585))=0,"",INDEX('Dealer pipeline'!$D$4:$D$503,_calc!$E$585)))=0,"","Serial: "&amp;IF(LEN(INDEX('Dealer pipeline'!$D$4:$D$503,_calc!$E$585))=0,"",INDEX('Dealer pipeline'!$D$4:$D$503,_calc!$E$585))&amp;". ")&amp;IF(LEN(IF(ISNUMBER(INDEX('Dealer pipeline'!$J$4:$J$503,_calc!$E$585)),TEXT(INDEX('Dealer pipeline'!$J$4:$J$503,_calc!$E$585),"yyyy-mm-dd"),""))=0,"","Parts end: "&amp;IF(ISNUMBER(INDEX('Dealer pipeline'!$J$4:$J$503,_calc!$E$585)),TEXT(INDEX('Dealer pipeline'!$J$4:$J$503,_calc!$E$585),"yyyy-mm-dd"),"")&amp;". ")&amp;IF(LEN(IF(ISNUMBER(INDEX('Dealer pipeline'!$L$4:$L$503,_calc!$E$585)),TEXT(INDEX('Dealer pipeline'!$L$4:$L$503,_calc!$E$585),"yyyy-mm-dd"),""))=0,"","Labor end: "&amp;IF(ISNUMBER(INDEX('Dealer pipeline'!$L$4:$L$503,_calc!$E$585)),TEXT(INDEX('Dealer pipeline'!$L$4:$L$503,_calc!$E$585),"yyyy-mm-dd"),"")&amp;". ")&amp;IF(LEN(IF(LEN(INDEX('Dealer pipeline'!$Q$4:$Q$503,_calc!$E$585))=0,"",INDEX('Dealer pipeline'!$Q$4:$Q$503,_calc!$E$585)))=0,"","Status: "&amp;IF(LEN(INDEX('Dealer pipeline'!$Q$4:$Q$503,_calc!$E$585))=0,"",INDEX('Dealer pipeline'!$Q$4:$Q$503,_calc!$E$585))&amp;". ")&amp;IF(LEN(IF(LEN(INDEX('Dealer pipeline'!$P$4:$P$503,_calc!$E$585))=0,"",INDEX('Dealer pipeline'!$P$4:$P$503,_calc!$E$585)))=0,"","Last touch: "&amp;IF(LEN(INDEX('Dealer pipeline'!$P$4:$P$503,_calc!$E$585))=0,"",INDEX('Dealer pipeline'!$P$4:$P$503,_calc!$E$585))&amp;". ")&amp;IF(LEN(IF(LEN(INDEX('Dealer pipeline'!$R$4:$R$503,_calc!$E$585))=0,"",INDEX('Dealer pipeline'!$R$4:$R$503,_calc!$E$585)))=0,"","Owner: "&amp;IF(LEN(INDEX('Dealer pipeline'!$R$4:$R$503,_calc!$E$585))=0,"",INDEX('Dealer pipeline'!$R$4:$R$503,_calc!$E$585))&amp;". ")&amp;IF(LEN(IF(LEN(INDEX('Dealer pipeline'!$S$4:$S$503,_calc!$E$585))=0,"",INDEX('Dealer pipeline'!$S$4:$S$503,_calc!$E$585)))=0,"","Backup: "&amp;IF(LEN(INDEX('Dealer pipeline'!$S$4:$S$503,_calc!$E$585))=0,"",INDEX('Dealer pipeline'!$S$4:$S$503,_calc!$E$585))&amp;". ")&amp;IF(LEN(IF(LEN(INDEX('Dealer pipeline'!$T$4:$T$503,_calc!$E$585))=0,"",INDEX('Dealer pipeline'!$T$4:$T$503,_calc!$E$585)))=0,"",IF(LEN(INDEX('Dealer pipeline'!$T$4:$T$503,_calc!$E$585))=0,"",INDEX('Dealer pipeline'!$T$4:$T$503,_calc!$E$585)))),TRIM(IF(LEN(IF(LEN(INDEX('My equipment'!$C$4:$C$503,(_calc!$E$585-500)))=0,"",INDEX('My equipment'!$C$4:$C$503,(_calc!$E$585-500))))=0,"","Model: "&amp;IF(LEN(INDEX('My equipment'!$C$4:$C$503,(_calc!$E$585-500)))=0,"",INDEX('My equipment'!$C$4:$C$503,(_calc!$E$585-500)))&amp;". ")&amp;IF(LEN(IF(LEN(INDEX('My equipment'!$D$4:$D$503,(_calc!$E$585-500)))=0,"",INDEX('My equipment'!$D$4:$D$503,(_calc!$E$585-500))))=0,"","Serial: "&amp;IF(LEN(INDEX('My equipment'!$D$4:$D$503,(_calc!$E$585-500)))=0,"",INDEX('My equipment'!$D$4:$D$503,(_calc!$E$585-500)))&amp;". ")&amp;IF(LEN(IF(ISNUMBER(INDEX('My equipment'!$J$4:$J$503,(_calc!$E$585-500))),TEXT(INDEX('My equipment'!$J$4:$J$503,(_calc!$E$585-500)),"yyyy-mm-dd"),""))=0,"","Parts end: "&amp;IF(ISNUMBER(INDEX('My equipment'!$J$4:$J$503,(_calc!$E$585-500))),TEXT(INDEX('My equipment'!$J$4:$J$503,(_calc!$E$585-500)),"yyyy-mm-dd"),"")&amp;". ")&amp;IF(LEN(IF(ISNUMBER(INDEX('My equipment'!$L$4:$L$503,(_calc!$E$585-500))),TEXT(INDEX('My equipment'!$L$4:$L$503,(_calc!$E$585-500)),"yyyy-mm-dd"),""))=0,"","Labor end: "&amp;IF(ISNUMBER(INDEX('My equipment'!$L$4:$L$503,(_calc!$E$585-500))),TEXT(INDEX('My equipment'!$L$4:$L$503,(_calc!$E$585-500)),"yyyy-mm-dd"),"")&amp;". ")&amp;IF(LEN(IF(ISNUMBER(INDEX('My equipment'!$P$4:$P$503,(_calc!$E$585-500))),TEXT(INDEX('My equipment'!$P$4:$P$503,(_calc!$E$585-500)),"yyyy-mm-dd"),""))=0,"","Check by: "&amp;IF(ISNUMBER(INDEX('My equipment'!$P$4:$P$503,(_calc!$E$585-500))),TEXT(INDEX('My equipment'!$P$4:$P$503,(_calc!$E$585-500)),"yyyy-mm-dd"),"")&amp;". ")&amp;IF(LEN(IF(LEN(INDEX('My equipment'!$Q$4:$Q$503,(_calc!$E$585-500)))=0,"",INDEX('My equipment'!$Q$4:$Q$503,(_calc!$E$585-500))))=0,"","Claim status: "&amp;IF(LEN(INDEX('My equipment'!$Q$4:$Q$503,(_calc!$E$585-500)))=0,"",INDEX('My equipment'!$Q$4:$Q$503,(_calc!$E$585-500)))&amp;". ")&amp;IF(LEN(IF(LEN(INDEX('My equipment'!$R$4:$R$503,(_calc!$E$585-500)))=0,"",INDEX('My equipment'!$R$4:$R$503,(_calc!$E$585-500))))=0,"","Claims contact: "&amp;IF(LEN(INDEX('My equipment'!$R$4:$R$503,(_calc!$E$585-500)))=0,"",INDEX('My equipment'!$R$4:$R$503,(_calc!$E$585-500)))&amp;". ")&amp;IF(LEN(IF(LEN(INDEX('My equipment'!$S$4:$S$503,(_calc!$E$585-500)))=0,"",INDEX('My equipment'!$S$4:$S$503,(_calc!$E$585-500))))=0,"","Claims email: "&amp;IF(LEN(INDEX('My equipment'!$S$4:$S$503,(_calc!$E$585-500)))=0,"",INDEX('My equipment'!$S$4:$S$503,(_calc!$E$585-500)))&amp;". ")&amp;IF(LEN(IF(LEN(INDEX('My equipment'!$U$4:$U$503,(_calc!$E$585-500)))=0,"",INDEX('My equipment'!$U$4:$U$503,(_calc!$E$585-500))))=0,"","Registered: "&amp;IF(LEN(INDEX('My equipment'!$U$4:$U$503,(_calc!$E$585-500)))=0,"",INDEX('My equipment'!$U$4:$U$503,(_calc!$E$585-500)))&amp;". ")&amp;IF(LEN(IF(LEN(INDEX('My equipment'!$V$4:$V$503,(_calc!$E$585-500)))=0,"",INDEX('My equipment'!$V$4:$V$503,(_calc!$E$585-500))))=0,"","Proof on file: "&amp;IF(LEN(INDEX('My equipment'!$V$4:$V$503,(_calc!$E$585-500)))=0,"",INDEX('My equipment'!$V$4:$V$503,(_calc!$E$585-500)))&amp;". ")&amp;IF(LEN(IF(LEN(INDEX('My equipment'!$W$4:$W$503,(_calc!$E$585-500)))=0,"",INDEX('My equipment'!$W$4:$W$503,(_calc!$E$585-500))))=0,"","Claim ref: "&amp;IF(LEN(INDEX('My equipment'!$W$4:$W$503,(_calc!$E$585-500)))=0,"",INDEX('My equipment'!$W$4:$W$503,(_calc!$E$585-500)))&amp;". ")&amp;IF(LEN(IF(LEN(INDEX('My equipment'!$Y$4:$Y$503,(_calc!$E$585-500)))=0,"",INDEX('My equipment'!$Y$4:$Y$503,(_calc!$E$585-500))))=0,"",IF(LEN(INDEX('My equipment'!$Y$4:$Y$503,(_calc!$E$585-500)))=0,"",INDEX('My equipment'!$Y$4:$Y$503,(_calc!$E$585-500)))))))</f>
        <v/>
      </c>
      <c r="G583" s="54">
        <f>IF(_calc!$E$585="","",IF(_calc!$E$585&lt;=500,"",IF(LEN(INDEX('My equipment'!$X$4:$X$503,(_calc!$E$585-500)))=0,"",INDEX('My equipment'!$X$4:$X$503,(_calc!$E$585-500)))))</f>
        <v/>
      </c>
      <c r="K583" s="54">
        <f>IF(_calc!$E$585="","",IF(_calc!$E$585&lt;=500,"",IF(LEN(INDEX('My equipment'!$T$4:$T$503,(_calc!$E$585-500)))=0,"",INDEX('My equipment'!$T$4:$T$503,(_calc!$E$585-500)))))</f>
        <v/>
      </c>
    </row>
    <row r="584">
      <c r="A584" s="54">
        <f>IF(_calc!$E$586="","",IF(_calc!$E$586&lt;=500,"Warranty – "&amp;IF(LEN(INDEX('Dealer pipeline'!$C$4:$C$503,_calc!$E$586))=0,"",INDEX('Dealer pipeline'!$C$4:$C$503,_calc!$E$586))&amp;" – "&amp;IF(LEN(INDEX('Dealer pipeline'!$D$4:$D$503,_calc!$E$586))=0,"",INDEX('Dealer pipeline'!$D$4:$D$503,_calc!$E$586))&amp;" – "&amp;IF(LEN(INDEX('Dealer pipeline'!$A$4:$A$503,_calc!$E$586))=0,"",INDEX('Dealer pipeline'!$A$4:$A$503,_calc!$E$586)),"Warranty – "&amp;IF(LEN(INDEX('My equipment'!$A$4:$A$503,(_calc!$E$586-500)))=0,"",INDEX('My equipment'!$A$4:$A$503,(_calc!$E$586-500)))&amp;" – "&amp;IF(LEN(INDEX('My equipment'!$D$4:$D$503,(_calc!$E$586-500)))=0,"",INDEX('My equipment'!$D$4:$D$503,(_calc!$E$586-500)))))</f>
        <v/>
      </c>
      <c r="B584" s="54">
        <f>IF(_calc!$E$586="","",IF(_calc!$E$586&lt;=500,IF(ISNUMBER(INDEX('Dealer pipeline'!$M$4:$M$503,_calc!$E$586)),TEXT(INDEX('Dealer pipeline'!$M$4:$M$503,_calc!$E$586),"yyyy-mm-dd"),""),IF(ISNUMBER(INDEX('My equipment'!$M$4:$M$503,(_calc!$E$586-500))),TEXT(INDEX('My equipment'!$M$4:$M$503,(_calc!$E$586-500)),"yyyy-mm-dd"),"")))</f>
        <v/>
      </c>
      <c r="C584" s="54">
        <f>IF(_calc!$E$586="","",IF(_calc!$E$586&lt;=500,"Warranty","Warranty"))</f>
        <v/>
      </c>
      <c r="D584" s="54">
        <f>IF(_calc!$E$586="","",IF(_calc!$E$586&lt;=500,IF(ISNUMBER(INDEX('Dealer pipeline'!$H$4:$H$503,_calc!$E$586)),TEXT(INDEX('Dealer pipeline'!$H$4:$H$503,_calc!$E$586),"yyyy-mm-dd"),""),IF(ISNUMBER(INDEX('My equipment'!$H$4:$H$503,(_calc!$E$586-500))),TEXT(INDEX('My equipment'!$H$4:$H$503,(_calc!$E$586-500)),"yyyy-mm-dd"),"")))</f>
        <v/>
      </c>
      <c r="F584" s="54">
        <f>IF(_calc!$E$586="","",IF(_calc!$E$586&lt;=500,TRIM(IF(LEN(IF(LEN(INDEX('Dealer pipeline'!$A$4:$A$503,_calc!$E$586))=0,"",INDEX('Dealer pipeline'!$A$4:$A$503,_calc!$E$586)))=0,"","Customer: "&amp;IF(LEN(INDEX('Dealer pipeline'!$A$4:$A$503,_calc!$E$586))=0,"",INDEX('Dealer pipeline'!$A$4:$A$503,_calc!$E$586))&amp;". ")&amp;IF(LEN(IF(LEN(INDEX('Dealer pipeline'!$B$4:$B$503,_calc!$E$586))=0,"",INDEX('Dealer pipeline'!$B$4:$B$503,_calc!$E$586)))=0,"","Contact: "&amp;IF(LEN(INDEX('Dealer pipeline'!$B$4:$B$503,_calc!$E$586))=0,"",INDEX('Dealer pipeline'!$B$4:$B$503,_calc!$E$586))&amp;". ")&amp;IF(LEN(IF(LEN(INDEX('Dealer pipeline'!$D$4:$D$503,_calc!$E$586))=0,"",INDEX('Dealer pipeline'!$D$4:$D$503,_calc!$E$586)))=0,"","Serial: "&amp;IF(LEN(INDEX('Dealer pipeline'!$D$4:$D$503,_calc!$E$586))=0,"",INDEX('Dealer pipeline'!$D$4:$D$503,_calc!$E$586))&amp;". ")&amp;IF(LEN(IF(ISNUMBER(INDEX('Dealer pipeline'!$J$4:$J$503,_calc!$E$586)),TEXT(INDEX('Dealer pipeline'!$J$4:$J$503,_calc!$E$586),"yyyy-mm-dd"),""))=0,"","Parts end: "&amp;IF(ISNUMBER(INDEX('Dealer pipeline'!$J$4:$J$503,_calc!$E$586)),TEXT(INDEX('Dealer pipeline'!$J$4:$J$503,_calc!$E$586),"yyyy-mm-dd"),"")&amp;". ")&amp;IF(LEN(IF(ISNUMBER(INDEX('Dealer pipeline'!$L$4:$L$503,_calc!$E$586)),TEXT(INDEX('Dealer pipeline'!$L$4:$L$503,_calc!$E$586),"yyyy-mm-dd"),""))=0,"","Labor end: "&amp;IF(ISNUMBER(INDEX('Dealer pipeline'!$L$4:$L$503,_calc!$E$586)),TEXT(INDEX('Dealer pipeline'!$L$4:$L$503,_calc!$E$586),"yyyy-mm-dd"),"")&amp;". ")&amp;IF(LEN(IF(LEN(INDEX('Dealer pipeline'!$Q$4:$Q$503,_calc!$E$586))=0,"",INDEX('Dealer pipeline'!$Q$4:$Q$503,_calc!$E$586)))=0,"","Status: "&amp;IF(LEN(INDEX('Dealer pipeline'!$Q$4:$Q$503,_calc!$E$586))=0,"",INDEX('Dealer pipeline'!$Q$4:$Q$503,_calc!$E$586))&amp;". ")&amp;IF(LEN(IF(LEN(INDEX('Dealer pipeline'!$P$4:$P$503,_calc!$E$586))=0,"",INDEX('Dealer pipeline'!$P$4:$P$503,_calc!$E$586)))=0,"","Last touch: "&amp;IF(LEN(INDEX('Dealer pipeline'!$P$4:$P$503,_calc!$E$586))=0,"",INDEX('Dealer pipeline'!$P$4:$P$503,_calc!$E$586))&amp;". ")&amp;IF(LEN(IF(LEN(INDEX('Dealer pipeline'!$R$4:$R$503,_calc!$E$586))=0,"",INDEX('Dealer pipeline'!$R$4:$R$503,_calc!$E$586)))=0,"","Owner: "&amp;IF(LEN(INDEX('Dealer pipeline'!$R$4:$R$503,_calc!$E$586))=0,"",INDEX('Dealer pipeline'!$R$4:$R$503,_calc!$E$586))&amp;". ")&amp;IF(LEN(IF(LEN(INDEX('Dealer pipeline'!$S$4:$S$503,_calc!$E$586))=0,"",INDEX('Dealer pipeline'!$S$4:$S$503,_calc!$E$586)))=0,"","Backup: "&amp;IF(LEN(INDEX('Dealer pipeline'!$S$4:$S$503,_calc!$E$586))=0,"",INDEX('Dealer pipeline'!$S$4:$S$503,_calc!$E$586))&amp;". ")&amp;IF(LEN(IF(LEN(INDEX('Dealer pipeline'!$T$4:$T$503,_calc!$E$586))=0,"",INDEX('Dealer pipeline'!$T$4:$T$503,_calc!$E$586)))=0,"",IF(LEN(INDEX('Dealer pipeline'!$T$4:$T$503,_calc!$E$586))=0,"",INDEX('Dealer pipeline'!$T$4:$T$503,_calc!$E$586)))),TRIM(IF(LEN(IF(LEN(INDEX('My equipment'!$C$4:$C$503,(_calc!$E$586-500)))=0,"",INDEX('My equipment'!$C$4:$C$503,(_calc!$E$586-500))))=0,"","Model: "&amp;IF(LEN(INDEX('My equipment'!$C$4:$C$503,(_calc!$E$586-500)))=0,"",INDEX('My equipment'!$C$4:$C$503,(_calc!$E$586-500)))&amp;". ")&amp;IF(LEN(IF(LEN(INDEX('My equipment'!$D$4:$D$503,(_calc!$E$586-500)))=0,"",INDEX('My equipment'!$D$4:$D$503,(_calc!$E$586-500))))=0,"","Serial: "&amp;IF(LEN(INDEX('My equipment'!$D$4:$D$503,(_calc!$E$586-500)))=0,"",INDEX('My equipment'!$D$4:$D$503,(_calc!$E$586-500)))&amp;". ")&amp;IF(LEN(IF(ISNUMBER(INDEX('My equipment'!$J$4:$J$503,(_calc!$E$586-500))),TEXT(INDEX('My equipment'!$J$4:$J$503,(_calc!$E$586-500)),"yyyy-mm-dd"),""))=0,"","Parts end: "&amp;IF(ISNUMBER(INDEX('My equipment'!$J$4:$J$503,(_calc!$E$586-500))),TEXT(INDEX('My equipment'!$J$4:$J$503,(_calc!$E$586-500)),"yyyy-mm-dd"),"")&amp;". ")&amp;IF(LEN(IF(ISNUMBER(INDEX('My equipment'!$L$4:$L$503,(_calc!$E$586-500))),TEXT(INDEX('My equipment'!$L$4:$L$503,(_calc!$E$586-500)),"yyyy-mm-dd"),""))=0,"","Labor end: "&amp;IF(ISNUMBER(INDEX('My equipment'!$L$4:$L$503,(_calc!$E$586-500))),TEXT(INDEX('My equipment'!$L$4:$L$503,(_calc!$E$586-500)),"yyyy-mm-dd"),"")&amp;". ")&amp;IF(LEN(IF(ISNUMBER(INDEX('My equipment'!$P$4:$P$503,(_calc!$E$586-500))),TEXT(INDEX('My equipment'!$P$4:$P$503,(_calc!$E$586-500)),"yyyy-mm-dd"),""))=0,"","Check by: "&amp;IF(ISNUMBER(INDEX('My equipment'!$P$4:$P$503,(_calc!$E$586-500))),TEXT(INDEX('My equipment'!$P$4:$P$503,(_calc!$E$586-500)),"yyyy-mm-dd"),"")&amp;". ")&amp;IF(LEN(IF(LEN(INDEX('My equipment'!$Q$4:$Q$503,(_calc!$E$586-500)))=0,"",INDEX('My equipment'!$Q$4:$Q$503,(_calc!$E$586-500))))=0,"","Claim status: "&amp;IF(LEN(INDEX('My equipment'!$Q$4:$Q$503,(_calc!$E$586-500)))=0,"",INDEX('My equipment'!$Q$4:$Q$503,(_calc!$E$586-500)))&amp;". ")&amp;IF(LEN(IF(LEN(INDEX('My equipment'!$R$4:$R$503,(_calc!$E$586-500)))=0,"",INDEX('My equipment'!$R$4:$R$503,(_calc!$E$586-500))))=0,"","Claims contact: "&amp;IF(LEN(INDEX('My equipment'!$R$4:$R$503,(_calc!$E$586-500)))=0,"",INDEX('My equipment'!$R$4:$R$503,(_calc!$E$586-500)))&amp;". ")&amp;IF(LEN(IF(LEN(INDEX('My equipment'!$S$4:$S$503,(_calc!$E$586-500)))=0,"",INDEX('My equipment'!$S$4:$S$503,(_calc!$E$586-500))))=0,"","Claims email: "&amp;IF(LEN(INDEX('My equipment'!$S$4:$S$503,(_calc!$E$586-500)))=0,"",INDEX('My equipment'!$S$4:$S$503,(_calc!$E$586-500)))&amp;". ")&amp;IF(LEN(IF(LEN(INDEX('My equipment'!$U$4:$U$503,(_calc!$E$586-500)))=0,"",INDEX('My equipment'!$U$4:$U$503,(_calc!$E$586-500))))=0,"","Registered: "&amp;IF(LEN(INDEX('My equipment'!$U$4:$U$503,(_calc!$E$586-500)))=0,"",INDEX('My equipment'!$U$4:$U$503,(_calc!$E$586-500)))&amp;". ")&amp;IF(LEN(IF(LEN(INDEX('My equipment'!$V$4:$V$503,(_calc!$E$586-500)))=0,"",INDEX('My equipment'!$V$4:$V$503,(_calc!$E$586-500))))=0,"","Proof on file: "&amp;IF(LEN(INDEX('My equipment'!$V$4:$V$503,(_calc!$E$586-500)))=0,"",INDEX('My equipment'!$V$4:$V$503,(_calc!$E$586-500)))&amp;". ")&amp;IF(LEN(IF(LEN(INDEX('My equipment'!$W$4:$W$503,(_calc!$E$586-500)))=0,"",INDEX('My equipment'!$W$4:$W$503,(_calc!$E$586-500))))=0,"","Claim ref: "&amp;IF(LEN(INDEX('My equipment'!$W$4:$W$503,(_calc!$E$586-500)))=0,"",INDEX('My equipment'!$W$4:$W$503,(_calc!$E$586-500)))&amp;". ")&amp;IF(LEN(IF(LEN(INDEX('My equipment'!$Y$4:$Y$503,(_calc!$E$586-500)))=0,"",INDEX('My equipment'!$Y$4:$Y$503,(_calc!$E$586-500))))=0,"",IF(LEN(INDEX('My equipment'!$Y$4:$Y$503,(_calc!$E$586-500)))=0,"",INDEX('My equipment'!$Y$4:$Y$503,(_calc!$E$586-500)))))))</f>
        <v/>
      </c>
      <c r="G584" s="54">
        <f>IF(_calc!$E$586="","",IF(_calc!$E$586&lt;=500,"",IF(LEN(INDEX('My equipment'!$X$4:$X$503,(_calc!$E$586-500)))=0,"",INDEX('My equipment'!$X$4:$X$503,(_calc!$E$586-500)))))</f>
        <v/>
      </c>
      <c r="K584" s="54">
        <f>IF(_calc!$E$586="","",IF(_calc!$E$586&lt;=500,"",IF(LEN(INDEX('My equipment'!$T$4:$T$503,(_calc!$E$586-500)))=0,"",INDEX('My equipment'!$T$4:$T$503,(_calc!$E$586-500)))))</f>
        <v/>
      </c>
    </row>
    <row r="585">
      <c r="A585" s="54">
        <f>IF(_calc!$E$587="","",IF(_calc!$E$587&lt;=500,"Warranty – "&amp;IF(LEN(INDEX('Dealer pipeline'!$C$4:$C$503,_calc!$E$587))=0,"",INDEX('Dealer pipeline'!$C$4:$C$503,_calc!$E$587))&amp;" – "&amp;IF(LEN(INDEX('Dealer pipeline'!$D$4:$D$503,_calc!$E$587))=0,"",INDEX('Dealer pipeline'!$D$4:$D$503,_calc!$E$587))&amp;" – "&amp;IF(LEN(INDEX('Dealer pipeline'!$A$4:$A$503,_calc!$E$587))=0,"",INDEX('Dealer pipeline'!$A$4:$A$503,_calc!$E$587)),"Warranty – "&amp;IF(LEN(INDEX('My equipment'!$A$4:$A$503,(_calc!$E$587-500)))=0,"",INDEX('My equipment'!$A$4:$A$503,(_calc!$E$587-500)))&amp;" – "&amp;IF(LEN(INDEX('My equipment'!$D$4:$D$503,(_calc!$E$587-500)))=0,"",INDEX('My equipment'!$D$4:$D$503,(_calc!$E$587-500)))))</f>
        <v/>
      </c>
      <c r="B585" s="54">
        <f>IF(_calc!$E$587="","",IF(_calc!$E$587&lt;=500,IF(ISNUMBER(INDEX('Dealer pipeline'!$M$4:$M$503,_calc!$E$587)),TEXT(INDEX('Dealer pipeline'!$M$4:$M$503,_calc!$E$587),"yyyy-mm-dd"),""),IF(ISNUMBER(INDEX('My equipment'!$M$4:$M$503,(_calc!$E$587-500))),TEXT(INDEX('My equipment'!$M$4:$M$503,(_calc!$E$587-500)),"yyyy-mm-dd"),"")))</f>
        <v/>
      </c>
      <c r="C585" s="54">
        <f>IF(_calc!$E$587="","",IF(_calc!$E$587&lt;=500,"Warranty","Warranty"))</f>
        <v/>
      </c>
      <c r="D585" s="54">
        <f>IF(_calc!$E$587="","",IF(_calc!$E$587&lt;=500,IF(ISNUMBER(INDEX('Dealer pipeline'!$H$4:$H$503,_calc!$E$587)),TEXT(INDEX('Dealer pipeline'!$H$4:$H$503,_calc!$E$587),"yyyy-mm-dd"),""),IF(ISNUMBER(INDEX('My equipment'!$H$4:$H$503,(_calc!$E$587-500))),TEXT(INDEX('My equipment'!$H$4:$H$503,(_calc!$E$587-500)),"yyyy-mm-dd"),"")))</f>
        <v/>
      </c>
      <c r="F585" s="54">
        <f>IF(_calc!$E$587="","",IF(_calc!$E$587&lt;=500,TRIM(IF(LEN(IF(LEN(INDEX('Dealer pipeline'!$A$4:$A$503,_calc!$E$587))=0,"",INDEX('Dealer pipeline'!$A$4:$A$503,_calc!$E$587)))=0,"","Customer: "&amp;IF(LEN(INDEX('Dealer pipeline'!$A$4:$A$503,_calc!$E$587))=0,"",INDEX('Dealer pipeline'!$A$4:$A$503,_calc!$E$587))&amp;". ")&amp;IF(LEN(IF(LEN(INDEX('Dealer pipeline'!$B$4:$B$503,_calc!$E$587))=0,"",INDEX('Dealer pipeline'!$B$4:$B$503,_calc!$E$587)))=0,"","Contact: "&amp;IF(LEN(INDEX('Dealer pipeline'!$B$4:$B$503,_calc!$E$587))=0,"",INDEX('Dealer pipeline'!$B$4:$B$503,_calc!$E$587))&amp;". ")&amp;IF(LEN(IF(LEN(INDEX('Dealer pipeline'!$D$4:$D$503,_calc!$E$587))=0,"",INDEX('Dealer pipeline'!$D$4:$D$503,_calc!$E$587)))=0,"","Serial: "&amp;IF(LEN(INDEX('Dealer pipeline'!$D$4:$D$503,_calc!$E$587))=0,"",INDEX('Dealer pipeline'!$D$4:$D$503,_calc!$E$587))&amp;". ")&amp;IF(LEN(IF(ISNUMBER(INDEX('Dealer pipeline'!$J$4:$J$503,_calc!$E$587)),TEXT(INDEX('Dealer pipeline'!$J$4:$J$503,_calc!$E$587),"yyyy-mm-dd"),""))=0,"","Parts end: "&amp;IF(ISNUMBER(INDEX('Dealer pipeline'!$J$4:$J$503,_calc!$E$587)),TEXT(INDEX('Dealer pipeline'!$J$4:$J$503,_calc!$E$587),"yyyy-mm-dd"),"")&amp;". ")&amp;IF(LEN(IF(ISNUMBER(INDEX('Dealer pipeline'!$L$4:$L$503,_calc!$E$587)),TEXT(INDEX('Dealer pipeline'!$L$4:$L$503,_calc!$E$587),"yyyy-mm-dd"),""))=0,"","Labor end: "&amp;IF(ISNUMBER(INDEX('Dealer pipeline'!$L$4:$L$503,_calc!$E$587)),TEXT(INDEX('Dealer pipeline'!$L$4:$L$503,_calc!$E$587),"yyyy-mm-dd"),"")&amp;". ")&amp;IF(LEN(IF(LEN(INDEX('Dealer pipeline'!$Q$4:$Q$503,_calc!$E$587))=0,"",INDEX('Dealer pipeline'!$Q$4:$Q$503,_calc!$E$587)))=0,"","Status: "&amp;IF(LEN(INDEX('Dealer pipeline'!$Q$4:$Q$503,_calc!$E$587))=0,"",INDEX('Dealer pipeline'!$Q$4:$Q$503,_calc!$E$587))&amp;". ")&amp;IF(LEN(IF(LEN(INDEX('Dealer pipeline'!$P$4:$P$503,_calc!$E$587))=0,"",INDEX('Dealer pipeline'!$P$4:$P$503,_calc!$E$587)))=0,"","Last touch: "&amp;IF(LEN(INDEX('Dealer pipeline'!$P$4:$P$503,_calc!$E$587))=0,"",INDEX('Dealer pipeline'!$P$4:$P$503,_calc!$E$587))&amp;". ")&amp;IF(LEN(IF(LEN(INDEX('Dealer pipeline'!$R$4:$R$503,_calc!$E$587))=0,"",INDEX('Dealer pipeline'!$R$4:$R$503,_calc!$E$587)))=0,"","Owner: "&amp;IF(LEN(INDEX('Dealer pipeline'!$R$4:$R$503,_calc!$E$587))=0,"",INDEX('Dealer pipeline'!$R$4:$R$503,_calc!$E$587))&amp;". ")&amp;IF(LEN(IF(LEN(INDEX('Dealer pipeline'!$S$4:$S$503,_calc!$E$587))=0,"",INDEX('Dealer pipeline'!$S$4:$S$503,_calc!$E$587)))=0,"","Backup: "&amp;IF(LEN(INDEX('Dealer pipeline'!$S$4:$S$503,_calc!$E$587))=0,"",INDEX('Dealer pipeline'!$S$4:$S$503,_calc!$E$587))&amp;". ")&amp;IF(LEN(IF(LEN(INDEX('Dealer pipeline'!$T$4:$T$503,_calc!$E$587))=0,"",INDEX('Dealer pipeline'!$T$4:$T$503,_calc!$E$587)))=0,"",IF(LEN(INDEX('Dealer pipeline'!$T$4:$T$503,_calc!$E$587))=0,"",INDEX('Dealer pipeline'!$T$4:$T$503,_calc!$E$587)))),TRIM(IF(LEN(IF(LEN(INDEX('My equipment'!$C$4:$C$503,(_calc!$E$587-500)))=0,"",INDEX('My equipment'!$C$4:$C$503,(_calc!$E$587-500))))=0,"","Model: "&amp;IF(LEN(INDEX('My equipment'!$C$4:$C$503,(_calc!$E$587-500)))=0,"",INDEX('My equipment'!$C$4:$C$503,(_calc!$E$587-500)))&amp;". ")&amp;IF(LEN(IF(LEN(INDEX('My equipment'!$D$4:$D$503,(_calc!$E$587-500)))=0,"",INDEX('My equipment'!$D$4:$D$503,(_calc!$E$587-500))))=0,"","Serial: "&amp;IF(LEN(INDEX('My equipment'!$D$4:$D$503,(_calc!$E$587-500)))=0,"",INDEX('My equipment'!$D$4:$D$503,(_calc!$E$587-500)))&amp;". ")&amp;IF(LEN(IF(ISNUMBER(INDEX('My equipment'!$J$4:$J$503,(_calc!$E$587-500))),TEXT(INDEX('My equipment'!$J$4:$J$503,(_calc!$E$587-500)),"yyyy-mm-dd"),""))=0,"","Parts end: "&amp;IF(ISNUMBER(INDEX('My equipment'!$J$4:$J$503,(_calc!$E$587-500))),TEXT(INDEX('My equipment'!$J$4:$J$503,(_calc!$E$587-500)),"yyyy-mm-dd"),"")&amp;". ")&amp;IF(LEN(IF(ISNUMBER(INDEX('My equipment'!$L$4:$L$503,(_calc!$E$587-500))),TEXT(INDEX('My equipment'!$L$4:$L$503,(_calc!$E$587-500)),"yyyy-mm-dd"),""))=0,"","Labor end: "&amp;IF(ISNUMBER(INDEX('My equipment'!$L$4:$L$503,(_calc!$E$587-500))),TEXT(INDEX('My equipment'!$L$4:$L$503,(_calc!$E$587-500)),"yyyy-mm-dd"),"")&amp;". ")&amp;IF(LEN(IF(ISNUMBER(INDEX('My equipment'!$P$4:$P$503,(_calc!$E$587-500))),TEXT(INDEX('My equipment'!$P$4:$P$503,(_calc!$E$587-500)),"yyyy-mm-dd"),""))=0,"","Check by: "&amp;IF(ISNUMBER(INDEX('My equipment'!$P$4:$P$503,(_calc!$E$587-500))),TEXT(INDEX('My equipment'!$P$4:$P$503,(_calc!$E$587-500)),"yyyy-mm-dd"),"")&amp;". ")&amp;IF(LEN(IF(LEN(INDEX('My equipment'!$Q$4:$Q$503,(_calc!$E$587-500)))=0,"",INDEX('My equipment'!$Q$4:$Q$503,(_calc!$E$587-500))))=0,"","Claim status: "&amp;IF(LEN(INDEX('My equipment'!$Q$4:$Q$503,(_calc!$E$587-500)))=0,"",INDEX('My equipment'!$Q$4:$Q$503,(_calc!$E$587-500)))&amp;". ")&amp;IF(LEN(IF(LEN(INDEX('My equipment'!$R$4:$R$503,(_calc!$E$587-500)))=0,"",INDEX('My equipment'!$R$4:$R$503,(_calc!$E$587-500))))=0,"","Claims contact: "&amp;IF(LEN(INDEX('My equipment'!$R$4:$R$503,(_calc!$E$587-500)))=0,"",INDEX('My equipment'!$R$4:$R$503,(_calc!$E$587-500)))&amp;". ")&amp;IF(LEN(IF(LEN(INDEX('My equipment'!$S$4:$S$503,(_calc!$E$587-500)))=0,"",INDEX('My equipment'!$S$4:$S$503,(_calc!$E$587-500))))=0,"","Claims email: "&amp;IF(LEN(INDEX('My equipment'!$S$4:$S$503,(_calc!$E$587-500)))=0,"",INDEX('My equipment'!$S$4:$S$503,(_calc!$E$587-500)))&amp;". ")&amp;IF(LEN(IF(LEN(INDEX('My equipment'!$U$4:$U$503,(_calc!$E$587-500)))=0,"",INDEX('My equipment'!$U$4:$U$503,(_calc!$E$587-500))))=0,"","Registered: "&amp;IF(LEN(INDEX('My equipment'!$U$4:$U$503,(_calc!$E$587-500)))=0,"",INDEX('My equipment'!$U$4:$U$503,(_calc!$E$587-500)))&amp;". ")&amp;IF(LEN(IF(LEN(INDEX('My equipment'!$V$4:$V$503,(_calc!$E$587-500)))=0,"",INDEX('My equipment'!$V$4:$V$503,(_calc!$E$587-500))))=0,"","Proof on file: "&amp;IF(LEN(INDEX('My equipment'!$V$4:$V$503,(_calc!$E$587-500)))=0,"",INDEX('My equipment'!$V$4:$V$503,(_calc!$E$587-500)))&amp;". ")&amp;IF(LEN(IF(LEN(INDEX('My equipment'!$W$4:$W$503,(_calc!$E$587-500)))=0,"",INDEX('My equipment'!$W$4:$W$503,(_calc!$E$587-500))))=0,"","Claim ref: "&amp;IF(LEN(INDEX('My equipment'!$W$4:$W$503,(_calc!$E$587-500)))=0,"",INDEX('My equipment'!$W$4:$W$503,(_calc!$E$587-500)))&amp;". ")&amp;IF(LEN(IF(LEN(INDEX('My equipment'!$Y$4:$Y$503,(_calc!$E$587-500)))=0,"",INDEX('My equipment'!$Y$4:$Y$503,(_calc!$E$587-500))))=0,"",IF(LEN(INDEX('My equipment'!$Y$4:$Y$503,(_calc!$E$587-500)))=0,"",INDEX('My equipment'!$Y$4:$Y$503,(_calc!$E$587-500)))))))</f>
        <v/>
      </c>
      <c r="G585" s="54">
        <f>IF(_calc!$E$587="","",IF(_calc!$E$587&lt;=500,"",IF(LEN(INDEX('My equipment'!$X$4:$X$503,(_calc!$E$587-500)))=0,"",INDEX('My equipment'!$X$4:$X$503,(_calc!$E$587-500)))))</f>
        <v/>
      </c>
      <c r="K585" s="54">
        <f>IF(_calc!$E$587="","",IF(_calc!$E$587&lt;=500,"",IF(LEN(INDEX('My equipment'!$T$4:$T$503,(_calc!$E$587-500)))=0,"",INDEX('My equipment'!$T$4:$T$503,(_calc!$E$587-500)))))</f>
        <v/>
      </c>
    </row>
    <row r="586">
      <c r="A586" s="54">
        <f>IF(_calc!$E$588="","",IF(_calc!$E$588&lt;=500,"Warranty – "&amp;IF(LEN(INDEX('Dealer pipeline'!$C$4:$C$503,_calc!$E$588))=0,"",INDEX('Dealer pipeline'!$C$4:$C$503,_calc!$E$588))&amp;" – "&amp;IF(LEN(INDEX('Dealer pipeline'!$D$4:$D$503,_calc!$E$588))=0,"",INDEX('Dealer pipeline'!$D$4:$D$503,_calc!$E$588))&amp;" – "&amp;IF(LEN(INDEX('Dealer pipeline'!$A$4:$A$503,_calc!$E$588))=0,"",INDEX('Dealer pipeline'!$A$4:$A$503,_calc!$E$588)),"Warranty – "&amp;IF(LEN(INDEX('My equipment'!$A$4:$A$503,(_calc!$E$588-500)))=0,"",INDEX('My equipment'!$A$4:$A$503,(_calc!$E$588-500)))&amp;" – "&amp;IF(LEN(INDEX('My equipment'!$D$4:$D$503,(_calc!$E$588-500)))=0,"",INDEX('My equipment'!$D$4:$D$503,(_calc!$E$588-500)))))</f>
        <v/>
      </c>
      <c r="B586" s="54">
        <f>IF(_calc!$E$588="","",IF(_calc!$E$588&lt;=500,IF(ISNUMBER(INDEX('Dealer pipeline'!$M$4:$M$503,_calc!$E$588)),TEXT(INDEX('Dealer pipeline'!$M$4:$M$503,_calc!$E$588),"yyyy-mm-dd"),""),IF(ISNUMBER(INDEX('My equipment'!$M$4:$M$503,(_calc!$E$588-500))),TEXT(INDEX('My equipment'!$M$4:$M$503,(_calc!$E$588-500)),"yyyy-mm-dd"),"")))</f>
        <v/>
      </c>
      <c r="C586" s="54">
        <f>IF(_calc!$E$588="","",IF(_calc!$E$588&lt;=500,"Warranty","Warranty"))</f>
        <v/>
      </c>
      <c r="D586" s="54">
        <f>IF(_calc!$E$588="","",IF(_calc!$E$588&lt;=500,IF(ISNUMBER(INDEX('Dealer pipeline'!$H$4:$H$503,_calc!$E$588)),TEXT(INDEX('Dealer pipeline'!$H$4:$H$503,_calc!$E$588),"yyyy-mm-dd"),""),IF(ISNUMBER(INDEX('My equipment'!$H$4:$H$503,(_calc!$E$588-500))),TEXT(INDEX('My equipment'!$H$4:$H$503,(_calc!$E$588-500)),"yyyy-mm-dd"),"")))</f>
        <v/>
      </c>
      <c r="F586" s="54">
        <f>IF(_calc!$E$588="","",IF(_calc!$E$588&lt;=500,TRIM(IF(LEN(IF(LEN(INDEX('Dealer pipeline'!$A$4:$A$503,_calc!$E$588))=0,"",INDEX('Dealer pipeline'!$A$4:$A$503,_calc!$E$588)))=0,"","Customer: "&amp;IF(LEN(INDEX('Dealer pipeline'!$A$4:$A$503,_calc!$E$588))=0,"",INDEX('Dealer pipeline'!$A$4:$A$503,_calc!$E$588))&amp;". ")&amp;IF(LEN(IF(LEN(INDEX('Dealer pipeline'!$B$4:$B$503,_calc!$E$588))=0,"",INDEX('Dealer pipeline'!$B$4:$B$503,_calc!$E$588)))=0,"","Contact: "&amp;IF(LEN(INDEX('Dealer pipeline'!$B$4:$B$503,_calc!$E$588))=0,"",INDEX('Dealer pipeline'!$B$4:$B$503,_calc!$E$588))&amp;". ")&amp;IF(LEN(IF(LEN(INDEX('Dealer pipeline'!$D$4:$D$503,_calc!$E$588))=0,"",INDEX('Dealer pipeline'!$D$4:$D$503,_calc!$E$588)))=0,"","Serial: "&amp;IF(LEN(INDEX('Dealer pipeline'!$D$4:$D$503,_calc!$E$588))=0,"",INDEX('Dealer pipeline'!$D$4:$D$503,_calc!$E$588))&amp;". ")&amp;IF(LEN(IF(ISNUMBER(INDEX('Dealer pipeline'!$J$4:$J$503,_calc!$E$588)),TEXT(INDEX('Dealer pipeline'!$J$4:$J$503,_calc!$E$588),"yyyy-mm-dd"),""))=0,"","Parts end: "&amp;IF(ISNUMBER(INDEX('Dealer pipeline'!$J$4:$J$503,_calc!$E$588)),TEXT(INDEX('Dealer pipeline'!$J$4:$J$503,_calc!$E$588),"yyyy-mm-dd"),"")&amp;". ")&amp;IF(LEN(IF(ISNUMBER(INDEX('Dealer pipeline'!$L$4:$L$503,_calc!$E$588)),TEXT(INDEX('Dealer pipeline'!$L$4:$L$503,_calc!$E$588),"yyyy-mm-dd"),""))=0,"","Labor end: "&amp;IF(ISNUMBER(INDEX('Dealer pipeline'!$L$4:$L$503,_calc!$E$588)),TEXT(INDEX('Dealer pipeline'!$L$4:$L$503,_calc!$E$588),"yyyy-mm-dd"),"")&amp;". ")&amp;IF(LEN(IF(LEN(INDEX('Dealer pipeline'!$Q$4:$Q$503,_calc!$E$588))=0,"",INDEX('Dealer pipeline'!$Q$4:$Q$503,_calc!$E$588)))=0,"","Status: "&amp;IF(LEN(INDEX('Dealer pipeline'!$Q$4:$Q$503,_calc!$E$588))=0,"",INDEX('Dealer pipeline'!$Q$4:$Q$503,_calc!$E$588))&amp;". ")&amp;IF(LEN(IF(LEN(INDEX('Dealer pipeline'!$P$4:$P$503,_calc!$E$588))=0,"",INDEX('Dealer pipeline'!$P$4:$P$503,_calc!$E$588)))=0,"","Last touch: "&amp;IF(LEN(INDEX('Dealer pipeline'!$P$4:$P$503,_calc!$E$588))=0,"",INDEX('Dealer pipeline'!$P$4:$P$503,_calc!$E$588))&amp;". ")&amp;IF(LEN(IF(LEN(INDEX('Dealer pipeline'!$R$4:$R$503,_calc!$E$588))=0,"",INDEX('Dealer pipeline'!$R$4:$R$503,_calc!$E$588)))=0,"","Owner: "&amp;IF(LEN(INDEX('Dealer pipeline'!$R$4:$R$503,_calc!$E$588))=0,"",INDEX('Dealer pipeline'!$R$4:$R$503,_calc!$E$588))&amp;". ")&amp;IF(LEN(IF(LEN(INDEX('Dealer pipeline'!$S$4:$S$503,_calc!$E$588))=0,"",INDEX('Dealer pipeline'!$S$4:$S$503,_calc!$E$588)))=0,"","Backup: "&amp;IF(LEN(INDEX('Dealer pipeline'!$S$4:$S$503,_calc!$E$588))=0,"",INDEX('Dealer pipeline'!$S$4:$S$503,_calc!$E$588))&amp;". ")&amp;IF(LEN(IF(LEN(INDEX('Dealer pipeline'!$T$4:$T$503,_calc!$E$588))=0,"",INDEX('Dealer pipeline'!$T$4:$T$503,_calc!$E$588)))=0,"",IF(LEN(INDEX('Dealer pipeline'!$T$4:$T$503,_calc!$E$588))=0,"",INDEX('Dealer pipeline'!$T$4:$T$503,_calc!$E$588)))),TRIM(IF(LEN(IF(LEN(INDEX('My equipment'!$C$4:$C$503,(_calc!$E$588-500)))=0,"",INDEX('My equipment'!$C$4:$C$503,(_calc!$E$588-500))))=0,"","Model: "&amp;IF(LEN(INDEX('My equipment'!$C$4:$C$503,(_calc!$E$588-500)))=0,"",INDEX('My equipment'!$C$4:$C$503,(_calc!$E$588-500)))&amp;". ")&amp;IF(LEN(IF(LEN(INDEX('My equipment'!$D$4:$D$503,(_calc!$E$588-500)))=0,"",INDEX('My equipment'!$D$4:$D$503,(_calc!$E$588-500))))=0,"","Serial: "&amp;IF(LEN(INDEX('My equipment'!$D$4:$D$503,(_calc!$E$588-500)))=0,"",INDEX('My equipment'!$D$4:$D$503,(_calc!$E$588-500)))&amp;". ")&amp;IF(LEN(IF(ISNUMBER(INDEX('My equipment'!$J$4:$J$503,(_calc!$E$588-500))),TEXT(INDEX('My equipment'!$J$4:$J$503,(_calc!$E$588-500)),"yyyy-mm-dd"),""))=0,"","Parts end: "&amp;IF(ISNUMBER(INDEX('My equipment'!$J$4:$J$503,(_calc!$E$588-500))),TEXT(INDEX('My equipment'!$J$4:$J$503,(_calc!$E$588-500)),"yyyy-mm-dd"),"")&amp;". ")&amp;IF(LEN(IF(ISNUMBER(INDEX('My equipment'!$L$4:$L$503,(_calc!$E$588-500))),TEXT(INDEX('My equipment'!$L$4:$L$503,(_calc!$E$588-500)),"yyyy-mm-dd"),""))=0,"","Labor end: "&amp;IF(ISNUMBER(INDEX('My equipment'!$L$4:$L$503,(_calc!$E$588-500))),TEXT(INDEX('My equipment'!$L$4:$L$503,(_calc!$E$588-500)),"yyyy-mm-dd"),"")&amp;". ")&amp;IF(LEN(IF(ISNUMBER(INDEX('My equipment'!$P$4:$P$503,(_calc!$E$588-500))),TEXT(INDEX('My equipment'!$P$4:$P$503,(_calc!$E$588-500)),"yyyy-mm-dd"),""))=0,"","Check by: "&amp;IF(ISNUMBER(INDEX('My equipment'!$P$4:$P$503,(_calc!$E$588-500))),TEXT(INDEX('My equipment'!$P$4:$P$503,(_calc!$E$588-500)),"yyyy-mm-dd"),"")&amp;". ")&amp;IF(LEN(IF(LEN(INDEX('My equipment'!$Q$4:$Q$503,(_calc!$E$588-500)))=0,"",INDEX('My equipment'!$Q$4:$Q$503,(_calc!$E$588-500))))=0,"","Claim status: "&amp;IF(LEN(INDEX('My equipment'!$Q$4:$Q$503,(_calc!$E$588-500)))=0,"",INDEX('My equipment'!$Q$4:$Q$503,(_calc!$E$588-500)))&amp;". ")&amp;IF(LEN(IF(LEN(INDEX('My equipment'!$R$4:$R$503,(_calc!$E$588-500)))=0,"",INDEX('My equipment'!$R$4:$R$503,(_calc!$E$588-500))))=0,"","Claims contact: "&amp;IF(LEN(INDEX('My equipment'!$R$4:$R$503,(_calc!$E$588-500)))=0,"",INDEX('My equipment'!$R$4:$R$503,(_calc!$E$588-500)))&amp;". ")&amp;IF(LEN(IF(LEN(INDEX('My equipment'!$S$4:$S$503,(_calc!$E$588-500)))=0,"",INDEX('My equipment'!$S$4:$S$503,(_calc!$E$588-500))))=0,"","Claims email: "&amp;IF(LEN(INDEX('My equipment'!$S$4:$S$503,(_calc!$E$588-500)))=0,"",INDEX('My equipment'!$S$4:$S$503,(_calc!$E$588-500)))&amp;". ")&amp;IF(LEN(IF(LEN(INDEX('My equipment'!$U$4:$U$503,(_calc!$E$588-500)))=0,"",INDEX('My equipment'!$U$4:$U$503,(_calc!$E$588-500))))=0,"","Registered: "&amp;IF(LEN(INDEX('My equipment'!$U$4:$U$503,(_calc!$E$588-500)))=0,"",INDEX('My equipment'!$U$4:$U$503,(_calc!$E$588-500)))&amp;". ")&amp;IF(LEN(IF(LEN(INDEX('My equipment'!$V$4:$V$503,(_calc!$E$588-500)))=0,"",INDEX('My equipment'!$V$4:$V$503,(_calc!$E$588-500))))=0,"","Proof on file: "&amp;IF(LEN(INDEX('My equipment'!$V$4:$V$503,(_calc!$E$588-500)))=0,"",INDEX('My equipment'!$V$4:$V$503,(_calc!$E$588-500)))&amp;". ")&amp;IF(LEN(IF(LEN(INDEX('My equipment'!$W$4:$W$503,(_calc!$E$588-500)))=0,"",INDEX('My equipment'!$W$4:$W$503,(_calc!$E$588-500))))=0,"","Claim ref: "&amp;IF(LEN(INDEX('My equipment'!$W$4:$W$503,(_calc!$E$588-500)))=0,"",INDEX('My equipment'!$W$4:$W$503,(_calc!$E$588-500)))&amp;". ")&amp;IF(LEN(IF(LEN(INDEX('My equipment'!$Y$4:$Y$503,(_calc!$E$588-500)))=0,"",INDEX('My equipment'!$Y$4:$Y$503,(_calc!$E$588-500))))=0,"",IF(LEN(INDEX('My equipment'!$Y$4:$Y$503,(_calc!$E$588-500)))=0,"",INDEX('My equipment'!$Y$4:$Y$503,(_calc!$E$588-500)))))))</f>
        <v/>
      </c>
      <c r="G586" s="54">
        <f>IF(_calc!$E$588="","",IF(_calc!$E$588&lt;=500,"",IF(LEN(INDEX('My equipment'!$X$4:$X$503,(_calc!$E$588-500)))=0,"",INDEX('My equipment'!$X$4:$X$503,(_calc!$E$588-500)))))</f>
        <v/>
      </c>
      <c r="K586" s="54">
        <f>IF(_calc!$E$588="","",IF(_calc!$E$588&lt;=500,"",IF(LEN(INDEX('My equipment'!$T$4:$T$503,(_calc!$E$588-500)))=0,"",INDEX('My equipment'!$T$4:$T$503,(_calc!$E$588-500)))))</f>
        <v/>
      </c>
    </row>
    <row r="587">
      <c r="A587" s="54">
        <f>IF(_calc!$E$589="","",IF(_calc!$E$589&lt;=500,"Warranty – "&amp;IF(LEN(INDEX('Dealer pipeline'!$C$4:$C$503,_calc!$E$589))=0,"",INDEX('Dealer pipeline'!$C$4:$C$503,_calc!$E$589))&amp;" – "&amp;IF(LEN(INDEX('Dealer pipeline'!$D$4:$D$503,_calc!$E$589))=0,"",INDEX('Dealer pipeline'!$D$4:$D$503,_calc!$E$589))&amp;" – "&amp;IF(LEN(INDEX('Dealer pipeline'!$A$4:$A$503,_calc!$E$589))=0,"",INDEX('Dealer pipeline'!$A$4:$A$503,_calc!$E$589)),"Warranty – "&amp;IF(LEN(INDEX('My equipment'!$A$4:$A$503,(_calc!$E$589-500)))=0,"",INDEX('My equipment'!$A$4:$A$503,(_calc!$E$589-500)))&amp;" – "&amp;IF(LEN(INDEX('My equipment'!$D$4:$D$503,(_calc!$E$589-500)))=0,"",INDEX('My equipment'!$D$4:$D$503,(_calc!$E$589-500)))))</f>
        <v/>
      </c>
      <c r="B587" s="54">
        <f>IF(_calc!$E$589="","",IF(_calc!$E$589&lt;=500,IF(ISNUMBER(INDEX('Dealer pipeline'!$M$4:$M$503,_calc!$E$589)),TEXT(INDEX('Dealer pipeline'!$M$4:$M$503,_calc!$E$589),"yyyy-mm-dd"),""),IF(ISNUMBER(INDEX('My equipment'!$M$4:$M$503,(_calc!$E$589-500))),TEXT(INDEX('My equipment'!$M$4:$M$503,(_calc!$E$589-500)),"yyyy-mm-dd"),"")))</f>
        <v/>
      </c>
      <c r="C587" s="54">
        <f>IF(_calc!$E$589="","",IF(_calc!$E$589&lt;=500,"Warranty","Warranty"))</f>
        <v/>
      </c>
      <c r="D587" s="54">
        <f>IF(_calc!$E$589="","",IF(_calc!$E$589&lt;=500,IF(ISNUMBER(INDEX('Dealer pipeline'!$H$4:$H$503,_calc!$E$589)),TEXT(INDEX('Dealer pipeline'!$H$4:$H$503,_calc!$E$589),"yyyy-mm-dd"),""),IF(ISNUMBER(INDEX('My equipment'!$H$4:$H$503,(_calc!$E$589-500))),TEXT(INDEX('My equipment'!$H$4:$H$503,(_calc!$E$589-500)),"yyyy-mm-dd"),"")))</f>
        <v/>
      </c>
      <c r="F587" s="54">
        <f>IF(_calc!$E$589="","",IF(_calc!$E$589&lt;=500,TRIM(IF(LEN(IF(LEN(INDEX('Dealer pipeline'!$A$4:$A$503,_calc!$E$589))=0,"",INDEX('Dealer pipeline'!$A$4:$A$503,_calc!$E$589)))=0,"","Customer: "&amp;IF(LEN(INDEX('Dealer pipeline'!$A$4:$A$503,_calc!$E$589))=0,"",INDEX('Dealer pipeline'!$A$4:$A$503,_calc!$E$589))&amp;". ")&amp;IF(LEN(IF(LEN(INDEX('Dealer pipeline'!$B$4:$B$503,_calc!$E$589))=0,"",INDEX('Dealer pipeline'!$B$4:$B$503,_calc!$E$589)))=0,"","Contact: "&amp;IF(LEN(INDEX('Dealer pipeline'!$B$4:$B$503,_calc!$E$589))=0,"",INDEX('Dealer pipeline'!$B$4:$B$503,_calc!$E$589))&amp;". ")&amp;IF(LEN(IF(LEN(INDEX('Dealer pipeline'!$D$4:$D$503,_calc!$E$589))=0,"",INDEX('Dealer pipeline'!$D$4:$D$503,_calc!$E$589)))=0,"","Serial: "&amp;IF(LEN(INDEX('Dealer pipeline'!$D$4:$D$503,_calc!$E$589))=0,"",INDEX('Dealer pipeline'!$D$4:$D$503,_calc!$E$589))&amp;". ")&amp;IF(LEN(IF(ISNUMBER(INDEX('Dealer pipeline'!$J$4:$J$503,_calc!$E$589)),TEXT(INDEX('Dealer pipeline'!$J$4:$J$503,_calc!$E$589),"yyyy-mm-dd"),""))=0,"","Parts end: "&amp;IF(ISNUMBER(INDEX('Dealer pipeline'!$J$4:$J$503,_calc!$E$589)),TEXT(INDEX('Dealer pipeline'!$J$4:$J$503,_calc!$E$589),"yyyy-mm-dd"),"")&amp;". ")&amp;IF(LEN(IF(ISNUMBER(INDEX('Dealer pipeline'!$L$4:$L$503,_calc!$E$589)),TEXT(INDEX('Dealer pipeline'!$L$4:$L$503,_calc!$E$589),"yyyy-mm-dd"),""))=0,"","Labor end: "&amp;IF(ISNUMBER(INDEX('Dealer pipeline'!$L$4:$L$503,_calc!$E$589)),TEXT(INDEX('Dealer pipeline'!$L$4:$L$503,_calc!$E$589),"yyyy-mm-dd"),"")&amp;". ")&amp;IF(LEN(IF(LEN(INDEX('Dealer pipeline'!$Q$4:$Q$503,_calc!$E$589))=0,"",INDEX('Dealer pipeline'!$Q$4:$Q$503,_calc!$E$589)))=0,"","Status: "&amp;IF(LEN(INDEX('Dealer pipeline'!$Q$4:$Q$503,_calc!$E$589))=0,"",INDEX('Dealer pipeline'!$Q$4:$Q$503,_calc!$E$589))&amp;". ")&amp;IF(LEN(IF(LEN(INDEX('Dealer pipeline'!$P$4:$P$503,_calc!$E$589))=0,"",INDEX('Dealer pipeline'!$P$4:$P$503,_calc!$E$589)))=0,"","Last touch: "&amp;IF(LEN(INDEX('Dealer pipeline'!$P$4:$P$503,_calc!$E$589))=0,"",INDEX('Dealer pipeline'!$P$4:$P$503,_calc!$E$589))&amp;". ")&amp;IF(LEN(IF(LEN(INDEX('Dealer pipeline'!$R$4:$R$503,_calc!$E$589))=0,"",INDEX('Dealer pipeline'!$R$4:$R$503,_calc!$E$589)))=0,"","Owner: "&amp;IF(LEN(INDEX('Dealer pipeline'!$R$4:$R$503,_calc!$E$589))=0,"",INDEX('Dealer pipeline'!$R$4:$R$503,_calc!$E$589))&amp;". ")&amp;IF(LEN(IF(LEN(INDEX('Dealer pipeline'!$S$4:$S$503,_calc!$E$589))=0,"",INDEX('Dealer pipeline'!$S$4:$S$503,_calc!$E$589)))=0,"","Backup: "&amp;IF(LEN(INDEX('Dealer pipeline'!$S$4:$S$503,_calc!$E$589))=0,"",INDEX('Dealer pipeline'!$S$4:$S$503,_calc!$E$589))&amp;". ")&amp;IF(LEN(IF(LEN(INDEX('Dealer pipeline'!$T$4:$T$503,_calc!$E$589))=0,"",INDEX('Dealer pipeline'!$T$4:$T$503,_calc!$E$589)))=0,"",IF(LEN(INDEX('Dealer pipeline'!$T$4:$T$503,_calc!$E$589))=0,"",INDEX('Dealer pipeline'!$T$4:$T$503,_calc!$E$589)))),TRIM(IF(LEN(IF(LEN(INDEX('My equipment'!$C$4:$C$503,(_calc!$E$589-500)))=0,"",INDEX('My equipment'!$C$4:$C$503,(_calc!$E$589-500))))=0,"","Model: "&amp;IF(LEN(INDEX('My equipment'!$C$4:$C$503,(_calc!$E$589-500)))=0,"",INDEX('My equipment'!$C$4:$C$503,(_calc!$E$589-500)))&amp;". ")&amp;IF(LEN(IF(LEN(INDEX('My equipment'!$D$4:$D$503,(_calc!$E$589-500)))=0,"",INDEX('My equipment'!$D$4:$D$503,(_calc!$E$589-500))))=0,"","Serial: "&amp;IF(LEN(INDEX('My equipment'!$D$4:$D$503,(_calc!$E$589-500)))=0,"",INDEX('My equipment'!$D$4:$D$503,(_calc!$E$589-500)))&amp;". ")&amp;IF(LEN(IF(ISNUMBER(INDEX('My equipment'!$J$4:$J$503,(_calc!$E$589-500))),TEXT(INDEX('My equipment'!$J$4:$J$503,(_calc!$E$589-500)),"yyyy-mm-dd"),""))=0,"","Parts end: "&amp;IF(ISNUMBER(INDEX('My equipment'!$J$4:$J$503,(_calc!$E$589-500))),TEXT(INDEX('My equipment'!$J$4:$J$503,(_calc!$E$589-500)),"yyyy-mm-dd"),"")&amp;". ")&amp;IF(LEN(IF(ISNUMBER(INDEX('My equipment'!$L$4:$L$503,(_calc!$E$589-500))),TEXT(INDEX('My equipment'!$L$4:$L$503,(_calc!$E$589-500)),"yyyy-mm-dd"),""))=0,"","Labor end: "&amp;IF(ISNUMBER(INDEX('My equipment'!$L$4:$L$503,(_calc!$E$589-500))),TEXT(INDEX('My equipment'!$L$4:$L$503,(_calc!$E$589-500)),"yyyy-mm-dd"),"")&amp;". ")&amp;IF(LEN(IF(ISNUMBER(INDEX('My equipment'!$P$4:$P$503,(_calc!$E$589-500))),TEXT(INDEX('My equipment'!$P$4:$P$503,(_calc!$E$589-500)),"yyyy-mm-dd"),""))=0,"","Check by: "&amp;IF(ISNUMBER(INDEX('My equipment'!$P$4:$P$503,(_calc!$E$589-500))),TEXT(INDEX('My equipment'!$P$4:$P$503,(_calc!$E$589-500)),"yyyy-mm-dd"),"")&amp;". ")&amp;IF(LEN(IF(LEN(INDEX('My equipment'!$Q$4:$Q$503,(_calc!$E$589-500)))=0,"",INDEX('My equipment'!$Q$4:$Q$503,(_calc!$E$589-500))))=0,"","Claim status: "&amp;IF(LEN(INDEX('My equipment'!$Q$4:$Q$503,(_calc!$E$589-500)))=0,"",INDEX('My equipment'!$Q$4:$Q$503,(_calc!$E$589-500)))&amp;". ")&amp;IF(LEN(IF(LEN(INDEX('My equipment'!$R$4:$R$503,(_calc!$E$589-500)))=0,"",INDEX('My equipment'!$R$4:$R$503,(_calc!$E$589-500))))=0,"","Claims contact: "&amp;IF(LEN(INDEX('My equipment'!$R$4:$R$503,(_calc!$E$589-500)))=0,"",INDEX('My equipment'!$R$4:$R$503,(_calc!$E$589-500)))&amp;". ")&amp;IF(LEN(IF(LEN(INDEX('My equipment'!$S$4:$S$503,(_calc!$E$589-500)))=0,"",INDEX('My equipment'!$S$4:$S$503,(_calc!$E$589-500))))=0,"","Claims email: "&amp;IF(LEN(INDEX('My equipment'!$S$4:$S$503,(_calc!$E$589-500)))=0,"",INDEX('My equipment'!$S$4:$S$503,(_calc!$E$589-500)))&amp;". ")&amp;IF(LEN(IF(LEN(INDEX('My equipment'!$U$4:$U$503,(_calc!$E$589-500)))=0,"",INDEX('My equipment'!$U$4:$U$503,(_calc!$E$589-500))))=0,"","Registered: "&amp;IF(LEN(INDEX('My equipment'!$U$4:$U$503,(_calc!$E$589-500)))=0,"",INDEX('My equipment'!$U$4:$U$503,(_calc!$E$589-500)))&amp;". ")&amp;IF(LEN(IF(LEN(INDEX('My equipment'!$V$4:$V$503,(_calc!$E$589-500)))=0,"",INDEX('My equipment'!$V$4:$V$503,(_calc!$E$589-500))))=0,"","Proof on file: "&amp;IF(LEN(INDEX('My equipment'!$V$4:$V$503,(_calc!$E$589-500)))=0,"",INDEX('My equipment'!$V$4:$V$503,(_calc!$E$589-500)))&amp;". ")&amp;IF(LEN(IF(LEN(INDEX('My equipment'!$W$4:$W$503,(_calc!$E$589-500)))=0,"",INDEX('My equipment'!$W$4:$W$503,(_calc!$E$589-500))))=0,"","Claim ref: "&amp;IF(LEN(INDEX('My equipment'!$W$4:$W$503,(_calc!$E$589-500)))=0,"",INDEX('My equipment'!$W$4:$W$503,(_calc!$E$589-500)))&amp;". ")&amp;IF(LEN(IF(LEN(INDEX('My equipment'!$Y$4:$Y$503,(_calc!$E$589-500)))=0,"",INDEX('My equipment'!$Y$4:$Y$503,(_calc!$E$589-500))))=0,"",IF(LEN(INDEX('My equipment'!$Y$4:$Y$503,(_calc!$E$589-500)))=0,"",INDEX('My equipment'!$Y$4:$Y$503,(_calc!$E$589-500)))))))</f>
        <v/>
      </c>
      <c r="G587" s="54">
        <f>IF(_calc!$E$589="","",IF(_calc!$E$589&lt;=500,"",IF(LEN(INDEX('My equipment'!$X$4:$X$503,(_calc!$E$589-500)))=0,"",INDEX('My equipment'!$X$4:$X$503,(_calc!$E$589-500)))))</f>
        <v/>
      </c>
      <c r="K587" s="54">
        <f>IF(_calc!$E$589="","",IF(_calc!$E$589&lt;=500,"",IF(LEN(INDEX('My equipment'!$T$4:$T$503,(_calc!$E$589-500)))=0,"",INDEX('My equipment'!$T$4:$T$503,(_calc!$E$589-500)))))</f>
        <v/>
      </c>
    </row>
    <row r="588">
      <c r="A588" s="54">
        <f>IF(_calc!$E$590="","",IF(_calc!$E$590&lt;=500,"Warranty – "&amp;IF(LEN(INDEX('Dealer pipeline'!$C$4:$C$503,_calc!$E$590))=0,"",INDEX('Dealer pipeline'!$C$4:$C$503,_calc!$E$590))&amp;" – "&amp;IF(LEN(INDEX('Dealer pipeline'!$D$4:$D$503,_calc!$E$590))=0,"",INDEX('Dealer pipeline'!$D$4:$D$503,_calc!$E$590))&amp;" – "&amp;IF(LEN(INDEX('Dealer pipeline'!$A$4:$A$503,_calc!$E$590))=0,"",INDEX('Dealer pipeline'!$A$4:$A$503,_calc!$E$590)),"Warranty – "&amp;IF(LEN(INDEX('My equipment'!$A$4:$A$503,(_calc!$E$590-500)))=0,"",INDEX('My equipment'!$A$4:$A$503,(_calc!$E$590-500)))&amp;" – "&amp;IF(LEN(INDEX('My equipment'!$D$4:$D$503,(_calc!$E$590-500)))=0,"",INDEX('My equipment'!$D$4:$D$503,(_calc!$E$590-500)))))</f>
        <v/>
      </c>
      <c r="B588" s="54">
        <f>IF(_calc!$E$590="","",IF(_calc!$E$590&lt;=500,IF(ISNUMBER(INDEX('Dealer pipeline'!$M$4:$M$503,_calc!$E$590)),TEXT(INDEX('Dealer pipeline'!$M$4:$M$503,_calc!$E$590),"yyyy-mm-dd"),""),IF(ISNUMBER(INDEX('My equipment'!$M$4:$M$503,(_calc!$E$590-500))),TEXT(INDEX('My equipment'!$M$4:$M$503,(_calc!$E$590-500)),"yyyy-mm-dd"),"")))</f>
        <v/>
      </c>
      <c r="C588" s="54">
        <f>IF(_calc!$E$590="","",IF(_calc!$E$590&lt;=500,"Warranty","Warranty"))</f>
        <v/>
      </c>
      <c r="D588" s="54">
        <f>IF(_calc!$E$590="","",IF(_calc!$E$590&lt;=500,IF(ISNUMBER(INDEX('Dealer pipeline'!$H$4:$H$503,_calc!$E$590)),TEXT(INDEX('Dealer pipeline'!$H$4:$H$503,_calc!$E$590),"yyyy-mm-dd"),""),IF(ISNUMBER(INDEX('My equipment'!$H$4:$H$503,(_calc!$E$590-500))),TEXT(INDEX('My equipment'!$H$4:$H$503,(_calc!$E$590-500)),"yyyy-mm-dd"),"")))</f>
        <v/>
      </c>
      <c r="F588" s="54">
        <f>IF(_calc!$E$590="","",IF(_calc!$E$590&lt;=500,TRIM(IF(LEN(IF(LEN(INDEX('Dealer pipeline'!$A$4:$A$503,_calc!$E$590))=0,"",INDEX('Dealer pipeline'!$A$4:$A$503,_calc!$E$590)))=0,"","Customer: "&amp;IF(LEN(INDEX('Dealer pipeline'!$A$4:$A$503,_calc!$E$590))=0,"",INDEX('Dealer pipeline'!$A$4:$A$503,_calc!$E$590))&amp;". ")&amp;IF(LEN(IF(LEN(INDEX('Dealer pipeline'!$B$4:$B$503,_calc!$E$590))=0,"",INDEX('Dealer pipeline'!$B$4:$B$503,_calc!$E$590)))=0,"","Contact: "&amp;IF(LEN(INDEX('Dealer pipeline'!$B$4:$B$503,_calc!$E$590))=0,"",INDEX('Dealer pipeline'!$B$4:$B$503,_calc!$E$590))&amp;". ")&amp;IF(LEN(IF(LEN(INDEX('Dealer pipeline'!$D$4:$D$503,_calc!$E$590))=0,"",INDEX('Dealer pipeline'!$D$4:$D$503,_calc!$E$590)))=0,"","Serial: "&amp;IF(LEN(INDEX('Dealer pipeline'!$D$4:$D$503,_calc!$E$590))=0,"",INDEX('Dealer pipeline'!$D$4:$D$503,_calc!$E$590))&amp;". ")&amp;IF(LEN(IF(ISNUMBER(INDEX('Dealer pipeline'!$J$4:$J$503,_calc!$E$590)),TEXT(INDEX('Dealer pipeline'!$J$4:$J$503,_calc!$E$590),"yyyy-mm-dd"),""))=0,"","Parts end: "&amp;IF(ISNUMBER(INDEX('Dealer pipeline'!$J$4:$J$503,_calc!$E$590)),TEXT(INDEX('Dealer pipeline'!$J$4:$J$503,_calc!$E$590),"yyyy-mm-dd"),"")&amp;". ")&amp;IF(LEN(IF(ISNUMBER(INDEX('Dealer pipeline'!$L$4:$L$503,_calc!$E$590)),TEXT(INDEX('Dealer pipeline'!$L$4:$L$503,_calc!$E$590),"yyyy-mm-dd"),""))=0,"","Labor end: "&amp;IF(ISNUMBER(INDEX('Dealer pipeline'!$L$4:$L$503,_calc!$E$590)),TEXT(INDEX('Dealer pipeline'!$L$4:$L$503,_calc!$E$590),"yyyy-mm-dd"),"")&amp;". ")&amp;IF(LEN(IF(LEN(INDEX('Dealer pipeline'!$Q$4:$Q$503,_calc!$E$590))=0,"",INDEX('Dealer pipeline'!$Q$4:$Q$503,_calc!$E$590)))=0,"","Status: "&amp;IF(LEN(INDEX('Dealer pipeline'!$Q$4:$Q$503,_calc!$E$590))=0,"",INDEX('Dealer pipeline'!$Q$4:$Q$503,_calc!$E$590))&amp;". ")&amp;IF(LEN(IF(LEN(INDEX('Dealer pipeline'!$P$4:$P$503,_calc!$E$590))=0,"",INDEX('Dealer pipeline'!$P$4:$P$503,_calc!$E$590)))=0,"","Last touch: "&amp;IF(LEN(INDEX('Dealer pipeline'!$P$4:$P$503,_calc!$E$590))=0,"",INDEX('Dealer pipeline'!$P$4:$P$503,_calc!$E$590))&amp;". ")&amp;IF(LEN(IF(LEN(INDEX('Dealer pipeline'!$R$4:$R$503,_calc!$E$590))=0,"",INDEX('Dealer pipeline'!$R$4:$R$503,_calc!$E$590)))=0,"","Owner: "&amp;IF(LEN(INDEX('Dealer pipeline'!$R$4:$R$503,_calc!$E$590))=0,"",INDEX('Dealer pipeline'!$R$4:$R$503,_calc!$E$590))&amp;". ")&amp;IF(LEN(IF(LEN(INDEX('Dealer pipeline'!$S$4:$S$503,_calc!$E$590))=0,"",INDEX('Dealer pipeline'!$S$4:$S$503,_calc!$E$590)))=0,"","Backup: "&amp;IF(LEN(INDEX('Dealer pipeline'!$S$4:$S$503,_calc!$E$590))=0,"",INDEX('Dealer pipeline'!$S$4:$S$503,_calc!$E$590))&amp;". ")&amp;IF(LEN(IF(LEN(INDEX('Dealer pipeline'!$T$4:$T$503,_calc!$E$590))=0,"",INDEX('Dealer pipeline'!$T$4:$T$503,_calc!$E$590)))=0,"",IF(LEN(INDEX('Dealer pipeline'!$T$4:$T$503,_calc!$E$590))=0,"",INDEX('Dealer pipeline'!$T$4:$T$503,_calc!$E$590)))),TRIM(IF(LEN(IF(LEN(INDEX('My equipment'!$C$4:$C$503,(_calc!$E$590-500)))=0,"",INDEX('My equipment'!$C$4:$C$503,(_calc!$E$590-500))))=0,"","Model: "&amp;IF(LEN(INDEX('My equipment'!$C$4:$C$503,(_calc!$E$590-500)))=0,"",INDEX('My equipment'!$C$4:$C$503,(_calc!$E$590-500)))&amp;". ")&amp;IF(LEN(IF(LEN(INDEX('My equipment'!$D$4:$D$503,(_calc!$E$590-500)))=0,"",INDEX('My equipment'!$D$4:$D$503,(_calc!$E$590-500))))=0,"","Serial: "&amp;IF(LEN(INDEX('My equipment'!$D$4:$D$503,(_calc!$E$590-500)))=0,"",INDEX('My equipment'!$D$4:$D$503,(_calc!$E$590-500)))&amp;". ")&amp;IF(LEN(IF(ISNUMBER(INDEX('My equipment'!$J$4:$J$503,(_calc!$E$590-500))),TEXT(INDEX('My equipment'!$J$4:$J$503,(_calc!$E$590-500)),"yyyy-mm-dd"),""))=0,"","Parts end: "&amp;IF(ISNUMBER(INDEX('My equipment'!$J$4:$J$503,(_calc!$E$590-500))),TEXT(INDEX('My equipment'!$J$4:$J$503,(_calc!$E$590-500)),"yyyy-mm-dd"),"")&amp;". ")&amp;IF(LEN(IF(ISNUMBER(INDEX('My equipment'!$L$4:$L$503,(_calc!$E$590-500))),TEXT(INDEX('My equipment'!$L$4:$L$503,(_calc!$E$590-500)),"yyyy-mm-dd"),""))=0,"","Labor end: "&amp;IF(ISNUMBER(INDEX('My equipment'!$L$4:$L$503,(_calc!$E$590-500))),TEXT(INDEX('My equipment'!$L$4:$L$503,(_calc!$E$590-500)),"yyyy-mm-dd"),"")&amp;". ")&amp;IF(LEN(IF(ISNUMBER(INDEX('My equipment'!$P$4:$P$503,(_calc!$E$590-500))),TEXT(INDEX('My equipment'!$P$4:$P$503,(_calc!$E$590-500)),"yyyy-mm-dd"),""))=0,"","Check by: "&amp;IF(ISNUMBER(INDEX('My equipment'!$P$4:$P$503,(_calc!$E$590-500))),TEXT(INDEX('My equipment'!$P$4:$P$503,(_calc!$E$590-500)),"yyyy-mm-dd"),"")&amp;". ")&amp;IF(LEN(IF(LEN(INDEX('My equipment'!$Q$4:$Q$503,(_calc!$E$590-500)))=0,"",INDEX('My equipment'!$Q$4:$Q$503,(_calc!$E$590-500))))=0,"","Claim status: "&amp;IF(LEN(INDEX('My equipment'!$Q$4:$Q$503,(_calc!$E$590-500)))=0,"",INDEX('My equipment'!$Q$4:$Q$503,(_calc!$E$590-500)))&amp;". ")&amp;IF(LEN(IF(LEN(INDEX('My equipment'!$R$4:$R$503,(_calc!$E$590-500)))=0,"",INDEX('My equipment'!$R$4:$R$503,(_calc!$E$590-500))))=0,"","Claims contact: "&amp;IF(LEN(INDEX('My equipment'!$R$4:$R$503,(_calc!$E$590-500)))=0,"",INDEX('My equipment'!$R$4:$R$503,(_calc!$E$590-500)))&amp;". ")&amp;IF(LEN(IF(LEN(INDEX('My equipment'!$S$4:$S$503,(_calc!$E$590-500)))=0,"",INDEX('My equipment'!$S$4:$S$503,(_calc!$E$590-500))))=0,"","Claims email: "&amp;IF(LEN(INDEX('My equipment'!$S$4:$S$503,(_calc!$E$590-500)))=0,"",INDEX('My equipment'!$S$4:$S$503,(_calc!$E$590-500)))&amp;". ")&amp;IF(LEN(IF(LEN(INDEX('My equipment'!$U$4:$U$503,(_calc!$E$590-500)))=0,"",INDEX('My equipment'!$U$4:$U$503,(_calc!$E$590-500))))=0,"","Registered: "&amp;IF(LEN(INDEX('My equipment'!$U$4:$U$503,(_calc!$E$590-500)))=0,"",INDEX('My equipment'!$U$4:$U$503,(_calc!$E$590-500)))&amp;". ")&amp;IF(LEN(IF(LEN(INDEX('My equipment'!$V$4:$V$503,(_calc!$E$590-500)))=0,"",INDEX('My equipment'!$V$4:$V$503,(_calc!$E$590-500))))=0,"","Proof on file: "&amp;IF(LEN(INDEX('My equipment'!$V$4:$V$503,(_calc!$E$590-500)))=0,"",INDEX('My equipment'!$V$4:$V$503,(_calc!$E$590-500)))&amp;". ")&amp;IF(LEN(IF(LEN(INDEX('My equipment'!$W$4:$W$503,(_calc!$E$590-500)))=0,"",INDEX('My equipment'!$W$4:$W$503,(_calc!$E$590-500))))=0,"","Claim ref: "&amp;IF(LEN(INDEX('My equipment'!$W$4:$W$503,(_calc!$E$590-500)))=0,"",INDEX('My equipment'!$W$4:$W$503,(_calc!$E$590-500)))&amp;". ")&amp;IF(LEN(IF(LEN(INDEX('My equipment'!$Y$4:$Y$503,(_calc!$E$590-500)))=0,"",INDEX('My equipment'!$Y$4:$Y$503,(_calc!$E$590-500))))=0,"",IF(LEN(INDEX('My equipment'!$Y$4:$Y$503,(_calc!$E$590-500)))=0,"",INDEX('My equipment'!$Y$4:$Y$503,(_calc!$E$590-500)))))))</f>
        <v/>
      </c>
      <c r="G588" s="54">
        <f>IF(_calc!$E$590="","",IF(_calc!$E$590&lt;=500,"",IF(LEN(INDEX('My equipment'!$X$4:$X$503,(_calc!$E$590-500)))=0,"",INDEX('My equipment'!$X$4:$X$503,(_calc!$E$590-500)))))</f>
        <v/>
      </c>
      <c r="K588" s="54">
        <f>IF(_calc!$E$590="","",IF(_calc!$E$590&lt;=500,"",IF(LEN(INDEX('My equipment'!$T$4:$T$503,(_calc!$E$590-500)))=0,"",INDEX('My equipment'!$T$4:$T$503,(_calc!$E$590-500)))))</f>
        <v/>
      </c>
    </row>
    <row r="589">
      <c r="A589" s="54">
        <f>IF(_calc!$E$591="","",IF(_calc!$E$591&lt;=500,"Warranty – "&amp;IF(LEN(INDEX('Dealer pipeline'!$C$4:$C$503,_calc!$E$591))=0,"",INDEX('Dealer pipeline'!$C$4:$C$503,_calc!$E$591))&amp;" – "&amp;IF(LEN(INDEX('Dealer pipeline'!$D$4:$D$503,_calc!$E$591))=0,"",INDEX('Dealer pipeline'!$D$4:$D$503,_calc!$E$591))&amp;" – "&amp;IF(LEN(INDEX('Dealer pipeline'!$A$4:$A$503,_calc!$E$591))=0,"",INDEX('Dealer pipeline'!$A$4:$A$503,_calc!$E$591)),"Warranty – "&amp;IF(LEN(INDEX('My equipment'!$A$4:$A$503,(_calc!$E$591-500)))=0,"",INDEX('My equipment'!$A$4:$A$503,(_calc!$E$591-500)))&amp;" – "&amp;IF(LEN(INDEX('My equipment'!$D$4:$D$503,(_calc!$E$591-500)))=0,"",INDEX('My equipment'!$D$4:$D$503,(_calc!$E$591-500)))))</f>
        <v/>
      </c>
      <c r="B589" s="54">
        <f>IF(_calc!$E$591="","",IF(_calc!$E$591&lt;=500,IF(ISNUMBER(INDEX('Dealer pipeline'!$M$4:$M$503,_calc!$E$591)),TEXT(INDEX('Dealer pipeline'!$M$4:$M$503,_calc!$E$591),"yyyy-mm-dd"),""),IF(ISNUMBER(INDEX('My equipment'!$M$4:$M$503,(_calc!$E$591-500))),TEXT(INDEX('My equipment'!$M$4:$M$503,(_calc!$E$591-500)),"yyyy-mm-dd"),"")))</f>
        <v/>
      </c>
      <c r="C589" s="54">
        <f>IF(_calc!$E$591="","",IF(_calc!$E$591&lt;=500,"Warranty","Warranty"))</f>
        <v/>
      </c>
      <c r="D589" s="54">
        <f>IF(_calc!$E$591="","",IF(_calc!$E$591&lt;=500,IF(ISNUMBER(INDEX('Dealer pipeline'!$H$4:$H$503,_calc!$E$591)),TEXT(INDEX('Dealer pipeline'!$H$4:$H$503,_calc!$E$591),"yyyy-mm-dd"),""),IF(ISNUMBER(INDEX('My equipment'!$H$4:$H$503,(_calc!$E$591-500))),TEXT(INDEX('My equipment'!$H$4:$H$503,(_calc!$E$591-500)),"yyyy-mm-dd"),"")))</f>
        <v/>
      </c>
      <c r="F589" s="54">
        <f>IF(_calc!$E$591="","",IF(_calc!$E$591&lt;=500,TRIM(IF(LEN(IF(LEN(INDEX('Dealer pipeline'!$A$4:$A$503,_calc!$E$591))=0,"",INDEX('Dealer pipeline'!$A$4:$A$503,_calc!$E$591)))=0,"","Customer: "&amp;IF(LEN(INDEX('Dealer pipeline'!$A$4:$A$503,_calc!$E$591))=0,"",INDEX('Dealer pipeline'!$A$4:$A$503,_calc!$E$591))&amp;". ")&amp;IF(LEN(IF(LEN(INDEX('Dealer pipeline'!$B$4:$B$503,_calc!$E$591))=0,"",INDEX('Dealer pipeline'!$B$4:$B$503,_calc!$E$591)))=0,"","Contact: "&amp;IF(LEN(INDEX('Dealer pipeline'!$B$4:$B$503,_calc!$E$591))=0,"",INDEX('Dealer pipeline'!$B$4:$B$503,_calc!$E$591))&amp;". ")&amp;IF(LEN(IF(LEN(INDEX('Dealer pipeline'!$D$4:$D$503,_calc!$E$591))=0,"",INDEX('Dealer pipeline'!$D$4:$D$503,_calc!$E$591)))=0,"","Serial: "&amp;IF(LEN(INDEX('Dealer pipeline'!$D$4:$D$503,_calc!$E$591))=0,"",INDEX('Dealer pipeline'!$D$4:$D$503,_calc!$E$591))&amp;". ")&amp;IF(LEN(IF(ISNUMBER(INDEX('Dealer pipeline'!$J$4:$J$503,_calc!$E$591)),TEXT(INDEX('Dealer pipeline'!$J$4:$J$503,_calc!$E$591),"yyyy-mm-dd"),""))=0,"","Parts end: "&amp;IF(ISNUMBER(INDEX('Dealer pipeline'!$J$4:$J$503,_calc!$E$591)),TEXT(INDEX('Dealer pipeline'!$J$4:$J$503,_calc!$E$591),"yyyy-mm-dd"),"")&amp;". ")&amp;IF(LEN(IF(ISNUMBER(INDEX('Dealer pipeline'!$L$4:$L$503,_calc!$E$591)),TEXT(INDEX('Dealer pipeline'!$L$4:$L$503,_calc!$E$591),"yyyy-mm-dd"),""))=0,"","Labor end: "&amp;IF(ISNUMBER(INDEX('Dealer pipeline'!$L$4:$L$503,_calc!$E$591)),TEXT(INDEX('Dealer pipeline'!$L$4:$L$503,_calc!$E$591),"yyyy-mm-dd"),"")&amp;". ")&amp;IF(LEN(IF(LEN(INDEX('Dealer pipeline'!$Q$4:$Q$503,_calc!$E$591))=0,"",INDEX('Dealer pipeline'!$Q$4:$Q$503,_calc!$E$591)))=0,"","Status: "&amp;IF(LEN(INDEX('Dealer pipeline'!$Q$4:$Q$503,_calc!$E$591))=0,"",INDEX('Dealer pipeline'!$Q$4:$Q$503,_calc!$E$591))&amp;". ")&amp;IF(LEN(IF(LEN(INDEX('Dealer pipeline'!$P$4:$P$503,_calc!$E$591))=0,"",INDEX('Dealer pipeline'!$P$4:$P$503,_calc!$E$591)))=0,"","Last touch: "&amp;IF(LEN(INDEX('Dealer pipeline'!$P$4:$P$503,_calc!$E$591))=0,"",INDEX('Dealer pipeline'!$P$4:$P$503,_calc!$E$591))&amp;". ")&amp;IF(LEN(IF(LEN(INDEX('Dealer pipeline'!$R$4:$R$503,_calc!$E$591))=0,"",INDEX('Dealer pipeline'!$R$4:$R$503,_calc!$E$591)))=0,"","Owner: "&amp;IF(LEN(INDEX('Dealer pipeline'!$R$4:$R$503,_calc!$E$591))=0,"",INDEX('Dealer pipeline'!$R$4:$R$503,_calc!$E$591))&amp;". ")&amp;IF(LEN(IF(LEN(INDEX('Dealer pipeline'!$S$4:$S$503,_calc!$E$591))=0,"",INDEX('Dealer pipeline'!$S$4:$S$503,_calc!$E$591)))=0,"","Backup: "&amp;IF(LEN(INDEX('Dealer pipeline'!$S$4:$S$503,_calc!$E$591))=0,"",INDEX('Dealer pipeline'!$S$4:$S$503,_calc!$E$591))&amp;". ")&amp;IF(LEN(IF(LEN(INDEX('Dealer pipeline'!$T$4:$T$503,_calc!$E$591))=0,"",INDEX('Dealer pipeline'!$T$4:$T$503,_calc!$E$591)))=0,"",IF(LEN(INDEX('Dealer pipeline'!$T$4:$T$503,_calc!$E$591))=0,"",INDEX('Dealer pipeline'!$T$4:$T$503,_calc!$E$591)))),TRIM(IF(LEN(IF(LEN(INDEX('My equipment'!$C$4:$C$503,(_calc!$E$591-500)))=0,"",INDEX('My equipment'!$C$4:$C$503,(_calc!$E$591-500))))=0,"","Model: "&amp;IF(LEN(INDEX('My equipment'!$C$4:$C$503,(_calc!$E$591-500)))=0,"",INDEX('My equipment'!$C$4:$C$503,(_calc!$E$591-500)))&amp;". ")&amp;IF(LEN(IF(LEN(INDEX('My equipment'!$D$4:$D$503,(_calc!$E$591-500)))=0,"",INDEX('My equipment'!$D$4:$D$503,(_calc!$E$591-500))))=0,"","Serial: "&amp;IF(LEN(INDEX('My equipment'!$D$4:$D$503,(_calc!$E$591-500)))=0,"",INDEX('My equipment'!$D$4:$D$503,(_calc!$E$591-500)))&amp;". ")&amp;IF(LEN(IF(ISNUMBER(INDEX('My equipment'!$J$4:$J$503,(_calc!$E$591-500))),TEXT(INDEX('My equipment'!$J$4:$J$503,(_calc!$E$591-500)),"yyyy-mm-dd"),""))=0,"","Parts end: "&amp;IF(ISNUMBER(INDEX('My equipment'!$J$4:$J$503,(_calc!$E$591-500))),TEXT(INDEX('My equipment'!$J$4:$J$503,(_calc!$E$591-500)),"yyyy-mm-dd"),"")&amp;". ")&amp;IF(LEN(IF(ISNUMBER(INDEX('My equipment'!$L$4:$L$503,(_calc!$E$591-500))),TEXT(INDEX('My equipment'!$L$4:$L$503,(_calc!$E$591-500)),"yyyy-mm-dd"),""))=0,"","Labor end: "&amp;IF(ISNUMBER(INDEX('My equipment'!$L$4:$L$503,(_calc!$E$591-500))),TEXT(INDEX('My equipment'!$L$4:$L$503,(_calc!$E$591-500)),"yyyy-mm-dd"),"")&amp;". ")&amp;IF(LEN(IF(ISNUMBER(INDEX('My equipment'!$P$4:$P$503,(_calc!$E$591-500))),TEXT(INDEX('My equipment'!$P$4:$P$503,(_calc!$E$591-500)),"yyyy-mm-dd"),""))=0,"","Check by: "&amp;IF(ISNUMBER(INDEX('My equipment'!$P$4:$P$503,(_calc!$E$591-500))),TEXT(INDEX('My equipment'!$P$4:$P$503,(_calc!$E$591-500)),"yyyy-mm-dd"),"")&amp;". ")&amp;IF(LEN(IF(LEN(INDEX('My equipment'!$Q$4:$Q$503,(_calc!$E$591-500)))=0,"",INDEX('My equipment'!$Q$4:$Q$503,(_calc!$E$591-500))))=0,"","Claim status: "&amp;IF(LEN(INDEX('My equipment'!$Q$4:$Q$503,(_calc!$E$591-500)))=0,"",INDEX('My equipment'!$Q$4:$Q$503,(_calc!$E$591-500)))&amp;". ")&amp;IF(LEN(IF(LEN(INDEX('My equipment'!$R$4:$R$503,(_calc!$E$591-500)))=0,"",INDEX('My equipment'!$R$4:$R$503,(_calc!$E$591-500))))=0,"","Claims contact: "&amp;IF(LEN(INDEX('My equipment'!$R$4:$R$503,(_calc!$E$591-500)))=0,"",INDEX('My equipment'!$R$4:$R$503,(_calc!$E$591-500)))&amp;". ")&amp;IF(LEN(IF(LEN(INDEX('My equipment'!$S$4:$S$503,(_calc!$E$591-500)))=0,"",INDEX('My equipment'!$S$4:$S$503,(_calc!$E$591-500))))=0,"","Claims email: "&amp;IF(LEN(INDEX('My equipment'!$S$4:$S$503,(_calc!$E$591-500)))=0,"",INDEX('My equipment'!$S$4:$S$503,(_calc!$E$591-500)))&amp;". ")&amp;IF(LEN(IF(LEN(INDEX('My equipment'!$U$4:$U$503,(_calc!$E$591-500)))=0,"",INDEX('My equipment'!$U$4:$U$503,(_calc!$E$591-500))))=0,"","Registered: "&amp;IF(LEN(INDEX('My equipment'!$U$4:$U$503,(_calc!$E$591-500)))=0,"",INDEX('My equipment'!$U$4:$U$503,(_calc!$E$591-500)))&amp;". ")&amp;IF(LEN(IF(LEN(INDEX('My equipment'!$V$4:$V$503,(_calc!$E$591-500)))=0,"",INDEX('My equipment'!$V$4:$V$503,(_calc!$E$591-500))))=0,"","Proof on file: "&amp;IF(LEN(INDEX('My equipment'!$V$4:$V$503,(_calc!$E$591-500)))=0,"",INDEX('My equipment'!$V$4:$V$503,(_calc!$E$591-500)))&amp;". ")&amp;IF(LEN(IF(LEN(INDEX('My equipment'!$W$4:$W$503,(_calc!$E$591-500)))=0,"",INDEX('My equipment'!$W$4:$W$503,(_calc!$E$591-500))))=0,"","Claim ref: "&amp;IF(LEN(INDEX('My equipment'!$W$4:$W$503,(_calc!$E$591-500)))=0,"",INDEX('My equipment'!$W$4:$W$503,(_calc!$E$591-500)))&amp;". ")&amp;IF(LEN(IF(LEN(INDEX('My equipment'!$Y$4:$Y$503,(_calc!$E$591-500)))=0,"",INDEX('My equipment'!$Y$4:$Y$503,(_calc!$E$591-500))))=0,"",IF(LEN(INDEX('My equipment'!$Y$4:$Y$503,(_calc!$E$591-500)))=0,"",INDEX('My equipment'!$Y$4:$Y$503,(_calc!$E$591-500)))))))</f>
        <v/>
      </c>
      <c r="G589" s="54">
        <f>IF(_calc!$E$591="","",IF(_calc!$E$591&lt;=500,"",IF(LEN(INDEX('My equipment'!$X$4:$X$503,(_calc!$E$591-500)))=0,"",INDEX('My equipment'!$X$4:$X$503,(_calc!$E$591-500)))))</f>
        <v/>
      </c>
      <c r="K589" s="54">
        <f>IF(_calc!$E$591="","",IF(_calc!$E$591&lt;=500,"",IF(LEN(INDEX('My equipment'!$T$4:$T$503,(_calc!$E$591-500)))=0,"",INDEX('My equipment'!$T$4:$T$503,(_calc!$E$591-500)))))</f>
        <v/>
      </c>
    </row>
    <row r="590">
      <c r="A590" s="54">
        <f>IF(_calc!$E$592="","",IF(_calc!$E$592&lt;=500,"Warranty – "&amp;IF(LEN(INDEX('Dealer pipeline'!$C$4:$C$503,_calc!$E$592))=0,"",INDEX('Dealer pipeline'!$C$4:$C$503,_calc!$E$592))&amp;" – "&amp;IF(LEN(INDEX('Dealer pipeline'!$D$4:$D$503,_calc!$E$592))=0,"",INDEX('Dealer pipeline'!$D$4:$D$503,_calc!$E$592))&amp;" – "&amp;IF(LEN(INDEX('Dealer pipeline'!$A$4:$A$503,_calc!$E$592))=0,"",INDEX('Dealer pipeline'!$A$4:$A$503,_calc!$E$592)),"Warranty – "&amp;IF(LEN(INDEX('My equipment'!$A$4:$A$503,(_calc!$E$592-500)))=0,"",INDEX('My equipment'!$A$4:$A$503,(_calc!$E$592-500)))&amp;" – "&amp;IF(LEN(INDEX('My equipment'!$D$4:$D$503,(_calc!$E$592-500)))=0,"",INDEX('My equipment'!$D$4:$D$503,(_calc!$E$592-500)))))</f>
        <v/>
      </c>
      <c r="B590" s="54">
        <f>IF(_calc!$E$592="","",IF(_calc!$E$592&lt;=500,IF(ISNUMBER(INDEX('Dealer pipeline'!$M$4:$M$503,_calc!$E$592)),TEXT(INDEX('Dealer pipeline'!$M$4:$M$503,_calc!$E$592),"yyyy-mm-dd"),""),IF(ISNUMBER(INDEX('My equipment'!$M$4:$M$503,(_calc!$E$592-500))),TEXT(INDEX('My equipment'!$M$4:$M$503,(_calc!$E$592-500)),"yyyy-mm-dd"),"")))</f>
        <v/>
      </c>
      <c r="C590" s="54">
        <f>IF(_calc!$E$592="","",IF(_calc!$E$592&lt;=500,"Warranty","Warranty"))</f>
        <v/>
      </c>
      <c r="D590" s="54">
        <f>IF(_calc!$E$592="","",IF(_calc!$E$592&lt;=500,IF(ISNUMBER(INDEX('Dealer pipeline'!$H$4:$H$503,_calc!$E$592)),TEXT(INDEX('Dealer pipeline'!$H$4:$H$503,_calc!$E$592),"yyyy-mm-dd"),""),IF(ISNUMBER(INDEX('My equipment'!$H$4:$H$503,(_calc!$E$592-500))),TEXT(INDEX('My equipment'!$H$4:$H$503,(_calc!$E$592-500)),"yyyy-mm-dd"),"")))</f>
        <v/>
      </c>
      <c r="F590" s="54">
        <f>IF(_calc!$E$592="","",IF(_calc!$E$592&lt;=500,TRIM(IF(LEN(IF(LEN(INDEX('Dealer pipeline'!$A$4:$A$503,_calc!$E$592))=0,"",INDEX('Dealer pipeline'!$A$4:$A$503,_calc!$E$592)))=0,"","Customer: "&amp;IF(LEN(INDEX('Dealer pipeline'!$A$4:$A$503,_calc!$E$592))=0,"",INDEX('Dealer pipeline'!$A$4:$A$503,_calc!$E$592))&amp;". ")&amp;IF(LEN(IF(LEN(INDEX('Dealer pipeline'!$B$4:$B$503,_calc!$E$592))=0,"",INDEX('Dealer pipeline'!$B$4:$B$503,_calc!$E$592)))=0,"","Contact: "&amp;IF(LEN(INDEX('Dealer pipeline'!$B$4:$B$503,_calc!$E$592))=0,"",INDEX('Dealer pipeline'!$B$4:$B$503,_calc!$E$592))&amp;". ")&amp;IF(LEN(IF(LEN(INDEX('Dealer pipeline'!$D$4:$D$503,_calc!$E$592))=0,"",INDEX('Dealer pipeline'!$D$4:$D$503,_calc!$E$592)))=0,"","Serial: "&amp;IF(LEN(INDEX('Dealer pipeline'!$D$4:$D$503,_calc!$E$592))=0,"",INDEX('Dealer pipeline'!$D$4:$D$503,_calc!$E$592))&amp;". ")&amp;IF(LEN(IF(ISNUMBER(INDEX('Dealer pipeline'!$J$4:$J$503,_calc!$E$592)),TEXT(INDEX('Dealer pipeline'!$J$4:$J$503,_calc!$E$592),"yyyy-mm-dd"),""))=0,"","Parts end: "&amp;IF(ISNUMBER(INDEX('Dealer pipeline'!$J$4:$J$503,_calc!$E$592)),TEXT(INDEX('Dealer pipeline'!$J$4:$J$503,_calc!$E$592),"yyyy-mm-dd"),"")&amp;". ")&amp;IF(LEN(IF(ISNUMBER(INDEX('Dealer pipeline'!$L$4:$L$503,_calc!$E$592)),TEXT(INDEX('Dealer pipeline'!$L$4:$L$503,_calc!$E$592),"yyyy-mm-dd"),""))=0,"","Labor end: "&amp;IF(ISNUMBER(INDEX('Dealer pipeline'!$L$4:$L$503,_calc!$E$592)),TEXT(INDEX('Dealer pipeline'!$L$4:$L$503,_calc!$E$592),"yyyy-mm-dd"),"")&amp;". ")&amp;IF(LEN(IF(LEN(INDEX('Dealer pipeline'!$Q$4:$Q$503,_calc!$E$592))=0,"",INDEX('Dealer pipeline'!$Q$4:$Q$503,_calc!$E$592)))=0,"","Status: "&amp;IF(LEN(INDEX('Dealer pipeline'!$Q$4:$Q$503,_calc!$E$592))=0,"",INDEX('Dealer pipeline'!$Q$4:$Q$503,_calc!$E$592))&amp;". ")&amp;IF(LEN(IF(LEN(INDEX('Dealer pipeline'!$P$4:$P$503,_calc!$E$592))=0,"",INDEX('Dealer pipeline'!$P$4:$P$503,_calc!$E$592)))=0,"","Last touch: "&amp;IF(LEN(INDEX('Dealer pipeline'!$P$4:$P$503,_calc!$E$592))=0,"",INDEX('Dealer pipeline'!$P$4:$P$503,_calc!$E$592))&amp;". ")&amp;IF(LEN(IF(LEN(INDEX('Dealer pipeline'!$R$4:$R$503,_calc!$E$592))=0,"",INDEX('Dealer pipeline'!$R$4:$R$503,_calc!$E$592)))=0,"","Owner: "&amp;IF(LEN(INDEX('Dealer pipeline'!$R$4:$R$503,_calc!$E$592))=0,"",INDEX('Dealer pipeline'!$R$4:$R$503,_calc!$E$592))&amp;". ")&amp;IF(LEN(IF(LEN(INDEX('Dealer pipeline'!$S$4:$S$503,_calc!$E$592))=0,"",INDEX('Dealer pipeline'!$S$4:$S$503,_calc!$E$592)))=0,"","Backup: "&amp;IF(LEN(INDEX('Dealer pipeline'!$S$4:$S$503,_calc!$E$592))=0,"",INDEX('Dealer pipeline'!$S$4:$S$503,_calc!$E$592))&amp;". ")&amp;IF(LEN(IF(LEN(INDEX('Dealer pipeline'!$T$4:$T$503,_calc!$E$592))=0,"",INDEX('Dealer pipeline'!$T$4:$T$503,_calc!$E$592)))=0,"",IF(LEN(INDEX('Dealer pipeline'!$T$4:$T$503,_calc!$E$592))=0,"",INDEX('Dealer pipeline'!$T$4:$T$503,_calc!$E$592)))),TRIM(IF(LEN(IF(LEN(INDEX('My equipment'!$C$4:$C$503,(_calc!$E$592-500)))=0,"",INDEX('My equipment'!$C$4:$C$503,(_calc!$E$592-500))))=0,"","Model: "&amp;IF(LEN(INDEX('My equipment'!$C$4:$C$503,(_calc!$E$592-500)))=0,"",INDEX('My equipment'!$C$4:$C$503,(_calc!$E$592-500)))&amp;". ")&amp;IF(LEN(IF(LEN(INDEX('My equipment'!$D$4:$D$503,(_calc!$E$592-500)))=0,"",INDEX('My equipment'!$D$4:$D$503,(_calc!$E$592-500))))=0,"","Serial: "&amp;IF(LEN(INDEX('My equipment'!$D$4:$D$503,(_calc!$E$592-500)))=0,"",INDEX('My equipment'!$D$4:$D$503,(_calc!$E$592-500)))&amp;". ")&amp;IF(LEN(IF(ISNUMBER(INDEX('My equipment'!$J$4:$J$503,(_calc!$E$592-500))),TEXT(INDEX('My equipment'!$J$4:$J$503,(_calc!$E$592-500)),"yyyy-mm-dd"),""))=0,"","Parts end: "&amp;IF(ISNUMBER(INDEX('My equipment'!$J$4:$J$503,(_calc!$E$592-500))),TEXT(INDEX('My equipment'!$J$4:$J$503,(_calc!$E$592-500)),"yyyy-mm-dd"),"")&amp;". ")&amp;IF(LEN(IF(ISNUMBER(INDEX('My equipment'!$L$4:$L$503,(_calc!$E$592-500))),TEXT(INDEX('My equipment'!$L$4:$L$503,(_calc!$E$592-500)),"yyyy-mm-dd"),""))=0,"","Labor end: "&amp;IF(ISNUMBER(INDEX('My equipment'!$L$4:$L$503,(_calc!$E$592-500))),TEXT(INDEX('My equipment'!$L$4:$L$503,(_calc!$E$592-500)),"yyyy-mm-dd"),"")&amp;". ")&amp;IF(LEN(IF(ISNUMBER(INDEX('My equipment'!$P$4:$P$503,(_calc!$E$592-500))),TEXT(INDEX('My equipment'!$P$4:$P$503,(_calc!$E$592-500)),"yyyy-mm-dd"),""))=0,"","Check by: "&amp;IF(ISNUMBER(INDEX('My equipment'!$P$4:$P$503,(_calc!$E$592-500))),TEXT(INDEX('My equipment'!$P$4:$P$503,(_calc!$E$592-500)),"yyyy-mm-dd"),"")&amp;". ")&amp;IF(LEN(IF(LEN(INDEX('My equipment'!$Q$4:$Q$503,(_calc!$E$592-500)))=0,"",INDEX('My equipment'!$Q$4:$Q$503,(_calc!$E$592-500))))=0,"","Claim status: "&amp;IF(LEN(INDEX('My equipment'!$Q$4:$Q$503,(_calc!$E$592-500)))=0,"",INDEX('My equipment'!$Q$4:$Q$503,(_calc!$E$592-500)))&amp;". ")&amp;IF(LEN(IF(LEN(INDEX('My equipment'!$R$4:$R$503,(_calc!$E$592-500)))=0,"",INDEX('My equipment'!$R$4:$R$503,(_calc!$E$592-500))))=0,"","Claims contact: "&amp;IF(LEN(INDEX('My equipment'!$R$4:$R$503,(_calc!$E$592-500)))=0,"",INDEX('My equipment'!$R$4:$R$503,(_calc!$E$592-500)))&amp;". ")&amp;IF(LEN(IF(LEN(INDEX('My equipment'!$S$4:$S$503,(_calc!$E$592-500)))=0,"",INDEX('My equipment'!$S$4:$S$503,(_calc!$E$592-500))))=0,"","Claims email: "&amp;IF(LEN(INDEX('My equipment'!$S$4:$S$503,(_calc!$E$592-500)))=0,"",INDEX('My equipment'!$S$4:$S$503,(_calc!$E$592-500)))&amp;". ")&amp;IF(LEN(IF(LEN(INDEX('My equipment'!$U$4:$U$503,(_calc!$E$592-500)))=0,"",INDEX('My equipment'!$U$4:$U$503,(_calc!$E$592-500))))=0,"","Registered: "&amp;IF(LEN(INDEX('My equipment'!$U$4:$U$503,(_calc!$E$592-500)))=0,"",INDEX('My equipment'!$U$4:$U$503,(_calc!$E$592-500)))&amp;". ")&amp;IF(LEN(IF(LEN(INDEX('My equipment'!$V$4:$V$503,(_calc!$E$592-500)))=0,"",INDEX('My equipment'!$V$4:$V$503,(_calc!$E$592-500))))=0,"","Proof on file: "&amp;IF(LEN(INDEX('My equipment'!$V$4:$V$503,(_calc!$E$592-500)))=0,"",INDEX('My equipment'!$V$4:$V$503,(_calc!$E$592-500)))&amp;". ")&amp;IF(LEN(IF(LEN(INDEX('My equipment'!$W$4:$W$503,(_calc!$E$592-500)))=0,"",INDEX('My equipment'!$W$4:$W$503,(_calc!$E$592-500))))=0,"","Claim ref: "&amp;IF(LEN(INDEX('My equipment'!$W$4:$W$503,(_calc!$E$592-500)))=0,"",INDEX('My equipment'!$W$4:$W$503,(_calc!$E$592-500)))&amp;". ")&amp;IF(LEN(IF(LEN(INDEX('My equipment'!$Y$4:$Y$503,(_calc!$E$592-500)))=0,"",INDEX('My equipment'!$Y$4:$Y$503,(_calc!$E$592-500))))=0,"",IF(LEN(INDEX('My equipment'!$Y$4:$Y$503,(_calc!$E$592-500)))=0,"",INDEX('My equipment'!$Y$4:$Y$503,(_calc!$E$592-500)))))))</f>
        <v/>
      </c>
      <c r="G590" s="54">
        <f>IF(_calc!$E$592="","",IF(_calc!$E$592&lt;=500,"",IF(LEN(INDEX('My equipment'!$X$4:$X$503,(_calc!$E$592-500)))=0,"",INDEX('My equipment'!$X$4:$X$503,(_calc!$E$592-500)))))</f>
        <v/>
      </c>
      <c r="K590" s="54">
        <f>IF(_calc!$E$592="","",IF(_calc!$E$592&lt;=500,"",IF(LEN(INDEX('My equipment'!$T$4:$T$503,(_calc!$E$592-500)))=0,"",INDEX('My equipment'!$T$4:$T$503,(_calc!$E$592-500)))))</f>
        <v/>
      </c>
    </row>
    <row r="591">
      <c r="A591" s="54">
        <f>IF(_calc!$E$593="","",IF(_calc!$E$593&lt;=500,"Warranty – "&amp;IF(LEN(INDEX('Dealer pipeline'!$C$4:$C$503,_calc!$E$593))=0,"",INDEX('Dealer pipeline'!$C$4:$C$503,_calc!$E$593))&amp;" – "&amp;IF(LEN(INDEX('Dealer pipeline'!$D$4:$D$503,_calc!$E$593))=0,"",INDEX('Dealer pipeline'!$D$4:$D$503,_calc!$E$593))&amp;" – "&amp;IF(LEN(INDEX('Dealer pipeline'!$A$4:$A$503,_calc!$E$593))=0,"",INDEX('Dealer pipeline'!$A$4:$A$503,_calc!$E$593)),"Warranty – "&amp;IF(LEN(INDEX('My equipment'!$A$4:$A$503,(_calc!$E$593-500)))=0,"",INDEX('My equipment'!$A$4:$A$503,(_calc!$E$593-500)))&amp;" – "&amp;IF(LEN(INDEX('My equipment'!$D$4:$D$503,(_calc!$E$593-500)))=0,"",INDEX('My equipment'!$D$4:$D$503,(_calc!$E$593-500)))))</f>
        <v/>
      </c>
      <c r="B591" s="54">
        <f>IF(_calc!$E$593="","",IF(_calc!$E$593&lt;=500,IF(ISNUMBER(INDEX('Dealer pipeline'!$M$4:$M$503,_calc!$E$593)),TEXT(INDEX('Dealer pipeline'!$M$4:$M$503,_calc!$E$593),"yyyy-mm-dd"),""),IF(ISNUMBER(INDEX('My equipment'!$M$4:$M$503,(_calc!$E$593-500))),TEXT(INDEX('My equipment'!$M$4:$M$503,(_calc!$E$593-500)),"yyyy-mm-dd"),"")))</f>
        <v/>
      </c>
      <c r="C591" s="54">
        <f>IF(_calc!$E$593="","",IF(_calc!$E$593&lt;=500,"Warranty","Warranty"))</f>
        <v/>
      </c>
      <c r="D591" s="54">
        <f>IF(_calc!$E$593="","",IF(_calc!$E$593&lt;=500,IF(ISNUMBER(INDEX('Dealer pipeline'!$H$4:$H$503,_calc!$E$593)),TEXT(INDEX('Dealer pipeline'!$H$4:$H$503,_calc!$E$593),"yyyy-mm-dd"),""),IF(ISNUMBER(INDEX('My equipment'!$H$4:$H$503,(_calc!$E$593-500))),TEXT(INDEX('My equipment'!$H$4:$H$503,(_calc!$E$593-500)),"yyyy-mm-dd"),"")))</f>
        <v/>
      </c>
      <c r="F591" s="54">
        <f>IF(_calc!$E$593="","",IF(_calc!$E$593&lt;=500,TRIM(IF(LEN(IF(LEN(INDEX('Dealer pipeline'!$A$4:$A$503,_calc!$E$593))=0,"",INDEX('Dealer pipeline'!$A$4:$A$503,_calc!$E$593)))=0,"","Customer: "&amp;IF(LEN(INDEX('Dealer pipeline'!$A$4:$A$503,_calc!$E$593))=0,"",INDEX('Dealer pipeline'!$A$4:$A$503,_calc!$E$593))&amp;". ")&amp;IF(LEN(IF(LEN(INDEX('Dealer pipeline'!$B$4:$B$503,_calc!$E$593))=0,"",INDEX('Dealer pipeline'!$B$4:$B$503,_calc!$E$593)))=0,"","Contact: "&amp;IF(LEN(INDEX('Dealer pipeline'!$B$4:$B$503,_calc!$E$593))=0,"",INDEX('Dealer pipeline'!$B$4:$B$503,_calc!$E$593))&amp;". ")&amp;IF(LEN(IF(LEN(INDEX('Dealer pipeline'!$D$4:$D$503,_calc!$E$593))=0,"",INDEX('Dealer pipeline'!$D$4:$D$503,_calc!$E$593)))=0,"","Serial: "&amp;IF(LEN(INDEX('Dealer pipeline'!$D$4:$D$503,_calc!$E$593))=0,"",INDEX('Dealer pipeline'!$D$4:$D$503,_calc!$E$593))&amp;". ")&amp;IF(LEN(IF(ISNUMBER(INDEX('Dealer pipeline'!$J$4:$J$503,_calc!$E$593)),TEXT(INDEX('Dealer pipeline'!$J$4:$J$503,_calc!$E$593),"yyyy-mm-dd"),""))=0,"","Parts end: "&amp;IF(ISNUMBER(INDEX('Dealer pipeline'!$J$4:$J$503,_calc!$E$593)),TEXT(INDEX('Dealer pipeline'!$J$4:$J$503,_calc!$E$593),"yyyy-mm-dd"),"")&amp;". ")&amp;IF(LEN(IF(ISNUMBER(INDEX('Dealer pipeline'!$L$4:$L$503,_calc!$E$593)),TEXT(INDEX('Dealer pipeline'!$L$4:$L$503,_calc!$E$593),"yyyy-mm-dd"),""))=0,"","Labor end: "&amp;IF(ISNUMBER(INDEX('Dealer pipeline'!$L$4:$L$503,_calc!$E$593)),TEXT(INDEX('Dealer pipeline'!$L$4:$L$503,_calc!$E$593),"yyyy-mm-dd"),"")&amp;". ")&amp;IF(LEN(IF(LEN(INDEX('Dealer pipeline'!$Q$4:$Q$503,_calc!$E$593))=0,"",INDEX('Dealer pipeline'!$Q$4:$Q$503,_calc!$E$593)))=0,"","Status: "&amp;IF(LEN(INDEX('Dealer pipeline'!$Q$4:$Q$503,_calc!$E$593))=0,"",INDEX('Dealer pipeline'!$Q$4:$Q$503,_calc!$E$593))&amp;". ")&amp;IF(LEN(IF(LEN(INDEX('Dealer pipeline'!$P$4:$P$503,_calc!$E$593))=0,"",INDEX('Dealer pipeline'!$P$4:$P$503,_calc!$E$593)))=0,"","Last touch: "&amp;IF(LEN(INDEX('Dealer pipeline'!$P$4:$P$503,_calc!$E$593))=0,"",INDEX('Dealer pipeline'!$P$4:$P$503,_calc!$E$593))&amp;". ")&amp;IF(LEN(IF(LEN(INDEX('Dealer pipeline'!$R$4:$R$503,_calc!$E$593))=0,"",INDEX('Dealer pipeline'!$R$4:$R$503,_calc!$E$593)))=0,"","Owner: "&amp;IF(LEN(INDEX('Dealer pipeline'!$R$4:$R$503,_calc!$E$593))=0,"",INDEX('Dealer pipeline'!$R$4:$R$503,_calc!$E$593))&amp;". ")&amp;IF(LEN(IF(LEN(INDEX('Dealer pipeline'!$S$4:$S$503,_calc!$E$593))=0,"",INDEX('Dealer pipeline'!$S$4:$S$503,_calc!$E$593)))=0,"","Backup: "&amp;IF(LEN(INDEX('Dealer pipeline'!$S$4:$S$503,_calc!$E$593))=0,"",INDEX('Dealer pipeline'!$S$4:$S$503,_calc!$E$593))&amp;". ")&amp;IF(LEN(IF(LEN(INDEX('Dealer pipeline'!$T$4:$T$503,_calc!$E$593))=0,"",INDEX('Dealer pipeline'!$T$4:$T$503,_calc!$E$593)))=0,"",IF(LEN(INDEX('Dealer pipeline'!$T$4:$T$503,_calc!$E$593))=0,"",INDEX('Dealer pipeline'!$T$4:$T$503,_calc!$E$593)))),TRIM(IF(LEN(IF(LEN(INDEX('My equipment'!$C$4:$C$503,(_calc!$E$593-500)))=0,"",INDEX('My equipment'!$C$4:$C$503,(_calc!$E$593-500))))=0,"","Model: "&amp;IF(LEN(INDEX('My equipment'!$C$4:$C$503,(_calc!$E$593-500)))=0,"",INDEX('My equipment'!$C$4:$C$503,(_calc!$E$593-500)))&amp;". ")&amp;IF(LEN(IF(LEN(INDEX('My equipment'!$D$4:$D$503,(_calc!$E$593-500)))=0,"",INDEX('My equipment'!$D$4:$D$503,(_calc!$E$593-500))))=0,"","Serial: "&amp;IF(LEN(INDEX('My equipment'!$D$4:$D$503,(_calc!$E$593-500)))=0,"",INDEX('My equipment'!$D$4:$D$503,(_calc!$E$593-500)))&amp;". ")&amp;IF(LEN(IF(ISNUMBER(INDEX('My equipment'!$J$4:$J$503,(_calc!$E$593-500))),TEXT(INDEX('My equipment'!$J$4:$J$503,(_calc!$E$593-500)),"yyyy-mm-dd"),""))=0,"","Parts end: "&amp;IF(ISNUMBER(INDEX('My equipment'!$J$4:$J$503,(_calc!$E$593-500))),TEXT(INDEX('My equipment'!$J$4:$J$503,(_calc!$E$593-500)),"yyyy-mm-dd"),"")&amp;". ")&amp;IF(LEN(IF(ISNUMBER(INDEX('My equipment'!$L$4:$L$503,(_calc!$E$593-500))),TEXT(INDEX('My equipment'!$L$4:$L$503,(_calc!$E$593-500)),"yyyy-mm-dd"),""))=0,"","Labor end: "&amp;IF(ISNUMBER(INDEX('My equipment'!$L$4:$L$503,(_calc!$E$593-500))),TEXT(INDEX('My equipment'!$L$4:$L$503,(_calc!$E$593-500)),"yyyy-mm-dd"),"")&amp;". ")&amp;IF(LEN(IF(ISNUMBER(INDEX('My equipment'!$P$4:$P$503,(_calc!$E$593-500))),TEXT(INDEX('My equipment'!$P$4:$P$503,(_calc!$E$593-500)),"yyyy-mm-dd"),""))=0,"","Check by: "&amp;IF(ISNUMBER(INDEX('My equipment'!$P$4:$P$503,(_calc!$E$593-500))),TEXT(INDEX('My equipment'!$P$4:$P$503,(_calc!$E$593-500)),"yyyy-mm-dd"),"")&amp;". ")&amp;IF(LEN(IF(LEN(INDEX('My equipment'!$Q$4:$Q$503,(_calc!$E$593-500)))=0,"",INDEX('My equipment'!$Q$4:$Q$503,(_calc!$E$593-500))))=0,"","Claim status: "&amp;IF(LEN(INDEX('My equipment'!$Q$4:$Q$503,(_calc!$E$593-500)))=0,"",INDEX('My equipment'!$Q$4:$Q$503,(_calc!$E$593-500)))&amp;". ")&amp;IF(LEN(IF(LEN(INDEX('My equipment'!$R$4:$R$503,(_calc!$E$593-500)))=0,"",INDEX('My equipment'!$R$4:$R$503,(_calc!$E$593-500))))=0,"","Claims contact: "&amp;IF(LEN(INDEX('My equipment'!$R$4:$R$503,(_calc!$E$593-500)))=0,"",INDEX('My equipment'!$R$4:$R$503,(_calc!$E$593-500)))&amp;". ")&amp;IF(LEN(IF(LEN(INDEX('My equipment'!$S$4:$S$503,(_calc!$E$593-500)))=0,"",INDEX('My equipment'!$S$4:$S$503,(_calc!$E$593-500))))=0,"","Claims email: "&amp;IF(LEN(INDEX('My equipment'!$S$4:$S$503,(_calc!$E$593-500)))=0,"",INDEX('My equipment'!$S$4:$S$503,(_calc!$E$593-500)))&amp;". ")&amp;IF(LEN(IF(LEN(INDEX('My equipment'!$U$4:$U$503,(_calc!$E$593-500)))=0,"",INDEX('My equipment'!$U$4:$U$503,(_calc!$E$593-500))))=0,"","Registered: "&amp;IF(LEN(INDEX('My equipment'!$U$4:$U$503,(_calc!$E$593-500)))=0,"",INDEX('My equipment'!$U$4:$U$503,(_calc!$E$593-500)))&amp;". ")&amp;IF(LEN(IF(LEN(INDEX('My equipment'!$V$4:$V$503,(_calc!$E$593-500)))=0,"",INDEX('My equipment'!$V$4:$V$503,(_calc!$E$593-500))))=0,"","Proof on file: "&amp;IF(LEN(INDEX('My equipment'!$V$4:$V$503,(_calc!$E$593-500)))=0,"",INDEX('My equipment'!$V$4:$V$503,(_calc!$E$593-500)))&amp;". ")&amp;IF(LEN(IF(LEN(INDEX('My equipment'!$W$4:$W$503,(_calc!$E$593-500)))=0,"",INDEX('My equipment'!$W$4:$W$503,(_calc!$E$593-500))))=0,"","Claim ref: "&amp;IF(LEN(INDEX('My equipment'!$W$4:$W$503,(_calc!$E$593-500)))=0,"",INDEX('My equipment'!$W$4:$W$503,(_calc!$E$593-500)))&amp;". ")&amp;IF(LEN(IF(LEN(INDEX('My equipment'!$Y$4:$Y$503,(_calc!$E$593-500)))=0,"",INDEX('My equipment'!$Y$4:$Y$503,(_calc!$E$593-500))))=0,"",IF(LEN(INDEX('My equipment'!$Y$4:$Y$503,(_calc!$E$593-500)))=0,"",INDEX('My equipment'!$Y$4:$Y$503,(_calc!$E$593-500)))))))</f>
        <v/>
      </c>
      <c r="G591" s="54">
        <f>IF(_calc!$E$593="","",IF(_calc!$E$593&lt;=500,"",IF(LEN(INDEX('My equipment'!$X$4:$X$503,(_calc!$E$593-500)))=0,"",INDEX('My equipment'!$X$4:$X$503,(_calc!$E$593-500)))))</f>
        <v/>
      </c>
      <c r="K591" s="54">
        <f>IF(_calc!$E$593="","",IF(_calc!$E$593&lt;=500,"",IF(LEN(INDEX('My equipment'!$T$4:$T$503,(_calc!$E$593-500)))=0,"",INDEX('My equipment'!$T$4:$T$503,(_calc!$E$593-500)))))</f>
        <v/>
      </c>
    </row>
    <row r="592">
      <c r="A592" s="54">
        <f>IF(_calc!$E$594="","",IF(_calc!$E$594&lt;=500,"Warranty – "&amp;IF(LEN(INDEX('Dealer pipeline'!$C$4:$C$503,_calc!$E$594))=0,"",INDEX('Dealer pipeline'!$C$4:$C$503,_calc!$E$594))&amp;" – "&amp;IF(LEN(INDEX('Dealer pipeline'!$D$4:$D$503,_calc!$E$594))=0,"",INDEX('Dealer pipeline'!$D$4:$D$503,_calc!$E$594))&amp;" – "&amp;IF(LEN(INDEX('Dealer pipeline'!$A$4:$A$503,_calc!$E$594))=0,"",INDEX('Dealer pipeline'!$A$4:$A$503,_calc!$E$594)),"Warranty – "&amp;IF(LEN(INDEX('My equipment'!$A$4:$A$503,(_calc!$E$594-500)))=0,"",INDEX('My equipment'!$A$4:$A$503,(_calc!$E$594-500)))&amp;" – "&amp;IF(LEN(INDEX('My equipment'!$D$4:$D$503,(_calc!$E$594-500)))=0,"",INDEX('My equipment'!$D$4:$D$503,(_calc!$E$594-500)))))</f>
        <v/>
      </c>
      <c r="B592" s="54">
        <f>IF(_calc!$E$594="","",IF(_calc!$E$594&lt;=500,IF(ISNUMBER(INDEX('Dealer pipeline'!$M$4:$M$503,_calc!$E$594)),TEXT(INDEX('Dealer pipeline'!$M$4:$M$503,_calc!$E$594),"yyyy-mm-dd"),""),IF(ISNUMBER(INDEX('My equipment'!$M$4:$M$503,(_calc!$E$594-500))),TEXT(INDEX('My equipment'!$M$4:$M$503,(_calc!$E$594-500)),"yyyy-mm-dd"),"")))</f>
        <v/>
      </c>
      <c r="C592" s="54">
        <f>IF(_calc!$E$594="","",IF(_calc!$E$594&lt;=500,"Warranty","Warranty"))</f>
        <v/>
      </c>
      <c r="D592" s="54">
        <f>IF(_calc!$E$594="","",IF(_calc!$E$594&lt;=500,IF(ISNUMBER(INDEX('Dealer pipeline'!$H$4:$H$503,_calc!$E$594)),TEXT(INDEX('Dealer pipeline'!$H$4:$H$503,_calc!$E$594),"yyyy-mm-dd"),""),IF(ISNUMBER(INDEX('My equipment'!$H$4:$H$503,(_calc!$E$594-500))),TEXT(INDEX('My equipment'!$H$4:$H$503,(_calc!$E$594-500)),"yyyy-mm-dd"),"")))</f>
        <v/>
      </c>
      <c r="F592" s="54">
        <f>IF(_calc!$E$594="","",IF(_calc!$E$594&lt;=500,TRIM(IF(LEN(IF(LEN(INDEX('Dealer pipeline'!$A$4:$A$503,_calc!$E$594))=0,"",INDEX('Dealer pipeline'!$A$4:$A$503,_calc!$E$594)))=0,"","Customer: "&amp;IF(LEN(INDEX('Dealer pipeline'!$A$4:$A$503,_calc!$E$594))=0,"",INDEX('Dealer pipeline'!$A$4:$A$503,_calc!$E$594))&amp;". ")&amp;IF(LEN(IF(LEN(INDEX('Dealer pipeline'!$B$4:$B$503,_calc!$E$594))=0,"",INDEX('Dealer pipeline'!$B$4:$B$503,_calc!$E$594)))=0,"","Contact: "&amp;IF(LEN(INDEX('Dealer pipeline'!$B$4:$B$503,_calc!$E$594))=0,"",INDEX('Dealer pipeline'!$B$4:$B$503,_calc!$E$594))&amp;". ")&amp;IF(LEN(IF(LEN(INDEX('Dealer pipeline'!$D$4:$D$503,_calc!$E$594))=0,"",INDEX('Dealer pipeline'!$D$4:$D$503,_calc!$E$594)))=0,"","Serial: "&amp;IF(LEN(INDEX('Dealer pipeline'!$D$4:$D$503,_calc!$E$594))=0,"",INDEX('Dealer pipeline'!$D$4:$D$503,_calc!$E$594))&amp;". ")&amp;IF(LEN(IF(ISNUMBER(INDEX('Dealer pipeline'!$J$4:$J$503,_calc!$E$594)),TEXT(INDEX('Dealer pipeline'!$J$4:$J$503,_calc!$E$594),"yyyy-mm-dd"),""))=0,"","Parts end: "&amp;IF(ISNUMBER(INDEX('Dealer pipeline'!$J$4:$J$503,_calc!$E$594)),TEXT(INDEX('Dealer pipeline'!$J$4:$J$503,_calc!$E$594),"yyyy-mm-dd"),"")&amp;". ")&amp;IF(LEN(IF(ISNUMBER(INDEX('Dealer pipeline'!$L$4:$L$503,_calc!$E$594)),TEXT(INDEX('Dealer pipeline'!$L$4:$L$503,_calc!$E$594),"yyyy-mm-dd"),""))=0,"","Labor end: "&amp;IF(ISNUMBER(INDEX('Dealer pipeline'!$L$4:$L$503,_calc!$E$594)),TEXT(INDEX('Dealer pipeline'!$L$4:$L$503,_calc!$E$594),"yyyy-mm-dd"),"")&amp;". ")&amp;IF(LEN(IF(LEN(INDEX('Dealer pipeline'!$Q$4:$Q$503,_calc!$E$594))=0,"",INDEX('Dealer pipeline'!$Q$4:$Q$503,_calc!$E$594)))=0,"","Status: "&amp;IF(LEN(INDEX('Dealer pipeline'!$Q$4:$Q$503,_calc!$E$594))=0,"",INDEX('Dealer pipeline'!$Q$4:$Q$503,_calc!$E$594))&amp;". ")&amp;IF(LEN(IF(LEN(INDEX('Dealer pipeline'!$P$4:$P$503,_calc!$E$594))=0,"",INDEX('Dealer pipeline'!$P$4:$P$503,_calc!$E$594)))=0,"","Last touch: "&amp;IF(LEN(INDEX('Dealer pipeline'!$P$4:$P$503,_calc!$E$594))=0,"",INDEX('Dealer pipeline'!$P$4:$P$503,_calc!$E$594))&amp;". ")&amp;IF(LEN(IF(LEN(INDEX('Dealer pipeline'!$R$4:$R$503,_calc!$E$594))=0,"",INDEX('Dealer pipeline'!$R$4:$R$503,_calc!$E$594)))=0,"","Owner: "&amp;IF(LEN(INDEX('Dealer pipeline'!$R$4:$R$503,_calc!$E$594))=0,"",INDEX('Dealer pipeline'!$R$4:$R$503,_calc!$E$594))&amp;". ")&amp;IF(LEN(IF(LEN(INDEX('Dealer pipeline'!$S$4:$S$503,_calc!$E$594))=0,"",INDEX('Dealer pipeline'!$S$4:$S$503,_calc!$E$594)))=0,"","Backup: "&amp;IF(LEN(INDEX('Dealer pipeline'!$S$4:$S$503,_calc!$E$594))=0,"",INDEX('Dealer pipeline'!$S$4:$S$503,_calc!$E$594))&amp;". ")&amp;IF(LEN(IF(LEN(INDEX('Dealer pipeline'!$T$4:$T$503,_calc!$E$594))=0,"",INDEX('Dealer pipeline'!$T$4:$T$503,_calc!$E$594)))=0,"",IF(LEN(INDEX('Dealer pipeline'!$T$4:$T$503,_calc!$E$594))=0,"",INDEX('Dealer pipeline'!$T$4:$T$503,_calc!$E$594)))),TRIM(IF(LEN(IF(LEN(INDEX('My equipment'!$C$4:$C$503,(_calc!$E$594-500)))=0,"",INDEX('My equipment'!$C$4:$C$503,(_calc!$E$594-500))))=0,"","Model: "&amp;IF(LEN(INDEX('My equipment'!$C$4:$C$503,(_calc!$E$594-500)))=0,"",INDEX('My equipment'!$C$4:$C$503,(_calc!$E$594-500)))&amp;". ")&amp;IF(LEN(IF(LEN(INDEX('My equipment'!$D$4:$D$503,(_calc!$E$594-500)))=0,"",INDEX('My equipment'!$D$4:$D$503,(_calc!$E$594-500))))=0,"","Serial: "&amp;IF(LEN(INDEX('My equipment'!$D$4:$D$503,(_calc!$E$594-500)))=0,"",INDEX('My equipment'!$D$4:$D$503,(_calc!$E$594-500)))&amp;". ")&amp;IF(LEN(IF(ISNUMBER(INDEX('My equipment'!$J$4:$J$503,(_calc!$E$594-500))),TEXT(INDEX('My equipment'!$J$4:$J$503,(_calc!$E$594-500)),"yyyy-mm-dd"),""))=0,"","Parts end: "&amp;IF(ISNUMBER(INDEX('My equipment'!$J$4:$J$503,(_calc!$E$594-500))),TEXT(INDEX('My equipment'!$J$4:$J$503,(_calc!$E$594-500)),"yyyy-mm-dd"),"")&amp;". ")&amp;IF(LEN(IF(ISNUMBER(INDEX('My equipment'!$L$4:$L$503,(_calc!$E$594-500))),TEXT(INDEX('My equipment'!$L$4:$L$503,(_calc!$E$594-500)),"yyyy-mm-dd"),""))=0,"","Labor end: "&amp;IF(ISNUMBER(INDEX('My equipment'!$L$4:$L$503,(_calc!$E$594-500))),TEXT(INDEX('My equipment'!$L$4:$L$503,(_calc!$E$594-500)),"yyyy-mm-dd"),"")&amp;". ")&amp;IF(LEN(IF(ISNUMBER(INDEX('My equipment'!$P$4:$P$503,(_calc!$E$594-500))),TEXT(INDEX('My equipment'!$P$4:$P$503,(_calc!$E$594-500)),"yyyy-mm-dd"),""))=0,"","Check by: "&amp;IF(ISNUMBER(INDEX('My equipment'!$P$4:$P$503,(_calc!$E$594-500))),TEXT(INDEX('My equipment'!$P$4:$P$503,(_calc!$E$594-500)),"yyyy-mm-dd"),"")&amp;". ")&amp;IF(LEN(IF(LEN(INDEX('My equipment'!$Q$4:$Q$503,(_calc!$E$594-500)))=0,"",INDEX('My equipment'!$Q$4:$Q$503,(_calc!$E$594-500))))=0,"","Claim status: "&amp;IF(LEN(INDEX('My equipment'!$Q$4:$Q$503,(_calc!$E$594-500)))=0,"",INDEX('My equipment'!$Q$4:$Q$503,(_calc!$E$594-500)))&amp;". ")&amp;IF(LEN(IF(LEN(INDEX('My equipment'!$R$4:$R$503,(_calc!$E$594-500)))=0,"",INDEX('My equipment'!$R$4:$R$503,(_calc!$E$594-500))))=0,"","Claims contact: "&amp;IF(LEN(INDEX('My equipment'!$R$4:$R$503,(_calc!$E$594-500)))=0,"",INDEX('My equipment'!$R$4:$R$503,(_calc!$E$594-500)))&amp;". ")&amp;IF(LEN(IF(LEN(INDEX('My equipment'!$S$4:$S$503,(_calc!$E$594-500)))=0,"",INDEX('My equipment'!$S$4:$S$503,(_calc!$E$594-500))))=0,"","Claims email: "&amp;IF(LEN(INDEX('My equipment'!$S$4:$S$503,(_calc!$E$594-500)))=0,"",INDEX('My equipment'!$S$4:$S$503,(_calc!$E$594-500)))&amp;". ")&amp;IF(LEN(IF(LEN(INDEX('My equipment'!$U$4:$U$503,(_calc!$E$594-500)))=0,"",INDEX('My equipment'!$U$4:$U$503,(_calc!$E$594-500))))=0,"","Registered: "&amp;IF(LEN(INDEX('My equipment'!$U$4:$U$503,(_calc!$E$594-500)))=0,"",INDEX('My equipment'!$U$4:$U$503,(_calc!$E$594-500)))&amp;". ")&amp;IF(LEN(IF(LEN(INDEX('My equipment'!$V$4:$V$503,(_calc!$E$594-500)))=0,"",INDEX('My equipment'!$V$4:$V$503,(_calc!$E$594-500))))=0,"","Proof on file: "&amp;IF(LEN(INDEX('My equipment'!$V$4:$V$503,(_calc!$E$594-500)))=0,"",INDEX('My equipment'!$V$4:$V$503,(_calc!$E$594-500)))&amp;". ")&amp;IF(LEN(IF(LEN(INDEX('My equipment'!$W$4:$W$503,(_calc!$E$594-500)))=0,"",INDEX('My equipment'!$W$4:$W$503,(_calc!$E$594-500))))=0,"","Claim ref: "&amp;IF(LEN(INDEX('My equipment'!$W$4:$W$503,(_calc!$E$594-500)))=0,"",INDEX('My equipment'!$W$4:$W$503,(_calc!$E$594-500)))&amp;". ")&amp;IF(LEN(IF(LEN(INDEX('My equipment'!$Y$4:$Y$503,(_calc!$E$594-500)))=0,"",INDEX('My equipment'!$Y$4:$Y$503,(_calc!$E$594-500))))=0,"",IF(LEN(INDEX('My equipment'!$Y$4:$Y$503,(_calc!$E$594-500)))=0,"",INDEX('My equipment'!$Y$4:$Y$503,(_calc!$E$594-500)))))))</f>
        <v/>
      </c>
      <c r="G592" s="54">
        <f>IF(_calc!$E$594="","",IF(_calc!$E$594&lt;=500,"",IF(LEN(INDEX('My equipment'!$X$4:$X$503,(_calc!$E$594-500)))=0,"",INDEX('My equipment'!$X$4:$X$503,(_calc!$E$594-500)))))</f>
        <v/>
      </c>
      <c r="K592" s="54">
        <f>IF(_calc!$E$594="","",IF(_calc!$E$594&lt;=500,"",IF(LEN(INDEX('My equipment'!$T$4:$T$503,(_calc!$E$594-500)))=0,"",INDEX('My equipment'!$T$4:$T$503,(_calc!$E$594-500)))))</f>
        <v/>
      </c>
    </row>
    <row r="593">
      <c r="A593" s="54">
        <f>IF(_calc!$E$595="","",IF(_calc!$E$595&lt;=500,"Warranty – "&amp;IF(LEN(INDEX('Dealer pipeline'!$C$4:$C$503,_calc!$E$595))=0,"",INDEX('Dealer pipeline'!$C$4:$C$503,_calc!$E$595))&amp;" – "&amp;IF(LEN(INDEX('Dealer pipeline'!$D$4:$D$503,_calc!$E$595))=0,"",INDEX('Dealer pipeline'!$D$4:$D$503,_calc!$E$595))&amp;" – "&amp;IF(LEN(INDEX('Dealer pipeline'!$A$4:$A$503,_calc!$E$595))=0,"",INDEX('Dealer pipeline'!$A$4:$A$503,_calc!$E$595)),"Warranty – "&amp;IF(LEN(INDEX('My equipment'!$A$4:$A$503,(_calc!$E$595-500)))=0,"",INDEX('My equipment'!$A$4:$A$503,(_calc!$E$595-500)))&amp;" – "&amp;IF(LEN(INDEX('My equipment'!$D$4:$D$503,(_calc!$E$595-500)))=0,"",INDEX('My equipment'!$D$4:$D$503,(_calc!$E$595-500)))))</f>
        <v/>
      </c>
      <c r="B593" s="54">
        <f>IF(_calc!$E$595="","",IF(_calc!$E$595&lt;=500,IF(ISNUMBER(INDEX('Dealer pipeline'!$M$4:$M$503,_calc!$E$595)),TEXT(INDEX('Dealer pipeline'!$M$4:$M$503,_calc!$E$595),"yyyy-mm-dd"),""),IF(ISNUMBER(INDEX('My equipment'!$M$4:$M$503,(_calc!$E$595-500))),TEXT(INDEX('My equipment'!$M$4:$M$503,(_calc!$E$595-500)),"yyyy-mm-dd"),"")))</f>
        <v/>
      </c>
      <c r="C593" s="54">
        <f>IF(_calc!$E$595="","",IF(_calc!$E$595&lt;=500,"Warranty","Warranty"))</f>
        <v/>
      </c>
      <c r="D593" s="54">
        <f>IF(_calc!$E$595="","",IF(_calc!$E$595&lt;=500,IF(ISNUMBER(INDEX('Dealer pipeline'!$H$4:$H$503,_calc!$E$595)),TEXT(INDEX('Dealer pipeline'!$H$4:$H$503,_calc!$E$595),"yyyy-mm-dd"),""),IF(ISNUMBER(INDEX('My equipment'!$H$4:$H$503,(_calc!$E$595-500))),TEXT(INDEX('My equipment'!$H$4:$H$503,(_calc!$E$595-500)),"yyyy-mm-dd"),"")))</f>
        <v/>
      </c>
      <c r="F593" s="54">
        <f>IF(_calc!$E$595="","",IF(_calc!$E$595&lt;=500,TRIM(IF(LEN(IF(LEN(INDEX('Dealer pipeline'!$A$4:$A$503,_calc!$E$595))=0,"",INDEX('Dealer pipeline'!$A$4:$A$503,_calc!$E$595)))=0,"","Customer: "&amp;IF(LEN(INDEX('Dealer pipeline'!$A$4:$A$503,_calc!$E$595))=0,"",INDEX('Dealer pipeline'!$A$4:$A$503,_calc!$E$595))&amp;". ")&amp;IF(LEN(IF(LEN(INDEX('Dealer pipeline'!$B$4:$B$503,_calc!$E$595))=0,"",INDEX('Dealer pipeline'!$B$4:$B$503,_calc!$E$595)))=0,"","Contact: "&amp;IF(LEN(INDEX('Dealer pipeline'!$B$4:$B$503,_calc!$E$595))=0,"",INDEX('Dealer pipeline'!$B$4:$B$503,_calc!$E$595))&amp;". ")&amp;IF(LEN(IF(LEN(INDEX('Dealer pipeline'!$D$4:$D$503,_calc!$E$595))=0,"",INDEX('Dealer pipeline'!$D$4:$D$503,_calc!$E$595)))=0,"","Serial: "&amp;IF(LEN(INDEX('Dealer pipeline'!$D$4:$D$503,_calc!$E$595))=0,"",INDEX('Dealer pipeline'!$D$4:$D$503,_calc!$E$595))&amp;". ")&amp;IF(LEN(IF(ISNUMBER(INDEX('Dealer pipeline'!$J$4:$J$503,_calc!$E$595)),TEXT(INDEX('Dealer pipeline'!$J$4:$J$503,_calc!$E$595),"yyyy-mm-dd"),""))=0,"","Parts end: "&amp;IF(ISNUMBER(INDEX('Dealer pipeline'!$J$4:$J$503,_calc!$E$595)),TEXT(INDEX('Dealer pipeline'!$J$4:$J$503,_calc!$E$595),"yyyy-mm-dd"),"")&amp;". ")&amp;IF(LEN(IF(ISNUMBER(INDEX('Dealer pipeline'!$L$4:$L$503,_calc!$E$595)),TEXT(INDEX('Dealer pipeline'!$L$4:$L$503,_calc!$E$595),"yyyy-mm-dd"),""))=0,"","Labor end: "&amp;IF(ISNUMBER(INDEX('Dealer pipeline'!$L$4:$L$503,_calc!$E$595)),TEXT(INDEX('Dealer pipeline'!$L$4:$L$503,_calc!$E$595),"yyyy-mm-dd"),"")&amp;". ")&amp;IF(LEN(IF(LEN(INDEX('Dealer pipeline'!$Q$4:$Q$503,_calc!$E$595))=0,"",INDEX('Dealer pipeline'!$Q$4:$Q$503,_calc!$E$595)))=0,"","Status: "&amp;IF(LEN(INDEX('Dealer pipeline'!$Q$4:$Q$503,_calc!$E$595))=0,"",INDEX('Dealer pipeline'!$Q$4:$Q$503,_calc!$E$595))&amp;". ")&amp;IF(LEN(IF(LEN(INDEX('Dealer pipeline'!$P$4:$P$503,_calc!$E$595))=0,"",INDEX('Dealer pipeline'!$P$4:$P$503,_calc!$E$595)))=0,"","Last touch: "&amp;IF(LEN(INDEX('Dealer pipeline'!$P$4:$P$503,_calc!$E$595))=0,"",INDEX('Dealer pipeline'!$P$4:$P$503,_calc!$E$595))&amp;". ")&amp;IF(LEN(IF(LEN(INDEX('Dealer pipeline'!$R$4:$R$503,_calc!$E$595))=0,"",INDEX('Dealer pipeline'!$R$4:$R$503,_calc!$E$595)))=0,"","Owner: "&amp;IF(LEN(INDEX('Dealer pipeline'!$R$4:$R$503,_calc!$E$595))=0,"",INDEX('Dealer pipeline'!$R$4:$R$503,_calc!$E$595))&amp;". ")&amp;IF(LEN(IF(LEN(INDEX('Dealer pipeline'!$S$4:$S$503,_calc!$E$595))=0,"",INDEX('Dealer pipeline'!$S$4:$S$503,_calc!$E$595)))=0,"","Backup: "&amp;IF(LEN(INDEX('Dealer pipeline'!$S$4:$S$503,_calc!$E$595))=0,"",INDEX('Dealer pipeline'!$S$4:$S$503,_calc!$E$595))&amp;". ")&amp;IF(LEN(IF(LEN(INDEX('Dealer pipeline'!$T$4:$T$503,_calc!$E$595))=0,"",INDEX('Dealer pipeline'!$T$4:$T$503,_calc!$E$595)))=0,"",IF(LEN(INDEX('Dealer pipeline'!$T$4:$T$503,_calc!$E$595))=0,"",INDEX('Dealer pipeline'!$T$4:$T$503,_calc!$E$595)))),TRIM(IF(LEN(IF(LEN(INDEX('My equipment'!$C$4:$C$503,(_calc!$E$595-500)))=0,"",INDEX('My equipment'!$C$4:$C$503,(_calc!$E$595-500))))=0,"","Model: "&amp;IF(LEN(INDEX('My equipment'!$C$4:$C$503,(_calc!$E$595-500)))=0,"",INDEX('My equipment'!$C$4:$C$503,(_calc!$E$595-500)))&amp;". ")&amp;IF(LEN(IF(LEN(INDEX('My equipment'!$D$4:$D$503,(_calc!$E$595-500)))=0,"",INDEX('My equipment'!$D$4:$D$503,(_calc!$E$595-500))))=0,"","Serial: "&amp;IF(LEN(INDEX('My equipment'!$D$4:$D$503,(_calc!$E$595-500)))=0,"",INDEX('My equipment'!$D$4:$D$503,(_calc!$E$595-500)))&amp;". ")&amp;IF(LEN(IF(ISNUMBER(INDEX('My equipment'!$J$4:$J$503,(_calc!$E$595-500))),TEXT(INDEX('My equipment'!$J$4:$J$503,(_calc!$E$595-500)),"yyyy-mm-dd"),""))=0,"","Parts end: "&amp;IF(ISNUMBER(INDEX('My equipment'!$J$4:$J$503,(_calc!$E$595-500))),TEXT(INDEX('My equipment'!$J$4:$J$503,(_calc!$E$595-500)),"yyyy-mm-dd"),"")&amp;". ")&amp;IF(LEN(IF(ISNUMBER(INDEX('My equipment'!$L$4:$L$503,(_calc!$E$595-500))),TEXT(INDEX('My equipment'!$L$4:$L$503,(_calc!$E$595-500)),"yyyy-mm-dd"),""))=0,"","Labor end: "&amp;IF(ISNUMBER(INDEX('My equipment'!$L$4:$L$503,(_calc!$E$595-500))),TEXT(INDEX('My equipment'!$L$4:$L$503,(_calc!$E$595-500)),"yyyy-mm-dd"),"")&amp;". ")&amp;IF(LEN(IF(ISNUMBER(INDEX('My equipment'!$P$4:$P$503,(_calc!$E$595-500))),TEXT(INDEX('My equipment'!$P$4:$P$503,(_calc!$E$595-500)),"yyyy-mm-dd"),""))=0,"","Check by: "&amp;IF(ISNUMBER(INDEX('My equipment'!$P$4:$P$503,(_calc!$E$595-500))),TEXT(INDEX('My equipment'!$P$4:$P$503,(_calc!$E$595-500)),"yyyy-mm-dd"),"")&amp;". ")&amp;IF(LEN(IF(LEN(INDEX('My equipment'!$Q$4:$Q$503,(_calc!$E$595-500)))=0,"",INDEX('My equipment'!$Q$4:$Q$503,(_calc!$E$595-500))))=0,"","Claim status: "&amp;IF(LEN(INDEX('My equipment'!$Q$4:$Q$503,(_calc!$E$595-500)))=0,"",INDEX('My equipment'!$Q$4:$Q$503,(_calc!$E$595-500)))&amp;". ")&amp;IF(LEN(IF(LEN(INDEX('My equipment'!$R$4:$R$503,(_calc!$E$595-500)))=0,"",INDEX('My equipment'!$R$4:$R$503,(_calc!$E$595-500))))=0,"","Claims contact: "&amp;IF(LEN(INDEX('My equipment'!$R$4:$R$503,(_calc!$E$595-500)))=0,"",INDEX('My equipment'!$R$4:$R$503,(_calc!$E$595-500)))&amp;". ")&amp;IF(LEN(IF(LEN(INDEX('My equipment'!$S$4:$S$503,(_calc!$E$595-500)))=0,"",INDEX('My equipment'!$S$4:$S$503,(_calc!$E$595-500))))=0,"","Claims email: "&amp;IF(LEN(INDEX('My equipment'!$S$4:$S$503,(_calc!$E$595-500)))=0,"",INDEX('My equipment'!$S$4:$S$503,(_calc!$E$595-500)))&amp;". ")&amp;IF(LEN(IF(LEN(INDEX('My equipment'!$U$4:$U$503,(_calc!$E$595-500)))=0,"",INDEX('My equipment'!$U$4:$U$503,(_calc!$E$595-500))))=0,"","Registered: "&amp;IF(LEN(INDEX('My equipment'!$U$4:$U$503,(_calc!$E$595-500)))=0,"",INDEX('My equipment'!$U$4:$U$503,(_calc!$E$595-500)))&amp;". ")&amp;IF(LEN(IF(LEN(INDEX('My equipment'!$V$4:$V$503,(_calc!$E$595-500)))=0,"",INDEX('My equipment'!$V$4:$V$503,(_calc!$E$595-500))))=0,"","Proof on file: "&amp;IF(LEN(INDEX('My equipment'!$V$4:$V$503,(_calc!$E$595-500)))=0,"",INDEX('My equipment'!$V$4:$V$503,(_calc!$E$595-500)))&amp;". ")&amp;IF(LEN(IF(LEN(INDEX('My equipment'!$W$4:$W$503,(_calc!$E$595-500)))=0,"",INDEX('My equipment'!$W$4:$W$503,(_calc!$E$595-500))))=0,"","Claim ref: "&amp;IF(LEN(INDEX('My equipment'!$W$4:$W$503,(_calc!$E$595-500)))=0,"",INDEX('My equipment'!$W$4:$W$503,(_calc!$E$595-500)))&amp;". ")&amp;IF(LEN(IF(LEN(INDEX('My equipment'!$Y$4:$Y$503,(_calc!$E$595-500)))=0,"",INDEX('My equipment'!$Y$4:$Y$503,(_calc!$E$595-500))))=0,"",IF(LEN(INDEX('My equipment'!$Y$4:$Y$503,(_calc!$E$595-500)))=0,"",INDEX('My equipment'!$Y$4:$Y$503,(_calc!$E$595-500)))))))</f>
        <v/>
      </c>
      <c r="G593" s="54">
        <f>IF(_calc!$E$595="","",IF(_calc!$E$595&lt;=500,"",IF(LEN(INDEX('My equipment'!$X$4:$X$503,(_calc!$E$595-500)))=0,"",INDEX('My equipment'!$X$4:$X$503,(_calc!$E$595-500)))))</f>
        <v/>
      </c>
      <c r="K593" s="54">
        <f>IF(_calc!$E$595="","",IF(_calc!$E$595&lt;=500,"",IF(LEN(INDEX('My equipment'!$T$4:$T$503,(_calc!$E$595-500)))=0,"",INDEX('My equipment'!$T$4:$T$503,(_calc!$E$595-500)))))</f>
        <v/>
      </c>
    </row>
    <row r="594">
      <c r="A594" s="54">
        <f>IF(_calc!$E$596="","",IF(_calc!$E$596&lt;=500,"Warranty – "&amp;IF(LEN(INDEX('Dealer pipeline'!$C$4:$C$503,_calc!$E$596))=0,"",INDEX('Dealer pipeline'!$C$4:$C$503,_calc!$E$596))&amp;" – "&amp;IF(LEN(INDEX('Dealer pipeline'!$D$4:$D$503,_calc!$E$596))=0,"",INDEX('Dealer pipeline'!$D$4:$D$503,_calc!$E$596))&amp;" – "&amp;IF(LEN(INDEX('Dealer pipeline'!$A$4:$A$503,_calc!$E$596))=0,"",INDEX('Dealer pipeline'!$A$4:$A$503,_calc!$E$596)),"Warranty – "&amp;IF(LEN(INDEX('My equipment'!$A$4:$A$503,(_calc!$E$596-500)))=0,"",INDEX('My equipment'!$A$4:$A$503,(_calc!$E$596-500)))&amp;" – "&amp;IF(LEN(INDEX('My equipment'!$D$4:$D$503,(_calc!$E$596-500)))=0,"",INDEX('My equipment'!$D$4:$D$503,(_calc!$E$596-500)))))</f>
        <v/>
      </c>
      <c r="B594" s="54">
        <f>IF(_calc!$E$596="","",IF(_calc!$E$596&lt;=500,IF(ISNUMBER(INDEX('Dealer pipeline'!$M$4:$M$503,_calc!$E$596)),TEXT(INDEX('Dealer pipeline'!$M$4:$M$503,_calc!$E$596),"yyyy-mm-dd"),""),IF(ISNUMBER(INDEX('My equipment'!$M$4:$M$503,(_calc!$E$596-500))),TEXT(INDEX('My equipment'!$M$4:$M$503,(_calc!$E$596-500)),"yyyy-mm-dd"),"")))</f>
        <v/>
      </c>
      <c r="C594" s="54">
        <f>IF(_calc!$E$596="","",IF(_calc!$E$596&lt;=500,"Warranty","Warranty"))</f>
        <v/>
      </c>
      <c r="D594" s="54">
        <f>IF(_calc!$E$596="","",IF(_calc!$E$596&lt;=500,IF(ISNUMBER(INDEX('Dealer pipeline'!$H$4:$H$503,_calc!$E$596)),TEXT(INDEX('Dealer pipeline'!$H$4:$H$503,_calc!$E$596),"yyyy-mm-dd"),""),IF(ISNUMBER(INDEX('My equipment'!$H$4:$H$503,(_calc!$E$596-500))),TEXT(INDEX('My equipment'!$H$4:$H$503,(_calc!$E$596-500)),"yyyy-mm-dd"),"")))</f>
        <v/>
      </c>
      <c r="F594" s="54">
        <f>IF(_calc!$E$596="","",IF(_calc!$E$596&lt;=500,TRIM(IF(LEN(IF(LEN(INDEX('Dealer pipeline'!$A$4:$A$503,_calc!$E$596))=0,"",INDEX('Dealer pipeline'!$A$4:$A$503,_calc!$E$596)))=0,"","Customer: "&amp;IF(LEN(INDEX('Dealer pipeline'!$A$4:$A$503,_calc!$E$596))=0,"",INDEX('Dealer pipeline'!$A$4:$A$503,_calc!$E$596))&amp;". ")&amp;IF(LEN(IF(LEN(INDEX('Dealer pipeline'!$B$4:$B$503,_calc!$E$596))=0,"",INDEX('Dealer pipeline'!$B$4:$B$503,_calc!$E$596)))=0,"","Contact: "&amp;IF(LEN(INDEX('Dealer pipeline'!$B$4:$B$503,_calc!$E$596))=0,"",INDEX('Dealer pipeline'!$B$4:$B$503,_calc!$E$596))&amp;". ")&amp;IF(LEN(IF(LEN(INDEX('Dealer pipeline'!$D$4:$D$503,_calc!$E$596))=0,"",INDEX('Dealer pipeline'!$D$4:$D$503,_calc!$E$596)))=0,"","Serial: "&amp;IF(LEN(INDEX('Dealer pipeline'!$D$4:$D$503,_calc!$E$596))=0,"",INDEX('Dealer pipeline'!$D$4:$D$503,_calc!$E$596))&amp;". ")&amp;IF(LEN(IF(ISNUMBER(INDEX('Dealer pipeline'!$J$4:$J$503,_calc!$E$596)),TEXT(INDEX('Dealer pipeline'!$J$4:$J$503,_calc!$E$596),"yyyy-mm-dd"),""))=0,"","Parts end: "&amp;IF(ISNUMBER(INDEX('Dealer pipeline'!$J$4:$J$503,_calc!$E$596)),TEXT(INDEX('Dealer pipeline'!$J$4:$J$503,_calc!$E$596),"yyyy-mm-dd"),"")&amp;". ")&amp;IF(LEN(IF(ISNUMBER(INDEX('Dealer pipeline'!$L$4:$L$503,_calc!$E$596)),TEXT(INDEX('Dealer pipeline'!$L$4:$L$503,_calc!$E$596),"yyyy-mm-dd"),""))=0,"","Labor end: "&amp;IF(ISNUMBER(INDEX('Dealer pipeline'!$L$4:$L$503,_calc!$E$596)),TEXT(INDEX('Dealer pipeline'!$L$4:$L$503,_calc!$E$596),"yyyy-mm-dd"),"")&amp;". ")&amp;IF(LEN(IF(LEN(INDEX('Dealer pipeline'!$Q$4:$Q$503,_calc!$E$596))=0,"",INDEX('Dealer pipeline'!$Q$4:$Q$503,_calc!$E$596)))=0,"","Status: "&amp;IF(LEN(INDEX('Dealer pipeline'!$Q$4:$Q$503,_calc!$E$596))=0,"",INDEX('Dealer pipeline'!$Q$4:$Q$503,_calc!$E$596))&amp;". ")&amp;IF(LEN(IF(LEN(INDEX('Dealer pipeline'!$P$4:$P$503,_calc!$E$596))=0,"",INDEX('Dealer pipeline'!$P$4:$P$503,_calc!$E$596)))=0,"","Last touch: "&amp;IF(LEN(INDEX('Dealer pipeline'!$P$4:$P$503,_calc!$E$596))=0,"",INDEX('Dealer pipeline'!$P$4:$P$503,_calc!$E$596))&amp;". ")&amp;IF(LEN(IF(LEN(INDEX('Dealer pipeline'!$R$4:$R$503,_calc!$E$596))=0,"",INDEX('Dealer pipeline'!$R$4:$R$503,_calc!$E$596)))=0,"","Owner: "&amp;IF(LEN(INDEX('Dealer pipeline'!$R$4:$R$503,_calc!$E$596))=0,"",INDEX('Dealer pipeline'!$R$4:$R$503,_calc!$E$596))&amp;". ")&amp;IF(LEN(IF(LEN(INDEX('Dealer pipeline'!$S$4:$S$503,_calc!$E$596))=0,"",INDEX('Dealer pipeline'!$S$4:$S$503,_calc!$E$596)))=0,"","Backup: "&amp;IF(LEN(INDEX('Dealer pipeline'!$S$4:$S$503,_calc!$E$596))=0,"",INDEX('Dealer pipeline'!$S$4:$S$503,_calc!$E$596))&amp;". ")&amp;IF(LEN(IF(LEN(INDEX('Dealer pipeline'!$T$4:$T$503,_calc!$E$596))=0,"",INDEX('Dealer pipeline'!$T$4:$T$503,_calc!$E$596)))=0,"",IF(LEN(INDEX('Dealer pipeline'!$T$4:$T$503,_calc!$E$596))=0,"",INDEX('Dealer pipeline'!$T$4:$T$503,_calc!$E$596)))),TRIM(IF(LEN(IF(LEN(INDEX('My equipment'!$C$4:$C$503,(_calc!$E$596-500)))=0,"",INDEX('My equipment'!$C$4:$C$503,(_calc!$E$596-500))))=0,"","Model: "&amp;IF(LEN(INDEX('My equipment'!$C$4:$C$503,(_calc!$E$596-500)))=0,"",INDEX('My equipment'!$C$4:$C$503,(_calc!$E$596-500)))&amp;". ")&amp;IF(LEN(IF(LEN(INDEX('My equipment'!$D$4:$D$503,(_calc!$E$596-500)))=0,"",INDEX('My equipment'!$D$4:$D$503,(_calc!$E$596-500))))=0,"","Serial: "&amp;IF(LEN(INDEX('My equipment'!$D$4:$D$503,(_calc!$E$596-500)))=0,"",INDEX('My equipment'!$D$4:$D$503,(_calc!$E$596-500)))&amp;". ")&amp;IF(LEN(IF(ISNUMBER(INDEX('My equipment'!$J$4:$J$503,(_calc!$E$596-500))),TEXT(INDEX('My equipment'!$J$4:$J$503,(_calc!$E$596-500)),"yyyy-mm-dd"),""))=0,"","Parts end: "&amp;IF(ISNUMBER(INDEX('My equipment'!$J$4:$J$503,(_calc!$E$596-500))),TEXT(INDEX('My equipment'!$J$4:$J$503,(_calc!$E$596-500)),"yyyy-mm-dd"),"")&amp;". ")&amp;IF(LEN(IF(ISNUMBER(INDEX('My equipment'!$L$4:$L$503,(_calc!$E$596-500))),TEXT(INDEX('My equipment'!$L$4:$L$503,(_calc!$E$596-500)),"yyyy-mm-dd"),""))=0,"","Labor end: "&amp;IF(ISNUMBER(INDEX('My equipment'!$L$4:$L$503,(_calc!$E$596-500))),TEXT(INDEX('My equipment'!$L$4:$L$503,(_calc!$E$596-500)),"yyyy-mm-dd"),"")&amp;". ")&amp;IF(LEN(IF(ISNUMBER(INDEX('My equipment'!$P$4:$P$503,(_calc!$E$596-500))),TEXT(INDEX('My equipment'!$P$4:$P$503,(_calc!$E$596-500)),"yyyy-mm-dd"),""))=0,"","Check by: "&amp;IF(ISNUMBER(INDEX('My equipment'!$P$4:$P$503,(_calc!$E$596-500))),TEXT(INDEX('My equipment'!$P$4:$P$503,(_calc!$E$596-500)),"yyyy-mm-dd"),"")&amp;". ")&amp;IF(LEN(IF(LEN(INDEX('My equipment'!$Q$4:$Q$503,(_calc!$E$596-500)))=0,"",INDEX('My equipment'!$Q$4:$Q$503,(_calc!$E$596-500))))=0,"","Claim status: "&amp;IF(LEN(INDEX('My equipment'!$Q$4:$Q$503,(_calc!$E$596-500)))=0,"",INDEX('My equipment'!$Q$4:$Q$503,(_calc!$E$596-500)))&amp;". ")&amp;IF(LEN(IF(LEN(INDEX('My equipment'!$R$4:$R$503,(_calc!$E$596-500)))=0,"",INDEX('My equipment'!$R$4:$R$503,(_calc!$E$596-500))))=0,"","Claims contact: "&amp;IF(LEN(INDEX('My equipment'!$R$4:$R$503,(_calc!$E$596-500)))=0,"",INDEX('My equipment'!$R$4:$R$503,(_calc!$E$596-500)))&amp;". ")&amp;IF(LEN(IF(LEN(INDEX('My equipment'!$S$4:$S$503,(_calc!$E$596-500)))=0,"",INDEX('My equipment'!$S$4:$S$503,(_calc!$E$596-500))))=0,"","Claims email: "&amp;IF(LEN(INDEX('My equipment'!$S$4:$S$503,(_calc!$E$596-500)))=0,"",INDEX('My equipment'!$S$4:$S$503,(_calc!$E$596-500)))&amp;". ")&amp;IF(LEN(IF(LEN(INDEX('My equipment'!$U$4:$U$503,(_calc!$E$596-500)))=0,"",INDEX('My equipment'!$U$4:$U$503,(_calc!$E$596-500))))=0,"","Registered: "&amp;IF(LEN(INDEX('My equipment'!$U$4:$U$503,(_calc!$E$596-500)))=0,"",INDEX('My equipment'!$U$4:$U$503,(_calc!$E$596-500)))&amp;". ")&amp;IF(LEN(IF(LEN(INDEX('My equipment'!$V$4:$V$503,(_calc!$E$596-500)))=0,"",INDEX('My equipment'!$V$4:$V$503,(_calc!$E$596-500))))=0,"","Proof on file: "&amp;IF(LEN(INDEX('My equipment'!$V$4:$V$503,(_calc!$E$596-500)))=0,"",INDEX('My equipment'!$V$4:$V$503,(_calc!$E$596-500)))&amp;". ")&amp;IF(LEN(IF(LEN(INDEX('My equipment'!$W$4:$W$503,(_calc!$E$596-500)))=0,"",INDEX('My equipment'!$W$4:$W$503,(_calc!$E$596-500))))=0,"","Claim ref: "&amp;IF(LEN(INDEX('My equipment'!$W$4:$W$503,(_calc!$E$596-500)))=0,"",INDEX('My equipment'!$W$4:$W$503,(_calc!$E$596-500)))&amp;". ")&amp;IF(LEN(IF(LEN(INDEX('My equipment'!$Y$4:$Y$503,(_calc!$E$596-500)))=0,"",INDEX('My equipment'!$Y$4:$Y$503,(_calc!$E$596-500))))=0,"",IF(LEN(INDEX('My equipment'!$Y$4:$Y$503,(_calc!$E$596-500)))=0,"",INDEX('My equipment'!$Y$4:$Y$503,(_calc!$E$596-500)))))))</f>
        <v/>
      </c>
      <c r="G594" s="54">
        <f>IF(_calc!$E$596="","",IF(_calc!$E$596&lt;=500,"",IF(LEN(INDEX('My equipment'!$X$4:$X$503,(_calc!$E$596-500)))=0,"",INDEX('My equipment'!$X$4:$X$503,(_calc!$E$596-500)))))</f>
        <v/>
      </c>
      <c r="K594" s="54">
        <f>IF(_calc!$E$596="","",IF(_calc!$E$596&lt;=500,"",IF(LEN(INDEX('My equipment'!$T$4:$T$503,(_calc!$E$596-500)))=0,"",INDEX('My equipment'!$T$4:$T$503,(_calc!$E$596-500)))))</f>
        <v/>
      </c>
    </row>
    <row r="595">
      <c r="A595" s="54">
        <f>IF(_calc!$E$597="","",IF(_calc!$E$597&lt;=500,"Warranty – "&amp;IF(LEN(INDEX('Dealer pipeline'!$C$4:$C$503,_calc!$E$597))=0,"",INDEX('Dealer pipeline'!$C$4:$C$503,_calc!$E$597))&amp;" – "&amp;IF(LEN(INDEX('Dealer pipeline'!$D$4:$D$503,_calc!$E$597))=0,"",INDEX('Dealer pipeline'!$D$4:$D$503,_calc!$E$597))&amp;" – "&amp;IF(LEN(INDEX('Dealer pipeline'!$A$4:$A$503,_calc!$E$597))=0,"",INDEX('Dealer pipeline'!$A$4:$A$503,_calc!$E$597)),"Warranty – "&amp;IF(LEN(INDEX('My equipment'!$A$4:$A$503,(_calc!$E$597-500)))=0,"",INDEX('My equipment'!$A$4:$A$503,(_calc!$E$597-500)))&amp;" – "&amp;IF(LEN(INDEX('My equipment'!$D$4:$D$503,(_calc!$E$597-500)))=0,"",INDEX('My equipment'!$D$4:$D$503,(_calc!$E$597-500)))))</f>
        <v/>
      </c>
      <c r="B595" s="54">
        <f>IF(_calc!$E$597="","",IF(_calc!$E$597&lt;=500,IF(ISNUMBER(INDEX('Dealer pipeline'!$M$4:$M$503,_calc!$E$597)),TEXT(INDEX('Dealer pipeline'!$M$4:$M$503,_calc!$E$597),"yyyy-mm-dd"),""),IF(ISNUMBER(INDEX('My equipment'!$M$4:$M$503,(_calc!$E$597-500))),TEXT(INDEX('My equipment'!$M$4:$M$503,(_calc!$E$597-500)),"yyyy-mm-dd"),"")))</f>
        <v/>
      </c>
      <c r="C595" s="54">
        <f>IF(_calc!$E$597="","",IF(_calc!$E$597&lt;=500,"Warranty","Warranty"))</f>
        <v/>
      </c>
      <c r="D595" s="54">
        <f>IF(_calc!$E$597="","",IF(_calc!$E$597&lt;=500,IF(ISNUMBER(INDEX('Dealer pipeline'!$H$4:$H$503,_calc!$E$597)),TEXT(INDEX('Dealer pipeline'!$H$4:$H$503,_calc!$E$597),"yyyy-mm-dd"),""),IF(ISNUMBER(INDEX('My equipment'!$H$4:$H$503,(_calc!$E$597-500))),TEXT(INDEX('My equipment'!$H$4:$H$503,(_calc!$E$597-500)),"yyyy-mm-dd"),"")))</f>
        <v/>
      </c>
      <c r="F595" s="54">
        <f>IF(_calc!$E$597="","",IF(_calc!$E$597&lt;=500,TRIM(IF(LEN(IF(LEN(INDEX('Dealer pipeline'!$A$4:$A$503,_calc!$E$597))=0,"",INDEX('Dealer pipeline'!$A$4:$A$503,_calc!$E$597)))=0,"","Customer: "&amp;IF(LEN(INDEX('Dealer pipeline'!$A$4:$A$503,_calc!$E$597))=0,"",INDEX('Dealer pipeline'!$A$4:$A$503,_calc!$E$597))&amp;". ")&amp;IF(LEN(IF(LEN(INDEX('Dealer pipeline'!$B$4:$B$503,_calc!$E$597))=0,"",INDEX('Dealer pipeline'!$B$4:$B$503,_calc!$E$597)))=0,"","Contact: "&amp;IF(LEN(INDEX('Dealer pipeline'!$B$4:$B$503,_calc!$E$597))=0,"",INDEX('Dealer pipeline'!$B$4:$B$503,_calc!$E$597))&amp;". ")&amp;IF(LEN(IF(LEN(INDEX('Dealer pipeline'!$D$4:$D$503,_calc!$E$597))=0,"",INDEX('Dealer pipeline'!$D$4:$D$503,_calc!$E$597)))=0,"","Serial: "&amp;IF(LEN(INDEX('Dealer pipeline'!$D$4:$D$503,_calc!$E$597))=0,"",INDEX('Dealer pipeline'!$D$4:$D$503,_calc!$E$597))&amp;". ")&amp;IF(LEN(IF(ISNUMBER(INDEX('Dealer pipeline'!$J$4:$J$503,_calc!$E$597)),TEXT(INDEX('Dealer pipeline'!$J$4:$J$503,_calc!$E$597),"yyyy-mm-dd"),""))=0,"","Parts end: "&amp;IF(ISNUMBER(INDEX('Dealer pipeline'!$J$4:$J$503,_calc!$E$597)),TEXT(INDEX('Dealer pipeline'!$J$4:$J$503,_calc!$E$597),"yyyy-mm-dd"),"")&amp;". ")&amp;IF(LEN(IF(ISNUMBER(INDEX('Dealer pipeline'!$L$4:$L$503,_calc!$E$597)),TEXT(INDEX('Dealer pipeline'!$L$4:$L$503,_calc!$E$597),"yyyy-mm-dd"),""))=0,"","Labor end: "&amp;IF(ISNUMBER(INDEX('Dealer pipeline'!$L$4:$L$503,_calc!$E$597)),TEXT(INDEX('Dealer pipeline'!$L$4:$L$503,_calc!$E$597),"yyyy-mm-dd"),"")&amp;". ")&amp;IF(LEN(IF(LEN(INDEX('Dealer pipeline'!$Q$4:$Q$503,_calc!$E$597))=0,"",INDEX('Dealer pipeline'!$Q$4:$Q$503,_calc!$E$597)))=0,"","Status: "&amp;IF(LEN(INDEX('Dealer pipeline'!$Q$4:$Q$503,_calc!$E$597))=0,"",INDEX('Dealer pipeline'!$Q$4:$Q$503,_calc!$E$597))&amp;". ")&amp;IF(LEN(IF(LEN(INDEX('Dealer pipeline'!$P$4:$P$503,_calc!$E$597))=0,"",INDEX('Dealer pipeline'!$P$4:$P$503,_calc!$E$597)))=0,"","Last touch: "&amp;IF(LEN(INDEX('Dealer pipeline'!$P$4:$P$503,_calc!$E$597))=0,"",INDEX('Dealer pipeline'!$P$4:$P$503,_calc!$E$597))&amp;". ")&amp;IF(LEN(IF(LEN(INDEX('Dealer pipeline'!$R$4:$R$503,_calc!$E$597))=0,"",INDEX('Dealer pipeline'!$R$4:$R$503,_calc!$E$597)))=0,"","Owner: "&amp;IF(LEN(INDEX('Dealer pipeline'!$R$4:$R$503,_calc!$E$597))=0,"",INDEX('Dealer pipeline'!$R$4:$R$503,_calc!$E$597))&amp;". ")&amp;IF(LEN(IF(LEN(INDEX('Dealer pipeline'!$S$4:$S$503,_calc!$E$597))=0,"",INDEX('Dealer pipeline'!$S$4:$S$503,_calc!$E$597)))=0,"","Backup: "&amp;IF(LEN(INDEX('Dealer pipeline'!$S$4:$S$503,_calc!$E$597))=0,"",INDEX('Dealer pipeline'!$S$4:$S$503,_calc!$E$597))&amp;". ")&amp;IF(LEN(IF(LEN(INDEX('Dealer pipeline'!$T$4:$T$503,_calc!$E$597))=0,"",INDEX('Dealer pipeline'!$T$4:$T$503,_calc!$E$597)))=0,"",IF(LEN(INDEX('Dealer pipeline'!$T$4:$T$503,_calc!$E$597))=0,"",INDEX('Dealer pipeline'!$T$4:$T$503,_calc!$E$597)))),TRIM(IF(LEN(IF(LEN(INDEX('My equipment'!$C$4:$C$503,(_calc!$E$597-500)))=0,"",INDEX('My equipment'!$C$4:$C$503,(_calc!$E$597-500))))=0,"","Model: "&amp;IF(LEN(INDEX('My equipment'!$C$4:$C$503,(_calc!$E$597-500)))=0,"",INDEX('My equipment'!$C$4:$C$503,(_calc!$E$597-500)))&amp;". ")&amp;IF(LEN(IF(LEN(INDEX('My equipment'!$D$4:$D$503,(_calc!$E$597-500)))=0,"",INDEX('My equipment'!$D$4:$D$503,(_calc!$E$597-500))))=0,"","Serial: "&amp;IF(LEN(INDEX('My equipment'!$D$4:$D$503,(_calc!$E$597-500)))=0,"",INDEX('My equipment'!$D$4:$D$503,(_calc!$E$597-500)))&amp;". ")&amp;IF(LEN(IF(ISNUMBER(INDEX('My equipment'!$J$4:$J$503,(_calc!$E$597-500))),TEXT(INDEX('My equipment'!$J$4:$J$503,(_calc!$E$597-500)),"yyyy-mm-dd"),""))=0,"","Parts end: "&amp;IF(ISNUMBER(INDEX('My equipment'!$J$4:$J$503,(_calc!$E$597-500))),TEXT(INDEX('My equipment'!$J$4:$J$503,(_calc!$E$597-500)),"yyyy-mm-dd"),"")&amp;". ")&amp;IF(LEN(IF(ISNUMBER(INDEX('My equipment'!$L$4:$L$503,(_calc!$E$597-500))),TEXT(INDEX('My equipment'!$L$4:$L$503,(_calc!$E$597-500)),"yyyy-mm-dd"),""))=0,"","Labor end: "&amp;IF(ISNUMBER(INDEX('My equipment'!$L$4:$L$503,(_calc!$E$597-500))),TEXT(INDEX('My equipment'!$L$4:$L$503,(_calc!$E$597-500)),"yyyy-mm-dd"),"")&amp;". ")&amp;IF(LEN(IF(ISNUMBER(INDEX('My equipment'!$P$4:$P$503,(_calc!$E$597-500))),TEXT(INDEX('My equipment'!$P$4:$P$503,(_calc!$E$597-500)),"yyyy-mm-dd"),""))=0,"","Check by: "&amp;IF(ISNUMBER(INDEX('My equipment'!$P$4:$P$503,(_calc!$E$597-500))),TEXT(INDEX('My equipment'!$P$4:$P$503,(_calc!$E$597-500)),"yyyy-mm-dd"),"")&amp;". ")&amp;IF(LEN(IF(LEN(INDEX('My equipment'!$Q$4:$Q$503,(_calc!$E$597-500)))=0,"",INDEX('My equipment'!$Q$4:$Q$503,(_calc!$E$597-500))))=0,"","Claim status: "&amp;IF(LEN(INDEX('My equipment'!$Q$4:$Q$503,(_calc!$E$597-500)))=0,"",INDEX('My equipment'!$Q$4:$Q$503,(_calc!$E$597-500)))&amp;". ")&amp;IF(LEN(IF(LEN(INDEX('My equipment'!$R$4:$R$503,(_calc!$E$597-500)))=0,"",INDEX('My equipment'!$R$4:$R$503,(_calc!$E$597-500))))=0,"","Claims contact: "&amp;IF(LEN(INDEX('My equipment'!$R$4:$R$503,(_calc!$E$597-500)))=0,"",INDEX('My equipment'!$R$4:$R$503,(_calc!$E$597-500)))&amp;". ")&amp;IF(LEN(IF(LEN(INDEX('My equipment'!$S$4:$S$503,(_calc!$E$597-500)))=0,"",INDEX('My equipment'!$S$4:$S$503,(_calc!$E$597-500))))=0,"","Claims email: "&amp;IF(LEN(INDEX('My equipment'!$S$4:$S$503,(_calc!$E$597-500)))=0,"",INDEX('My equipment'!$S$4:$S$503,(_calc!$E$597-500)))&amp;". ")&amp;IF(LEN(IF(LEN(INDEX('My equipment'!$U$4:$U$503,(_calc!$E$597-500)))=0,"",INDEX('My equipment'!$U$4:$U$503,(_calc!$E$597-500))))=0,"","Registered: "&amp;IF(LEN(INDEX('My equipment'!$U$4:$U$503,(_calc!$E$597-500)))=0,"",INDEX('My equipment'!$U$4:$U$503,(_calc!$E$597-500)))&amp;". ")&amp;IF(LEN(IF(LEN(INDEX('My equipment'!$V$4:$V$503,(_calc!$E$597-500)))=0,"",INDEX('My equipment'!$V$4:$V$503,(_calc!$E$597-500))))=0,"","Proof on file: "&amp;IF(LEN(INDEX('My equipment'!$V$4:$V$503,(_calc!$E$597-500)))=0,"",INDEX('My equipment'!$V$4:$V$503,(_calc!$E$597-500)))&amp;". ")&amp;IF(LEN(IF(LEN(INDEX('My equipment'!$W$4:$W$503,(_calc!$E$597-500)))=0,"",INDEX('My equipment'!$W$4:$W$503,(_calc!$E$597-500))))=0,"","Claim ref: "&amp;IF(LEN(INDEX('My equipment'!$W$4:$W$503,(_calc!$E$597-500)))=0,"",INDEX('My equipment'!$W$4:$W$503,(_calc!$E$597-500)))&amp;". ")&amp;IF(LEN(IF(LEN(INDEX('My equipment'!$Y$4:$Y$503,(_calc!$E$597-500)))=0,"",INDEX('My equipment'!$Y$4:$Y$503,(_calc!$E$597-500))))=0,"",IF(LEN(INDEX('My equipment'!$Y$4:$Y$503,(_calc!$E$597-500)))=0,"",INDEX('My equipment'!$Y$4:$Y$503,(_calc!$E$597-500)))))))</f>
        <v/>
      </c>
      <c r="G595" s="54">
        <f>IF(_calc!$E$597="","",IF(_calc!$E$597&lt;=500,"",IF(LEN(INDEX('My equipment'!$X$4:$X$503,(_calc!$E$597-500)))=0,"",INDEX('My equipment'!$X$4:$X$503,(_calc!$E$597-500)))))</f>
        <v/>
      </c>
      <c r="K595" s="54">
        <f>IF(_calc!$E$597="","",IF(_calc!$E$597&lt;=500,"",IF(LEN(INDEX('My equipment'!$T$4:$T$503,(_calc!$E$597-500)))=0,"",INDEX('My equipment'!$T$4:$T$503,(_calc!$E$597-500)))))</f>
        <v/>
      </c>
    </row>
    <row r="596">
      <c r="A596" s="54">
        <f>IF(_calc!$E$598="","",IF(_calc!$E$598&lt;=500,"Warranty – "&amp;IF(LEN(INDEX('Dealer pipeline'!$C$4:$C$503,_calc!$E$598))=0,"",INDEX('Dealer pipeline'!$C$4:$C$503,_calc!$E$598))&amp;" – "&amp;IF(LEN(INDEX('Dealer pipeline'!$D$4:$D$503,_calc!$E$598))=0,"",INDEX('Dealer pipeline'!$D$4:$D$503,_calc!$E$598))&amp;" – "&amp;IF(LEN(INDEX('Dealer pipeline'!$A$4:$A$503,_calc!$E$598))=0,"",INDEX('Dealer pipeline'!$A$4:$A$503,_calc!$E$598)),"Warranty – "&amp;IF(LEN(INDEX('My equipment'!$A$4:$A$503,(_calc!$E$598-500)))=0,"",INDEX('My equipment'!$A$4:$A$503,(_calc!$E$598-500)))&amp;" – "&amp;IF(LEN(INDEX('My equipment'!$D$4:$D$503,(_calc!$E$598-500)))=0,"",INDEX('My equipment'!$D$4:$D$503,(_calc!$E$598-500)))))</f>
        <v/>
      </c>
      <c r="B596" s="54">
        <f>IF(_calc!$E$598="","",IF(_calc!$E$598&lt;=500,IF(ISNUMBER(INDEX('Dealer pipeline'!$M$4:$M$503,_calc!$E$598)),TEXT(INDEX('Dealer pipeline'!$M$4:$M$503,_calc!$E$598),"yyyy-mm-dd"),""),IF(ISNUMBER(INDEX('My equipment'!$M$4:$M$503,(_calc!$E$598-500))),TEXT(INDEX('My equipment'!$M$4:$M$503,(_calc!$E$598-500)),"yyyy-mm-dd"),"")))</f>
        <v/>
      </c>
      <c r="C596" s="54">
        <f>IF(_calc!$E$598="","",IF(_calc!$E$598&lt;=500,"Warranty","Warranty"))</f>
        <v/>
      </c>
      <c r="D596" s="54">
        <f>IF(_calc!$E$598="","",IF(_calc!$E$598&lt;=500,IF(ISNUMBER(INDEX('Dealer pipeline'!$H$4:$H$503,_calc!$E$598)),TEXT(INDEX('Dealer pipeline'!$H$4:$H$503,_calc!$E$598),"yyyy-mm-dd"),""),IF(ISNUMBER(INDEX('My equipment'!$H$4:$H$503,(_calc!$E$598-500))),TEXT(INDEX('My equipment'!$H$4:$H$503,(_calc!$E$598-500)),"yyyy-mm-dd"),"")))</f>
        <v/>
      </c>
      <c r="F596" s="54">
        <f>IF(_calc!$E$598="","",IF(_calc!$E$598&lt;=500,TRIM(IF(LEN(IF(LEN(INDEX('Dealer pipeline'!$A$4:$A$503,_calc!$E$598))=0,"",INDEX('Dealer pipeline'!$A$4:$A$503,_calc!$E$598)))=0,"","Customer: "&amp;IF(LEN(INDEX('Dealer pipeline'!$A$4:$A$503,_calc!$E$598))=0,"",INDEX('Dealer pipeline'!$A$4:$A$503,_calc!$E$598))&amp;". ")&amp;IF(LEN(IF(LEN(INDEX('Dealer pipeline'!$B$4:$B$503,_calc!$E$598))=0,"",INDEX('Dealer pipeline'!$B$4:$B$503,_calc!$E$598)))=0,"","Contact: "&amp;IF(LEN(INDEX('Dealer pipeline'!$B$4:$B$503,_calc!$E$598))=0,"",INDEX('Dealer pipeline'!$B$4:$B$503,_calc!$E$598))&amp;". ")&amp;IF(LEN(IF(LEN(INDEX('Dealer pipeline'!$D$4:$D$503,_calc!$E$598))=0,"",INDEX('Dealer pipeline'!$D$4:$D$503,_calc!$E$598)))=0,"","Serial: "&amp;IF(LEN(INDEX('Dealer pipeline'!$D$4:$D$503,_calc!$E$598))=0,"",INDEX('Dealer pipeline'!$D$4:$D$503,_calc!$E$598))&amp;". ")&amp;IF(LEN(IF(ISNUMBER(INDEX('Dealer pipeline'!$J$4:$J$503,_calc!$E$598)),TEXT(INDEX('Dealer pipeline'!$J$4:$J$503,_calc!$E$598),"yyyy-mm-dd"),""))=0,"","Parts end: "&amp;IF(ISNUMBER(INDEX('Dealer pipeline'!$J$4:$J$503,_calc!$E$598)),TEXT(INDEX('Dealer pipeline'!$J$4:$J$503,_calc!$E$598),"yyyy-mm-dd"),"")&amp;". ")&amp;IF(LEN(IF(ISNUMBER(INDEX('Dealer pipeline'!$L$4:$L$503,_calc!$E$598)),TEXT(INDEX('Dealer pipeline'!$L$4:$L$503,_calc!$E$598),"yyyy-mm-dd"),""))=0,"","Labor end: "&amp;IF(ISNUMBER(INDEX('Dealer pipeline'!$L$4:$L$503,_calc!$E$598)),TEXT(INDEX('Dealer pipeline'!$L$4:$L$503,_calc!$E$598),"yyyy-mm-dd"),"")&amp;". ")&amp;IF(LEN(IF(LEN(INDEX('Dealer pipeline'!$Q$4:$Q$503,_calc!$E$598))=0,"",INDEX('Dealer pipeline'!$Q$4:$Q$503,_calc!$E$598)))=0,"","Status: "&amp;IF(LEN(INDEX('Dealer pipeline'!$Q$4:$Q$503,_calc!$E$598))=0,"",INDEX('Dealer pipeline'!$Q$4:$Q$503,_calc!$E$598))&amp;". ")&amp;IF(LEN(IF(LEN(INDEX('Dealer pipeline'!$P$4:$P$503,_calc!$E$598))=0,"",INDEX('Dealer pipeline'!$P$4:$P$503,_calc!$E$598)))=0,"","Last touch: "&amp;IF(LEN(INDEX('Dealer pipeline'!$P$4:$P$503,_calc!$E$598))=0,"",INDEX('Dealer pipeline'!$P$4:$P$503,_calc!$E$598))&amp;". ")&amp;IF(LEN(IF(LEN(INDEX('Dealer pipeline'!$R$4:$R$503,_calc!$E$598))=0,"",INDEX('Dealer pipeline'!$R$4:$R$503,_calc!$E$598)))=0,"","Owner: "&amp;IF(LEN(INDEX('Dealer pipeline'!$R$4:$R$503,_calc!$E$598))=0,"",INDEX('Dealer pipeline'!$R$4:$R$503,_calc!$E$598))&amp;". ")&amp;IF(LEN(IF(LEN(INDEX('Dealer pipeline'!$S$4:$S$503,_calc!$E$598))=0,"",INDEX('Dealer pipeline'!$S$4:$S$503,_calc!$E$598)))=0,"","Backup: "&amp;IF(LEN(INDEX('Dealer pipeline'!$S$4:$S$503,_calc!$E$598))=0,"",INDEX('Dealer pipeline'!$S$4:$S$503,_calc!$E$598))&amp;". ")&amp;IF(LEN(IF(LEN(INDEX('Dealer pipeline'!$T$4:$T$503,_calc!$E$598))=0,"",INDEX('Dealer pipeline'!$T$4:$T$503,_calc!$E$598)))=0,"",IF(LEN(INDEX('Dealer pipeline'!$T$4:$T$503,_calc!$E$598))=0,"",INDEX('Dealer pipeline'!$T$4:$T$503,_calc!$E$598)))),TRIM(IF(LEN(IF(LEN(INDEX('My equipment'!$C$4:$C$503,(_calc!$E$598-500)))=0,"",INDEX('My equipment'!$C$4:$C$503,(_calc!$E$598-500))))=0,"","Model: "&amp;IF(LEN(INDEX('My equipment'!$C$4:$C$503,(_calc!$E$598-500)))=0,"",INDEX('My equipment'!$C$4:$C$503,(_calc!$E$598-500)))&amp;". ")&amp;IF(LEN(IF(LEN(INDEX('My equipment'!$D$4:$D$503,(_calc!$E$598-500)))=0,"",INDEX('My equipment'!$D$4:$D$503,(_calc!$E$598-500))))=0,"","Serial: "&amp;IF(LEN(INDEX('My equipment'!$D$4:$D$503,(_calc!$E$598-500)))=0,"",INDEX('My equipment'!$D$4:$D$503,(_calc!$E$598-500)))&amp;". ")&amp;IF(LEN(IF(ISNUMBER(INDEX('My equipment'!$J$4:$J$503,(_calc!$E$598-500))),TEXT(INDEX('My equipment'!$J$4:$J$503,(_calc!$E$598-500)),"yyyy-mm-dd"),""))=0,"","Parts end: "&amp;IF(ISNUMBER(INDEX('My equipment'!$J$4:$J$503,(_calc!$E$598-500))),TEXT(INDEX('My equipment'!$J$4:$J$503,(_calc!$E$598-500)),"yyyy-mm-dd"),"")&amp;". ")&amp;IF(LEN(IF(ISNUMBER(INDEX('My equipment'!$L$4:$L$503,(_calc!$E$598-500))),TEXT(INDEX('My equipment'!$L$4:$L$503,(_calc!$E$598-500)),"yyyy-mm-dd"),""))=0,"","Labor end: "&amp;IF(ISNUMBER(INDEX('My equipment'!$L$4:$L$503,(_calc!$E$598-500))),TEXT(INDEX('My equipment'!$L$4:$L$503,(_calc!$E$598-500)),"yyyy-mm-dd"),"")&amp;". ")&amp;IF(LEN(IF(ISNUMBER(INDEX('My equipment'!$P$4:$P$503,(_calc!$E$598-500))),TEXT(INDEX('My equipment'!$P$4:$P$503,(_calc!$E$598-500)),"yyyy-mm-dd"),""))=0,"","Check by: "&amp;IF(ISNUMBER(INDEX('My equipment'!$P$4:$P$503,(_calc!$E$598-500))),TEXT(INDEX('My equipment'!$P$4:$P$503,(_calc!$E$598-500)),"yyyy-mm-dd"),"")&amp;". ")&amp;IF(LEN(IF(LEN(INDEX('My equipment'!$Q$4:$Q$503,(_calc!$E$598-500)))=0,"",INDEX('My equipment'!$Q$4:$Q$503,(_calc!$E$598-500))))=0,"","Claim status: "&amp;IF(LEN(INDEX('My equipment'!$Q$4:$Q$503,(_calc!$E$598-500)))=0,"",INDEX('My equipment'!$Q$4:$Q$503,(_calc!$E$598-500)))&amp;". ")&amp;IF(LEN(IF(LEN(INDEX('My equipment'!$R$4:$R$503,(_calc!$E$598-500)))=0,"",INDEX('My equipment'!$R$4:$R$503,(_calc!$E$598-500))))=0,"","Claims contact: "&amp;IF(LEN(INDEX('My equipment'!$R$4:$R$503,(_calc!$E$598-500)))=0,"",INDEX('My equipment'!$R$4:$R$503,(_calc!$E$598-500)))&amp;". ")&amp;IF(LEN(IF(LEN(INDEX('My equipment'!$S$4:$S$503,(_calc!$E$598-500)))=0,"",INDEX('My equipment'!$S$4:$S$503,(_calc!$E$598-500))))=0,"","Claims email: "&amp;IF(LEN(INDEX('My equipment'!$S$4:$S$503,(_calc!$E$598-500)))=0,"",INDEX('My equipment'!$S$4:$S$503,(_calc!$E$598-500)))&amp;". ")&amp;IF(LEN(IF(LEN(INDEX('My equipment'!$U$4:$U$503,(_calc!$E$598-500)))=0,"",INDEX('My equipment'!$U$4:$U$503,(_calc!$E$598-500))))=0,"","Registered: "&amp;IF(LEN(INDEX('My equipment'!$U$4:$U$503,(_calc!$E$598-500)))=0,"",INDEX('My equipment'!$U$4:$U$503,(_calc!$E$598-500)))&amp;". ")&amp;IF(LEN(IF(LEN(INDEX('My equipment'!$V$4:$V$503,(_calc!$E$598-500)))=0,"",INDEX('My equipment'!$V$4:$V$503,(_calc!$E$598-500))))=0,"","Proof on file: "&amp;IF(LEN(INDEX('My equipment'!$V$4:$V$503,(_calc!$E$598-500)))=0,"",INDEX('My equipment'!$V$4:$V$503,(_calc!$E$598-500)))&amp;". ")&amp;IF(LEN(IF(LEN(INDEX('My equipment'!$W$4:$W$503,(_calc!$E$598-500)))=0,"",INDEX('My equipment'!$W$4:$W$503,(_calc!$E$598-500))))=0,"","Claim ref: "&amp;IF(LEN(INDEX('My equipment'!$W$4:$W$503,(_calc!$E$598-500)))=0,"",INDEX('My equipment'!$W$4:$W$503,(_calc!$E$598-500)))&amp;". ")&amp;IF(LEN(IF(LEN(INDEX('My equipment'!$Y$4:$Y$503,(_calc!$E$598-500)))=0,"",INDEX('My equipment'!$Y$4:$Y$503,(_calc!$E$598-500))))=0,"",IF(LEN(INDEX('My equipment'!$Y$4:$Y$503,(_calc!$E$598-500)))=0,"",INDEX('My equipment'!$Y$4:$Y$503,(_calc!$E$598-500)))))))</f>
        <v/>
      </c>
      <c r="G596" s="54">
        <f>IF(_calc!$E$598="","",IF(_calc!$E$598&lt;=500,"",IF(LEN(INDEX('My equipment'!$X$4:$X$503,(_calc!$E$598-500)))=0,"",INDEX('My equipment'!$X$4:$X$503,(_calc!$E$598-500)))))</f>
        <v/>
      </c>
      <c r="K596" s="54">
        <f>IF(_calc!$E$598="","",IF(_calc!$E$598&lt;=500,"",IF(LEN(INDEX('My equipment'!$T$4:$T$503,(_calc!$E$598-500)))=0,"",INDEX('My equipment'!$T$4:$T$503,(_calc!$E$598-500)))))</f>
        <v/>
      </c>
    </row>
    <row r="597">
      <c r="A597" s="54">
        <f>IF(_calc!$E$599="","",IF(_calc!$E$599&lt;=500,"Warranty – "&amp;IF(LEN(INDEX('Dealer pipeline'!$C$4:$C$503,_calc!$E$599))=0,"",INDEX('Dealer pipeline'!$C$4:$C$503,_calc!$E$599))&amp;" – "&amp;IF(LEN(INDEX('Dealer pipeline'!$D$4:$D$503,_calc!$E$599))=0,"",INDEX('Dealer pipeline'!$D$4:$D$503,_calc!$E$599))&amp;" – "&amp;IF(LEN(INDEX('Dealer pipeline'!$A$4:$A$503,_calc!$E$599))=0,"",INDEX('Dealer pipeline'!$A$4:$A$503,_calc!$E$599)),"Warranty – "&amp;IF(LEN(INDEX('My equipment'!$A$4:$A$503,(_calc!$E$599-500)))=0,"",INDEX('My equipment'!$A$4:$A$503,(_calc!$E$599-500)))&amp;" – "&amp;IF(LEN(INDEX('My equipment'!$D$4:$D$503,(_calc!$E$599-500)))=0,"",INDEX('My equipment'!$D$4:$D$503,(_calc!$E$599-500)))))</f>
        <v/>
      </c>
      <c r="B597" s="54">
        <f>IF(_calc!$E$599="","",IF(_calc!$E$599&lt;=500,IF(ISNUMBER(INDEX('Dealer pipeline'!$M$4:$M$503,_calc!$E$599)),TEXT(INDEX('Dealer pipeline'!$M$4:$M$503,_calc!$E$599),"yyyy-mm-dd"),""),IF(ISNUMBER(INDEX('My equipment'!$M$4:$M$503,(_calc!$E$599-500))),TEXT(INDEX('My equipment'!$M$4:$M$503,(_calc!$E$599-500)),"yyyy-mm-dd"),"")))</f>
        <v/>
      </c>
      <c r="C597" s="54">
        <f>IF(_calc!$E$599="","",IF(_calc!$E$599&lt;=500,"Warranty","Warranty"))</f>
        <v/>
      </c>
      <c r="D597" s="54">
        <f>IF(_calc!$E$599="","",IF(_calc!$E$599&lt;=500,IF(ISNUMBER(INDEX('Dealer pipeline'!$H$4:$H$503,_calc!$E$599)),TEXT(INDEX('Dealer pipeline'!$H$4:$H$503,_calc!$E$599),"yyyy-mm-dd"),""),IF(ISNUMBER(INDEX('My equipment'!$H$4:$H$503,(_calc!$E$599-500))),TEXT(INDEX('My equipment'!$H$4:$H$503,(_calc!$E$599-500)),"yyyy-mm-dd"),"")))</f>
        <v/>
      </c>
      <c r="F597" s="54">
        <f>IF(_calc!$E$599="","",IF(_calc!$E$599&lt;=500,TRIM(IF(LEN(IF(LEN(INDEX('Dealer pipeline'!$A$4:$A$503,_calc!$E$599))=0,"",INDEX('Dealer pipeline'!$A$4:$A$503,_calc!$E$599)))=0,"","Customer: "&amp;IF(LEN(INDEX('Dealer pipeline'!$A$4:$A$503,_calc!$E$599))=0,"",INDEX('Dealer pipeline'!$A$4:$A$503,_calc!$E$599))&amp;". ")&amp;IF(LEN(IF(LEN(INDEX('Dealer pipeline'!$B$4:$B$503,_calc!$E$599))=0,"",INDEX('Dealer pipeline'!$B$4:$B$503,_calc!$E$599)))=0,"","Contact: "&amp;IF(LEN(INDEX('Dealer pipeline'!$B$4:$B$503,_calc!$E$599))=0,"",INDEX('Dealer pipeline'!$B$4:$B$503,_calc!$E$599))&amp;". ")&amp;IF(LEN(IF(LEN(INDEX('Dealer pipeline'!$D$4:$D$503,_calc!$E$599))=0,"",INDEX('Dealer pipeline'!$D$4:$D$503,_calc!$E$599)))=0,"","Serial: "&amp;IF(LEN(INDEX('Dealer pipeline'!$D$4:$D$503,_calc!$E$599))=0,"",INDEX('Dealer pipeline'!$D$4:$D$503,_calc!$E$599))&amp;". ")&amp;IF(LEN(IF(ISNUMBER(INDEX('Dealer pipeline'!$J$4:$J$503,_calc!$E$599)),TEXT(INDEX('Dealer pipeline'!$J$4:$J$503,_calc!$E$599),"yyyy-mm-dd"),""))=0,"","Parts end: "&amp;IF(ISNUMBER(INDEX('Dealer pipeline'!$J$4:$J$503,_calc!$E$599)),TEXT(INDEX('Dealer pipeline'!$J$4:$J$503,_calc!$E$599),"yyyy-mm-dd"),"")&amp;". ")&amp;IF(LEN(IF(ISNUMBER(INDEX('Dealer pipeline'!$L$4:$L$503,_calc!$E$599)),TEXT(INDEX('Dealer pipeline'!$L$4:$L$503,_calc!$E$599),"yyyy-mm-dd"),""))=0,"","Labor end: "&amp;IF(ISNUMBER(INDEX('Dealer pipeline'!$L$4:$L$503,_calc!$E$599)),TEXT(INDEX('Dealer pipeline'!$L$4:$L$503,_calc!$E$599),"yyyy-mm-dd"),"")&amp;". ")&amp;IF(LEN(IF(LEN(INDEX('Dealer pipeline'!$Q$4:$Q$503,_calc!$E$599))=0,"",INDEX('Dealer pipeline'!$Q$4:$Q$503,_calc!$E$599)))=0,"","Status: "&amp;IF(LEN(INDEX('Dealer pipeline'!$Q$4:$Q$503,_calc!$E$599))=0,"",INDEX('Dealer pipeline'!$Q$4:$Q$503,_calc!$E$599))&amp;". ")&amp;IF(LEN(IF(LEN(INDEX('Dealer pipeline'!$P$4:$P$503,_calc!$E$599))=0,"",INDEX('Dealer pipeline'!$P$4:$P$503,_calc!$E$599)))=0,"","Last touch: "&amp;IF(LEN(INDEX('Dealer pipeline'!$P$4:$P$503,_calc!$E$599))=0,"",INDEX('Dealer pipeline'!$P$4:$P$503,_calc!$E$599))&amp;". ")&amp;IF(LEN(IF(LEN(INDEX('Dealer pipeline'!$R$4:$R$503,_calc!$E$599))=0,"",INDEX('Dealer pipeline'!$R$4:$R$503,_calc!$E$599)))=0,"","Owner: "&amp;IF(LEN(INDEX('Dealer pipeline'!$R$4:$R$503,_calc!$E$599))=0,"",INDEX('Dealer pipeline'!$R$4:$R$503,_calc!$E$599))&amp;". ")&amp;IF(LEN(IF(LEN(INDEX('Dealer pipeline'!$S$4:$S$503,_calc!$E$599))=0,"",INDEX('Dealer pipeline'!$S$4:$S$503,_calc!$E$599)))=0,"","Backup: "&amp;IF(LEN(INDEX('Dealer pipeline'!$S$4:$S$503,_calc!$E$599))=0,"",INDEX('Dealer pipeline'!$S$4:$S$503,_calc!$E$599))&amp;". ")&amp;IF(LEN(IF(LEN(INDEX('Dealer pipeline'!$T$4:$T$503,_calc!$E$599))=0,"",INDEX('Dealer pipeline'!$T$4:$T$503,_calc!$E$599)))=0,"",IF(LEN(INDEX('Dealer pipeline'!$T$4:$T$503,_calc!$E$599))=0,"",INDEX('Dealer pipeline'!$T$4:$T$503,_calc!$E$599)))),TRIM(IF(LEN(IF(LEN(INDEX('My equipment'!$C$4:$C$503,(_calc!$E$599-500)))=0,"",INDEX('My equipment'!$C$4:$C$503,(_calc!$E$599-500))))=0,"","Model: "&amp;IF(LEN(INDEX('My equipment'!$C$4:$C$503,(_calc!$E$599-500)))=0,"",INDEX('My equipment'!$C$4:$C$503,(_calc!$E$599-500)))&amp;". ")&amp;IF(LEN(IF(LEN(INDEX('My equipment'!$D$4:$D$503,(_calc!$E$599-500)))=0,"",INDEX('My equipment'!$D$4:$D$503,(_calc!$E$599-500))))=0,"","Serial: "&amp;IF(LEN(INDEX('My equipment'!$D$4:$D$503,(_calc!$E$599-500)))=0,"",INDEX('My equipment'!$D$4:$D$503,(_calc!$E$599-500)))&amp;". ")&amp;IF(LEN(IF(ISNUMBER(INDEX('My equipment'!$J$4:$J$503,(_calc!$E$599-500))),TEXT(INDEX('My equipment'!$J$4:$J$503,(_calc!$E$599-500)),"yyyy-mm-dd"),""))=0,"","Parts end: "&amp;IF(ISNUMBER(INDEX('My equipment'!$J$4:$J$503,(_calc!$E$599-500))),TEXT(INDEX('My equipment'!$J$4:$J$503,(_calc!$E$599-500)),"yyyy-mm-dd"),"")&amp;". ")&amp;IF(LEN(IF(ISNUMBER(INDEX('My equipment'!$L$4:$L$503,(_calc!$E$599-500))),TEXT(INDEX('My equipment'!$L$4:$L$503,(_calc!$E$599-500)),"yyyy-mm-dd"),""))=0,"","Labor end: "&amp;IF(ISNUMBER(INDEX('My equipment'!$L$4:$L$503,(_calc!$E$599-500))),TEXT(INDEX('My equipment'!$L$4:$L$503,(_calc!$E$599-500)),"yyyy-mm-dd"),"")&amp;". ")&amp;IF(LEN(IF(ISNUMBER(INDEX('My equipment'!$P$4:$P$503,(_calc!$E$599-500))),TEXT(INDEX('My equipment'!$P$4:$P$503,(_calc!$E$599-500)),"yyyy-mm-dd"),""))=0,"","Check by: "&amp;IF(ISNUMBER(INDEX('My equipment'!$P$4:$P$503,(_calc!$E$599-500))),TEXT(INDEX('My equipment'!$P$4:$P$503,(_calc!$E$599-500)),"yyyy-mm-dd"),"")&amp;". ")&amp;IF(LEN(IF(LEN(INDEX('My equipment'!$Q$4:$Q$503,(_calc!$E$599-500)))=0,"",INDEX('My equipment'!$Q$4:$Q$503,(_calc!$E$599-500))))=0,"","Claim status: "&amp;IF(LEN(INDEX('My equipment'!$Q$4:$Q$503,(_calc!$E$599-500)))=0,"",INDEX('My equipment'!$Q$4:$Q$503,(_calc!$E$599-500)))&amp;". ")&amp;IF(LEN(IF(LEN(INDEX('My equipment'!$R$4:$R$503,(_calc!$E$599-500)))=0,"",INDEX('My equipment'!$R$4:$R$503,(_calc!$E$599-500))))=0,"","Claims contact: "&amp;IF(LEN(INDEX('My equipment'!$R$4:$R$503,(_calc!$E$599-500)))=0,"",INDEX('My equipment'!$R$4:$R$503,(_calc!$E$599-500)))&amp;". ")&amp;IF(LEN(IF(LEN(INDEX('My equipment'!$S$4:$S$503,(_calc!$E$599-500)))=0,"",INDEX('My equipment'!$S$4:$S$503,(_calc!$E$599-500))))=0,"","Claims email: "&amp;IF(LEN(INDEX('My equipment'!$S$4:$S$503,(_calc!$E$599-500)))=0,"",INDEX('My equipment'!$S$4:$S$503,(_calc!$E$599-500)))&amp;". ")&amp;IF(LEN(IF(LEN(INDEX('My equipment'!$U$4:$U$503,(_calc!$E$599-500)))=0,"",INDEX('My equipment'!$U$4:$U$503,(_calc!$E$599-500))))=0,"","Registered: "&amp;IF(LEN(INDEX('My equipment'!$U$4:$U$503,(_calc!$E$599-500)))=0,"",INDEX('My equipment'!$U$4:$U$503,(_calc!$E$599-500)))&amp;". ")&amp;IF(LEN(IF(LEN(INDEX('My equipment'!$V$4:$V$503,(_calc!$E$599-500)))=0,"",INDEX('My equipment'!$V$4:$V$503,(_calc!$E$599-500))))=0,"","Proof on file: "&amp;IF(LEN(INDEX('My equipment'!$V$4:$V$503,(_calc!$E$599-500)))=0,"",INDEX('My equipment'!$V$4:$V$503,(_calc!$E$599-500)))&amp;". ")&amp;IF(LEN(IF(LEN(INDEX('My equipment'!$W$4:$W$503,(_calc!$E$599-500)))=0,"",INDEX('My equipment'!$W$4:$W$503,(_calc!$E$599-500))))=0,"","Claim ref: "&amp;IF(LEN(INDEX('My equipment'!$W$4:$W$503,(_calc!$E$599-500)))=0,"",INDEX('My equipment'!$W$4:$W$503,(_calc!$E$599-500)))&amp;". ")&amp;IF(LEN(IF(LEN(INDEX('My equipment'!$Y$4:$Y$503,(_calc!$E$599-500)))=0,"",INDEX('My equipment'!$Y$4:$Y$503,(_calc!$E$599-500))))=0,"",IF(LEN(INDEX('My equipment'!$Y$4:$Y$503,(_calc!$E$599-500)))=0,"",INDEX('My equipment'!$Y$4:$Y$503,(_calc!$E$599-500)))))))</f>
        <v/>
      </c>
      <c r="G597" s="54">
        <f>IF(_calc!$E$599="","",IF(_calc!$E$599&lt;=500,"",IF(LEN(INDEX('My equipment'!$X$4:$X$503,(_calc!$E$599-500)))=0,"",INDEX('My equipment'!$X$4:$X$503,(_calc!$E$599-500)))))</f>
        <v/>
      </c>
      <c r="K597" s="54">
        <f>IF(_calc!$E$599="","",IF(_calc!$E$599&lt;=500,"",IF(LEN(INDEX('My equipment'!$T$4:$T$503,(_calc!$E$599-500)))=0,"",INDEX('My equipment'!$T$4:$T$503,(_calc!$E$599-500)))))</f>
        <v/>
      </c>
    </row>
    <row r="598">
      <c r="A598" s="54">
        <f>IF(_calc!$E$600="","",IF(_calc!$E$600&lt;=500,"Warranty – "&amp;IF(LEN(INDEX('Dealer pipeline'!$C$4:$C$503,_calc!$E$600))=0,"",INDEX('Dealer pipeline'!$C$4:$C$503,_calc!$E$600))&amp;" – "&amp;IF(LEN(INDEX('Dealer pipeline'!$D$4:$D$503,_calc!$E$600))=0,"",INDEX('Dealer pipeline'!$D$4:$D$503,_calc!$E$600))&amp;" – "&amp;IF(LEN(INDEX('Dealer pipeline'!$A$4:$A$503,_calc!$E$600))=0,"",INDEX('Dealer pipeline'!$A$4:$A$503,_calc!$E$600)),"Warranty – "&amp;IF(LEN(INDEX('My equipment'!$A$4:$A$503,(_calc!$E$600-500)))=0,"",INDEX('My equipment'!$A$4:$A$503,(_calc!$E$600-500)))&amp;" – "&amp;IF(LEN(INDEX('My equipment'!$D$4:$D$503,(_calc!$E$600-500)))=0,"",INDEX('My equipment'!$D$4:$D$503,(_calc!$E$600-500)))))</f>
        <v/>
      </c>
      <c r="B598" s="54">
        <f>IF(_calc!$E$600="","",IF(_calc!$E$600&lt;=500,IF(ISNUMBER(INDEX('Dealer pipeline'!$M$4:$M$503,_calc!$E$600)),TEXT(INDEX('Dealer pipeline'!$M$4:$M$503,_calc!$E$600),"yyyy-mm-dd"),""),IF(ISNUMBER(INDEX('My equipment'!$M$4:$M$503,(_calc!$E$600-500))),TEXT(INDEX('My equipment'!$M$4:$M$503,(_calc!$E$600-500)),"yyyy-mm-dd"),"")))</f>
        <v/>
      </c>
      <c r="C598" s="54">
        <f>IF(_calc!$E$600="","",IF(_calc!$E$600&lt;=500,"Warranty","Warranty"))</f>
        <v/>
      </c>
      <c r="D598" s="54">
        <f>IF(_calc!$E$600="","",IF(_calc!$E$600&lt;=500,IF(ISNUMBER(INDEX('Dealer pipeline'!$H$4:$H$503,_calc!$E$600)),TEXT(INDEX('Dealer pipeline'!$H$4:$H$503,_calc!$E$600),"yyyy-mm-dd"),""),IF(ISNUMBER(INDEX('My equipment'!$H$4:$H$503,(_calc!$E$600-500))),TEXT(INDEX('My equipment'!$H$4:$H$503,(_calc!$E$600-500)),"yyyy-mm-dd"),"")))</f>
        <v/>
      </c>
      <c r="F598" s="54">
        <f>IF(_calc!$E$600="","",IF(_calc!$E$600&lt;=500,TRIM(IF(LEN(IF(LEN(INDEX('Dealer pipeline'!$A$4:$A$503,_calc!$E$600))=0,"",INDEX('Dealer pipeline'!$A$4:$A$503,_calc!$E$600)))=0,"","Customer: "&amp;IF(LEN(INDEX('Dealer pipeline'!$A$4:$A$503,_calc!$E$600))=0,"",INDEX('Dealer pipeline'!$A$4:$A$503,_calc!$E$600))&amp;". ")&amp;IF(LEN(IF(LEN(INDEX('Dealer pipeline'!$B$4:$B$503,_calc!$E$600))=0,"",INDEX('Dealer pipeline'!$B$4:$B$503,_calc!$E$600)))=0,"","Contact: "&amp;IF(LEN(INDEX('Dealer pipeline'!$B$4:$B$503,_calc!$E$600))=0,"",INDEX('Dealer pipeline'!$B$4:$B$503,_calc!$E$600))&amp;". ")&amp;IF(LEN(IF(LEN(INDEX('Dealer pipeline'!$D$4:$D$503,_calc!$E$600))=0,"",INDEX('Dealer pipeline'!$D$4:$D$503,_calc!$E$600)))=0,"","Serial: "&amp;IF(LEN(INDEX('Dealer pipeline'!$D$4:$D$503,_calc!$E$600))=0,"",INDEX('Dealer pipeline'!$D$4:$D$503,_calc!$E$600))&amp;". ")&amp;IF(LEN(IF(ISNUMBER(INDEX('Dealer pipeline'!$J$4:$J$503,_calc!$E$600)),TEXT(INDEX('Dealer pipeline'!$J$4:$J$503,_calc!$E$600),"yyyy-mm-dd"),""))=0,"","Parts end: "&amp;IF(ISNUMBER(INDEX('Dealer pipeline'!$J$4:$J$503,_calc!$E$600)),TEXT(INDEX('Dealer pipeline'!$J$4:$J$503,_calc!$E$600),"yyyy-mm-dd"),"")&amp;". ")&amp;IF(LEN(IF(ISNUMBER(INDEX('Dealer pipeline'!$L$4:$L$503,_calc!$E$600)),TEXT(INDEX('Dealer pipeline'!$L$4:$L$503,_calc!$E$600),"yyyy-mm-dd"),""))=0,"","Labor end: "&amp;IF(ISNUMBER(INDEX('Dealer pipeline'!$L$4:$L$503,_calc!$E$600)),TEXT(INDEX('Dealer pipeline'!$L$4:$L$503,_calc!$E$600),"yyyy-mm-dd"),"")&amp;". ")&amp;IF(LEN(IF(LEN(INDEX('Dealer pipeline'!$Q$4:$Q$503,_calc!$E$600))=0,"",INDEX('Dealer pipeline'!$Q$4:$Q$503,_calc!$E$600)))=0,"","Status: "&amp;IF(LEN(INDEX('Dealer pipeline'!$Q$4:$Q$503,_calc!$E$600))=0,"",INDEX('Dealer pipeline'!$Q$4:$Q$503,_calc!$E$600))&amp;". ")&amp;IF(LEN(IF(LEN(INDEX('Dealer pipeline'!$P$4:$P$503,_calc!$E$600))=0,"",INDEX('Dealer pipeline'!$P$4:$P$503,_calc!$E$600)))=0,"","Last touch: "&amp;IF(LEN(INDEX('Dealer pipeline'!$P$4:$P$503,_calc!$E$600))=0,"",INDEX('Dealer pipeline'!$P$4:$P$503,_calc!$E$600))&amp;". ")&amp;IF(LEN(IF(LEN(INDEX('Dealer pipeline'!$R$4:$R$503,_calc!$E$600))=0,"",INDEX('Dealer pipeline'!$R$4:$R$503,_calc!$E$600)))=0,"","Owner: "&amp;IF(LEN(INDEX('Dealer pipeline'!$R$4:$R$503,_calc!$E$600))=0,"",INDEX('Dealer pipeline'!$R$4:$R$503,_calc!$E$600))&amp;". ")&amp;IF(LEN(IF(LEN(INDEX('Dealer pipeline'!$S$4:$S$503,_calc!$E$600))=0,"",INDEX('Dealer pipeline'!$S$4:$S$503,_calc!$E$600)))=0,"","Backup: "&amp;IF(LEN(INDEX('Dealer pipeline'!$S$4:$S$503,_calc!$E$600))=0,"",INDEX('Dealer pipeline'!$S$4:$S$503,_calc!$E$600))&amp;". ")&amp;IF(LEN(IF(LEN(INDEX('Dealer pipeline'!$T$4:$T$503,_calc!$E$600))=0,"",INDEX('Dealer pipeline'!$T$4:$T$503,_calc!$E$600)))=0,"",IF(LEN(INDEX('Dealer pipeline'!$T$4:$T$503,_calc!$E$600))=0,"",INDEX('Dealer pipeline'!$T$4:$T$503,_calc!$E$600)))),TRIM(IF(LEN(IF(LEN(INDEX('My equipment'!$C$4:$C$503,(_calc!$E$600-500)))=0,"",INDEX('My equipment'!$C$4:$C$503,(_calc!$E$600-500))))=0,"","Model: "&amp;IF(LEN(INDEX('My equipment'!$C$4:$C$503,(_calc!$E$600-500)))=0,"",INDEX('My equipment'!$C$4:$C$503,(_calc!$E$600-500)))&amp;". ")&amp;IF(LEN(IF(LEN(INDEX('My equipment'!$D$4:$D$503,(_calc!$E$600-500)))=0,"",INDEX('My equipment'!$D$4:$D$503,(_calc!$E$600-500))))=0,"","Serial: "&amp;IF(LEN(INDEX('My equipment'!$D$4:$D$503,(_calc!$E$600-500)))=0,"",INDEX('My equipment'!$D$4:$D$503,(_calc!$E$600-500)))&amp;". ")&amp;IF(LEN(IF(ISNUMBER(INDEX('My equipment'!$J$4:$J$503,(_calc!$E$600-500))),TEXT(INDEX('My equipment'!$J$4:$J$503,(_calc!$E$600-500)),"yyyy-mm-dd"),""))=0,"","Parts end: "&amp;IF(ISNUMBER(INDEX('My equipment'!$J$4:$J$503,(_calc!$E$600-500))),TEXT(INDEX('My equipment'!$J$4:$J$503,(_calc!$E$600-500)),"yyyy-mm-dd"),"")&amp;". ")&amp;IF(LEN(IF(ISNUMBER(INDEX('My equipment'!$L$4:$L$503,(_calc!$E$600-500))),TEXT(INDEX('My equipment'!$L$4:$L$503,(_calc!$E$600-500)),"yyyy-mm-dd"),""))=0,"","Labor end: "&amp;IF(ISNUMBER(INDEX('My equipment'!$L$4:$L$503,(_calc!$E$600-500))),TEXT(INDEX('My equipment'!$L$4:$L$503,(_calc!$E$600-500)),"yyyy-mm-dd"),"")&amp;". ")&amp;IF(LEN(IF(ISNUMBER(INDEX('My equipment'!$P$4:$P$503,(_calc!$E$600-500))),TEXT(INDEX('My equipment'!$P$4:$P$503,(_calc!$E$600-500)),"yyyy-mm-dd"),""))=0,"","Check by: "&amp;IF(ISNUMBER(INDEX('My equipment'!$P$4:$P$503,(_calc!$E$600-500))),TEXT(INDEX('My equipment'!$P$4:$P$503,(_calc!$E$600-500)),"yyyy-mm-dd"),"")&amp;". ")&amp;IF(LEN(IF(LEN(INDEX('My equipment'!$Q$4:$Q$503,(_calc!$E$600-500)))=0,"",INDEX('My equipment'!$Q$4:$Q$503,(_calc!$E$600-500))))=0,"","Claim status: "&amp;IF(LEN(INDEX('My equipment'!$Q$4:$Q$503,(_calc!$E$600-500)))=0,"",INDEX('My equipment'!$Q$4:$Q$503,(_calc!$E$600-500)))&amp;". ")&amp;IF(LEN(IF(LEN(INDEX('My equipment'!$R$4:$R$503,(_calc!$E$600-500)))=0,"",INDEX('My equipment'!$R$4:$R$503,(_calc!$E$600-500))))=0,"","Claims contact: "&amp;IF(LEN(INDEX('My equipment'!$R$4:$R$503,(_calc!$E$600-500)))=0,"",INDEX('My equipment'!$R$4:$R$503,(_calc!$E$600-500)))&amp;". ")&amp;IF(LEN(IF(LEN(INDEX('My equipment'!$S$4:$S$503,(_calc!$E$600-500)))=0,"",INDEX('My equipment'!$S$4:$S$503,(_calc!$E$600-500))))=0,"","Claims email: "&amp;IF(LEN(INDEX('My equipment'!$S$4:$S$503,(_calc!$E$600-500)))=0,"",INDEX('My equipment'!$S$4:$S$503,(_calc!$E$600-500)))&amp;". ")&amp;IF(LEN(IF(LEN(INDEX('My equipment'!$U$4:$U$503,(_calc!$E$600-500)))=0,"",INDEX('My equipment'!$U$4:$U$503,(_calc!$E$600-500))))=0,"","Registered: "&amp;IF(LEN(INDEX('My equipment'!$U$4:$U$503,(_calc!$E$600-500)))=0,"",INDEX('My equipment'!$U$4:$U$503,(_calc!$E$600-500)))&amp;". ")&amp;IF(LEN(IF(LEN(INDEX('My equipment'!$V$4:$V$503,(_calc!$E$600-500)))=0,"",INDEX('My equipment'!$V$4:$V$503,(_calc!$E$600-500))))=0,"","Proof on file: "&amp;IF(LEN(INDEX('My equipment'!$V$4:$V$503,(_calc!$E$600-500)))=0,"",INDEX('My equipment'!$V$4:$V$503,(_calc!$E$600-500)))&amp;". ")&amp;IF(LEN(IF(LEN(INDEX('My equipment'!$W$4:$W$503,(_calc!$E$600-500)))=0,"",INDEX('My equipment'!$W$4:$W$503,(_calc!$E$600-500))))=0,"","Claim ref: "&amp;IF(LEN(INDEX('My equipment'!$W$4:$W$503,(_calc!$E$600-500)))=0,"",INDEX('My equipment'!$W$4:$W$503,(_calc!$E$600-500)))&amp;". ")&amp;IF(LEN(IF(LEN(INDEX('My equipment'!$Y$4:$Y$503,(_calc!$E$600-500)))=0,"",INDEX('My equipment'!$Y$4:$Y$503,(_calc!$E$600-500))))=0,"",IF(LEN(INDEX('My equipment'!$Y$4:$Y$503,(_calc!$E$600-500)))=0,"",INDEX('My equipment'!$Y$4:$Y$503,(_calc!$E$600-500)))))))</f>
        <v/>
      </c>
      <c r="G598" s="54">
        <f>IF(_calc!$E$600="","",IF(_calc!$E$600&lt;=500,"",IF(LEN(INDEX('My equipment'!$X$4:$X$503,(_calc!$E$600-500)))=0,"",INDEX('My equipment'!$X$4:$X$503,(_calc!$E$600-500)))))</f>
        <v/>
      </c>
      <c r="K598" s="54">
        <f>IF(_calc!$E$600="","",IF(_calc!$E$600&lt;=500,"",IF(LEN(INDEX('My equipment'!$T$4:$T$503,(_calc!$E$600-500)))=0,"",INDEX('My equipment'!$T$4:$T$503,(_calc!$E$600-500)))))</f>
        <v/>
      </c>
    </row>
    <row r="599">
      <c r="A599" s="54">
        <f>IF(_calc!$E$601="","",IF(_calc!$E$601&lt;=500,"Warranty – "&amp;IF(LEN(INDEX('Dealer pipeline'!$C$4:$C$503,_calc!$E$601))=0,"",INDEX('Dealer pipeline'!$C$4:$C$503,_calc!$E$601))&amp;" – "&amp;IF(LEN(INDEX('Dealer pipeline'!$D$4:$D$503,_calc!$E$601))=0,"",INDEX('Dealer pipeline'!$D$4:$D$503,_calc!$E$601))&amp;" – "&amp;IF(LEN(INDEX('Dealer pipeline'!$A$4:$A$503,_calc!$E$601))=0,"",INDEX('Dealer pipeline'!$A$4:$A$503,_calc!$E$601)),"Warranty – "&amp;IF(LEN(INDEX('My equipment'!$A$4:$A$503,(_calc!$E$601-500)))=0,"",INDEX('My equipment'!$A$4:$A$503,(_calc!$E$601-500)))&amp;" – "&amp;IF(LEN(INDEX('My equipment'!$D$4:$D$503,(_calc!$E$601-500)))=0,"",INDEX('My equipment'!$D$4:$D$503,(_calc!$E$601-500)))))</f>
        <v/>
      </c>
      <c r="B599" s="54">
        <f>IF(_calc!$E$601="","",IF(_calc!$E$601&lt;=500,IF(ISNUMBER(INDEX('Dealer pipeline'!$M$4:$M$503,_calc!$E$601)),TEXT(INDEX('Dealer pipeline'!$M$4:$M$503,_calc!$E$601),"yyyy-mm-dd"),""),IF(ISNUMBER(INDEX('My equipment'!$M$4:$M$503,(_calc!$E$601-500))),TEXT(INDEX('My equipment'!$M$4:$M$503,(_calc!$E$601-500)),"yyyy-mm-dd"),"")))</f>
        <v/>
      </c>
      <c r="C599" s="54">
        <f>IF(_calc!$E$601="","",IF(_calc!$E$601&lt;=500,"Warranty","Warranty"))</f>
        <v/>
      </c>
      <c r="D599" s="54">
        <f>IF(_calc!$E$601="","",IF(_calc!$E$601&lt;=500,IF(ISNUMBER(INDEX('Dealer pipeline'!$H$4:$H$503,_calc!$E$601)),TEXT(INDEX('Dealer pipeline'!$H$4:$H$503,_calc!$E$601),"yyyy-mm-dd"),""),IF(ISNUMBER(INDEX('My equipment'!$H$4:$H$503,(_calc!$E$601-500))),TEXT(INDEX('My equipment'!$H$4:$H$503,(_calc!$E$601-500)),"yyyy-mm-dd"),"")))</f>
        <v/>
      </c>
      <c r="F599" s="54">
        <f>IF(_calc!$E$601="","",IF(_calc!$E$601&lt;=500,TRIM(IF(LEN(IF(LEN(INDEX('Dealer pipeline'!$A$4:$A$503,_calc!$E$601))=0,"",INDEX('Dealer pipeline'!$A$4:$A$503,_calc!$E$601)))=0,"","Customer: "&amp;IF(LEN(INDEX('Dealer pipeline'!$A$4:$A$503,_calc!$E$601))=0,"",INDEX('Dealer pipeline'!$A$4:$A$503,_calc!$E$601))&amp;". ")&amp;IF(LEN(IF(LEN(INDEX('Dealer pipeline'!$B$4:$B$503,_calc!$E$601))=0,"",INDEX('Dealer pipeline'!$B$4:$B$503,_calc!$E$601)))=0,"","Contact: "&amp;IF(LEN(INDEX('Dealer pipeline'!$B$4:$B$503,_calc!$E$601))=0,"",INDEX('Dealer pipeline'!$B$4:$B$503,_calc!$E$601))&amp;". ")&amp;IF(LEN(IF(LEN(INDEX('Dealer pipeline'!$D$4:$D$503,_calc!$E$601))=0,"",INDEX('Dealer pipeline'!$D$4:$D$503,_calc!$E$601)))=0,"","Serial: "&amp;IF(LEN(INDEX('Dealer pipeline'!$D$4:$D$503,_calc!$E$601))=0,"",INDEX('Dealer pipeline'!$D$4:$D$503,_calc!$E$601))&amp;". ")&amp;IF(LEN(IF(ISNUMBER(INDEX('Dealer pipeline'!$J$4:$J$503,_calc!$E$601)),TEXT(INDEX('Dealer pipeline'!$J$4:$J$503,_calc!$E$601),"yyyy-mm-dd"),""))=0,"","Parts end: "&amp;IF(ISNUMBER(INDEX('Dealer pipeline'!$J$4:$J$503,_calc!$E$601)),TEXT(INDEX('Dealer pipeline'!$J$4:$J$503,_calc!$E$601),"yyyy-mm-dd"),"")&amp;". ")&amp;IF(LEN(IF(ISNUMBER(INDEX('Dealer pipeline'!$L$4:$L$503,_calc!$E$601)),TEXT(INDEX('Dealer pipeline'!$L$4:$L$503,_calc!$E$601),"yyyy-mm-dd"),""))=0,"","Labor end: "&amp;IF(ISNUMBER(INDEX('Dealer pipeline'!$L$4:$L$503,_calc!$E$601)),TEXT(INDEX('Dealer pipeline'!$L$4:$L$503,_calc!$E$601),"yyyy-mm-dd"),"")&amp;". ")&amp;IF(LEN(IF(LEN(INDEX('Dealer pipeline'!$Q$4:$Q$503,_calc!$E$601))=0,"",INDEX('Dealer pipeline'!$Q$4:$Q$503,_calc!$E$601)))=0,"","Status: "&amp;IF(LEN(INDEX('Dealer pipeline'!$Q$4:$Q$503,_calc!$E$601))=0,"",INDEX('Dealer pipeline'!$Q$4:$Q$503,_calc!$E$601))&amp;". ")&amp;IF(LEN(IF(LEN(INDEX('Dealer pipeline'!$P$4:$P$503,_calc!$E$601))=0,"",INDEX('Dealer pipeline'!$P$4:$P$503,_calc!$E$601)))=0,"","Last touch: "&amp;IF(LEN(INDEX('Dealer pipeline'!$P$4:$P$503,_calc!$E$601))=0,"",INDEX('Dealer pipeline'!$P$4:$P$503,_calc!$E$601))&amp;". ")&amp;IF(LEN(IF(LEN(INDEX('Dealer pipeline'!$R$4:$R$503,_calc!$E$601))=0,"",INDEX('Dealer pipeline'!$R$4:$R$503,_calc!$E$601)))=0,"","Owner: "&amp;IF(LEN(INDEX('Dealer pipeline'!$R$4:$R$503,_calc!$E$601))=0,"",INDEX('Dealer pipeline'!$R$4:$R$503,_calc!$E$601))&amp;". ")&amp;IF(LEN(IF(LEN(INDEX('Dealer pipeline'!$S$4:$S$503,_calc!$E$601))=0,"",INDEX('Dealer pipeline'!$S$4:$S$503,_calc!$E$601)))=0,"","Backup: "&amp;IF(LEN(INDEX('Dealer pipeline'!$S$4:$S$503,_calc!$E$601))=0,"",INDEX('Dealer pipeline'!$S$4:$S$503,_calc!$E$601))&amp;". ")&amp;IF(LEN(IF(LEN(INDEX('Dealer pipeline'!$T$4:$T$503,_calc!$E$601))=0,"",INDEX('Dealer pipeline'!$T$4:$T$503,_calc!$E$601)))=0,"",IF(LEN(INDEX('Dealer pipeline'!$T$4:$T$503,_calc!$E$601))=0,"",INDEX('Dealer pipeline'!$T$4:$T$503,_calc!$E$601)))),TRIM(IF(LEN(IF(LEN(INDEX('My equipment'!$C$4:$C$503,(_calc!$E$601-500)))=0,"",INDEX('My equipment'!$C$4:$C$503,(_calc!$E$601-500))))=0,"","Model: "&amp;IF(LEN(INDEX('My equipment'!$C$4:$C$503,(_calc!$E$601-500)))=0,"",INDEX('My equipment'!$C$4:$C$503,(_calc!$E$601-500)))&amp;". ")&amp;IF(LEN(IF(LEN(INDEX('My equipment'!$D$4:$D$503,(_calc!$E$601-500)))=0,"",INDEX('My equipment'!$D$4:$D$503,(_calc!$E$601-500))))=0,"","Serial: "&amp;IF(LEN(INDEX('My equipment'!$D$4:$D$503,(_calc!$E$601-500)))=0,"",INDEX('My equipment'!$D$4:$D$503,(_calc!$E$601-500)))&amp;". ")&amp;IF(LEN(IF(ISNUMBER(INDEX('My equipment'!$J$4:$J$503,(_calc!$E$601-500))),TEXT(INDEX('My equipment'!$J$4:$J$503,(_calc!$E$601-500)),"yyyy-mm-dd"),""))=0,"","Parts end: "&amp;IF(ISNUMBER(INDEX('My equipment'!$J$4:$J$503,(_calc!$E$601-500))),TEXT(INDEX('My equipment'!$J$4:$J$503,(_calc!$E$601-500)),"yyyy-mm-dd"),"")&amp;". ")&amp;IF(LEN(IF(ISNUMBER(INDEX('My equipment'!$L$4:$L$503,(_calc!$E$601-500))),TEXT(INDEX('My equipment'!$L$4:$L$503,(_calc!$E$601-500)),"yyyy-mm-dd"),""))=0,"","Labor end: "&amp;IF(ISNUMBER(INDEX('My equipment'!$L$4:$L$503,(_calc!$E$601-500))),TEXT(INDEX('My equipment'!$L$4:$L$503,(_calc!$E$601-500)),"yyyy-mm-dd"),"")&amp;". ")&amp;IF(LEN(IF(ISNUMBER(INDEX('My equipment'!$P$4:$P$503,(_calc!$E$601-500))),TEXT(INDEX('My equipment'!$P$4:$P$503,(_calc!$E$601-500)),"yyyy-mm-dd"),""))=0,"","Check by: "&amp;IF(ISNUMBER(INDEX('My equipment'!$P$4:$P$503,(_calc!$E$601-500))),TEXT(INDEX('My equipment'!$P$4:$P$503,(_calc!$E$601-500)),"yyyy-mm-dd"),"")&amp;". ")&amp;IF(LEN(IF(LEN(INDEX('My equipment'!$Q$4:$Q$503,(_calc!$E$601-500)))=0,"",INDEX('My equipment'!$Q$4:$Q$503,(_calc!$E$601-500))))=0,"","Claim status: "&amp;IF(LEN(INDEX('My equipment'!$Q$4:$Q$503,(_calc!$E$601-500)))=0,"",INDEX('My equipment'!$Q$4:$Q$503,(_calc!$E$601-500)))&amp;". ")&amp;IF(LEN(IF(LEN(INDEX('My equipment'!$R$4:$R$503,(_calc!$E$601-500)))=0,"",INDEX('My equipment'!$R$4:$R$503,(_calc!$E$601-500))))=0,"","Claims contact: "&amp;IF(LEN(INDEX('My equipment'!$R$4:$R$503,(_calc!$E$601-500)))=0,"",INDEX('My equipment'!$R$4:$R$503,(_calc!$E$601-500)))&amp;". ")&amp;IF(LEN(IF(LEN(INDEX('My equipment'!$S$4:$S$503,(_calc!$E$601-500)))=0,"",INDEX('My equipment'!$S$4:$S$503,(_calc!$E$601-500))))=0,"","Claims email: "&amp;IF(LEN(INDEX('My equipment'!$S$4:$S$503,(_calc!$E$601-500)))=0,"",INDEX('My equipment'!$S$4:$S$503,(_calc!$E$601-500)))&amp;". ")&amp;IF(LEN(IF(LEN(INDEX('My equipment'!$U$4:$U$503,(_calc!$E$601-500)))=0,"",INDEX('My equipment'!$U$4:$U$503,(_calc!$E$601-500))))=0,"","Registered: "&amp;IF(LEN(INDEX('My equipment'!$U$4:$U$503,(_calc!$E$601-500)))=0,"",INDEX('My equipment'!$U$4:$U$503,(_calc!$E$601-500)))&amp;". ")&amp;IF(LEN(IF(LEN(INDEX('My equipment'!$V$4:$V$503,(_calc!$E$601-500)))=0,"",INDEX('My equipment'!$V$4:$V$503,(_calc!$E$601-500))))=0,"","Proof on file: "&amp;IF(LEN(INDEX('My equipment'!$V$4:$V$503,(_calc!$E$601-500)))=0,"",INDEX('My equipment'!$V$4:$V$503,(_calc!$E$601-500)))&amp;". ")&amp;IF(LEN(IF(LEN(INDEX('My equipment'!$W$4:$W$503,(_calc!$E$601-500)))=0,"",INDEX('My equipment'!$W$4:$W$503,(_calc!$E$601-500))))=0,"","Claim ref: "&amp;IF(LEN(INDEX('My equipment'!$W$4:$W$503,(_calc!$E$601-500)))=0,"",INDEX('My equipment'!$W$4:$W$503,(_calc!$E$601-500)))&amp;". ")&amp;IF(LEN(IF(LEN(INDEX('My equipment'!$Y$4:$Y$503,(_calc!$E$601-500)))=0,"",INDEX('My equipment'!$Y$4:$Y$503,(_calc!$E$601-500))))=0,"",IF(LEN(INDEX('My equipment'!$Y$4:$Y$503,(_calc!$E$601-500)))=0,"",INDEX('My equipment'!$Y$4:$Y$503,(_calc!$E$601-500)))))))</f>
        <v/>
      </c>
      <c r="G599" s="54">
        <f>IF(_calc!$E$601="","",IF(_calc!$E$601&lt;=500,"",IF(LEN(INDEX('My equipment'!$X$4:$X$503,(_calc!$E$601-500)))=0,"",INDEX('My equipment'!$X$4:$X$503,(_calc!$E$601-500)))))</f>
        <v/>
      </c>
      <c r="K599" s="54">
        <f>IF(_calc!$E$601="","",IF(_calc!$E$601&lt;=500,"",IF(LEN(INDEX('My equipment'!$T$4:$T$503,(_calc!$E$601-500)))=0,"",INDEX('My equipment'!$T$4:$T$503,(_calc!$E$601-500)))))</f>
        <v/>
      </c>
    </row>
    <row r="600">
      <c r="A600" s="54">
        <f>IF(_calc!$E$602="","",IF(_calc!$E$602&lt;=500,"Warranty – "&amp;IF(LEN(INDEX('Dealer pipeline'!$C$4:$C$503,_calc!$E$602))=0,"",INDEX('Dealer pipeline'!$C$4:$C$503,_calc!$E$602))&amp;" – "&amp;IF(LEN(INDEX('Dealer pipeline'!$D$4:$D$503,_calc!$E$602))=0,"",INDEX('Dealer pipeline'!$D$4:$D$503,_calc!$E$602))&amp;" – "&amp;IF(LEN(INDEX('Dealer pipeline'!$A$4:$A$503,_calc!$E$602))=0,"",INDEX('Dealer pipeline'!$A$4:$A$503,_calc!$E$602)),"Warranty – "&amp;IF(LEN(INDEX('My equipment'!$A$4:$A$503,(_calc!$E$602-500)))=0,"",INDEX('My equipment'!$A$4:$A$503,(_calc!$E$602-500)))&amp;" – "&amp;IF(LEN(INDEX('My equipment'!$D$4:$D$503,(_calc!$E$602-500)))=0,"",INDEX('My equipment'!$D$4:$D$503,(_calc!$E$602-500)))))</f>
        <v/>
      </c>
      <c r="B600" s="54">
        <f>IF(_calc!$E$602="","",IF(_calc!$E$602&lt;=500,IF(ISNUMBER(INDEX('Dealer pipeline'!$M$4:$M$503,_calc!$E$602)),TEXT(INDEX('Dealer pipeline'!$M$4:$M$503,_calc!$E$602),"yyyy-mm-dd"),""),IF(ISNUMBER(INDEX('My equipment'!$M$4:$M$503,(_calc!$E$602-500))),TEXT(INDEX('My equipment'!$M$4:$M$503,(_calc!$E$602-500)),"yyyy-mm-dd"),"")))</f>
        <v/>
      </c>
      <c r="C600" s="54">
        <f>IF(_calc!$E$602="","",IF(_calc!$E$602&lt;=500,"Warranty","Warranty"))</f>
        <v/>
      </c>
      <c r="D600" s="54">
        <f>IF(_calc!$E$602="","",IF(_calc!$E$602&lt;=500,IF(ISNUMBER(INDEX('Dealer pipeline'!$H$4:$H$503,_calc!$E$602)),TEXT(INDEX('Dealer pipeline'!$H$4:$H$503,_calc!$E$602),"yyyy-mm-dd"),""),IF(ISNUMBER(INDEX('My equipment'!$H$4:$H$503,(_calc!$E$602-500))),TEXT(INDEX('My equipment'!$H$4:$H$503,(_calc!$E$602-500)),"yyyy-mm-dd"),"")))</f>
        <v/>
      </c>
      <c r="F600" s="54">
        <f>IF(_calc!$E$602="","",IF(_calc!$E$602&lt;=500,TRIM(IF(LEN(IF(LEN(INDEX('Dealer pipeline'!$A$4:$A$503,_calc!$E$602))=0,"",INDEX('Dealer pipeline'!$A$4:$A$503,_calc!$E$602)))=0,"","Customer: "&amp;IF(LEN(INDEX('Dealer pipeline'!$A$4:$A$503,_calc!$E$602))=0,"",INDEX('Dealer pipeline'!$A$4:$A$503,_calc!$E$602))&amp;". ")&amp;IF(LEN(IF(LEN(INDEX('Dealer pipeline'!$B$4:$B$503,_calc!$E$602))=0,"",INDEX('Dealer pipeline'!$B$4:$B$503,_calc!$E$602)))=0,"","Contact: "&amp;IF(LEN(INDEX('Dealer pipeline'!$B$4:$B$503,_calc!$E$602))=0,"",INDEX('Dealer pipeline'!$B$4:$B$503,_calc!$E$602))&amp;". ")&amp;IF(LEN(IF(LEN(INDEX('Dealer pipeline'!$D$4:$D$503,_calc!$E$602))=0,"",INDEX('Dealer pipeline'!$D$4:$D$503,_calc!$E$602)))=0,"","Serial: "&amp;IF(LEN(INDEX('Dealer pipeline'!$D$4:$D$503,_calc!$E$602))=0,"",INDEX('Dealer pipeline'!$D$4:$D$503,_calc!$E$602))&amp;". ")&amp;IF(LEN(IF(ISNUMBER(INDEX('Dealer pipeline'!$J$4:$J$503,_calc!$E$602)),TEXT(INDEX('Dealer pipeline'!$J$4:$J$503,_calc!$E$602),"yyyy-mm-dd"),""))=0,"","Parts end: "&amp;IF(ISNUMBER(INDEX('Dealer pipeline'!$J$4:$J$503,_calc!$E$602)),TEXT(INDEX('Dealer pipeline'!$J$4:$J$503,_calc!$E$602),"yyyy-mm-dd"),"")&amp;". ")&amp;IF(LEN(IF(ISNUMBER(INDEX('Dealer pipeline'!$L$4:$L$503,_calc!$E$602)),TEXT(INDEX('Dealer pipeline'!$L$4:$L$503,_calc!$E$602),"yyyy-mm-dd"),""))=0,"","Labor end: "&amp;IF(ISNUMBER(INDEX('Dealer pipeline'!$L$4:$L$503,_calc!$E$602)),TEXT(INDEX('Dealer pipeline'!$L$4:$L$503,_calc!$E$602),"yyyy-mm-dd"),"")&amp;". ")&amp;IF(LEN(IF(LEN(INDEX('Dealer pipeline'!$Q$4:$Q$503,_calc!$E$602))=0,"",INDEX('Dealer pipeline'!$Q$4:$Q$503,_calc!$E$602)))=0,"","Status: "&amp;IF(LEN(INDEX('Dealer pipeline'!$Q$4:$Q$503,_calc!$E$602))=0,"",INDEX('Dealer pipeline'!$Q$4:$Q$503,_calc!$E$602))&amp;". ")&amp;IF(LEN(IF(LEN(INDEX('Dealer pipeline'!$P$4:$P$503,_calc!$E$602))=0,"",INDEX('Dealer pipeline'!$P$4:$P$503,_calc!$E$602)))=0,"","Last touch: "&amp;IF(LEN(INDEX('Dealer pipeline'!$P$4:$P$503,_calc!$E$602))=0,"",INDEX('Dealer pipeline'!$P$4:$P$503,_calc!$E$602))&amp;". ")&amp;IF(LEN(IF(LEN(INDEX('Dealer pipeline'!$R$4:$R$503,_calc!$E$602))=0,"",INDEX('Dealer pipeline'!$R$4:$R$503,_calc!$E$602)))=0,"","Owner: "&amp;IF(LEN(INDEX('Dealer pipeline'!$R$4:$R$503,_calc!$E$602))=0,"",INDEX('Dealer pipeline'!$R$4:$R$503,_calc!$E$602))&amp;". ")&amp;IF(LEN(IF(LEN(INDEX('Dealer pipeline'!$S$4:$S$503,_calc!$E$602))=0,"",INDEX('Dealer pipeline'!$S$4:$S$503,_calc!$E$602)))=0,"","Backup: "&amp;IF(LEN(INDEX('Dealer pipeline'!$S$4:$S$503,_calc!$E$602))=0,"",INDEX('Dealer pipeline'!$S$4:$S$503,_calc!$E$602))&amp;". ")&amp;IF(LEN(IF(LEN(INDEX('Dealer pipeline'!$T$4:$T$503,_calc!$E$602))=0,"",INDEX('Dealer pipeline'!$T$4:$T$503,_calc!$E$602)))=0,"",IF(LEN(INDEX('Dealer pipeline'!$T$4:$T$503,_calc!$E$602))=0,"",INDEX('Dealer pipeline'!$T$4:$T$503,_calc!$E$602)))),TRIM(IF(LEN(IF(LEN(INDEX('My equipment'!$C$4:$C$503,(_calc!$E$602-500)))=0,"",INDEX('My equipment'!$C$4:$C$503,(_calc!$E$602-500))))=0,"","Model: "&amp;IF(LEN(INDEX('My equipment'!$C$4:$C$503,(_calc!$E$602-500)))=0,"",INDEX('My equipment'!$C$4:$C$503,(_calc!$E$602-500)))&amp;". ")&amp;IF(LEN(IF(LEN(INDEX('My equipment'!$D$4:$D$503,(_calc!$E$602-500)))=0,"",INDEX('My equipment'!$D$4:$D$503,(_calc!$E$602-500))))=0,"","Serial: "&amp;IF(LEN(INDEX('My equipment'!$D$4:$D$503,(_calc!$E$602-500)))=0,"",INDEX('My equipment'!$D$4:$D$503,(_calc!$E$602-500)))&amp;". ")&amp;IF(LEN(IF(ISNUMBER(INDEX('My equipment'!$J$4:$J$503,(_calc!$E$602-500))),TEXT(INDEX('My equipment'!$J$4:$J$503,(_calc!$E$602-500)),"yyyy-mm-dd"),""))=0,"","Parts end: "&amp;IF(ISNUMBER(INDEX('My equipment'!$J$4:$J$503,(_calc!$E$602-500))),TEXT(INDEX('My equipment'!$J$4:$J$503,(_calc!$E$602-500)),"yyyy-mm-dd"),"")&amp;". ")&amp;IF(LEN(IF(ISNUMBER(INDEX('My equipment'!$L$4:$L$503,(_calc!$E$602-500))),TEXT(INDEX('My equipment'!$L$4:$L$503,(_calc!$E$602-500)),"yyyy-mm-dd"),""))=0,"","Labor end: "&amp;IF(ISNUMBER(INDEX('My equipment'!$L$4:$L$503,(_calc!$E$602-500))),TEXT(INDEX('My equipment'!$L$4:$L$503,(_calc!$E$602-500)),"yyyy-mm-dd"),"")&amp;". ")&amp;IF(LEN(IF(ISNUMBER(INDEX('My equipment'!$P$4:$P$503,(_calc!$E$602-500))),TEXT(INDEX('My equipment'!$P$4:$P$503,(_calc!$E$602-500)),"yyyy-mm-dd"),""))=0,"","Check by: "&amp;IF(ISNUMBER(INDEX('My equipment'!$P$4:$P$503,(_calc!$E$602-500))),TEXT(INDEX('My equipment'!$P$4:$P$503,(_calc!$E$602-500)),"yyyy-mm-dd"),"")&amp;". ")&amp;IF(LEN(IF(LEN(INDEX('My equipment'!$Q$4:$Q$503,(_calc!$E$602-500)))=0,"",INDEX('My equipment'!$Q$4:$Q$503,(_calc!$E$602-500))))=0,"","Claim status: "&amp;IF(LEN(INDEX('My equipment'!$Q$4:$Q$503,(_calc!$E$602-500)))=0,"",INDEX('My equipment'!$Q$4:$Q$503,(_calc!$E$602-500)))&amp;". ")&amp;IF(LEN(IF(LEN(INDEX('My equipment'!$R$4:$R$503,(_calc!$E$602-500)))=0,"",INDEX('My equipment'!$R$4:$R$503,(_calc!$E$602-500))))=0,"","Claims contact: "&amp;IF(LEN(INDEX('My equipment'!$R$4:$R$503,(_calc!$E$602-500)))=0,"",INDEX('My equipment'!$R$4:$R$503,(_calc!$E$602-500)))&amp;". ")&amp;IF(LEN(IF(LEN(INDEX('My equipment'!$S$4:$S$503,(_calc!$E$602-500)))=0,"",INDEX('My equipment'!$S$4:$S$503,(_calc!$E$602-500))))=0,"","Claims email: "&amp;IF(LEN(INDEX('My equipment'!$S$4:$S$503,(_calc!$E$602-500)))=0,"",INDEX('My equipment'!$S$4:$S$503,(_calc!$E$602-500)))&amp;". ")&amp;IF(LEN(IF(LEN(INDEX('My equipment'!$U$4:$U$503,(_calc!$E$602-500)))=0,"",INDEX('My equipment'!$U$4:$U$503,(_calc!$E$602-500))))=0,"","Registered: "&amp;IF(LEN(INDEX('My equipment'!$U$4:$U$503,(_calc!$E$602-500)))=0,"",INDEX('My equipment'!$U$4:$U$503,(_calc!$E$602-500)))&amp;". ")&amp;IF(LEN(IF(LEN(INDEX('My equipment'!$V$4:$V$503,(_calc!$E$602-500)))=0,"",INDEX('My equipment'!$V$4:$V$503,(_calc!$E$602-500))))=0,"","Proof on file: "&amp;IF(LEN(INDEX('My equipment'!$V$4:$V$503,(_calc!$E$602-500)))=0,"",INDEX('My equipment'!$V$4:$V$503,(_calc!$E$602-500)))&amp;". ")&amp;IF(LEN(IF(LEN(INDEX('My equipment'!$W$4:$W$503,(_calc!$E$602-500)))=0,"",INDEX('My equipment'!$W$4:$W$503,(_calc!$E$602-500))))=0,"","Claim ref: "&amp;IF(LEN(INDEX('My equipment'!$W$4:$W$503,(_calc!$E$602-500)))=0,"",INDEX('My equipment'!$W$4:$W$503,(_calc!$E$602-500)))&amp;". ")&amp;IF(LEN(IF(LEN(INDEX('My equipment'!$Y$4:$Y$503,(_calc!$E$602-500)))=0,"",INDEX('My equipment'!$Y$4:$Y$503,(_calc!$E$602-500))))=0,"",IF(LEN(INDEX('My equipment'!$Y$4:$Y$503,(_calc!$E$602-500)))=0,"",INDEX('My equipment'!$Y$4:$Y$503,(_calc!$E$602-500)))))))</f>
        <v/>
      </c>
      <c r="G600" s="54">
        <f>IF(_calc!$E$602="","",IF(_calc!$E$602&lt;=500,"",IF(LEN(INDEX('My equipment'!$X$4:$X$503,(_calc!$E$602-500)))=0,"",INDEX('My equipment'!$X$4:$X$503,(_calc!$E$602-500)))))</f>
        <v/>
      </c>
      <c r="K600" s="54">
        <f>IF(_calc!$E$602="","",IF(_calc!$E$602&lt;=500,"",IF(LEN(INDEX('My equipment'!$T$4:$T$503,(_calc!$E$602-500)))=0,"",INDEX('My equipment'!$T$4:$T$503,(_calc!$E$602-500)))))</f>
        <v/>
      </c>
    </row>
    <row r="601">
      <c r="A601" s="54">
        <f>IF(_calc!$E$603="","",IF(_calc!$E$603&lt;=500,"Warranty – "&amp;IF(LEN(INDEX('Dealer pipeline'!$C$4:$C$503,_calc!$E$603))=0,"",INDEX('Dealer pipeline'!$C$4:$C$503,_calc!$E$603))&amp;" – "&amp;IF(LEN(INDEX('Dealer pipeline'!$D$4:$D$503,_calc!$E$603))=0,"",INDEX('Dealer pipeline'!$D$4:$D$503,_calc!$E$603))&amp;" – "&amp;IF(LEN(INDEX('Dealer pipeline'!$A$4:$A$503,_calc!$E$603))=0,"",INDEX('Dealer pipeline'!$A$4:$A$503,_calc!$E$603)),"Warranty – "&amp;IF(LEN(INDEX('My equipment'!$A$4:$A$503,(_calc!$E$603-500)))=0,"",INDEX('My equipment'!$A$4:$A$503,(_calc!$E$603-500)))&amp;" – "&amp;IF(LEN(INDEX('My equipment'!$D$4:$D$503,(_calc!$E$603-500)))=0,"",INDEX('My equipment'!$D$4:$D$503,(_calc!$E$603-500)))))</f>
        <v/>
      </c>
      <c r="B601" s="54">
        <f>IF(_calc!$E$603="","",IF(_calc!$E$603&lt;=500,IF(ISNUMBER(INDEX('Dealer pipeline'!$M$4:$M$503,_calc!$E$603)),TEXT(INDEX('Dealer pipeline'!$M$4:$M$503,_calc!$E$603),"yyyy-mm-dd"),""),IF(ISNUMBER(INDEX('My equipment'!$M$4:$M$503,(_calc!$E$603-500))),TEXT(INDEX('My equipment'!$M$4:$M$503,(_calc!$E$603-500)),"yyyy-mm-dd"),"")))</f>
        <v/>
      </c>
      <c r="C601" s="54">
        <f>IF(_calc!$E$603="","",IF(_calc!$E$603&lt;=500,"Warranty","Warranty"))</f>
        <v/>
      </c>
      <c r="D601" s="54">
        <f>IF(_calc!$E$603="","",IF(_calc!$E$603&lt;=500,IF(ISNUMBER(INDEX('Dealer pipeline'!$H$4:$H$503,_calc!$E$603)),TEXT(INDEX('Dealer pipeline'!$H$4:$H$503,_calc!$E$603),"yyyy-mm-dd"),""),IF(ISNUMBER(INDEX('My equipment'!$H$4:$H$503,(_calc!$E$603-500))),TEXT(INDEX('My equipment'!$H$4:$H$503,(_calc!$E$603-500)),"yyyy-mm-dd"),"")))</f>
        <v/>
      </c>
      <c r="F601" s="54">
        <f>IF(_calc!$E$603="","",IF(_calc!$E$603&lt;=500,TRIM(IF(LEN(IF(LEN(INDEX('Dealer pipeline'!$A$4:$A$503,_calc!$E$603))=0,"",INDEX('Dealer pipeline'!$A$4:$A$503,_calc!$E$603)))=0,"","Customer: "&amp;IF(LEN(INDEX('Dealer pipeline'!$A$4:$A$503,_calc!$E$603))=0,"",INDEX('Dealer pipeline'!$A$4:$A$503,_calc!$E$603))&amp;". ")&amp;IF(LEN(IF(LEN(INDEX('Dealer pipeline'!$B$4:$B$503,_calc!$E$603))=0,"",INDEX('Dealer pipeline'!$B$4:$B$503,_calc!$E$603)))=0,"","Contact: "&amp;IF(LEN(INDEX('Dealer pipeline'!$B$4:$B$503,_calc!$E$603))=0,"",INDEX('Dealer pipeline'!$B$4:$B$503,_calc!$E$603))&amp;". ")&amp;IF(LEN(IF(LEN(INDEX('Dealer pipeline'!$D$4:$D$503,_calc!$E$603))=0,"",INDEX('Dealer pipeline'!$D$4:$D$503,_calc!$E$603)))=0,"","Serial: "&amp;IF(LEN(INDEX('Dealer pipeline'!$D$4:$D$503,_calc!$E$603))=0,"",INDEX('Dealer pipeline'!$D$4:$D$503,_calc!$E$603))&amp;". ")&amp;IF(LEN(IF(ISNUMBER(INDEX('Dealer pipeline'!$J$4:$J$503,_calc!$E$603)),TEXT(INDEX('Dealer pipeline'!$J$4:$J$503,_calc!$E$603),"yyyy-mm-dd"),""))=0,"","Parts end: "&amp;IF(ISNUMBER(INDEX('Dealer pipeline'!$J$4:$J$503,_calc!$E$603)),TEXT(INDEX('Dealer pipeline'!$J$4:$J$503,_calc!$E$603),"yyyy-mm-dd"),"")&amp;". ")&amp;IF(LEN(IF(ISNUMBER(INDEX('Dealer pipeline'!$L$4:$L$503,_calc!$E$603)),TEXT(INDEX('Dealer pipeline'!$L$4:$L$503,_calc!$E$603),"yyyy-mm-dd"),""))=0,"","Labor end: "&amp;IF(ISNUMBER(INDEX('Dealer pipeline'!$L$4:$L$503,_calc!$E$603)),TEXT(INDEX('Dealer pipeline'!$L$4:$L$503,_calc!$E$603),"yyyy-mm-dd"),"")&amp;". ")&amp;IF(LEN(IF(LEN(INDEX('Dealer pipeline'!$Q$4:$Q$503,_calc!$E$603))=0,"",INDEX('Dealer pipeline'!$Q$4:$Q$503,_calc!$E$603)))=0,"","Status: "&amp;IF(LEN(INDEX('Dealer pipeline'!$Q$4:$Q$503,_calc!$E$603))=0,"",INDEX('Dealer pipeline'!$Q$4:$Q$503,_calc!$E$603))&amp;". ")&amp;IF(LEN(IF(LEN(INDEX('Dealer pipeline'!$P$4:$P$503,_calc!$E$603))=0,"",INDEX('Dealer pipeline'!$P$4:$P$503,_calc!$E$603)))=0,"","Last touch: "&amp;IF(LEN(INDEX('Dealer pipeline'!$P$4:$P$503,_calc!$E$603))=0,"",INDEX('Dealer pipeline'!$P$4:$P$503,_calc!$E$603))&amp;". ")&amp;IF(LEN(IF(LEN(INDEX('Dealer pipeline'!$R$4:$R$503,_calc!$E$603))=0,"",INDEX('Dealer pipeline'!$R$4:$R$503,_calc!$E$603)))=0,"","Owner: "&amp;IF(LEN(INDEX('Dealer pipeline'!$R$4:$R$503,_calc!$E$603))=0,"",INDEX('Dealer pipeline'!$R$4:$R$503,_calc!$E$603))&amp;". ")&amp;IF(LEN(IF(LEN(INDEX('Dealer pipeline'!$S$4:$S$503,_calc!$E$603))=0,"",INDEX('Dealer pipeline'!$S$4:$S$503,_calc!$E$603)))=0,"","Backup: "&amp;IF(LEN(INDEX('Dealer pipeline'!$S$4:$S$503,_calc!$E$603))=0,"",INDEX('Dealer pipeline'!$S$4:$S$503,_calc!$E$603))&amp;". ")&amp;IF(LEN(IF(LEN(INDEX('Dealer pipeline'!$T$4:$T$503,_calc!$E$603))=0,"",INDEX('Dealer pipeline'!$T$4:$T$503,_calc!$E$603)))=0,"",IF(LEN(INDEX('Dealer pipeline'!$T$4:$T$503,_calc!$E$603))=0,"",INDEX('Dealer pipeline'!$T$4:$T$503,_calc!$E$603)))),TRIM(IF(LEN(IF(LEN(INDEX('My equipment'!$C$4:$C$503,(_calc!$E$603-500)))=0,"",INDEX('My equipment'!$C$4:$C$503,(_calc!$E$603-500))))=0,"","Model: "&amp;IF(LEN(INDEX('My equipment'!$C$4:$C$503,(_calc!$E$603-500)))=0,"",INDEX('My equipment'!$C$4:$C$503,(_calc!$E$603-500)))&amp;". ")&amp;IF(LEN(IF(LEN(INDEX('My equipment'!$D$4:$D$503,(_calc!$E$603-500)))=0,"",INDEX('My equipment'!$D$4:$D$503,(_calc!$E$603-500))))=0,"","Serial: "&amp;IF(LEN(INDEX('My equipment'!$D$4:$D$503,(_calc!$E$603-500)))=0,"",INDEX('My equipment'!$D$4:$D$503,(_calc!$E$603-500)))&amp;". ")&amp;IF(LEN(IF(ISNUMBER(INDEX('My equipment'!$J$4:$J$503,(_calc!$E$603-500))),TEXT(INDEX('My equipment'!$J$4:$J$503,(_calc!$E$603-500)),"yyyy-mm-dd"),""))=0,"","Parts end: "&amp;IF(ISNUMBER(INDEX('My equipment'!$J$4:$J$503,(_calc!$E$603-500))),TEXT(INDEX('My equipment'!$J$4:$J$503,(_calc!$E$603-500)),"yyyy-mm-dd"),"")&amp;". ")&amp;IF(LEN(IF(ISNUMBER(INDEX('My equipment'!$L$4:$L$503,(_calc!$E$603-500))),TEXT(INDEX('My equipment'!$L$4:$L$503,(_calc!$E$603-500)),"yyyy-mm-dd"),""))=0,"","Labor end: "&amp;IF(ISNUMBER(INDEX('My equipment'!$L$4:$L$503,(_calc!$E$603-500))),TEXT(INDEX('My equipment'!$L$4:$L$503,(_calc!$E$603-500)),"yyyy-mm-dd"),"")&amp;". ")&amp;IF(LEN(IF(ISNUMBER(INDEX('My equipment'!$P$4:$P$503,(_calc!$E$603-500))),TEXT(INDEX('My equipment'!$P$4:$P$503,(_calc!$E$603-500)),"yyyy-mm-dd"),""))=0,"","Check by: "&amp;IF(ISNUMBER(INDEX('My equipment'!$P$4:$P$503,(_calc!$E$603-500))),TEXT(INDEX('My equipment'!$P$4:$P$503,(_calc!$E$603-500)),"yyyy-mm-dd"),"")&amp;". ")&amp;IF(LEN(IF(LEN(INDEX('My equipment'!$Q$4:$Q$503,(_calc!$E$603-500)))=0,"",INDEX('My equipment'!$Q$4:$Q$503,(_calc!$E$603-500))))=0,"","Claim status: "&amp;IF(LEN(INDEX('My equipment'!$Q$4:$Q$503,(_calc!$E$603-500)))=0,"",INDEX('My equipment'!$Q$4:$Q$503,(_calc!$E$603-500)))&amp;". ")&amp;IF(LEN(IF(LEN(INDEX('My equipment'!$R$4:$R$503,(_calc!$E$603-500)))=0,"",INDEX('My equipment'!$R$4:$R$503,(_calc!$E$603-500))))=0,"","Claims contact: "&amp;IF(LEN(INDEX('My equipment'!$R$4:$R$503,(_calc!$E$603-500)))=0,"",INDEX('My equipment'!$R$4:$R$503,(_calc!$E$603-500)))&amp;". ")&amp;IF(LEN(IF(LEN(INDEX('My equipment'!$S$4:$S$503,(_calc!$E$603-500)))=0,"",INDEX('My equipment'!$S$4:$S$503,(_calc!$E$603-500))))=0,"","Claims email: "&amp;IF(LEN(INDEX('My equipment'!$S$4:$S$503,(_calc!$E$603-500)))=0,"",INDEX('My equipment'!$S$4:$S$503,(_calc!$E$603-500)))&amp;". ")&amp;IF(LEN(IF(LEN(INDEX('My equipment'!$U$4:$U$503,(_calc!$E$603-500)))=0,"",INDEX('My equipment'!$U$4:$U$503,(_calc!$E$603-500))))=0,"","Registered: "&amp;IF(LEN(INDEX('My equipment'!$U$4:$U$503,(_calc!$E$603-500)))=0,"",INDEX('My equipment'!$U$4:$U$503,(_calc!$E$603-500)))&amp;". ")&amp;IF(LEN(IF(LEN(INDEX('My equipment'!$V$4:$V$503,(_calc!$E$603-500)))=0,"",INDEX('My equipment'!$V$4:$V$503,(_calc!$E$603-500))))=0,"","Proof on file: "&amp;IF(LEN(INDEX('My equipment'!$V$4:$V$503,(_calc!$E$603-500)))=0,"",INDEX('My equipment'!$V$4:$V$503,(_calc!$E$603-500)))&amp;". ")&amp;IF(LEN(IF(LEN(INDEX('My equipment'!$W$4:$W$503,(_calc!$E$603-500)))=0,"",INDEX('My equipment'!$W$4:$W$503,(_calc!$E$603-500))))=0,"","Claim ref: "&amp;IF(LEN(INDEX('My equipment'!$W$4:$W$503,(_calc!$E$603-500)))=0,"",INDEX('My equipment'!$W$4:$W$503,(_calc!$E$603-500)))&amp;". ")&amp;IF(LEN(IF(LEN(INDEX('My equipment'!$Y$4:$Y$503,(_calc!$E$603-500)))=0,"",INDEX('My equipment'!$Y$4:$Y$503,(_calc!$E$603-500))))=0,"",IF(LEN(INDEX('My equipment'!$Y$4:$Y$503,(_calc!$E$603-500)))=0,"",INDEX('My equipment'!$Y$4:$Y$503,(_calc!$E$603-500)))))))</f>
        <v/>
      </c>
      <c r="G601" s="54">
        <f>IF(_calc!$E$603="","",IF(_calc!$E$603&lt;=500,"",IF(LEN(INDEX('My equipment'!$X$4:$X$503,(_calc!$E$603-500)))=0,"",INDEX('My equipment'!$X$4:$X$503,(_calc!$E$603-500)))))</f>
        <v/>
      </c>
      <c r="K601" s="54">
        <f>IF(_calc!$E$603="","",IF(_calc!$E$603&lt;=500,"",IF(LEN(INDEX('My equipment'!$T$4:$T$503,(_calc!$E$603-500)))=0,"",INDEX('My equipment'!$T$4:$T$503,(_calc!$E$603-500)))))</f>
        <v/>
      </c>
    </row>
    <row r="602">
      <c r="A602" s="54">
        <f>IF(_calc!$E$604="","",IF(_calc!$E$604&lt;=500,"Warranty – "&amp;IF(LEN(INDEX('Dealer pipeline'!$C$4:$C$503,_calc!$E$604))=0,"",INDEX('Dealer pipeline'!$C$4:$C$503,_calc!$E$604))&amp;" – "&amp;IF(LEN(INDEX('Dealer pipeline'!$D$4:$D$503,_calc!$E$604))=0,"",INDEX('Dealer pipeline'!$D$4:$D$503,_calc!$E$604))&amp;" – "&amp;IF(LEN(INDEX('Dealer pipeline'!$A$4:$A$503,_calc!$E$604))=0,"",INDEX('Dealer pipeline'!$A$4:$A$503,_calc!$E$604)),"Warranty – "&amp;IF(LEN(INDEX('My equipment'!$A$4:$A$503,(_calc!$E$604-500)))=0,"",INDEX('My equipment'!$A$4:$A$503,(_calc!$E$604-500)))&amp;" – "&amp;IF(LEN(INDEX('My equipment'!$D$4:$D$503,(_calc!$E$604-500)))=0,"",INDEX('My equipment'!$D$4:$D$503,(_calc!$E$604-500)))))</f>
        <v/>
      </c>
      <c r="B602" s="54">
        <f>IF(_calc!$E$604="","",IF(_calc!$E$604&lt;=500,IF(ISNUMBER(INDEX('Dealer pipeline'!$M$4:$M$503,_calc!$E$604)),TEXT(INDEX('Dealer pipeline'!$M$4:$M$503,_calc!$E$604),"yyyy-mm-dd"),""),IF(ISNUMBER(INDEX('My equipment'!$M$4:$M$503,(_calc!$E$604-500))),TEXT(INDEX('My equipment'!$M$4:$M$503,(_calc!$E$604-500)),"yyyy-mm-dd"),"")))</f>
        <v/>
      </c>
      <c r="C602" s="54">
        <f>IF(_calc!$E$604="","",IF(_calc!$E$604&lt;=500,"Warranty","Warranty"))</f>
        <v/>
      </c>
      <c r="D602" s="54">
        <f>IF(_calc!$E$604="","",IF(_calc!$E$604&lt;=500,IF(ISNUMBER(INDEX('Dealer pipeline'!$H$4:$H$503,_calc!$E$604)),TEXT(INDEX('Dealer pipeline'!$H$4:$H$503,_calc!$E$604),"yyyy-mm-dd"),""),IF(ISNUMBER(INDEX('My equipment'!$H$4:$H$503,(_calc!$E$604-500))),TEXT(INDEX('My equipment'!$H$4:$H$503,(_calc!$E$604-500)),"yyyy-mm-dd"),"")))</f>
        <v/>
      </c>
      <c r="F602" s="54">
        <f>IF(_calc!$E$604="","",IF(_calc!$E$604&lt;=500,TRIM(IF(LEN(IF(LEN(INDEX('Dealer pipeline'!$A$4:$A$503,_calc!$E$604))=0,"",INDEX('Dealer pipeline'!$A$4:$A$503,_calc!$E$604)))=0,"","Customer: "&amp;IF(LEN(INDEX('Dealer pipeline'!$A$4:$A$503,_calc!$E$604))=0,"",INDEX('Dealer pipeline'!$A$4:$A$503,_calc!$E$604))&amp;". ")&amp;IF(LEN(IF(LEN(INDEX('Dealer pipeline'!$B$4:$B$503,_calc!$E$604))=0,"",INDEX('Dealer pipeline'!$B$4:$B$503,_calc!$E$604)))=0,"","Contact: "&amp;IF(LEN(INDEX('Dealer pipeline'!$B$4:$B$503,_calc!$E$604))=0,"",INDEX('Dealer pipeline'!$B$4:$B$503,_calc!$E$604))&amp;". ")&amp;IF(LEN(IF(LEN(INDEX('Dealer pipeline'!$D$4:$D$503,_calc!$E$604))=0,"",INDEX('Dealer pipeline'!$D$4:$D$503,_calc!$E$604)))=0,"","Serial: "&amp;IF(LEN(INDEX('Dealer pipeline'!$D$4:$D$503,_calc!$E$604))=0,"",INDEX('Dealer pipeline'!$D$4:$D$503,_calc!$E$604))&amp;". ")&amp;IF(LEN(IF(ISNUMBER(INDEX('Dealer pipeline'!$J$4:$J$503,_calc!$E$604)),TEXT(INDEX('Dealer pipeline'!$J$4:$J$503,_calc!$E$604),"yyyy-mm-dd"),""))=0,"","Parts end: "&amp;IF(ISNUMBER(INDEX('Dealer pipeline'!$J$4:$J$503,_calc!$E$604)),TEXT(INDEX('Dealer pipeline'!$J$4:$J$503,_calc!$E$604),"yyyy-mm-dd"),"")&amp;". ")&amp;IF(LEN(IF(ISNUMBER(INDEX('Dealer pipeline'!$L$4:$L$503,_calc!$E$604)),TEXT(INDEX('Dealer pipeline'!$L$4:$L$503,_calc!$E$604),"yyyy-mm-dd"),""))=0,"","Labor end: "&amp;IF(ISNUMBER(INDEX('Dealer pipeline'!$L$4:$L$503,_calc!$E$604)),TEXT(INDEX('Dealer pipeline'!$L$4:$L$503,_calc!$E$604),"yyyy-mm-dd"),"")&amp;". ")&amp;IF(LEN(IF(LEN(INDEX('Dealer pipeline'!$Q$4:$Q$503,_calc!$E$604))=0,"",INDEX('Dealer pipeline'!$Q$4:$Q$503,_calc!$E$604)))=0,"","Status: "&amp;IF(LEN(INDEX('Dealer pipeline'!$Q$4:$Q$503,_calc!$E$604))=0,"",INDEX('Dealer pipeline'!$Q$4:$Q$503,_calc!$E$604))&amp;". ")&amp;IF(LEN(IF(LEN(INDEX('Dealer pipeline'!$P$4:$P$503,_calc!$E$604))=0,"",INDEX('Dealer pipeline'!$P$4:$P$503,_calc!$E$604)))=0,"","Last touch: "&amp;IF(LEN(INDEX('Dealer pipeline'!$P$4:$P$503,_calc!$E$604))=0,"",INDEX('Dealer pipeline'!$P$4:$P$503,_calc!$E$604))&amp;". ")&amp;IF(LEN(IF(LEN(INDEX('Dealer pipeline'!$R$4:$R$503,_calc!$E$604))=0,"",INDEX('Dealer pipeline'!$R$4:$R$503,_calc!$E$604)))=0,"","Owner: "&amp;IF(LEN(INDEX('Dealer pipeline'!$R$4:$R$503,_calc!$E$604))=0,"",INDEX('Dealer pipeline'!$R$4:$R$503,_calc!$E$604))&amp;". ")&amp;IF(LEN(IF(LEN(INDEX('Dealer pipeline'!$S$4:$S$503,_calc!$E$604))=0,"",INDEX('Dealer pipeline'!$S$4:$S$503,_calc!$E$604)))=0,"","Backup: "&amp;IF(LEN(INDEX('Dealer pipeline'!$S$4:$S$503,_calc!$E$604))=0,"",INDEX('Dealer pipeline'!$S$4:$S$503,_calc!$E$604))&amp;". ")&amp;IF(LEN(IF(LEN(INDEX('Dealer pipeline'!$T$4:$T$503,_calc!$E$604))=0,"",INDEX('Dealer pipeline'!$T$4:$T$503,_calc!$E$604)))=0,"",IF(LEN(INDEX('Dealer pipeline'!$T$4:$T$503,_calc!$E$604))=0,"",INDEX('Dealer pipeline'!$T$4:$T$503,_calc!$E$604)))),TRIM(IF(LEN(IF(LEN(INDEX('My equipment'!$C$4:$C$503,(_calc!$E$604-500)))=0,"",INDEX('My equipment'!$C$4:$C$503,(_calc!$E$604-500))))=0,"","Model: "&amp;IF(LEN(INDEX('My equipment'!$C$4:$C$503,(_calc!$E$604-500)))=0,"",INDEX('My equipment'!$C$4:$C$503,(_calc!$E$604-500)))&amp;". ")&amp;IF(LEN(IF(LEN(INDEX('My equipment'!$D$4:$D$503,(_calc!$E$604-500)))=0,"",INDEX('My equipment'!$D$4:$D$503,(_calc!$E$604-500))))=0,"","Serial: "&amp;IF(LEN(INDEX('My equipment'!$D$4:$D$503,(_calc!$E$604-500)))=0,"",INDEX('My equipment'!$D$4:$D$503,(_calc!$E$604-500)))&amp;". ")&amp;IF(LEN(IF(ISNUMBER(INDEX('My equipment'!$J$4:$J$503,(_calc!$E$604-500))),TEXT(INDEX('My equipment'!$J$4:$J$503,(_calc!$E$604-500)),"yyyy-mm-dd"),""))=0,"","Parts end: "&amp;IF(ISNUMBER(INDEX('My equipment'!$J$4:$J$503,(_calc!$E$604-500))),TEXT(INDEX('My equipment'!$J$4:$J$503,(_calc!$E$604-500)),"yyyy-mm-dd"),"")&amp;". ")&amp;IF(LEN(IF(ISNUMBER(INDEX('My equipment'!$L$4:$L$503,(_calc!$E$604-500))),TEXT(INDEX('My equipment'!$L$4:$L$503,(_calc!$E$604-500)),"yyyy-mm-dd"),""))=0,"","Labor end: "&amp;IF(ISNUMBER(INDEX('My equipment'!$L$4:$L$503,(_calc!$E$604-500))),TEXT(INDEX('My equipment'!$L$4:$L$503,(_calc!$E$604-500)),"yyyy-mm-dd"),"")&amp;". ")&amp;IF(LEN(IF(ISNUMBER(INDEX('My equipment'!$P$4:$P$503,(_calc!$E$604-500))),TEXT(INDEX('My equipment'!$P$4:$P$503,(_calc!$E$604-500)),"yyyy-mm-dd"),""))=0,"","Check by: "&amp;IF(ISNUMBER(INDEX('My equipment'!$P$4:$P$503,(_calc!$E$604-500))),TEXT(INDEX('My equipment'!$P$4:$P$503,(_calc!$E$604-500)),"yyyy-mm-dd"),"")&amp;". ")&amp;IF(LEN(IF(LEN(INDEX('My equipment'!$Q$4:$Q$503,(_calc!$E$604-500)))=0,"",INDEX('My equipment'!$Q$4:$Q$503,(_calc!$E$604-500))))=0,"","Claim status: "&amp;IF(LEN(INDEX('My equipment'!$Q$4:$Q$503,(_calc!$E$604-500)))=0,"",INDEX('My equipment'!$Q$4:$Q$503,(_calc!$E$604-500)))&amp;". ")&amp;IF(LEN(IF(LEN(INDEX('My equipment'!$R$4:$R$503,(_calc!$E$604-500)))=0,"",INDEX('My equipment'!$R$4:$R$503,(_calc!$E$604-500))))=0,"","Claims contact: "&amp;IF(LEN(INDEX('My equipment'!$R$4:$R$503,(_calc!$E$604-500)))=0,"",INDEX('My equipment'!$R$4:$R$503,(_calc!$E$604-500)))&amp;". ")&amp;IF(LEN(IF(LEN(INDEX('My equipment'!$S$4:$S$503,(_calc!$E$604-500)))=0,"",INDEX('My equipment'!$S$4:$S$503,(_calc!$E$604-500))))=0,"","Claims email: "&amp;IF(LEN(INDEX('My equipment'!$S$4:$S$503,(_calc!$E$604-500)))=0,"",INDEX('My equipment'!$S$4:$S$503,(_calc!$E$604-500)))&amp;". ")&amp;IF(LEN(IF(LEN(INDEX('My equipment'!$U$4:$U$503,(_calc!$E$604-500)))=0,"",INDEX('My equipment'!$U$4:$U$503,(_calc!$E$604-500))))=0,"","Registered: "&amp;IF(LEN(INDEX('My equipment'!$U$4:$U$503,(_calc!$E$604-500)))=0,"",INDEX('My equipment'!$U$4:$U$503,(_calc!$E$604-500)))&amp;". ")&amp;IF(LEN(IF(LEN(INDEX('My equipment'!$V$4:$V$503,(_calc!$E$604-500)))=0,"",INDEX('My equipment'!$V$4:$V$503,(_calc!$E$604-500))))=0,"","Proof on file: "&amp;IF(LEN(INDEX('My equipment'!$V$4:$V$503,(_calc!$E$604-500)))=0,"",INDEX('My equipment'!$V$4:$V$503,(_calc!$E$604-500)))&amp;". ")&amp;IF(LEN(IF(LEN(INDEX('My equipment'!$W$4:$W$503,(_calc!$E$604-500)))=0,"",INDEX('My equipment'!$W$4:$W$503,(_calc!$E$604-500))))=0,"","Claim ref: "&amp;IF(LEN(INDEX('My equipment'!$W$4:$W$503,(_calc!$E$604-500)))=0,"",INDEX('My equipment'!$W$4:$W$503,(_calc!$E$604-500)))&amp;". ")&amp;IF(LEN(IF(LEN(INDEX('My equipment'!$Y$4:$Y$503,(_calc!$E$604-500)))=0,"",INDEX('My equipment'!$Y$4:$Y$503,(_calc!$E$604-500))))=0,"",IF(LEN(INDEX('My equipment'!$Y$4:$Y$503,(_calc!$E$604-500)))=0,"",INDEX('My equipment'!$Y$4:$Y$503,(_calc!$E$604-500)))))))</f>
        <v/>
      </c>
      <c r="G602" s="54">
        <f>IF(_calc!$E$604="","",IF(_calc!$E$604&lt;=500,"",IF(LEN(INDEX('My equipment'!$X$4:$X$503,(_calc!$E$604-500)))=0,"",INDEX('My equipment'!$X$4:$X$503,(_calc!$E$604-500)))))</f>
        <v/>
      </c>
      <c r="K602" s="54">
        <f>IF(_calc!$E$604="","",IF(_calc!$E$604&lt;=500,"",IF(LEN(INDEX('My equipment'!$T$4:$T$503,(_calc!$E$604-500)))=0,"",INDEX('My equipment'!$T$4:$T$503,(_calc!$E$604-500)))))</f>
        <v/>
      </c>
    </row>
    <row r="603">
      <c r="A603" s="54">
        <f>IF(_calc!$E$605="","",IF(_calc!$E$605&lt;=500,"Warranty – "&amp;IF(LEN(INDEX('Dealer pipeline'!$C$4:$C$503,_calc!$E$605))=0,"",INDEX('Dealer pipeline'!$C$4:$C$503,_calc!$E$605))&amp;" – "&amp;IF(LEN(INDEX('Dealer pipeline'!$D$4:$D$503,_calc!$E$605))=0,"",INDEX('Dealer pipeline'!$D$4:$D$503,_calc!$E$605))&amp;" – "&amp;IF(LEN(INDEX('Dealer pipeline'!$A$4:$A$503,_calc!$E$605))=0,"",INDEX('Dealer pipeline'!$A$4:$A$503,_calc!$E$605)),"Warranty – "&amp;IF(LEN(INDEX('My equipment'!$A$4:$A$503,(_calc!$E$605-500)))=0,"",INDEX('My equipment'!$A$4:$A$503,(_calc!$E$605-500)))&amp;" – "&amp;IF(LEN(INDEX('My equipment'!$D$4:$D$503,(_calc!$E$605-500)))=0,"",INDEX('My equipment'!$D$4:$D$503,(_calc!$E$605-500)))))</f>
        <v/>
      </c>
      <c r="B603" s="54">
        <f>IF(_calc!$E$605="","",IF(_calc!$E$605&lt;=500,IF(ISNUMBER(INDEX('Dealer pipeline'!$M$4:$M$503,_calc!$E$605)),TEXT(INDEX('Dealer pipeline'!$M$4:$M$503,_calc!$E$605),"yyyy-mm-dd"),""),IF(ISNUMBER(INDEX('My equipment'!$M$4:$M$503,(_calc!$E$605-500))),TEXT(INDEX('My equipment'!$M$4:$M$503,(_calc!$E$605-500)),"yyyy-mm-dd"),"")))</f>
        <v/>
      </c>
      <c r="C603" s="54">
        <f>IF(_calc!$E$605="","",IF(_calc!$E$605&lt;=500,"Warranty","Warranty"))</f>
        <v/>
      </c>
      <c r="D603" s="54">
        <f>IF(_calc!$E$605="","",IF(_calc!$E$605&lt;=500,IF(ISNUMBER(INDEX('Dealer pipeline'!$H$4:$H$503,_calc!$E$605)),TEXT(INDEX('Dealer pipeline'!$H$4:$H$503,_calc!$E$605),"yyyy-mm-dd"),""),IF(ISNUMBER(INDEX('My equipment'!$H$4:$H$503,(_calc!$E$605-500))),TEXT(INDEX('My equipment'!$H$4:$H$503,(_calc!$E$605-500)),"yyyy-mm-dd"),"")))</f>
        <v/>
      </c>
      <c r="F603" s="54">
        <f>IF(_calc!$E$605="","",IF(_calc!$E$605&lt;=500,TRIM(IF(LEN(IF(LEN(INDEX('Dealer pipeline'!$A$4:$A$503,_calc!$E$605))=0,"",INDEX('Dealer pipeline'!$A$4:$A$503,_calc!$E$605)))=0,"","Customer: "&amp;IF(LEN(INDEX('Dealer pipeline'!$A$4:$A$503,_calc!$E$605))=0,"",INDEX('Dealer pipeline'!$A$4:$A$503,_calc!$E$605))&amp;". ")&amp;IF(LEN(IF(LEN(INDEX('Dealer pipeline'!$B$4:$B$503,_calc!$E$605))=0,"",INDEX('Dealer pipeline'!$B$4:$B$503,_calc!$E$605)))=0,"","Contact: "&amp;IF(LEN(INDEX('Dealer pipeline'!$B$4:$B$503,_calc!$E$605))=0,"",INDEX('Dealer pipeline'!$B$4:$B$503,_calc!$E$605))&amp;". ")&amp;IF(LEN(IF(LEN(INDEX('Dealer pipeline'!$D$4:$D$503,_calc!$E$605))=0,"",INDEX('Dealer pipeline'!$D$4:$D$503,_calc!$E$605)))=0,"","Serial: "&amp;IF(LEN(INDEX('Dealer pipeline'!$D$4:$D$503,_calc!$E$605))=0,"",INDEX('Dealer pipeline'!$D$4:$D$503,_calc!$E$605))&amp;". ")&amp;IF(LEN(IF(ISNUMBER(INDEX('Dealer pipeline'!$J$4:$J$503,_calc!$E$605)),TEXT(INDEX('Dealer pipeline'!$J$4:$J$503,_calc!$E$605),"yyyy-mm-dd"),""))=0,"","Parts end: "&amp;IF(ISNUMBER(INDEX('Dealer pipeline'!$J$4:$J$503,_calc!$E$605)),TEXT(INDEX('Dealer pipeline'!$J$4:$J$503,_calc!$E$605),"yyyy-mm-dd"),"")&amp;". ")&amp;IF(LEN(IF(ISNUMBER(INDEX('Dealer pipeline'!$L$4:$L$503,_calc!$E$605)),TEXT(INDEX('Dealer pipeline'!$L$4:$L$503,_calc!$E$605),"yyyy-mm-dd"),""))=0,"","Labor end: "&amp;IF(ISNUMBER(INDEX('Dealer pipeline'!$L$4:$L$503,_calc!$E$605)),TEXT(INDEX('Dealer pipeline'!$L$4:$L$503,_calc!$E$605),"yyyy-mm-dd"),"")&amp;". ")&amp;IF(LEN(IF(LEN(INDEX('Dealer pipeline'!$Q$4:$Q$503,_calc!$E$605))=0,"",INDEX('Dealer pipeline'!$Q$4:$Q$503,_calc!$E$605)))=0,"","Status: "&amp;IF(LEN(INDEX('Dealer pipeline'!$Q$4:$Q$503,_calc!$E$605))=0,"",INDEX('Dealer pipeline'!$Q$4:$Q$503,_calc!$E$605))&amp;". ")&amp;IF(LEN(IF(LEN(INDEX('Dealer pipeline'!$P$4:$P$503,_calc!$E$605))=0,"",INDEX('Dealer pipeline'!$P$4:$P$503,_calc!$E$605)))=0,"","Last touch: "&amp;IF(LEN(INDEX('Dealer pipeline'!$P$4:$P$503,_calc!$E$605))=0,"",INDEX('Dealer pipeline'!$P$4:$P$503,_calc!$E$605))&amp;". ")&amp;IF(LEN(IF(LEN(INDEX('Dealer pipeline'!$R$4:$R$503,_calc!$E$605))=0,"",INDEX('Dealer pipeline'!$R$4:$R$503,_calc!$E$605)))=0,"","Owner: "&amp;IF(LEN(INDEX('Dealer pipeline'!$R$4:$R$503,_calc!$E$605))=0,"",INDEX('Dealer pipeline'!$R$4:$R$503,_calc!$E$605))&amp;". ")&amp;IF(LEN(IF(LEN(INDEX('Dealer pipeline'!$S$4:$S$503,_calc!$E$605))=0,"",INDEX('Dealer pipeline'!$S$4:$S$503,_calc!$E$605)))=0,"","Backup: "&amp;IF(LEN(INDEX('Dealer pipeline'!$S$4:$S$503,_calc!$E$605))=0,"",INDEX('Dealer pipeline'!$S$4:$S$503,_calc!$E$605))&amp;". ")&amp;IF(LEN(IF(LEN(INDEX('Dealer pipeline'!$T$4:$T$503,_calc!$E$605))=0,"",INDEX('Dealer pipeline'!$T$4:$T$503,_calc!$E$605)))=0,"",IF(LEN(INDEX('Dealer pipeline'!$T$4:$T$503,_calc!$E$605))=0,"",INDEX('Dealer pipeline'!$T$4:$T$503,_calc!$E$605)))),TRIM(IF(LEN(IF(LEN(INDEX('My equipment'!$C$4:$C$503,(_calc!$E$605-500)))=0,"",INDEX('My equipment'!$C$4:$C$503,(_calc!$E$605-500))))=0,"","Model: "&amp;IF(LEN(INDEX('My equipment'!$C$4:$C$503,(_calc!$E$605-500)))=0,"",INDEX('My equipment'!$C$4:$C$503,(_calc!$E$605-500)))&amp;". ")&amp;IF(LEN(IF(LEN(INDEX('My equipment'!$D$4:$D$503,(_calc!$E$605-500)))=0,"",INDEX('My equipment'!$D$4:$D$503,(_calc!$E$605-500))))=0,"","Serial: "&amp;IF(LEN(INDEX('My equipment'!$D$4:$D$503,(_calc!$E$605-500)))=0,"",INDEX('My equipment'!$D$4:$D$503,(_calc!$E$605-500)))&amp;". ")&amp;IF(LEN(IF(ISNUMBER(INDEX('My equipment'!$J$4:$J$503,(_calc!$E$605-500))),TEXT(INDEX('My equipment'!$J$4:$J$503,(_calc!$E$605-500)),"yyyy-mm-dd"),""))=0,"","Parts end: "&amp;IF(ISNUMBER(INDEX('My equipment'!$J$4:$J$503,(_calc!$E$605-500))),TEXT(INDEX('My equipment'!$J$4:$J$503,(_calc!$E$605-500)),"yyyy-mm-dd"),"")&amp;". ")&amp;IF(LEN(IF(ISNUMBER(INDEX('My equipment'!$L$4:$L$503,(_calc!$E$605-500))),TEXT(INDEX('My equipment'!$L$4:$L$503,(_calc!$E$605-500)),"yyyy-mm-dd"),""))=0,"","Labor end: "&amp;IF(ISNUMBER(INDEX('My equipment'!$L$4:$L$503,(_calc!$E$605-500))),TEXT(INDEX('My equipment'!$L$4:$L$503,(_calc!$E$605-500)),"yyyy-mm-dd"),"")&amp;". ")&amp;IF(LEN(IF(ISNUMBER(INDEX('My equipment'!$P$4:$P$503,(_calc!$E$605-500))),TEXT(INDEX('My equipment'!$P$4:$P$503,(_calc!$E$605-500)),"yyyy-mm-dd"),""))=0,"","Check by: "&amp;IF(ISNUMBER(INDEX('My equipment'!$P$4:$P$503,(_calc!$E$605-500))),TEXT(INDEX('My equipment'!$P$4:$P$503,(_calc!$E$605-500)),"yyyy-mm-dd"),"")&amp;". ")&amp;IF(LEN(IF(LEN(INDEX('My equipment'!$Q$4:$Q$503,(_calc!$E$605-500)))=0,"",INDEX('My equipment'!$Q$4:$Q$503,(_calc!$E$605-500))))=0,"","Claim status: "&amp;IF(LEN(INDEX('My equipment'!$Q$4:$Q$503,(_calc!$E$605-500)))=0,"",INDEX('My equipment'!$Q$4:$Q$503,(_calc!$E$605-500)))&amp;". ")&amp;IF(LEN(IF(LEN(INDEX('My equipment'!$R$4:$R$503,(_calc!$E$605-500)))=0,"",INDEX('My equipment'!$R$4:$R$503,(_calc!$E$605-500))))=0,"","Claims contact: "&amp;IF(LEN(INDEX('My equipment'!$R$4:$R$503,(_calc!$E$605-500)))=0,"",INDEX('My equipment'!$R$4:$R$503,(_calc!$E$605-500)))&amp;". ")&amp;IF(LEN(IF(LEN(INDEX('My equipment'!$S$4:$S$503,(_calc!$E$605-500)))=0,"",INDEX('My equipment'!$S$4:$S$503,(_calc!$E$605-500))))=0,"","Claims email: "&amp;IF(LEN(INDEX('My equipment'!$S$4:$S$503,(_calc!$E$605-500)))=0,"",INDEX('My equipment'!$S$4:$S$503,(_calc!$E$605-500)))&amp;". ")&amp;IF(LEN(IF(LEN(INDEX('My equipment'!$U$4:$U$503,(_calc!$E$605-500)))=0,"",INDEX('My equipment'!$U$4:$U$503,(_calc!$E$605-500))))=0,"","Registered: "&amp;IF(LEN(INDEX('My equipment'!$U$4:$U$503,(_calc!$E$605-500)))=0,"",INDEX('My equipment'!$U$4:$U$503,(_calc!$E$605-500)))&amp;". ")&amp;IF(LEN(IF(LEN(INDEX('My equipment'!$V$4:$V$503,(_calc!$E$605-500)))=0,"",INDEX('My equipment'!$V$4:$V$503,(_calc!$E$605-500))))=0,"","Proof on file: "&amp;IF(LEN(INDEX('My equipment'!$V$4:$V$503,(_calc!$E$605-500)))=0,"",INDEX('My equipment'!$V$4:$V$503,(_calc!$E$605-500)))&amp;". ")&amp;IF(LEN(IF(LEN(INDEX('My equipment'!$W$4:$W$503,(_calc!$E$605-500)))=0,"",INDEX('My equipment'!$W$4:$W$503,(_calc!$E$605-500))))=0,"","Claim ref: "&amp;IF(LEN(INDEX('My equipment'!$W$4:$W$503,(_calc!$E$605-500)))=0,"",INDEX('My equipment'!$W$4:$W$503,(_calc!$E$605-500)))&amp;". ")&amp;IF(LEN(IF(LEN(INDEX('My equipment'!$Y$4:$Y$503,(_calc!$E$605-500)))=0,"",INDEX('My equipment'!$Y$4:$Y$503,(_calc!$E$605-500))))=0,"",IF(LEN(INDEX('My equipment'!$Y$4:$Y$503,(_calc!$E$605-500)))=0,"",INDEX('My equipment'!$Y$4:$Y$503,(_calc!$E$605-500)))))))</f>
        <v/>
      </c>
      <c r="G603" s="54">
        <f>IF(_calc!$E$605="","",IF(_calc!$E$605&lt;=500,"",IF(LEN(INDEX('My equipment'!$X$4:$X$503,(_calc!$E$605-500)))=0,"",INDEX('My equipment'!$X$4:$X$503,(_calc!$E$605-500)))))</f>
        <v/>
      </c>
      <c r="K603" s="54">
        <f>IF(_calc!$E$605="","",IF(_calc!$E$605&lt;=500,"",IF(LEN(INDEX('My equipment'!$T$4:$T$503,(_calc!$E$605-500)))=0,"",INDEX('My equipment'!$T$4:$T$503,(_calc!$E$605-500)))))</f>
        <v/>
      </c>
    </row>
    <row r="604">
      <c r="A604" s="54">
        <f>IF(_calc!$E$606="","",IF(_calc!$E$606&lt;=500,"Warranty – "&amp;IF(LEN(INDEX('Dealer pipeline'!$C$4:$C$503,_calc!$E$606))=0,"",INDEX('Dealer pipeline'!$C$4:$C$503,_calc!$E$606))&amp;" – "&amp;IF(LEN(INDEX('Dealer pipeline'!$D$4:$D$503,_calc!$E$606))=0,"",INDEX('Dealer pipeline'!$D$4:$D$503,_calc!$E$606))&amp;" – "&amp;IF(LEN(INDEX('Dealer pipeline'!$A$4:$A$503,_calc!$E$606))=0,"",INDEX('Dealer pipeline'!$A$4:$A$503,_calc!$E$606)),"Warranty – "&amp;IF(LEN(INDEX('My equipment'!$A$4:$A$503,(_calc!$E$606-500)))=0,"",INDEX('My equipment'!$A$4:$A$503,(_calc!$E$606-500)))&amp;" – "&amp;IF(LEN(INDEX('My equipment'!$D$4:$D$503,(_calc!$E$606-500)))=0,"",INDEX('My equipment'!$D$4:$D$503,(_calc!$E$606-500)))))</f>
        <v/>
      </c>
      <c r="B604" s="54">
        <f>IF(_calc!$E$606="","",IF(_calc!$E$606&lt;=500,IF(ISNUMBER(INDEX('Dealer pipeline'!$M$4:$M$503,_calc!$E$606)),TEXT(INDEX('Dealer pipeline'!$M$4:$M$503,_calc!$E$606),"yyyy-mm-dd"),""),IF(ISNUMBER(INDEX('My equipment'!$M$4:$M$503,(_calc!$E$606-500))),TEXT(INDEX('My equipment'!$M$4:$M$503,(_calc!$E$606-500)),"yyyy-mm-dd"),"")))</f>
        <v/>
      </c>
      <c r="C604" s="54">
        <f>IF(_calc!$E$606="","",IF(_calc!$E$606&lt;=500,"Warranty","Warranty"))</f>
        <v/>
      </c>
      <c r="D604" s="54">
        <f>IF(_calc!$E$606="","",IF(_calc!$E$606&lt;=500,IF(ISNUMBER(INDEX('Dealer pipeline'!$H$4:$H$503,_calc!$E$606)),TEXT(INDEX('Dealer pipeline'!$H$4:$H$503,_calc!$E$606),"yyyy-mm-dd"),""),IF(ISNUMBER(INDEX('My equipment'!$H$4:$H$503,(_calc!$E$606-500))),TEXT(INDEX('My equipment'!$H$4:$H$503,(_calc!$E$606-500)),"yyyy-mm-dd"),"")))</f>
        <v/>
      </c>
      <c r="F604" s="54">
        <f>IF(_calc!$E$606="","",IF(_calc!$E$606&lt;=500,TRIM(IF(LEN(IF(LEN(INDEX('Dealer pipeline'!$A$4:$A$503,_calc!$E$606))=0,"",INDEX('Dealer pipeline'!$A$4:$A$503,_calc!$E$606)))=0,"","Customer: "&amp;IF(LEN(INDEX('Dealer pipeline'!$A$4:$A$503,_calc!$E$606))=0,"",INDEX('Dealer pipeline'!$A$4:$A$503,_calc!$E$606))&amp;". ")&amp;IF(LEN(IF(LEN(INDEX('Dealer pipeline'!$B$4:$B$503,_calc!$E$606))=0,"",INDEX('Dealer pipeline'!$B$4:$B$503,_calc!$E$606)))=0,"","Contact: "&amp;IF(LEN(INDEX('Dealer pipeline'!$B$4:$B$503,_calc!$E$606))=0,"",INDEX('Dealer pipeline'!$B$4:$B$503,_calc!$E$606))&amp;". ")&amp;IF(LEN(IF(LEN(INDEX('Dealer pipeline'!$D$4:$D$503,_calc!$E$606))=0,"",INDEX('Dealer pipeline'!$D$4:$D$503,_calc!$E$606)))=0,"","Serial: "&amp;IF(LEN(INDEX('Dealer pipeline'!$D$4:$D$503,_calc!$E$606))=0,"",INDEX('Dealer pipeline'!$D$4:$D$503,_calc!$E$606))&amp;". ")&amp;IF(LEN(IF(ISNUMBER(INDEX('Dealer pipeline'!$J$4:$J$503,_calc!$E$606)),TEXT(INDEX('Dealer pipeline'!$J$4:$J$503,_calc!$E$606),"yyyy-mm-dd"),""))=0,"","Parts end: "&amp;IF(ISNUMBER(INDEX('Dealer pipeline'!$J$4:$J$503,_calc!$E$606)),TEXT(INDEX('Dealer pipeline'!$J$4:$J$503,_calc!$E$606),"yyyy-mm-dd"),"")&amp;". ")&amp;IF(LEN(IF(ISNUMBER(INDEX('Dealer pipeline'!$L$4:$L$503,_calc!$E$606)),TEXT(INDEX('Dealer pipeline'!$L$4:$L$503,_calc!$E$606),"yyyy-mm-dd"),""))=0,"","Labor end: "&amp;IF(ISNUMBER(INDEX('Dealer pipeline'!$L$4:$L$503,_calc!$E$606)),TEXT(INDEX('Dealer pipeline'!$L$4:$L$503,_calc!$E$606),"yyyy-mm-dd"),"")&amp;". ")&amp;IF(LEN(IF(LEN(INDEX('Dealer pipeline'!$Q$4:$Q$503,_calc!$E$606))=0,"",INDEX('Dealer pipeline'!$Q$4:$Q$503,_calc!$E$606)))=0,"","Status: "&amp;IF(LEN(INDEX('Dealer pipeline'!$Q$4:$Q$503,_calc!$E$606))=0,"",INDEX('Dealer pipeline'!$Q$4:$Q$503,_calc!$E$606))&amp;". ")&amp;IF(LEN(IF(LEN(INDEX('Dealer pipeline'!$P$4:$P$503,_calc!$E$606))=0,"",INDEX('Dealer pipeline'!$P$4:$P$503,_calc!$E$606)))=0,"","Last touch: "&amp;IF(LEN(INDEX('Dealer pipeline'!$P$4:$P$503,_calc!$E$606))=0,"",INDEX('Dealer pipeline'!$P$4:$P$503,_calc!$E$606))&amp;". ")&amp;IF(LEN(IF(LEN(INDEX('Dealer pipeline'!$R$4:$R$503,_calc!$E$606))=0,"",INDEX('Dealer pipeline'!$R$4:$R$503,_calc!$E$606)))=0,"","Owner: "&amp;IF(LEN(INDEX('Dealer pipeline'!$R$4:$R$503,_calc!$E$606))=0,"",INDEX('Dealer pipeline'!$R$4:$R$503,_calc!$E$606))&amp;". ")&amp;IF(LEN(IF(LEN(INDEX('Dealer pipeline'!$S$4:$S$503,_calc!$E$606))=0,"",INDEX('Dealer pipeline'!$S$4:$S$503,_calc!$E$606)))=0,"","Backup: "&amp;IF(LEN(INDEX('Dealer pipeline'!$S$4:$S$503,_calc!$E$606))=0,"",INDEX('Dealer pipeline'!$S$4:$S$503,_calc!$E$606))&amp;". ")&amp;IF(LEN(IF(LEN(INDEX('Dealer pipeline'!$T$4:$T$503,_calc!$E$606))=0,"",INDEX('Dealer pipeline'!$T$4:$T$503,_calc!$E$606)))=0,"",IF(LEN(INDEX('Dealer pipeline'!$T$4:$T$503,_calc!$E$606))=0,"",INDEX('Dealer pipeline'!$T$4:$T$503,_calc!$E$606)))),TRIM(IF(LEN(IF(LEN(INDEX('My equipment'!$C$4:$C$503,(_calc!$E$606-500)))=0,"",INDEX('My equipment'!$C$4:$C$503,(_calc!$E$606-500))))=0,"","Model: "&amp;IF(LEN(INDEX('My equipment'!$C$4:$C$503,(_calc!$E$606-500)))=0,"",INDEX('My equipment'!$C$4:$C$503,(_calc!$E$606-500)))&amp;". ")&amp;IF(LEN(IF(LEN(INDEX('My equipment'!$D$4:$D$503,(_calc!$E$606-500)))=0,"",INDEX('My equipment'!$D$4:$D$503,(_calc!$E$606-500))))=0,"","Serial: "&amp;IF(LEN(INDEX('My equipment'!$D$4:$D$503,(_calc!$E$606-500)))=0,"",INDEX('My equipment'!$D$4:$D$503,(_calc!$E$606-500)))&amp;". ")&amp;IF(LEN(IF(ISNUMBER(INDEX('My equipment'!$J$4:$J$503,(_calc!$E$606-500))),TEXT(INDEX('My equipment'!$J$4:$J$503,(_calc!$E$606-500)),"yyyy-mm-dd"),""))=0,"","Parts end: "&amp;IF(ISNUMBER(INDEX('My equipment'!$J$4:$J$503,(_calc!$E$606-500))),TEXT(INDEX('My equipment'!$J$4:$J$503,(_calc!$E$606-500)),"yyyy-mm-dd"),"")&amp;". ")&amp;IF(LEN(IF(ISNUMBER(INDEX('My equipment'!$L$4:$L$503,(_calc!$E$606-500))),TEXT(INDEX('My equipment'!$L$4:$L$503,(_calc!$E$606-500)),"yyyy-mm-dd"),""))=0,"","Labor end: "&amp;IF(ISNUMBER(INDEX('My equipment'!$L$4:$L$503,(_calc!$E$606-500))),TEXT(INDEX('My equipment'!$L$4:$L$503,(_calc!$E$606-500)),"yyyy-mm-dd"),"")&amp;". ")&amp;IF(LEN(IF(ISNUMBER(INDEX('My equipment'!$P$4:$P$503,(_calc!$E$606-500))),TEXT(INDEX('My equipment'!$P$4:$P$503,(_calc!$E$606-500)),"yyyy-mm-dd"),""))=0,"","Check by: "&amp;IF(ISNUMBER(INDEX('My equipment'!$P$4:$P$503,(_calc!$E$606-500))),TEXT(INDEX('My equipment'!$P$4:$P$503,(_calc!$E$606-500)),"yyyy-mm-dd"),"")&amp;". ")&amp;IF(LEN(IF(LEN(INDEX('My equipment'!$Q$4:$Q$503,(_calc!$E$606-500)))=0,"",INDEX('My equipment'!$Q$4:$Q$503,(_calc!$E$606-500))))=0,"","Claim status: "&amp;IF(LEN(INDEX('My equipment'!$Q$4:$Q$503,(_calc!$E$606-500)))=0,"",INDEX('My equipment'!$Q$4:$Q$503,(_calc!$E$606-500)))&amp;". ")&amp;IF(LEN(IF(LEN(INDEX('My equipment'!$R$4:$R$503,(_calc!$E$606-500)))=0,"",INDEX('My equipment'!$R$4:$R$503,(_calc!$E$606-500))))=0,"","Claims contact: "&amp;IF(LEN(INDEX('My equipment'!$R$4:$R$503,(_calc!$E$606-500)))=0,"",INDEX('My equipment'!$R$4:$R$503,(_calc!$E$606-500)))&amp;". ")&amp;IF(LEN(IF(LEN(INDEX('My equipment'!$S$4:$S$503,(_calc!$E$606-500)))=0,"",INDEX('My equipment'!$S$4:$S$503,(_calc!$E$606-500))))=0,"","Claims email: "&amp;IF(LEN(INDEX('My equipment'!$S$4:$S$503,(_calc!$E$606-500)))=0,"",INDEX('My equipment'!$S$4:$S$503,(_calc!$E$606-500)))&amp;". ")&amp;IF(LEN(IF(LEN(INDEX('My equipment'!$U$4:$U$503,(_calc!$E$606-500)))=0,"",INDEX('My equipment'!$U$4:$U$503,(_calc!$E$606-500))))=0,"","Registered: "&amp;IF(LEN(INDEX('My equipment'!$U$4:$U$503,(_calc!$E$606-500)))=0,"",INDEX('My equipment'!$U$4:$U$503,(_calc!$E$606-500)))&amp;". ")&amp;IF(LEN(IF(LEN(INDEX('My equipment'!$V$4:$V$503,(_calc!$E$606-500)))=0,"",INDEX('My equipment'!$V$4:$V$503,(_calc!$E$606-500))))=0,"","Proof on file: "&amp;IF(LEN(INDEX('My equipment'!$V$4:$V$503,(_calc!$E$606-500)))=0,"",INDEX('My equipment'!$V$4:$V$503,(_calc!$E$606-500)))&amp;". ")&amp;IF(LEN(IF(LEN(INDEX('My equipment'!$W$4:$W$503,(_calc!$E$606-500)))=0,"",INDEX('My equipment'!$W$4:$W$503,(_calc!$E$606-500))))=0,"","Claim ref: "&amp;IF(LEN(INDEX('My equipment'!$W$4:$W$503,(_calc!$E$606-500)))=0,"",INDEX('My equipment'!$W$4:$W$503,(_calc!$E$606-500)))&amp;". ")&amp;IF(LEN(IF(LEN(INDEX('My equipment'!$Y$4:$Y$503,(_calc!$E$606-500)))=0,"",INDEX('My equipment'!$Y$4:$Y$503,(_calc!$E$606-500))))=0,"",IF(LEN(INDEX('My equipment'!$Y$4:$Y$503,(_calc!$E$606-500)))=0,"",INDEX('My equipment'!$Y$4:$Y$503,(_calc!$E$606-500)))))))</f>
        <v/>
      </c>
      <c r="G604" s="54">
        <f>IF(_calc!$E$606="","",IF(_calc!$E$606&lt;=500,"",IF(LEN(INDEX('My equipment'!$X$4:$X$503,(_calc!$E$606-500)))=0,"",INDEX('My equipment'!$X$4:$X$503,(_calc!$E$606-500)))))</f>
        <v/>
      </c>
      <c r="K604" s="54">
        <f>IF(_calc!$E$606="","",IF(_calc!$E$606&lt;=500,"",IF(LEN(INDEX('My equipment'!$T$4:$T$503,(_calc!$E$606-500)))=0,"",INDEX('My equipment'!$T$4:$T$503,(_calc!$E$606-500)))))</f>
        <v/>
      </c>
    </row>
    <row r="605">
      <c r="A605" s="54">
        <f>IF(_calc!$E$607="","",IF(_calc!$E$607&lt;=500,"Warranty – "&amp;IF(LEN(INDEX('Dealer pipeline'!$C$4:$C$503,_calc!$E$607))=0,"",INDEX('Dealer pipeline'!$C$4:$C$503,_calc!$E$607))&amp;" – "&amp;IF(LEN(INDEX('Dealer pipeline'!$D$4:$D$503,_calc!$E$607))=0,"",INDEX('Dealer pipeline'!$D$4:$D$503,_calc!$E$607))&amp;" – "&amp;IF(LEN(INDEX('Dealer pipeline'!$A$4:$A$503,_calc!$E$607))=0,"",INDEX('Dealer pipeline'!$A$4:$A$503,_calc!$E$607)),"Warranty – "&amp;IF(LEN(INDEX('My equipment'!$A$4:$A$503,(_calc!$E$607-500)))=0,"",INDEX('My equipment'!$A$4:$A$503,(_calc!$E$607-500)))&amp;" – "&amp;IF(LEN(INDEX('My equipment'!$D$4:$D$503,(_calc!$E$607-500)))=0,"",INDEX('My equipment'!$D$4:$D$503,(_calc!$E$607-500)))))</f>
        <v/>
      </c>
      <c r="B605" s="54">
        <f>IF(_calc!$E$607="","",IF(_calc!$E$607&lt;=500,IF(ISNUMBER(INDEX('Dealer pipeline'!$M$4:$M$503,_calc!$E$607)),TEXT(INDEX('Dealer pipeline'!$M$4:$M$503,_calc!$E$607),"yyyy-mm-dd"),""),IF(ISNUMBER(INDEX('My equipment'!$M$4:$M$503,(_calc!$E$607-500))),TEXT(INDEX('My equipment'!$M$4:$M$503,(_calc!$E$607-500)),"yyyy-mm-dd"),"")))</f>
        <v/>
      </c>
      <c r="C605" s="54">
        <f>IF(_calc!$E$607="","",IF(_calc!$E$607&lt;=500,"Warranty","Warranty"))</f>
        <v/>
      </c>
      <c r="D605" s="54">
        <f>IF(_calc!$E$607="","",IF(_calc!$E$607&lt;=500,IF(ISNUMBER(INDEX('Dealer pipeline'!$H$4:$H$503,_calc!$E$607)),TEXT(INDEX('Dealer pipeline'!$H$4:$H$503,_calc!$E$607),"yyyy-mm-dd"),""),IF(ISNUMBER(INDEX('My equipment'!$H$4:$H$503,(_calc!$E$607-500))),TEXT(INDEX('My equipment'!$H$4:$H$503,(_calc!$E$607-500)),"yyyy-mm-dd"),"")))</f>
        <v/>
      </c>
      <c r="F605" s="54">
        <f>IF(_calc!$E$607="","",IF(_calc!$E$607&lt;=500,TRIM(IF(LEN(IF(LEN(INDEX('Dealer pipeline'!$A$4:$A$503,_calc!$E$607))=0,"",INDEX('Dealer pipeline'!$A$4:$A$503,_calc!$E$607)))=0,"","Customer: "&amp;IF(LEN(INDEX('Dealer pipeline'!$A$4:$A$503,_calc!$E$607))=0,"",INDEX('Dealer pipeline'!$A$4:$A$503,_calc!$E$607))&amp;". ")&amp;IF(LEN(IF(LEN(INDEX('Dealer pipeline'!$B$4:$B$503,_calc!$E$607))=0,"",INDEX('Dealer pipeline'!$B$4:$B$503,_calc!$E$607)))=0,"","Contact: "&amp;IF(LEN(INDEX('Dealer pipeline'!$B$4:$B$503,_calc!$E$607))=0,"",INDEX('Dealer pipeline'!$B$4:$B$503,_calc!$E$607))&amp;". ")&amp;IF(LEN(IF(LEN(INDEX('Dealer pipeline'!$D$4:$D$503,_calc!$E$607))=0,"",INDEX('Dealer pipeline'!$D$4:$D$503,_calc!$E$607)))=0,"","Serial: "&amp;IF(LEN(INDEX('Dealer pipeline'!$D$4:$D$503,_calc!$E$607))=0,"",INDEX('Dealer pipeline'!$D$4:$D$503,_calc!$E$607))&amp;". ")&amp;IF(LEN(IF(ISNUMBER(INDEX('Dealer pipeline'!$J$4:$J$503,_calc!$E$607)),TEXT(INDEX('Dealer pipeline'!$J$4:$J$503,_calc!$E$607),"yyyy-mm-dd"),""))=0,"","Parts end: "&amp;IF(ISNUMBER(INDEX('Dealer pipeline'!$J$4:$J$503,_calc!$E$607)),TEXT(INDEX('Dealer pipeline'!$J$4:$J$503,_calc!$E$607),"yyyy-mm-dd"),"")&amp;". ")&amp;IF(LEN(IF(ISNUMBER(INDEX('Dealer pipeline'!$L$4:$L$503,_calc!$E$607)),TEXT(INDEX('Dealer pipeline'!$L$4:$L$503,_calc!$E$607),"yyyy-mm-dd"),""))=0,"","Labor end: "&amp;IF(ISNUMBER(INDEX('Dealer pipeline'!$L$4:$L$503,_calc!$E$607)),TEXT(INDEX('Dealer pipeline'!$L$4:$L$503,_calc!$E$607),"yyyy-mm-dd"),"")&amp;". ")&amp;IF(LEN(IF(LEN(INDEX('Dealer pipeline'!$Q$4:$Q$503,_calc!$E$607))=0,"",INDEX('Dealer pipeline'!$Q$4:$Q$503,_calc!$E$607)))=0,"","Status: "&amp;IF(LEN(INDEX('Dealer pipeline'!$Q$4:$Q$503,_calc!$E$607))=0,"",INDEX('Dealer pipeline'!$Q$4:$Q$503,_calc!$E$607))&amp;". ")&amp;IF(LEN(IF(LEN(INDEX('Dealer pipeline'!$P$4:$P$503,_calc!$E$607))=0,"",INDEX('Dealer pipeline'!$P$4:$P$503,_calc!$E$607)))=0,"","Last touch: "&amp;IF(LEN(INDEX('Dealer pipeline'!$P$4:$P$503,_calc!$E$607))=0,"",INDEX('Dealer pipeline'!$P$4:$P$503,_calc!$E$607))&amp;". ")&amp;IF(LEN(IF(LEN(INDEX('Dealer pipeline'!$R$4:$R$503,_calc!$E$607))=0,"",INDEX('Dealer pipeline'!$R$4:$R$503,_calc!$E$607)))=0,"","Owner: "&amp;IF(LEN(INDEX('Dealer pipeline'!$R$4:$R$503,_calc!$E$607))=0,"",INDEX('Dealer pipeline'!$R$4:$R$503,_calc!$E$607))&amp;". ")&amp;IF(LEN(IF(LEN(INDEX('Dealer pipeline'!$S$4:$S$503,_calc!$E$607))=0,"",INDEX('Dealer pipeline'!$S$4:$S$503,_calc!$E$607)))=0,"","Backup: "&amp;IF(LEN(INDEX('Dealer pipeline'!$S$4:$S$503,_calc!$E$607))=0,"",INDEX('Dealer pipeline'!$S$4:$S$503,_calc!$E$607))&amp;". ")&amp;IF(LEN(IF(LEN(INDEX('Dealer pipeline'!$T$4:$T$503,_calc!$E$607))=0,"",INDEX('Dealer pipeline'!$T$4:$T$503,_calc!$E$607)))=0,"",IF(LEN(INDEX('Dealer pipeline'!$T$4:$T$503,_calc!$E$607))=0,"",INDEX('Dealer pipeline'!$T$4:$T$503,_calc!$E$607)))),TRIM(IF(LEN(IF(LEN(INDEX('My equipment'!$C$4:$C$503,(_calc!$E$607-500)))=0,"",INDEX('My equipment'!$C$4:$C$503,(_calc!$E$607-500))))=0,"","Model: "&amp;IF(LEN(INDEX('My equipment'!$C$4:$C$503,(_calc!$E$607-500)))=0,"",INDEX('My equipment'!$C$4:$C$503,(_calc!$E$607-500)))&amp;". ")&amp;IF(LEN(IF(LEN(INDEX('My equipment'!$D$4:$D$503,(_calc!$E$607-500)))=0,"",INDEX('My equipment'!$D$4:$D$503,(_calc!$E$607-500))))=0,"","Serial: "&amp;IF(LEN(INDEX('My equipment'!$D$4:$D$503,(_calc!$E$607-500)))=0,"",INDEX('My equipment'!$D$4:$D$503,(_calc!$E$607-500)))&amp;". ")&amp;IF(LEN(IF(ISNUMBER(INDEX('My equipment'!$J$4:$J$503,(_calc!$E$607-500))),TEXT(INDEX('My equipment'!$J$4:$J$503,(_calc!$E$607-500)),"yyyy-mm-dd"),""))=0,"","Parts end: "&amp;IF(ISNUMBER(INDEX('My equipment'!$J$4:$J$503,(_calc!$E$607-500))),TEXT(INDEX('My equipment'!$J$4:$J$503,(_calc!$E$607-500)),"yyyy-mm-dd"),"")&amp;". ")&amp;IF(LEN(IF(ISNUMBER(INDEX('My equipment'!$L$4:$L$503,(_calc!$E$607-500))),TEXT(INDEX('My equipment'!$L$4:$L$503,(_calc!$E$607-500)),"yyyy-mm-dd"),""))=0,"","Labor end: "&amp;IF(ISNUMBER(INDEX('My equipment'!$L$4:$L$503,(_calc!$E$607-500))),TEXT(INDEX('My equipment'!$L$4:$L$503,(_calc!$E$607-500)),"yyyy-mm-dd"),"")&amp;". ")&amp;IF(LEN(IF(ISNUMBER(INDEX('My equipment'!$P$4:$P$503,(_calc!$E$607-500))),TEXT(INDEX('My equipment'!$P$4:$P$503,(_calc!$E$607-500)),"yyyy-mm-dd"),""))=0,"","Check by: "&amp;IF(ISNUMBER(INDEX('My equipment'!$P$4:$P$503,(_calc!$E$607-500))),TEXT(INDEX('My equipment'!$P$4:$P$503,(_calc!$E$607-500)),"yyyy-mm-dd"),"")&amp;". ")&amp;IF(LEN(IF(LEN(INDEX('My equipment'!$Q$4:$Q$503,(_calc!$E$607-500)))=0,"",INDEX('My equipment'!$Q$4:$Q$503,(_calc!$E$607-500))))=0,"","Claim status: "&amp;IF(LEN(INDEX('My equipment'!$Q$4:$Q$503,(_calc!$E$607-500)))=0,"",INDEX('My equipment'!$Q$4:$Q$503,(_calc!$E$607-500)))&amp;". ")&amp;IF(LEN(IF(LEN(INDEX('My equipment'!$R$4:$R$503,(_calc!$E$607-500)))=0,"",INDEX('My equipment'!$R$4:$R$503,(_calc!$E$607-500))))=0,"","Claims contact: "&amp;IF(LEN(INDEX('My equipment'!$R$4:$R$503,(_calc!$E$607-500)))=0,"",INDEX('My equipment'!$R$4:$R$503,(_calc!$E$607-500)))&amp;". ")&amp;IF(LEN(IF(LEN(INDEX('My equipment'!$S$4:$S$503,(_calc!$E$607-500)))=0,"",INDEX('My equipment'!$S$4:$S$503,(_calc!$E$607-500))))=0,"","Claims email: "&amp;IF(LEN(INDEX('My equipment'!$S$4:$S$503,(_calc!$E$607-500)))=0,"",INDEX('My equipment'!$S$4:$S$503,(_calc!$E$607-500)))&amp;". ")&amp;IF(LEN(IF(LEN(INDEX('My equipment'!$U$4:$U$503,(_calc!$E$607-500)))=0,"",INDEX('My equipment'!$U$4:$U$503,(_calc!$E$607-500))))=0,"","Registered: "&amp;IF(LEN(INDEX('My equipment'!$U$4:$U$503,(_calc!$E$607-500)))=0,"",INDEX('My equipment'!$U$4:$U$503,(_calc!$E$607-500)))&amp;". ")&amp;IF(LEN(IF(LEN(INDEX('My equipment'!$V$4:$V$503,(_calc!$E$607-500)))=0,"",INDEX('My equipment'!$V$4:$V$503,(_calc!$E$607-500))))=0,"","Proof on file: "&amp;IF(LEN(INDEX('My equipment'!$V$4:$V$503,(_calc!$E$607-500)))=0,"",INDEX('My equipment'!$V$4:$V$503,(_calc!$E$607-500)))&amp;". ")&amp;IF(LEN(IF(LEN(INDEX('My equipment'!$W$4:$W$503,(_calc!$E$607-500)))=0,"",INDEX('My equipment'!$W$4:$W$503,(_calc!$E$607-500))))=0,"","Claim ref: "&amp;IF(LEN(INDEX('My equipment'!$W$4:$W$503,(_calc!$E$607-500)))=0,"",INDEX('My equipment'!$W$4:$W$503,(_calc!$E$607-500)))&amp;". ")&amp;IF(LEN(IF(LEN(INDEX('My equipment'!$Y$4:$Y$503,(_calc!$E$607-500)))=0,"",INDEX('My equipment'!$Y$4:$Y$503,(_calc!$E$607-500))))=0,"",IF(LEN(INDEX('My equipment'!$Y$4:$Y$503,(_calc!$E$607-500)))=0,"",INDEX('My equipment'!$Y$4:$Y$503,(_calc!$E$607-500)))))))</f>
        <v/>
      </c>
      <c r="G605" s="54">
        <f>IF(_calc!$E$607="","",IF(_calc!$E$607&lt;=500,"",IF(LEN(INDEX('My equipment'!$X$4:$X$503,(_calc!$E$607-500)))=0,"",INDEX('My equipment'!$X$4:$X$503,(_calc!$E$607-500)))))</f>
        <v/>
      </c>
      <c r="K605" s="54">
        <f>IF(_calc!$E$607="","",IF(_calc!$E$607&lt;=500,"",IF(LEN(INDEX('My equipment'!$T$4:$T$503,(_calc!$E$607-500)))=0,"",INDEX('My equipment'!$T$4:$T$503,(_calc!$E$607-500)))))</f>
        <v/>
      </c>
    </row>
    <row r="606">
      <c r="A606" s="54">
        <f>IF(_calc!$E$608="","",IF(_calc!$E$608&lt;=500,"Warranty – "&amp;IF(LEN(INDEX('Dealer pipeline'!$C$4:$C$503,_calc!$E$608))=0,"",INDEX('Dealer pipeline'!$C$4:$C$503,_calc!$E$608))&amp;" – "&amp;IF(LEN(INDEX('Dealer pipeline'!$D$4:$D$503,_calc!$E$608))=0,"",INDEX('Dealer pipeline'!$D$4:$D$503,_calc!$E$608))&amp;" – "&amp;IF(LEN(INDEX('Dealer pipeline'!$A$4:$A$503,_calc!$E$608))=0,"",INDEX('Dealer pipeline'!$A$4:$A$503,_calc!$E$608)),"Warranty – "&amp;IF(LEN(INDEX('My equipment'!$A$4:$A$503,(_calc!$E$608-500)))=0,"",INDEX('My equipment'!$A$4:$A$503,(_calc!$E$608-500)))&amp;" – "&amp;IF(LEN(INDEX('My equipment'!$D$4:$D$503,(_calc!$E$608-500)))=0,"",INDEX('My equipment'!$D$4:$D$503,(_calc!$E$608-500)))))</f>
        <v/>
      </c>
      <c r="B606" s="54">
        <f>IF(_calc!$E$608="","",IF(_calc!$E$608&lt;=500,IF(ISNUMBER(INDEX('Dealer pipeline'!$M$4:$M$503,_calc!$E$608)),TEXT(INDEX('Dealer pipeline'!$M$4:$M$503,_calc!$E$608),"yyyy-mm-dd"),""),IF(ISNUMBER(INDEX('My equipment'!$M$4:$M$503,(_calc!$E$608-500))),TEXT(INDEX('My equipment'!$M$4:$M$503,(_calc!$E$608-500)),"yyyy-mm-dd"),"")))</f>
        <v/>
      </c>
      <c r="C606" s="54">
        <f>IF(_calc!$E$608="","",IF(_calc!$E$608&lt;=500,"Warranty","Warranty"))</f>
        <v/>
      </c>
      <c r="D606" s="54">
        <f>IF(_calc!$E$608="","",IF(_calc!$E$608&lt;=500,IF(ISNUMBER(INDEX('Dealer pipeline'!$H$4:$H$503,_calc!$E$608)),TEXT(INDEX('Dealer pipeline'!$H$4:$H$503,_calc!$E$608),"yyyy-mm-dd"),""),IF(ISNUMBER(INDEX('My equipment'!$H$4:$H$503,(_calc!$E$608-500))),TEXT(INDEX('My equipment'!$H$4:$H$503,(_calc!$E$608-500)),"yyyy-mm-dd"),"")))</f>
        <v/>
      </c>
      <c r="F606" s="54">
        <f>IF(_calc!$E$608="","",IF(_calc!$E$608&lt;=500,TRIM(IF(LEN(IF(LEN(INDEX('Dealer pipeline'!$A$4:$A$503,_calc!$E$608))=0,"",INDEX('Dealer pipeline'!$A$4:$A$503,_calc!$E$608)))=0,"","Customer: "&amp;IF(LEN(INDEX('Dealer pipeline'!$A$4:$A$503,_calc!$E$608))=0,"",INDEX('Dealer pipeline'!$A$4:$A$503,_calc!$E$608))&amp;". ")&amp;IF(LEN(IF(LEN(INDEX('Dealer pipeline'!$B$4:$B$503,_calc!$E$608))=0,"",INDEX('Dealer pipeline'!$B$4:$B$503,_calc!$E$608)))=0,"","Contact: "&amp;IF(LEN(INDEX('Dealer pipeline'!$B$4:$B$503,_calc!$E$608))=0,"",INDEX('Dealer pipeline'!$B$4:$B$503,_calc!$E$608))&amp;". ")&amp;IF(LEN(IF(LEN(INDEX('Dealer pipeline'!$D$4:$D$503,_calc!$E$608))=0,"",INDEX('Dealer pipeline'!$D$4:$D$503,_calc!$E$608)))=0,"","Serial: "&amp;IF(LEN(INDEX('Dealer pipeline'!$D$4:$D$503,_calc!$E$608))=0,"",INDEX('Dealer pipeline'!$D$4:$D$503,_calc!$E$608))&amp;". ")&amp;IF(LEN(IF(ISNUMBER(INDEX('Dealer pipeline'!$J$4:$J$503,_calc!$E$608)),TEXT(INDEX('Dealer pipeline'!$J$4:$J$503,_calc!$E$608),"yyyy-mm-dd"),""))=0,"","Parts end: "&amp;IF(ISNUMBER(INDEX('Dealer pipeline'!$J$4:$J$503,_calc!$E$608)),TEXT(INDEX('Dealer pipeline'!$J$4:$J$503,_calc!$E$608),"yyyy-mm-dd"),"")&amp;". ")&amp;IF(LEN(IF(ISNUMBER(INDEX('Dealer pipeline'!$L$4:$L$503,_calc!$E$608)),TEXT(INDEX('Dealer pipeline'!$L$4:$L$503,_calc!$E$608),"yyyy-mm-dd"),""))=0,"","Labor end: "&amp;IF(ISNUMBER(INDEX('Dealer pipeline'!$L$4:$L$503,_calc!$E$608)),TEXT(INDEX('Dealer pipeline'!$L$4:$L$503,_calc!$E$608),"yyyy-mm-dd"),"")&amp;". ")&amp;IF(LEN(IF(LEN(INDEX('Dealer pipeline'!$Q$4:$Q$503,_calc!$E$608))=0,"",INDEX('Dealer pipeline'!$Q$4:$Q$503,_calc!$E$608)))=0,"","Status: "&amp;IF(LEN(INDEX('Dealer pipeline'!$Q$4:$Q$503,_calc!$E$608))=0,"",INDEX('Dealer pipeline'!$Q$4:$Q$503,_calc!$E$608))&amp;". ")&amp;IF(LEN(IF(LEN(INDEX('Dealer pipeline'!$P$4:$P$503,_calc!$E$608))=0,"",INDEX('Dealer pipeline'!$P$4:$P$503,_calc!$E$608)))=0,"","Last touch: "&amp;IF(LEN(INDEX('Dealer pipeline'!$P$4:$P$503,_calc!$E$608))=0,"",INDEX('Dealer pipeline'!$P$4:$P$503,_calc!$E$608))&amp;". ")&amp;IF(LEN(IF(LEN(INDEX('Dealer pipeline'!$R$4:$R$503,_calc!$E$608))=0,"",INDEX('Dealer pipeline'!$R$4:$R$503,_calc!$E$608)))=0,"","Owner: "&amp;IF(LEN(INDEX('Dealer pipeline'!$R$4:$R$503,_calc!$E$608))=0,"",INDEX('Dealer pipeline'!$R$4:$R$503,_calc!$E$608))&amp;". ")&amp;IF(LEN(IF(LEN(INDEX('Dealer pipeline'!$S$4:$S$503,_calc!$E$608))=0,"",INDEX('Dealer pipeline'!$S$4:$S$503,_calc!$E$608)))=0,"","Backup: "&amp;IF(LEN(INDEX('Dealer pipeline'!$S$4:$S$503,_calc!$E$608))=0,"",INDEX('Dealer pipeline'!$S$4:$S$503,_calc!$E$608))&amp;". ")&amp;IF(LEN(IF(LEN(INDEX('Dealer pipeline'!$T$4:$T$503,_calc!$E$608))=0,"",INDEX('Dealer pipeline'!$T$4:$T$503,_calc!$E$608)))=0,"",IF(LEN(INDEX('Dealer pipeline'!$T$4:$T$503,_calc!$E$608))=0,"",INDEX('Dealer pipeline'!$T$4:$T$503,_calc!$E$608)))),TRIM(IF(LEN(IF(LEN(INDEX('My equipment'!$C$4:$C$503,(_calc!$E$608-500)))=0,"",INDEX('My equipment'!$C$4:$C$503,(_calc!$E$608-500))))=0,"","Model: "&amp;IF(LEN(INDEX('My equipment'!$C$4:$C$503,(_calc!$E$608-500)))=0,"",INDEX('My equipment'!$C$4:$C$503,(_calc!$E$608-500)))&amp;". ")&amp;IF(LEN(IF(LEN(INDEX('My equipment'!$D$4:$D$503,(_calc!$E$608-500)))=0,"",INDEX('My equipment'!$D$4:$D$503,(_calc!$E$608-500))))=0,"","Serial: "&amp;IF(LEN(INDEX('My equipment'!$D$4:$D$503,(_calc!$E$608-500)))=0,"",INDEX('My equipment'!$D$4:$D$503,(_calc!$E$608-500)))&amp;". ")&amp;IF(LEN(IF(ISNUMBER(INDEX('My equipment'!$J$4:$J$503,(_calc!$E$608-500))),TEXT(INDEX('My equipment'!$J$4:$J$503,(_calc!$E$608-500)),"yyyy-mm-dd"),""))=0,"","Parts end: "&amp;IF(ISNUMBER(INDEX('My equipment'!$J$4:$J$503,(_calc!$E$608-500))),TEXT(INDEX('My equipment'!$J$4:$J$503,(_calc!$E$608-500)),"yyyy-mm-dd"),"")&amp;". ")&amp;IF(LEN(IF(ISNUMBER(INDEX('My equipment'!$L$4:$L$503,(_calc!$E$608-500))),TEXT(INDEX('My equipment'!$L$4:$L$503,(_calc!$E$608-500)),"yyyy-mm-dd"),""))=0,"","Labor end: "&amp;IF(ISNUMBER(INDEX('My equipment'!$L$4:$L$503,(_calc!$E$608-500))),TEXT(INDEX('My equipment'!$L$4:$L$503,(_calc!$E$608-500)),"yyyy-mm-dd"),"")&amp;". ")&amp;IF(LEN(IF(ISNUMBER(INDEX('My equipment'!$P$4:$P$503,(_calc!$E$608-500))),TEXT(INDEX('My equipment'!$P$4:$P$503,(_calc!$E$608-500)),"yyyy-mm-dd"),""))=0,"","Check by: "&amp;IF(ISNUMBER(INDEX('My equipment'!$P$4:$P$503,(_calc!$E$608-500))),TEXT(INDEX('My equipment'!$P$4:$P$503,(_calc!$E$608-500)),"yyyy-mm-dd"),"")&amp;". ")&amp;IF(LEN(IF(LEN(INDEX('My equipment'!$Q$4:$Q$503,(_calc!$E$608-500)))=0,"",INDEX('My equipment'!$Q$4:$Q$503,(_calc!$E$608-500))))=0,"","Claim status: "&amp;IF(LEN(INDEX('My equipment'!$Q$4:$Q$503,(_calc!$E$608-500)))=0,"",INDEX('My equipment'!$Q$4:$Q$503,(_calc!$E$608-500)))&amp;". ")&amp;IF(LEN(IF(LEN(INDEX('My equipment'!$R$4:$R$503,(_calc!$E$608-500)))=0,"",INDEX('My equipment'!$R$4:$R$503,(_calc!$E$608-500))))=0,"","Claims contact: "&amp;IF(LEN(INDEX('My equipment'!$R$4:$R$503,(_calc!$E$608-500)))=0,"",INDEX('My equipment'!$R$4:$R$503,(_calc!$E$608-500)))&amp;". ")&amp;IF(LEN(IF(LEN(INDEX('My equipment'!$S$4:$S$503,(_calc!$E$608-500)))=0,"",INDEX('My equipment'!$S$4:$S$503,(_calc!$E$608-500))))=0,"","Claims email: "&amp;IF(LEN(INDEX('My equipment'!$S$4:$S$503,(_calc!$E$608-500)))=0,"",INDEX('My equipment'!$S$4:$S$503,(_calc!$E$608-500)))&amp;". ")&amp;IF(LEN(IF(LEN(INDEX('My equipment'!$U$4:$U$503,(_calc!$E$608-500)))=0,"",INDEX('My equipment'!$U$4:$U$503,(_calc!$E$608-500))))=0,"","Registered: "&amp;IF(LEN(INDEX('My equipment'!$U$4:$U$503,(_calc!$E$608-500)))=0,"",INDEX('My equipment'!$U$4:$U$503,(_calc!$E$608-500)))&amp;". ")&amp;IF(LEN(IF(LEN(INDEX('My equipment'!$V$4:$V$503,(_calc!$E$608-500)))=0,"",INDEX('My equipment'!$V$4:$V$503,(_calc!$E$608-500))))=0,"","Proof on file: "&amp;IF(LEN(INDEX('My equipment'!$V$4:$V$503,(_calc!$E$608-500)))=0,"",INDEX('My equipment'!$V$4:$V$503,(_calc!$E$608-500)))&amp;". ")&amp;IF(LEN(IF(LEN(INDEX('My equipment'!$W$4:$W$503,(_calc!$E$608-500)))=0,"",INDEX('My equipment'!$W$4:$W$503,(_calc!$E$608-500))))=0,"","Claim ref: "&amp;IF(LEN(INDEX('My equipment'!$W$4:$W$503,(_calc!$E$608-500)))=0,"",INDEX('My equipment'!$W$4:$W$503,(_calc!$E$608-500)))&amp;". ")&amp;IF(LEN(IF(LEN(INDEX('My equipment'!$Y$4:$Y$503,(_calc!$E$608-500)))=0,"",INDEX('My equipment'!$Y$4:$Y$503,(_calc!$E$608-500))))=0,"",IF(LEN(INDEX('My equipment'!$Y$4:$Y$503,(_calc!$E$608-500)))=0,"",INDEX('My equipment'!$Y$4:$Y$503,(_calc!$E$608-500)))))))</f>
        <v/>
      </c>
      <c r="G606" s="54">
        <f>IF(_calc!$E$608="","",IF(_calc!$E$608&lt;=500,"",IF(LEN(INDEX('My equipment'!$X$4:$X$503,(_calc!$E$608-500)))=0,"",INDEX('My equipment'!$X$4:$X$503,(_calc!$E$608-500)))))</f>
        <v/>
      </c>
      <c r="K606" s="54">
        <f>IF(_calc!$E$608="","",IF(_calc!$E$608&lt;=500,"",IF(LEN(INDEX('My equipment'!$T$4:$T$503,(_calc!$E$608-500)))=0,"",INDEX('My equipment'!$T$4:$T$503,(_calc!$E$608-500)))))</f>
        <v/>
      </c>
    </row>
    <row r="607">
      <c r="A607" s="54">
        <f>IF(_calc!$E$609="","",IF(_calc!$E$609&lt;=500,"Warranty – "&amp;IF(LEN(INDEX('Dealer pipeline'!$C$4:$C$503,_calc!$E$609))=0,"",INDEX('Dealer pipeline'!$C$4:$C$503,_calc!$E$609))&amp;" – "&amp;IF(LEN(INDEX('Dealer pipeline'!$D$4:$D$503,_calc!$E$609))=0,"",INDEX('Dealer pipeline'!$D$4:$D$503,_calc!$E$609))&amp;" – "&amp;IF(LEN(INDEX('Dealer pipeline'!$A$4:$A$503,_calc!$E$609))=0,"",INDEX('Dealer pipeline'!$A$4:$A$503,_calc!$E$609)),"Warranty – "&amp;IF(LEN(INDEX('My equipment'!$A$4:$A$503,(_calc!$E$609-500)))=0,"",INDEX('My equipment'!$A$4:$A$503,(_calc!$E$609-500)))&amp;" – "&amp;IF(LEN(INDEX('My equipment'!$D$4:$D$503,(_calc!$E$609-500)))=0,"",INDEX('My equipment'!$D$4:$D$503,(_calc!$E$609-500)))))</f>
        <v/>
      </c>
      <c r="B607" s="54">
        <f>IF(_calc!$E$609="","",IF(_calc!$E$609&lt;=500,IF(ISNUMBER(INDEX('Dealer pipeline'!$M$4:$M$503,_calc!$E$609)),TEXT(INDEX('Dealer pipeline'!$M$4:$M$503,_calc!$E$609),"yyyy-mm-dd"),""),IF(ISNUMBER(INDEX('My equipment'!$M$4:$M$503,(_calc!$E$609-500))),TEXT(INDEX('My equipment'!$M$4:$M$503,(_calc!$E$609-500)),"yyyy-mm-dd"),"")))</f>
        <v/>
      </c>
      <c r="C607" s="54">
        <f>IF(_calc!$E$609="","",IF(_calc!$E$609&lt;=500,"Warranty","Warranty"))</f>
        <v/>
      </c>
      <c r="D607" s="54">
        <f>IF(_calc!$E$609="","",IF(_calc!$E$609&lt;=500,IF(ISNUMBER(INDEX('Dealer pipeline'!$H$4:$H$503,_calc!$E$609)),TEXT(INDEX('Dealer pipeline'!$H$4:$H$503,_calc!$E$609),"yyyy-mm-dd"),""),IF(ISNUMBER(INDEX('My equipment'!$H$4:$H$503,(_calc!$E$609-500))),TEXT(INDEX('My equipment'!$H$4:$H$503,(_calc!$E$609-500)),"yyyy-mm-dd"),"")))</f>
        <v/>
      </c>
      <c r="F607" s="54">
        <f>IF(_calc!$E$609="","",IF(_calc!$E$609&lt;=500,TRIM(IF(LEN(IF(LEN(INDEX('Dealer pipeline'!$A$4:$A$503,_calc!$E$609))=0,"",INDEX('Dealer pipeline'!$A$4:$A$503,_calc!$E$609)))=0,"","Customer: "&amp;IF(LEN(INDEX('Dealer pipeline'!$A$4:$A$503,_calc!$E$609))=0,"",INDEX('Dealer pipeline'!$A$4:$A$503,_calc!$E$609))&amp;". ")&amp;IF(LEN(IF(LEN(INDEX('Dealer pipeline'!$B$4:$B$503,_calc!$E$609))=0,"",INDEX('Dealer pipeline'!$B$4:$B$503,_calc!$E$609)))=0,"","Contact: "&amp;IF(LEN(INDEX('Dealer pipeline'!$B$4:$B$503,_calc!$E$609))=0,"",INDEX('Dealer pipeline'!$B$4:$B$503,_calc!$E$609))&amp;". ")&amp;IF(LEN(IF(LEN(INDEX('Dealer pipeline'!$D$4:$D$503,_calc!$E$609))=0,"",INDEX('Dealer pipeline'!$D$4:$D$503,_calc!$E$609)))=0,"","Serial: "&amp;IF(LEN(INDEX('Dealer pipeline'!$D$4:$D$503,_calc!$E$609))=0,"",INDEX('Dealer pipeline'!$D$4:$D$503,_calc!$E$609))&amp;". ")&amp;IF(LEN(IF(ISNUMBER(INDEX('Dealer pipeline'!$J$4:$J$503,_calc!$E$609)),TEXT(INDEX('Dealer pipeline'!$J$4:$J$503,_calc!$E$609),"yyyy-mm-dd"),""))=0,"","Parts end: "&amp;IF(ISNUMBER(INDEX('Dealer pipeline'!$J$4:$J$503,_calc!$E$609)),TEXT(INDEX('Dealer pipeline'!$J$4:$J$503,_calc!$E$609),"yyyy-mm-dd"),"")&amp;". ")&amp;IF(LEN(IF(ISNUMBER(INDEX('Dealer pipeline'!$L$4:$L$503,_calc!$E$609)),TEXT(INDEX('Dealer pipeline'!$L$4:$L$503,_calc!$E$609),"yyyy-mm-dd"),""))=0,"","Labor end: "&amp;IF(ISNUMBER(INDEX('Dealer pipeline'!$L$4:$L$503,_calc!$E$609)),TEXT(INDEX('Dealer pipeline'!$L$4:$L$503,_calc!$E$609),"yyyy-mm-dd"),"")&amp;". ")&amp;IF(LEN(IF(LEN(INDEX('Dealer pipeline'!$Q$4:$Q$503,_calc!$E$609))=0,"",INDEX('Dealer pipeline'!$Q$4:$Q$503,_calc!$E$609)))=0,"","Status: "&amp;IF(LEN(INDEX('Dealer pipeline'!$Q$4:$Q$503,_calc!$E$609))=0,"",INDEX('Dealer pipeline'!$Q$4:$Q$503,_calc!$E$609))&amp;". ")&amp;IF(LEN(IF(LEN(INDEX('Dealer pipeline'!$P$4:$P$503,_calc!$E$609))=0,"",INDEX('Dealer pipeline'!$P$4:$P$503,_calc!$E$609)))=0,"","Last touch: "&amp;IF(LEN(INDEX('Dealer pipeline'!$P$4:$P$503,_calc!$E$609))=0,"",INDEX('Dealer pipeline'!$P$4:$P$503,_calc!$E$609))&amp;". ")&amp;IF(LEN(IF(LEN(INDEX('Dealer pipeline'!$R$4:$R$503,_calc!$E$609))=0,"",INDEX('Dealer pipeline'!$R$4:$R$503,_calc!$E$609)))=0,"","Owner: "&amp;IF(LEN(INDEX('Dealer pipeline'!$R$4:$R$503,_calc!$E$609))=0,"",INDEX('Dealer pipeline'!$R$4:$R$503,_calc!$E$609))&amp;". ")&amp;IF(LEN(IF(LEN(INDEX('Dealer pipeline'!$S$4:$S$503,_calc!$E$609))=0,"",INDEX('Dealer pipeline'!$S$4:$S$503,_calc!$E$609)))=0,"","Backup: "&amp;IF(LEN(INDEX('Dealer pipeline'!$S$4:$S$503,_calc!$E$609))=0,"",INDEX('Dealer pipeline'!$S$4:$S$503,_calc!$E$609))&amp;". ")&amp;IF(LEN(IF(LEN(INDEX('Dealer pipeline'!$T$4:$T$503,_calc!$E$609))=0,"",INDEX('Dealer pipeline'!$T$4:$T$503,_calc!$E$609)))=0,"",IF(LEN(INDEX('Dealer pipeline'!$T$4:$T$503,_calc!$E$609))=0,"",INDEX('Dealer pipeline'!$T$4:$T$503,_calc!$E$609)))),TRIM(IF(LEN(IF(LEN(INDEX('My equipment'!$C$4:$C$503,(_calc!$E$609-500)))=0,"",INDEX('My equipment'!$C$4:$C$503,(_calc!$E$609-500))))=0,"","Model: "&amp;IF(LEN(INDEX('My equipment'!$C$4:$C$503,(_calc!$E$609-500)))=0,"",INDEX('My equipment'!$C$4:$C$503,(_calc!$E$609-500)))&amp;". ")&amp;IF(LEN(IF(LEN(INDEX('My equipment'!$D$4:$D$503,(_calc!$E$609-500)))=0,"",INDEX('My equipment'!$D$4:$D$503,(_calc!$E$609-500))))=0,"","Serial: "&amp;IF(LEN(INDEX('My equipment'!$D$4:$D$503,(_calc!$E$609-500)))=0,"",INDEX('My equipment'!$D$4:$D$503,(_calc!$E$609-500)))&amp;". ")&amp;IF(LEN(IF(ISNUMBER(INDEX('My equipment'!$J$4:$J$503,(_calc!$E$609-500))),TEXT(INDEX('My equipment'!$J$4:$J$503,(_calc!$E$609-500)),"yyyy-mm-dd"),""))=0,"","Parts end: "&amp;IF(ISNUMBER(INDEX('My equipment'!$J$4:$J$503,(_calc!$E$609-500))),TEXT(INDEX('My equipment'!$J$4:$J$503,(_calc!$E$609-500)),"yyyy-mm-dd"),"")&amp;". ")&amp;IF(LEN(IF(ISNUMBER(INDEX('My equipment'!$L$4:$L$503,(_calc!$E$609-500))),TEXT(INDEX('My equipment'!$L$4:$L$503,(_calc!$E$609-500)),"yyyy-mm-dd"),""))=0,"","Labor end: "&amp;IF(ISNUMBER(INDEX('My equipment'!$L$4:$L$503,(_calc!$E$609-500))),TEXT(INDEX('My equipment'!$L$4:$L$503,(_calc!$E$609-500)),"yyyy-mm-dd"),"")&amp;". ")&amp;IF(LEN(IF(ISNUMBER(INDEX('My equipment'!$P$4:$P$503,(_calc!$E$609-500))),TEXT(INDEX('My equipment'!$P$4:$P$503,(_calc!$E$609-500)),"yyyy-mm-dd"),""))=0,"","Check by: "&amp;IF(ISNUMBER(INDEX('My equipment'!$P$4:$P$503,(_calc!$E$609-500))),TEXT(INDEX('My equipment'!$P$4:$P$503,(_calc!$E$609-500)),"yyyy-mm-dd"),"")&amp;". ")&amp;IF(LEN(IF(LEN(INDEX('My equipment'!$Q$4:$Q$503,(_calc!$E$609-500)))=0,"",INDEX('My equipment'!$Q$4:$Q$503,(_calc!$E$609-500))))=0,"","Claim status: "&amp;IF(LEN(INDEX('My equipment'!$Q$4:$Q$503,(_calc!$E$609-500)))=0,"",INDEX('My equipment'!$Q$4:$Q$503,(_calc!$E$609-500)))&amp;". ")&amp;IF(LEN(IF(LEN(INDEX('My equipment'!$R$4:$R$503,(_calc!$E$609-500)))=0,"",INDEX('My equipment'!$R$4:$R$503,(_calc!$E$609-500))))=0,"","Claims contact: "&amp;IF(LEN(INDEX('My equipment'!$R$4:$R$503,(_calc!$E$609-500)))=0,"",INDEX('My equipment'!$R$4:$R$503,(_calc!$E$609-500)))&amp;". ")&amp;IF(LEN(IF(LEN(INDEX('My equipment'!$S$4:$S$503,(_calc!$E$609-500)))=0,"",INDEX('My equipment'!$S$4:$S$503,(_calc!$E$609-500))))=0,"","Claims email: "&amp;IF(LEN(INDEX('My equipment'!$S$4:$S$503,(_calc!$E$609-500)))=0,"",INDEX('My equipment'!$S$4:$S$503,(_calc!$E$609-500)))&amp;". ")&amp;IF(LEN(IF(LEN(INDEX('My equipment'!$U$4:$U$503,(_calc!$E$609-500)))=0,"",INDEX('My equipment'!$U$4:$U$503,(_calc!$E$609-500))))=0,"","Registered: "&amp;IF(LEN(INDEX('My equipment'!$U$4:$U$503,(_calc!$E$609-500)))=0,"",INDEX('My equipment'!$U$4:$U$503,(_calc!$E$609-500)))&amp;". ")&amp;IF(LEN(IF(LEN(INDEX('My equipment'!$V$4:$V$503,(_calc!$E$609-500)))=0,"",INDEX('My equipment'!$V$4:$V$503,(_calc!$E$609-500))))=0,"","Proof on file: "&amp;IF(LEN(INDEX('My equipment'!$V$4:$V$503,(_calc!$E$609-500)))=0,"",INDEX('My equipment'!$V$4:$V$503,(_calc!$E$609-500)))&amp;". ")&amp;IF(LEN(IF(LEN(INDEX('My equipment'!$W$4:$W$503,(_calc!$E$609-500)))=0,"",INDEX('My equipment'!$W$4:$W$503,(_calc!$E$609-500))))=0,"","Claim ref: "&amp;IF(LEN(INDEX('My equipment'!$W$4:$W$503,(_calc!$E$609-500)))=0,"",INDEX('My equipment'!$W$4:$W$503,(_calc!$E$609-500)))&amp;". ")&amp;IF(LEN(IF(LEN(INDEX('My equipment'!$Y$4:$Y$503,(_calc!$E$609-500)))=0,"",INDEX('My equipment'!$Y$4:$Y$503,(_calc!$E$609-500))))=0,"",IF(LEN(INDEX('My equipment'!$Y$4:$Y$503,(_calc!$E$609-500)))=0,"",INDEX('My equipment'!$Y$4:$Y$503,(_calc!$E$609-500)))))))</f>
        <v/>
      </c>
      <c r="G607" s="54">
        <f>IF(_calc!$E$609="","",IF(_calc!$E$609&lt;=500,"",IF(LEN(INDEX('My equipment'!$X$4:$X$503,(_calc!$E$609-500)))=0,"",INDEX('My equipment'!$X$4:$X$503,(_calc!$E$609-500)))))</f>
        <v/>
      </c>
      <c r="K607" s="54">
        <f>IF(_calc!$E$609="","",IF(_calc!$E$609&lt;=500,"",IF(LEN(INDEX('My equipment'!$T$4:$T$503,(_calc!$E$609-500)))=0,"",INDEX('My equipment'!$T$4:$T$503,(_calc!$E$609-500)))))</f>
        <v/>
      </c>
    </row>
    <row r="608">
      <c r="A608" s="54">
        <f>IF(_calc!$E$610="","",IF(_calc!$E$610&lt;=500,"Warranty – "&amp;IF(LEN(INDEX('Dealer pipeline'!$C$4:$C$503,_calc!$E$610))=0,"",INDEX('Dealer pipeline'!$C$4:$C$503,_calc!$E$610))&amp;" – "&amp;IF(LEN(INDEX('Dealer pipeline'!$D$4:$D$503,_calc!$E$610))=0,"",INDEX('Dealer pipeline'!$D$4:$D$503,_calc!$E$610))&amp;" – "&amp;IF(LEN(INDEX('Dealer pipeline'!$A$4:$A$503,_calc!$E$610))=0,"",INDEX('Dealer pipeline'!$A$4:$A$503,_calc!$E$610)),"Warranty – "&amp;IF(LEN(INDEX('My equipment'!$A$4:$A$503,(_calc!$E$610-500)))=0,"",INDEX('My equipment'!$A$4:$A$503,(_calc!$E$610-500)))&amp;" – "&amp;IF(LEN(INDEX('My equipment'!$D$4:$D$503,(_calc!$E$610-500)))=0,"",INDEX('My equipment'!$D$4:$D$503,(_calc!$E$610-500)))))</f>
        <v/>
      </c>
      <c r="B608" s="54">
        <f>IF(_calc!$E$610="","",IF(_calc!$E$610&lt;=500,IF(ISNUMBER(INDEX('Dealer pipeline'!$M$4:$M$503,_calc!$E$610)),TEXT(INDEX('Dealer pipeline'!$M$4:$M$503,_calc!$E$610),"yyyy-mm-dd"),""),IF(ISNUMBER(INDEX('My equipment'!$M$4:$M$503,(_calc!$E$610-500))),TEXT(INDEX('My equipment'!$M$4:$M$503,(_calc!$E$610-500)),"yyyy-mm-dd"),"")))</f>
        <v/>
      </c>
      <c r="C608" s="54">
        <f>IF(_calc!$E$610="","",IF(_calc!$E$610&lt;=500,"Warranty","Warranty"))</f>
        <v/>
      </c>
      <c r="D608" s="54">
        <f>IF(_calc!$E$610="","",IF(_calc!$E$610&lt;=500,IF(ISNUMBER(INDEX('Dealer pipeline'!$H$4:$H$503,_calc!$E$610)),TEXT(INDEX('Dealer pipeline'!$H$4:$H$503,_calc!$E$610),"yyyy-mm-dd"),""),IF(ISNUMBER(INDEX('My equipment'!$H$4:$H$503,(_calc!$E$610-500))),TEXT(INDEX('My equipment'!$H$4:$H$503,(_calc!$E$610-500)),"yyyy-mm-dd"),"")))</f>
        <v/>
      </c>
      <c r="F608" s="54">
        <f>IF(_calc!$E$610="","",IF(_calc!$E$610&lt;=500,TRIM(IF(LEN(IF(LEN(INDEX('Dealer pipeline'!$A$4:$A$503,_calc!$E$610))=0,"",INDEX('Dealer pipeline'!$A$4:$A$503,_calc!$E$610)))=0,"","Customer: "&amp;IF(LEN(INDEX('Dealer pipeline'!$A$4:$A$503,_calc!$E$610))=0,"",INDEX('Dealer pipeline'!$A$4:$A$503,_calc!$E$610))&amp;". ")&amp;IF(LEN(IF(LEN(INDEX('Dealer pipeline'!$B$4:$B$503,_calc!$E$610))=0,"",INDEX('Dealer pipeline'!$B$4:$B$503,_calc!$E$610)))=0,"","Contact: "&amp;IF(LEN(INDEX('Dealer pipeline'!$B$4:$B$503,_calc!$E$610))=0,"",INDEX('Dealer pipeline'!$B$4:$B$503,_calc!$E$610))&amp;". ")&amp;IF(LEN(IF(LEN(INDEX('Dealer pipeline'!$D$4:$D$503,_calc!$E$610))=0,"",INDEX('Dealer pipeline'!$D$4:$D$503,_calc!$E$610)))=0,"","Serial: "&amp;IF(LEN(INDEX('Dealer pipeline'!$D$4:$D$503,_calc!$E$610))=0,"",INDEX('Dealer pipeline'!$D$4:$D$503,_calc!$E$610))&amp;". ")&amp;IF(LEN(IF(ISNUMBER(INDEX('Dealer pipeline'!$J$4:$J$503,_calc!$E$610)),TEXT(INDEX('Dealer pipeline'!$J$4:$J$503,_calc!$E$610),"yyyy-mm-dd"),""))=0,"","Parts end: "&amp;IF(ISNUMBER(INDEX('Dealer pipeline'!$J$4:$J$503,_calc!$E$610)),TEXT(INDEX('Dealer pipeline'!$J$4:$J$503,_calc!$E$610),"yyyy-mm-dd"),"")&amp;". ")&amp;IF(LEN(IF(ISNUMBER(INDEX('Dealer pipeline'!$L$4:$L$503,_calc!$E$610)),TEXT(INDEX('Dealer pipeline'!$L$4:$L$503,_calc!$E$610),"yyyy-mm-dd"),""))=0,"","Labor end: "&amp;IF(ISNUMBER(INDEX('Dealer pipeline'!$L$4:$L$503,_calc!$E$610)),TEXT(INDEX('Dealer pipeline'!$L$4:$L$503,_calc!$E$610),"yyyy-mm-dd"),"")&amp;". ")&amp;IF(LEN(IF(LEN(INDEX('Dealer pipeline'!$Q$4:$Q$503,_calc!$E$610))=0,"",INDEX('Dealer pipeline'!$Q$4:$Q$503,_calc!$E$610)))=0,"","Status: "&amp;IF(LEN(INDEX('Dealer pipeline'!$Q$4:$Q$503,_calc!$E$610))=0,"",INDEX('Dealer pipeline'!$Q$4:$Q$503,_calc!$E$610))&amp;". ")&amp;IF(LEN(IF(LEN(INDEX('Dealer pipeline'!$P$4:$P$503,_calc!$E$610))=0,"",INDEX('Dealer pipeline'!$P$4:$P$503,_calc!$E$610)))=0,"","Last touch: "&amp;IF(LEN(INDEX('Dealer pipeline'!$P$4:$P$503,_calc!$E$610))=0,"",INDEX('Dealer pipeline'!$P$4:$P$503,_calc!$E$610))&amp;". ")&amp;IF(LEN(IF(LEN(INDEX('Dealer pipeline'!$R$4:$R$503,_calc!$E$610))=0,"",INDEX('Dealer pipeline'!$R$4:$R$503,_calc!$E$610)))=0,"","Owner: "&amp;IF(LEN(INDEX('Dealer pipeline'!$R$4:$R$503,_calc!$E$610))=0,"",INDEX('Dealer pipeline'!$R$4:$R$503,_calc!$E$610))&amp;". ")&amp;IF(LEN(IF(LEN(INDEX('Dealer pipeline'!$S$4:$S$503,_calc!$E$610))=0,"",INDEX('Dealer pipeline'!$S$4:$S$503,_calc!$E$610)))=0,"","Backup: "&amp;IF(LEN(INDEX('Dealer pipeline'!$S$4:$S$503,_calc!$E$610))=0,"",INDEX('Dealer pipeline'!$S$4:$S$503,_calc!$E$610))&amp;". ")&amp;IF(LEN(IF(LEN(INDEX('Dealer pipeline'!$T$4:$T$503,_calc!$E$610))=0,"",INDEX('Dealer pipeline'!$T$4:$T$503,_calc!$E$610)))=0,"",IF(LEN(INDEX('Dealer pipeline'!$T$4:$T$503,_calc!$E$610))=0,"",INDEX('Dealer pipeline'!$T$4:$T$503,_calc!$E$610)))),TRIM(IF(LEN(IF(LEN(INDEX('My equipment'!$C$4:$C$503,(_calc!$E$610-500)))=0,"",INDEX('My equipment'!$C$4:$C$503,(_calc!$E$610-500))))=0,"","Model: "&amp;IF(LEN(INDEX('My equipment'!$C$4:$C$503,(_calc!$E$610-500)))=0,"",INDEX('My equipment'!$C$4:$C$503,(_calc!$E$610-500)))&amp;". ")&amp;IF(LEN(IF(LEN(INDEX('My equipment'!$D$4:$D$503,(_calc!$E$610-500)))=0,"",INDEX('My equipment'!$D$4:$D$503,(_calc!$E$610-500))))=0,"","Serial: "&amp;IF(LEN(INDEX('My equipment'!$D$4:$D$503,(_calc!$E$610-500)))=0,"",INDEX('My equipment'!$D$4:$D$503,(_calc!$E$610-500)))&amp;". ")&amp;IF(LEN(IF(ISNUMBER(INDEX('My equipment'!$J$4:$J$503,(_calc!$E$610-500))),TEXT(INDEX('My equipment'!$J$4:$J$503,(_calc!$E$610-500)),"yyyy-mm-dd"),""))=0,"","Parts end: "&amp;IF(ISNUMBER(INDEX('My equipment'!$J$4:$J$503,(_calc!$E$610-500))),TEXT(INDEX('My equipment'!$J$4:$J$503,(_calc!$E$610-500)),"yyyy-mm-dd"),"")&amp;". ")&amp;IF(LEN(IF(ISNUMBER(INDEX('My equipment'!$L$4:$L$503,(_calc!$E$610-500))),TEXT(INDEX('My equipment'!$L$4:$L$503,(_calc!$E$610-500)),"yyyy-mm-dd"),""))=0,"","Labor end: "&amp;IF(ISNUMBER(INDEX('My equipment'!$L$4:$L$503,(_calc!$E$610-500))),TEXT(INDEX('My equipment'!$L$4:$L$503,(_calc!$E$610-500)),"yyyy-mm-dd"),"")&amp;". ")&amp;IF(LEN(IF(ISNUMBER(INDEX('My equipment'!$P$4:$P$503,(_calc!$E$610-500))),TEXT(INDEX('My equipment'!$P$4:$P$503,(_calc!$E$610-500)),"yyyy-mm-dd"),""))=0,"","Check by: "&amp;IF(ISNUMBER(INDEX('My equipment'!$P$4:$P$503,(_calc!$E$610-500))),TEXT(INDEX('My equipment'!$P$4:$P$503,(_calc!$E$610-500)),"yyyy-mm-dd"),"")&amp;". ")&amp;IF(LEN(IF(LEN(INDEX('My equipment'!$Q$4:$Q$503,(_calc!$E$610-500)))=0,"",INDEX('My equipment'!$Q$4:$Q$503,(_calc!$E$610-500))))=0,"","Claim status: "&amp;IF(LEN(INDEX('My equipment'!$Q$4:$Q$503,(_calc!$E$610-500)))=0,"",INDEX('My equipment'!$Q$4:$Q$503,(_calc!$E$610-500)))&amp;". ")&amp;IF(LEN(IF(LEN(INDEX('My equipment'!$R$4:$R$503,(_calc!$E$610-500)))=0,"",INDEX('My equipment'!$R$4:$R$503,(_calc!$E$610-500))))=0,"","Claims contact: "&amp;IF(LEN(INDEX('My equipment'!$R$4:$R$503,(_calc!$E$610-500)))=0,"",INDEX('My equipment'!$R$4:$R$503,(_calc!$E$610-500)))&amp;". ")&amp;IF(LEN(IF(LEN(INDEX('My equipment'!$S$4:$S$503,(_calc!$E$610-500)))=0,"",INDEX('My equipment'!$S$4:$S$503,(_calc!$E$610-500))))=0,"","Claims email: "&amp;IF(LEN(INDEX('My equipment'!$S$4:$S$503,(_calc!$E$610-500)))=0,"",INDEX('My equipment'!$S$4:$S$503,(_calc!$E$610-500)))&amp;". ")&amp;IF(LEN(IF(LEN(INDEX('My equipment'!$U$4:$U$503,(_calc!$E$610-500)))=0,"",INDEX('My equipment'!$U$4:$U$503,(_calc!$E$610-500))))=0,"","Registered: "&amp;IF(LEN(INDEX('My equipment'!$U$4:$U$503,(_calc!$E$610-500)))=0,"",INDEX('My equipment'!$U$4:$U$503,(_calc!$E$610-500)))&amp;". ")&amp;IF(LEN(IF(LEN(INDEX('My equipment'!$V$4:$V$503,(_calc!$E$610-500)))=0,"",INDEX('My equipment'!$V$4:$V$503,(_calc!$E$610-500))))=0,"","Proof on file: "&amp;IF(LEN(INDEX('My equipment'!$V$4:$V$503,(_calc!$E$610-500)))=0,"",INDEX('My equipment'!$V$4:$V$503,(_calc!$E$610-500)))&amp;". ")&amp;IF(LEN(IF(LEN(INDEX('My equipment'!$W$4:$W$503,(_calc!$E$610-500)))=0,"",INDEX('My equipment'!$W$4:$W$503,(_calc!$E$610-500))))=0,"","Claim ref: "&amp;IF(LEN(INDEX('My equipment'!$W$4:$W$503,(_calc!$E$610-500)))=0,"",INDEX('My equipment'!$W$4:$W$503,(_calc!$E$610-500)))&amp;". ")&amp;IF(LEN(IF(LEN(INDEX('My equipment'!$Y$4:$Y$503,(_calc!$E$610-500)))=0,"",INDEX('My equipment'!$Y$4:$Y$503,(_calc!$E$610-500))))=0,"",IF(LEN(INDEX('My equipment'!$Y$4:$Y$503,(_calc!$E$610-500)))=0,"",INDEX('My equipment'!$Y$4:$Y$503,(_calc!$E$610-500)))))))</f>
        <v/>
      </c>
      <c r="G608" s="54">
        <f>IF(_calc!$E$610="","",IF(_calc!$E$610&lt;=500,"",IF(LEN(INDEX('My equipment'!$X$4:$X$503,(_calc!$E$610-500)))=0,"",INDEX('My equipment'!$X$4:$X$503,(_calc!$E$610-500)))))</f>
        <v/>
      </c>
      <c r="K608" s="54">
        <f>IF(_calc!$E$610="","",IF(_calc!$E$610&lt;=500,"",IF(LEN(INDEX('My equipment'!$T$4:$T$503,(_calc!$E$610-500)))=0,"",INDEX('My equipment'!$T$4:$T$503,(_calc!$E$610-500)))))</f>
        <v/>
      </c>
    </row>
    <row r="609">
      <c r="A609" s="54">
        <f>IF(_calc!$E$611="","",IF(_calc!$E$611&lt;=500,"Warranty – "&amp;IF(LEN(INDEX('Dealer pipeline'!$C$4:$C$503,_calc!$E$611))=0,"",INDEX('Dealer pipeline'!$C$4:$C$503,_calc!$E$611))&amp;" – "&amp;IF(LEN(INDEX('Dealer pipeline'!$D$4:$D$503,_calc!$E$611))=0,"",INDEX('Dealer pipeline'!$D$4:$D$503,_calc!$E$611))&amp;" – "&amp;IF(LEN(INDEX('Dealer pipeline'!$A$4:$A$503,_calc!$E$611))=0,"",INDEX('Dealer pipeline'!$A$4:$A$503,_calc!$E$611)),"Warranty – "&amp;IF(LEN(INDEX('My equipment'!$A$4:$A$503,(_calc!$E$611-500)))=0,"",INDEX('My equipment'!$A$4:$A$503,(_calc!$E$611-500)))&amp;" – "&amp;IF(LEN(INDEX('My equipment'!$D$4:$D$503,(_calc!$E$611-500)))=0,"",INDEX('My equipment'!$D$4:$D$503,(_calc!$E$611-500)))))</f>
        <v/>
      </c>
      <c r="B609" s="54">
        <f>IF(_calc!$E$611="","",IF(_calc!$E$611&lt;=500,IF(ISNUMBER(INDEX('Dealer pipeline'!$M$4:$M$503,_calc!$E$611)),TEXT(INDEX('Dealer pipeline'!$M$4:$M$503,_calc!$E$611),"yyyy-mm-dd"),""),IF(ISNUMBER(INDEX('My equipment'!$M$4:$M$503,(_calc!$E$611-500))),TEXT(INDEX('My equipment'!$M$4:$M$503,(_calc!$E$611-500)),"yyyy-mm-dd"),"")))</f>
        <v/>
      </c>
      <c r="C609" s="54">
        <f>IF(_calc!$E$611="","",IF(_calc!$E$611&lt;=500,"Warranty","Warranty"))</f>
        <v/>
      </c>
      <c r="D609" s="54">
        <f>IF(_calc!$E$611="","",IF(_calc!$E$611&lt;=500,IF(ISNUMBER(INDEX('Dealer pipeline'!$H$4:$H$503,_calc!$E$611)),TEXT(INDEX('Dealer pipeline'!$H$4:$H$503,_calc!$E$611),"yyyy-mm-dd"),""),IF(ISNUMBER(INDEX('My equipment'!$H$4:$H$503,(_calc!$E$611-500))),TEXT(INDEX('My equipment'!$H$4:$H$503,(_calc!$E$611-500)),"yyyy-mm-dd"),"")))</f>
        <v/>
      </c>
      <c r="F609" s="54">
        <f>IF(_calc!$E$611="","",IF(_calc!$E$611&lt;=500,TRIM(IF(LEN(IF(LEN(INDEX('Dealer pipeline'!$A$4:$A$503,_calc!$E$611))=0,"",INDEX('Dealer pipeline'!$A$4:$A$503,_calc!$E$611)))=0,"","Customer: "&amp;IF(LEN(INDEX('Dealer pipeline'!$A$4:$A$503,_calc!$E$611))=0,"",INDEX('Dealer pipeline'!$A$4:$A$503,_calc!$E$611))&amp;". ")&amp;IF(LEN(IF(LEN(INDEX('Dealer pipeline'!$B$4:$B$503,_calc!$E$611))=0,"",INDEX('Dealer pipeline'!$B$4:$B$503,_calc!$E$611)))=0,"","Contact: "&amp;IF(LEN(INDEX('Dealer pipeline'!$B$4:$B$503,_calc!$E$611))=0,"",INDEX('Dealer pipeline'!$B$4:$B$503,_calc!$E$611))&amp;". ")&amp;IF(LEN(IF(LEN(INDEX('Dealer pipeline'!$D$4:$D$503,_calc!$E$611))=0,"",INDEX('Dealer pipeline'!$D$4:$D$503,_calc!$E$611)))=0,"","Serial: "&amp;IF(LEN(INDEX('Dealer pipeline'!$D$4:$D$503,_calc!$E$611))=0,"",INDEX('Dealer pipeline'!$D$4:$D$503,_calc!$E$611))&amp;". ")&amp;IF(LEN(IF(ISNUMBER(INDEX('Dealer pipeline'!$J$4:$J$503,_calc!$E$611)),TEXT(INDEX('Dealer pipeline'!$J$4:$J$503,_calc!$E$611),"yyyy-mm-dd"),""))=0,"","Parts end: "&amp;IF(ISNUMBER(INDEX('Dealer pipeline'!$J$4:$J$503,_calc!$E$611)),TEXT(INDEX('Dealer pipeline'!$J$4:$J$503,_calc!$E$611),"yyyy-mm-dd"),"")&amp;". ")&amp;IF(LEN(IF(ISNUMBER(INDEX('Dealer pipeline'!$L$4:$L$503,_calc!$E$611)),TEXT(INDEX('Dealer pipeline'!$L$4:$L$503,_calc!$E$611),"yyyy-mm-dd"),""))=0,"","Labor end: "&amp;IF(ISNUMBER(INDEX('Dealer pipeline'!$L$4:$L$503,_calc!$E$611)),TEXT(INDEX('Dealer pipeline'!$L$4:$L$503,_calc!$E$611),"yyyy-mm-dd"),"")&amp;". ")&amp;IF(LEN(IF(LEN(INDEX('Dealer pipeline'!$Q$4:$Q$503,_calc!$E$611))=0,"",INDEX('Dealer pipeline'!$Q$4:$Q$503,_calc!$E$611)))=0,"","Status: "&amp;IF(LEN(INDEX('Dealer pipeline'!$Q$4:$Q$503,_calc!$E$611))=0,"",INDEX('Dealer pipeline'!$Q$4:$Q$503,_calc!$E$611))&amp;". ")&amp;IF(LEN(IF(LEN(INDEX('Dealer pipeline'!$P$4:$P$503,_calc!$E$611))=0,"",INDEX('Dealer pipeline'!$P$4:$P$503,_calc!$E$611)))=0,"","Last touch: "&amp;IF(LEN(INDEX('Dealer pipeline'!$P$4:$P$503,_calc!$E$611))=0,"",INDEX('Dealer pipeline'!$P$4:$P$503,_calc!$E$611))&amp;". ")&amp;IF(LEN(IF(LEN(INDEX('Dealer pipeline'!$R$4:$R$503,_calc!$E$611))=0,"",INDEX('Dealer pipeline'!$R$4:$R$503,_calc!$E$611)))=0,"","Owner: "&amp;IF(LEN(INDEX('Dealer pipeline'!$R$4:$R$503,_calc!$E$611))=0,"",INDEX('Dealer pipeline'!$R$4:$R$503,_calc!$E$611))&amp;". ")&amp;IF(LEN(IF(LEN(INDEX('Dealer pipeline'!$S$4:$S$503,_calc!$E$611))=0,"",INDEX('Dealer pipeline'!$S$4:$S$503,_calc!$E$611)))=0,"","Backup: "&amp;IF(LEN(INDEX('Dealer pipeline'!$S$4:$S$503,_calc!$E$611))=0,"",INDEX('Dealer pipeline'!$S$4:$S$503,_calc!$E$611))&amp;". ")&amp;IF(LEN(IF(LEN(INDEX('Dealer pipeline'!$T$4:$T$503,_calc!$E$611))=0,"",INDEX('Dealer pipeline'!$T$4:$T$503,_calc!$E$611)))=0,"",IF(LEN(INDEX('Dealer pipeline'!$T$4:$T$503,_calc!$E$611))=0,"",INDEX('Dealer pipeline'!$T$4:$T$503,_calc!$E$611)))),TRIM(IF(LEN(IF(LEN(INDEX('My equipment'!$C$4:$C$503,(_calc!$E$611-500)))=0,"",INDEX('My equipment'!$C$4:$C$503,(_calc!$E$611-500))))=0,"","Model: "&amp;IF(LEN(INDEX('My equipment'!$C$4:$C$503,(_calc!$E$611-500)))=0,"",INDEX('My equipment'!$C$4:$C$503,(_calc!$E$611-500)))&amp;". ")&amp;IF(LEN(IF(LEN(INDEX('My equipment'!$D$4:$D$503,(_calc!$E$611-500)))=0,"",INDEX('My equipment'!$D$4:$D$503,(_calc!$E$611-500))))=0,"","Serial: "&amp;IF(LEN(INDEX('My equipment'!$D$4:$D$503,(_calc!$E$611-500)))=0,"",INDEX('My equipment'!$D$4:$D$503,(_calc!$E$611-500)))&amp;". ")&amp;IF(LEN(IF(ISNUMBER(INDEX('My equipment'!$J$4:$J$503,(_calc!$E$611-500))),TEXT(INDEX('My equipment'!$J$4:$J$503,(_calc!$E$611-500)),"yyyy-mm-dd"),""))=0,"","Parts end: "&amp;IF(ISNUMBER(INDEX('My equipment'!$J$4:$J$503,(_calc!$E$611-500))),TEXT(INDEX('My equipment'!$J$4:$J$503,(_calc!$E$611-500)),"yyyy-mm-dd"),"")&amp;". ")&amp;IF(LEN(IF(ISNUMBER(INDEX('My equipment'!$L$4:$L$503,(_calc!$E$611-500))),TEXT(INDEX('My equipment'!$L$4:$L$503,(_calc!$E$611-500)),"yyyy-mm-dd"),""))=0,"","Labor end: "&amp;IF(ISNUMBER(INDEX('My equipment'!$L$4:$L$503,(_calc!$E$611-500))),TEXT(INDEX('My equipment'!$L$4:$L$503,(_calc!$E$611-500)),"yyyy-mm-dd"),"")&amp;". ")&amp;IF(LEN(IF(ISNUMBER(INDEX('My equipment'!$P$4:$P$503,(_calc!$E$611-500))),TEXT(INDEX('My equipment'!$P$4:$P$503,(_calc!$E$611-500)),"yyyy-mm-dd"),""))=0,"","Check by: "&amp;IF(ISNUMBER(INDEX('My equipment'!$P$4:$P$503,(_calc!$E$611-500))),TEXT(INDEX('My equipment'!$P$4:$P$503,(_calc!$E$611-500)),"yyyy-mm-dd"),"")&amp;". ")&amp;IF(LEN(IF(LEN(INDEX('My equipment'!$Q$4:$Q$503,(_calc!$E$611-500)))=0,"",INDEX('My equipment'!$Q$4:$Q$503,(_calc!$E$611-500))))=0,"","Claim status: "&amp;IF(LEN(INDEX('My equipment'!$Q$4:$Q$503,(_calc!$E$611-500)))=0,"",INDEX('My equipment'!$Q$4:$Q$503,(_calc!$E$611-500)))&amp;". ")&amp;IF(LEN(IF(LEN(INDEX('My equipment'!$R$4:$R$503,(_calc!$E$611-500)))=0,"",INDEX('My equipment'!$R$4:$R$503,(_calc!$E$611-500))))=0,"","Claims contact: "&amp;IF(LEN(INDEX('My equipment'!$R$4:$R$503,(_calc!$E$611-500)))=0,"",INDEX('My equipment'!$R$4:$R$503,(_calc!$E$611-500)))&amp;". ")&amp;IF(LEN(IF(LEN(INDEX('My equipment'!$S$4:$S$503,(_calc!$E$611-500)))=0,"",INDEX('My equipment'!$S$4:$S$503,(_calc!$E$611-500))))=0,"","Claims email: "&amp;IF(LEN(INDEX('My equipment'!$S$4:$S$503,(_calc!$E$611-500)))=0,"",INDEX('My equipment'!$S$4:$S$503,(_calc!$E$611-500)))&amp;". ")&amp;IF(LEN(IF(LEN(INDEX('My equipment'!$U$4:$U$503,(_calc!$E$611-500)))=0,"",INDEX('My equipment'!$U$4:$U$503,(_calc!$E$611-500))))=0,"","Registered: "&amp;IF(LEN(INDEX('My equipment'!$U$4:$U$503,(_calc!$E$611-500)))=0,"",INDEX('My equipment'!$U$4:$U$503,(_calc!$E$611-500)))&amp;". ")&amp;IF(LEN(IF(LEN(INDEX('My equipment'!$V$4:$V$503,(_calc!$E$611-500)))=0,"",INDEX('My equipment'!$V$4:$V$503,(_calc!$E$611-500))))=0,"","Proof on file: "&amp;IF(LEN(INDEX('My equipment'!$V$4:$V$503,(_calc!$E$611-500)))=0,"",INDEX('My equipment'!$V$4:$V$503,(_calc!$E$611-500)))&amp;". ")&amp;IF(LEN(IF(LEN(INDEX('My equipment'!$W$4:$W$503,(_calc!$E$611-500)))=0,"",INDEX('My equipment'!$W$4:$W$503,(_calc!$E$611-500))))=0,"","Claim ref: "&amp;IF(LEN(INDEX('My equipment'!$W$4:$W$503,(_calc!$E$611-500)))=0,"",INDEX('My equipment'!$W$4:$W$503,(_calc!$E$611-500)))&amp;". ")&amp;IF(LEN(IF(LEN(INDEX('My equipment'!$Y$4:$Y$503,(_calc!$E$611-500)))=0,"",INDEX('My equipment'!$Y$4:$Y$503,(_calc!$E$611-500))))=0,"",IF(LEN(INDEX('My equipment'!$Y$4:$Y$503,(_calc!$E$611-500)))=0,"",INDEX('My equipment'!$Y$4:$Y$503,(_calc!$E$611-500)))))))</f>
        <v/>
      </c>
      <c r="G609" s="54">
        <f>IF(_calc!$E$611="","",IF(_calc!$E$611&lt;=500,"",IF(LEN(INDEX('My equipment'!$X$4:$X$503,(_calc!$E$611-500)))=0,"",INDEX('My equipment'!$X$4:$X$503,(_calc!$E$611-500)))))</f>
        <v/>
      </c>
      <c r="K609" s="54">
        <f>IF(_calc!$E$611="","",IF(_calc!$E$611&lt;=500,"",IF(LEN(INDEX('My equipment'!$T$4:$T$503,(_calc!$E$611-500)))=0,"",INDEX('My equipment'!$T$4:$T$503,(_calc!$E$611-500)))))</f>
        <v/>
      </c>
    </row>
    <row r="610">
      <c r="A610" s="54">
        <f>IF(_calc!$E$612="","",IF(_calc!$E$612&lt;=500,"Warranty – "&amp;IF(LEN(INDEX('Dealer pipeline'!$C$4:$C$503,_calc!$E$612))=0,"",INDEX('Dealer pipeline'!$C$4:$C$503,_calc!$E$612))&amp;" – "&amp;IF(LEN(INDEX('Dealer pipeline'!$D$4:$D$503,_calc!$E$612))=0,"",INDEX('Dealer pipeline'!$D$4:$D$503,_calc!$E$612))&amp;" – "&amp;IF(LEN(INDEX('Dealer pipeline'!$A$4:$A$503,_calc!$E$612))=0,"",INDEX('Dealer pipeline'!$A$4:$A$503,_calc!$E$612)),"Warranty – "&amp;IF(LEN(INDEX('My equipment'!$A$4:$A$503,(_calc!$E$612-500)))=0,"",INDEX('My equipment'!$A$4:$A$503,(_calc!$E$612-500)))&amp;" – "&amp;IF(LEN(INDEX('My equipment'!$D$4:$D$503,(_calc!$E$612-500)))=0,"",INDEX('My equipment'!$D$4:$D$503,(_calc!$E$612-500)))))</f>
        <v/>
      </c>
      <c r="B610" s="54">
        <f>IF(_calc!$E$612="","",IF(_calc!$E$612&lt;=500,IF(ISNUMBER(INDEX('Dealer pipeline'!$M$4:$M$503,_calc!$E$612)),TEXT(INDEX('Dealer pipeline'!$M$4:$M$503,_calc!$E$612),"yyyy-mm-dd"),""),IF(ISNUMBER(INDEX('My equipment'!$M$4:$M$503,(_calc!$E$612-500))),TEXT(INDEX('My equipment'!$M$4:$M$503,(_calc!$E$612-500)),"yyyy-mm-dd"),"")))</f>
        <v/>
      </c>
      <c r="C610" s="54">
        <f>IF(_calc!$E$612="","",IF(_calc!$E$612&lt;=500,"Warranty","Warranty"))</f>
        <v/>
      </c>
      <c r="D610" s="54">
        <f>IF(_calc!$E$612="","",IF(_calc!$E$612&lt;=500,IF(ISNUMBER(INDEX('Dealer pipeline'!$H$4:$H$503,_calc!$E$612)),TEXT(INDEX('Dealer pipeline'!$H$4:$H$503,_calc!$E$612),"yyyy-mm-dd"),""),IF(ISNUMBER(INDEX('My equipment'!$H$4:$H$503,(_calc!$E$612-500))),TEXT(INDEX('My equipment'!$H$4:$H$503,(_calc!$E$612-500)),"yyyy-mm-dd"),"")))</f>
        <v/>
      </c>
      <c r="F610" s="54">
        <f>IF(_calc!$E$612="","",IF(_calc!$E$612&lt;=500,TRIM(IF(LEN(IF(LEN(INDEX('Dealer pipeline'!$A$4:$A$503,_calc!$E$612))=0,"",INDEX('Dealer pipeline'!$A$4:$A$503,_calc!$E$612)))=0,"","Customer: "&amp;IF(LEN(INDEX('Dealer pipeline'!$A$4:$A$503,_calc!$E$612))=0,"",INDEX('Dealer pipeline'!$A$4:$A$503,_calc!$E$612))&amp;". ")&amp;IF(LEN(IF(LEN(INDEX('Dealer pipeline'!$B$4:$B$503,_calc!$E$612))=0,"",INDEX('Dealer pipeline'!$B$4:$B$503,_calc!$E$612)))=0,"","Contact: "&amp;IF(LEN(INDEX('Dealer pipeline'!$B$4:$B$503,_calc!$E$612))=0,"",INDEX('Dealer pipeline'!$B$4:$B$503,_calc!$E$612))&amp;". ")&amp;IF(LEN(IF(LEN(INDEX('Dealer pipeline'!$D$4:$D$503,_calc!$E$612))=0,"",INDEX('Dealer pipeline'!$D$4:$D$503,_calc!$E$612)))=0,"","Serial: "&amp;IF(LEN(INDEX('Dealer pipeline'!$D$4:$D$503,_calc!$E$612))=0,"",INDEX('Dealer pipeline'!$D$4:$D$503,_calc!$E$612))&amp;". ")&amp;IF(LEN(IF(ISNUMBER(INDEX('Dealer pipeline'!$J$4:$J$503,_calc!$E$612)),TEXT(INDEX('Dealer pipeline'!$J$4:$J$503,_calc!$E$612),"yyyy-mm-dd"),""))=0,"","Parts end: "&amp;IF(ISNUMBER(INDEX('Dealer pipeline'!$J$4:$J$503,_calc!$E$612)),TEXT(INDEX('Dealer pipeline'!$J$4:$J$503,_calc!$E$612),"yyyy-mm-dd"),"")&amp;". ")&amp;IF(LEN(IF(ISNUMBER(INDEX('Dealer pipeline'!$L$4:$L$503,_calc!$E$612)),TEXT(INDEX('Dealer pipeline'!$L$4:$L$503,_calc!$E$612),"yyyy-mm-dd"),""))=0,"","Labor end: "&amp;IF(ISNUMBER(INDEX('Dealer pipeline'!$L$4:$L$503,_calc!$E$612)),TEXT(INDEX('Dealer pipeline'!$L$4:$L$503,_calc!$E$612),"yyyy-mm-dd"),"")&amp;". ")&amp;IF(LEN(IF(LEN(INDEX('Dealer pipeline'!$Q$4:$Q$503,_calc!$E$612))=0,"",INDEX('Dealer pipeline'!$Q$4:$Q$503,_calc!$E$612)))=0,"","Status: "&amp;IF(LEN(INDEX('Dealer pipeline'!$Q$4:$Q$503,_calc!$E$612))=0,"",INDEX('Dealer pipeline'!$Q$4:$Q$503,_calc!$E$612))&amp;". ")&amp;IF(LEN(IF(LEN(INDEX('Dealer pipeline'!$P$4:$P$503,_calc!$E$612))=0,"",INDEX('Dealer pipeline'!$P$4:$P$503,_calc!$E$612)))=0,"","Last touch: "&amp;IF(LEN(INDEX('Dealer pipeline'!$P$4:$P$503,_calc!$E$612))=0,"",INDEX('Dealer pipeline'!$P$4:$P$503,_calc!$E$612))&amp;". ")&amp;IF(LEN(IF(LEN(INDEX('Dealer pipeline'!$R$4:$R$503,_calc!$E$612))=0,"",INDEX('Dealer pipeline'!$R$4:$R$503,_calc!$E$612)))=0,"","Owner: "&amp;IF(LEN(INDEX('Dealer pipeline'!$R$4:$R$503,_calc!$E$612))=0,"",INDEX('Dealer pipeline'!$R$4:$R$503,_calc!$E$612))&amp;". ")&amp;IF(LEN(IF(LEN(INDEX('Dealer pipeline'!$S$4:$S$503,_calc!$E$612))=0,"",INDEX('Dealer pipeline'!$S$4:$S$503,_calc!$E$612)))=0,"","Backup: "&amp;IF(LEN(INDEX('Dealer pipeline'!$S$4:$S$503,_calc!$E$612))=0,"",INDEX('Dealer pipeline'!$S$4:$S$503,_calc!$E$612))&amp;". ")&amp;IF(LEN(IF(LEN(INDEX('Dealer pipeline'!$T$4:$T$503,_calc!$E$612))=0,"",INDEX('Dealer pipeline'!$T$4:$T$503,_calc!$E$612)))=0,"",IF(LEN(INDEX('Dealer pipeline'!$T$4:$T$503,_calc!$E$612))=0,"",INDEX('Dealer pipeline'!$T$4:$T$503,_calc!$E$612)))),TRIM(IF(LEN(IF(LEN(INDEX('My equipment'!$C$4:$C$503,(_calc!$E$612-500)))=0,"",INDEX('My equipment'!$C$4:$C$503,(_calc!$E$612-500))))=0,"","Model: "&amp;IF(LEN(INDEX('My equipment'!$C$4:$C$503,(_calc!$E$612-500)))=0,"",INDEX('My equipment'!$C$4:$C$503,(_calc!$E$612-500)))&amp;". ")&amp;IF(LEN(IF(LEN(INDEX('My equipment'!$D$4:$D$503,(_calc!$E$612-500)))=0,"",INDEX('My equipment'!$D$4:$D$503,(_calc!$E$612-500))))=0,"","Serial: "&amp;IF(LEN(INDEX('My equipment'!$D$4:$D$503,(_calc!$E$612-500)))=0,"",INDEX('My equipment'!$D$4:$D$503,(_calc!$E$612-500)))&amp;". ")&amp;IF(LEN(IF(ISNUMBER(INDEX('My equipment'!$J$4:$J$503,(_calc!$E$612-500))),TEXT(INDEX('My equipment'!$J$4:$J$503,(_calc!$E$612-500)),"yyyy-mm-dd"),""))=0,"","Parts end: "&amp;IF(ISNUMBER(INDEX('My equipment'!$J$4:$J$503,(_calc!$E$612-500))),TEXT(INDEX('My equipment'!$J$4:$J$503,(_calc!$E$612-500)),"yyyy-mm-dd"),"")&amp;". ")&amp;IF(LEN(IF(ISNUMBER(INDEX('My equipment'!$L$4:$L$503,(_calc!$E$612-500))),TEXT(INDEX('My equipment'!$L$4:$L$503,(_calc!$E$612-500)),"yyyy-mm-dd"),""))=0,"","Labor end: "&amp;IF(ISNUMBER(INDEX('My equipment'!$L$4:$L$503,(_calc!$E$612-500))),TEXT(INDEX('My equipment'!$L$4:$L$503,(_calc!$E$612-500)),"yyyy-mm-dd"),"")&amp;". ")&amp;IF(LEN(IF(ISNUMBER(INDEX('My equipment'!$P$4:$P$503,(_calc!$E$612-500))),TEXT(INDEX('My equipment'!$P$4:$P$503,(_calc!$E$612-500)),"yyyy-mm-dd"),""))=0,"","Check by: "&amp;IF(ISNUMBER(INDEX('My equipment'!$P$4:$P$503,(_calc!$E$612-500))),TEXT(INDEX('My equipment'!$P$4:$P$503,(_calc!$E$612-500)),"yyyy-mm-dd"),"")&amp;". ")&amp;IF(LEN(IF(LEN(INDEX('My equipment'!$Q$4:$Q$503,(_calc!$E$612-500)))=0,"",INDEX('My equipment'!$Q$4:$Q$503,(_calc!$E$612-500))))=0,"","Claim status: "&amp;IF(LEN(INDEX('My equipment'!$Q$4:$Q$503,(_calc!$E$612-500)))=0,"",INDEX('My equipment'!$Q$4:$Q$503,(_calc!$E$612-500)))&amp;". ")&amp;IF(LEN(IF(LEN(INDEX('My equipment'!$R$4:$R$503,(_calc!$E$612-500)))=0,"",INDEX('My equipment'!$R$4:$R$503,(_calc!$E$612-500))))=0,"","Claims contact: "&amp;IF(LEN(INDEX('My equipment'!$R$4:$R$503,(_calc!$E$612-500)))=0,"",INDEX('My equipment'!$R$4:$R$503,(_calc!$E$612-500)))&amp;". ")&amp;IF(LEN(IF(LEN(INDEX('My equipment'!$S$4:$S$503,(_calc!$E$612-500)))=0,"",INDEX('My equipment'!$S$4:$S$503,(_calc!$E$612-500))))=0,"","Claims email: "&amp;IF(LEN(INDEX('My equipment'!$S$4:$S$503,(_calc!$E$612-500)))=0,"",INDEX('My equipment'!$S$4:$S$503,(_calc!$E$612-500)))&amp;". ")&amp;IF(LEN(IF(LEN(INDEX('My equipment'!$U$4:$U$503,(_calc!$E$612-500)))=0,"",INDEX('My equipment'!$U$4:$U$503,(_calc!$E$612-500))))=0,"","Registered: "&amp;IF(LEN(INDEX('My equipment'!$U$4:$U$503,(_calc!$E$612-500)))=0,"",INDEX('My equipment'!$U$4:$U$503,(_calc!$E$612-500)))&amp;". ")&amp;IF(LEN(IF(LEN(INDEX('My equipment'!$V$4:$V$503,(_calc!$E$612-500)))=0,"",INDEX('My equipment'!$V$4:$V$503,(_calc!$E$612-500))))=0,"","Proof on file: "&amp;IF(LEN(INDEX('My equipment'!$V$4:$V$503,(_calc!$E$612-500)))=0,"",INDEX('My equipment'!$V$4:$V$503,(_calc!$E$612-500)))&amp;". ")&amp;IF(LEN(IF(LEN(INDEX('My equipment'!$W$4:$W$503,(_calc!$E$612-500)))=0,"",INDEX('My equipment'!$W$4:$W$503,(_calc!$E$612-500))))=0,"","Claim ref: "&amp;IF(LEN(INDEX('My equipment'!$W$4:$W$503,(_calc!$E$612-500)))=0,"",INDEX('My equipment'!$W$4:$W$503,(_calc!$E$612-500)))&amp;". ")&amp;IF(LEN(IF(LEN(INDEX('My equipment'!$Y$4:$Y$503,(_calc!$E$612-500)))=0,"",INDEX('My equipment'!$Y$4:$Y$503,(_calc!$E$612-500))))=0,"",IF(LEN(INDEX('My equipment'!$Y$4:$Y$503,(_calc!$E$612-500)))=0,"",INDEX('My equipment'!$Y$4:$Y$503,(_calc!$E$612-500)))))))</f>
        <v/>
      </c>
      <c r="G610" s="54">
        <f>IF(_calc!$E$612="","",IF(_calc!$E$612&lt;=500,"",IF(LEN(INDEX('My equipment'!$X$4:$X$503,(_calc!$E$612-500)))=0,"",INDEX('My equipment'!$X$4:$X$503,(_calc!$E$612-500)))))</f>
        <v/>
      </c>
      <c r="K610" s="54">
        <f>IF(_calc!$E$612="","",IF(_calc!$E$612&lt;=500,"",IF(LEN(INDEX('My equipment'!$T$4:$T$503,(_calc!$E$612-500)))=0,"",INDEX('My equipment'!$T$4:$T$503,(_calc!$E$612-500)))))</f>
        <v/>
      </c>
    </row>
    <row r="611">
      <c r="A611" s="54">
        <f>IF(_calc!$E$613="","",IF(_calc!$E$613&lt;=500,"Warranty – "&amp;IF(LEN(INDEX('Dealer pipeline'!$C$4:$C$503,_calc!$E$613))=0,"",INDEX('Dealer pipeline'!$C$4:$C$503,_calc!$E$613))&amp;" – "&amp;IF(LEN(INDEX('Dealer pipeline'!$D$4:$D$503,_calc!$E$613))=0,"",INDEX('Dealer pipeline'!$D$4:$D$503,_calc!$E$613))&amp;" – "&amp;IF(LEN(INDEX('Dealer pipeline'!$A$4:$A$503,_calc!$E$613))=0,"",INDEX('Dealer pipeline'!$A$4:$A$503,_calc!$E$613)),"Warranty – "&amp;IF(LEN(INDEX('My equipment'!$A$4:$A$503,(_calc!$E$613-500)))=0,"",INDEX('My equipment'!$A$4:$A$503,(_calc!$E$613-500)))&amp;" – "&amp;IF(LEN(INDEX('My equipment'!$D$4:$D$503,(_calc!$E$613-500)))=0,"",INDEX('My equipment'!$D$4:$D$503,(_calc!$E$613-500)))))</f>
        <v/>
      </c>
      <c r="B611" s="54">
        <f>IF(_calc!$E$613="","",IF(_calc!$E$613&lt;=500,IF(ISNUMBER(INDEX('Dealer pipeline'!$M$4:$M$503,_calc!$E$613)),TEXT(INDEX('Dealer pipeline'!$M$4:$M$503,_calc!$E$613),"yyyy-mm-dd"),""),IF(ISNUMBER(INDEX('My equipment'!$M$4:$M$503,(_calc!$E$613-500))),TEXT(INDEX('My equipment'!$M$4:$M$503,(_calc!$E$613-500)),"yyyy-mm-dd"),"")))</f>
        <v/>
      </c>
      <c r="C611" s="54">
        <f>IF(_calc!$E$613="","",IF(_calc!$E$613&lt;=500,"Warranty","Warranty"))</f>
        <v/>
      </c>
      <c r="D611" s="54">
        <f>IF(_calc!$E$613="","",IF(_calc!$E$613&lt;=500,IF(ISNUMBER(INDEX('Dealer pipeline'!$H$4:$H$503,_calc!$E$613)),TEXT(INDEX('Dealer pipeline'!$H$4:$H$503,_calc!$E$613),"yyyy-mm-dd"),""),IF(ISNUMBER(INDEX('My equipment'!$H$4:$H$503,(_calc!$E$613-500))),TEXT(INDEX('My equipment'!$H$4:$H$503,(_calc!$E$613-500)),"yyyy-mm-dd"),"")))</f>
        <v/>
      </c>
      <c r="F611" s="54">
        <f>IF(_calc!$E$613="","",IF(_calc!$E$613&lt;=500,TRIM(IF(LEN(IF(LEN(INDEX('Dealer pipeline'!$A$4:$A$503,_calc!$E$613))=0,"",INDEX('Dealer pipeline'!$A$4:$A$503,_calc!$E$613)))=0,"","Customer: "&amp;IF(LEN(INDEX('Dealer pipeline'!$A$4:$A$503,_calc!$E$613))=0,"",INDEX('Dealer pipeline'!$A$4:$A$503,_calc!$E$613))&amp;". ")&amp;IF(LEN(IF(LEN(INDEX('Dealer pipeline'!$B$4:$B$503,_calc!$E$613))=0,"",INDEX('Dealer pipeline'!$B$4:$B$503,_calc!$E$613)))=0,"","Contact: "&amp;IF(LEN(INDEX('Dealer pipeline'!$B$4:$B$503,_calc!$E$613))=0,"",INDEX('Dealer pipeline'!$B$4:$B$503,_calc!$E$613))&amp;". ")&amp;IF(LEN(IF(LEN(INDEX('Dealer pipeline'!$D$4:$D$503,_calc!$E$613))=0,"",INDEX('Dealer pipeline'!$D$4:$D$503,_calc!$E$613)))=0,"","Serial: "&amp;IF(LEN(INDEX('Dealer pipeline'!$D$4:$D$503,_calc!$E$613))=0,"",INDEX('Dealer pipeline'!$D$4:$D$503,_calc!$E$613))&amp;". ")&amp;IF(LEN(IF(ISNUMBER(INDEX('Dealer pipeline'!$J$4:$J$503,_calc!$E$613)),TEXT(INDEX('Dealer pipeline'!$J$4:$J$503,_calc!$E$613),"yyyy-mm-dd"),""))=0,"","Parts end: "&amp;IF(ISNUMBER(INDEX('Dealer pipeline'!$J$4:$J$503,_calc!$E$613)),TEXT(INDEX('Dealer pipeline'!$J$4:$J$503,_calc!$E$613),"yyyy-mm-dd"),"")&amp;". ")&amp;IF(LEN(IF(ISNUMBER(INDEX('Dealer pipeline'!$L$4:$L$503,_calc!$E$613)),TEXT(INDEX('Dealer pipeline'!$L$4:$L$503,_calc!$E$613),"yyyy-mm-dd"),""))=0,"","Labor end: "&amp;IF(ISNUMBER(INDEX('Dealer pipeline'!$L$4:$L$503,_calc!$E$613)),TEXT(INDEX('Dealer pipeline'!$L$4:$L$503,_calc!$E$613),"yyyy-mm-dd"),"")&amp;". ")&amp;IF(LEN(IF(LEN(INDEX('Dealer pipeline'!$Q$4:$Q$503,_calc!$E$613))=0,"",INDEX('Dealer pipeline'!$Q$4:$Q$503,_calc!$E$613)))=0,"","Status: "&amp;IF(LEN(INDEX('Dealer pipeline'!$Q$4:$Q$503,_calc!$E$613))=0,"",INDEX('Dealer pipeline'!$Q$4:$Q$503,_calc!$E$613))&amp;". ")&amp;IF(LEN(IF(LEN(INDEX('Dealer pipeline'!$P$4:$P$503,_calc!$E$613))=0,"",INDEX('Dealer pipeline'!$P$4:$P$503,_calc!$E$613)))=0,"","Last touch: "&amp;IF(LEN(INDEX('Dealer pipeline'!$P$4:$P$503,_calc!$E$613))=0,"",INDEX('Dealer pipeline'!$P$4:$P$503,_calc!$E$613))&amp;". ")&amp;IF(LEN(IF(LEN(INDEX('Dealer pipeline'!$R$4:$R$503,_calc!$E$613))=0,"",INDEX('Dealer pipeline'!$R$4:$R$503,_calc!$E$613)))=0,"","Owner: "&amp;IF(LEN(INDEX('Dealer pipeline'!$R$4:$R$503,_calc!$E$613))=0,"",INDEX('Dealer pipeline'!$R$4:$R$503,_calc!$E$613))&amp;". ")&amp;IF(LEN(IF(LEN(INDEX('Dealer pipeline'!$S$4:$S$503,_calc!$E$613))=0,"",INDEX('Dealer pipeline'!$S$4:$S$503,_calc!$E$613)))=0,"","Backup: "&amp;IF(LEN(INDEX('Dealer pipeline'!$S$4:$S$503,_calc!$E$613))=0,"",INDEX('Dealer pipeline'!$S$4:$S$503,_calc!$E$613))&amp;". ")&amp;IF(LEN(IF(LEN(INDEX('Dealer pipeline'!$T$4:$T$503,_calc!$E$613))=0,"",INDEX('Dealer pipeline'!$T$4:$T$503,_calc!$E$613)))=0,"",IF(LEN(INDEX('Dealer pipeline'!$T$4:$T$503,_calc!$E$613))=0,"",INDEX('Dealer pipeline'!$T$4:$T$503,_calc!$E$613)))),TRIM(IF(LEN(IF(LEN(INDEX('My equipment'!$C$4:$C$503,(_calc!$E$613-500)))=0,"",INDEX('My equipment'!$C$4:$C$503,(_calc!$E$613-500))))=0,"","Model: "&amp;IF(LEN(INDEX('My equipment'!$C$4:$C$503,(_calc!$E$613-500)))=0,"",INDEX('My equipment'!$C$4:$C$503,(_calc!$E$613-500)))&amp;". ")&amp;IF(LEN(IF(LEN(INDEX('My equipment'!$D$4:$D$503,(_calc!$E$613-500)))=0,"",INDEX('My equipment'!$D$4:$D$503,(_calc!$E$613-500))))=0,"","Serial: "&amp;IF(LEN(INDEX('My equipment'!$D$4:$D$503,(_calc!$E$613-500)))=0,"",INDEX('My equipment'!$D$4:$D$503,(_calc!$E$613-500)))&amp;". ")&amp;IF(LEN(IF(ISNUMBER(INDEX('My equipment'!$J$4:$J$503,(_calc!$E$613-500))),TEXT(INDEX('My equipment'!$J$4:$J$503,(_calc!$E$613-500)),"yyyy-mm-dd"),""))=0,"","Parts end: "&amp;IF(ISNUMBER(INDEX('My equipment'!$J$4:$J$503,(_calc!$E$613-500))),TEXT(INDEX('My equipment'!$J$4:$J$503,(_calc!$E$613-500)),"yyyy-mm-dd"),"")&amp;". ")&amp;IF(LEN(IF(ISNUMBER(INDEX('My equipment'!$L$4:$L$503,(_calc!$E$613-500))),TEXT(INDEX('My equipment'!$L$4:$L$503,(_calc!$E$613-500)),"yyyy-mm-dd"),""))=0,"","Labor end: "&amp;IF(ISNUMBER(INDEX('My equipment'!$L$4:$L$503,(_calc!$E$613-500))),TEXT(INDEX('My equipment'!$L$4:$L$503,(_calc!$E$613-500)),"yyyy-mm-dd"),"")&amp;". ")&amp;IF(LEN(IF(ISNUMBER(INDEX('My equipment'!$P$4:$P$503,(_calc!$E$613-500))),TEXT(INDEX('My equipment'!$P$4:$P$503,(_calc!$E$613-500)),"yyyy-mm-dd"),""))=0,"","Check by: "&amp;IF(ISNUMBER(INDEX('My equipment'!$P$4:$P$503,(_calc!$E$613-500))),TEXT(INDEX('My equipment'!$P$4:$P$503,(_calc!$E$613-500)),"yyyy-mm-dd"),"")&amp;". ")&amp;IF(LEN(IF(LEN(INDEX('My equipment'!$Q$4:$Q$503,(_calc!$E$613-500)))=0,"",INDEX('My equipment'!$Q$4:$Q$503,(_calc!$E$613-500))))=0,"","Claim status: "&amp;IF(LEN(INDEX('My equipment'!$Q$4:$Q$503,(_calc!$E$613-500)))=0,"",INDEX('My equipment'!$Q$4:$Q$503,(_calc!$E$613-500)))&amp;". ")&amp;IF(LEN(IF(LEN(INDEX('My equipment'!$R$4:$R$503,(_calc!$E$613-500)))=0,"",INDEX('My equipment'!$R$4:$R$503,(_calc!$E$613-500))))=0,"","Claims contact: "&amp;IF(LEN(INDEX('My equipment'!$R$4:$R$503,(_calc!$E$613-500)))=0,"",INDEX('My equipment'!$R$4:$R$503,(_calc!$E$613-500)))&amp;". ")&amp;IF(LEN(IF(LEN(INDEX('My equipment'!$S$4:$S$503,(_calc!$E$613-500)))=0,"",INDEX('My equipment'!$S$4:$S$503,(_calc!$E$613-500))))=0,"","Claims email: "&amp;IF(LEN(INDEX('My equipment'!$S$4:$S$503,(_calc!$E$613-500)))=0,"",INDEX('My equipment'!$S$4:$S$503,(_calc!$E$613-500)))&amp;". ")&amp;IF(LEN(IF(LEN(INDEX('My equipment'!$U$4:$U$503,(_calc!$E$613-500)))=0,"",INDEX('My equipment'!$U$4:$U$503,(_calc!$E$613-500))))=0,"","Registered: "&amp;IF(LEN(INDEX('My equipment'!$U$4:$U$503,(_calc!$E$613-500)))=0,"",INDEX('My equipment'!$U$4:$U$503,(_calc!$E$613-500)))&amp;". ")&amp;IF(LEN(IF(LEN(INDEX('My equipment'!$V$4:$V$503,(_calc!$E$613-500)))=0,"",INDEX('My equipment'!$V$4:$V$503,(_calc!$E$613-500))))=0,"","Proof on file: "&amp;IF(LEN(INDEX('My equipment'!$V$4:$V$503,(_calc!$E$613-500)))=0,"",INDEX('My equipment'!$V$4:$V$503,(_calc!$E$613-500)))&amp;". ")&amp;IF(LEN(IF(LEN(INDEX('My equipment'!$W$4:$W$503,(_calc!$E$613-500)))=0,"",INDEX('My equipment'!$W$4:$W$503,(_calc!$E$613-500))))=0,"","Claim ref: "&amp;IF(LEN(INDEX('My equipment'!$W$4:$W$503,(_calc!$E$613-500)))=0,"",INDEX('My equipment'!$W$4:$W$503,(_calc!$E$613-500)))&amp;". ")&amp;IF(LEN(IF(LEN(INDEX('My equipment'!$Y$4:$Y$503,(_calc!$E$613-500)))=0,"",INDEX('My equipment'!$Y$4:$Y$503,(_calc!$E$613-500))))=0,"",IF(LEN(INDEX('My equipment'!$Y$4:$Y$503,(_calc!$E$613-500)))=0,"",INDEX('My equipment'!$Y$4:$Y$503,(_calc!$E$613-500)))))))</f>
        <v/>
      </c>
      <c r="G611" s="54">
        <f>IF(_calc!$E$613="","",IF(_calc!$E$613&lt;=500,"",IF(LEN(INDEX('My equipment'!$X$4:$X$503,(_calc!$E$613-500)))=0,"",INDEX('My equipment'!$X$4:$X$503,(_calc!$E$613-500)))))</f>
        <v/>
      </c>
      <c r="K611" s="54">
        <f>IF(_calc!$E$613="","",IF(_calc!$E$613&lt;=500,"",IF(LEN(INDEX('My equipment'!$T$4:$T$503,(_calc!$E$613-500)))=0,"",INDEX('My equipment'!$T$4:$T$503,(_calc!$E$613-500)))))</f>
        <v/>
      </c>
    </row>
    <row r="612">
      <c r="A612" s="54">
        <f>IF(_calc!$E$614="","",IF(_calc!$E$614&lt;=500,"Warranty – "&amp;IF(LEN(INDEX('Dealer pipeline'!$C$4:$C$503,_calc!$E$614))=0,"",INDEX('Dealer pipeline'!$C$4:$C$503,_calc!$E$614))&amp;" – "&amp;IF(LEN(INDEX('Dealer pipeline'!$D$4:$D$503,_calc!$E$614))=0,"",INDEX('Dealer pipeline'!$D$4:$D$503,_calc!$E$614))&amp;" – "&amp;IF(LEN(INDEX('Dealer pipeline'!$A$4:$A$503,_calc!$E$614))=0,"",INDEX('Dealer pipeline'!$A$4:$A$503,_calc!$E$614)),"Warranty – "&amp;IF(LEN(INDEX('My equipment'!$A$4:$A$503,(_calc!$E$614-500)))=0,"",INDEX('My equipment'!$A$4:$A$503,(_calc!$E$614-500)))&amp;" – "&amp;IF(LEN(INDEX('My equipment'!$D$4:$D$503,(_calc!$E$614-500)))=0,"",INDEX('My equipment'!$D$4:$D$503,(_calc!$E$614-500)))))</f>
        <v/>
      </c>
      <c r="B612" s="54">
        <f>IF(_calc!$E$614="","",IF(_calc!$E$614&lt;=500,IF(ISNUMBER(INDEX('Dealer pipeline'!$M$4:$M$503,_calc!$E$614)),TEXT(INDEX('Dealer pipeline'!$M$4:$M$503,_calc!$E$614),"yyyy-mm-dd"),""),IF(ISNUMBER(INDEX('My equipment'!$M$4:$M$503,(_calc!$E$614-500))),TEXT(INDEX('My equipment'!$M$4:$M$503,(_calc!$E$614-500)),"yyyy-mm-dd"),"")))</f>
        <v/>
      </c>
      <c r="C612" s="54">
        <f>IF(_calc!$E$614="","",IF(_calc!$E$614&lt;=500,"Warranty","Warranty"))</f>
        <v/>
      </c>
      <c r="D612" s="54">
        <f>IF(_calc!$E$614="","",IF(_calc!$E$614&lt;=500,IF(ISNUMBER(INDEX('Dealer pipeline'!$H$4:$H$503,_calc!$E$614)),TEXT(INDEX('Dealer pipeline'!$H$4:$H$503,_calc!$E$614),"yyyy-mm-dd"),""),IF(ISNUMBER(INDEX('My equipment'!$H$4:$H$503,(_calc!$E$614-500))),TEXT(INDEX('My equipment'!$H$4:$H$503,(_calc!$E$614-500)),"yyyy-mm-dd"),"")))</f>
        <v/>
      </c>
      <c r="F612" s="54">
        <f>IF(_calc!$E$614="","",IF(_calc!$E$614&lt;=500,TRIM(IF(LEN(IF(LEN(INDEX('Dealer pipeline'!$A$4:$A$503,_calc!$E$614))=0,"",INDEX('Dealer pipeline'!$A$4:$A$503,_calc!$E$614)))=0,"","Customer: "&amp;IF(LEN(INDEX('Dealer pipeline'!$A$4:$A$503,_calc!$E$614))=0,"",INDEX('Dealer pipeline'!$A$4:$A$503,_calc!$E$614))&amp;". ")&amp;IF(LEN(IF(LEN(INDEX('Dealer pipeline'!$B$4:$B$503,_calc!$E$614))=0,"",INDEX('Dealer pipeline'!$B$4:$B$503,_calc!$E$614)))=0,"","Contact: "&amp;IF(LEN(INDEX('Dealer pipeline'!$B$4:$B$503,_calc!$E$614))=0,"",INDEX('Dealer pipeline'!$B$4:$B$503,_calc!$E$614))&amp;". ")&amp;IF(LEN(IF(LEN(INDEX('Dealer pipeline'!$D$4:$D$503,_calc!$E$614))=0,"",INDEX('Dealer pipeline'!$D$4:$D$503,_calc!$E$614)))=0,"","Serial: "&amp;IF(LEN(INDEX('Dealer pipeline'!$D$4:$D$503,_calc!$E$614))=0,"",INDEX('Dealer pipeline'!$D$4:$D$503,_calc!$E$614))&amp;". ")&amp;IF(LEN(IF(ISNUMBER(INDEX('Dealer pipeline'!$J$4:$J$503,_calc!$E$614)),TEXT(INDEX('Dealer pipeline'!$J$4:$J$503,_calc!$E$614),"yyyy-mm-dd"),""))=0,"","Parts end: "&amp;IF(ISNUMBER(INDEX('Dealer pipeline'!$J$4:$J$503,_calc!$E$614)),TEXT(INDEX('Dealer pipeline'!$J$4:$J$503,_calc!$E$614),"yyyy-mm-dd"),"")&amp;". ")&amp;IF(LEN(IF(ISNUMBER(INDEX('Dealer pipeline'!$L$4:$L$503,_calc!$E$614)),TEXT(INDEX('Dealer pipeline'!$L$4:$L$503,_calc!$E$614),"yyyy-mm-dd"),""))=0,"","Labor end: "&amp;IF(ISNUMBER(INDEX('Dealer pipeline'!$L$4:$L$503,_calc!$E$614)),TEXT(INDEX('Dealer pipeline'!$L$4:$L$503,_calc!$E$614),"yyyy-mm-dd"),"")&amp;". ")&amp;IF(LEN(IF(LEN(INDEX('Dealer pipeline'!$Q$4:$Q$503,_calc!$E$614))=0,"",INDEX('Dealer pipeline'!$Q$4:$Q$503,_calc!$E$614)))=0,"","Status: "&amp;IF(LEN(INDEX('Dealer pipeline'!$Q$4:$Q$503,_calc!$E$614))=0,"",INDEX('Dealer pipeline'!$Q$4:$Q$503,_calc!$E$614))&amp;". ")&amp;IF(LEN(IF(LEN(INDEX('Dealer pipeline'!$P$4:$P$503,_calc!$E$614))=0,"",INDEX('Dealer pipeline'!$P$4:$P$503,_calc!$E$614)))=0,"","Last touch: "&amp;IF(LEN(INDEX('Dealer pipeline'!$P$4:$P$503,_calc!$E$614))=0,"",INDEX('Dealer pipeline'!$P$4:$P$503,_calc!$E$614))&amp;". ")&amp;IF(LEN(IF(LEN(INDEX('Dealer pipeline'!$R$4:$R$503,_calc!$E$614))=0,"",INDEX('Dealer pipeline'!$R$4:$R$503,_calc!$E$614)))=0,"","Owner: "&amp;IF(LEN(INDEX('Dealer pipeline'!$R$4:$R$503,_calc!$E$614))=0,"",INDEX('Dealer pipeline'!$R$4:$R$503,_calc!$E$614))&amp;". ")&amp;IF(LEN(IF(LEN(INDEX('Dealer pipeline'!$S$4:$S$503,_calc!$E$614))=0,"",INDEX('Dealer pipeline'!$S$4:$S$503,_calc!$E$614)))=0,"","Backup: "&amp;IF(LEN(INDEX('Dealer pipeline'!$S$4:$S$503,_calc!$E$614))=0,"",INDEX('Dealer pipeline'!$S$4:$S$503,_calc!$E$614))&amp;". ")&amp;IF(LEN(IF(LEN(INDEX('Dealer pipeline'!$T$4:$T$503,_calc!$E$614))=0,"",INDEX('Dealer pipeline'!$T$4:$T$503,_calc!$E$614)))=0,"",IF(LEN(INDEX('Dealer pipeline'!$T$4:$T$503,_calc!$E$614))=0,"",INDEX('Dealer pipeline'!$T$4:$T$503,_calc!$E$614)))),TRIM(IF(LEN(IF(LEN(INDEX('My equipment'!$C$4:$C$503,(_calc!$E$614-500)))=0,"",INDEX('My equipment'!$C$4:$C$503,(_calc!$E$614-500))))=0,"","Model: "&amp;IF(LEN(INDEX('My equipment'!$C$4:$C$503,(_calc!$E$614-500)))=0,"",INDEX('My equipment'!$C$4:$C$503,(_calc!$E$614-500)))&amp;". ")&amp;IF(LEN(IF(LEN(INDEX('My equipment'!$D$4:$D$503,(_calc!$E$614-500)))=0,"",INDEX('My equipment'!$D$4:$D$503,(_calc!$E$614-500))))=0,"","Serial: "&amp;IF(LEN(INDEX('My equipment'!$D$4:$D$503,(_calc!$E$614-500)))=0,"",INDEX('My equipment'!$D$4:$D$503,(_calc!$E$614-500)))&amp;". ")&amp;IF(LEN(IF(ISNUMBER(INDEX('My equipment'!$J$4:$J$503,(_calc!$E$614-500))),TEXT(INDEX('My equipment'!$J$4:$J$503,(_calc!$E$614-500)),"yyyy-mm-dd"),""))=0,"","Parts end: "&amp;IF(ISNUMBER(INDEX('My equipment'!$J$4:$J$503,(_calc!$E$614-500))),TEXT(INDEX('My equipment'!$J$4:$J$503,(_calc!$E$614-500)),"yyyy-mm-dd"),"")&amp;". ")&amp;IF(LEN(IF(ISNUMBER(INDEX('My equipment'!$L$4:$L$503,(_calc!$E$614-500))),TEXT(INDEX('My equipment'!$L$4:$L$503,(_calc!$E$614-500)),"yyyy-mm-dd"),""))=0,"","Labor end: "&amp;IF(ISNUMBER(INDEX('My equipment'!$L$4:$L$503,(_calc!$E$614-500))),TEXT(INDEX('My equipment'!$L$4:$L$503,(_calc!$E$614-500)),"yyyy-mm-dd"),"")&amp;". ")&amp;IF(LEN(IF(ISNUMBER(INDEX('My equipment'!$P$4:$P$503,(_calc!$E$614-500))),TEXT(INDEX('My equipment'!$P$4:$P$503,(_calc!$E$614-500)),"yyyy-mm-dd"),""))=0,"","Check by: "&amp;IF(ISNUMBER(INDEX('My equipment'!$P$4:$P$503,(_calc!$E$614-500))),TEXT(INDEX('My equipment'!$P$4:$P$503,(_calc!$E$614-500)),"yyyy-mm-dd"),"")&amp;". ")&amp;IF(LEN(IF(LEN(INDEX('My equipment'!$Q$4:$Q$503,(_calc!$E$614-500)))=0,"",INDEX('My equipment'!$Q$4:$Q$503,(_calc!$E$614-500))))=0,"","Claim status: "&amp;IF(LEN(INDEX('My equipment'!$Q$4:$Q$503,(_calc!$E$614-500)))=0,"",INDEX('My equipment'!$Q$4:$Q$503,(_calc!$E$614-500)))&amp;". ")&amp;IF(LEN(IF(LEN(INDEX('My equipment'!$R$4:$R$503,(_calc!$E$614-500)))=0,"",INDEX('My equipment'!$R$4:$R$503,(_calc!$E$614-500))))=0,"","Claims contact: "&amp;IF(LEN(INDEX('My equipment'!$R$4:$R$503,(_calc!$E$614-500)))=0,"",INDEX('My equipment'!$R$4:$R$503,(_calc!$E$614-500)))&amp;". ")&amp;IF(LEN(IF(LEN(INDEX('My equipment'!$S$4:$S$503,(_calc!$E$614-500)))=0,"",INDEX('My equipment'!$S$4:$S$503,(_calc!$E$614-500))))=0,"","Claims email: "&amp;IF(LEN(INDEX('My equipment'!$S$4:$S$503,(_calc!$E$614-500)))=0,"",INDEX('My equipment'!$S$4:$S$503,(_calc!$E$614-500)))&amp;". ")&amp;IF(LEN(IF(LEN(INDEX('My equipment'!$U$4:$U$503,(_calc!$E$614-500)))=0,"",INDEX('My equipment'!$U$4:$U$503,(_calc!$E$614-500))))=0,"","Registered: "&amp;IF(LEN(INDEX('My equipment'!$U$4:$U$503,(_calc!$E$614-500)))=0,"",INDEX('My equipment'!$U$4:$U$503,(_calc!$E$614-500)))&amp;". ")&amp;IF(LEN(IF(LEN(INDEX('My equipment'!$V$4:$V$503,(_calc!$E$614-500)))=0,"",INDEX('My equipment'!$V$4:$V$503,(_calc!$E$614-500))))=0,"","Proof on file: "&amp;IF(LEN(INDEX('My equipment'!$V$4:$V$503,(_calc!$E$614-500)))=0,"",INDEX('My equipment'!$V$4:$V$503,(_calc!$E$614-500)))&amp;". ")&amp;IF(LEN(IF(LEN(INDEX('My equipment'!$W$4:$W$503,(_calc!$E$614-500)))=0,"",INDEX('My equipment'!$W$4:$W$503,(_calc!$E$614-500))))=0,"","Claim ref: "&amp;IF(LEN(INDEX('My equipment'!$W$4:$W$503,(_calc!$E$614-500)))=0,"",INDEX('My equipment'!$W$4:$W$503,(_calc!$E$614-500)))&amp;". ")&amp;IF(LEN(IF(LEN(INDEX('My equipment'!$Y$4:$Y$503,(_calc!$E$614-500)))=0,"",INDEX('My equipment'!$Y$4:$Y$503,(_calc!$E$614-500))))=0,"",IF(LEN(INDEX('My equipment'!$Y$4:$Y$503,(_calc!$E$614-500)))=0,"",INDEX('My equipment'!$Y$4:$Y$503,(_calc!$E$614-500)))))))</f>
        <v/>
      </c>
      <c r="G612" s="54">
        <f>IF(_calc!$E$614="","",IF(_calc!$E$614&lt;=500,"",IF(LEN(INDEX('My equipment'!$X$4:$X$503,(_calc!$E$614-500)))=0,"",INDEX('My equipment'!$X$4:$X$503,(_calc!$E$614-500)))))</f>
        <v/>
      </c>
      <c r="K612" s="54">
        <f>IF(_calc!$E$614="","",IF(_calc!$E$614&lt;=500,"",IF(LEN(INDEX('My equipment'!$T$4:$T$503,(_calc!$E$614-500)))=0,"",INDEX('My equipment'!$T$4:$T$503,(_calc!$E$614-500)))))</f>
        <v/>
      </c>
    </row>
    <row r="613">
      <c r="A613" s="54">
        <f>IF(_calc!$E$615="","",IF(_calc!$E$615&lt;=500,"Warranty – "&amp;IF(LEN(INDEX('Dealer pipeline'!$C$4:$C$503,_calc!$E$615))=0,"",INDEX('Dealer pipeline'!$C$4:$C$503,_calc!$E$615))&amp;" – "&amp;IF(LEN(INDEX('Dealer pipeline'!$D$4:$D$503,_calc!$E$615))=0,"",INDEX('Dealer pipeline'!$D$4:$D$503,_calc!$E$615))&amp;" – "&amp;IF(LEN(INDEX('Dealer pipeline'!$A$4:$A$503,_calc!$E$615))=0,"",INDEX('Dealer pipeline'!$A$4:$A$503,_calc!$E$615)),"Warranty – "&amp;IF(LEN(INDEX('My equipment'!$A$4:$A$503,(_calc!$E$615-500)))=0,"",INDEX('My equipment'!$A$4:$A$503,(_calc!$E$615-500)))&amp;" – "&amp;IF(LEN(INDEX('My equipment'!$D$4:$D$503,(_calc!$E$615-500)))=0,"",INDEX('My equipment'!$D$4:$D$503,(_calc!$E$615-500)))))</f>
        <v/>
      </c>
      <c r="B613" s="54">
        <f>IF(_calc!$E$615="","",IF(_calc!$E$615&lt;=500,IF(ISNUMBER(INDEX('Dealer pipeline'!$M$4:$M$503,_calc!$E$615)),TEXT(INDEX('Dealer pipeline'!$M$4:$M$503,_calc!$E$615),"yyyy-mm-dd"),""),IF(ISNUMBER(INDEX('My equipment'!$M$4:$M$503,(_calc!$E$615-500))),TEXT(INDEX('My equipment'!$M$4:$M$503,(_calc!$E$615-500)),"yyyy-mm-dd"),"")))</f>
        <v/>
      </c>
      <c r="C613" s="54">
        <f>IF(_calc!$E$615="","",IF(_calc!$E$615&lt;=500,"Warranty","Warranty"))</f>
        <v/>
      </c>
      <c r="D613" s="54">
        <f>IF(_calc!$E$615="","",IF(_calc!$E$615&lt;=500,IF(ISNUMBER(INDEX('Dealer pipeline'!$H$4:$H$503,_calc!$E$615)),TEXT(INDEX('Dealer pipeline'!$H$4:$H$503,_calc!$E$615),"yyyy-mm-dd"),""),IF(ISNUMBER(INDEX('My equipment'!$H$4:$H$503,(_calc!$E$615-500))),TEXT(INDEX('My equipment'!$H$4:$H$503,(_calc!$E$615-500)),"yyyy-mm-dd"),"")))</f>
        <v/>
      </c>
      <c r="F613" s="54">
        <f>IF(_calc!$E$615="","",IF(_calc!$E$615&lt;=500,TRIM(IF(LEN(IF(LEN(INDEX('Dealer pipeline'!$A$4:$A$503,_calc!$E$615))=0,"",INDEX('Dealer pipeline'!$A$4:$A$503,_calc!$E$615)))=0,"","Customer: "&amp;IF(LEN(INDEX('Dealer pipeline'!$A$4:$A$503,_calc!$E$615))=0,"",INDEX('Dealer pipeline'!$A$4:$A$503,_calc!$E$615))&amp;". ")&amp;IF(LEN(IF(LEN(INDEX('Dealer pipeline'!$B$4:$B$503,_calc!$E$615))=0,"",INDEX('Dealer pipeline'!$B$4:$B$503,_calc!$E$615)))=0,"","Contact: "&amp;IF(LEN(INDEX('Dealer pipeline'!$B$4:$B$503,_calc!$E$615))=0,"",INDEX('Dealer pipeline'!$B$4:$B$503,_calc!$E$615))&amp;". ")&amp;IF(LEN(IF(LEN(INDEX('Dealer pipeline'!$D$4:$D$503,_calc!$E$615))=0,"",INDEX('Dealer pipeline'!$D$4:$D$503,_calc!$E$615)))=0,"","Serial: "&amp;IF(LEN(INDEX('Dealer pipeline'!$D$4:$D$503,_calc!$E$615))=0,"",INDEX('Dealer pipeline'!$D$4:$D$503,_calc!$E$615))&amp;". ")&amp;IF(LEN(IF(ISNUMBER(INDEX('Dealer pipeline'!$J$4:$J$503,_calc!$E$615)),TEXT(INDEX('Dealer pipeline'!$J$4:$J$503,_calc!$E$615),"yyyy-mm-dd"),""))=0,"","Parts end: "&amp;IF(ISNUMBER(INDEX('Dealer pipeline'!$J$4:$J$503,_calc!$E$615)),TEXT(INDEX('Dealer pipeline'!$J$4:$J$503,_calc!$E$615),"yyyy-mm-dd"),"")&amp;". ")&amp;IF(LEN(IF(ISNUMBER(INDEX('Dealer pipeline'!$L$4:$L$503,_calc!$E$615)),TEXT(INDEX('Dealer pipeline'!$L$4:$L$503,_calc!$E$615),"yyyy-mm-dd"),""))=0,"","Labor end: "&amp;IF(ISNUMBER(INDEX('Dealer pipeline'!$L$4:$L$503,_calc!$E$615)),TEXT(INDEX('Dealer pipeline'!$L$4:$L$503,_calc!$E$615),"yyyy-mm-dd"),"")&amp;". ")&amp;IF(LEN(IF(LEN(INDEX('Dealer pipeline'!$Q$4:$Q$503,_calc!$E$615))=0,"",INDEX('Dealer pipeline'!$Q$4:$Q$503,_calc!$E$615)))=0,"","Status: "&amp;IF(LEN(INDEX('Dealer pipeline'!$Q$4:$Q$503,_calc!$E$615))=0,"",INDEX('Dealer pipeline'!$Q$4:$Q$503,_calc!$E$615))&amp;". ")&amp;IF(LEN(IF(LEN(INDEX('Dealer pipeline'!$P$4:$P$503,_calc!$E$615))=0,"",INDEX('Dealer pipeline'!$P$4:$P$503,_calc!$E$615)))=0,"","Last touch: "&amp;IF(LEN(INDEX('Dealer pipeline'!$P$4:$P$503,_calc!$E$615))=0,"",INDEX('Dealer pipeline'!$P$4:$P$503,_calc!$E$615))&amp;". ")&amp;IF(LEN(IF(LEN(INDEX('Dealer pipeline'!$R$4:$R$503,_calc!$E$615))=0,"",INDEX('Dealer pipeline'!$R$4:$R$503,_calc!$E$615)))=0,"","Owner: "&amp;IF(LEN(INDEX('Dealer pipeline'!$R$4:$R$503,_calc!$E$615))=0,"",INDEX('Dealer pipeline'!$R$4:$R$503,_calc!$E$615))&amp;". ")&amp;IF(LEN(IF(LEN(INDEX('Dealer pipeline'!$S$4:$S$503,_calc!$E$615))=0,"",INDEX('Dealer pipeline'!$S$4:$S$503,_calc!$E$615)))=0,"","Backup: "&amp;IF(LEN(INDEX('Dealer pipeline'!$S$4:$S$503,_calc!$E$615))=0,"",INDEX('Dealer pipeline'!$S$4:$S$503,_calc!$E$615))&amp;". ")&amp;IF(LEN(IF(LEN(INDEX('Dealer pipeline'!$T$4:$T$503,_calc!$E$615))=0,"",INDEX('Dealer pipeline'!$T$4:$T$503,_calc!$E$615)))=0,"",IF(LEN(INDEX('Dealer pipeline'!$T$4:$T$503,_calc!$E$615))=0,"",INDEX('Dealer pipeline'!$T$4:$T$503,_calc!$E$615)))),TRIM(IF(LEN(IF(LEN(INDEX('My equipment'!$C$4:$C$503,(_calc!$E$615-500)))=0,"",INDEX('My equipment'!$C$4:$C$503,(_calc!$E$615-500))))=0,"","Model: "&amp;IF(LEN(INDEX('My equipment'!$C$4:$C$503,(_calc!$E$615-500)))=0,"",INDEX('My equipment'!$C$4:$C$503,(_calc!$E$615-500)))&amp;". ")&amp;IF(LEN(IF(LEN(INDEX('My equipment'!$D$4:$D$503,(_calc!$E$615-500)))=0,"",INDEX('My equipment'!$D$4:$D$503,(_calc!$E$615-500))))=0,"","Serial: "&amp;IF(LEN(INDEX('My equipment'!$D$4:$D$503,(_calc!$E$615-500)))=0,"",INDEX('My equipment'!$D$4:$D$503,(_calc!$E$615-500)))&amp;". ")&amp;IF(LEN(IF(ISNUMBER(INDEX('My equipment'!$J$4:$J$503,(_calc!$E$615-500))),TEXT(INDEX('My equipment'!$J$4:$J$503,(_calc!$E$615-500)),"yyyy-mm-dd"),""))=0,"","Parts end: "&amp;IF(ISNUMBER(INDEX('My equipment'!$J$4:$J$503,(_calc!$E$615-500))),TEXT(INDEX('My equipment'!$J$4:$J$503,(_calc!$E$615-500)),"yyyy-mm-dd"),"")&amp;". ")&amp;IF(LEN(IF(ISNUMBER(INDEX('My equipment'!$L$4:$L$503,(_calc!$E$615-500))),TEXT(INDEX('My equipment'!$L$4:$L$503,(_calc!$E$615-500)),"yyyy-mm-dd"),""))=0,"","Labor end: "&amp;IF(ISNUMBER(INDEX('My equipment'!$L$4:$L$503,(_calc!$E$615-500))),TEXT(INDEX('My equipment'!$L$4:$L$503,(_calc!$E$615-500)),"yyyy-mm-dd"),"")&amp;". ")&amp;IF(LEN(IF(ISNUMBER(INDEX('My equipment'!$P$4:$P$503,(_calc!$E$615-500))),TEXT(INDEX('My equipment'!$P$4:$P$503,(_calc!$E$615-500)),"yyyy-mm-dd"),""))=0,"","Check by: "&amp;IF(ISNUMBER(INDEX('My equipment'!$P$4:$P$503,(_calc!$E$615-500))),TEXT(INDEX('My equipment'!$P$4:$P$503,(_calc!$E$615-500)),"yyyy-mm-dd"),"")&amp;". ")&amp;IF(LEN(IF(LEN(INDEX('My equipment'!$Q$4:$Q$503,(_calc!$E$615-500)))=0,"",INDEX('My equipment'!$Q$4:$Q$503,(_calc!$E$615-500))))=0,"","Claim status: "&amp;IF(LEN(INDEX('My equipment'!$Q$4:$Q$503,(_calc!$E$615-500)))=0,"",INDEX('My equipment'!$Q$4:$Q$503,(_calc!$E$615-500)))&amp;". ")&amp;IF(LEN(IF(LEN(INDEX('My equipment'!$R$4:$R$503,(_calc!$E$615-500)))=0,"",INDEX('My equipment'!$R$4:$R$503,(_calc!$E$615-500))))=0,"","Claims contact: "&amp;IF(LEN(INDEX('My equipment'!$R$4:$R$503,(_calc!$E$615-500)))=0,"",INDEX('My equipment'!$R$4:$R$503,(_calc!$E$615-500)))&amp;". ")&amp;IF(LEN(IF(LEN(INDEX('My equipment'!$S$4:$S$503,(_calc!$E$615-500)))=0,"",INDEX('My equipment'!$S$4:$S$503,(_calc!$E$615-500))))=0,"","Claims email: "&amp;IF(LEN(INDEX('My equipment'!$S$4:$S$503,(_calc!$E$615-500)))=0,"",INDEX('My equipment'!$S$4:$S$503,(_calc!$E$615-500)))&amp;". ")&amp;IF(LEN(IF(LEN(INDEX('My equipment'!$U$4:$U$503,(_calc!$E$615-500)))=0,"",INDEX('My equipment'!$U$4:$U$503,(_calc!$E$615-500))))=0,"","Registered: "&amp;IF(LEN(INDEX('My equipment'!$U$4:$U$503,(_calc!$E$615-500)))=0,"",INDEX('My equipment'!$U$4:$U$503,(_calc!$E$615-500)))&amp;". ")&amp;IF(LEN(IF(LEN(INDEX('My equipment'!$V$4:$V$503,(_calc!$E$615-500)))=0,"",INDEX('My equipment'!$V$4:$V$503,(_calc!$E$615-500))))=0,"","Proof on file: "&amp;IF(LEN(INDEX('My equipment'!$V$4:$V$503,(_calc!$E$615-500)))=0,"",INDEX('My equipment'!$V$4:$V$503,(_calc!$E$615-500)))&amp;". ")&amp;IF(LEN(IF(LEN(INDEX('My equipment'!$W$4:$W$503,(_calc!$E$615-500)))=0,"",INDEX('My equipment'!$W$4:$W$503,(_calc!$E$615-500))))=0,"","Claim ref: "&amp;IF(LEN(INDEX('My equipment'!$W$4:$W$503,(_calc!$E$615-500)))=0,"",INDEX('My equipment'!$W$4:$W$503,(_calc!$E$615-500)))&amp;". ")&amp;IF(LEN(IF(LEN(INDEX('My equipment'!$Y$4:$Y$503,(_calc!$E$615-500)))=0,"",INDEX('My equipment'!$Y$4:$Y$503,(_calc!$E$615-500))))=0,"",IF(LEN(INDEX('My equipment'!$Y$4:$Y$503,(_calc!$E$615-500)))=0,"",INDEX('My equipment'!$Y$4:$Y$503,(_calc!$E$615-500)))))))</f>
        <v/>
      </c>
      <c r="G613" s="54">
        <f>IF(_calc!$E$615="","",IF(_calc!$E$615&lt;=500,"",IF(LEN(INDEX('My equipment'!$X$4:$X$503,(_calc!$E$615-500)))=0,"",INDEX('My equipment'!$X$4:$X$503,(_calc!$E$615-500)))))</f>
        <v/>
      </c>
      <c r="K613" s="54">
        <f>IF(_calc!$E$615="","",IF(_calc!$E$615&lt;=500,"",IF(LEN(INDEX('My equipment'!$T$4:$T$503,(_calc!$E$615-500)))=0,"",INDEX('My equipment'!$T$4:$T$503,(_calc!$E$615-500)))))</f>
        <v/>
      </c>
    </row>
    <row r="614">
      <c r="A614" s="54">
        <f>IF(_calc!$E$616="","",IF(_calc!$E$616&lt;=500,"Warranty – "&amp;IF(LEN(INDEX('Dealer pipeline'!$C$4:$C$503,_calc!$E$616))=0,"",INDEX('Dealer pipeline'!$C$4:$C$503,_calc!$E$616))&amp;" – "&amp;IF(LEN(INDEX('Dealer pipeline'!$D$4:$D$503,_calc!$E$616))=0,"",INDEX('Dealer pipeline'!$D$4:$D$503,_calc!$E$616))&amp;" – "&amp;IF(LEN(INDEX('Dealer pipeline'!$A$4:$A$503,_calc!$E$616))=0,"",INDEX('Dealer pipeline'!$A$4:$A$503,_calc!$E$616)),"Warranty – "&amp;IF(LEN(INDEX('My equipment'!$A$4:$A$503,(_calc!$E$616-500)))=0,"",INDEX('My equipment'!$A$4:$A$503,(_calc!$E$616-500)))&amp;" – "&amp;IF(LEN(INDEX('My equipment'!$D$4:$D$503,(_calc!$E$616-500)))=0,"",INDEX('My equipment'!$D$4:$D$503,(_calc!$E$616-500)))))</f>
        <v/>
      </c>
      <c r="B614" s="54">
        <f>IF(_calc!$E$616="","",IF(_calc!$E$616&lt;=500,IF(ISNUMBER(INDEX('Dealer pipeline'!$M$4:$M$503,_calc!$E$616)),TEXT(INDEX('Dealer pipeline'!$M$4:$M$503,_calc!$E$616),"yyyy-mm-dd"),""),IF(ISNUMBER(INDEX('My equipment'!$M$4:$M$503,(_calc!$E$616-500))),TEXT(INDEX('My equipment'!$M$4:$M$503,(_calc!$E$616-500)),"yyyy-mm-dd"),"")))</f>
        <v/>
      </c>
      <c r="C614" s="54">
        <f>IF(_calc!$E$616="","",IF(_calc!$E$616&lt;=500,"Warranty","Warranty"))</f>
        <v/>
      </c>
      <c r="D614" s="54">
        <f>IF(_calc!$E$616="","",IF(_calc!$E$616&lt;=500,IF(ISNUMBER(INDEX('Dealer pipeline'!$H$4:$H$503,_calc!$E$616)),TEXT(INDEX('Dealer pipeline'!$H$4:$H$503,_calc!$E$616),"yyyy-mm-dd"),""),IF(ISNUMBER(INDEX('My equipment'!$H$4:$H$503,(_calc!$E$616-500))),TEXT(INDEX('My equipment'!$H$4:$H$503,(_calc!$E$616-500)),"yyyy-mm-dd"),"")))</f>
        <v/>
      </c>
      <c r="F614" s="54">
        <f>IF(_calc!$E$616="","",IF(_calc!$E$616&lt;=500,TRIM(IF(LEN(IF(LEN(INDEX('Dealer pipeline'!$A$4:$A$503,_calc!$E$616))=0,"",INDEX('Dealer pipeline'!$A$4:$A$503,_calc!$E$616)))=0,"","Customer: "&amp;IF(LEN(INDEX('Dealer pipeline'!$A$4:$A$503,_calc!$E$616))=0,"",INDEX('Dealer pipeline'!$A$4:$A$503,_calc!$E$616))&amp;". ")&amp;IF(LEN(IF(LEN(INDEX('Dealer pipeline'!$B$4:$B$503,_calc!$E$616))=0,"",INDEX('Dealer pipeline'!$B$4:$B$503,_calc!$E$616)))=0,"","Contact: "&amp;IF(LEN(INDEX('Dealer pipeline'!$B$4:$B$503,_calc!$E$616))=0,"",INDEX('Dealer pipeline'!$B$4:$B$503,_calc!$E$616))&amp;". ")&amp;IF(LEN(IF(LEN(INDEX('Dealer pipeline'!$D$4:$D$503,_calc!$E$616))=0,"",INDEX('Dealer pipeline'!$D$4:$D$503,_calc!$E$616)))=0,"","Serial: "&amp;IF(LEN(INDEX('Dealer pipeline'!$D$4:$D$503,_calc!$E$616))=0,"",INDEX('Dealer pipeline'!$D$4:$D$503,_calc!$E$616))&amp;". ")&amp;IF(LEN(IF(ISNUMBER(INDEX('Dealer pipeline'!$J$4:$J$503,_calc!$E$616)),TEXT(INDEX('Dealer pipeline'!$J$4:$J$503,_calc!$E$616),"yyyy-mm-dd"),""))=0,"","Parts end: "&amp;IF(ISNUMBER(INDEX('Dealer pipeline'!$J$4:$J$503,_calc!$E$616)),TEXT(INDEX('Dealer pipeline'!$J$4:$J$503,_calc!$E$616),"yyyy-mm-dd"),"")&amp;". ")&amp;IF(LEN(IF(ISNUMBER(INDEX('Dealer pipeline'!$L$4:$L$503,_calc!$E$616)),TEXT(INDEX('Dealer pipeline'!$L$4:$L$503,_calc!$E$616),"yyyy-mm-dd"),""))=0,"","Labor end: "&amp;IF(ISNUMBER(INDEX('Dealer pipeline'!$L$4:$L$503,_calc!$E$616)),TEXT(INDEX('Dealer pipeline'!$L$4:$L$503,_calc!$E$616),"yyyy-mm-dd"),"")&amp;". ")&amp;IF(LEN(IF(LEN(INDEX('Dealer pipeline'!$Q$4:$Q$503,_calc!$E$616))=0,"",INDEX('Dealer pipeline'!$Q$4:$Q$503,_calc!$E$616)))=0,"","Status: "&amp;IF(LEN(INDEX('Dealer pipeline'!$Q$4:$Q$503,_calc!$E$616))=0,"",INDEX('Dealer pipeline'!$Q$4:$Q$503,_calc!$E$616))&amp;". ")&amp;IF(LEN(IF(LEN(INDEX('Dealer pipeline'!$P$4:$P$503,_calc!$E$616))=0,"",INDEX('Dealer pipeline'!$P$4:$P$503,_calc!$E$616)))=0,"","Last touch: "&amp;IF(LEN(INDEX('Dealer pipeline'!$P$4:$P$503,_calc!$E$616))=0,"",INDEX('Dealer pipeline'!$P$4:$P$503,_calc!$E$616))&amp;". ")&amp;IF(LEN(IF(LEN(INDEX('Dealer pipeline'!$R$4:$R$503,_calc!$E$616))=0,"",INDEX('Dealer pipeline'!$R$4:$R$503,_calc!$E$616)))=0,"","Owner: "&amp;IF(LEN(INDEX('Dealer pipeline'!$R$4:$R$503,_calc!$E$616))=0,"",INDEX('Dealer pipeline'!$R$4:$R$503,_calc!$E$616))&amp;". ")&amp;IF(LEN(IF(LEN(INDEX('Dealer pipeline'!$S$4:$S$503,_calc!$E$616))=0,"",INDEX('Dealer pipeline'!$S$4:$S$503,_calc!$E$616)))=0,"","Backup: "&amp;IF(LEN(INDEX('Dealer pipeline'!$S$4:$S$503,_calc!$E$616))=0,"",INDEX('Dealer pipeline'!$S$4:$S$503,_calc!$E$616))&amp;". ")&amp;IF(LEN(IF(LEN(INDEX('Dealer pipeline'!$T$4:$T$503,_calc!$E$616))=0,"",INDEX('Dealer pipeline'!$T$4:$T$503,_calc!$E$616)))=0,"",IF(LEN(INDEX('Dealer pipeline'!$T$4:$T$503,_calc!$E$616))=0,"",INDEX('Dealer pipeline'!$T$4:$T$503,_calc!$E$616)))),TRIM(IF(LEN(IF(LEN(INDEX('My equipment'!$C$4:$C$503,(_calc!$E$616-500)))=0,"",INDEX('My equipment'!$C$4:$C$503,(_calc!$E$616-500))))=0,"","Model: "&amp;IF(LEN(INDEX('My equipment'!$C$4:$C$503,(_calc!$E$616-500)))=0,"",INDEX('My equipment'!$C$4:$C$503,(_calc!$E$616-500)))&amp;". ")&amp;IF(LEN(IF(LEN(INDEX('My equipment'!$D$4:$D$503,(_calc!$E$616-500)))=0,"",INDEX('My equipment'!$D$4:$D$503,(_calc!$E$616-500))))=0,"","Serial: "&amp;IF(LEN(INDEX('My equipment'!$D$4:$D$503,(_calc!$E$616-500)))=0,"",INDEX('My equipment'!$D$4:$D$503,(_calc!$E$616-500)))&amp;". ")&amp;IF(LEN(IF(ISNUMBER(INDEX('My equipment'!$J$4:$J$503,(_calc!$E$616-500))),TEXT(INDEX('My equipment'!$J$4:$J$503,(_calc!$E$616-500)),"yyyy-mm-dd"),""))=0,"","Parts end: "&amp;IF(ISNUMBER(INDEX('My equipment'!$J$4:$J$503,(_calc!$E$616-500))),TEXT(INDEX('My equipment'!$J$4:$J$503,(_calc!$E$616-500)),"yyyy-mm-dd"),"")&amp;". ")&amp;IF(LEN(IF(ISNUMBER(INDEX('My equipment'!$L$4:$L$503,(_calc!$E$616-500))),TEXT(INDEX('My equipment'!$L$4:$L$503,(_calc!$E$616-500)),"yyyy-mm-dd"),""))=0,"","Labor end: "&amp;IF(ISNUMBER(INDEX('My equipment'!$L$4:$L$503,(_calc!$E$616-500))),TEXT(INDEX('My equipment'!$L$4:$L$503,(_calc!$E$616-500)),"yyyy-mm-dd"),"")&amp;". ")&amp;IF(LEN(IF(ISNUMBER(INDEX('My equipment'!$P$4:$P$503,(_calc!$E$616-500))),TEXT(INDEX('My equipment'!$P$4:$P$503,(_calc!$E$616-500)),"yyyy-mm-dd"),""))=0,"","Check by: "&amp;IF(ISNUMBER(INDEX('My equipment'!$P$4:$P$503,(_calc!$E$616-500))),TEXT(INDEX('My equipment'!$P$4:$P$503,(_calc!$E$616-500)),"yyyy-mm-dd"),"")&amp;". ")&amp;IF(LEN(IF(LEN(INDEX('My equipment'!$Q$4:$Q$503,(_calc!$E$616-500)))=0,"",INDEX('My equipment'!$Q$4:$Q$503,(_calc!$E$616-500))))=0,"","Claim status: "&amp;IF(LEN(INDEX('My equipment'!$Q$4:$Q$503,(_calc!$E$616-500)))=0,"",INDEX('My equipment'!$Q$4:$Q$503,(_calc!$E$616-500)))&amp;". ")&amp;IF(LEN(IF(LEN(INDEX('My equipment'!$R$4:$R$503,(_calc!$E$616-500)))=0,"",INDEX('My equipment'!$R$4:$R$503,(_calc!$E$616-500))))=0,"","Claims contact: "&amp;IF(LEN(INDEX('My equipment'!$R$4:$R$503,(_calc!$E$616-500)))=0,"",INDEX('My equipment'!$R$4:$R$503,(_calc!$E$616-500)))&amp;". ")&amp;IF(LEN(IF(LEN(INDEX('My equipment'!$S$4:$S$503,(_calc!$E$616-500)))=0,"",INDEX('My equipment'!$S$4:$S$503,(_calc!$E$616-500))))=0,"","Claims email: "&amp;IF(LEN(INDEX('My equipment'!$S$4:$S$503,(_calc!$E$616-500)))=0,"",INDEX('My equipment'!$S$4:$S$503,(_calc!$E$616-500)))&amp;". ")&amp;IF(LEN(IF(LEN(INDEX('My equipment'!$U$4:$U$503,(_calc!$E$616-500)))=0,"",INDEX('My equipment'!$U$4:$U$503,(_calc!$E$616-500))))=0,"","Registered: "&amp;IF(LEN(INDEX('My equipment'!$U$4:$U$503,(_calc!$E$616-500)))=0,"",INDEX('My equipment'!$U$4:$U$503,(_calc!$E$616-500)))&amp;". ")&amp;IF(LEN(IF(LEN(INDEX('My equipment'!$V$4:$V$503,(_calc!$E$616-500)))=0,"",INDEX('My equipment'!$V$4:$V$503,(_calc!$E$616-500))))=0,"","Proof on file: "&amp;IF(LEN(INDEX('My equipment'!$V$4:$V$503,(_calc!$E$616-500)))=0,"",INDEX('My equipment'!$V$4:$V$503,(_calc!$E$616-500)))&amp;". ")&amp;IF(LEN(IF(LEN(INDEX('My equipment'!$W$4:$W$503,(_calc!$E$616-500)))=0,"",INDEX('My equipment'!$W$4:$W$503,(_calc!$E$616-500))))=0,"","Claim ref: "&amp;IF(LEN(INDEX('My equipment'!$W$4:$W$503,(_calc!$E$616-500)))=0,"",INDEX('My equipment'!$W$4:$W$503,(_calc!$E$616-500)))&amp;". ")&amp;IF(LEN(IF(LEN(INDEX('My equipment'!$Y$4:$Y$503,(_calc!$E$616-500)))=0,"",INDEX('My equipment'!$Y$4:$Y$503,(_calc!$E$616-500))))=0,"",IF(LEN(INDEX('My equipment'!$Y$4:$Y$503,(_calc!$E$616-500)))=0,"",INDEX('My equipment'!$Y$4:$Y$503,(_calc!$E$616-500)))))))</f>
        <v/>
      </c>
      <c r="G614" s="54">
        <f>IF(_calc!$E$616="","",IF(_calc!$E$616&lt;=500,"",IF(LEN(INDEX('My equipment'!$X$4:$X$503,(_calc!$E$616-500)))=0,"",INDEX('My equipment'!$X$4:$X$503,(_calc!$E$616-500)))))</f>
        <v/>
      </c>
      <c r="K614" s="54">
        <f>IF(_calc!$E$616="","",IF(_calc!$E$616&lt;=500,"",IF(LEN(INDEX('My equipment'!$T$4:$T$503,(_calc!$E$616-500)))=0,"",INDEX('My equipment'!$T$4:$T$503,(_calc!$E$616-500)))))</f>
        <v/>
      </c>
    </row>
    <row r="615">
      <c r="A615" s="54">
        <f>IF(_calc!$E$617="","",IF(_calc!$E$617&lt;=500,"Warranty – "&amp;IF(LEN(INDEX('Dealer pipeline'!$C$4:$C$503,_calc!$E$617))=0,"",INDEX('Dealer pipeline'!$C$4:$C$503,_calc!$E$617))&amp;" – "&amp;IF(LEN(INDEX('Dealer pipeline'!$D$4:$D$503,_calc!$E$617))=0,"",INDEX('Dealer pipeline'!$D$4:$D$503,_calc!$E$617))&amp;" – "&amp;IF(LEN(INDEX('Dealer pipeline'!$A$4:$A$503,_calc!$E$617))=0,"",INDEX('Dealer pipeline'!$A$4:$A$503,_calc!$E$617)),"Warranty – "&amp;IF(LEN(INDEX('My equipment'!$A$4:$A$503,(_calc!$E$617-500)))=0,"",INDEX('My equipment'!$A$4:$A$503,(_calc!$E$617-500)))&amp;" – "&amp;IF(LEN(INDEX('My equipment'!$D$4:$D$503,(_calc!$E$617-500)))=0,"",INDEX('My equipment'!$D$4:$D$503,(_calc!$E$617-500)))))</f>
        <v/>
      </c>
      <c r="B615" s="54">
        <f>IF(_calc!$E$617="","",IF(_calc!$E$617&lt;=500,IF(ISNUMBER(INDEX('Dealer pipeline'!$M$4:$M$503,_calc!$E$617)),TEXT(INDEX('Dealer pipeline'!$M$4:$M$503,_calc!$E$617),"yyyy-mm-dd"),""),IF(ISNUMBER(INDEX('My equipment'!$M$4:$M$503,(_calc!$E$617-500))),TEXT(INDEX('My equipment'!$M$4:$M$503,(_calc!$E$617-500)),"yyyy-mm-dd"),"")))</f>
        <v/>
      </c>
      <c r="C615" s="54">
        <f>IF(_calc!$E$617="","",IF(_calc!$E$617&lt;=500,"Warranty","Warranty"))</f>
        <v/>
      </c>
      <c r="D615" s="54">
        <f>IF(_calc!$E$617="","",IF(_calc!$E$617&lt;=500,IF(ISNUMBER(INDEX('Dealer pipeline'!$H$4:$H$503,_calc!$E$617)),TEXT(INDEX('Dealer pipeline'!$H$4:$H$503,_calc!$E$617),"yyyy-mm-dd"),""),IF(ISNUMBER(INDEX('My equipment'!$H$4:$H$503,(_calc!$E$617-500))),TEXT(INDEX('My equipment'!$H$4:$H$503,(_calc!$E$617-500)),"yyyy-mm-dd"),"")))</f>
        <v/>
      </c>
      <c r="F615" s="54">
        <f>IF(_calc!$E$617="","",IF(_calc!$E$617&lt;=500,TRIM(IF(LEN(IF(LEN(INDEX('Dealer pipeline'!$A$4:$A$503,_calc!$E$617))=0,"",INDEX('Dealer pipeline'!$A$4:$A$503,_calc!$E$617)))=0,"","Customer: "&amp;IF(LEN(INDEX('Dealer pipeline'!$A$4:$A$503,_calc!$E$617))=0,"",INDEX('Dealer pipeline'!$A$4:$A$503,_calc!$E$617))&amp;". ")&amp;IF(LEN(IF(LEN(INDEX('Dealer pipeline'!$B$4:$B$503,_calc!$E$617))=0,"",INDEX('Dealer pipeline'!$B$4:$B$503,_calc!$E$617)))=0,"","Contact: "&amp;IF(LEN(INDEX('Dealer pipeline'!$B$4:$B$503,_calc!$E$617))=0,"",INDEX('Dealer pipeline'!$B$4:$B$503,_calc!$E$617))&amp;". ")&amp;IF(LEN(IF(LEN(INDEX('Dealer pipeline'!$D$4:$D$503,_calc!$E$617))=0,"",INDEX('Dealer pipeline'!$D$4:$D$503,_calc!$E$617)))=0,"","Serial: "&amp;IF(LEN(INDEX('Dealer pipeline'!$D$4:$D$503,_calc!$E$617))=0,"",INDEX('Dealer pipeline'!$D$4:$D$503,_calc!$E$617))&amp;". ")&amp;IF(LEN(IF(ISNUMBER(INDEX('Dealer pipeline'!$J$4:$J$503,_calc!$E$617)),TEXT(INDEX('Dealer pipeline'!$J$4:$J$503,_calc!$E$617),"yyyy-mm-dd"),""))=0,"","Parts end: "&amp;IF(ISNUMBER(INDEX('Dealer pipeline'!$J$4:$J$503,_calc!$E$617)),TEXT(INDEX('Dealer pipeline'!$J$4:$J$503,_calc!$E$617),"yyyy-mm-dd"),"")&amp;". ")&amp;IF(LEN(IF(ISNUMBER(INDEX('Dealer pipeline'!$L$4:$L$503,_calc!$E$617)),TEXT(INDEX('Dealer pipeline'!$L$4:$L$503,_calc!$E$617),"yyyy-mm-dd"),""))=0,"","Labor end: "&amp;IF(ISNUMBER(INDEX('Dealer pipeline'!$L$4:$L$503,_calc!$E$617)),TEXT(INDEX('Dealer pipeline'!$L$4:$L$503,_calc!$E$617),"yyyy-mm-dd"),"")&amp;". ")&amp;IF(LEN(IF(LEN(INDEX('Dealer pipeline'!$Q$4:$Q$503,_calc!$E$617))=0,"",INDEX('Dealer pipeline'!$Q$4:$Q$503,_calc!$E$617)))=0,"","Status: "&amp;IF(LEN(INDEX('Dealer pipeline'!$Q$4:$Q$503,_calc!$E$617))=0,"",INDEX('Dealer pipeline'!$Q$4:$Q$503,_calc!$E$617))&amp;". ")&amp;IF(LEN(IF(LEN(INDEX('Dealer pipeline'!$P$4:$P$503,_calc!$E$617))=0,"",INDEX('Dealer pipeline'!$P$4:$P$503,_calc!$E$617)))=0,"","Last touch: "&amp;IF(LEN(INDEX('Dealer pipeline'!$P$4:$P$503,_calc!$E$617))=0,"",INDEX('Dealer pipeline'!$P$4:$P$503,_calc!$E$617))&amp;". ")&amp;IF(LEN(IF(LEN(INDEX('Dealer pipeline'!$R$4:$R$503,_calc!$E$617))=0,"",INDEX('Dealer pipeline'!$R$4:$R$503,_calc!$E$617)))=0,"","Owner: "&amp;IF(LEN(INDEX('Dealer pipeline'!$R$4:$R$503,_calc!$E$617))=0,"",INDEX('Dealer pipeline'!$R$4:$R$503,_calc!$E$617))&amp;". ")&amp;IF(LEN(IF(LEN(INDEX('Dealer pipeline'!$S$4:$S$503,_calc!$E$617))=0,"",INDEX('Dealer pipeline'!$S$4:$S$503,_calc!$E$617)))=0,"","Backup: "&amp;IF(LEN(INDEX('Dealer pipeline'!$S$4:$S$503,_calc!$E$617))=0,"",INDEX('Dealer pipeline'!$S$4:$S$503,_calc!$E$617))&amp;". ")&amp;IF(LEN(IF(LEN(INDEX('Dealer pipeline'!$T$4:$T$503,_calc!$E$617))=0,"",INDEX('Dealer pipeline'!$T$4:$T$503,_calc!$E$617)))=0,"",IF(LEN(INDEX('Dealer pipeline'!$T$4:$T$503,_calc!$E$617))=0,"",INDEX('Dealer pipeline'!$T$4:$T$503,_calc!$E$617)))),TRIM(IF(LEN(IF(LEN(INDEX('My equipment'!$C$4:$C$503,(_calc!$E$617-500)))=0,"",INDEX('My equipment'!$C$4:$C$503,(_calc!$E$617-500))))=0,"","Model: "&amp;IF(LEN(INDEX('My equipment'!$C$4:$C$503,(_calc!$E$617-500)))=0,"",INDEX('My equipment'!$C$4:$C$503,(_calc!$E$617-500)))&amp;". ")&amp;IF(LEN(IF(LEN(INDEX('My equipment'!$D$4:$D$503,(_calc!$E$617-500)))=0,"",INDEX('My equipment'!$D$4:$D$503,(_calc!$E$617-500))))=0,"","Serial: "&amp;IF(LEN(INDEX('My equipment'!$D$4:$D$503,(_calc!$E$617-500)))=0,"",INDEX('My equipment'!$D$4:$D$503,(_calc!$E$617-500)))&amp;". ")&amp;IF(LEN(IF(ISNUMBER(INDEX('My equipment'!$J$4:$J$503,(_calc!$E$617-500))),TEXT(INDEX('My equipment'!$J$4:$J$503,(_calc!$E$617-500)),"yyyy-mm-dd"),""))=0,"","Parts end: "&amp;IF(ISNUMBER(INDEX('My equipment'!$J$4:$J$503,(_calc!$E$617-500))),TEXT(INDEX('My equipment'!$J$4:$J$503,(_calc!$E$617-500)),"yyyy-mm-dd"),"")&amp;". ")&amp;IF(LEN(IF(ISNUMBER(INDEX('My equipment'!$L$4:$L$503,(_calc!$E$617-500))),TEXT(INDEX('My equipment'!$L$4:$L$503,(_calc!$E$617-500)),"yyyy-mm-dd"),""))=0,"","Labor end: "&amp;IF(ISNUMBER(INDEX('My equipment'!$L$4:$L$503,(_calc!$E$617-500))),TEXT(INDEX('My equipment'!$L$4:$L$503,(_calc!$E$617-500)),"yyyy-mm-dd"),"")&amp;". ")&amp;IF(LEN(IF(ISNUMBER(INDEX('My equipment'!$P$4:$P$503,(_calc!$E$617-500))),TEXT(INDEX('My equipment'!$P$4:$P$503,(_calc!$E$617-500)),"yyyy-mm-dd"),""))=0,"","Check by: "&amp;IF(ISNUMBER(INDEX('My equipment'!$P$4:$P$503,(_calc!$E$617-500))),TEXT(INDEX('My equipment'!$P$4:$P$503,(_calc!$E$617-500)),"yyyy-mm-dd"),"")&amp;". ")&amp;IF(LEN(IF(LEN(INDEX('My equipment'!$Q$4:$Q$503,(_calc!$E$617-500)))=0,"",INDEX('My equipment'!$Q$4:$Q$503,(_calc!$E$617-500))))=0,"","Claim status: "&amp;IF(LEN(INDEX('My equipment'!$Q$4:$Q$503,(_calc!$E$617-500)))=0,"",INDEX('My equipment'!$Q$4:$Q$503,(_calc!$E$617-500)))&amp;". ")&amp;IF(LEN(IF(LEN(INDEX('My equipment'!$R$4:$R$503,(_calc!$E$617-500)))=0,"",INDEX('My equipment'!$R$4:$R$503,(_calc!$E$617-500))))=0,"","Claims contact: "&amp;IF(LEN(INDEX('My equipment'!$R$4:$R$503,(_calc!$E$617-500)))=0,"",INDEX('My equipment'!$R$4:$R$503,(_calc!$E$617-500)))&amp;". ")&amp;IF(LEN(IF(LEN(INDEX('My equipment'!$S$4:$S$503,(_calc!$E$617-500)))=0,"",INDEX('My equipment'!$S$4:$S$503,(_calc!$E$617-500))))=0,"","Claims email: "&amp;IF(LEN(INDEX('My equipment'!$S$4:$S$503,(_calc!$E$617-500)))=0,"",INDEX('My equipment'!$S$4:$S$503,(_calc!$E$617-500)))&amp;". ")&amp;IF(LEN(IF(LEN(INDEX('My equipment'!$U$4:$U$503,(_calc!$E$617-500)))=0,"",INDEX('My equipment'!$U$4:$U$503,(_calc!$E$617-500))))=0,"","Registered: "&amp;IF(LEN(INDEX('My equipment'!$U$4:$U$503,(_calc!$E$617-500)))=0,"",INDEX('My equipment'!$U$4:$U$503,(_calc!$E$617-500)))&amp;". ")&amp;IF(LEN(IF(LEN(INDEX('My equipment'!$V$4:$V$503,(_calc!$E$617-500)))=0,"",INDEX('My equipment'!$V$4:$V$503,(_calc!$E$617-500))))=0,"","Proof on file: "&amp;IF(LEN(INDEX('My equipment'!$V$4:$V$503,(_calc!$E$617-500)))=0,"",INDEX('My equipment'!$V$4:$V$503,(_calc!$E$617-500)))&amp;". ")&amp;IF(LEN(IF(LEN(INDEX('My equipment'!$W$4:$W$503,(_calc!$E$617-500)))=0,"",INDEX('My equipment'!$W$4:$W$503,(_calc!$E$617-500))))=0,"","Claim ref: "&amp;IF(LEN(INDEX('My equipment'!$W$4:$W$503,(_calc!$E$617-500)))=0,"",INDEX('My equipment'!$W$4:$W$503,(_calc!$E$617-500)))&amp;". ")&amp;IF(LEN(IF(LEN(INDEX('My equipment'!$Y$4:$Y$503,(_calc!$E$617-500)))=0,"",INDEX('My equipment'!$Y$4:$Y$503,(_calc!$E$617-500))))=0,"",IF(LEN(INDEX('My equipment'!$Y$4:$Y$503,(_calc!$E$617-500)))=0,"",INDEX('My equipment'!$Y$4:$Y$503,(_calc!$E$617-500)))))))</f>
        <v/>
      </c>
      <c r="G615" s="54">
        <f>IF(_calc!$E$617="","",IF(_calc!$E$617&lt;=500,"",IF(LEN(INDEX('My equipment'!$X$4:$X$503,(_calc!$E$617-500)))=0,"",INDEX('My equipment'!$X$4:$X$503,(_calc!$E$617-500)))))</f>
        <v/>
      </c>
      <c r="K615" s="54">
        <f>IF(_calc!$E$617="","",IF(_calc!$E$617&lt;=500,"",IF(LEN(INDEX('My equipment'!$T$4:$T$503,(_calc!$E$617-500)))=0,"",INDEX('My equipment'!$T$4:$T$503,(_calc!$E$617-500)))))</f>
        <v/>
      </c>
    </row>
    <row r="616">
      <c r="A616" s="54">
        <f>IF(_calc!$E$618="","",IF(_calc!$E$618&lt;=500,"Warranty – "&amp;IF(LEN(INDEX('Dealer pipeline'!$C$4:$C$503,_calc!$E$618))=0,"",INDEX('Dealer pipeline'!$C$4:$C$503,_calc!$E$618))&amp;" – "&amp;IF(LEN(INDEX('Dealer pipeline'!$D$4:$D$503,_calc!$E$618))=0,"",INDEX('Dealer pipeline'!$D$4:$D$503,_calc!$E$618))&amp;" – "&amp;IF(LEN(INDEX('Dealer pipeline'!$A$4:$A$503,_calc!$E$618))=0,"",INDEX('Dealer pipeline'!$A$4:$A$503,_calc!$E$618)),"Warranty – "&amp;IF(LEN(INDEX('My equipment'!$A$4:$A$503,(_calc!$E$618-500)))=0,"",INDEX('My equipment'!$A$4:$A$503,(_calc!$E$618-500)))&amp;" – "&amp;IF(LEN(INDEX('My equipment'!$D$4:$D$503,(_calc!$E$618-500)))=0,"",INDEX('My equipment'!$D$4:$D$503,(_calc!$E$618-500)))))</f>
        <v/>
      </c>
      <c r="B616" s="54">
        <f>IF(_calc!$E$618="","",IF(_calc!$E$618&lt;=500,IF(ISNUMBER(INDEX('Dealer pipeline'!$M$4:$M$503,_calc!$E$618)),TEXT(INDEX('Dealer pipeline'!$M$4:$M$503,_calc!$E$618),"yyyy-mm-dd"),""),IF(ISNUMBER(INDEX('My equipment'!$M$4:$M$503,(_calc!$E$618-500))),TEXT(INDEX('My equipment'!$M$4:$M$503,(_calc!$E$618-500)),"yyyy-mm-dd"),"")))</f>
        <v/>
      </c>
      <c r="C616" s="54">
        <f>IF(_calc!$E$618="","",IF(_calc!$E$618&lt;=500,"Warranty","Warranty"))</f>
        <v/>
      </c>
      <c r="D616" s="54">
        <f>IF(_calc!$E$618="","",IF(_calc!$E$618&lt;=500,IF(ISNUMBER(INDEX('Dealer pipeline'!$H$4:$H$503,_calc!$E$618)),TEXT(INDEX('Dealer pipeline'!$H$4:$H$503,_calc!$E$618),"yyyy-mm-dd"),""),IF(ISNUMBER(INDEX('My equipment'!$H$4:$H$503,(_calc!$E$618-500))),TEXT(INDEX('My equipment'!$H$4:$H$503,(_calc!$E$618-500)),"yyyy-mm-dd"),"")))</f>
        <v/>
      </c>
      <c r="F616" s="54">
        <f>IF(_calc!$E$618="","",IF(_calc!$E$618&lt;=500,TRIM(IF(LEN(IF(LEN(INDEX('Dealer pipeline'!$A$4:$A$503,_calc!$E$618))=0,"",INDEX('Dealer pipeline'!$A$4:$A$503,_calc!$E$618)))=0,"","Customer: "&amp;IF(LEN(INDEX('Dealer pipeline'!$A$4:$A$503,_calc!$E$618))=0,"",INDEX('Dealer pipeline'!$A$4:$A$503,_calc!$E$618))&amp;". ")&amp;IF(LEN(IF(LEN(INDEX('Dealer pipeline'!$B$4:$B$503,_calc!$E$618))=0,"",INDEX('Dealer pipeline'!$B$4:$B$503,_calc!$E$618)))=0,"","Contact: "&amp;IF(LEN(INDEX('Dealer pipeline'!$B$4:$B$503,_calc!$E$618))=0,"",INDEX('Dealer pipeline'!$B$4:$B$503,_calc!$E$618))&amp;". ")&amp;IF(LEN(IF(LEN(INDEX('Dealer pipeline'!$D$4:$D$503,_calc!$E$618))=0,"",INDEX('Dealer pipeline'!$D$4:$D$503,_calc!$E$618)))=0,"","Serial: "&amp;IF(LEN(INDEX('Dealer pipeline'!$D$4:$D$503,_calc!$E$618))=0,"",INDEX('Dealer pipeline'!$D$4:$D$503,_calc!$E$618))&amp;". ")&amp;IF(LEN(IF(ISNUMBER(INDEX('Dealer pipeline'!$J$4:$J$503,_calc!$E$618)),TEXT(INDEX('Dealer pipeline'!$J$4:$J$503,_calc!$E$618),"yyyy-mm-dd"),""))=0,"","Parts end: "&amp;IF(ISNUMBER(INDEX('Dealer pipeline'!$J$4:$J$503,_calc!$E$618)),TEXT(INDEX('Dealer pipeline'!$J$4:$J$503,_calc!$E$618),"yyyy-mm-dd"),"")&amp;". ")&amp;IF(LEN(IF(ISNUMBER(INDEX('Dealer pipeline'!$L$4:$L$503,_calc!$E$618)),TEXT(INDEX('Dealer pipeline'!$L$4:$L$503,_calc!$E$618),"yyyy-mm-dd"),""))=0,"","Labor end: "&amp;IF(ISNUMBER(INDEX('Dealer pipeline'!$L$4:$L$503,_calc!$E$618)),TEXT(INDEX('Dealer pipeline'!$L$4:$L$503,_calc!$E$618),"yyyy-mm-dd"),"")&amp;". ")&amp;IF(LEN(IF(LEN(INDEX('Dealer pipeline'!$Q$4:$Q$503,_calc!$E$618))=0,"",INDEX('Dealer pipeline'!$Q$4:$Q$503,_calc!$E$618)))=0,"","Status: "&amp;IF(LEN(INDEX('Dealer pipeline'!$Q$4:$Q$503,_calc!$E$618))=0,"",INDEX('Dealer pipeline'!$Q$4:$Q$503,_calc!$E$618))&amp;". ")&amp;IF(LEN(IF(LEN(INDEX('Dealer pipeline'!$P$4:$P$503,_calc!$E$618))=0,"",INDEX('Dealer pipeline'!$P$4:$P$503,_calc!$E$618)))=0,"","Last touch: "&amp;IF(LEN(INDEX('Dealer pipeline'!$P$4:$P$503,_calc!$E$618))=0,"",INDEX('Dealer pipeline'!$P$4:$P$503,_calc!$E$618))&amp;". ")&amp;IF(LEN(IF(LEN(INDEX('Dealer pipeline'!$R$4:$R$503,_calc!$E$618))=0,"",INDEX('Dealer pipeline'!$R$4:$R$503,_calc!$E$618)))=0,"","Owner: "&amp;IF(LEN(INDEX('Dealer pipeline'!$R$4:$R$503,_calc!$E$618))=0,"",INDEX('Dealer pipeline'!$R$4:$R$503,_calc!$E$618))&amp;". ")&amp;IF(LEN(IF(LEN(INDEX('Dealer pipeline'!$S$4:$S$503,_calc!$E$618))=0,"",INDEX('Dealer pipeline'!$S$4:$S$503,_calc!$E$618)))=0,"","Backup: "&amp;IF(LEN(INDEX('Dealer pipeline'!$S$4:$S$503,_calc!$E$618))=0,"",INDEX('Dealer pipeline'!$S$4:$S$503,_calc!$E$618))&amp;". ")&amp;IF(LEN(IF(LEN(INDEX('Dealer pipeline'!$T$4:$T$503,_calc!$E$618))=0,"",INDEX('Dealer pipeline'!$T$4:$T$503,_calc!$E$618)))=0,"",IF(LEN(INDEX('Dealer pipeline'!$T$4:$T$503,_calc!$E$618))=0,"",INDEX('Dealer pipeline'!$T$4:$T$503,_calc!$E$618)))),TRIM(IF(LEN(IF(LEN(INDEX('My equipment'!$C$4:$C$503,(_calc!$E$618-500)))=0,"",INDEX('My equipment'!$C$4:$C$503,(_calc!$E$618-500))))=0,"","Model: "&amp;IF(LEN(INDEX('My equipment'!$C$4:$C$503,(_calc!$E$618-500)))=0,"",INDEX('My equipment'!$C$4:$C$503,(_calc!$E$618-500)))&amp;". ")&amp;IF(LEN(IF(LEN(INDEX('My equipment'!$D$4:$D$503,(_calc!$E$618-500)))=0,"",INDEX('My equipment'!$D$4:$D$503,(_calc!$E$618-500))))=0,"","Serial: "&amp;IF(LEN(INDEX('My equipment'!$D$4:$D$503,(_calc!$E$618-500)))=0,"",INDEX('My equipment'!$D$4:$D$503,(_calc!$E$618-500)))&amp;". ")&amp;IF(LEN(IF(ISNUMBER(INDEX('My equipment'!$J$4:$J$503,(_calc!$E$618-500))),TEXT(INDEX('My equipment'!$J$4:$J$503,(_calc!$E$618-500)),"yyyy-mm-dd"),""))=0,"","Parts end: "&amp;IF(ISNUMBER(INDEX('My equipment'!$J$4:$J$503,(_calc!$E$618-500))),TEXT(INDEX('My equipment'!$J$4:$J$503,(_calc!$E$618-500)),"yyyy-mm-dd"),"")&amp;". ")&amp;IF(LEN(IF(ISNUMBER(INDEX('My equipment'!$L$4:$L$503,(_calc!$E$618-500))),TEXT(INDEX('My equipment'!$L$4:$L$503,(_calc!$E$618-500)),"yyyy-mm-dd"),""))=0,"","Labor end: "&amp;IF(ISNUMBER(INDEX('My equipment'!$L$4:$L$503,(_calc!$E$618-500))),TEXT(INDEX('My equipment'!$L$4:$L$503,(_calc!$E$618-500)),"yyyy-mm-dd"),"")&amp;". ")&amp;IF(LEN(IF(ISNUMBER(INDEX('My equipment'!$P$4:$P$503,(_calc!$E$618-500))),TEXT(INDEX('My equipment'!$P$4:$P$503,(_calc!$E$618-500)),"yyyy-mm-dd"),""))=0,"","Check by: "&amp;IF(ISNUMBER(INDEX('My equipment'!$P$4:$P$503,(_calc!$E$618-500))),TEXT(INDEX('My equipment'!$P$4:$P$503,(_calc!$E$618-500)),"yyyy-mm-dd"),"")&amp;". ")&amp;IF(LEN(IF(LEN(INDEX('My equipment'!$Q$4:$Q$503,(_calc!$E$618-500)))=0,"",INDEX('My equipment'!$Q$4:$Q$503,(_calc!$E$618-500))))=0,"","Claim status: "&amp;IF(LEN(INDEX('My equipment'!$Q$4:$Q$503,(_calc!$E$618-500)))=0,"",INDEX('My equipment'!$Q$4:$Q$503,(_calc!$E$618-500)))&amp;". ")&amp;IF(LEN(IF(LEN(INDEX('My equipment'!$R$4:$R$503,(_calc!$E$618-500)))=0,"",INDEX('My equipment'!$R$4:$R$503,(_calc!$E$618-500))))=0,"","Claims contact: "&amp;IF(LEN(INDEX('My equipment'!$R$4:$R$503,(_calc!$E$618-500)))=0,"",INDEX('My equipment'!$R$4:$R$503,(_calc!$E$618-500)))&amp;". ")&amp;IF(LEN(IF(LEN(INDEX('My equipment'!$S$4:$S$503,(_calc!$E$618-500)))=0,"",INDEX('My equipment'!$S$4:$S$503,(_calc!$E$618-500))))=0,"","Claims email: "&amp;IF(LEN(INDEX('My equipment'!$S$4:$S$503,(_calc!$E$618-500)))=0,"",INDEX('My equipment'!$S$4:$S$503,(_calc!$E$618-500)))&amp;". ")&amp;IF(LEN(IF(LEN(INDEX('My equipment'!$U$4:$U$503,(_calc!$E$618-500)))=0,"",INDEX('My equipment'!$U$4:$U$503,(_calc!$E$618-500))))=0,"","Registered: "&amp;IF(LEN(INDEX('My equipment'!$U$4:$U$503,(_calc!$E$618-500)))=0,"",INDEX('My equipment'!$U$4:$U$503,(_calc!$E$618-500)))&amp;". ")&amp;IF(LEN(IF(LEN(INDEX('My equipment'!$V$4:$V$503,(_calc!$E$618-500)))=0,"",INDEX('My equipment'!$V$4:$V$503,(_calc!$E$618-500))))=0,"","Proof on file: "&amp;IF(LEN(INDEX('My equipment'!$V$4:$V$503,(_calc!$E$618-500)))=0,"",INDEX('My equipment'!$V$4:$V$503,(_calc!$E$618-500)))&amp;". ")&amp;IF(LEN(IF(LEN(INDEX('My equipment'!$W$4:$W$503,(_calc!$E$618-500)))=0,"",INDEX('My equipment'!$W$4:$W$503,(_calc!$E$618-500))))=0,"","Claim ref: "&amp;IF(LEN(INDEX('My equipment'!$W$4:$W$503,(_calc!$E$618-500)))=0,"",INDEX('My equipment'!$W$4:$W$503,(_calc!$E$618-500)))&amp;". ")&amp;IF(LEN(IF(LEN(INDEX('My equipment'!$Y$4:$Y$503,(_calc!$E$618-500)))=0,"",INDEX('My equipment'!$Y$4:$Y$503,(_calc!$E$618-500))))=0,"",IF(LEN(INDEX('My equipment'!$Y$4:$Y$503,(_calc!$E$618-500)))=0,"",INDEX('My equipment'!$Y$4:$Y$503,(_calc!$E$618-500)))))))</f>
        <v/>
      </c>
      <c r="G616" s="54">
        <f>IF(_calc!$E$618="","",IF(_calc!$E$618&lt;=500,"",IF(LEN(INDEX('My equipment'!$X$4:$X$503,(_calc!$E$618-500)))=0,"",INDEX('My equipment'!$X$4:$X$503,(_calc!$E$618-500)))))</f>
        <v/>
      </c>
      <c r="K616" s="54">
        <f>IF(_calc!$E$618="","",IF(_calc!$E$618&lt;=500,"",IF(LEN(INDEX('My equipment'!$T$4:$T$503,(_calc!$E$618-500)))=0,"",INDEX('My equipment'!$T$4:$T$503,(_calc!$E$618-500)))))</f>
        <v/>
      </c>
    </row>
    <row r="617">
      <c r="A617" s="54">
        <f>IF(_calc!$E$619="","",IF(_calc!$E$619&lt;=500,"Warranty – "&amp;IF(LEN(INDEX('Dealer pipeline'!$C$4:$C$503,_calc!$E$619))=0,"",INDEX('Dealer pipeline'!$C$4:$C$503,_calc!$E$619))&amp;" – "&amp;IF(LEN(INDEX('Dealer pipeline'!$D$4:$D$503,_calc!$E$619))=0,"",INDEX('Dealer pipeline'!$D$4:$D$503,_calc!$E$619))&amp;" – "&amp;IF(LEN(INDEX('Dealer pipeline'!$A$4:$A$503,_calc!$E$619))=0,"",INDEX('Dealer pipeline'!$A$4:$A$503,_calc!$E$619)),"Warranty – "&amp;IF(LEN(INDEX('My equipment'!$A$4:$A$503,(_calc!$E$619-500)))=0,"",INDEX('My equipment'!$A$4:$A$503,(_calc!$E$619-500)))&amp;" – "&amp;IF(LEN(INDEX('My equipment'!$D$4:$D$503,(_calc!$E$619-500)))=0,"",INDEX('My equipment'!$D$4:$D$503,(_calc!$E$619-500)))))</f>
        <v/>
      </c>
      <c r="B617" s="54">
        <f>IF(_calc!$E$619="","",IF(_calc!$E$619&lt;=500,IF(ISNUMBER(INDEX('Dealer pipeline'!$M$4:$M$503,_calc!$E$619)),TEXT(INDEX('Dealer pipeline'!$M$4:$M$503,_calc!$E$619),"yyyy-mm-dd"),""),IF(ISNUMBER(INDEX('My equipment'!$M$4:$M$503,(_calc!$E$619-500))),TEXT(INDEX('My equipment'!$M$4:$M$503,(_calc!$E$619-500)),"yyyy-mm-dd"),"")))</f>
        <v/>
      </c>
      <c r="C617" s="54">
        <f>IF(_calc!$E$619="","",IF(_calc!$E$619&lt;=500,"Warranty","Warranty"))</f>
        <v/>
      </c>
      <c r="D617" s="54">
        <f>IF(_calc!$E$619="","",IF(_calc!$E$619&lt;=500,IF(ISNUMBER(INDEX('Dealer pipeline'!$H$4:$H$503,_calc!$E$619)),TEXT(INDEX('Dealer pipeline'!$H$4:$H$503,_calc!$E$619),"yyyy-mm-dd"),""),IF(ISNUMBER(INDEX('My equipment'!$H$4:$H$503,(_calc!$E$619-500))),TEXT(INDEX('My equipment'!$H$4:$H$503,(_calc!$E$619-500)),"yyyy-mm-dd"),"")))</f>
        <v/>
      </c>
      <c r="F617" s="54">
        <f>IF(_calc!$E$619="","",IF(_calc!$E$619&lt;=500,TRIM(IF(LEN(IF(LEN(INDEX('Dealer pipeline'!$A$4:$A$503,_calc!$E$619))=0,"",INDEX('Dealer pipeline'!$A$4:$A$503,_calc!$E$619)))=0,"","Customer: "&amp;IF(LEN(INDEX('Dealer pipeline'!$A$4:$A$503,_calc!$E$619))=0,"",INDEX('Dealer pipeline'!$A$4:$A$503,_calc!$E$619))&amp;". ")&amp;IF(LEN(IF(LEN(INDEX('Dealer pipeline'!$B$4:$B$503,_calc!$E$619))=0,"",INDEX('Dealer pipeline'!$B$4:$B$503,_calc!$E$619)))=0,"","Contact: "&amp;IF(LEN(INDEX('Dealer pipeline'!$B$4:$B$503,_calc!$E$619))=0,"",INDEX('Dealer pipeline'!$B$4:$B$503,_calc!$E$619))&amp;". ")&amp;IF(LEN(IF(LEN(INDEX('Dealer pipeline'!$D$4:$D$503,_calc!$E$619))=0,"",INDEX('Dealer pipeline'!$D$4:$D$503,_calc!$E$619)))=0,"","Serial: "&amp;IF(LEN(INDEX('Dealer pipeline'!$D$4:$D$503,_calc!$E$619))=0,"",INDEX('Dealer pipeline'!$D$4:$D$503,_calc!$E$619))&amp;". ")&amp;IF(LEN(IF(ISNUMBER(INDEX('Dealer pipeline'!$J$4:$J$503,_calc!$E$619)),TEXT(INDEX('Dealer pipeline'!$J$4:$J$503,_calc!$E$619),"yyyy-mm-dd"),""))=0,"","Parts end: "&amp;IF(ISNUMBER(INDEX('Dealer pipeline'!$J$4:$J$503,_calc!$E$619)),TEXT(INDEX('Dealer pipeline'!$J$4:$J$503,_calc!$E$619),"yyyy-mm-dd"),"")&amp;". ")&amp;IF(LEN(IF(ISNUMBER(INDEX('Dealer pipeline'!$L$4:$L$503,_calc!$E$619)),TEXT(INDEX('Dealer pipeline'!$L$4:$L$503,_calc!$E$619),"yyyy-mm-dd"),""))=0,"","Labor end: "&amp;IF(ISNUMBER(INDEX('Dealer pipeline'!$L$4:$L$503,_calc!$E$619)),TEXT(INDEX('Dealer pipeline'!$L$4:$L$503,_calc!$E$619),"yyyy-mm-dd"),"")&amp;". ")&amp;IF(LEN(IF(LEN(INDEX('Dealer pipeline'!$Q$4:$Q$503,_calc!$E$619))=0,"",INDEX('Dealer pipeline'!$Q$4:$Q$503,_calc!$E$619)))=0,"","Status: "&amp;IF(LEN(INDEX('Dealer pipeline'!$Q$4:$Q$503,_calc!$E$619))=0,"",INDEX('Dealer pipeline'!$Q$4:$Q$503,_calc!$E$619))&amp;". ")&amp;IF(LEN(IF(LEN(INDEX('Dealer pipeline'!$P$4:$P$503,_calc!$E$619))=0,"",INDEX('Dealer pipeline'!$P$4:$P$503,_calc!$E$619)))=0,"","Last touch: "&amp;IF(LEN(INDEX('Dealer pipeline'!$P$4:$P$503,_calc!$E$619))=0,"",INDEX('Dealer pipeline'!$P$4:$P$503,_calc!$E$619))&amp;". ")&amp;IF(LEN(IF(LEN(INDEX('Dealer pipeline'!$R$4:$R$503,_calc!$E$619))=0,"",INDEX('Dealer pipeline'!$R$4:$R$503,_calc!$E$619)))=0,"","Owner: "&amp;IF(LEN(INDEX('Dealer pipeline'!$R$4:$R$503,_calc!$E$619))=0,"",INDEX('Dealer pipeline'!$R$4:$R$503,_calc!$E$619))&amp;". ")&amp;IF(LEN(IF(LEN(INDEX('Dealer pipeline'!$S$4:$S$503,_calc!$E$619))=0,"",INDEX('Dealer pipeline'!$S$4:$S$503,_calc!$E$619)))=0,"","Backup: "&amp;IF(LEN(INDEX('Dealer pipeline'!$S$4:$S$503,_calc!$E$619))=0,"",INDEX('Dealer pipeline'!$S$4:$S$503,_calc!$E$619))&amp;". ")&amp;IF(LEN(IF(LEN(INDEX('Dealer pipeline'!$T$4:$T$503,_calc!$E$619))=0,"",INDEX('Dealer pipeline'!$T$4:$T$503,_calc!$E$619)))=0,"",IF(LEN(INDEX('Dealer pipeline'!$T$4:$T$503,_calc!$E$619))=0,"",INDEX('Dealer pipeline'!$T$4:$T$503,_calc!$E$619)))),TRIM(IF(LEN(IF(LEN(INDEX('My equipment'!$C$4:$C$503,(_calc!$E$619-500)))=0,"",INDEX('My equipment'!$C$4:$C$503,(_calc!$E$619-500))))=0,"","Model: "&amp;IF(LEN(INDEX('My equipment'!$C$4:$C$503,(_calc!$E$619-500)))=0,"",INDEX('My equipment'!$C$4:$C$503,(_calc!$E$619-500)))&amp;". ")&amp;IF(LEN(IF(LEN(INDEX('My equipment'!$D$4:$D$503,(_calc!$E$619-500)))=0,"",INDEX('My equipment'!$D$4:$D$503,(_calc!$E$619-500))))=0,"","Serial: "&amp;IF(LEN(INDEX('My equipment'!$D$4:$D$503,(_calc!$E$619-500)))=0,"",INDEX('My equipment'!$D$4:$D$503,(_calc!$E$619-500)))&amp;". ")&amp;IF(LEN(IF(ISNUMBER(INDEX('My equipment'!$J$4:$J$503,(_calc!$E$619-500))),TEXT(INDEX('My equipment'!$J$4:$J$503,(_calc!$E$619-500)),"yyyy-mm-dd"),""))=0,"","Parts end: "&amp;IF(ISNUMBER(INDEX('My equipment'!$J$4:$J$503,(_calc!$E$619-500))),TEXT(INDEX('My equipment'!$J$4:$J$503,(_calc!$E$619-500)),"yyyy-mm-dd"),"")&amp;". ")&amp;IF(LEN(IF(ISNUMBER(INDEX('My equipment'!$L$4:$L$503,(_calc!$E$619-500))),TEXT(INDEX('My equipment'!$L$4:$L$503,(_calc!$E$619-500)),"yyyy-mm-dd"),""))=0,"","Labor end: "&amp;IF(ISNUMBER(INDEX('My equipment'!$L$4:$L$503,(_calc!$E$619-500))),TEXT(INDEX('My equipment'!$L$4:$L$503,(_calc!$E$619-500)),"yyyy-mm-dd"),"")&amp;". ")&amp;IF(LEN(IF(ISNUMBER(INDEX('My equipment'!$P$4:$P$503,(_calc!$E$619-500))),TEXT(INDEX('My equipment'!$P$4:$P$503,(_calc!$E$619-500)),"yyyy-mm-dd"),""))=0,"","Check by: "&amp;IF(ISNUMBER(INDEX('My equipment'!$P$4:$P$503,(_calc!$E$619-500))),TEXT(INDEX('My equipment'!$P$4:$P$503,(_calc!$E$619-500)),"yyyy-mm-dd"),"")&amp;". ")&amp;IF(LEN(IF(LEN(INDEX('My equipment'!$Q$4:$Q$503,(_calc!$E$619-500)))=0,"",INDEX('My equipment'!$Q$4:$Q$503,(_calc!$E$619-500))))=0,"","Claim status: "&amp;IF(LEN(INDEX('My equipment'!$Q$4:$Q$503,(_calc!$E$619-500)))=0,"",INDEX('My equipment'!$Q$4:$Q$503,(_calc!$E$619-500)))&amp;". ")&amp;IF(LEN(IF(LEN(INDEX('My equipment'!$R$4:$R$503,(_calc!$E$619-500)))=0,"",INDEX('My equipment'!$R$4:$R$503,(_calc!$E$619-500))))=0,"","Claims contact: "&amp;IF(LEN(INDEX('My equipment'!$R$4:$R$503,(_calc!$E$619-500)))=0,"",INDEX('My equipment'!$R$4:$R$503,(_calc!$E$619-500)))&amp;". ")&amp;IF(LEN(IF(LEN(INDEX('My equipment'!$S$4:$S$503,(_calc!$E$619-500)))=0,"",INDEX('My equipment'!$S$4:$S$503,(_calc!$E$619-500))))=0,"","Claims email: "&amp;IF(LEN(INDEX('My equipment'!$S$4:$S$503,(_calc!$E$619-500)))=0,"",INDEX('My equipment'!$S$4:$S$503,(_calc!$E$619-500)))&amp;". ")&amp;IF(LEN(IF(LEN(INDEX('My equipment'!$U$4:$U$503,(_calc!$E$619-500)))=0,"",INDEX('My equipment'!$U$4:$U$503,(_calc!$E$619-500))))=0,"","Registered: "&amp;IF(LEN(INDEX('My equipment'!$U$4:$U$503,(_calc!$E$619-500)))=0,"",INDEX('My equipment'!$U$4:$U$503,(_calc!$E$619-500)))&amp;". ")&amp;IF(LEN(IF(LEN(INDEX('My equipment'!$V$4:$V$503,(_calc!$E$619-500)))=0,"",INDEX('My equipment'!$V$4:$V$503,(_calc!$E$619-500))))=0,"","Proof on file: "&amp;IF(LEN(INDEX('My equipment'!$V$4:$V$503,(_calc!$E$619-500)))=0,"",INDEX('My equipment'!$V$4:$V$503,(_calc!$E$619-500)))&amp;". ")&amp;IF(LEN(IF(LEN(INDEX('My equipment'!$W$4:$W$503,(_calc!$E$619-500)))=0,"",INDEX('My equipment'!$W$4:$W$503,(_calc!$E$619-500))))=0,"","Claim ref: "&amp;IF(LEN(INDEX('My equipment'!$W$4:$W$503,(_calc!$E$619-500)))=0,"",INDEX('My equipment'!$W$4:$W$503,(_calc!$E$619-500)))&amp;". ")&amp;IF(LEN(IF(LEN(INDEX('My equipment'!$Y$4:$Y$503,(_calc!$E$619-500)))=0,"",INDEX('My equipment'!$Y$4:$Y$503,(_calc!$E$619-500))))=0,"",IF(LEN(INDEX('My equipment'!$Y$4:$Y$503,(_calc!$E$619-500)))=0,"",INDEX('My equipment'!$Y$4:$Y$503,(_calc!$E$619-500)))))))</f>
        <v/>
      </c>
      <c r="G617" s="54">
        <f>IF(_calc!$E$619="","",IF(_calc!$E$619&lt;=500,"",IF(LEN(INDEX('My equipment'!$X$4:$X$503,(_calc!$E$619-500)))=0,"",INDEX('My equipment'!$X$4:$X$503,(_calc!$E$619-500)))))</f>
        <v/>
      </c>
      <c r="K617" s="54">
        <f>IF(_calc!$E$619="","",IF(_calc!$E$619&lt;=500,"",IF(LEN(INDEX('My equipment'!$T$4:$T$503,(_calc!$E$619-500)))=0,"",INDEX('My equipment'!$T$4:$T$503,(_calc!$E$619-500)))))</f>
        <v/>
      </c>
    </row>
    <row r="618">
      <c r="A618" s="54">
        <f>IF(_calc!$E$620="","",IF(_calc!$E$620&lt;=500,"Warranty – "&amp;IF(LEN(INDEX('Dealer pipeline'!$C$4:$C$503,_calc!$E$620))=0,"",INDEX('Dealer pipeline'!$C$4:$C$503,_calc!$E$620))&amp;" – "&amp;IF(LEN(INDEX('Dealer pipeline'!$D$4:$D$503,_calc!$E$620))=0,"",INDEX('Dealer pipeline'!$D$4:$D$503,_calc!$E$620))&amp;" – "&amp;IF(LEN(INDEX('Dealer pipeline'!$A$4:$A$503,_calc!$E$620))=0,"",INDEX('Dealer pipeline'!$A$4:$A$503,_calc!$E$620)),"Warranty – "&amp;IF(LEN(INDEX('My equipment'!$A$4:$A$503,(_calc!$E$620-500)))=0,"",INDEX('My equipment'!$A$4:$A$503,(_calc!$E$620-500)))&amp;" – "&amp;IF(LEN(INDEX('My equipment'!$D$4:$D$503,(_calc!$E$620-500)))=0,"",INDEX('My equipment'!$D$4:$D$503,(_calc!$E$620-500)))))</f>
        <v/>
      </c>
      <c r="B618" s="54">
        <f>IF(_calc!$E$620="","",IF(_calc!$E$620&lt;=500,IF(ISNUMBER(INDEX('Dealer pipeline'!$M$4:$M$503,_calc!$E$620)),TEXT(INDEX('Dealer pipeline'!$M$4:$M$503,_calc!$E$620),"yyyy-mm-dd"),""),IF(ISNUMBER(INDEX('My equipment'!$M$4:$M$503,(_calc!$E$620-500))),TEXT(INDEX('My equipment'!$M$4:$M$503,(_calc!$E$620-500)),"yyyy-mm-dd"),"")))</f>
        <v/>
      </c>
      <c r="C618" s="54">
        <f>IF(_calc!$E$620="","",IF(_calc!$E$620&lt;=500,"Warranty","Warranty"))</f>
        <v/>
      </c>
      <c r="D618" s="54">
        <f>IF(_calc!$E$620="","",IF(_calc!$E$620&lt;=500,IF(ISNUMBER(INDEX('Dealer pipeline'!$H$4:$H$503,_calc!$E$620)),TEXT(INDEX('Dealer pipeline'!$H$4:$H$503,_calc!$E$620),"yyyy-mm-dd"),""),IF(ISNUMBER(INDEX('My equipment'!$H$4:$H$503,(_calc!$E$620-500))),TEXT(INDEX('My equipment'!$H$4:$H$503,(_calc!$E$620-500)),"yyyy-mm-dd"),"")))</f>
        <v/>
      </c>
      <c r="F618" s="54">
        <f>IF(_calc!$E$620="","",IF(_calc!$E$620&lt;=500,TRIM(IF(LEN(IF(LEN(INDEX('Dealer pipeline'!$A$4:$A$503,_calc!$E$620))=0,"",INDEX('Dealer pipeline'!$A$4:$A$503,_calc!$E$620)))=0,"","Customer: "&amp;IF(LEN(INDEX('Dealer pipeline'!$A$4:$A$503,_calc!$E$620))=0,"",INDEX('Dealer pipeline'!$A$4:$A$503,_calc!$E$620))&amp;". ")&amp;IF(LEN(IF(LEN(INDEX('Dealer pipeline'!$B$4:$B$503,_calc!$E$620))=0,"",INDEX('Dealer pipeline'!$B$4:$B$503,_calc!$E$620)))=0,"","Contact: "&amp;IF(LEN(INDEX('Dealer pipeline'!$B$4:$B$503,_calc!$E$620))=0,"",INDEX('Dealer pipeline'!$B$4:$B$503,_calc!$E$620))&amp;". ")&amp;IF(LEN(IF(LEN(INDEX('Dealer pipeline'!$D$4:$D$503,_calc!$E$620))=0,"",INDEX('Dealer pipeline'!$D$4:$D$503,_calc!$E$620)))=0,"","Serial: "&amp;IF(LEN(INDEX('Dealer pipeline'!$D$4:$D$503,_calc!$E$620))=0,"",INDEX('Dealer pipeline'!$D$4:$D$503,_calc!$E$620))&amp;". ")&amp;IF(LEN(IF(ISNUMBER(INDEX('Dealer pipeline'!$J$4:$J$503,_calc!$E$620)),TEXT(INDEX('Dealer pipeline'!$J$4:$J$503,_calc!$E$620),"yyyy-mm-dd"),""))=0,"","Parts end: "&amp;IF(ISNUMBER(INDEX('Dealer pipeline'!$J$4:$J$503,_calc!$E$620)),TEXT(INDEX('Dealer pipeline'!$J$4:$J$503,_calc!$E$620),"yyyy-mm-dd"),"")&amp;". ")&amp;IF(LEN(IF(ISNUMBER(INDEX('Dealer pipeline'!$L$4:$L$503,_calc!$E$620)),TEXT(INDEX('Dealer pipeline'!$L$4:$L$503,_calc!$E$620),"yyyy-mm-dd"),""))=0,"","Labor end: "&amp;IF(ISNUMBER(INDEX('Dealer pipeline'!$L$4:$L$503,_calc!$E$620)),TEXT(INDEX('Dealer pipeline'!$L$4:$L$503,_calc!$E$620),"yyyy-mm-dd"),"")&amp;". ")&amp;IF(LEN(IF(LEN(INDEX('Dealer pipeline'!$Q$4:$Q$503,_calc!$E$620))=0,"",INDEX('Dealer pipeline'!$Q$4:$Q$503,_calc!$E$620)))=0,"","Status: "&amp;IF(LEN(INDEX('Dealer pipeline'!$Q$4:$Q$503,_calc!$E$620))=0,"",INDEX('Dealer pipeline'!$Q$4:$Q$503,_calc!$E$620))&amp;". ")&amp;IF(LEN(IF(LEN(INDEX('Dealer pipeline'!$P$4:$P$503,_calc!$E$620))=0,"",INDEX('Dealer pipeline'!$P$4:$P$503,_calc!$E$620)))=0,"","Last touch: "&amp;IF(LEN(INDEX('Dealer pipeline'!$P$4:$P$503,_calc!$E$620))=0,"",INDEX('Dealer pipeline'!$P$4:$P$503,_calc!$E$620))&amp;". ")&amp;IF(LEN(IF(LEN(INDEX('Dealer pipeline'!$R$4:$R$503,_calc!$E$620))=0,"",INDEX('Dealer pipeline'!$R$4:$R$503,_calc!$E$620)))=0,"","Owner: "&amp;IF(LEN(INDEX('Dealer pipeline'!$R$4:$R$503,_calc!$E$620))=0,"",INDEX('Dealer pipeline'!$R$4:$R$503,_calc!$E$620))&amp;". ")&amp;IF(LEN(IF(LEN(INDEX('Dealer pipeline'!$S$4:$S$503,_calc!$E$620))=0,"",INDEX('Dealer pipeline'!$S$4:$S$503,_calc!$E$620)))=0,"","Backup: "&amp;IF(LEN(INDEX('Dealer pipeline'!$S$4:$S$503,_calc!$E$620))=0,"",INDEX('Dealer pipeline'!$S$4:$S$503,_calc!$E$620))&amp;". ")&amp;IF(LEN(IF(LEN(INDEX('Dealer pipeline'!$T$4:$T$503,_calc!$E$620))=0,"",INDEX('Dealer pipeline'!$T$4:$T$503,_calc!$E$620)))=0,"",IF(LEN(INDEX('Dealer pipeline'!$T$4:$T$503,_calc!$E$620))=0,"",INDEX('Dealer pipeline'!$T$4:$T$503,_calc!$E$620)))),TRIM(IF(LEN(IF(LEN(INDEX('My equipment'!$C$4:$C$503,(_calc!$E$620-500)))=0,"",INDEX('My equipment'!$C$4:$C$503,(_calc!$E$620-500))))=0,"","Model: "&amp;IF(LEN(INDEX('My equipment'!$C$4:$C$503,(_calc!$E$620-500)))=0,"",INDEX('My equipment'!$C$4:$C$503,(_calc!$E$620-500)))&amp;". ")&amp;IF(LEN(IF(LEN(INDEX('My equipment'!$D$4:$D$503,(_calc!$E$620-500)))=0,"",INDEX('My equipment'!$D$4:$D$503,(_calc!$E$620-500))))=0,"","Serial: "&amp;IF(LEN(INDEX('My equipment'!$D$4:$D$503,(_calc!$E$620-500)))=0,"",INDEX('My equipment'!$D$4:$D$503,(_calc!$E$620-500)))&amp;". ")&amp;IF(LEN(IF(ISNUMBER(INDEX('My equipment'!$J$4:$J$503,(_calc!$E$620-500))),TEXT(INDEX('My equipment'!$J$4:$J$503,(_calc!$E$620-500)),"yyyy-mm-dd"),""))=0,"","Parts end: "&amp;IF(ISNUMBER(INDEX('My equipment'!$J$4:$J$503,(_calc!$E$620-500))),TEXT(INDEX('My equipment'!$J$4:$J$503,(_calc!$E$620-500)),"yyyy-mm-dd"),"")&amp;". ")&amp;IF(LEN(IF(ISNUMBER(INDEX('My equipment'!$L$4:$L$503,(_calc!$E$620-500))),TEXT(INDEX('My equipment'!$L$4:$L$503,(_calc!$E$620-500)),"yyyy-mm-dd"),""))=0,"","Labor end: "&amp;IF(ISNUMBER(INDEX('My equipment'!$L$4:$L$503,(_calc!$E$620-500))),TEXT(INDEX('My equipment'!$L$4:$L$503,(_calc!$E$620-500)),"yyyy-mm-dd"),"")&amp;". ")&amp;IF(LEN(IF(ISNUMBER(INDEX('My equipment'!$P$4:$P$503,(_calc!$E$620-500))),TEXT(INDEX('My equipment'!$P$4:$P$503,(_calc!$E$620-500)),"yyyy-mm-dd"),""))=0,"","Check by: "&amp;IF(ISNUMBER(INDEX('My equipment'!$P$4:$P$503,(_calc!$E$620-500))),TEXT(INDEX('My equipment'!$P$4:$P$503,(_calc!$E$620-500)),"yyyy-mm-dd"),"")&amp;". ")&amp;IF(LEN(IF(LEN(INDEX('My equipment'!$Q$4:$Q$503,(_calc!$E$620-500)))=0,"",INDEX('My equipment'!$Q$4:$Q$503,(_calc!$E$620-500))))=0,"","Claim status: "&amp;IF(LEN(INDEX('My equipment'!$Q$4:$Q$503,(_calc!$E$620-500)))=0,"",INDEX('My equipment'!$Q$4:$Q$503,(_calc!$E$620-500)))&amp;". ")&amp;IF(LEN(IF(LEN(INDEX('My equipment'!$R$4:$R$503,(_calc!$E$620-500)))=0,"",INDEX('My equipment'!$R$4:$R$503,(_calc!$E$620-500))))=0,"","Claims contact: "&amp;IF(LEN(INDEX('My equipment'!$R$4:$R$503,(_calc!$E$620-500)))=0,"",INDEX('My equipment'!$R$4:$R$503,(_calc!$E$620-500)))&amp;". ")&amp;IF(LEN(IF(LEN(INDEX('My equipment'!$S$4:$S$503,(_calc!$E$620-500)))=0,"",INDEX('My equipment'!$S$4:$S$503,(_calc!$E$620-500))))=0,"","Claims email: "&amp;IF(LEN(INDEX('My equipment'!$S$4:$S$503,(_calc!$E$620-500)))=0,"",INDEX('My equipment'!$S$4:$S$503,(_calc!$E$620-500)))&amp;". ")&amp;IF(LEN(IF(LEN(INDEX('My equipment'!$U$4:$U$503,(_calc!$E$620-500)))=0,"",INDEX('My equipment'!$U$4:$U$503,(_calc!$E$620-500))))=0,"","Registered: "&amp;IF(LEN(INDEX('My equipment'!$U$4:$U$503,(_calc!$E$620-500)))=0,"",INDEX('My equipment'!$U$4:$U$503,(_calc!$E$620-500)))&amp;". ")&amp;IF(LEN(IF(LEN(INDEX('My equipment'!$V$4:$V$503,(_calc!$E$620-500)))=0,"",INDEX('My equipment'!$V$4:$V$503,(_calc!$E$620-500))))=0,"","Proof on file: "&amp;IF(LEN(INDEX('My equipment'!$V$4:$V$503,(_calc!$E$620-500)))=0,"",INDEX('My equipment'!$V$4:$V$503,(_calc!$E$620-500)))&amp;". ")&amp;IF(LEN(IF(LEN(INDEX('My equipment'!$W$4:$W$503,(_calc!$E$620-500)))=0,"",INDEX('My equipment'!$W$4:$W$503,(_calc!$E$620-500))))=0,"","Claim ref: "&amp;IF(LEN(INDEX('My equipment'!$W$4:$W$503,(_calc!$E$620-500)))=0,"",INDEX('My equipment'!$W$4:$W$503,(_calc!$E$620-500)))&amp;". ")&amp;IF(LEN(IF(LEN(INDEX('My equipment'!$Y$4:$Y$503,(_calc!$E$620-500)))=0,"",INDEX('My equipment'!$Y$4:$Y$503,(_calc!$E$620-500))))=0,"",IF(LEN(INDEX('My equipment'!$Y$4:$Y$503,(_calc!$E$620-500)))=0,"",INDEX('My equipment'!$Y$4:$Y$503,(_calc!$E$620-500)))))))</f>
        <v/>
      </c>
      <c r="G618" s="54">
        <f>IF(_calc!$E$620="","",IF(_calc!$E$620&lt;=500,"",IF(LEN(INDEX('My equipment'!$X$4:$X$503,(_calc!$E$620-500)))=0,"",INDEX('My equipment'!$X$4:$X$503,(_calc!$E$620-500)))))</f>
        <v/>
      </c>
      <c r="K618" s="54">
        <f>IF(_calc!$E$620="","",IF(_calc!$E$620&lt;=500,"",IF(LEN(INDEX('My equipment'!$T$4:$T$503,(_calc!$E$620-500)))=0,"",INDEX('My equipment'!$T$4:$T$503,(_calc!$E$620-500)))))</f>
        <v/>
      </c>
    </row>
    <row r="619">
      <c r="A619" s="54">
        <f>IF(_calc!$E$621="","",IF(_calc!$E$621&lt;=500,"Warranty – "&amp;IF(LEN(INDEX('Dealer pipeline'!$C$4:$C$503,_calc!$E$621))=0,"",INDEX('Dealer pipeline'!$C$4:$C$503,_calc!$E$621))&amp;" – "&amp;IF(LEN(INDEX('Dealer pipeline'!$D$4:$D$503,_calc!$E$621))=0,"",INDEX('Dealer pipeline'!$D$4:$D$503,_calc!$E$621))&amp;" – "&amp;IF(LEN(INDEX('Dealer pipeline'!$A$4:$A$503,_calc!$E$621))=0,"",INDEX('Dealer pipeline'!$A$4:$A$503,_calc!$E$621)),"Warranty – "&amp;IF(LEN(INDEX('My equipment'!$A$4:$A$503,(_calc!$E$621-500)))=0,"",INDEX('My equipment'!$A$4:$A$503,(_calc!$E$621-500)))&amp;" – "&amp;IF(LEN(INDEX('My equipment'!$D$4:$D$503,(_calc!$E$621-500)))=0,"",INDEX('My equipment'!$D$4:$D$503,(_calc!$E$621-500)))))</f>
        <v/>
      </c>
      <c r="B619" s="54">
        <f>IF(_calc!$E$621="","",IF(_calc!$E$621&lt;=500,IF(ISNUMBER(INDEX('Dealer pipeline'!$M$4:$M$503,_calc!$E$621)),TEXT(INDEX('Dealer pipeline'!$M$4:$M$503,_calc!$E$621),"yyyy-mm-dd"),""),IF(ISNUMBER(INDEX('My equipment'!$M$4:$M$503,(_calc!$E$621-500))),TEXT(INDEX('My equipment'!$M$4:$M$503,(_calc!$E$621-500)),"yyyy-mm-dd"),"")))</f>
        <v/>
      </c>
      <c r="C619" s="54">
        <f>IF(_calc!$E$621="","",IF(_calc!$E$621&lt;=500,"Warranty","Warranty"))</f>
        <v/>
      </c>
      <c r="D619" s="54">
        <f>IF(_calc!$E$621="","",IF(_calc!$E$621&lt;=500,IF(ISNUMBER(INDEX('Dealer pipeline'!$H$4:$H$503,_calc!$E$621)),TEXT(INDEX('Dealer pipeline'!$H$4:$H$503,_calc!$E$621),"yyyy-mm-dd"),""),IF(ISNUMBER(INDEX('My equipment'!$H$4:$H$503,(_calc!$E$621-500))),TEXT(INDEX('My equipment'!$H$4:$H$503,(_calc!$E$621-500)),"yyyy-mm-dd"),"")))</f>
        <v/>
      </c>
      <c r="F619" s="54">
        <f>IF(_calc!$E$621="","",IF(_calc!$E$621&lt;=500,TRIM(IF(LEN(IF(LEN(INDEX('Dealer pipeline'!$A$4:$A$503,_calc!$E$621))=0,"",INDEX('Dealer pipeline'!$A$4:$A$503,_calc!$E$621)))=0,"","Customer: "&amp;IF(LEN(INDEX('Dealer pipeline'!$A$4:$A$503,_calc!$E$621))=0,"",INDEX('Dealer pipeline'!$A$4:$A$503,_calc!$E$621))&amp;". ")&amp;IF(LEN(IF(LEN(INDEX('Dealer pipeline'!$B$4:$B$503,_calc!$E$621))=0,"",INDEX('Dealer pipeline'!$B$4:$B$503,_calc!$E$621)))=0,"","Contact: "&amp;IF(LEN(INDEX('Dealer pipeline'!$B$4:$B$503,_calc!$E$621))=0,"",INDEX('Dealer pipeline'!$B$4:$B$503,_calc!$E$621))&amp;". ")&amp;IF(LEN(IF(LEN(INDEX('Dealer pipeline'!$D$4:$D$503,_calc!$E$621))=0,"",INDEX('Dealer pipeline'!$D$4:$D$503,_calc!$E$621)))=0,"","Serial: "&amp;IF(LEN(INDEX('Dealer pipeline'!$D$4:$D$503,_calc!$E$621))=0,"",INDEX('Dealer pipeline'!$D$4:$D$503,_calc!$E$621))&amp;". ")&amp;IF(LEN(IF(ISNUMBER(INDEX('Dealer pipeline'!$J$4:$J$503,_calc!$E$621)),TEXT(INDEX('Dealer pipeline'!$J$4:$J$503,_calc!$E$621),"yyyy-mm-dd"),""))=0,"","Parts end: "&amp;IF(ISNUMBER(INDEX('Dealer pipeline'!$J$4:$J$503,_calc!$E$621)),TEXT(INDEX('Dealer pipeline'!$J$4:$J$503,_calc!$E$621),"yyyy-mm-dd"),"")&amp;". ")&amp;IF(LEN(IF(ISNUMBER(INDEX('Dealer pipeline'!$L$4:$L$503,_calc!$E$621)),TEXT(INDEX('Dealer pipeline'!$L$4:$L$503,_calc!$E$621),"yyyy-mm-dd"),""))=0,"","Labor end: "&amp;IF(ISNUMBER(INDEX('Dealer pipeline'!$L$4:$L$503,_calc!$E$621)),TEXT(INDEX('Dealer pipeline'!$L$4:$L$503,_calc!$E$621),"yyyy-mm-dd"),"")&amp;". ")&amp;IF(LEN(IF(LEN(INDEX('Dealer pipeline'!$Q$4:$Q$503,_calc!$E$621))=0,"",INDEX('Dealer pipeline'!$Q$4:$Q$503,_calc!$E$621)))=0,"","Status: "&amp;IF(LEN(INDEX('Dealer pipeline'!$Q$4:$Q$503,_calc!$E$621))=0,"",INDEX('Dealer pipeline'!$Q$4:$Q$503,_calc!$E$621))&amp;". ")&amp;IF(LEN(IF(LEN(INDEX('Dealer pipeline'!$P$4:$P$503,_calc!$E$621))=0,"",INDEX('Dealer pipeline'!$P$4:$P$503,_calc!$E$621)))=0,"","Last touch: "&amp;IF(LEN(INDEX('Dealer pipeline'!$P$4:$P$503,_calc!$E$621))=0,"",INDEX('Dealer pipeline'!$P$4:$P$503,_calc!$E$621))&amp;". ")&amp;IF(LEN(IF(LEN(INDEX('Dealer pipeline'!$R$4:$R$503,_calc!$E$621))=0,"",INDEX('Dealer pipeline'!$R$4:$R$503,_calc!$E$621)))=0,"","Owner: "&amp;IF(LEN(INDEX('Dealer pipeline'!$R$4:$R$503,_calc!$E$621))=0,"",INDEX('Dealer pipeline'!$R$4:$R$503,_calc!$E$621))&amp;". ")&amp;IF(LEN(IF(LEN(INDEX('Dealer pipeline'!$S$4:$S$503,_calc!$E$621))=0,"",INDEX('Dealer pipeline'!$S$4:$S$503,_calc!$E$621)))=0,"","Backup: "&amp;IF(LEN(INDEX('Dealer pipeline'!$S$4:$S$503,_calc!$E$621))=0,"",INDEX('Dealer pipeline'!$S$4:$S$503,_calc!$E$621))&amp;". ")&amp;IF(LEN(IF(LEN(INDEX('Dealer pipeline'!$T$4:$T$503,_calc!$E$621))=0,"",INDEX('Dealer pipeline'!$T$4:$T$503,_calc!$E$621)))=0,"",IF(LEN(INDEX('Dealer pipeline'!$T$4:$T$503,_calc!$E$621))=0,"",INDEX('Dealer pipeline'!$T$4:$T$503,_calc!$E$621)))),TRIM(IF(LEN(IF(LEN(INDEX('My equipment'!$C$4:$C$503,(_calc!$E$621-500)))=0,"",INDEX('My equipment'!$C$4:$C$503,(_calc!$E$621-500))))=0,"","Model: "&amp;IF(LEN(INDEX('My equipment'!$C$4:$C$503,(_calc!$E$621-500)))=0,"",INDEX('My equipment'!$C$4:$C$503,(_calc!$E$621-500)))&amp;". ")&amp;IF(LEN(IF(LEN(INDEX('My equipment'!$D$4:$D$503,(_calc!$E$621-500)))=0,"",INDEX('My equipment'!$D$4:$D$503,(_calc!$E$621-500))))=0,"","Serial: "&amp;IF(LEN(INDEX('My equipment'!$D$4:$D$503,(_calc!$E$621-500)))=0,"",INDEX('My equipment'!$D$4:$D$503,(_calc!$E$621-500)))&amp;". ")&amp;IF(LEN(IF(ISNUMBER(INDEX('My equipment'!$J$4:$J$503,(_calc!$E$621-500))),TEXT(INDEX('My equipment'!$J$4:$J$503,(_calc!$E$621-500)),"yyyy-mm-dd"),""))=0,"","Parts end: "&amp;IF(ISNUMBER(INDEX('My equipment'!$J$4:$J$503,(_calc!$E$621-500))),TEXT(INDEX('My equipment'!$J$4:$J$503,(_calc!$E$621-500)),"yyyy-mm-dd"),"")&amp;". ")&amp;IF(LEN(IF(ISNUMBER(INDEX('My equipment'!$L$4:$L$503,(_calc!$E$621-500))),TEXT(INDEX('My equipment'!$L$4:$L$503,(_calc!$E$621-500)),"yyyy-mm-dd"),""))=0,"","Labor end: "&amp;IF(ISNUMBER(INDEX('My equipment'!$L$4:$L$503,(_calc!$E$621-500))),TEXT(INDEX('My equipment'!$L$4:$L$503,(_calc!$E$621-500)),"yyyy-mm-dd"),"")&amp;". ")&amp;IF(LEN(IF(ISNUMBER(INDEX('My equipment'!$P$4:$P$503,(_calc!$E$621-500))),TEXT(INDEX('My equipment'!$P$4:$P$503,(_calc!$E$621-500)),"yyyy-mm-dd"),""))=0,"","Check by: "&amp;IF(ISNUMBER(INDEX('My equipment'!$P$4:$P$503,(_calc!$E$621-500))),TEXT(INDEX('My equipment'!$P$4:$P$503,(_calc!$E$621-500)),"yyyy-mm-dd"),"")&amp;". ")&amp;IF(LEN(IF(LEN(INDEX('My equipment'!$Q$4:$Q$503,(_calc!$E$621-500)))=0,"",INDEX('My equipment'!$Q$4:$Q$503,(_calc!$E$621-500))))=0,"","Claim status: "&amp;IF(LEN(INDEX('My equipment'!$Q$4:$Q$503,(_calc!$E$621-500)))=0,"",INDEX('My equipment'!$Q$4:$Q$503,(_calc!$E$621-500)))&amp;". ")&amp;IF(LEN(IF(LEN(INDEX('My equipment'!$R$4:$R$503,(_calc!$E$621-500)))=0,"",INDEX('My equipment'!$R$4:$R$503,(_calc!$E$621-500))))=0,"","Claims contact: "&amp;IF(LEN(INDEX('My equipment'!$R$4:$R$503,(_calc!$E$621-500)))=0,"",INDEX('My equipment'!$R$4:$R$503,(_calc!$E$621-500)))&amp;". ")&amp;IF(LEN(IF(LEN(INDEX('My equipment'!$S$4:$S$503,(_calc!$E$621-500)))=0,"",INDEX('My equipment'!$S$4:$S$503,(_calc!$E$621-500))))=0,"","Claims email: "&amp;IF(LEN(INDEX('My equipment'!$S$4:$S$503,(_calc!$E$621-500)))=0,"",INDEX('My equipment'!$S$4:$S$503,(_calc!$E$621-500)))&amp;". ")&amp;IF(LEN(IF(LEN(INDEX('My equipment'!$U$4:$U$503,(_calc!$E$621-500)))=0,"",INDEX('My equipment'!$U$4:$U$503,(_calc!$E$621-500))))=0,"","Registered: "&amp;IF(LEN(INDEX('My equipment'!$U$4:$U$503,(_calc!$E$621-500)))=0,"",INDEX('My equipment'!$U$4:$U$503,(_calc!$E$621-500)))&amp;". ")&amp;IF(LEN(IF(LEN(INDEX('My equipment'!$V$4:$V$503,(_calc!$E$621-500)))=0,"",INDEX('My equipment'!$V$4:$V$503,(_calc!$E$621-500))))=0,"","Proof on file: "&amp;IF(LEN(INDEX('My equipment'!$V$4:$V$503,(_calc!$E$621-500)))=0,"",INDEX('My equipment'!$V$4:$V$503,(_calc!$E$621-500)))&amp;". ")&amp;IF(LEN(IF(LEN(INDEX('My equipment'!$W$4:$W$503,(_calc!$E$621-500)))=0,"",INDEX('My equipment'!$W$4:$W$503,(_calc!$E$621-500))))=0,"","Claim ref: "&amp;IF(LEN(INDEX('My equipment'!$W$4:$W$503,(_calc!$E$621-500)))=0,"",INDEX('My equipment'!$W$4:$W$503,(_calc!$E$621-500)))&amp;". ")&amp;IF(LEN(IF(LEN(INDEX('My equipment'!$Y$4:$Y$503,(_calc!$E$621-500)))=0,"",INDEX('My equipment'!$Y$4:$Y$503,(_calc!$E$621-500))))=0,"",IF(LEN(INDEX('My equipment'!$Y$4:$Y$503,(_calc!$E$621-500)))=0,"",INDEX('My equipment'!$Y$4:$Y$503,(_calc!$E$621-500)))))))</f>
        <v/>
      </c>
      <c r="G619" s="54">
        <f>IF(_calc!$E$621="","",IF(_calc!$E$621&lt;=500,"",IF(LEN(INDEX('My equipment'!$X$4:$X$503,(_calc!$E$621-500)))=0,"",INDEX('My equipment'!$X$4:$X$503,(_calc!$E$621-500)))))</f>
        <v/>
      </c>
      <c r="K619" s="54">
        <f>IF(_calc!$E$621="","",IF(_calc!$E$621&lt;=500,"",IF(LEN(INDEX('My equipment'!$T$4:$T$503,(_calc!$E$621-500)))=0,"",INDEX('My equipment'!$T$4:$T$503,(_calc!$E$621-500)))))</f>
        <v/>
      </c>
    </row>
    <row r="620">
      <c r="A620" s="54">
        <f>IF(_calc!$E$622="","",IF(_calc!$E$622&lt;=500,"Warranty – "&amp;IF(LEN(INDEX('Dealer pipeline'!$C$4:$C$503,_calc!$E$622))=0,"",INDEX('Dealer pipeline'!$C$4:$C$503,_calc!$E$622))&amp;" – "&amp;IF(LEN(INDEX('Dealer pipeline'!$D$4:$D$503,_calc!$E$622))=0,"",INDEX('Dealer pipeline'!$D$4:$D$503,_calc!$E$622))&amp;" – "&amp;IF(LEN(INDEX('Dealer pipeline'!$A$4:$A$503,_calc!$E$622))=0,"",INDEX('Dealer pipeline'!$A$4:$A$503,_calc!$E$622)),"Warranty – "&amp;IF(LEN(INDEX('My equipment'!$A$4:$A$503,(_calc!$E$622-500)))=0,"",INDEX('My equipment'!$A$4:$A$503,(_calc!$E$622-500)))&amp;" – "&amp;IF(LEN(INDEX('My equipment'!$D$4:$D$503,(_calc!$E$622-500)))=0,"",INDEX('My equipment'!$D$4:$D$503,(_calc!$E$622-500)))))</f>
        <v/>
      </c>
      <c r="B620" s="54">
        <f>IF(_calc!$E$622="","",IF(_calc!$E$622&lt;=500,IF(ISNUMBER(INDEX('Dealer pipeline'!$M$4:$M$503,_calc!$E$622)),TEXT(INDEX('Dealer pipeline'!$M$4:$M$503,_calc!$E$622),"yyyy-mm-dd"),""),IF(ISNUMBER(INDEX('My equipment'!$M$4:$M$503,(_calc!$E$622-500))),TEXT(INDEX('My equipment'!$M$4:$M$503,(_calc!$E$622-500)),"yyyy-mm-dd"),"")))</f>
        <v/>
      </c>
      <c r="C620" s="54">
        <f>IF(_calc!$E$622="","",IF(_calc!$E$622&lt;=500,"Warranty","Warranty"))</f>
        <v/>
      </c>
      <c r="D620" s="54">
        <f>IF(_calc!$E$622="","",IF(_calc!$E$622&lt;=500,IF(ISNUMBER(INDEX('Dealer pipeline'!$H$4:$H$503,_calc!$E$622)),TEXT(INDEX('Dealer pipeline'!$H$4:$H$503,_calc!$E$622),"yyyy-mm-dd"),""),IF(ISNUMBER(INDEX('My equipment'!$H$4:$H$503,(_calc!$E$622-500))),TEXT(INDEX('My equipment'!$H$4:$H$503,(_calc!$E$622-500)),"yyyy-mm-dd"),"")))</f>
        <v/>
      </c>
      <c r="F620" s="54">
        <f>IF(_calc!$E$622="","",IF(_calc!$E$622&lt;=500,TRIM(IF(LEN(IF(LEN(INDEX('Dealer pipeline'!$A$4:$A$503,_calc!$E$622))=0,"",INDEX('Dealer pipeline'!$A$4:$A$503,_calc!$E$622)))=0,"","Customer: "&amp;IF(LEN(INDEX('Dealer pipeline'!$A$4:$A$503,_calc!$E$622))=0,"",INDEX('Dealer pipeline'!$A$4:$A$503,_calc!$E$622))&amp;". ")&amp;IF(LEN(IF(LEN(INDEX('Dealer pipeline'!$B$4:$B$503,_calc!$E$622))=0,"",INDEX('Dealer pipeline'!$B$4:$B$503,_calc!$E$622)))=0,"","Contact: "&amp;IF(LEN(INDEX('Dealer pipeline'!$B$4:$B$503,_calc!$E$622))=0,"",INDEX('Dealer pipeline'!$B$4:$B$503,_calc!$E$622))&amp;". ")&amp;IF(LEN(IF(LEN(INDEX('Dealer pipeline'!$D$4:$D$503,_calc!$E$622))=0,"",INDEX('Dealer pipeline'!$D$4:$D$503,_calc!$E$622)))=0,"","Serial: "&amp;IF(LEN(INDEX('Dealer pipeline'!$D$4:$D$503,_calc!$E$622))=0,"",INDEX('Dealer pipeline'!$D$4:$D$503,_calc!$E$622))&amp;". ")&amp;IF(LEN(IF(ISNUMBER(INDEX('Dealer pipeline'!$J$4:$J$503,_calc!$E$622)),TEXT(INDEX('Dealer pipeline'!$J$4:$J$503,_calc!$E$622),"yyyy-mm-dd"),""))=0,"","Parts end: "&amp;IF(ISNUMBER(INDEX('Dealer pipeline'!$J$4:$J$503,_calc!$E$622)),TEXT(INDEX('Dealer pipeline'!$J$4:$J$503,_calc!$E$622),"yyyy-mm-dd"),"")&amp;". ")&amp;IF(LEN(IF(ISNUMBER(INDEX('Dealer pipeline'!$L$4:$L$503,_calc!$E$622)),TEXT(INDEX('Dealer pipeline'!$L$4:$L$503,_calc!$E$622),"yyyy-mm-dd"),""))=0,"","Labor end: "&amp;IF(ISNUMBER(INDEX('Dealer pipeline'!$L$4:$L$503,_calc!$E$622)),TEXT(INDEX('Dealer pipeline'!$L$4:$L$503,_calc!$E$622),"yyyy-mm-dd"),"")&amp;". ")&amp;IF(LEN(IF(LEN(INDEX('Dealer pipeline'!$Q$4:$Q$503,_calc!$E$622))=0,"",INDEX('Dealer pipeline'!$Q$4:$Q$503,_calc!$E$622)))=0,"","Status: "&amp;IF(LEN(INDEX('Dealer pipeline'!$Q$4:$Q$503,_calc!$E$622))=0,"",INDEX('Dealer pipeline'!$Q$4:$Q$503,_calc!$E$622))&amp;". ")&amp;IF(LEN(IF(LEN(INDEX('Dealer pipeline'!$P$4:$P$503,_calc!$E$622))=0,"",INDEX('Dealer pipeline'!$P$4:$P$503,_calc!$E$622)))=0,"","Last touch: "&amp;IF(LEN(INDEX('Dealer pipeline'!$P$4:$P$503,_calc!$E$622))=0,"",INDEX('Dealer pipeline'!$P$4:$P$503,_calc!$E$622))&amp;". ")&amp;IF(LEN(IF(LEN(INDEX('Dealer pipeline'!$R$4:$R$503,_calc!$E$622))=0,"",INDEX('Dealer pipeline'!$R$4:$R$503,_calc!$E$622)))=0,"","Owner: "&amp;IF(LEN(INDEX('Dealer pipeline'!$R$4:$R$503,_calc!$E$622))=0,"",INDEX('Dealer pipeline'!$R$4:$R$503,_calc!$E$622))&amp;". ")&amp;IF(LEN(IF(LEN(INDEX('Dealer pipeline'!$S$4:$S$503,_calc!$E$622))=0,"",INDEX('Dealer pipeline'!$S$4:$S$503,_calc!$E$622)))=0,"","Backup: "&amp;IF(LEN(INDEX('Dealer pipeline'!$S$4:$S$503,_calc!$E$622))=0,"",INDEX('Dealer pipeline'!$S$4:$S$503,_calc!$E$622))&amp;". ")&amp;IF(LEN(IF(LEN(INDEX('Dealer pipeline'!$T$4:$T$503,_calc!$E$622))=0,"",INDEX('Dealer pipeline'!$T$4:$T$503,_calc!$E$622)))=0,"",IF(LEN(INDEX('Dealer pipeline'!$T$4:$T$503,_calc!$E$622))=0,"",INDEX('Dealer pipeline'!$T$4:$T$503,_calc!$E$622)))),TRIM(IF(LEN(IF(LEN(INDEX('My equipment'!$C$4:$C$503,(_calc!$E$622-500)))=0,"",INDEX('My equipment'!$C$4:$C$503,(_calc!$E$622-500))))=0,"","Model: "&amp;IF(LEN(INDEX('My equipment'!$C$4:$C$503,(_calc!$E$622-500)))=0,"",INDEX('My equipment'!$C$4:$C$503,(_calc!$E$622-500)))&amp;". ")&amp;IF(LEN(IF(LEN(INDEX('My equipment'!$D$4:$D$503,(_calc!$E$622-500)))=0,"",INDEX('My equipment'!$D$4:$D$503,(_calc!$E$622-500))))=0,"","Serial: "&amp;IF(LEN(INDEX('My equipment'!$D$4:$D$503,(_calc!$E$622-500)))=0,"",INDEX('My equipment'!$D$4:$D$503,(_calc!$E$622-500)))&amp;". ")&amp;IF(LEN(IF(ISNUMBER(INDEX('My equipment'!$J$4:$J$503,(_calc!$E$622-500))),TEXT(INDEX('My equipment'!$J$4:$J$503,(_calc!$E$622-500)),"yyyy-mm-dd"),""))=0,"","Parts end: "&amp;IF(ISNUMBER(INDEX('My equipment'!$J$4:$J$503,(_calc!$E$622-500))),TEXT(INDEX('My equipment'!$J$4:$J$503,(_calc!$E$622-500)),"yyyy-mm-dd"),"")&amp;". ")&amp;IF(LEN(IF(ISNUMBER(INDEX('My equipment'!$L$4:$L$503,(_calc!$E$622-500))),TEXT(INDEX('My equipment'!$L$4:$L$503,(_calc!$E$622-500)),"yyyy-mm-dd"),""))=0,"","Labor end: "&amp;IF(ISNUMBER(INDEX('My equipment'!$L$4:$L$503,(_calc!$E$622-500))),TEXT(INDEX('My equipment'!$L$4:$L$503,(_calc!$E$622-500)),"yyyy-mm-dd"),"")&amp;". ")&amp;IF(LEN(IF(ISNUMBER(INDEX('My equipment'!$P$4:$P$503,(_calc!$E$622-500))),TEXT(INDEX('My equipment'!$P$4:$P$503,(_calc!$E$622-500)),"yyyy-mm-dd"),""))=0,"","Check by: "&amp;IF(ISNUMBER(INDEX('My equipment'!$P$4:$P$503,(_calc!$E$622-500))),TEXT(INDEX('My equipment'!$P$4:$P$503,(_calc!$E$622-500)),"yyyy-mm-dd"),"")&amp;". ")&amp;IF(LEN(IF(LEN(INDEX('My equipment'!$Q$4:$Q$503,(_calc!$E$622-500)))=0,"",INDEX('My equipment'!$Q$4:$Q$503,(_calc!$E$622-500))))=0,"","Claim status: "&amp;IF(LEN(INDEX('My equipment'!$Q$4:$Q$503,(_calc!$E$622-500)))=0,"",INDEX('My equipment'!$Q$4:$Q$503,(_calc!$E$622-500)))&amp;". ")&amp;IF(LEN(IF(LEN(INDEX('My equipment'!$R$4:$R$503,(_calc!$E$622-500)))=0,"",INDEX('My equipment'!$R$4:$R$503,(_calc!$E$622-500))))=0,"","Claims contact: "&amp;IF(LEN(INDEX('My equipment'!$R$4:$R$503,(_calc!$E$622-500)))=0,"",INDEX('My equipment'!$R$4:$R$503,(_calc!$E$622-500)))&amp;". ")&amp;IF(LEN(IF(LEN(INDEX('My equipment'!$S$4:$S$503,(_calc!$E$622-500)))=0,"",INDEX('My equipment'!$S$4:$S$503,(_calc!$E$622-500))))=0,"","Claims email: "&amp;IF(LEN(INDEX('My equipment'!$S$4:$S$503,(_calc!$E$622-500)))=0,"",INDEX('My equipment'!$S$4:$S$503,(_calc!$E$622-500)))&amp;". ")&amp;IF(LEN(IF(LEN(INDEX('My equipment'!$U$4:$U$503,(_calc!$E$622-500)))=0,"",INDEX('My equipment'!$U$4:$U$503,(_calc!$E$622-500))))=0,"","Registered: "&amp;IF(LEN(INDEX('My equipment'!$U$4:$U$503,(_calc!$E$622-500)))=0,"",INDEX('My equipment'!$U$4:$U$503,(_calc!$E$622-500)))&amp;". ")&amp;IF(LEN(IF(LEN(INDEX('My equipment'!$V$4:$V$503,(_calc!$E$622-500)))=0,"",INDEX('My equipment'!$V$4:$V$503,(_calc!$E$622-500))))=0,"","Proof on file: "&amp;IF(LEN(INDEX('My equipment'!$V$4:$V$503,(_calc!$E$622-500)))=0,"",INDEX('My equipment'!$V$4:$V$503,(_calc!$E$622-500)))&amp;". ")&amp;IF(LEN(IF(LEN(INDEX('My equipment'!$W$4:$W$503,(_calc!$E$622-500)))=0,"",INDEX('My equipment'!$W$4:$W$503,(_calc!$E$622-500))))=0,"","Claim ref: "&amp;IF(LEN(INDEX('My equipment'!$W$4:$W$503,(_calc!$E$622-500)))=0,"",INDEX('My equipment'!$W$4:$W$503,(_calc!$E$622-500)))&amp;". ")&amp;IF(LEN(IF(LEN(INDEX('My equipment'!$Y$4:$Y$503,(_calc!$E$622-500)))=0,"",INDEX('My equipment'!$Y$4:$Y$503,(_calc!$E$622-500))))=0,"",IF(LEN(INDEX('My equipment'!$Y$4:$Y$503,(_calc!$E$622-500)))=0,"",INDEX('My equipment'!$Y$4:$Y$503,(_calc!$E$622-500)))))))</f>
        <v/>
      </c>
      <c r="G620" s="54">
        <f>IF(_calc!$E$622="","",IF(_calc!$E$622&lt;=500,"",IF(LEN(INDEX('My equipment'!$X$4:$X$503,(_calc!$E$622-500)))=0,"",INDEX('My equipment'!$X$4:$X$503,(_calc!$E$622-500)))))</f>
        <v/>
      </c>
      <c r="K620" s="54">
        <f>IF(_calc!$E$622="","",IF(_calc!$E$622&lt;=500,"",IF(LEN(INDEX('My equipment'!$T$4:$T$503,(_calc!$E$622-500)))=0,"",INDEX('My equipment'!$T$4:$T$503,(_calc!$E$622-500)))))</f>
        <v/>
      </c>
    </row>
    <row r="621">
      <c r="A621" s="54">
        <f>IF(_calc!$E$623="","",IF(_calc!$E$623&lt;=500,"Warranty – "&amp;IF(LEN(INDEX('Dealer pipeline'!$C$4:$C$503,_calc!$E$623))=0,"",INDEX('Dealer pipeline'!$C$4:$C$503,_calc!$E$623))&amp;" – "&amp;IF(LEN(INDEX('Dealer pipeline'!$D$4:$D$503,_calc!$E$623))=0,"",INDEX('Dealer pipeline'!$D$4:$D$503,_calc!$E$623))&amp;" – "&amp;IF(LEN(INDEX('Dealer pipeline'!$A$4:$A$503,_calc!$E$623))=0,"",INDEX('Dealer pipeline'!$A$4:$A$503,_calc!$E$623)),"Warranty – "&amp;IF(LEN(INDEX('My equipment'!$A$4:$A$503,(_calc!$E$623-500)))=0,"",INDEX('My equipment'!$A$4:$A$503,(_calc!$E$623-500)))&amp;" – "&amp;IF(LEN(INDEX('My equipment'!$D$4:$D$503,(_calc!$E$623-500)))=0,"",INDEX('My equipment'!$D$4:$D$503,(_calc!$E$623-500)))))</f>
        <v/>
      </c>
      <c r="B621" s="54">
        <f>IF(_calc!$E$623="","",IF(_calc!$E$623&lt;=500,IF(ISNUMBER(INDEX('Dealer pipeline'!$M$4:$M$503,_calc!$E$623)),TEXT(INDEX('Dealer pipeline'!$M$4:$M$503,_calc!$E$623),"yyyy-mm-dd"),""),IF(ISNUMBER(INDEX('My equipment'!$M$4:$M$503,(_calc!$E$623-500))),TEXT(INDEX('My equipment'!$M$4:$M$503,(_calc!$E$623-500)),"yyyy-mm-dd"),"")))</f>
        <v/>
      </c>
      <c r="C621" s="54">
        <f>IF(_calc!$E$623="","",IF(_calc!$E$623&lt;=500,"Warranty","Warranty"))</f>
        <v/>
      </c>
      <c r="D621" s="54">
        <f>IF(_calc!$E$623="","",IF(_calc!$E$623&lt;=500,IF(ISNUMBER(INDEX('Dealer pipeline'!$H$4:$H$503,_calc!$E$623)),TEXT(INDEX('Dealer pipeline'!$H$4:$H$503,_calc!$E$623),"yyyy-mm-dd"),""),IF(ISNUMBER(INDEX('My equipment'!$H$4:$H$503,(_calc!$E$623-500))),TEXT(INDEX('My equipment'!$H$4:$H$503,(_calc!$E$623-500)),"yyyy-mm-dd"),"")))</f>
        <v/>
      </c>
      <c r="F621" s="54">
        <f>IF(_calc!$E$623="","",IF(_calc!$E$623&lt;=500,TRIM(IF(LEN(IF(LEN(INDEX('Dealer pipeline'!$A$4:$A$503,_calc!$E$623))=0,"",INDEX('Dealer pipeline'!$A$4:$A$503,_calc!$E$623)))=0,"","Customer: "&amp;IF(LEN(INDEX('Dealer pipeline'!$A$4:$A$503,_calc!$E$623))=0,"",INDEX('Dealer pipeline'!$A$4:$A$503,_calc!$E$623))&amp;". ")&amp;IF(LEN(IF(LEN(INDEX('Dealer pipeline'!$B$4:$B$503,_calc!$E$623))=0,"",INDEX('Dealer pipeline'!$B$4:$B$503,_calc!$E$623)))=0,"","Contact: "&amp;IF(LEN(INDEX('Dealer pipeline'!$B$4:$B$503,_calc!$E$623))=0,"",INDEX('Dealer pipeline'!$B$4:$B$503,_calc!$E$623))&amp;". ")&amp;IF(LEN(IF(LEN(INDEX('Dealer pipeline'!$D$4:$D$503,_calc!$E$623))=0,"",INDEX('Dealer pipeline'!$D$4:$D$503,_calc!$E$623)))=0,"","Serial: "&amp;IF(LEN(INDEX('Dealer pipeline'!$D$4:$D$503,_calc!$E$623))=0,"",INDEX('Dealer pipeline'!$D$4:$D$503,_calc!$E$623))&amp;". ")&amp;IF(LEN(IF(ISNUMBER(INDEX('Dealer pipeline'!$J$4:$J$503,_calc!$E$623)),TEXT(INDEX('Dealer pipeline'!$J$4:$J$503,_calc!$E$623),"yyyy-mm-dd"),""))=0,"","Parts end: "&amp;IF(ISNUMBER(INDEX('Dealer pipeline'!$J$4:$J$503,_calc!$E$623)),TEXT(INDEX('Dealer pipeline'!$J$4:$J$503,_calc!$E$623),"yyyy-mm-dd"),"")&amp;". ")&amp;IF(LEN(IF(ISNUMBER(INDEX('Dealer pipeline'!$L$4:$L$503,_calc!$E$623)),TEXT(INDEX('Dealer pipeline'!$L$4:$L$503,_calc!$E$623),"yyyy-mm-dd"),""))=0,"","Labor end: "&amp;IF(ISNUMBER(INDEX('Dealer pipeline'!$L$4:$L$503,_calc!$E$623)),TEXT(INDEX('Dealer pipeline'!$L$4:$L$503,_calc!$E$623),"yyyy-mm-dd"),"")&amp;". ")&amp;IF(LEN(IF(LEN(INDEX('Dealer pipeline'!$Q$4:$Q$503,_calc!$E$623))=0,"",INDEX('Dealer pipeline'!$Q$4:$Q$503,_calc!$E$623)))=0,"","Status: "&amp;IF(LEN(INDEX('Dealer pipeline'!$Q$4:$Q$503,_calc!$E$623))=0,"",INDEX('Dealer pipeline'!$Q$4:$Q$503,_calc!$E$623))&amp;". ")&amp;IF(LEN(IF(LEN(INDEX('Dealer pipeline'!$P$4:$P$503,_calc!$E$623))=0,"",INDEX('Dealer pipeline'!$P$4:$P$503,_calc!$E$623)))=0,"","Last touch: "&amp;IF(LEN(INDEX('Dealer pipeline'!$P$4:$P$503,_calc!$E$623))=0,"",INDEX('Dealer pipeline'!$P$4:$P$503,_calc!$E$623))&amp;". ")&amp;IF(LEN(IF(LEN(INDEX('Dealer pipeline'!$R$4:$R$503,_calc!$E$623))=0,"",INDEX('Dealer pipeline'!$R$4:$R$503,_calc!$E$623)))=0,"","Owner: "&amp;IF(LEN(INDEX('Dealer pipeline'!$R$4:$R$503,_calc!$E$623))=0,"",INDEX('Dealer pipeline'!$R$4:$R$503,_calc!$E$623))&amp;". ")&amp;IF(LEN(IF(LEN(INDEX('Dealer pipeline'!$S$4:$S$503,_calc!$E$623))=0,"",INDEX('Dealer pipeline'!$S$4:$S$503,_calc!$E$623)))=0,"","Backup: "&amp;IF(LEN(INDEX('Dealer pipeline'!$S$4:$S$503,_calc!$E$623))=0,"",INDEX('Dealer pipeline'!$S$4:$S$503,_calc!$E$623))&amp;". ")&amp;IF(LEN(IF(LEN(INDEX('Dealer pipeline'!$T$4:$T$503,_calc!$E$623))=0,"",INDEX('Dealer pipeline'!$T$4:$T$503,_calc!$E$623)))=0,"",IF(LEN(INDEX('Dealer pipeline'!$T$4:$T$503,_calc!$E$623))=0,"",INDEX('Dealer pipeline'!$T$4:$T$503,_calc!$E$623)))),TRIM(IF(LEN(IF(LEN(INDEX('My equipment'!$C$4:$C$503,(_calc!$E$623-500)))=0,"",INDEX('My equipment'!$C$4:$C$503,(_calc!$E$623-500))))=0,"","Model: "&amp;IF(LEN(INDEX('My equipment'!$C$4:$C$503,(_calc!$E$623-500)))=0,"",INDEX('My equipment'!$C$4:$C$503,(_calc!$E$623-500)))&amp;". ")&amp;IF(LEN(IF(LEN(INDEX('My equipment'!$D$4:$D$503,(_calc!$E$623-500)))=0,"",INDEX('My equipment'!$D$4:$D$503,(_calc!$E$623-500))))=0,"","Serial: "&amp;IF(LEN(INDEX('My equipment'!$D$4:$D$503,(_calc!$E$623-500)))=0,"",INDEX('My equipment'!$D$4:$D$503,(_calc!$E$623-500)))&amp;". ")&amp;IF(LEN(IF(ISNUMBER(INDEX('My equipment'!$J$4:$J$503,(_calc!$E$623-500))),TEXT(INDEX('My equipment'!$J$4:$J$503,(_calc!$E$623-500)),"yyyy-mm-dd"),""))=0,"","Parts end: "&amp;IF(ISNUMBER(INDEX('My equipment'!$J$4:$J$503,(_calc!$E$623-500))),TEXT(INDEX('My equipment'!$J$4:$J$503,(_calc!$E$623-500)),"yyyy-mm-dd"),"")&amp;". ")&amp;IF(LEN(IF(ISNUMBER(INDEX('My equipment'!$L$4:$L$503,(_calc!$E$623-500))),TEXT(INDEX('My equipment'!$L$4:$L$503,(_calc!$E$623-500)),"yyyy-mm-dd"),""))=0,"","Labor end: "&amp;IF(ISNUMBER(INDEX('My equipment'!$L$4:$L$503,(_calc!$E$623-500))),TEXT(INDEX('My equipment'!$L$4:$L$503,(_calc!$E$623-500)),"yyyy-mm-dd"),"")&amp;". ")&amp;IF(LEN(IF(ISNUMBER(INDEX('My equipment'!$P$4:$P$503,(_calc!$E$623-500))),TEXT(INDEX('My equipment'!$P$4:$P$503,(_calc!$E$623-500)),"yyyy-mm-dd"),""))=0,"","Check by: "&amp;IF(ISNUMBER(INDEX('My equipment'!$P$4:$P$503,(_calc!$E$623-500))),TEXT(INDEX('My equipment'!$P$4:$P$503,(_calc!$E$623-500)),"yyyy-mm-dd"),"")&amp;". ")&amp;IF(LEN(IF(LEN(INDEX('My equipment'!$Q$4:$Q$503,(_calc!$E$623-500)))=0,"",INDEX('My equipment'!$Q$4:$Q$503,(_calc!$E$623-500))))=0,"","Claim status: "&amp;IF(LEN(INDEX('My equipment'!$Q$4:$Q$503,(_calc!$E$623-500)))=0,"",INDEX('My equipment'!$Q$4:$Q$503,(_calc!$E$623-500)))&amp;". ")&amp;IF(LEN(IF(LEN(INDEX('My equipment'!$R$4:$R$503,(_calc!$E$623-500)))=0,"",INDEX('My equipment'!$R$4:$R$503,(_calc!$E$623-500))))=0,"","Claims contact: "&amp;IF(LEN(INDEX('My equipment'!$R$4:$R$503,(_calc!$E$623-500)))=0,"",INDEX('My equipment'!$R$4:$R$503,(_calc!$E$623-500)))&amp;". ")&amp;IF(LEN(IF(LEN(INDEX('My equipment'!$S$4:$S$503,(_calc!$E$623-500)))=0,"",INDEX('My equipment'!$S$4:$S$503,(_calc!$E$623-500))))=0,"","Claims email: "&amp;IF(LEN(INDEX('My equipment'!$S$4:$S$503,(_calc!$E$623-500)))=0,"",INDEX('My equipment'!$S$4:$S$503,(_calc!$E$623-500)))&amp;". ")&amp;IF(LEN(IF(LEN(INDEX('My equipment'!$U$4:$U$503,(_calc!$E$623-500)))=0,"",INDEX('My equipment'!$U$4:$U$503,(_calc!$E$623-500))))=0,"","Registered: "&amp;IF(LEN(INDEX('My equipment'!$U$4:$U$503,(_calc!$E$623-500)))=0,"",INDEX('My equipment'!$U$4:$U$503,(_calc!$E$623-500)))&amp;". ")&amp;IF(LEN(IF(LEN(INDEX('My equipment'!$V$4:$V$503,(_calc!$E$623-500)))=0,"",INDEX('My equipment'!$V$4:$V$503,(_calc!$E$623-500))))=0,"","Proof on file: "&amp;IF(LEN(INDEX('My equipment'!$V$4:$V$503,(_calc!$E$623-500)))=0,"",INDEX('My equipment'!$V$4:$V$503,(_calc!$E$623-500)))&amp;". ")&amp;IF(LEN(IF(LEN(INDEX('My equipment'!$W$4:$W$503,(_calc!$E$623-500)))=0,"",INDEX('My equipment'!$W$4:$W$503,(_calc!$E$623-500))))=0,"","Claim ref: "&amp;IF(LEN(INDEX('My equipment'!$W$4:$W$503,(_calc!$E$623-500)))=0,"",INDEX('My equipment'!$W$4:$W$503,(_calc!$E$623-500)))&amp;". ")&amp;IF(LEN(IF(LEN(INDEX('My equipment'!$Y$4:$Y$503,(_calc!$E$623-500)))=0,"",INDEX('My equipment'!$Y$4:$Y$503,(_calc!$E$623-500))))=0,"",IF(LEN(INDEX('My equipment'!$Y$4:$Y$503,(_calc!$E$623-500)))=0,"",INDEX('My equipment'!$Y$4:$Y$503,(_calc!$E$623-500)))))))</f>
        <v/>
      </c>
      <c r="G621" s="54">
        <f>IF(_calc!$E$623="","",IF(_calc!$E$623&lt;=500,"",IF(LEN(INDEX('My equipment'!$X$4:$X$503,(_calc!$E$623-500)))=0,"",INDEX('My equipment'!$X$4:$X$503,(_calc!$E$623-500)))))</f>
        <v/>
      </c>
      <c r="K621" s="54">
        <f>IF(_calc!$E$623="","",IF(_calc!$E$623&lt;=500,"",IF(LEN(INDEX('My equipment'!$T$4:$T$503,(_calc!$E$623-500)))=0,"",INDEX('My equipment'!$T$4:$T$503,(_calc!$E$623-500)))))</f>
        <v/>
      </c>
    </row>
    <row r="622">
      <c r="A622" s="54">
        <f>IF(_calc!$E$624="","",IF(_calc!$E$624&lt;=500,"Warranty – "&amp;IF(LEN(INDEX('Dealer pipeline'!$C$4:$C$503,_calc!$E$624))=0,"",INDEX('Dealer pipeline'!$C$4:$C$503,_calc!$E$624))&amp;" – "&amp;IF(LEN(INDEX('Dealer pipeline'!$D$4:$D$503,_calc!$E$624))=0,"",INDEX('Dealer pipeline'!$D$4:$D$503,_calc!$E$624))&amp;" – "&amp;IF(LEN(INDEX('Dealer pipeline'!$A$4:$A$503,_calc!$E$624))=0,"",INDEX('Dealer pipeline'!$A$4:$A$503,_calc!$E$624)),"Warranty – "&amp;IF(LEN(INDEX('My equipment'!$A$4:$A$503,(_calc!$E$624-500)))=0,"",INDEX('My equipment'!$A$4:$A$503,(_calc!$E$624-500)))&amp;" – "&amp;IF(LEN(INDEX('My equipment'!$D$4:$D$503,(_calc!$E$624-500)))=0,"",INDEX('My equipment'!$D$4:$D$503,(_calc!$E$624-500)))))</f>
        <v/>
      </c>
      <c r="B622" s="54">
        <f>IF(_calc!$E$624="","",IF(_calc!$E$624&lt;=500,IF(ISNUMBER(INDEX('Dealer pipeline'!$M$4:$M$503,_calc!$E$624)),TEXT(INDEX('Dealer pipeline'!$M$4:$M$503,_calc!$E$624),"yyyy-mm-dd"),""),IF(ISNUMBER(INDEX('My equipment'!$M$4:$M$503,(_calc!$E$624-500))),TEXT(INDEX('My equipment'!$M$4:$M$503,(_calc!$E$624-500)),"yyyy-mm-dd"),"")))</f>
        <v/>
      </c>
      <c r="C622" s="54">
        <f>IF(_calc!$E$624="","",IF(_calc!$E$624&lt;=500,"Warranty","Warranty"))</f>
        <v/>
      </c>
      <c r="D622" s="54">
        <f>IF(_calc!$E$624="","",IF(_calc!$E$624&lt;=500,IF(ISNUMBER(INDEX('Dealer pipeline'!$H$4:$H$503,_calc!$E$624)),TEXT(INDEX('Dealer pipeline'!$H$4:$H$503,_calc!$E$624),"yyyy-mm-dd"),""),IF(ISNUMBER(INDEX('My equipment'!$H$4:$H$503,(_calc!$E$624-500))),TEXT(INDEX('My equipment'!$H$4:$H$503,(_calc!$E$624-500)),"yyyy-mm-dd"),"")))</f>
        <v/>
      </c>
      <c r="F622" s="54">
        <f>IF(_calc!$E$624="","",IF(_calc!$E$624&lt;=500,TRIM(IF(LEN(IF(LEN(INDEX('Dealer pipeline'!$A$4:$A$503,_calc!$E$624))=0,"",INDEX('Dealer pipeline'!$A$4:$A$503,_calc!$E$624)))=0,"","Customer: "&amp;IF(LEN(INDEX('Dealer pipeline'!$A$4:$A$503,_calc!$E$624))=0,"",INDEX('Dealer pipeline'!$A$4:$A$503,_calc!$E$624))&amp;". ")&amp;IF(LEN(IF(LEN(INDEX('Dealer pipeline'!$B$4:$B$503,_calc!$E$624))=0,"",INDEX('Dealer pipeline'!$B$4:$B$503,_calc!$E$624)))=0,"","Contact: "&amp;IF(LEN(INDEX('Dealer pipeline'!$B$4:$B$503,_calc!$E$624))=0,"",INDEX('Dealer pipeline'!$B$4:$B$503,_calc!$E$624))&amp;". ")&amp;IF(LEN(IF(LEN(INDEX('Dealer pipeline'!$D$4:$D$503,_calc!$E$624))=0,"",INDEX('Dealer pipeline'!$D$4:$D$503,_calc!$E$624)))=0,"","Serial: "&amp;IF(LEN(INDEX('Dealer pipeline'!$D$4:$D$503,_calc!$E$624))=0,"",INDEX('Dealer pipeline'!$D$4:$D$503,_calc!$E$624))&amp;". ")&amp;IF(LEN(IF(ISNUMBER(INDEX('Dealer pipeline'!$J$4:$J$503,_calc!$E$624)),TEXT(INDEX('Dealer pipeline'!$J$4:$J$503,_calc!$E$624),"yyyy-mm-dd"),""))=0,"","Parts end: "&amp;IF(ISNUMBER(INDEX('Dealer pipeline'!$J$4:$J$503,_calc!$E$624)),TEXT(INDEX('Dealer pipeline'!$J$4:$J$503,_calc!$E$624),"yyyy-mm-dd"),"")&amp;". ")&amp;IF(LEN(IF(ISNUMBER(INDEX('Dealer pipeline'!$L$4:$L$503,_calc!$E$624)),TEXT(INDEX('Dealer pipeline'!$L$4:$L$503,_calc!$E$624),"yyyy-mm-dd"),""))=0,"","Labor end: "&amp;IF(ISNUMBER(INDEX('Dealer pipeline'!$L$4:$L$503,_calc!$E$624)),TEXT(INDEX('Dealer pipeline'!$L$4:$L$503,_calc!$E$624),"yyyy-mm-dd"),"")&amp;". ")&amp;IF(LEN(IF(LEN(INDEX('Dealer pipeline'!$Q$4:$Q$503,_calc!$E$624))=0,"",INDEX('Dealer pipeline'!$Q$4:$Q$503,_calc!$E$624)))=0,"","Status: "&amp;IF(LEN(INDEX('Dealer pipeline'!$Q$4:$Q$503,_calc!$E$624))=0,"",INDEX('Dealer pipeline'!$Q$4:$Q$503,_calc!$E$624))&amp;". ")&amp;IF(LEN(IF(LEN(INDEX('Dealer pipeline'!$P$4:$P$503,_calc!$E$624))=0,"",INDEX('Dealer pipeline'!$P$4:$P$503,_calc!$E$624)))=0,"","Last touch: "&amp;IF(LEN(INDEX('Dealer pipeline'!$P$4:$P$503,_calc!$E$624))=0,"",INDEX('Dealer pipeline'!$P$4:$P$503,_calc!$E$624))&amp;". ")&amp;IF(LEN(IF(LEN(INDEX('Dealer pipeline'!$R$4:$R$503,_calc!$E$624))=0,"",INDEX('Dealer pipeline'!$R$4:$R$503,_calc!$E$624)))=0,"","Owner: "&amp;IF(LEN(INDEX('Dealer pipeline'!$R$4:$R$503,_calc!$E$624))=0,"",INDEX('Dealer pipeline'!$R$4:$R$503,_calc!$E$624))&amp;". ")&amp;IF(LEN(IF(LEN(INDEX('Dealer pipeline'!$S$4:$S$503,_calc!$E$624))=0,"",INDEX('Dealer pipeline'!$S$4:$S$503,_calc!$E$624)))=0,"","Backup: "&amp;IF(LEN(INDEX('Dealer pipeline'!$S$4:$S$503,_calc!$E$624))=0,"",INDEX('Dealer pipeline'!$S$4:$S$503,_calc!$E$624))&amp;". ")&amp;IF(LEN(IF(LEN(INDEX('Dealer pipeline'!$T$4:$T$503,_calc!$E$624))=0,"",INDEX('Dealer pipeline'!$T$4:$T$503,_calc!$E$624)))=0,"",IF(LEN(INDEX('Dealer pipeline'!$T$4:$T$503,_calc!$E$624))=0,"",INDEX('Dealer pipeline'!$T$4:$T$503,_calc!$E$624)))),TRIM(IF(LEN(IF(LEN(INDEX('My equipment'!$C$4:$C$503,(_calc!$E$624-500)))=0,"",INDEX('My equipment'!$C$4:$C$503,(_calc!$E$624-500))))=0,"","Model: "&amp;IF(LEN(INDEX('My equipment'!$C$4:$C$503,(_calc!$E$624-500)))=0,"",INDEX('My equipment'!$C$4:$C$503,(_calc!$E$624-500)))&amp;". ")&amp;IF(LEN(IF(LEN(INDEX('My equipment'!$D$4:$D$503,(_calc!$E$624-500)))=0,"",INDEX('My equipment'!$D$4:$D$503,(_calc!$E$624-500))))=0,"","Serial: "&amp;IF(LEN(INDEX('My equipment'!$D$4:$D$503,(_calc!$E$624-500)))=0,"",INDEX('My equipment'!$D$4:$D$503,(_calc!$E$624-500)))&amp;". ")&amp;IF(LEN(IF(ISNUMBER(INDEX('My equipment'!$J$4:$J$503,(_calc!$E$624-500))),TEXT(INDEX('My equipment'!$J$4:$J$503,(_calc!$E$624-500)),"yyyy-mm-dd"),""))=0,"","Parts end: "&amp;IF(ISNUMBER(INDEX('My equipment'!$J$4:$J$503,(_calc!$E$624-500))),TEXT(INDEX('My equipment'!$J$4:$J$503,(_calc!$E$624-500)),"yyyy-mm-dd"),"")&amp;". ")&amp;IF(LEN(IF(ISNUMBER(INDEX('My equipment'!$L$4:$L$503,(_calc!$E$624-500))),TEXT(INDEX('My equipment'!$L$4:$L$503,(_calc!$E$624-500)),"yyyy-mm-dd"),""))=0,"","Labor end: "&amp;IF(ISNUMBER(INDEX('My equipment'!$L$4:$L$503,(_calc!$E$624-500))),TEXT(INDEX('My equipment'!$L$4:$L$503,(_calc!$E$624-500)),"yyyy-mm-dd"),"")&amp;". ")&amp;IF(LEN(IF(ISNUMBER(INDEX('My equipment'!$P$4:$P$503,(_calc!$E$624-500))),TEXT(INDEX('My equipment'!$P$4:$P$503,(_calc!$E$624-500)),"yyyy-mm-dd"),""))=0,"","Check by: "&amp;IF(ISNUMBER(INDEX('My equipment'!$P$4:$P$503,(_calc!$E$624-500))),TEXT(INDEX('My equipment'!$P$4:$P$503,(_calc!$E$624-500)),"yyyy-mm-dd"),"")&amp;". ")&amp;IF(LEN(IF(LEN(INDEX('My equipment'!$Q$4:$Q$503,(_calc!$E$624-500)))=0,"",INDEX('My equipment'!$Q$4:$Q$503,(_calc!$E$624-500))))=0,"","Claim status: "&amp;IF(LEN(INDEX('My equipment'!$Q$4:$Q$503,(_calc!$E$624-500)))=0,"",INDEX('My equipment'!$Q$4:$Q$503,(_calc!$E$624-500)))&amp;". ")&amp;IF(LEN(IF(LEN(INDEX('My equipment'!$R$4:$R$503,(_calc!$E$624-500)))=0,"",INDEX('My equipment'!$R$4:$R$503,(_calc!$E$624-500))))=0,"","Claims contact: "&amp;IF(LEN(INDEX('My equipment'!$R$4:$R$503,(_calc!$E$624-500)))=0,"",INDEX('My equipment'!$R$4:$R$503,(_calc!$E$624-500)))&amp;". ")&amp;IF(LEN(IF(LEN(INDEX('My equipment'!$S$4:$S$503,(_calc!$E$624-500)))=0,"",INDEX('My equipment'!$S$4:$S$503,(_calc!$E$624-500))))=0,"","Claims email: "&amp;IF(LEN(INDEX('My equipment'!$S$4:$S$503,(_calc!$E$624-500)))=0,"",INDEX('My equipment'!$S$4:$S$503,(_calc!$E$624-500)))&amp;". ")&amp;IF(LEN(IF(LEN(INDEX('My equipment'!$U$4:$U$503,(_calc!$E$624-500)))=0,"",INDEX('My equipment'!$U$4:$U$503,(_calc!$E$624-500))))=0,"","Registered: "&amp;IF(LEN(INDEX('My equipment'!$U$4:$U$503,(_calc!$E$624-500)))=0,"",INDEX('My equipment'!$U$4:$U$503,(_calc!$E$624-500)))&amp;". ")&amp;IF(LEN(IF(LEN(INDEX('My equipment'!$V$4:$V$503,(_calc!$E$624-500)))=0,"",INDEX('My equipment'!$V$4:$V$503,(_calc!$E$624-500))))=0,"","Proof on file: "&amp;IF(LEN(INDEX('My equipment'!$V$4:$V$503,(_calc!$E$624-500)))=0,"",INDEX('My equipment'!$V$4:$V$503,(_calc!$E$624-500)))&amp;". ")&amp;IF(LEN(IF(LEN(INDEX('My equipment'!$W$4:$W$503,(_calc!$E$624-500)))=0,"",INDEX('My equipment'!$W$4:$W$503,(_calc!$E$624-500))))=0,"","Claim ref: "&amp;IF(LEN(INDEX('My equipment'!$W$4:$W$503,(_calc!$E$624-500)))=0,"",INDEX('My equipment'!$W$4:$W$503,(_calc!$E$624-500)))&amp;". ")&amp;IF(LEN(IF(LEN(INDEX('My equipment'!$Y$4:$Y$503,(_calc!$E$624-500)))=0,"",INDEX('My equipment'!$Y$4:$Y$503,(_calc!$E$624-500))))=0,"",IF(LEN(INDEX('My equipment'!$Y$4:$Y$503,(_calc!$E$624-500)))=0,"",INDEX('My equipment'!$Y$4:$Y$503,(_calc!$E$624-500)))))))</f>
        <v/>
      </c>
      <c r="G622" s="54">
        <f>IF(_calc!$E$624="","",IF(_calc!$E$624&lt;=500,"",IF(LEN(INDEX('My equipment'!$X$4:$X$503,(_calc!$E$624-500)))=0,"",INDEX('My equipment'!$X$4:$X$503,(_calc!$E$624-500)))))</f>
        <v/>
      </c>
      <c r="K622" s="54">
        <f>IF(_calc!$E$624="","",IF(_calc!$E$624&lt;=500,"",IF(LEN(INDEX('My equipment'!$T$4:$T$503,(_calc!$E$624-500)))=0,"",INDEX('My equipment'!$T$4:$T$503,(_calc!$E$624-500)))))</f>
        <v/>
      </c>
    </row>
    <row r="623">
      <c r="A623" s="54">
        <f>IF(_calc!$E$625="","",IF(_calc!$E$625&lt;=500,"Warranty – "&amp;IF(LEN(INDEX('Dealer pipeline'!$C$4:$C$503,_calc!$E$625))=0,"",INDEX('Dealer pipeline'!$C$4:$C$503,_calc!$E$625))&amp;" – "&amp;IF(LEN(INDEX('Dealer pipeline'!$D$4:$D$503,_calc!$E$625))=0,"",INDEX('Dealer pipeline'!$D$4:$D$503,_calc!$E$625))&amp;" – "&amp;IF(LEN(INDEX('Dealer pipeline'!$A$4:$A$503,_calc!$E$625))=0,"",INDEX('Dealer pipeline'!$A$4:$A$503,_calc!$E$625)),"Warranty – "&amp;IF(LEN(INDEX('My equipment'!$A$4:$A$503,(_calc!$E$625-500)))=0,"",INDEX('My equipment'!$A$4:$A$503,(_calc!$E$625-500)))&amp;" – "&amp;IF(LEN(INDEX('My equipment'!$D$4:$D$503,(_calc!$E$625-500)))=0,"",INDEX('My equipment'!$D$4:$D$503,(_calc!$E$625-500)))))</f>
        <v/>
      </c>
      <c r="B623" s="54">
        <f>IF(_calc!$E$625="","",IF(_calc!$E$625&lt;=500,IF(ISNUMBER(INDEX('Dealer pipeline'!$M$4:$M$503,_calc!$E$625)),TEXT(INDEX('Dealer pipeline'!$M$4:$M$503,_calc!$E$625),"yyyy-mm-dd"),""),IF(ISNUMBER(INDEX('My equipment'!$M$4:$M$503,(_calc!$E$625-500))),TEXT(INDEX('My equipment'!$M$4:$M$503,(_calc!$E$625-500)),"yyyy-mm-dd"),"")))</f>
        <v/>
      </c>
      <c r="C623" s="54">
        <f>IF(_calc!$E$625="","",IF(_calc!$E$625&lt;=500,"Warranty","Warranty"))</f>
        <v/>
      </c>
      <c r="D623" s="54">
        <f>IF(_calc!$E$625="","",IF(_calc!$E$625&lt;=500,IF(ISNUMBER(INDEX('Dealer pipeline'!$H$4:$H$503,_calc!$E$625)),TEXT(INDEX('Dealer pipeline'!$H$4:$H$503,_calc!$E$625),"yyyy-mm-dd"),""),IF(ISNUMBER(INDEX('My equipment'!$H$4:$H$503,(_calc!$E$625-500))),TEXT(INDEX('My equipment'!$H$4:$H$503,(_calc!$E$625-500)),"yyyy-mm-dd"),"")))</f>
        <v/>
      </c>
      <c r="F623" s="54">
        <f>IF(_calc!$E$625="","",IF(_calc!$E$625&lt;=500,TRIM(IF(LEN(IF(LEN(INDEX('Dealer pipeline'!$A$4:$A$503,_calc!$E$625))=0,"",INDEX('Dealer pipeline'!$A$4:$A$503,_calc!$E$625)))=0,"","Customer: "&amp;IF(LEN(INDEX('Dealer pipeline'!$A$4:$A$503,_calc!$E$625))=0,"",INDEX('Dealer pipeline'!$A$4:$A$503,_calc!$E$625))&amp;". ")&amp;IF(LEN(IF(LEN(INDEX('Dealer pipeline'!$B$4:$B$503,_calc!$E$625))=0,"",INDEX('Dealer pipeline'!$B$4:$B$503,_calc!$E$625)))=0,"","Contact: "&amp;IF(LEN(INDEX('Dealer pipeline'!$B$4:$B$503,_calc!$E$625))=0,"",INDEX('Dealer pipeline'!$B$4:$B$503,_calc!$E$625))&amp;". ")&amp;IF(LEN(IF(LEN(INDEX('Dealer pipeline'!$D$4:$D$503,_calc!$E$625))=0,"",INDEX('Dealer pipeline'!$D$4:$D$503,_calc!$E$625)))=0,"","Serial: "&amp;IF(LEN(INDEX('Dealer pipeline'!$D$4:$D$503,_calc!$E$625))=0,"",INDEX('Dealer pipeline'!$D$4:$D$503,_calc!$E$625))&amp;". ")&amp;IF(LEN(IF(ISNUMBER(INDEX('Dealer pipeline'!$J$4:$J$503,_calc!$E$625)),TEXT(INDEX('Dealer pipeline'!$J$4:$J$503,_calc!$E$625),"yyyy-mm-dd"),""))=0,"","Parts end: "&amp;IF(ISNUMBER(INDEX('Dealer pipeline'!$J$4:$J$503,_calc!$E$625)),TEXT(INDEX('Dealer pipeline'!$J$4:$J$503,_calc!$E$625),"yyyy-mm-dd"),"")&amp;". ")&amp;IF(LEN(IF(ISNUMBER(INDEX('Dealer pipeline'!$L$4:$L$503,_calc!$E$625)),TEXT(INDEX('Dealer pipeline'!$L$4:$L$503,_calc!$E$625),"yyyy-mm-dd"),""))=0,"","Labor end: "&amp;IF(ISNUMBER(INDEX('Dealer pipeline'!$L$4:$L$503,_calc!$E$625)),TEXT(INDEX('Dealer pipeline'!$L$4:$L$503,_calc!$E$625),"yyyy-mm-dd"),"")&amp;". ")&amp;IF(LEN(IF(LEN(INDEX('Dealer pipeline'!$Q$4:$Q$503,_calc!$E$625))=0,"",INDEX('Dealer pipeline'!$Q$4:$Q$503,_calc!$E$625)))=0,"","Status: "&amp;IF(LEN(INDEX('Dealer pipeline'!$Q$4:$Q$503,_calc!$E$625))=0,"",INDEX('Dealer pipeline'!$Q$4:$Q$503,_calc!$E$625))&amp;". ")&amp;IF(LEN(IF(LEN(INDEX('Dealer pipeline'!$P$4:$P$503,_calc!$E$625))=0,"",INDEX('Dealer pipeline'!$P$4:$P$503,_calc!$E$625)))=0,"","Last touch: "&amp;IF(LEN(INDEX('Dealer pipeline'!$P$4:$P$503,_calc!$E$625))=0,"",INDEX('Dealer pipeline'!$P$4:$P$503,_calc!$E$625))&amp;". ")&amp;IF(LEN(IF(LEN(INDEX('Dealer pipeline'!$R$4:$R$503,_calc!$E$625))=0,"",INDEX('Dealer pipeline'!$R$4:$R$503,_calc!$E$625)))=0,"","Owner: "&amp;IF(LEN(INDEX('Dealer pipeline'!$R$4:$R$503,_calc!$E$625))=0,"",INDEX('Dealer pipeline'!$R$4:$R$503,_calc!$E$625))&amp;". ")&amp;IF(LEN(IF(LEN(INDEX('Dealer pipeline'!$S$4:$S$503,_calc!$E$625))=0,"",INDEX('Dealer pipeline'!$S$4:$S$503,_calc!$E$625)))=0,"","Backup: "&amp;IF(LEN(INDEX('Dealer pipeline'!$S$4:$S$503,_calc!$E$625))=0,"",INDEX('Dealer pipeline'!$S$4:$S$503,_calc!$E$625))&amp;". ")&amp;IF(LEN(IF(LEN(INDEX('Dealer pipeline'!$T$4:$T$503,_calc!$E$625))=0,"",INDEX('Dealer pipeline'!$T$4:$T$503,_calc!$E$625)))=0,"",IF(LEN(INDEX('Dealer pipeline'!$T$4:$T$503,_calc!$E$625))=0,"",INDEX('Dealer pipeline'!$T$4:$T$503,_calc!$E$625)))),TRIM(IF(LEN(IF(LEN(INDEX('My equipment'!$C$4:$C$503,(_calc!$E$625-500)))=0,"",INDEX('My equipment'!$C$4:$C$503,(_calc!$E$625-500))))=0,"","Model: "&amp;IF(LEN(INDEX('My equipment'!$C$4:$C$503,(_calc!$E$625-500)))=0,"",INDEX('My equipment'!$C$4:$C$503,(_calc!$E$625-500)))&amp;". ")&amp;IF(LEN(IF(LEN(INDEX('My equipment'!$D$4:$D$503,(_calc!$E$625-500)))=0,"",INDEX('My equipment'!$D$4:$D$503,(_calc!$E$625-500))))=0,"","Serial: "&amp;IF(LEN(INDEX('My equipment'!$D$4:$D$503,(_calc!$E$625-500)))=0,"",INDEX('My equipment'!$D$4:$D$503,(_calc!$E$625-500)))&amp;". ")&amp;IF(LEN(IF(ISNUMBER(INDEX('My equipment'!$J$4:$J$503,(_calc!$E$625-500))),TEXT(INDEX('My equipment'!$J$4:$J$503,(_calc!$E$625-500)),"yyyy-mm-dd"),""))=0,"","Parts end: "&amp;IF(ISNUMBER(INDEX('My equipment'!$J$4:$J$503,(_calc!$E$625-500))),TEXT(INDEX('My equipment'!$J$4:$J$503,(_calc!$E$625-500)),"yyyy-mm-dd"),"")&amp;". ")&amp;IF(LEN(IF(ISNUMBER(INDEX('My equipment'!$L$4:$L$503,(_calc!$E$625-500))),TEXT(INDEX('My equipment'!$L$4:$L$503,(_calc!$E$625-500)),"yyyy-mm-dd"),""))=0,"","Labor end: "&amp;IF(ISNUMBER(INDEX('My equipment'!$L$4:$L$503,(_calc!$E$625-500))),TEXT(INDEX('My equipment'!$L$4:$L$503,(_calc!$E$625-500)),"yyyy-mm-dd"),"")&amp;". ")&amp;IF(LEN(IF(ISNUMBER(INDEX('My equipment'!$P$4:$P$503,(_calc!$E$625-500))),TEXT(INDEX('My equipment'!$P$4:$P$503,(_calc!$E$625-500)),"yyyy-mm-dd"),""))=0,"","Check by: "&amp;IF(ISNUMBER(INDEX('My equipment'!$P$4:$P$503,(_calc!$E$625-500))),TEXT(INDEX('My equipment'!$P$4:$P$503,(_calc!$E$625-500)),"yyyy-mm-dd"),"")&amp;". ")&amp;IF(LEN(IF(LEN(INDEX('My equipment'!$Q$4:$Q$503,(_calc!$E$625-500)))=0,"",INDEX('My equipment'!$Q$4:$Q$503,(_calc!$E$625-500))))=0,"","Claim status: "&amp;IF(LEN(INDEX('My equipment'!$Q$4:$Q$503,(_calc!$E$625-500)))=0,"",INDEX('My equipment'!$Q$4:$Q$503,(_calc!$E$625-500)))&amp;". ")&amp;IF(LEN(IF(LEN(INDEX('My equipment'!$R$4:$R$503,(_calc!$E$625-500)))=0,"",INDEX('My equipment'!$R$4:$R$503,(_calc!$E$625-500))))=0,"","Claims contact: "&amp;IF(LEN(INDEX('My equipment'!$R$4:$R$503,(_calc!$E$625-500)))=0,"",INDEX('My equipment'!$R$4:$R$503,(_calc!$E$625-500)))&amp;". ")&amp;IF(LEN(IF(LEN(INDEX('My equipment'!$S$4:$S$503,(_calc!$E$625-500)))=0,"",INDEX('My equipment'!$S$4:$S$503,(_calc!$E$625-500))))=0,"","Claims email: "&amp;IF(LEN(INDEX('My equipment'!$S$4:$S$503,(_calc!$E$625-500)))=0,"",INDEX('My equipment'!$S$4:$S$503,(_calc!$E$625-500)))&amp;". ")&amp;IF(LEN(IF(LEN(INDEX('My equipment'!$U$4:$U$503,(_calc!$E$625-500)))=0,"",INDEX('My equipment'!$U$4:$U$503,(_calc!$E$625-500))))=0,"","Registered: "&amp;IF(LEN(INDEX('My equipment'!$U$4:$U$503,(_calc!$E$625-500)))=0,"",INDEX('My equipment'!$U$4:$U$503,(_calc!$E$625-500)))&amp;". ")&amp;IF(LEN(IF(LEN(INDEX('My equipment'!$V$4:$V$503,(_calc!$E$625-500)))=0,"",INDEX('My equipment'!$V$4:$V$503,(_calc!$E$625-500))))=0,"","Proof on file: "&amp;IF(LEN(INDEX('My equipment'!$V$4:$V$503,(_calc!$E$625-500)))=0,"",INDEX('My equipment'!$V$4:$V$503,(_calc!$E$625-500)))&amp;". ")&amp;IF(LEN(IF(LEN(INDEX('My equipment'!$W$4:$W$503,(_calc!$E$625-500)))=0,"",INDEX('My equipment'!$W$4:$W$503,(_calc!$E$625-500))))=0,"","Claim ref: "&amp;IF(LEN(INDEX('My equipment'!$W$4:$W$503,(_calc!$E$625-500)))=0,"",INDEX('My equipment'!$W$4:$W$503,(_calc!$E$625-500)))&amp;". ")&amp;IF(LEN(IF(LEN(INDEX('My equipment'!$Y$4:$Y$503,(_calc!$E$625-500)))=0,"",INDEX('My equipment'!$Y$4:$Y$503,(_calc!$E$625-500))))=0,"",IF(LEN(INDEX('My equipment'!$Y$4:$Y$503,(_calc!$E$625-500)))=0,"",INDEX('My equipment'!$Y$4:$Y$503,(_calc!$E$625-500)))))))</f>
        <v/>
      </c>
      <c r="G623" s="54">
        <f>IF(_calc!$E$625="","",IF(_calc!$E$625&lt;=500,"",IF(LEN(INDEX('My equipment'!$X$4:$X$503,(_calc!$E$625-500)))=0,"",INDEX('My equipment'!$X$4:$X$503,(_calc!$E$625-500)))))</f>
        <v/>
      </c>
      <c r="K623" s="54">
        <f>IF(_calc!$E$625="","",IF(_calc!$E$625&lt;=500,"",IF(LEN(INDEX('My equipment'!$T$4:$T$503,(_calc!$E$625-500)))=0,"",INDEX('My equipment'!$T$4:$T$503,(_calc!$E$625-500)))))</f>
        <v/>
      </c>
    </row>
    <row r="624">
      <c r="A624" s="54">
        <f>IF(_calc!$E$626="","",IF(_calc!$E$626&lt;=500,"Warranty – "&amp;IF(LEN(INDEX('Dealer pipeline'!$C$4:$C$503,_calc!$E$626))=0,"",INDEX('Dealer pipeline'!$C$4:$C$503,_calc!$E$626))&amp;" – "&amp;IF(LEN(INDEX('Dealer pipeline'!$D$4:$D$503,_calc!$E$626))=0,"",INDEX('Dealer pipeline'!$D$4:$D$503,_calc!$E$626))&amp;" – "&amp;IF(LEN(INDEX('Dealer pipeline'!$A$4:$A$503,_calc!$E$626))=0,"",INDEX('Dealer pipeline'!$A$4:$A$503,_calc!$E$626)),"Warranty – "&amp;IF(LEN(INDEX('My equipment'!$A$4:$A$503,(_calc!$E$626-500)))=0,"",INDEX('My equipment'!$A$4:$A$503,(_calc!$E$626-500)))&amp;" – "&amp;IF(LEN(INDEX('My equipment'!$D$4:$D$503,(_calc!$E$626-500)))=0,"",INDEX('My equipment'!$D$4:$D$503,(_calc!$E$626-500)))))</f>
        <v/>
      </c>
      <c r="B624" s="54">
        <f>IF(_calc!$E$626="","",IF(_calc!$E$626&lt;=500,IF(ISNUMBER(INDEX('Dealer pipeline'!$M$4:$M$503,_calc!$E$626)),TEXT(INDEX('Dealer pipeline'!$M$4:$M$503,_calc!$E$626),"yyyy-mm-dd"),""),IF(ISNUMBER(INDEX('My equipment'!$M$4:$M$503,(_calc!$E$626-500))),TEXT(INDEX('My equipment'!$M$4:$M$503,(_calc!$E$626-500)),"yyyy-mm-dd"),"")))</f>
        <v/>
      </c>
      <c r="C624" s="54">
        <f>IF(_calc!$E$626="","",IF(_calc!$E$626&lt;=500,"Warranty","Warranty"))</f>
        <v/>
      </c>
      <c r="D624" s="54">
        <f>IF(_calc!$E$626="","",IF(_calc!$E$626&lt;=500,IF(ISNUMBER(INDEX('Dealer pipeline'!$H$4:$H$503,_calc!$E$626)),TEXT(INDEX('Dealer pipeline'!$H$4:$H$503,_calc!$E$626),"yyyy-mm-dd"),""),IF(ISNUMBER(INDEX('My equipment'!$H$4:$H$503,(_calc!$E$626-500))),TEXT(INDEX('My equipment'!$H$4:$H$503,(_calc!$E$626-500)),"yyyy-mm-dd"),"")))</f>
        <v/>
      </c>
      <c r="F624" s="54">
        <f>IF(_calc!$E$626="","",IF(_calc!$E$626&lt;=500,TRIM(IF(LEN(IF(LEN(INDEX('Dealer pipeline'!$A$4:$A$503,_calc!$E$626))=0,"",INDEX('Dealer pipeline'!$A$4:$A$503,_calc!$E$626)))=0,"","Customer: "&amp;IF(LEN(INDEX('Dealer pipeline'!$A$4:$A$503,_calc!$E$626))=0,"",INDEX('Dealer pipeline'!$A$4:$A$503,_calc!$E$626))&amp;". ")&amp;IF(LEN(IF(LEN(INDEX('Dealer pipeline'!$B$4:$B$503,_calc!$E$626))=0,"",INDEX('Dealer pipeline'!$B$4:$B$503,_calc!$E$626)))=0,"","Contact: "&amp;IF(LEN(INDEX('Dealer pipeline'!$B$4:$B$503,_calc!$E$626))=0,"",INDEX('Dealer pipeline'!$B$4:$B$503,_calc!$E$626))&amp;". ")&amp;IF(LEN(IF(LEN(INDEX('Dealer pipeline'!$D$4:$D$503,_calc!$E$626))=0,"",INDEX('Dealer pipeline'!$D$4:$D$503,_calc!$E$626)))=0,"","Serial: "&amp;IF(LEN(INDEX('Dealer pipeline'!$D$4:$D$503,_calc!$E$626))=0,"",INDEX('Dealer pipeline'!$D$4:$D$503,_calc!$E$626))&amp;". ")&amp;IF(LEN(IF(ISNUMBER(INDEX('Dealer pipeline'!$J$4:$J$503,_calc!$E$626)),TEXT(INDEX('Dealer pipeline'!$J$4:$J$503,_calc!$E$626),"yyyy-mm-dd"),""))=0,"","Parts end: "&amp;IF(ISNUMBER(INDEX('Dealer pipeline'!$J$4:$J$503,_calc!$E$626)),TEXT(INDEX('Dealer pipeline'!$J$4:$J$503,_calc!$E$626),"yyyy-mm-dd"),"")&amp;". ")&amp;IF(LEN(IF(ISNUMBER(INDEX('Dealer pipeline'!$L$4:$L$503,_calc!$E$626)),TEXT(INDEX('Dealer pipeline'!$L$4:$L$503,_calc!$E$626),"yyyy-mm-dd"),""))=0,"","Labor end: "&amp;IF(ISNUMBER(INDEX('Dealer pipeline'!$L$4:$L$503,_calc!$E$626)),TEXT(INDEX('Dealer pipeline'!$L$4:$L$503,_calc!$E$626),"yyyy-mm-dd"),"")&amp;". ")&amp;IF(LEN(IF(LEN(INDEX('Dealer pipeline'!$Q$4:$Q$503,_calc!$E$626))=0,"",INDEX('Dealer pipeline'!$Q$4:$Q$503,_calc!$E$626)))=0,"","Status: "&amp;IF(LEN(INDEX('Dealer pipeline'!$Q$4:$Q$503,_calc!$E$626))=0,"",INDEX('Dealer pipeline'!$Q$4:$Q$503,_calc!$E$626))&amp;". ")&amp;IF(LEN(IF(LEN(INDEX('Dealer pipeline'!$P$4:$P$503,_calc!$E$626))=0,"",INDEX('Dealer pipeline'!$P$4:$P$503,_calc!$E$626)))=0,"","Last touch: "&amp;IF(LEN(INDEX('Dealer pipeline'!$P$4:$P$503,_calc!$E$626))=0,"",INDEX('Dealer pipeline'!$P$4:$P$503,_calc!$E$626))&amp;". ")&amp;IF(LEN(IF(LEN(INDEX('Dealer pipeline'!$R$4:$R$503,_calc!$E$626))=0,"",INDEX('Dealer pipeline'!$R$4:$R$503,_calc!$E$626)))=0,"","Owner: "&amp;IF(LEN(INDEX('Dealer pipeline'!$R$4:$R$503,_calc!$E$626))=0,"",INDEX('Dealer pipeline'!$R$4:$R$503,_calc!$E$626))&amp;". ")&amp;IF(LEN(IF(LEN(INDEX('Dealer pipeline'!$S$4:$S$503,_calc!$E$626))=0,"",INDEX('Dealer pipeline'!$S$4:$S$503,_calc!$E$626)))=0,"","Backup: "&amp;IF(LEN(INDEX('Dealer pipeline'!$S$4:$S$503,_calc!$E$626))=0,"",INDEX('Dealer pipeline'!$S$4:$S$503,_calc!$E$626))&amp;". ")&amp;IF(LEN(IF(LEN(INDEX('Dealer pipeline'!$T$4:$T$503,_calc!$E$626))=0,"",INDEX('Dealer pipeline'!$T$4:$T$503,_calc!$E$626)))=0,"",IF(LEN(INDEX('Dealer pipeline'!$T$4:$T$503,_calc!$E$626))=0,"",INDEX('Dealer pipeline'!$T$4:$T$503,_calc!$E$626)))),TRIM(IF(LEN(IF(LEN(INDEX('My equipment'!$C$4:$C$503,(_calc!$E$626-500)))=0,"",INDEX('My equipment'!$C$4:$C$503,(_calc!$E$626-500))))=0,"","Model: "&amp;IF(LEN(INDEX('My equipment'!$C$4:$C$503,(_calc!$E$626-500)))=0,"",INDEX('My equipment'!$C$4:$C$503,(_calc!$E$626-500)))&amp;". ")&amp;IF(LEN(IF(LEN(INDEX('My equipment'!$D$4:$D$503,(_calc!$E$626-500)))=0,"",INDEX('My equipment'!$D$4:$D$503,(_calc!$E$626-500))))=0,"","Serial: "&amp;IF(LEN(INDEX('My equipment'!$D$4:$D$503,(_calc!$E$626-500)))=0,"",INDEX('My equipment'!$D$4:$D$503,(_calc!$E$626-500)))&amp;". ")&amp;IF(LEN(IF(ISNUMBER(INDEX('My equipment'!$J$4:$J$503,(_calc!$E$626-500))),TEXT(INDEX('My equipment'!$J$4:$J$503,(_calc!$E$626-500)),"yyyy-mm-dd"),""))=0,"","Parts end: "&amp;IF(ISNUMBER(INDEX('My equipment'!$J$4:$J$503,(_calc!$E$626-500))),TEXT(INDEX('My equipment'!$J$4:$J$503,(_calc!$E$626-500)),"yyyy-mm-dd"),"")&amp;". ")&amp;IF(LEN(IF(ISNUMBER(INDEX('My equipment'!$L$4:$L$503,(_calc!$E$626-500))),TEXT(INDEX('My equipment'!$L$4:$L$503,(_calc!$E$626-500)),"yyyy-mm-dd"),""))=0,"","Labor end: "&amp;IF(ISNUMBER(INDEX('My equipment'!$L$4:$L$503,(_calc!$E$626-500))),TEXT(INDEX('My equipment'!$L$4:$L$503,(_calc!$E$626-500)),"yyyy-mm-dd"),"")&amp;". ")&amp;IF(LEN(IF(ISNUMBER(INDEX('My equipment'!$P$4:$P$503,(_calc!$E$626-500))),TEXT(INDEX('My equipment'!$P$4:$P$503,(_calc!$E$626-500)),"yyyy-mm-dd"),""))=0,"","Check by: "&amp;IF(ISNUMBER(INDEX('My equipment'!$P$4:$P$503,(_calc!$E$626-500))),TEXT(INDEX('My equipment'!$P$4:$P$503,(_calc!$E$626-500)),"yyyy-mm-dd"),"")&amp;". ")&amp;IF(LEN(IF(LEN(INDEX('My equipment'!$Q$4:$Q$503,(_calc!$E$626-500)))=0,"",INDEX('My equipment'!$Q$4:$Q$503,(_calc!$E$626-500))))=0,"","Claim status: "&amp;IF(LEN(INDEX('My equipment'!$Q$4:$Q$503,(_calc!$E$626-500)))=0,"",INDEX('My equipment'!$Q$4:$Q$503,(_calc!$E$626-500)))&amp;". ")&amp;IF(LEN(IF(LEN(INDEX('My equipment'!$R$4:$R$503,(_calc!$E$626-500)))=0,"",INDEX('My equipment'!$R$4:$R$503,(_calc!$E$626-500))))=0,"","Claims contact: "&amp;IF(LEN(INDEX('My equipment'!$R$4:$R$503,(_calc!$E$626-500)))=0,"",INDEX('My equipment'!$R$4:$R$503,(_calc!$E$626-500)))&amp;". ")&amp;IF(LEN(IF(LEN(INDEX('My equipment'!$S$4:$S$503,(_calc!$E$626-500)))=0,"",INDEX('My equipment'!$S$4:$S$503,(_calc!$E$626-500))))=0,"","Claims email: "&amp;IF(LEN(INDEX('My equipment'!$S$4:$S$503,(_calc!$E$626-500)))=0,"",INDEX('My equipment'!$S$4:$S$503,(_calc!$E$626-500)))&amp;". ")&amp;IF(LEN(IF(LEN(INDEX('My equipment'!$U$4:$U$503,(_calc!$E$626-500)))=0,"",INDEX('My equipment'!$U$4:$U$503,(_calc!$E$626-500))))=0,"","Registered: "&amp;IF(LEN(INDEX('My equipment'!$U$4:$U$503,(_calc!$E$626-500)))=0,"",INDEX('My equipment'!$U$4:$U$503,(_calc!$E$626-500)))&amp;". ")&amp;IF(LEN(IF(LEN(INDEX('My equipment'!$V$4:$V$503,(_calc!$E$626-500)))=0,"",INDEX('My equipment'!$V$4:$V$503,(_calc!$E$626-500))))=0,"","Proof on file: "&amp;IF(LEN(INDEX('My equipment'!$V$4:$V$503,(_calc!$E$626-500)))=0,"",INDEX('My equipment'!$V$4:$V$503,(_calc!$E$626-500)))&amp;". ")&amp;IF(LEN(IF(LEN(INDEX('My equipment'!$W$4:$W$503,(_calc!$E$626-500)))=0,"",INDEX('My equipment'!$W$4:$W$503,(_calc!$E$626-500))))=0,"","Claim ref: "&amp;IF(LEN(INDEX('My equipment'!$W$4:$W$503,(_calc!$E$626-500)))=0,"",INDEX('My equipment'!$W$4:$W$503,(_calc!$E$626-500)))&amp;". ")&amp;IF(LEN(IF(LEN(INDEX('My equipment'!$Y$4:$Y$503,(_calc!$E$626-500)))=0,"",INDEX('My equipment'!$Y$4:$Y$503,(_calc!$E$626-500))))=0,"",IF(LEN(INDEX('My equipment'!$Y$4:$Y$503,(_calc!$E$626-500)))=0,"",INDEX('My equipment'!$Y$4:$Y$503,(_calc!$E$626-500)))))))</f>
        <v/>
      </c>
      <c r="G624" s="54">
        <f>IF(_calc!$E$626="","",IF(_calc!$E$626&lt;=500,"",IF(LEN(INDEX('My equipment'!$X$4:$X$503,(_calc!$E$626-500)))=0,"",INDEX('My equipment'!$X$4:$X$503,(_calc!$E$626-500)))))</f>
        <v/>
      </c>
      <c r="K624" s="54">
        <f>IF(_calc!$E$626="","",IF(_calc!$E$626&lt;=500,"",IF(LEN(INDEX('My equipment'!$T$4:$T$503,(_calc!$E$626-500)))=0,"",INDEX('My equipment'!$T$4:$T$503,(_calc!$E$626-500)))))</f>
        <v/>
      </c>
    </row>
    <row r="625">
      <c r="A625" s="54">
        <f>IF(_calc!$E$627="","",IF(_calc!$E$627&lt;=500,"Warranty – "&amp;IF(LEN(INDEX('Dealer pipeline'!$C$4:$C$503,_calc!$E$627))=0,"",INDEX('Dealer pipeline'!$C$4:$C$503,_calc!$E$627))&amp;" – "&amp;IF(LEN(INDEX('Dealer pipeline'!$D$4:$D$503,_calc!$E$627))=0,"",INDEX('Dealer pipeline'!$D$4:$D$503,_calc!$E$627))&amp;" – "&amp;IF(LEN(INDEX('Dealer pipeline'!$A$4:$A$503,_calc!$E$627))=0,"",INDEX('Dealer pipeline'!$A$4:$A$503,_calc!$E$627)),"Warranty – "&amp;IF(LEN(INDEX('My equipment'!$A$4:$A$503,(_calc!$E$627-500)))=0,"",INDEX('My equipment'!$A$4:$A$503,(_calc!$E$627-500)))&amp;" – "&amp;IF(LEN(INDEX('My equipment'!$D$4:$D$503,(_calc!$E$627-500)))=0,"",INDEX('My equipment'!$D$4:$D$503,(_calc!$E$627-500)))))</f>
        <v/>
      </c>
      <c r="B625" s="54">
        <f>IF(_calc!$E$627="","",IF(_calc!$E$627&lt;=500,IF(ISNUMBER(INDEX('Dealer pipeline'!$M$4:$M$503,_calc!$E$627)),TEXT(INDEX('Dealer pipeline'!$M$4:$M$503,_calc!$E$627),"yyyy-mm-dd"),""),IF(ISNUMBER(INDEX('My equipment'!$M$4:$M$503,(_calc!$E$627-500))),TEXT(INDEX('My equipment'!$M$4:$M$503,(_calc!$E$627-500)),"yyyy-mm-dd"),"")))</f>
        <v/>
      </c>
      <c r="C625" s="54">
        <f>IF(_calc!$E$627="","",IF(_calc!$E$627&lt;=500,"Warranty","Warranty"))</f>
        <v/>
      </c>
      <c r="D625" s="54">
        <f>IF(_calc!$E$627="","",IF(_calc!$E$627&lt;=500,IF(ISNUMBER(INDEX('Dealer pipeline'!$H$4:$H$503,_calc!$E$627)),TEXT(INDEX('Dealer pipeline'!$H$4:$H$503,_calc!$E$627),"yyyy-mm-dd"),""),IF(ISNUMBER(INDEX('My equipment'!$H$4:$H$503,(_calc!$E$627-500))),TEXT(INDEX('My equipment'!$H$4:$H$503,(_calc!$E$627-500)),"yyyy-mm-dd"),"")))</f>
        <v/>
      </c>
      <c r="F625" s="54">
        <f>IF(_calc!$E$627="","",IF(_calc!$E$627&lt;=500,TRIM(IF(LEN(IF(LEN(INDEX('Dealer pipeline'!$A$4:$A$503,_calc!$E$627))=0,"",INDEX('Dealer pipeline'!$A$4:$A$503,_calc!$E$627)))=0,"","Customer: "&amp;IF(LEN(INDEX('Dealer pipeline'!$A$4:$A$503,_calc!$E$627))=0,"",INDEX('Dealer pipeline'!$A$4:$A$503,_calc!$E$627))&amp;". ")&amp;IF(LEN(IF(LEN(INDEX('Dealer pipeline'!$B$4:$B$503,_calc!$E$627))=0,"",INDEX('Dealer pipeline'!$B$4:$B$503,_calc!$E$627)))=0,"","Contact: "&amp;IF(LEN(INDEX('Dealer pipeline'!$B$4:$B$503,_calc!$E$627))=0,"",INDEX('Dealer pipeline'!$B$4:$B$503,_calc!$E$627))&amp;". ")&amp;IF(LEN(IF(LEN(INDEX('Dealer pipeline'!$D$4:$D$503,_calc!$E$627))=0,"",INDEX('Dealer pipeline'!$D$4:$D$503,_calc!$E$627)))=0,"","Serial: "&amp;IF(LEN(INDEX('Dealer pipeline'!$D$4:$D$503,_calc!$E$627))=0,"",INDEX('Dealer pipeline'!$D$4:$D$503,_calc!$E$627))&amp;". ")&amp;IF(LEN(IF(ISNUMBER(INDEX('Dealer pipeline'!$J$4:$J$503,_calc!$E$627)),TEXT(INDEX('Dealer pipeline'!$J$4:$J$503,_calc!$E$627),"yyyy-mm-dd"),""))=0,"","Parts end: "&amp;IF(ISNUMBER(INDEX('Dealer pipeline'!$J$4:$J$503,_calc!$E$627)),TEXT(INDEX('Dealer pipeline'!$J$4:$J$503,_calc!$E$627),"yyyy-mm-dd"),"")&amp;". ")&amp;IF(LEN(IF(ISNUMBER(INDEX('Dealer pipeline'!$L$4:$L$503,_calc!$E$627)),TEXT(INDEX('Dealer pipeline'!$L$4:$L$503,_calc!$E$627),"yyyy-mm-dd"),""))=0,"","Labor end: "&amp;IF(ISNUMBER(INDEX('Dealer pipeline'!$L$4:$L$503,_calc!$E$627)),TEXT(INDEX('Dealer pipeline'!$L$4:$L$503,_calc!$E$627),"yyyy-mm-dd"),"")&amp;". ")&amp;IF(LEN(IF(LEN(INDEX('Dealer pipeline'!$Q$4:$Q$503,_calc!$E$627))=0,"",INDEX('Dealer pipeline'!$Q$4:$Q$503,_calc!$E$627)))=0,"","Status: "&amp;IF(LEN(INDEX('Dealer pipeline'!$Q$4:$Q$503,_calc!$E$627))=0,"",INDEX('Dealer pipeline'!$Q$4:$Q$503,_calc!$E$627))&amp;". ")&amp;IF(LEN(IF(LEN(INDEX('Dealer pipeline'!$P$4:$P$503,_calc!$E$627))=0,"",INDEX('Dealer pipeline'!$P$4:$P$503,_calc!$E$627)))=0,"","Last touch: "&amp;IF(LEN(INDEX('Dealer pipeline'!$P$4:$P$503,_calc!$E$627))=0,"",INDEX('Dealer pipeline'!$P$4:$P$503,_calc!$E$627))&amp;". ")&amp;IF(LEN(IF(LEN(INDEX('Dealer pipeline'!$R$4:$R$503,_calc!$E$627))=0,"",INDEX('Dealer pipeline'!$R$4:$R$503,_calc!$E$627)))=0,"","Owner: "&amp;IF(LEN(INDEX('Dealer pipeline'!$R$4:$R$503,_calc!$E$627))=0,"",INDEX('Dealer pipeline'!$R$4:$R$503,_calc!$E$627))&amp;". ")&amp;IF(LEN(IF(LEN(INDEX('Dealer pipeline'!$S$4:$S$503,_calc!$E$627))=0,"",INDEX('Dealer pipeline'!$S$4:$S$503,_calc!$E$627)))=0,"","Backup: "&amp;IF(LEN(INDEX('Dealer pipeline'!$S$4:$S$503,_calc!$E$627))=0,"",INDEX('Dealer pipeline'!$S$4:$S$503,_calc!$E$627))&amp;". ")&amp;IF(LEN(IF(LEN(INDEX('Dealer pipeline'!$T$4:$T$503,_calc!$E$627))=0,"",INDEX('Dealer pipeline'!$T$4:$T$503,_calc!$E$627)))=0,"",IF(LEN(INDEX('Dealer pipeline'!$T$4:$T$503,_calc!$E$627))=0,"",INDEX('Dealer pipeline'!$T$4:$T$503,_calc!$E$627)))),TRIM(IF(LEN(IF(LEN(INDEX('My equipment'!$C$4:$C$503,(_calc!$E$627-500)))=0,"",INDEX('My equipment'!$C$4:$C$503,(_calc!$E$627-500))))=0,"","Model: "&amp;IF(LEN(INDEX('My equipment'!$C$4:$C$503,(_calc!$E$627-500)))=0,"",INDEX('My equipment'!$C$4:$C$503,(_calc!$E$627-500)))&amp;". ")&amp;IF(LEN(IF(LEN(INDEX('My equipment'!$D$4:$D$503,(_calc!$E$627-500)))=0,"",INDEX('My equipment'!$D$4:$D$503,(_calc!$E$627-500))))=0,"","Serial: "&amp;IF(LEN(INDEX('My equipment'!$D$4:$D$503,(_calc!$E$627-500)))=0,"",INDEX('My equipment'!$D$4:$D$503,(_calc!$E$627-500)))&amp;". ")&amp;IF(LEN(IF(ISNUMBER(INDEX('My equipment'!$J$4:$J$503,(_calc!$E$627-500))),TEXT(INDEX('My equipment'!$J$4:$J$503,(_calc!$E$627-500)),"yyyy-mm-dd"),""))=0,"","Parts end: "&amp;IF(ISNUMBER(INDEX('My equipment'!$J$4:$J$503,(_calc!$E$627-500))),TEXT(INDEX('My equipment'!$J$4:$J$503,(_calc!$E$627-500)),"yyyy-mm-dd"),"")&amp;". ")&amp;IF(LEN(IF(ISNUMBER(INDEX('My equipment'!$L$4:$L$503,(_calc!$E$627-500))),TEXT(INDEX('My equipment'!$L$4:$L$503,(_calc!$E$627-500)),"yyyy-mm-dd"),""))=0,"","Labor end: "&amp;IF(ISNUMBER(INDEX('My equipment'!$L$4:$L$503,(_calc!$E$627-500))),TEXT(INDEX('My equipment'!$L$4:$L$503,(_calc!$E$627-500)),"yyyy-mm-dd"),"")&amp;". ")&amp;IF(LEN(IF(ISNUMBER(INDEX('My equipment'!$P$4:$P$503,(_calc!$E$627-500))),TEXT(INDEX('My equipment'!$P$4:$P$503,(_calc!$E$627-500)),"yyyy-mm-dd"),""))=0,"","Check by: "&amp;IF(ISNUMBER(INDEX('My equipment'!$P$4:$P$503,(_calc!$E$627-500))),TEXT(INDEX('My equipment'!$P$4:$P$503,(_calc!$E$627-500)),"yyyy-mm-dd"),"")&amp;". ")&amp;IF(LEN(IF(LEN(INDEX('My equipment'!$Q$4:$Q$503,(_calc!$E$627-500)))=0,"",INDEX('My equipment'!$Q$4:$Q$503,(_calc!$E$627-500))))=0,"","Claim status: "&amp;IF(LEN(INDEX('My equipment'!$Q$4:$Q$503,(_calc!$E$627-500)))=0,"",INDEX('My equipment'!$Q$4:$Q$503,(_calc!$E$627-500)))&amp;". ")&amp;IF(LEN(IF(LEN(INDEX('My equipment'!$R$4:$R$503,(_calc!$E$627-500)))=0,"",INDEX('My equipment'!$R$4:$R$503,(_calc!$E$627-500))))=0,"","Claims contact: "&amp;IF(LEN(INDEX('My equipment'!$R$4:$R$503,(_calc!$E$627-500)))=0,"",INDEX('My equipment'!$R$4:$R$503,(_calc!$E$627-500)))&amp;". ")&amp;IF(LEN(IF(LEN(INDEX('My equipment'!$S$4:$S$503,(_calc!$E$627-500)))=0,"",INDEX('My equipment'!$S$4:$S$503,(_calc!$E$627-500))))=0,"","Claims email: "&amp;IF(LEN(INDEX('My equipment'!$S$4:$S$503,(_calc!$E$627-500)))=0,"",INDEX('My equipment'!$S$4:$S$503,(_calc!$E$627-500)))&amp;". ")&amp;IF(LEN(IF(LEN(INDEX('My equipment'!$U$4:$U$503,(_calc!$E$627-500)))=0,"",INDEX('My equipment'!$U$4:$U$503,(_calc!$E$627-500))))=0,"","Registered: "&amp;IF(LEN(INDEX('My equipment'!$U$4:$U$503,(_calc!$E$627-500)))=0,"",INDEX('My equipment'!$U$4:$U$503,(_calc!$E$627-500)))&amp;". ")&amp;IF(LEN(IF(LEN(INDEX('My equipment'!$V$4:$V$503,(_calc!$E$627-500)))=0,"",INDEX('My equipment'!$V$4:$V$503,(_calc!$E$627-500))))=0,"","Proof on file: "&amp;IF(LEN(INDEX('My equipment'!$V$4:$V$503,(_calc!$E$627-500)))=0,"",INDEX('My equipment'!$V$4:$V$503,(_calc!$E$627-500)))&amp;". ")&amp;IF(LEN(IF(LEN(INDEX('My equipment'!$W$4:$W$503,(_calc!$E$627-500)))=0,"",INDEX('My equipment'!$W$4:$W$503,(_calc!$E$627-500))))=0,"","Claim ref: "&amp;IF(LEN(INDEX('My equipment'!$W$4:$W$503,(_calc!$E$627-500)))=0,"",INDEX('My equipment'!$W$4:$W$503,(_calc!$E$627-500)))&amp;". ")&amp;IF(LEN(IF(LEN(INDEX('My equipment'!$Y$4:$Y$503,(_calc!$E$627-500)))=0,"",INDEX('My equipment'!$Y$4:$Y$503,(_calc!$E$627-500))))=0,"",IF(LEN(INDEX('My equipment'!$Y$4:$Y$503,(_calc!$E$627-500)))=0,"",INDEX('My equipment'!$Y$4:$Y$503,(_calc!$E$627-500)))))))</f>
        <v/>
      </c>
      <c r="G625" s="54">
        <f>IF(_calc!$E$627="","",IF(_calc!$E$627&lt;=500,"",IF(LEN(INDEX('My equipment'!$X$4:$X$503,(_calc!$E$627-500)))=0,"",INDEX('My equipment'!$X$4:$X$503,(_calc!$E$627-500)))))</f>
        <v/>
      </c>
      <c r="K625" s="54">
        <f>IF(_calc!$E$627="","",IF(_calc!$E$627&lt;=500,"",IF(LEN(INDEX('My equipment'!$T$4:$T$503,(_calc!$E$627-500)))=0,"",INDEX('My equipment'!$T$4:$T$503,(_calc!$E$627-500)))))</f>
        <v/>
      </c>
    </row>
    <row r="626">
      <c r="A626" s="54">
        <f>IF(_calc!$E$628="","",IF(_calc!$E$628&lt;=500,"Warranty – "&amp;IF(LEN(INDEX('Dealer pipeline'!$C$4:$C$503,_calc!$E$628))=0,"",INDEX('Dealer pipeline'!$C$4:$C$503,_calc!$E$628))&amp;" – "&amp;IF(LEN(INDEX('Dealer pipeline'!$D$4:$D$503,_calc!$E$628))=0,"",INDEX('Dealer pipeline'!$D$4:$D$503,_calc!$E$628))&amp;" – "&amp;IF(LEN(INDEX('Dealer pipeline'!$A$4:$A$503,_calc!$E$628))=0,"",INDEX('Dealer pipeline'!$A$4:$A$503,_calc!$E$628)),"Warranty – "&amp;IF(LEN(INDEX('My equipment'!$A$4:$A$503,(_calc!$E$628-500)))=0,"",INDEX('My equipment'!$A$4:$A$503,(_calc!$E$628-500)))&amp;" – "&amp;IF(LEN(INDEX('My equipment'!$D$4:$D$503,(_calc!$E$628-500)))=0,"",INDEX('My equipment'!$D$4:$D$503,(_calc!$E$628-500)))))</f>
        <v/>
      </c>
      <c r="B626" s="54">
        <f>IF(_calc!$E$628="","",IF(_calc!$E$628&lt;=500,IF(ISNUMBER(INDEX('Dealer pipeline'!$M$4:$M$503,_calc!$E$628)),TEXT(INDEX('Dealer pipeline'!$M$4:$M$503,_calc!$E$628),"yyyy-mm-dd"),""),IF(ISNUMBER(INDEX('My equipment'!$M$4:$M$503,(_calc!$E$628-500))),TEXT(INDEX('My equipment'!$M$4:$M$503,(_calc!$E$628-500)),"yyyy-mm-dd"),"")))</f>
        <v/>
      </c>
      <c r="C626" s="54">
        <f>IF(_calc!$E$628="","",IF(_calc!$E$628&lt;=500,"Warranty","Warranty"))</f>
        <v/>
      </c>
      <c r="D626" s="54">
        <f>IF(_calc!$E$628="","",IF(_calc!$E$628&lt;=500,IF(ISNUMBER(INDEX('Dealer pipeline'!$H$4:$H$503,_calc!$E$628)),TEXT(INDEX('Dealer pipeline'!$H$4:$H$503,_calc!$E$628),"yyyy-mm-dd"),""),IF(ISNUMBER(INDEX('My equipment'!$H$4:$H$503,(_calc!$E$628-500))),TEXT(INDEX('My equipment'!$H$4:$H$503,(_calc!$E$628-500)),"yyyy-mm-dd"),"")))</f>
        <v/>
      </c>
      <c r="F626" s="54">
        <f>IF(_calc!$E$628="","",IF(_calc!$E$628&lt;=500,TRIM(IF(LEN(IF(LEN(INDEX('Dealer pipeline'!$A$4:$A$503,_calc!$E$628))=0,"",INDEX('Dealer pipeline'!$A$4:$A$503,_calc!$E$628)))=0,"","Customer: "&amp;IF(LEN(INDEX('Dealer pipeline'!$A$4:$A$503,_calc!$E$628))=0,"",INDEX('Dealer pipeline'!$A$4:$A$503,_calc!$E$628))&amp;". ")&amp;IF(LEN(IF(LEN(INDEX('Dealer pipeline'!$B$4:$B$503,_calc!$E$628))=0,"",INDEX('Dealer pipeline'!$B$4:$B$503,_calc!$E$628)))=0,"","Contact: "&amp;IF(LEN(INDEX('Dealer pipeline'!$B$4:$B$503,_calc!$E$628))=0,"",INDEX('Dealer pipeline'!$B$4:$B$503,_calc!$E$628))&amp;". ")&amp;IF(LEN(IF(LEN(INDEX('Dealer pipeline'!$D$4:$D$503,_calc!$E$628))=0,"",INDEX('Dealer pipeline'!$D$4:$D$503,_calc!$E$628)))=0,"","Serial: "&amp;IF(LEN(INDEX('Dealer pipeline'!$D$4:$D$503,_calc!$E$628))=0,"",INDEX('Dealer pipeline'!$D$4:$D$503,_calc!$E$628))&amp;". ")&amp;IF(LEN(IF(ISNUMBER(INDEX('Dealer pipeline'!$J$4:$J$503,_calc!$E$628)),TEXT(INDEX('Dealer pipeline'!$J$4:$J$503,_calc!$E$628),"yyyy-mm-dd"),""))=0,"","Parts end: "&amp;IF(ISNUMBER(INDEX('Dealer pipeline'!$J$4:$J$503,_calc!$E$628)),TEXT(INDEX('Dealer pipeline'!$J$4:$J$503,_calc!$E$628),"yyyy-mm-dd"),"")&amp;". ")&amp;IF(LEN(IF(ISNUMBER(INDEX('Dealer pipeline'!$L$4:$L$503,_calc!$E$628)),TEXT(INDEX('Dealer pipeline'!$L$4:$L$503,_calc!$E$628),"yyyy-mm-dd"),""))=0,"","Labor end: "&amp;IF(ISNUMBER(INDEX('Dealer pipeline'!$L$4:$L$503,_calc!$E$628)),TEXT(INDEX('Dealer pipeline'!$L$4:$L$503,_calc!$E$628),"yyyy-mm-dd"),"")&amp;". ")&amp;IF(LEN(IF(LEN(INDEX('Dealer pipeline'!$Q$4:$Q$503,_calc!$E$628))=0,"",INDEX('Dealer pipeline'!$Q$4:$Q$503,_calc!$E$628)))=0,"","Status: "&amp;IF(LEN(INDEX('Dealer pipeline'!$Q$4:$Q$503,_calc!$E$628))=0,"",INDEX('Dealer pipeline'!$Q$4:$Q$503,_calc!$E$628))&amp;". ")&amp;IF(LEN(IF(LEN(INDEX('Dealer pipeline'!$P$4:$P$503,_calc!$E$628))=0,"",INDEX('Dealer pipeline'!$P$4:$P$503,_calc!$E$628)))=0,"","Last touch: "&amp;IF(LEN(INDEX('Dealer pipeline'!$P$4:$P$503,_calc!$E$628))=0,"",INDEX('Dealer pipeline'!$P$4:$P$503,_calc!$E$628))&amp;". ")&amp;IF(LEN(IF(LEN(INDEX('Dealer pipeline'!$R$4:$R$503,_calc!$E$628))=0,"",INDEX('Dealer pipeline'!$R$4:$R$503,_calc!$E$628)))=0,"","Owner: "&amp;IF(LEN(INDEX('Dealer pipeline'!$R$4:$R$503,_calc!$E$628))=0,"",INDEX('Dealer pipeline'!$R$4:$R$503,_calc!$E$628))&amp;". ")&amp;IF(LEN(IF(LEN(INDEX('Dealer pipeline'!$S$4:$S$503,_calc!$E$628))=0,"",INDEX('Dealer pipeline'!$S$4:$S$503,_calc!$E$628)))=0,"","Backup: "&amp;IF(LEN(INDEX('Dealer pipeline'!$S$4:$S$503,_calc!$E$628))=0,"",INDEX('Dealer pipeline'!$S$4:$S$503,_calc!$E$628))&amp;". ")&amp;IF(LEN(IF(LEN(INDEX('Dealer pipeline'!$T$4:$T$503,_calc!$E$628))=0,"",INDEX('Dealer pipeline'!$T$4:$T$503,_calc!$E$628)))=0,"",IF(LEN(INDEX('Dealer pipeline'!$T$4:$T$503,_calc!$E$628))=0,"",INDEX('Dealer pipeline'!$T$4:$T$503,_calc!$E$628)))),TRIM(IF(LEN(IF(LEN(INDEX('My equipment'!$C$4:$C$503,(_calc!$E$628-500)))=0,"",INDEX('My equipment'!$C$4:$C$503,(_calc!$E$628-500))))=0,"","Model: "&amp;IF(LEN(INDEX('My equipment'!$C$4:$C$503,(_calc!$E$628-500)))=0,"",INDEX('My equipment'!$C$4:$C$503,(_calc!$E$628-500)))&amp;". ")&amp;IF(LEN(IF(LEN(INDEX('My equipment'!$D$4:$D$503,(_calc!$E$628-500)))=0,"",INDEX('My equipment'!$D$4:$D$503,(_calc!$E$628-500))))=0,"","Serial: "&amp;IF(LEN(INDEX('My equipment'!$D$4:$D$503,(_calc!$E$628-500)))=0,"",INDEX('My equipment'!$D$4:$D$503,(_calc!$E$628-500)))&amp;". ")&amp;IF(LEN(IF(ISNUMBER(INDEX('My equipment'!$J$4:$J$503,(_calc!$E$628-500))),TEXT(INDEX('My equipment'!$J$4:$J$503,(_calc!$E$628-500)),"yyyy-mm-dd"),""))=0,"","Parts end: "&amp;IF(ISNUMBER(INDEX('My equipment'!$J$4:$J$503,(_calc!$E$628-500))),TEXT(INDEX('My equipment'!$J$4:$J$503,(_calc!$E$628-500)),"yyyy-mm-dd"),"")&amp;". ")&amp;IF(LEN(IF(ISNUMBER(INDEX('My equipment'!$L$4:$L$503,(_calc!$E$628-500))),TEXT(INDEX('My equipment'!$L$4:$L$503,(_calc!$E$628-500)),"yyyy-mm-dd"),""))=0,"","Labor end: "&amp;IF(ISNUMBER(INDEX('My equipment'!$L$4:$L$503,(_calc!$E$628-500))),TEXT(INDEX('My equipment'!$L$4:$L$503,(_calc!$E$628-500)),"yyyy-mm-dd"),"")&amp;". ")&amp;IF(LEN(IF(ISNUMBER(INDEX('My equipment'!$P$4:$P$503,(_calc!$E$628-500))),TEXT(INDEX('My equipment'!$P$4:$P$503,(_calc!$E$628-500)),"yyyy-mm-dd"),""))=0,"","Check by: "&amp;IF(ISNUMBER(INDEX('My equipment'!$P$4:$P$503,(_calc!$E$628-500))),TEXT(INDEX('My equipment'!$P$4:$P$503,(_calc!$E$628-500)),"yyyy-mm-dd"),"")&amp;". ")&amp;IF(LEN(IF(LEN(INDEX('My equipment'!$Q$4:$Q$503,(_calc!$E$628-500)))=0,"",INDEX('My equipment'!$Q$4:$Q$503,(_calc!$E$628-500))))=0,"","Claim status: "&amp;IF(LEN(INDEX('My equipment'!$Q$4:$Q$503,(_calc!$E$628-500)))=0,"",INDEX('My equipment'!$Q$4:$Q$503,(_calc!$E$628-500)))&amp;". ")&amp;IF(LEN(IF(LEN(INDEX('My equipment'!$R$4:$R$503,(_calc!$E$628-500)))=0,"",INDEX('My equipment'!$R$4:$R$503,(_calc!$E$628-500))))=0,"","Claims contact: "&amp;IF(LEN(INDEX('My equipment'!$R$4:$R$503,(_calc!$E$628-500)))=0,"",INDEX('My equipment'!$R$4:$R$503,(_calc!$E$628-500)))&amp;". ")&amp;IF(LEN(IF(LEN(INDEX('My equipment'!$S$4:$S$503,(_calc!$E$628-500)))=0,"",INDEX('My equipment'!$S$4:$S$503,(_calc!$E$628-500))))=0,"","Claims email: "&amp;IF(LEN(INDEX('My equipment'!$S$4:$S$503,(_calc!$E$628-500)))=0,"",INDEX('My equipment'!$S$4:$S$503,(_calc!$E$628-500)))&amp;". ")&amp;IF(LEN(IF(LEN(INDEX('My equipment'!$U$4:$U$503,(_calc!$E$628-500)))=0,"",INDEX('My equipment'!$U$4:$U$503,(_calc!$E$628-500))))=0,"","Registered: "&amp;IF(LEN(INDEX('My equipment'!$U$4:$U$503,(_calc!$E$628-500)))=0,"",INDEX('My equipment'!$U$4:$U$503,(_calc!$E$628-500)))&amp;". ")&amp;IF(LEN(IF(LEN(INDEX('My equipment'!$V$4:$V$503,(_calc!$E$628-500)))=0,"",INDEX('My equipment'!$V$4:$V$503,(_calc!$E$628-500))))=0,"","Proof on file: "&amp;IF(LEN(INDEX('My equipment'!$V$4:$V$503,(_calc!$E$628-500)))=0,"",INDEX('My equipment'!$V$4:$V$503,(_calc!$E$628-500)))&amp;". ")&amp;IF(LEN(IF(LEN(INDEX('My equipment'!$W$4:$W$503,(_calc!$E$628-500)))=0,"",INDEX('My equipment'!$W$4:$W$503,(_calc!$E$628-500))))=0,"","Claim ref: "&amp;IF(LEN(INDEX('My equipment'!$W$4:$W$503,(_calc!$E$628-500)))=0,"",INDEX('My equipment'!$W$4:$W$503,(_calc!$E$628-500)))&amp;". ")&amp;IF(LEN(IF(LEN(INDEX('My equipment'!$Y$4:$Y$503,(_calc!$E$628-500)))=0,"",INDEX('My equipment'!$Y$4:$Y$503,(_calc!$E$628-500))))=0,"",IF(LEN(INDEX('My equipment'!$Y$4:$Y$503,(_calc!$E$628-500)))=0,"",INDEX('My equipment'!$Y$4:$Y$503,(_calc!$E$628-500)))))))</f>
        <v/>
      </c>
      <c r="G626" s="54">
        <f>IF(_calc!$E$628="","",IF(_calc!$E$628&lt;=500,"",IF(LEN(INDEX('My equipment'!$X$4:$X$503,(_calc!$E$628-500)))=0,"",INDEX('My equipment'!$X$4:$X$503,(_calc!$E$628-500)))))</f>
        <v/>
      </c>
      <c r="K626" s="54">
        <f>IF(_calc!$E$628="","",IF(_calc!$E$628&lt;=500,"",IF(LEN(INDEX('My equipment'!$T$4:$T$503,(_calc!$E$628-500)))=0,"",INDEX('My equipment'!$T$4:$T$503,(_calc!$E$628-500)))))</f>
        <v/>
      </c>
    </row>
    <row r="627">
      <c r="A627" s="54">
        <f>IF(_calc!$E$629="","",IF(_calc!$E$629&lt;=500,"Warranty – "&amp;IF(LEN(INDEX('Dealer pipeline'!$C$4:$C$503,_calc!$E$629))=0,"",INDEX('Dealer pipeline'!$C$4:$C$503,_calc!$E$629))&amp;" – "&amp;IF(LEN(INDEX('Dealer pipeline'!$D$4:$D$503,_calc!$E$629))=0,"",INDEX('Dealer pipeline'!$D$4:$D$503,_calc!$E$629))&amp;" – "&amp;IF(LEN(INDEX('Dealer pipeline'!$A$4:$A$503,_calc!$E$629))=0,"",INDEX('Dealer pipeline'!$A$4:$A$503,_calc!$E$629)),"Warranty – "&amp;IF(LEN(INDEX('My equipment'!$A$4:$A$503,(_calc!$E$629-500)))=0,"",INDEX('My equipment'!$A$4:$A$503,(_calc!$E$629-500)))&amp;" – "&amp;IF(LEN(INDEX('My equipment'!$D$4:$D$503,(_calc!$E$629-500)))=0,"",INDEX('My equipment'!$D$4:$D$503,(_calc!$E$629-500)))))</f>
        <v/>
      </c>
      <c r="B627" s="54">
        <f>IF(_calc!$E$629="","",IF(_calc!$E$629&lt;=500,IF(ISNUMBER(INDEX('Dealer pipeline'!$M$4:$M$503,_calc!$E$629)),TEXT(INDEX('Dealer pipeline'!$M$4:$M$503,_calc!$E$629),"yyyy-mm-dd"),""),IF(ISNUMBER(INDEX('My equipment'!$M$4:$M$503,(_calc!$E$629-500))),TEXT(INDEX('My equipment'!$M$4:$M$503,(_calc!$E$629-500)),"yyyy-mm-dd"),"")))</f>
        <v/>
      </c>
      <c r="C627" s="54">
        <f>IF(_calc!$E$629="","",IF(_calc!$E$629&lt;=500,"Warranty","Warranty"))</f>
        <v/>
      </c>
      <c r="D627" s="54">
        <f>IF(_calc!$E$629="","",IF(_calc!$E$629&lt;=500,IF(ISNUMBER(INDEX('Dealer pipeline'!$H$4:$H$503,_calc!$E$629)),TEXT(INDEX('Dealer pipeline'!$H$4:$H$503,_calc!$E$629),"yyyy-mm-dd"),""),IF(ISNUMBER(INDEX('My equipment'!$H$4:$H$503,(_calc!$E$629-500))),TEXT(INDEX('My equipment'!$H$4:$H$503,(_calc!$E$629-500)),"yyyy-mm-dd"),"")))</f>
        <v/>
      </c>
      <c r="F627" s="54">
        <f>IF(_calc!$E$629="","",IF(_calc!$E$629&lt;=500,TRIM(IF(LEN(IF(LEN(INDEX('Dealer pipeline'!$A$4:$A$503,_calc!$E$629))=0,"",INDEX('Dealer pipeline'!$A$4:$A$503,_calc!$E$629)))=0,"","Customer: "&amp;IF(LEN(INDEX('Dealer pipeline'!$A$4:$A$503,_calc!$E$629))=0,"",INDEX('Dealer pipeline'!$A$4:$A$503,_calc!$E$629))&amp;". ")&amp;IF(LEN(IF(LEN(INDEX('Dealer pipeline'!$B$4:$B$503,_calc!$E$629))=0,"",INDEX('Dealer pipeline'!$B$4:$B$503,_calc!$E$629)))=0,"","Contact: "&amp;IF(LEN(INDEX('Dealer pipeline'!$B$4:$B$503,_calc!$E$629))=0,"",INDEX('Dealer pipeline'!$B$4:$B$503,_calc!$E$629))&amp;". ")&amp;IF(LEN(IF(LEN(INDEX('Dealer pipeline'!$D$4:$D$503,_calc!$E$629))=0,"",INDEX('Dealer pipeline'!$D$4:$D$503,_calc!$E$629)))=0,"","Serial: "&amp;IF(LEN(INDEX('Dealer pipeline'!$D$4:$D$503,_calc!$E$629))=0,"",INDEX('Dealer pipeline'!$D$4:$D$503,_calc!$E$629))&amp;". ")&amp;IF(LEN(IF(ISNUMBER(INDEX('Dealer pipeline'!$J$4:$J$503,_calc!$E$629)),TEXT(INDEX('Dealer pipeline'!$J$4:$J$503,_calc!$E$629),"yyyy-mm-dd"),""))=0,"","Parts end: "&amp;IF(ISNUMBER(INDEX('Dealer pipeline'!$J$4:$J$503,_calc!$E$629)),TEXT(INDEX('Dealer pipeline'!$J$4:$J$503,_calc!$E$629),"yyyy-mm-dd"),"")&amp;". ")&amp;IF(LEN(IF(ISNUMBER(INDEX('Dealer pipeline'!$L$4:$L$503,_calc!$E$629)),TEXT(INDEX('Dealer pipeline'!$L$4:$L$503,_calc!$E$629),"yyyy-mm-dd"),""))=0,"","Labor end: "&amp;IF(ISNUMBER(INDEX('Dealer pipeline'!$L$4:$L$503,_calc!$E$629)),TEXT(INDEX('Dealer pipeline'!$L$4:$L$503,_calc!$E$629),"yyyy-mm-dd"),"")&amp;". ")&amp;IF(LEN(IF(LEN(INDEX('Dealer pipeline'!$Q$4:$Q$503,_calc!$E$629))=0,"",INDEX('Dealer pipeline'!$Q$4:$Q$503,_calc!$E$629)))=0,"","Status: "&amp;IF(LEN(INDEX('Dealer pipeline'!$Q$4:$Q$503,_calc!$E$629))=0,"",INDEX('Dealer pipeline'!$Q$4:$Q$503,_calc!$E$629))&amp;". ")&amp;IF(LEN(IF(LEN(INDEX('Dealer pipeline'!$P$4:$P$503,_calc!$E$629))=0,"",INDEX('Dealer pipeline'!$P$4:$P$503,_calc!$E$629)))=0,"","Last touch: "&amp;IF(LEN(INDEX('Dealer pipeline'!$P$4:$P$503,_calc!$E$629))=0,"",INDEX('Dealer pipeline'!$P$4:$P$503,_calc!$E$629))&amp;". ")&amp;IF(LEN(IF(LEN(INDEX('Dealer pipeline'!$R$4:$R$503,_calc!$E$629))=0,"",INDEX('Dealer pipeline'!$R$4:$R$503,_calc!$E$629)))=0,"","Owner: "&amp;IF(LEN(INDEX('Dealer pipeline'!$R$4:$R$503,_calc!$E$629))=0,"",INDEX('Dealer pipeline'!$R$4:$R$503,_calc!$E$629))&amp;". ")&amp;IF(LEN(IF(LEN(INDEX('Dealer pipeline'!$S$4:$S$503,_calc!$E$629))=0,"",INDEX('Dealer pipeline'!$S$4:$S$503,_calc!$E$629)))=0,"","Backup: "&amp;IF(LEN(INDEX('Dealer pipeline'!$S$4:$S$503,_calc!$E$629))=0,"",INDEX('Dealer pipeline'!$S$4:$S$503,_calc!$E$629))&amp;". ")&amp;IF(LEN(IF(LEN(INDEX('Dealer pipeline'!$T$4:$T$503,_calc!$E$629))=0,"",INDEX('Dealer pipeline'!$T$4:$T$503,_calc!$E$629)))=0,"",IF(LEN(INDEX('Dealer pipeline'!$T$4:$T$503,_calc!$E$629))=0,"",INDEX('Dealer pipeline'!$T$4:$T$503,_calc!$E$629)))),TRIM(IF(LEN(IF(LEN(INDEX('My equipment'!$C$4:$C$503,(_calc!$E$629-500)))=0,"",INDEX('My equipment'!$C$4:$C$503,(_calc!$E$629-500))))=0,"","Model: "&amp;IF(LEN(INDEX('My equipment'!$C$4:$C$503,(_calc!$E$629-500)))=0,"",INDEX('My equipment'!$C$4:$C$503,(_calc!$E$629-500)))&amp;". ")&amp;IF(LEN(IF(LEN(INDEX('My equipment'!$D$4:$D$503,(_calc!$E$629-500)))=0,"",INDEX('My equipment'!$D$4:$D$503,(_calc!$E$629-500))))=0,"","Serial: "&amp;IF(LEN(INDEX('My equipment'!$D$4:$D$503,(_calc!$E$629-500)))=0,"",INDEX('My equipment'!$D$4:$D$503,(_calc!$E$629-500)))&amp;". ")&amp;IF(LEN(IF(ISNUMBER(INDEX('My equipment'!$J$4:$J$503,(_calc!$E$629-500))),TEXT(INDEX('My equipment'!$J$4:$J$503,(_calc!$E$629-500)),"yyyy-mm-dd"),""))=0,"","Parts end: "&amp;IF(ISNUMBER(INDEX('My equipment'!$J$4:$J$503,(_calc!$E$629-500))),TEXT(INDEX('My equipment'!$J$4:$J$503,(_calc!$E$629-500)),"yyyy-mm-dd"),"")&amp;". ")&amp;IF(LEN(IF(ISNUMBER(INDEX('My equipment'!$L$4:$L$503,(_calc!$E$629-500))),TEXT(INDEX('My equipment'!$L$4:$L$503,(_calc!$E$629-500)),"yyyy-mm-dd"),""))=0,"","Labor end: "&amp;IF(ISNUMBER(INDEX('My equipment'!$L$4:$L$503,(_calc!$E$629-500))),TEXT(INDEX('My equipment'!$L$4:$L$503,(_calc!$E$629-500)),"yyyy-mm-dd"),"")&amp;". ")&amp;IF(LEN(IF(ISNUMBER(INDEX('My equipment'!$P$4:$P$503,(_calc!$E$629-500))),TEXT(INDEX('My equipment'!$P$4:$P$503,(_calc!$E$629-500)),"yyyy-mm-dd"),""))=0,"","Check by: "&amp;IF(ISNUMBER(INDEX('My equipment'!$P$4:$P$503,(_calc!$E$629-500))),TEXT(INDEX('My equipment'!$P$4:$P$503,(_calc!$E$629-500)),"yyyy-mm-dd"),"")&amp;". ")&amp;IF(LEN(IF(LEN(INDEX('My equipment'!$Q$4:$Q$503,(_calc!$E$629-500)))=0,"",INDEX('My equipment'!$Q$4:$Q$503,(_calc!$E$629-500))))=0,"","Claim status: "&amp;IF(LEN(INDEX('My equipment'!$Q$4:$Q$503,(_calc!$E$629-500)))=0,"",INDEX('My equipment'!$Q$4:$Q$503,(_calc!$E$629-500)))&amp;". ")&amp;IF(LEN(IF(LEN(INDEX('My equipment'!$R$4:$R$503,(_calc!$E$629-500)))=0,"",INDEX('My equipment'!$R$4:$R$503,(_calc!$E$629-500))))=0,"","Claims contact: "&amp;IF(LEN(INDEX('My equipment'!$R$4:$R$503,(_calc!$E$629-500)))=0,"",INDEX('My equipment'!$R$4:$R$503,(_calc!$E$629-500)))&amp;". ")&amp;IF(LEN(IF(LEN(INDEX('My equipment'!$S$4:$S$503,(_calc!$E$629-500)))=0,"",INDEX('My equipment'!$S$4:$S$503,(_calc!$E$629-500))))=0,"","Claims email: "&amp;IF(LEN(INDEX('My equipment'!$S$4:$S$503,(_calc!$E$629-500)))=0,"",INDEX('My equipment'!$S$4:$S$503,(_calc!$E$629-500)))&amp;". ")&amp;IF(LEN(IF(LEN(INDEX('My equipment'!$U$4:$U$503,(_calc!$E$629-500)))=0,"",INDEX('My equipment'!$U$4:$U$503,(_calc!$E$629-500))))=0,"","Registered: "&amp;IF(LEN(INDEX('My equipment'!$U$4:$U$503,(_calc!$E$629-500)))=0,"",INDEX('My equipment'!$U$4:$U$503,(_calc!$E$629-500)))&amp;". ")&amp;IF(LEN(IF(LEN(INDEX('My equipment'!$V$4:$V$503,(_calc!$E$629-500)))=0,"",INDEX('My equipment'!$V$4:$V$503,(_calc!$E$629-500))))=0,"","Proof on file: "&amp;IF(LEN(INDEX('My equipment'!$V$4:$V$503,(_calc!$E$629-500)))=0,"",INDEX('My equipment'!$V$4:$V$503,(_calc!$E$629-500)))&amp;". ")&amp;IF(LEN(IF(LEN(INDEX('My equipment'!$W$4:$W$503,(_calc!$E$629-500)))=0,"",INDEX('My equipment'!$W$4:$W$503,(_calc!$E$629-500))))=0,"","Claim ref: "&amp;IF(LEN(INDEX('My equipment'!$W$4:$W$503,(_calc!$E$629-500)))=0,"",INDEX('My equipment'!$W$4:$W$503,(_calc!$E$629-500)))&amp;". ")&amp;IF(LEN(IF(LEN(INDEX('My equipment'!$Y$4:$Y$503,(_calc!$E$629-500)))=0,"",INDEX('My equipment'!$Y$4:$Y$503,(_calc!$E$629-500))))=0,"",IF(LEN(INDEX('My equipment'!$Y$4:$Y$503,(_calc!$E$629-500)))=0,"",INDEX('My equipment'!$Y$4:$Y$503,(_calc!$E$629-500)))))))</f>
        <v/>
      </c>
      <c r="G627" s="54">
        <f>IF(_calc!$E$629="","",IF(_calc!$E$629&lt;=500,"",IF(LEN(INDEX('My equipment'!$X$4:$X$503,(_calc!$E$629-500)))=0,"",INDEX('My equipment'!$X$4:$X$503,(_calc!$E$629-500)))))</f>
        <v/>
      </c>
      <c r="K627" s="54">
        <f>IF(_calc!$E$629="","",IF(_calc!$E$629&lt;=500,"",IF(LEN(INDEX('My equipment'!$T$4:$T$503,(_calc!$E$629-500)))=0,"",INDEX('My equipment'!$T$4:$T$503,(_calc!$E$629-500)))))</f>
        <v/>
      </c>
    </row>
    <row r="628">
      <c r="A628" s="54">
        <f>IF(_calc!$E$630="","",IF(_calc!$E$630&lt;=500,"Warranty – "&amp;IF(LEN(INDEX('Dealer pipeline'!$C$4:$C$503,_calc!$E$630))=0,"",INDEX('Dealer pipeline'!$C$4:$C$503,_calc!$E$630))&amp;" – "&amp;IF(LEN(INDEX('Dealer pipeline'!$D$4:$D$503,_calc!$E$630))=0,"",INDEX('Dealer pipeline'!$D$4:$D$503,_calc!$E$630))&amp;" – "&amp;IF(LEN(INDEX('Dealer pipeline'!$A$4:$A$503,_calc!$E$630))=0,"",INDEX('Dealer pipeline'!$A$4:$A$503,_calc!$E$630)),"Warranty – "&amp;IF(LEN(INDEX('My equipment'!$A$4:$A$503,(_calc!$E$630-500)))=0,"",INDEX('My equipment'!$A$4:$A$503,(_calc!$E$630-500)))&amp;" – "&amp;IF(LEN(INDEX('My equipment'!$D$4:$D$503,(_calc!$E$630-500)))=0,"",INDEX('My equipment'!$D$4:$D$503,(_calc!$E$630-500)))))</f>
        <v/>
      </c>
      <c r="B628" s="54">
        <f>IF(_calc!$E$630="","",IF(_calc!$E$630&lt;=500,IF(ISNUMBER(INDEX('Dealer pipeline'!$M$4:$M$503,_calc!$E$630)),TEXT(INDEX('Dealer pipeline'!$M$4:$M$503,_calc!$E$630),"yyyy-mm-dd"),""),IF(ISNUMBER(INDEX('My equipment'!$M$4:$M$503,(_calc!$E$630-500))),TEXT(INDEX('My equipment'!$M$4:$M$503,(_calc!$E$630-500)),"yyyy-mm-dd"),"")))</f>
        <v/>
      </c>
      <c r="C628" s="54">
        <f>IF(_calc!$E$630="","",IF(_calc!$E$630&lt;=500,"Warranty","Warranty"))</f>
        <v/>
      </c>
      <c r="D628" s="54">
        <f>IF(_calc!$E$630="","",IF(_calc!$E$630&lt;=500,IF(ISNUMBER(INDEX('Dealer pipeline'!$H$4:$H$503,_calc!$E$630)),TEXT(INDEX('Dealer pipeline'!$H$4:$H$503,_calc!$E$630),"yyyy-mm-dd"),""),IF(ISNUMBER(INDEX('My equipment'!$H$4:$H$503,(_calc!$E$630-500))),TEXT(INDEX('My equipment'!$H$4:$H$503,(_calc!$E$630-500)),"yyyy-mm-dd"),"")))</f>
        <v/>
      </c>
      <c r="F628" s="54">
        <f>IF(_calc!$E$630="","",IF(_calc!$E$630&lt;=500,TRIM(IF(LEN(IF(LEN(INDEX('Dealer pipeline'!$A$4:$A$503,_calc!$E$630))=0,"",INDEX('Dealer pipeline'!$A$4:$A$503,_calc!$E$630)))=0,"","Customer: "&amp;IF(LEN(INDEX('Dealer pipeline'!$A$4:$A$503,_calc!$E$630))=0,"",INDEX('Dealer pipeline'!$A$4:$A$503,_calc!$E$630))&amp;". ")&amp;IF(LEN(IF(LEN(INDEX('Dealer pipeline'!$B$4:$B$503,_calc!$E$630))=0,"",INDEX('Dealer pipeline'!$B$4:$B$503,_calc!$E$630)))=0,"","Contact: "&amp;IF(LEN(INDEX('Dealer pipeline'!$B$4:$B$503,_calc!$E$630))=0,"",INDEX('Dealer pipeline'!$B$4:$B$503,_calc!$E$630))&amp;". ")&amp;IF(LEN(IF(LEN(INDEX('Dealer pipeline'!$D$4:$D$503,_calc!$E$630))=0,"",INDEX('Dealer pipeline'!$D$4:$D$503,_calc!$E$630)))=0,"","Serial: "&amp;IF(LEN(INDEX('Dealer pipeline'!$D$4:$D$503,_calc!$E$630))=0,"",INDEX('Dealer pipeline'!$D$4:$D$503,_calc!$E$630))&amp;". ")&amp;IF(LEN(IF(ISNUMBER(INDEX('Dealer pipeline'!$J$4:$J$503,_calc!$E$630)),TEXT(INDEX('Dealer pipeline'!$J$4:$J$503,_calc!$E$630),"yyyy-mm-dd"),""))=0,"","Parts end: "&amp;IF(ISNUMBER(INDEX('Dealer pipeline'!$J$4:$J$503,_calc!$E$630)),TEXT(INDEX('Dealer pipeline'!$J$4:$J$503,_calc!$E$630),"yyyy-mm-dd"),"")&amp;". ")&amp;IF(LEN(IF(ISNUMBER(INDEX('Dealer pipeline'!$L$4:$L$503,_calc!$E$630)),TEXT(INDEX('Dealer pipeline'!$L$4:$L$503,_calc!$E$630),"yyyy-mm-dd"),""))=0,"","Labor end: "&amp;IF(ISNUMBER(INDEX('Dealer pipeline'!$L$4:$L$503,_calc!$E$630)),TEXT(INDEX('Dealer pipeline'!$L$4:$L$503,_calc!$E$630),"yyyy-mm-dd"),"")&amp;". ")&amp;IF(LEN(IF(LEN(INDEX('Dealer pipeline'!$Q$4:$Q$503,_calc!$E$630))=0,"",INDEX('Dealer pipeline'!$Q$4:$Q$503,_calc!$E$630)))=0,"","Status: "&amp;IF(LEN(INDEX('Dealer pipeline'!$Q$4:$Q$503,_calc!$E$630))=0,"",INDEX('Dealer pipeline'!$Q$4:$Q$503,_calc!$E$630))&amp;". ")&amp;IF(LEN(IF(LEN(INDEX('Dealer pipeline'!$P$4:$P$503,_calc!$E$630))=0,"",INDEX('Dealer pipeline'!$P$4:$P$503,_calc!$E$630)))=0,"","Last touch: "&amp;IF(LEN(INDEX('Dealer pipeline'!$P$4:$P$503,_calc!$E$630))=0,"",INDEX('Dealer pipeline'!$P$4:$P$503,_calc!$E$630))&amp;". ")&amp;IF(LEN(IF(LEN(INDEX('Dealer pipeline'!$R$4:$R$503,_calc!$E$630))=0,"",INDEX('Dealer pipeline'!$R$4:$R$503,_calc!$E$630)))=0,"","Owner: "&amp;IF(LEN(INDEX('Dealer pipeline'!$R$4:$R$503,_calc!$E$630))=0,"",INDEX('Dealer pipeline'!$R$4:$R$503,_calc!$E$630))&amp;". ")&amp;IF(LEN(IF(LEN(INDEX('Dealer pipeline'!$S$4:$S$503,_calc!$E$630))=0,"",INDEX('Dealer pipeline'!$S$4:$S$503,_calc!$E$630)))=0,"","Backup: "&amp;IF(LEN(INDEX('Dealer pipeline'!$S$4:$S$503,_calc!$E$630))=0,"",INDEX('Dealer pipeline'!$S$4:$S$503,_calc!$E$630))&amp;". ")&amp;IF(LEN(IF(LEN(INDEX('Dealer pipeline'!$T$4:$T$503,_calc!$E$630))=0,"",INDEX('Dealer pipeline'!$T$4:$T$503,_calc!$E$630)))=0,"",IF(LEN(INDEX('Dealer pipeline'!$T$4:$T$503,_calc!$E$630))=0,"",INDEX('Dealer pipeline'!$T$4:$T$503,_calc!$E$630)))),TRIM(IF(LEN(IF(LEN(INDEX('My equipment'!$C$4:$C$503,(_calc!$E$630-500)))=0,"",INDEX('My equipment'!$C$4:$C$503,(_calc!$E$630-500))))=0,"","Model: "&amp;IF(LEN(INDEX('My equipment'!$C$4:$C$503,(_calc!$E$630-500)))=0,"",INDEX('My equipment'!$C$4:$C$503,(_calc!$E$630-500)))&amp;". ")&amp;IF(LEN(IF(LEN(INDEX('My equipment'!$D$4:$D$503,(_calc!$E$630-500)))=0,"",INDEX('My equipment'!$D$4:$D$503,(_calc!$E$630-500))))=0,"","Serial: "&amp;IF(LEN(INDEX('My equipment'!$D$4:$D$503,(_calc!$E$630-500)))=0,"",INDEX('My equipment'!$D$4:$D$503,(_calc!$E$630-500)))&amp;". ")&amp;IF(LEN(IF(ISNUMBER(INDEX('My equipment'!$J$4:$J$503,(_calc!$E$630-500))),TEXT(INDEX('My equipment'!$J$4:$J$503,(_calc!$E$630-500)),"yyyy-mm-dd"),""))=0,"","Parts end: "&amp;IF(ISNUMBER(INDEX('My equipment'!$J$4:$J$503,(_calc!$E$630-500))),TEXT(INDEX('My equipment'!$J$4:$J$503,(_calc!$E$630-500)),"yyyy-mm-dd"),"")&amp;". ")&amp;IF(LEN(IF(ISNUMBER(INDEX('My equipment'!$L$4:$L$503,(_calc!$E$630-500))),TEXT(INDEX('My equipment'!$L$4:$L$503,(_calc!$E$630-500)),"yyyy-mm-dd"),""))=0,"","Labor end: "&amp;IF(ISNUMBER(INDEX('My equipment'!$L$4:$L$503,(_calc!$E$630-500))),TEXT(INDEX('My equipment'!$L$4:$L$503,(_calc!$E$630-500)),"yyyy-mm-dd"),"")&amp;". ")&amp;IF(LEN(IF(ISNUMBER(INDEX('My equipment'!$P$4:$P$503,(_calc!$E$630-500))),TEXT(INDEX('My equipment'!$P$4:$P$503,(_calc!$E$630-500)),"yyyy-mm-dd"),""))=0,"","Check by: "&amp;IF(ISNUMBER(INDEX('My equipment'!$P$4:$P$503,(_calc!$E$630-500))),TEXT(INDEX('My equipment'!$P$4:$P$503,(_calc!$E$630-500)),"yyyy-mm-dd"),"")&amp;". ")&amp;IF(LEN(IF(LEN(INDEX('My equipment'!$Q$4:$Q$503,(_calc!$E$630-500)))=0,"",INDEX('My equipment'!$Q$4:$Q$503,(_calc!$E$630-500))))=0,"","Claim status: "&amp;IF(LEN(INDEX('My equipment'!$Q$4:$Q$503,(_calc!$E$630-500)))=0,"",INDEX('My equipment'!$Q$4:$Q$503,(_calc!$E$630-500)))&amp;". ")&amp;IF(LEN(IF(LEN(INDEX('My equipment'!$R$4:$R$503,(_calc!$E$630-500)))=0,"",INDEX('My equipment'!$R$4:$R$503,(_calc!$E$630-500))))=0,"","Claims contact: "&amp;IF(LEN(INDEX('My equipment'!$R$4:$R$503,(_calc!$E$630-500)))=0,"",INDEX('My equipment'!$R$4:$R$503,(_calc!$E$630-500)))&amp;". ")&amp;IF(LEN(IF(LEN(INDEX('My equipment'!$S$4:$S$503,(_calc!$E$630-500)))=0,"",INDEX('My equipment'!$S$4:$S$503,(_calc!$E$630-500))))=0,"","Claims email: "&amp;IF(LEN(INDEX('My equipment'!$S$4:$S$503,(_calc!$E$630-500)))=0,"",INDEX('My equipment'!$S$4:$S$503,(_calc!$E$630-500)))&amp;". ")&amp;IF(LEN(IF(LEN(INDEX('My equipment'!$U$4:$U$503,(_calc!$E$630-500)))=0,"",INDEX('My equipment'!$U$4:$U$503,(_calc!$E$630-500))))=0,"","Registered: "&amp;IF(LEN(INDEX('My equipment'!$U$4:$U$503,(_calc!$E$630-500)))=0,"",INDEX('My equipment'!$U$4:$U$503,(_calc!$E$630-500)))&amp;". ")&amp;IF(LEN(IF(LEN(INDEX('My equipment'!$V$4:$V$503,(_calc!$E$630-500)))=0,"",INDEX('My equipment'!$V$4:$V$503,(_calc!$E$630-500))))=0,"","Proof on file: "&amp;IF(LEN(INDEX('My equipment'!$V$4:$V$503,(_calc!$E$630-500)))=0,"",INDEX('My equipment'!$V$4:$V$503,(_calc!$E$630-500)))&amp;". ")&amp;IF(LEN(IF(LEN(INDEX('My equipment'!$W$4:$W$503,(_calc!$E$630-500)))=0,"",INDEX('My equipment'!$W$4:$W$503,(_calc!$E$630-500))))=0,"","Claim ref: "&amp;IF(LEN(INDEX('My equipment'!$W$4:$W$503,(_calc!$E$630-500)))=0,"",INDEX('My equipment'!$W$4:$W$503,(_calc!$E$630-500)))&amp;". ")&amp;IF(LEN(IF(LEN(INDEX('My equipment'!$Y$4:$Y$503,(_calc!$E$630-500)))=0,"",INDEX('My equipment'!$Y$4:$Y$503,(_calc!$E$630-500))))=0,"",IF(LEN(INDEX('My equipment'!$Y$4:$Y$503,(_calc!$E$630-500)))=0,"",INDEX('My equipment'!$Y$4:$Y$503,(_calc!$E$630-500)))))))</f>
        <v/>
      </c>
      <c r="G628" s="54">
        <f>IF(_calc!$E$630="","",IF(_calc!$E$630&lt;=500,"",IF(LEN(INDEX('My equipment'!$X$4:$X$503,(_calc!$E$630-500)))=0,"",INDEX('My equipment'!$X$4:$X$503,(_calc!$E$630-500)))))</f>
        <v/>
      </c>
      <c r="K628" s="54">
        <f>IF(_calc!$E$630="","",IF(_calc!$E$630&lt;=500,"",IF(LEN(INDEX('My equipment'!$T$4:$T$503,(_calc!$E$630-500)))=0,"",INDEX('My equipment'!$T$4:$T$503,(_calc!$E$630-500)))))</f>
        <v/>
      </c>
    </row>
    <row r="629">
      <c r="A629" s="54">
        <f>IF(_calc!$E$631="","",IF(_calc!$E$631&lt;=500,"Warranty – "&amp;IF(LEN(INDEX('Dealer pipeline'!$C$4:$C$503,_calc!$E$631))=0,"",INDEX('Dealer pipeline'!$C$4:$C$503,_calc!$E$631))&amp;" – "&amp;IF(LEN(INDEX('Dealer pipeline'!$D$4:$D$503,_calc!$E$631))=0,"",INDEX('Dealer pipeline'!$D$4:$D$503,_calc!$E$631))&amp;" – "&amp;IF(LEN(INDEX('Dealer pipeline'!$A$4:$A$503,_calc!$E$631))=0,"",INDEX('Dealer pipeline'!$A$4:$A$503,_calc!$E$631)),"Warranty – "&amp;IF(LEN(INDEX('My equipment'!$A$4:$A$503,(_calc!$E$631-500)))=0,"",INDEX('My equipment'!$A$4:$A$503,(_calc!$E$631-500)))&amp;" – "&amp;IF(LEN(INDEX('My equipment'!$D$4:$D$503,(_calc!$E$631-500)))=0,"",INDEX('My equipment'!$D$4:$D$503,(_calc!$E$631-500)))))</f>
        <v/>
      </c>
      <c r="B629" s="54">
        <f>IF(_calc!$E$631="","",IF(_calc!$E$631&lt;=500,IF(ISNUMBER(INDEX('Dealer pipeline'!$M$4:$M$503,_calc!$E$631)),TEXT(INDEX('Dealer pipeline'!$M$4:$M$503,_calc!$E$631),"yyyy-mm-dd"),""),IF(ISNUMBER(INDEX('My equipment'!$M$4:$M$503,(_calc!$E$631-500))),TEXT(INDEX('My equipment'!$M$4:$M$503,(_calc!$E$631-500)),"yyyy-mm-dd"),"")))</f>
        <v/>
      </c>
      <c r="C629" s="54">
        <f>IF(_calc!$E$631="","",IF(_calc!$E$631&lt;=500,"Warranty","Warranty"))</f>
        <v/>
      </c>
      <c r="D629" s="54">
        <f>IF(_calc!$E$631="","",IF(_calc!$E$631&lt;=500,IF(ISNUMBER(INDEX('Dealer pipeline'!$H$4:$H$503,_calc!$E$631)),TEXT(INDEX('Dealer pipeline'!$H$4:$H$503,_calc!$E$631),"yyyy-mm-dd"),""),IF(ISNUMBER(INDEX('My equipment'!$H$4:$H$503,(_calc!$E$631-500))),TEXT(INDEX('My equipment'!$H$4:$H$503,(_calc!$E$631-500)),"yyyy-mm-dd"),"")))</f>
        <v/>
      </c>
      <c r="F629" s="54">
        <f>IF(_calc!$E$631="","",IF(_calc!$E$631&lt;=500,TRIM(IF(LEN(IF(LEN(INDEX('Dealer pipeline'!$A$4:$A$503,_calc!$E$631))=0,"",INDEX('Dealer pipeline'!$A$4:$A$503,_calc!$E$631)))=0,"","Customer: "&amp;IF(LEN(INDEX('Dealer pipeline'!$A$4:$A$503,_calc!$E$631))=0,"",INDEX('Dealer pipeline'!$A$4:$A$503,_calc!$E$631))&amp;". ")&amp;IF(LEN(IF(LEN(INDEX('Dealer pipeline'!$B$4:$B$503,_calc!$E$631))=0,"",INDEX('Dealer pipeline'!$B$4:$B$503,_calc!$E$631)))=0,"","Contact: "&amp;IF(LEN(INDEX('Dealer pipeline'!$B$4:$B$503,_calc!$E$631))=0,"",INDEX('Dealer pipeline'!$B$4:$B$503,_calc!$E$631))&amp;". ")&amp;IF(LEN(IF(LEN(INDEX('Dealer pipeline'!$D$4:$D$503,_calc!$E$631))=0,"",INDEX('Dealer pipeline'!$D$4:$D$503,_calc!$E$631)))=0,"","Serial: "&amp;IF(LEN(INDEX('Dealer pipeline'!$D$4:$D$503,_calc!$E$631))=0,"",INDEX('Dealer pipeline'!$D$4:$D$503,_calc!$E$631))&amp;". ")&amp;IF(LEN(IF(ISNUMBER(INDEX('Dealer pipeline'!$J$4:$J$503,_calc!$E$631)),TEXT(INDEX('Dealer pipeline'!$J$4:$J$503,_calc!$E$631),"yyyy-mm-dd"),""))=0,"","Parts end: "&amp;IF(ISNUMBER(INDEX('Dealer pipeline'!$J$4:$J$503,_calc!$E$631)),TEXT(INDEX('Dealer pipeline'!$J$4:$J$503,_calc!$E$631),"yyyy-mm-dd"),"")&amp;". ")&amp;IF(LEN(IF(ISNUMBER(INDEX('Dealer pipeline'!$L$4:$L$503,_calc!$E$631)),TEXT(INDEX('Dealer pipeline'!$L$4:$L$503,_calc!$E$631),"yyyy-mm-dd"),""))=0,"","Labor end: "&amp;IF(ISNUMBER(INDEX('Dealer pipeline'!$L$4:$L$503,_calc!$E$631)),TEXT(INDEX('Dealer pipeline'!$L$4:$L$503,_calc!$E$631),"yyyy-mm-dd"),"")&amp;". ")&amp;IF(LEN(IF(LEN(INDEX('Dealer pipeline'!$Q$4:$Q$503,_calc!$E$631))=0,"",INDEX('Dealer pipeline'!$Q$4:$Q$503,_calc!$E$631)))=0,"","Status: "&amp;IF(LEN(INDEX('Dealer pipeline'!$Q$4:$Q$503,_calc!$E$631))=0,"",INDEX('Dealer pipeline'!$Q$4:$Q$503,_calc!$E$631))&amp;". ")&amp;IF(LEN(IF(LEN(INDEX('Dealer pipeline'!$P$4:$P$503,_calc!$E$631))=0,"",INDEX('Dealer pipeline'!$P$4:$P$503,_calc!$E$631)))=0,"","Last touch: "&amp;IF(LEN(INDEX('Dealer pipeline'!$P$4:$P$503,_calc!$E$631))=0,"",INDEX('Dealer pipeline'!$P$4:$P$503,_calc!$E$631))&amp;". ")&amp;IF(LEN(IF(LEN(INDEX('Dealer pipeline'!$R$4:$R$503,_calc!$E$631))=0,"",INDEX('Dealer pipeline'!$R$4:$R$503,_calc!$E$631)))=0,"","Owner: "&amp;IF(LEN(INDEX('Dealer pipeline'!$R$4:$R$503,_calc!$E$631))=0,"",INDEX('Dealer pipeline'!$R$4:$R$503,_calc!$E$631))&amp;". ")&amp;IF(LEN(IF(LEN(INDEX('Dealer pipeline'!$S$4:$S$503,_calc!$E$631))=0,"",INDEX('Dealer pipeline'!$S$4:$S$503,_calc!$E$631)))=0,"","Backup: "&amp;IF(LEN(INDEX('Dealer pipeline'!$S$4:$S$503,_calc!$E$631))=0,"",INDEX('Dealer pipeline'!$S$4:$S$503,_calc!$E$631))&amp;". ")&amp;IF(LEN(IF(LEN(INDEX('Dealer pipeline'!$T$4:$T$503,_calc!$E$631))=0,"",INDEX('Dealer pipeline'!$T$4:$T$503,_calc!$E$631)))=0,"",IF(LEN(INDEX('Dealer pipeline'!$T$4:$T$503,_calc!$E$631))=0,"",INDEX('Dealer pipeline'!$T$4:$T$503,_calc!$E$631)))),TRIM(IF(LEN(IF(LEN(INDEX('My equipment'!$C$4:$C$503,(_calc!$E$631-500)))=0,"",INDEX('My equipment'!$C$4:$C$503,(_calc!$E$631-500))))=0,"","Model: "&amp;IF(LEN(INDEX('My equipment'!$C$4:$C$503,(_calc!$E$631-500)))=0,"",INDEX('My equipment'!$C$4:$C$503,(_calc!$E$631-500)))&amp;". ")&amp;IF(LEN(IF(LEN(INDEX('My equipment'!$D$4:$D$503,(_calc!$E$631-500)))=0,"",INDEX('My equipment'!$D$4:$D$503,(_calc!$E$631-500))))=0,"","Serial: "&amp;IF(LEN(INDEX('My equipment'!$D$4:$D$503,(_calc!$E$631-500)))=0,"",INDEX('My equipment'!$D$4:$D$503,(_calc!$E$631-500)))&amp;". ")&amp;IF(LEN(IF(ISNUMBER(INDEX('My equipment'!$J$4:$J$503,(_calc!$E$631-500))),TEXT(INDEX('My equipment'!$J$4:$J$503,(_calc!$E$631-500)),"yyyy-mm-dd"),""))=0,"","Parts end: "&amp;IF(ISNUMBER(INDEX('My equipment'!$J$4:$J$503,(_calc!$E$631-500))),TEXT(INDEX('My equipment'!$J$4:$J$503,(_calc!$E$631-500)),"yyyy-mm-dd"),"")&amp;". ")&amp;IF(LEN(IF(ISNUMBER(INDEX('My equipment'!$L$4:$L$503,(_calc!$E$631-500))),TEXT(INDEX('My equipment'!$L$4:$L$503,(_calc!$E$631-500)),"yyyy-mm-dd"),""))=0,"","Labor end: "&amp;IF(ISNUMBER(INDEX('My equipment'!$L$4:$L$503,(_calc!$E$631-500))),TEXT(INDEX('My equipment'!$L$4:$L$503,(_calc!$E$631-500)),"yyyy-mm-dd"),"")&amp;". ")&amp;IF(LEN(IF(ISNUMBER(INDEX('My equipment'!$P$4:$P$503,(_calc!$E$631-500))),TEXT(INDEX('My equipment'!$P$4:$P$503,(_calc!$E$631-500)),"yyyy-mm-dd"),""))=0,"","Check by: "&amp;IF(ISNUMBER(INDEX('My equipment'!$P$4:$P$503,(_calc!$E$631-500))),TEXT(INDEX('My equipment'!$P$4:$P$503,(_calc!$E$631-500)),"yyyy-mm-dd"),"")&amp;". ")&amp;IF(LEN(IF(LEN(INDEX('My equipment'!$Q$4:$Q$503,(_calc!$E$631-500)))=0,"",INDEX('My equipment'!$Q$4:$Q$503,(_calc!$E$631-500))))=0,"","Claim status: "&amp;IF(LEN(INDEX('My equipment'!$Q$4:$Q$503,(_calc!$E$631-500)))=0,"",INDEX('My equipment'!$Q$4:$Q$503,(_calc!$E$631-500)))&amp;". ")&amp;IF(LEN(IF(LEN(INDEX('My equipment'!$R$4:$R$503,(_calc!$E$631-500)))=0,"",INDEX('My equipment'!$R$4:$R$503,(_calc!$E$631-500))))=0,"","Claims contact: "&amp;IF(LEN(INDEX('My equipment'!$R$4:$R$503,(_calc!$E$631-500)))=0,"",INDEX('My equipment'!$R$4:$R$503,(_calc!$E$631-500)))&amp;". ")&amp;IF(LEN(IF(LEN(INDEX('My equipment'!$S$4:$S$503,(_calc!$E$631-500)))=0,"",INDEX('My equipment'!$S$4:$S$503,(_calc!$E$631-500))))=0,"","Claims email: "&amp;IF(LEN(INDEX('My equipment'!$S$4:$S$503,(_calc!$E$631-500)))=0,"",INDEX('My equipment'!$S$4:$S$503,(_calc!$E$631-500)))&amp;". ")&amp;IF(LEN(IF(LEN(INDEX('My equipment'!$U$4:$U$503,(_calc!$E$631-500)))=0,"",INDEX('My equipment'!$U$4:$U$503,(_calc!$E$631-500))))=0,"","Registered: "&amp;IF(LEN(INDEX('My equipment'!$U$4:$U$503,(_calc!$E$631-500)))=0,"",INDEX('My equipment'!$U$4:$U$503,(_calc!$E$631-500)))&amp;". ")&amp;IF(LEN(IF(LEN(INDEX('My equipment'!$V$4:$V$503,(_calc!$E$631-500)))=0,"",INDEX('My equipment'!$V$4:$V$503,(_calc!$E$631-500))))=0,"","Proof on file: "&amp;IF(LEN(INDEX('My equipment'!$V$4:$V$503,(_calc!$E$631-500)))=0,"",INDEX('My equipment'!$V$4:$V$503,(_calc!$E$631-500)))&amp;". ")&amp;IF(LEN(IF(LEN(INDEX('My equipment'!$W$4:$W$503,(_calc!$E$631-500)))=0,"",INDEX('My equipment'!$W$4:$W$503,(_calc!$E$631-500))))=0,"","Claim ref: "&amp;IF(LEN(INDEX('My equipment'!$W$4:$W$503,(_calc!$E$631-500)))=0,"",INDEX('My equipment'!$W$4:$W$503,(_calc!$E$631-500)))&amp;". ")&amp;IF(LEN(IF(LEN(INDEX('My equipment'!$Y$4:$Y$503,(_calc!$E$631-500)))=0,"",INDEX('My equipment'!$Y$4:$Y$503,(_calc!$E$631-500))))=0,"",IF(LEN(INDEX('My equipment'!$Y$4:$Y$503,(_calc!$E$631-500)))=0,"",INDEX('My equipment'!$Y$4:$Y$503,(_calc!$E$631-500)))))))</f>
        <v/>
      </c>
      <c r="G629" s="54">
        <f>IF(_calc!$E$631="","",IF(_calc!$E$631&lt;=500,"",IF(LEN(INDEX('My equipment'!$X$4:$X$503,(_calc!$E$631-500)))=0,"",INDEX('My equipment'!$X$4:$X$503,(_calc!$E$631-500)))))</f>
        <v/>
      </c>
      <c r="K629" s="54">
        <f>IF(_calc!$E$631="","",IF(_calc!$E$631&lt;=500,"",IF(LEN(INDEX('My equipment'!$T$4:$T$503,(_calc!$E$631-500)))=0,"",INDEX('My equipment'!$T$4:$T$503,(_calc!$E$631-500)))))</f>
        <v/>
      </c>
    </row>
    <row r="630">
      <c r="A630" s="54">
        <f>IF(_calc!$E$632="","",IF(_calc!$E$632&lt;=500,"Warranty – "&amp;IF(LEN(INDEX('Dealer pipeline'!$C$4:$C$503,_calc!$E$632))=0,"",INDEX('Dealer pipeline'!$C$4:$C$503,_calc!$E$632))&amp;" – "&amp;IF(LEN(INDEX('Dealer pipeline'!$D$4:$D$503,_calc!$E$632))=0,"",INDEX('Dealer pipeline'!$D$4:$D$503,_calc!$E$632))&amp;" – "&amp;IF(LEN(INDEX('Dealer pipeline'!$A$4:$A$503,_calc!$E$632))=0,"",INDEX('Dealer pipeline'!$A$4:$A$503,_calc!$E$632)),"Warranty – "&amp;IF(LEN(INDEX('My equipment'!$A$4:$A$503,(_calc!$E$632-500)))=0,"",INDEX('My equipment'!$A$4:$A$503,(_calc!$E$632-500)))&amp;" – "&amp;IF(LEN(INDEX('My equipment'!$D$4:$D$503,(_calc!$E$632-500)))=0,"",INDEX('My equipment'!$D$4:$D$503,(_calc!$E$632-500)))))</f>
        <v/>
      </c>
      <c r="B630" s="54">
        <f>IF(_calc!$E$632="","",IF(_calc!$E$632&lt;=500,IF(ISNUMBER(INDEX('Dealer pipeline'!$M$4:$M$503,_calc!$E$632)),TEXT(INDEX('Dealer pipeline'!$M$4:$M$503,_calc!$E$632),"yyyy-mm-dd"),""),IF(ISNUMBER(INDEX('My equipment'!$M$4:$M$503,(_calc!$E$632-500))),TEXT(INDEX('My equipment'!$M$4:$M$503,(_calc!$E$632-500)),"yyyy-mm-dd"),"")))</f>
        <v/>
      </c>
      <c r="C630" s="54">
        <f>IF(_calc!$E$632="","",IF(_calc!$E$632&lt;=500,"Warranty","Warranty"))</f>
        <v/>
      </c>
      <c r="D630" s="54">
        <f>IF(_calc!$E$632="","",IF(_calc!$E$632&lt;=500,IF(ISNUMBER(INDEX('Dealer pipeline'!$H$4:$H$503,_calc!$E$632)),TEXT(INDEX('Dealer pipeline'!$H$4:$H$503,_calc!$E$632),"yyyy-mm-dd"),""),IF(ISNUMBER(INDEX('My equipment'!$H$4:$H$503,(_calc!$E$632-500))),TEXT(INDEX('My equipment'!$H$4:$H$503,(_calc!$E$632-500)),"yyyy-mm-dd"),"")))</f>
        <v/>
      </c>
      <c r="F630" s="54">
        <f>IF(_calc!$E$632="","",IF(_calc!$E$632&lt;=500,TRIM(IF(LEN(IF(LEN(INDEX('Dealer pipeline'!$A$4:$A$503,_calc!$E$632))=0,"",INDEX('Dealer pipeline'!$A$4:$A$503,_calc!$E$632)))=0,"","Customer: "&amp;IF(LEN(INDEX('Dealer pipeline'!$A$4:$A$503,_calc!$E$632))=0,"",INDEX('Dealer pipeline'!$A$4:$A$503,_calc!$E$632))&amp;". ")&amp;IF(LEN(IF(LEN(INDEX('Dealer pipeline'!$B$4:$B$503,_calc!$E$632))=0,"",INDEX('Dealer pipeline'!$B$4:$B$503,_calc!$E$632)))=0,"","Contact: "&amp;IF(LEN(INDEX('Dealer pipeline'!$B$4:$B$503,_calc!$E$632))=0,"",INDEX('Dealer pipeline'!$B$4:$B$503,_calc!$E$632))&amp;". ")&amp;IF(LEN(IF(LEN(INDEX('Dealer pipeline'!$D$4:$D$503,_calc!$E$632))=0,"",INDEX('Dealer pipeline'!$D$4:$D$503,_calc!$E$632)))=0,"","Serial: "&amp;IF(LEN(INDEX('Dealer pipeline'!$D$4:$D$503,_calc!$E$632))=0,"",INDEX('Dealer pipeline'!$D$4:$D$503,_calc!$E$632))&amp;". ")&amp;IF(LEN(IF(ISNUMBER(INDEX('Dealer pipeline'!$J$4:$J$503,_calc!$E$632)),TEXT(INDEX('Dealer pipeline'!$J$4:$J$503,_calc!$E$632),"yyyy-mm-dd"),""))=0,"","Parts end: "&amp;IF(ISNUMBER(INDEX('Dealer pipeline'!$J$4:$J$503,_calc!$E$632)),TEXT(INDEX('Dealer pipeline'!$J$4:$J$503,_calc!$E$632),"yyyy-mm-dd"),"")&amp;". ")&amp;IF(LEN(IF(ISNUMBER(INDEX('Dealer pipeline'!$L$4:$L$503,_calc!$E$632)),TEXT(INDEX('Dealer pipeline'!$L$4:$L$503,_calc!$E$632),"yyyy-mm-dd"),""))=0,"","Labor end: "&amp;IF(ISNUMBER(INDEX('Dealer pipeline'!$L$4:$L$503,_calc!$E$632)),TEXT(INDEX('Dealer pipeline'!$L$4:$L$503,_calc!$E$632),"yyyy-mm-dd"),"")&amp;". ")&amp;IF(LEN(IF(LEN(INDEX('Dealer pipeline'!$Q$4:$Q$503,_calc!$E$632))=0,"",INDEX('Dealer pipeline'!$Q$4:$Q$503,_calc!$E$632)))=0,"","Status: "&amp;IF(LEN(INDEX('Dealer pipeline'!$Q$4:$Q$503,_calc!$E$632))=0,"",INDEX('Dealer pipeline'!$Q$4:$Q$503,_calc!$E$632))&amp;". ")&amp;IF(LEN(IF(LEN(INDEX('Dealer pipeline'!$P$4:$P$503,_calc!$E$632))=0,"",INDEX('Dealer pipeline'!$P$4:$P$503,_calc!$E$632)))=0,"","Last touch: "&amp;IF(LEN(INDEX('Dealer pipeline'!$P$4:$P$503,_calc!$E$632))=0,"",INDEX('Dealer pipeline'!$P$4:$P$503,_calc!$E$632))&amp;". ")&amp;IF(LEN(IF(LEN(INDEX('Dealer pipeline'!$R$4:$R$503,_calc!$E$632))=0,"",INDEX('Dealer pipeline'!$R$4:$R$503,_calc!$E$632)))=0,"","Owner: "&amp;IF(LEN(INDEX('Dealer pipeline'!$R$4:$R$503,_calc!$E$632))=0,"",INDEX('Dealer pipeline'!$R$4:$R$503,_calc!$E$632))&amp;". ")&amp;IF(LEN(IF(LEN(INDEX('Dealer pipeline'!$S$4:$S$503,_calc!$E$632))=0,"",INDEX('Dealer pipeline'!$S$4:$S$503,_calc!$E$632)))=0,"","Backup: "&amp;IF(LEN(INDEX('Dealer pipeline'!$S$4:$S$503,_calc!$E$632))=0,"",INDEX('Dealer pipeline'!$S$4:$S$503,_calc!$E$632))&amp;". ")&amp;IF(LEN(IF(LEN(INDEX('Dealer pipeline'!$T$4:$T$503,_calc!$E$632))=0,"",INDEX('Dealer pipeline'!$T$4:$T$503,_calc!$E$632)))=0,"",IF(LEN(INDEX('Dealer pipeline'!$T$4:$T$503,_calc!$E$632))=0,"",INDEX('Dealer pipeline'!$T$4:$T$503,_calc!$E$632)))),TRIM(IF(LEN(IF(LEN(INDEX('My equipment'!$C$4:$C$503,(_calc!$E$632-500)))=0,"",INDEX('My equipment'!$C$4:$C$503,(_calc!$E$632-500))))=0,"","Model: "&amp;IF(LEN(INDEX('My equipment'!$C$4:$C$503,(_calc!$E$632-500)))=0,"",INDEX('My equipment'!$C$4:$C$503,(_calc!$E$632-500)))&amp;". ")&amp;IF(LEN(IF(LEN(INDEX('My equipment'!$D$4:$D$503,(_calc!$E$632-500)))=0,"",INDEX('My equipment'!$D$4:$D$503,(_calc!$E$632-500))))=0,"","Serial: "&amp;IF(LEN(INDEX('My equipment'!$D$4:$D$503,(_calc!$E$632-500)))=0,"",INDEX('My equipment'!$D$4:$D$503,(_calc!$E$632-500)))&amp;". ")&amp;IF(LEN(IF(ISNUMBER(INDEX('My equipment'!$J$4:$J$503,(_calc!$E$632-500))),TEXT(INDEX('My equipment'!$J$4:$J$503,(_calc!$E$632-500)),"yyyy-mm-dd"),""))=0,"","Parts end: "&amp;IF(ISNUMBER(INDEX('My equipment'!$J$4:$J$503,(_calc!$E$632-500))),TEXT(INDEX('My equipment'!$J$4:$J$503,(_calc!$E$632-500)),"yyyy-mm-dd"),"")&amp;". ")&amp;IF(LEN(IF(ISNUMBER(INDEX('My equipment'!$L$4:$L$503,(_calc!$E$632-500))),TEXT(INDEX('My equipment'!$L$4:$L$503,(_calc!$E$632-500)),"yyyy-mm-dd"),""))=0,"","Labor end: "&amp;IF(ISNUMBER(INDEX('My equipment'!$L$4:$L$503,(_calc!$E$632-500))),TEXT(INDEX('My equipment'!$L$4:$L$503,(_calc!$E$632-500)),"yyyy-mm-dd"),"")&amp;". ")&amp;IF(LEN(IF(ISNUMBER(INDEX('My equipment'!$P$4:$P$503,(_calc!$E$632-500))),TEXT(INDEX('My equipment'!$P$4:$P$503,(_calc!$E$632-500)),"yyyy-mm-dd"),""))=0,"","Check by: "&amp;IF(ISNUMBER(INDEX('My equipment'!$P$4:$P$503,(_calc!$E$632-500))),TEXT(INDEX('My equipment'!$P$4:$P$503,(_calc!$E$632-500)),"yyyy-mm-dd"),"")&amp;". ")&amp;IF(LEN(IF(LEN(INDEX('My equipment'!$Q$4:$Q$503,(_calc!$E$632-500)))=0,"",INDEX('My equipment'!$Q$4:$Q$503,(_calc!$E$632-500))))=0,"","Claim status: "&amp;IF(LEN(INDEX('My equipment'!$Q$4:$Q$503,(_calc!$E$632-500)))=0,"",INDEX('My equipment'!$Q$4:$Q$503,(_calc!$E$632-500)))&amp;". ")&amp;IF(LEN(IF(LEN(INDEX('My equipment'!$R$4:$R$503,(_calc!$E$632-500)))=0,"",INDEX('My equipment'!$R$4:$R$503,(_calc!$E$632-500))))=0,"","Claims contact: "&amp;IF(LEN(INDEX('My equipment'!$R$4:$R$503,(_calc!$E$632-500)))=0,"",INDEX('My equipment'!$R$4:$R$503,(_calc!$E$632-500)))&amp;". ")&amp;IF(LEN(IF(LEN(INDEX('My equipment'!$S$4:$S$503,(_calc!$E$632-500)))=0,"",INDEX('My equipment'!$S$4:$S$503,(_calc!$E$632-500))))=0,"","Claims email: "&amp;IF(LEN(INDEX('My equipment'!$S$4:$S$503,(_calc!$E$632-500)))=0,"",INDEX('My equipment'!$S$4:$S$503,(_calc!$E$632-500)))&amp;". ")&amp;IF(LEN(IF(LEN(INDEX('My equipment'!$U$4:$U$503,(_calc!$E$632-500)))=0,"",INDEX('My equipment'!$U$4:$U$503,(_calc!$E$632-500))))=0,"","Registered: "&amp;IF(LEN(INDEX('My equipment'!$U$4:$U$503,(_calc!$E$632-500)))=0,"",INDEX('My equipment'!$U$4:$U$503,(_calc!$E$632-500)))&amp;". ")&amp;IF(LEN(IF(LEN(INDEX('My equipment'!$V$4:$V$503,(_calc!$E$632-500)))=0,"",INDEX('My equipment'!$V$4:$V$503,(_calc!$E$632-500))))=0,"","Proof on file: "&amp;IF(LEN(INDEX('My equipment'!$V$4:$V$503,(_calc!$E$632-500)))=0,"",INDEX('My equipment'!$V$4:$V$503,(_calc!$E$632-500)))&amp;". ")&amp;IF(LEN(IF(LEN(INDEX('My equipment'!$W$4:$W$503,(_calc!$E$632-500)))=0,"",INDEX('My equipment'!$W$4:$W$503,(_calc!$E$632-500))))=0,"","Claim ref: "&amp;IF(LEN(INDEX('My equipment'!$W$4:$W$503,(_calc!$E$632-500)))=0,"",INDEX('My equipment'!$W$4:$W$503,(_calc!$E$632-500)))&amp;". ")&amp;IF(LEN(IF(LEN(INDEX('My equipment'!$Y$4:$Y$503,(_calc!$E$632-500)))=0,"",INDEX('My equipment'!$Y$4:$Y$503,(_calc!$E$632-500))))=0,"",IF(LEN(INDEX('My equipment'!$Y$4:$Y$503,(_calc!$E$632-500)))=0,"",INDEX('My equipment'!$Y$4:$Y$503,(_calc!$E$632-500)))))))</f>
        <v/>
      </c>
      <c r="G630" s="54">
        <f>IF(_calc!$E$632="","",IF(_calc!$E$632&lt;=500,"",IF(LEN(INDEX('My equipment'!$X$4:$X$503,(_calc!$E$632-500)))=0,"",INDEX('My equipment'!$X$4:$X$503,(_calc!$E$632-500)))))</f>
        <v/>
      </c>
      <c r="K630" s="54">
        <f>IF(_calc!$E$632="","",IF(_calc!$E$632&lt;=500,"",IF(LEN(INDEX('My equipment'!$T$4:$T$503,(_calc!$E$632-500)))=0,"",INDEX('My equipment'!$T$4:$T$503,(_calc!$E$632-500)))))</f>
        <v/>
      </c>
    </row>
    <row r="631">
      <c r="A631" s="54">
        <f>IF(_calc!$E$633="","",IF(_calc!$E$633&lt;=500,"Warranty – "&amp;IF(LEN(INDEX('Dealer pipeline'!$C$4:$C$503,_calc!$E$633))=0,"",INDEX('Dealer pipeline'!$C$4:$C$503,_calc!$E$633))&amp;" – "&amp;IF(LEN(INDEX('Dealer pipeline'!$D$4:$D$503,_calc!$E$633))=0,"",INDEX('Dealer pipeline'!$D$4:$D$503,_calc!$E$633))&amp;" – "&amp;IF(LEN(INDEX('Dealer pipeline'!$A$4:$A$503,_calc!$E$633))=0,"",INDEX('Dealer pipeline'!$A$4:$A$503,_calc!$E$633)),"Warranty – "&amp;IF(LEN(INDEX('My equipment'!$A$4:$A$503,(_calc!$E$633-500)))=0,"",INDEX('My equipment'!$A$4:$A$503,(_calc!$E$633-500)))&amp;" – "&amp;IF(LEN(INDEX('My equipment'!$D$4:$D$503,(_calc!$E$633-500)))=0,"",INDEX('My equipment'!$D$4:$D$503,(_calc!$E$633-500)))))</f>
        <v/>
      </c>
      <c r="B631" s="54">
        <f>IF(_calc!$E$633="","",IF(_calc!$E$633&lt;=500,IF(ISNUMBER(INDEX('Dealer pipeline'!$M$4:$M$503,_calc!$E$633)),TEXT(INDEX('Dealer pipeline'!$M$4:$M$503,_calc!$E$633),"yyyy-mm-dd"),""),IF(ISNUMBER(INDEX('My equipment'!$M$4:$M$503,(_calc!$E$633-500))),TEXT(INDEX('My equipment'!$M$4:$M$503,(_calc!$E$633-500)),"yyyy-mm-dd"),"")))</f>
        <v/>
      </c>
      <c r="C631" s="54">
        <f>IF(_calc!$E$633="","",IF(_calc!$E$633&lt;=500,"Warranty","Warranty"))</f>
        <v/>
      </c>
      <c r="D631" s="54">
        <f>IF(_calc!$E$633="","",IF(_calc!$E$633&lt;=500,IF(ISNUMBER(INDEX('Dealer pipeline'!$H$4:$H$503,_calc!$E$633)),TEXT(INDEX('Dealer pipeline'!$H$4:$H$503,_calc!$E$633),"yyyy-mm-dd"),""),IF(ISNUMBER(INDEX('My equipment'!$H$4:$H$503,(_calc!$E$633-500))),TEXT(INDEX('My equipment'!$H$4:$H$503,(_calc!$E$633-500)),"yyyy-mm-dd"),"")))</f>
        <v/>
      </c>
      <c r="F631" s="54">
        <f>IF(_calc!$E$633="","",IF(_calc!$E$633&lt;=500,TRIM(IF(LEN(IF(LEN(INDEX('Dealer pipeline'!$A$4:$A$503,_calc!$E$633))=0,"",INDEX('Dealer pipeline'!$A$4:$A$503,_calc!$E$633)))=0,"","Customer: "&amp;IF(LEN(INDEX('Dealer pipeline'!$A$4:$A$503,_calc!$E$633))=0,"",INDEX('Dealer pipeline'!$A$4:$A$503,_calc!$E$633))&amp;". ")&amp;IF(LEN(IF(LEN(INDEX('Dealer pipeline'!$B$4:$B$503,_calc!$E$633))=0,"",INDEX('Dealer pipeline'!$B$4:$B$503,_calc!$E$633)))=0,"","Contact: "&amp;IF(LEN(INDEX('Dealer pipeline'!$B$4:$B$503,_calc!$E$633))=0,"",INDEX('Dealer pipeline'!$B$4:$B$503,_calc!$E$633))&amp;". ")&amp;IF(LEN(IF(LEN(INDEX('Dealer pipeline'!$D$4:$D$503,_calc!$E$633))=0,"",INDEX('Dealer pipeline'!$D$4:$D$503,_calc!$E$633)))=0,"","Serial: "&amp;IF(LEN(INDEX('Dealer pipeline'!$D$4:$D$503,_calc!$E$633))=0,"",INDEX('Dealer pipeline'!$D$4:$D$503,_calc!$E$633))&amp;". ")&amp;IF(LEN(IF(ISNUMBER(INDEX('Dealer pipeline'!$J$4:$J$503,_calc!$E$633)),TEXT(INDEX('Dealer pipeline'!$J$4:$J$503,_calc!$E$633),"yyyy-mm-dd"),""))=0,"","Parts end: "&amp;IF(ISNUMBER(INDEX('Dealer pipeline'!$J$4:$J$503,_calc!$E$633)),TEXT(INDEX('Dealer pipeline'!$J$4:$J$503,_calc!$E$633),"yyyy-mm-dd"),"")&amp;". ")&amp;IF(LEN(IF(ISNUMBER(INDEX('Dealer pipeline'!$L$4:$L$503,_calc!$E$633)),TEXT(INDEX('Dealer pipeline'!$L$4:$L$503,_calc!$E$633),"yyyy-mm-dd"),""))=0,"","Labor end: "&amp;IF(ISNUMBER(INDEX('Dealer pipeline'!$L$4:$L$503,_calc!$E$633)),TEXT(INDEX('Dealer pipeline'!$L$4:$L$503,_calc!$E$633),"yyyy-mm-dd"),"")&amp;". ")&amp;IF(LEN(IF(LEN(INDEX('Dealer pipeline'!$Q$4:$Q$503,_calc!$E$633))=0,"",INDEX('Dealer pipeline'!$Q$4:$Q$503,_calc!$E$633)))=0,"","Status: "&amp;IF(LEN(INDEX('Dealer pipeline'!$Q$4:$Q$503,_calc!$E$633))=0,"",INDEX('Dealer pipeline'!$Q$4:$Q$503,_calc!$E$633))&amp;". ")&amp;IF(LEN(IF(LEN(INDEX('Dealer pipeline'!$P$4:$P$503,_calc!$E$633))=0,"",INDEX('Dealer pipeline'!$P$4:$P$503,_calc!$E$633)))=0,"","Last touch: "&amp;IF(LEN(INDEX('Dealer pipeline'!$P$4:$P$503,_calc!$E$633))=0,"",INDEX('Dealer pipeline'!$P$4:$P$503,_calc!$E$633))&amp;". ")&amp;IF(LEN(IF(LEN(INDEX('Dealer pipeline'!$R$4:$R$503,_calc!$E$633))=0,"",INDEX('Dealer pipeline'!$R$4:$R$503,_calc!$E$633)))=0,"","Owner: "&amp;IF(LEN(INDEX('Dealer pipeline'!$R$4:$R$503,_calc!$E$633))=0,"",INDEX('Dealer pipeline'!$R$4:$R$503,_calc!$E$633))&amp;". ")&amp;IF(LEN(IF(LEN(INDEX('Dealer pipeline'!$S$4:$S$503,_calc!$E$633))=0,"",INDEX('Dealer pipeline'!$S$4:$S$503,_calc!$E$633)))=0,"","Backup: "&amp;IF(LEN(INDEX('Dealer pipeline'!$S$4:$S$503,_calc!$E$633))=0,"",INDEX('Dealer pipeline'!$S$4:$S$503,_calc!$E$633))&amp;". ")&amp;IF(LEN(IF(LEN(INDEX('Dealer pipeline'!$T$4:$T$503,_calc!$E$633))=0,"",INDEX('Dealer pipeline'!$T$4:$T$503,_calc!$E$633)))=0,"",IF(LEN(INDEX('Dealer pipeline'!$T$4:$T$503,_calc!$E$633))=0,"",INDEX('Dealer pipeline'!$T$4:$T$503,_calc!$E$633)))),TRIM(IF(LEN(IF(LEN(INDEX('My equipment'!$C$4:$C$503,(_calc!$E$633-500)))=0,"",INDEX('My equipment'!$C$4:$C$503,(_calc!$E$633-500))))=0,"","Model: "&amp;IF(LEN(INDEX('My equipment'!$C$4:$C$503,(_calc!$E$633-500)))=0,"",INDEX('My equipment'!$C$4:$C$503,(_calc!$E$633-500)))&amp;". ")&amp;IF(LEN(IF(LEN(INDEX('My equipment'!$D$4:$D$503,(_calc!$E$633-500)))=0,"",INDEX('My equipment'!$D$4:$D$503,(_calc!$E$633-500))))=0,"","Serial: "&amp;IF(LEN(INDEX('My equipment'!$D$4:$D$503,(_calc!$E$633-500)))=0,"",INDEX('My equipment'!$D$4:$D$503,(_calc!$E$633-500)))&amp;". ")&amp;IF(LEN(IF(ISNUMBER(INDEX('My equipment'!$J$4:$J$503,(_calc!$E$633-500))),TEXT(INDEX('My equipment'!$J$4:$J$503,(_calc!$E$633-500)),"yyyy-mm-dd"),""))=0,"","Parts end: "&amp;IF(ISNUMBER(INDEX('My equipment'!$J$4:$J$503,(_calc!$E$633-500))),TEXT(INDEX('My equipment'!$J$4:$J$503,(_calc!$E$633-500)),"yyyy-mm-dd"),"")&amp;". ")&amp;IF(LEN(IF(ISNUMBER(INDEX('My equipment'!$L$4:$L$503,(_calc!$E$633-500))),TEXT(INDEX('My equipment'!$L$4:$L$503,(_calc!$E$633-500)),"yyyy-mm-dd"),""))=0,"","Labor end: "&amp;IF(ISNUMBER(INDEX('My equipment'!$L$4:$L$503,(_calc!$E$633-500))),TEXT(INDEX('My equipment'!$L$4:$L$503,(_calc!$E$633-500)),"yyyy-mm-dd"),"")&amp;". ")&amp;IF(LEN(IF(ISNUMBER(INDEX('My equipment'!$P$4:$P$503,(_calc!$E$633-500))),TEXT(INDEX('My equipment'!$P$4:$P$503,(_calc!$E$633-500)),"yyyy-mm-dd"),""))=0,"","Check by: "&amp;IF(ISNUMBER(INDEX('My equipment'!$P$4:$P$503,(_calc!$E$633-500))),TEXT(INDEX('My equipment'!$P$4:$P$503,(_calc!$E$633-500)),"yyyy-mm-dd"),"")&amp;". ")&amp;IF(LEN(IF(LEN(INDEX('My equipment'!$Q$4:$Q$503,(_calc!$E$633-500)))=0,"",INDEX('My equipment'!$Q$4:$Q$503,(_calc!$E$633-500))))=0,"","Claim status: "&amp;IF(LEN(INDEX('My equipment'!$Q$4:$Q$503,(_calc!$E$633-500)))=0,"",INDEX('My equipment'!$Q$4:$Q$503,(_calc!$E$633-500)))&amp;". ")&amp;IF(LEN(IF(LEN(INDEX('My equipment'!$R$4:$R$503,(_calc!$E$633-500)))=0,"",INDEX('My equipment'!$R$4:$R$503,(_calc!$E$633-500))))=0,"","Claims contact: "&amp;IF(LEN(INDEX('My equipment'!$R$4:$R$503,(_calc!$E$633-500)))=0,"",INDEX('My equipment'!$R$4:$R$503,(_calc!$E$633-500)))&amp;". ")&amp;IF(LEN(IF(LEN(INDEX('My equipment'!$S$4:$S$503,(_calc!$E$633-500)))=0,"",INDEX('My equipment'!$S$4:$S$503,(_calc!$E$633-500))))=0,"","Claims email: "&amp;IF(LEN(INDEX('My equipment'!$S$4:$S$503,(_calc!$E$633-500)))=0,"",INDEX('My equipment'!$S$4:$S$503,(_calc!$E$633-500)))&amp;". ")&amp;IF(LEN(IF(LEN(INDEX('My equipment'!$U$4:$U$503,(_calc!$E$633-500)))=0,"",INDEX('My equipment'!$U$4:$U$503,(_calc!$E$633-500))))=0,"","Registered: "&amp;IF(LEN(INDEX('My equipment'!$U$4:$U$503,(_calc!$E$633-500)))=0,"",INDEX('My equipment'!$U$4:$U$503,(_calc!$E$633-500)))&amp;". ")&amp;IF(LEN(IF(LEN(INDEX('My equipment'!$V$4:$V$503,(_calc!$E$633-500)))=0,"",INDEX('My equipment'!$V$4:$V$503,(_calc!$E$633-500))))=0,"","Proof on file: "&amp;IF(LEN(INDEX('My equipment'!$V$4:$V$503,(_calc!$E$633-500)))=0,"",INDEX('My equipment'!$V$4:$V$503,(_calc!$E$633-500)))&amp;". ")&amp;IF(LEN(IF(LEN(INDEX('My equipment'!$W$4:$W$503,(_calc!$E$633-500)))=0,"",INDEX('My equipment'!$W$4:$W$503,(_calc!$E$633-500))))=0,"","Claim ref: "&amp;IF(LEN(INDEX('My equipment'!$W$4:$W$503,(_calc!$E$633-500)))=0,"",INDEX('My equipment'!$W$4:$W$503,(_calc!$E$633-500)))&amp;". ")&amp;IF(LEN(IF(LEN(INDEX('My equipment'!$Y$4:$Y$503,(_calc!$E$633-500)))=0,"",INDEX('My equipment'!$Y$4:$Y$503,(_calc!$E$633-500))))=0,"",IF(LEN(INDEX('My equipment'!$Y$4:$Y$503,(_calc!$E$633-500)))=0,"",INDEX('My equipment'!$Y$4:$Y$503,(_calc!$E$633-500)))))))</f>
        <v/>
      </c>
      <c r="G631" s="54">
        <f>IF(_calc!$E$633="","",IF(_calc!$E$633&lt;=500,"",IF(LEN(INDEX('My equipment'!$X$4:$X$503,(_calc!$E$633-500)))=0,"",INDEX('My equipment'!$X$4:$X$503,(_calc!$E$633-500)))))</f>
        <v/>
      </c>
      <c r="K631" s="54">
        <f>IF(_calc!$E$633="","",IF(_calc!$E$633&lt;=500,"",IF(LEN(INDEX('My equipment'!$T$4:$T$503,(_calc!$E$633-500)))=0,"",INDEX('My equipment'!$T$4:$T$503,(_calc!$E$633-500)))))</f>
        <v/>
      </c>
    </row>
    <row r="632">
      <c r="A632" s="54">
        <f>IF(_calc!$E$634="","",IF(_calc!$E$634&lt;=500,"Warranty – "&amp;IF(LEN(INDEX('Dealer pipeline'!$C$4:$C$503,_calc!$E$634))=0,"",INDEX('Dealer pipeline'!$C$4:$C$503,_calc!$E$634))&amp;" – "&amp;IF(LEN(INDEX('Dealer pipeline'!$D$4:$D$503,_calc!$E$634))=0,"",INDEX('Dealer pipeline'!$D$4:$D$503,_calc!$E$634))&amp;" – "&amp;IF(LEN(INDEX('Dealer pipeline'!$A$4:$A$503,_calc!$E$634))=0,"",INDEX('Dealer pipeline'!$A$4:$A$503,_calc!$E$634)),"Warranty – "&amp;IF(LEN(INDEX('My equipment'!$A$4:$A$503,(_calc!$E$634-500)))=0,"",INDEX('My equipment'!$A$4:$A$503,(_calc!$E$634-500)))&amp;" – "&amp;IF(LEN(INDEX('My equipment'!$D$4:$D$503,(_calc!$E$634-500)))=0,"",INDEX('My equipment'!$D$4:$D$503,(_calc!$E$634-500)))))</f>
        <v/>
      </c>
      <c r="B632" s="54">
        <f>IF(_calc!$E$634="","",IF(_calc!$E$634&lt;=500,IF(ISNUMBER(INDEX('Dealer pipeline'!$M$4:$M$503,_calc!$E$634)),TEXT(INDEX('Dealer pipeline'!$M$4:$M$503,_calc!$E$634),"yyyy-mm-dd"),""),IF(ISNUMBER(INDEX('My equipment'!$M$4:$M$503,(_calc!$E$634-500))),TEXT(INDEX('My equipment'!$M$4:$M$503,(_calc!$E$634-500)),"yyyy-mm-dd"),"")))</f>
        <v/>
      </c>
      <c r="C632" s="54">
        <f>IF(_calc!$E$634="","",IF(_calc!$E$634&lt;=500,"Warranty","Warranty"))</f>
        <v/>
      </c>
      <c r="D632" s="54">
        <f>IF(_calc!$E$634="","",IF(_calc!$E$634&lt;=500,IF(ISNUMBER(INDEX('Dealer pipeline'!$H$4:$H$503,_calc!$E$634)),TEXT(INDEX('Dealer pipeline'!$H$4:$H$503,_calc!$E$634),"yyyy-mm-dd"),""),IF(ISNUMBER(INDEX('My equipment'!$H$4:$H$503,(_calc!$E$634-500))),TEXT(INDEX('My equipment'!$H$4:$H$503,(_calc!$E$634-500)),"yyyy-mm-dd"),"")))</f>
        <v/>
      </c>
      <c r="F632" s="54">
        <f>IF(_calc!$E$634="","",IF(_calc!$E$634&lt;=500,TRIM(IF(LEN(IF(LEN(INDEX('Dealer pipeline'!$A$4:$A$503,_calc!$E$634))=0,"",INDEX('Dealer pipeline'!$A$4:$A$503,_calc!$E$634)))=0,"","Customer: "&amp;IF(LEN(INDEX('Dealer pipeline'!$A$4:$A$503,_calc!$E$634))=0,"",INDEX('Dealer pipeline'!$A$4:$A$503,_calc!$E$634))&amp;". ")&amp;IF(LEN(IF(LEN(INDEX('Dealer pipeline'!$B$4:$B$503,_calc!$E$634))=0,"",INDEX('Dealer pipeline'!$B$4:$B$503,_calc!$E$634)))=0,"","Contact: "&amp;IF(LEN(INDEX('Dealer pipeline'!$B$4:$B$503,_calc!$E$634))=0,"",INDEX('Dealer pipeline'!$B$4:$B$503,_calc!$E$634))&amp;". ")&amp;IF(LEN(IF(LEN(INDEX('Dealer pipeline'!$D$4:$D$503,_calc!$E$634))=0,"",INDEX('Dealer pipeline'!$D$4:$D$503,_calc!$E$634)))=0,"","Serial: "&amp;IF(LEN(INDEX('Dealer pipeline'!$D$4:$D$503,_calc!$E$634))=0,"",INDEX('Dealer pipeline'!$D$4:$D$503,_calc!$E$634))&amp;". ")&amp;IF(LEN(IF(ISNUMBER(INDEX('Dealer pipeline'!$J$4:$J$503,_calc!$E$634)),TEXT(INDEX('Dealer pipeline'!$J$4:$J$503,_calc!$E$634),"yyyy-mm-dd"),""))=0,"","Parts end: "&amp;IF(ISNUMBER(INDEX('Dealer pipeline'!$J$4:$J$503,_calc!$E$634)),TEXT(INDEX('Dealer pipeline'!$J$4:$J$503,_calc!$E$634),"yyyy-mm-dd"),"")&amp;". ")&amp;IF(LEN(IF(ISNUMBER(INDEX('Dealer pipeline'!$L$4:$L$503,_calc!$E$634)),TEXT(INDEX('Dealer pipeline'!$L$4:$L$503,_calc!$E$634),"yyyy-mm-dd"),""))=0,"","Labor end: "&amp;IF(ISNUMBER(INDEX('Dealer pipeline'!$L$4:$L$503,_calc!$E$634)),TEXT(INDEX('Dealer pipeline'!$L$4:$L$503,_calc!$E$634),"yyyy-mm-dd"),"")&amp;". ")&amp;IF(LEN(IF(LEN(INDEX('Dealer pipeline'!$Q$4:$Q$503,_calc!$E$634))=0,"",INDEX('Dealer pipeline'!$Q$4:$Q$503,_calc!$E$634)))=0,"","Status: "&amp;IF(LEN(INDEX('Dealer pipeline'!$Q$4:$Q$503,_calc!$E$634))=0,"",INDEX('Dealer pipeline'!$Q$4:$Q$503,_calc!$E$634))&amp;". ")&amp;IF(LEN(IF(LEN(INDEX('Dealer pipeline'!$P$4:$P$503,_calc!$E$634))=0,"",INDEX('Dealer pipeline'!$P$4:$P$503,_calc!$E$634)))=0,"","Last touch: "&amp;IF(LEN(INDEX('Dealer pipeline'!$P$4:$P$503,_calc!$E$634))=0,"",INDEX('Dealer pipeline'!$P$4:$P$503,_calc!$E$634))&amp;". ")&amp;IF(LEN(IF(LEN(INDEX('Dealer pipeline'!$R$4:$R$503,_calc!$E$634))=0,"",INDEX('Dealer pipeline'!$R$4:$R$503,_calc!$E$634)))=0,"","Owner: "&amp;IF(LEN(INDEX('Dealer pipeline'!$R$4:$R$503,_calc!$E$634))=0,"",INDEX('Dealer pipeline'!$R$4:$R$503,_calc!$E$634))&amp;". ")&amp;IF(LEN(IF(LEN(INDEX('Dealer pipeline'!$S$4:$S$503,_calc!$E$634))=0,"",INDEX('Dealer pipeline'!$S$4:$S$503,_calc!$E$634)))=0,"","Backup: "&amp;IF(LEN(INDEX('Dealer pipeline'!$S$4:$S$503,_calc!$E$634))=0,"",INDEX('Dealer pipeline'!$S$4:$S$503,_calc!$E$634))&amp;". ")&amp;IF(LEN(IF(LEN(INDEX('Dealer pipeline'!$T$4:$T$503,_calc!$E$634))=0,"",INDEX('Dealer pipeline'!$T$4:$T$503,_calc!$E$634)))=0,"",IF(LEN(INDEX('Dealer pipeline'!$T$4:$T$503,_calc!$E$634))=0,"",INDEX('Dealer pipeline'!$T$4:$T$503,_calc!$E$634)))),TRIM(IF(LEN(IF(LEN(INDEX('My equipment'!$C$4:$C$503,(_calc!$E$634-500)))=0,"",INDEX('My equipment'!$C$4:$C$503,(_calc!$E$634-500))))=0,"","Model: "&amp;IF(LEN(INDEX('My equipment'!$C$4:$C$503,(_calc!$E$634-500)))=0,"",INDEX('My equipment'!$C$4:$C$503,(_calc!$E$634-500)))&amp;". ")&amp;IF(LEN(IF(LEN(INDEX('My equipment'!$D$4:$D$503,(_calc!$E$634-500)))=0,"",INDEX('My equipment'!$D$4:$D$503,(_calc!$E$634-500))))=0,"","Serial: "&amp;IF(LEN(INDEX('My equipment'!$D$4:$D$503,(_calc!$E$634-500)))=0,"",INDEX('My equipment'!$D$4:$D$503,(_calc!$E$634-500)))&amp;". ")&amp;IF(LEN(IF(ISNUMBER(INDEX('My equipment'!$J$4:$J$503,(_calc!$E$634-500))),TEXT(INDEX('My equipment'!$J$4:$J$503,(_calc!$E$634-500)),"yyyy-mm-dd"),""))=0,"","Parts end: "&amp;IF(ISNUMBER(INDEX('My equipment'!$J$4:$J$503,(_calc!$E$634-500))),TEXT(INDEX('My equipment'!$J$4:$J$503,(_calc!$E$634-500)),"yyyy-mm-dd"),"")&amp;". ")&amp;IF(LEN(IF(ISNUMBER(INDEX('My equipment'!$L$4:$L$503,(_calc!$E$634-500))),TEXT(INDEX('My equipment'!$L$4:$L$503,(_calc!$E$634-500)),"yyyy-mm-dd"),""))=0,"","Labor end: "&amp;IF(ISNUMBER(INDEX('My equipment'!$L$4:$L$503,(_calc!$E$634-500))),TEXT(INDEX('My equipment'!$L$4:$L$503,(_calc!$E$634-500)),"yyyy-mm-dd"),"")&amp;". ")&amp;IF(LEN(IF(ISNUMBER(INDEX('My equipment'!$P$4:$P$503,(_calc!$E$634-500))),TEXT(INDEX('My equipment'!$P$4:$P$503,(_calc!$E$634-500)),"yyyy-mm-dd"),""))=0,"","Check by: "&amp;IF(ISNUMBER(INDEX('My equipment'!$P$4:$P$503,(_calc!$E$634-500))),TEXT(INDEX('My equipment'!$P$4:$P$503,(_calc!$E$634-500)),"yyyy-mm-dd"),"")&amp;". ")&amp;IF(LEN(IF(LEN(INDEX('My equipment'!$Q$4:$Q$503,(_calc!$E$634-500)))=0,"",INDEX('My equipment'!$Q$4:$Q$503,(_calc!$E$634-500))))=0,"","Claim status: "&amp;IF(LEN(INDEX('My equipment'!$Q$4:$Q$503,(_calc!$E$634-500)))=0,"",INDEX('My equipment'!$Q$4:$Q$503,(_calc!$E$634-500)))&amp;". ")&amp;IF(LEN(IF(LEN(INDEX('My equipment'!$R$4:$R$503,(_calc!$E$634-500)))=0,"",INDEX('My equipment'!$R$4:$R$503,(_calc!$E$634-500))))=0,"","Claims contact: "&amp;IF(LEN(INDEX('My equipment'!$R$4:$R$503,(_calc!$E$634-500)))=0,"",INDEX('My equipment'!$R$4:$R$503,(_calc!$E$634-500)))&amp;". ")&amp;IF(LEN(IF(LEN(INDEX('My equipment'!$S$4:$S$503,(_calc!$E$634-500)))=0,"",INDEX('My equipment'!$S$4:$S$503,(_calc!$E$634-500))))=0,"","Claims email: "&amp;IF(LEN(INDEX('My equipment'!$S$4:$S$503,(_calc!$E$634-500)))=0,"",INDEX('My equipment'!$S$4:$S$503,(_calc!$E$634-500)))&amp;". ")&amp;IF(LEN(IF(LEN(INDEX('My equipment'!$U$4:$U$503,(_calc!$E$634-500)))=0,"",INDEX('My equipment'!$U$4:$U$503,(_calc!$E$634-500))))=0,"","Registered: "&amp;IF(LEN(INDEX('My equipment'!$U$4:$U$503,(_calc!$E$634-500)))=0,"",INDEX('My equipment'!$U$4:$U$503,(_calc!$E$634-500)))&amp;". ")&amp;IF(LEN(IF(LEN(INDEX('My equipment'!$V$4:$V$503,(_calc!$E$634-500)))=0,"",INDEX('My equipment'!$V$4:$V$503,(_calc!$E$634-500))))=0,"","Proof on file: "&amp;IF(LEN(INDEX('My equipment'!$V$4:$V$503,(_calc!$E$634-500)))=0,"",INDEX('My equipment'!$V$4:$V$503,(_calc!$E$634-500)))&amp;". ")&amp;IF(LEN(IF(LEN(INDEX('My equipment'!$W$4:$W$503,(_calc!$E$634-500)))=0,"",INDEX('My equipment'!$W$4:$W$503,(_calc!$E$634-500))))=0,"","Claim ref: "&amp;IF(LEN(INDEX('My equipment'!$W$4:$W$503,(_calc!$E$634-500)))=0,"",INDEX('My equipment'!$W$4:$W$503,(_calc!$E$634-500)))&amp;". ")&amp;IF(LEN(IF(LEN(INDEX('My equipment'!$Y$4:$Y$503,(_calc!$E$634-500)))=0,"",INDEX('My equipment'!$Y$4:$Y$503,(_calc!$E$634-500))))=0,"",IF(LEN(INDEX('My equipment'!$Y$4:$Y$503,(_calc!$E$634-500)))=0,"",INDEX('My equipment'!$Y$4:$Y$503,(_calc!$E$634-500)))))))</f>
        <v/>
      </c>
      <c r="G632" s="54">
        <f>IF(_calc!$E$634="","",IF(_calc!$E$634&lt;=500,"",IF(LEN(INDEX('My equipment'!$X$4:$X$503,(_calc!$E$634-500)))=0,"",INDEX('My equipment'!$X$4:$X$503,(_calc!$E$634-500)))))</f>
        <v/>
      </c>
      <c r="K632" s="54">
        <f>IF(_calc!$E$634="","",IF(_calc!$E$634&lt;=500,"",IF(LEN(INDEX('My equipment'!$T$4:$T$503,(_calc!$E$634-500)))=0,"",INDEX('My equipment'!$T$4:$T$503,(_calc!$E$634-500)))))</f>
        <v/>
      </c>
    </row>
    <row r="633">
      <c r="A633" s="54">
        <f>IF(_calc!$E$635="","",IF(_calc!$E$635&lt;=500,"Warranty – "&amp;IF(LEN(INDEX('Dealer pipeline'!$C$4:$C$503,_calc!$E$635))=0,"",INDEX('Dealer pipeline'!$C$4:$C$503,_calc!$E$635))&amp;" – "&amp;IF(LEN(INDEX('Dealer pipeline'!$D$4:$D$503,_calc!$E$635))=0,"",INDEX('Dealer pipeline'!$D$4:$D$503,_calc!$E$635))&amp;" – "&amp;IF(LEN(INDEX('Dealer pipeline'!$A$4:$A$503,_calc!$E$635))=0,"",INDEX('Dealer pipeline'!$A$4:$A$503,_calc!$E$635)),"Warranty – "&amp;IF(LEN(INDEX('My equipment'!$A$4:$A$503,(_calc!$E$635-500)))=0,"",INDEX('My equipment'!$A$4:$A$503,(_calc!$E$635-500)))&amp;" – "&amp;IF(LEN(INDEX('My equipment'!$D$4:$D$503,(_calc!$E$635-500)))=0,"",INDEX('My equipment'!$D$4:$D$503,(_calc!$E$635-500)))))</f>
        <v/>
      </c>
      <c r="B633" s="54">
        <f>IF(_calc!$E$635="","",IF(_calc!$E$635&lt;=500,IF(ISNUMBER(INDEX('Dealer pipeline'!$M$4:$M$503,_calc!$E$635)),TEXT(INDEX('Dealer pipeline'!$M$4:$M$503,_calc!$E$635),"yyyy-mm-dd"),""),IF(ISNUMBER(INDEX('My equipment'!$M$4:$M$503,(_calc!$E$635-500))),TEXT(INDEX('My equipment'!$M$4:$M$503,(_calc!$E$635-500)),"yyyy-mm-dd"),"")))</f>
        <v/>
      </c>
      <c r="C633" s="54">
        <f>IF(_calc!$E$635="","",IF(_calc!$E$635&lt;=500,"Warranty","Warranty"))</f>
        <v/>
      </c>
      <c r="D633" s="54">
        <f>IF(_calc!$E$635="","",IF(_calc!$E$635&lt;=500,IF(ISNUMBER(INDEX('Dealer pipeline'!$H$4:$H$503,_calc!$E$635)),TEXT(INDEX('Dealer pipeline'!$H$4:$H$503,_calc!$E$635),"yyyy-mm-dd"),""),IF(ISNUMBER(INDEX('My equipment'!$H$4:$H$503,(_calc!$E$635-500))),TEXT(INDEX('My equipment'!$H$4:$H$503,(_calc!$E$635-500)),"yyyy-mm-dd"),"")))</f>
        <v/>
      </c>
      <c r="F633" s="54">
        <f>IF(_calc!$E$635="","",IF(_calc!$E$635&lt;=500,TRIM(IF(LEN(IF(LEN(INDEX('Dealer pipeline'!$A$4:$A$503,_calc!$E$635))=0,"",INDEX('Dealer pipeline'!$A$4:$A$503,_calc!$E$635)))=0,"","Customer: "&amp;IF(LEN(INDEX('Dealer pipeline'!$A$4:$A$503,_calc!$E$635))=0,"",INDEX('Dealer pipeline'!$A$4:$A$503,_calc!$E$635))&amp;". ")&amp;IF(LEN(IF(LEN(INDEX('Dealer pipeline'!$B$4:$B$503,_calc!$E$635))=0,"",INDEX('Dealer pipeline'!$B$4:$B$503,_calc!$E$635)))=0,"","Contact: "&amp;IF(LEN(INDEX('Dealer pipeline'!$B$4:$B$503,_calc!$E$635))=0,"",INDEX('Dealer pipeline'!$B$4:$B$503,_calc!$E$635))&amp;". ")&amp;IF(LEN(IF(LEN(INDEX('Dealer pipeline'!$D$4:$D$503,_calc!$E$635))=0,"",INDEX('Dealer pipeline'!$D$4:$D$503,_calc!$E$635)))=0,"","Serial: "&amp;IF(LEN(INDEX('Dealer pipeline'!$D$4:$D$503,_calc!$E$635))=0,"",INDEX('Dealer pipeline'!$D$4:$D$503,_calc!$E$635))&amp;". ")&amp;IF(LEN(IF(ISNUMBER(INDEX('Dealer pipeline'!$J$4:$J$503,_calc!$E$635)),TEXT(INDEX('Dealer pipeline'!$J$4:$J$503,_calc!$E$635),"yyyy-mm-dd"),""))=0,"","Parts end: "&amp;IF(ISNUMBER(INDEX('Dealer pipeline'!$J$4:$J$503,_calc!$E$635)),TEXT(INDEX('Dealer pipeline'!$J$4:$J$503,_calc!$E$635),"yyyy-mm-dd"),"")&amp;". ")&amp;IF(LEN(IF(ISNUMBER(INDEX('Dealer pipeline'!$L$4:$L$503,_calc!$E$635)),TEXT(INDEX('Dealer pipeline'!$L$4:$L$503,_calc!$E$635),"yyyy-mm-dd"),""))=0,"","Labor end: "&amp;IF(ISNUMBER(INDEX('Dealer pipeline'!$L$4:$L$503,_calc!$E$635)),TEXT(INDEX('Dealer pipeline'!$L$4:$L$503,_calc!$E$635),"yyyy-mm-dd"),"")&amp;". ")&amp;IF(LEN(IF(LEN(INDEX('Dealer pipeline'!$Q$4:$Q$503,_calc!$E$635))=0,"",INDEX('Dealer pipeline'!$Q$4:$Q$503,_calc!$E$635)))=0,"","Status: "&amp;IF(LEN(INDEX('Dealer pipeline'!$Q$4:$Q$503,_calc!$E$635))=0,"",INDEX('Dealer pipeline'!$Q$4:$Q$503,_calc!$E$635))&amp;". ")&amp;IF(LEN(IF(LEN(INDEX('Dealer pipeline'!$P$4:$P$503,_calc!$E$635))=0,"",INDEX('Dealer pipeline'!$P$4:$P$503,_calc!$E$635)))=0,"","Last touch: "&amp;IF(LEN(INDEX('Dealer pipeline'!$P$4:$P$503,_calc!$E$635))=0,"",INDEX('Dealer pipeline'!$P$4:$P$503,_calc!$E$635))&amp;". ")&amp;IF(LEN(IF(LEN(INDEX('Dealer pipeline'!$R$4:$R$503,_calc!$E$635))=0,"",INDEX('Dealer pipeline'!$R$4:$R$503,_calc!$E$635)))=0,"","Owner: "&amp;IF(LEN(INDEX('Dealer pipeline'!$R$4:$R$503,_calc!$E$635))=0,"",INDEX('Dealer pipeline'!$R$4:$R$503,_calc!$E$635))&amp;". ")&amp;IF(LEN(IF(LEN(INDEX('Dealer pipeline'!$S$4:$S$503,_calc!$E$635))=0,"",INDEX('Dealer pipeline'!$S$4:$S$503,_calc!$E$635)))=0,"","Backup: "&amp;IF(LEN(INDEX('Dealer pipeline'!$S$4:$S$503,_calc!$E$635))=0,"",INDEX('Dealer pipeline'!$S$4:$S$503,_calc!$E$635))&amp;". ")&amp;IF(LEN(IF(LEN(INDEX('Dealer pipeline'!$T$4:$T$503,_calc!$E$635))=0,"",INDEX('Dealer pipeline'!$T$4:$T$503,_calc!$E$635)))=0,"",IF(LEN(INDEX('Dealer pipeline'!$T$4:$T$503,_calc!$E$635))=0,"",INDEX('Dealer pipeline'!$T$4:$T$503,_calc!$E$635)))),TRIM(IF(LEN(IF(LEN(INDEX('My equipment'!$C$4:$C$503,(_calc!$E$635-500)))=0,"",INDEX('My equipment'!$C$4:$C$503,(_calc!$E$635-500))))=0,"","Model: "&amp;IF(LEN(INDEX('My equipment'!$C$4:$C$503,(_calc!$E$635-500)))=0,"",INDEX('My equipment'!$C$4:$C$503,(_calc!$E$635-500)))&amp;". ")&amp;IF(LEN(IF(LEN(INDEX('My equipment'!$D$4:$D$503,(_calc!$E$635-500)))=0,"",INDEX('My equipment'!$D$4:$D$503,(_calc!$E$635-500))))=0,"","Serial: "&amp;IF(LEN(INDEX('My equipment'!$D$4:$D$503,(_calc!$E$635-500)))=0,"",INDEX('My equipment'!$D$4:$D$503,(_calc!$E$635-500)))&amp;". ")&amp;IF(LEN(IF(ISNUMBER(INDEX('My equipment'!$J$4:$J$503,(_calc!$E$635-500))),TEXT(INDEX('My equipment'!$J$4:$J$503,(_calc!$E$635-500)),"yyyy-mm-dd"),""))=0,"","Parts end: "&amp;IF(ISNUMBER(INDEX('My equipment'!$J$4:$J$503,(_calc!$E$635-500))),TEXT(INDEX('My equipment'!$J$4:$J$503,(_calc!$E$635-500)),"yyyy-mm-dd"),"")&amp;". ")&amp;IF(LEN(IF(ISNUMBER(INDEX('My equipment'!$L$4:$L$503,(_calc!$E$635-500))),TEXT(INDEX('My equipment'!$L$4:$L$503,(_calc!$E$635-500)),"yyyy-mm-dd"),""))=0,"","Labor end: "&amp;IF(ISNUMBER(INDEX('My equipment'!$L$4:$L$503,(_calc!$E$635-500))),TEXT(INDEX('My equipment'!$L$4:$L$503,(_calc!$E$635-500)),"yyyy-mm-dd"),"")&amp;". ")&amp;IF(LEN(IF(ISNUMBER(INDEX('My equipment'!$P$4:$P$503,(_calc!$E$635-500))),TEXT(INDEX('My equipment'!$P$4:$P$503,(_calc!$E$635-500)),"yyyy-mm-dd"),""))=0,"","Check by: "&amp;IF(ISNUMBER(INDEX('My equipment'!$P$4:$P$503,(_calc!$E$635-500))),TEXT(INDEX('My equipment'!$P$4:$P$503,(_calc!$E$635-500)),"yyyy-mm-dd"),"")&amp;". ")&amp;IF(LEN(IF(LEN(INDEX('My equipment'!$Q$4:$Q$503,(_calc!$E$635-500)))=0,"",INDEX('My equipment'!$Q$4:$Q$503,(_calc!$E$635-500))))=0,"","Claim status: "&amp;IF(LEN(INDEX('My equipment'!$Q$4:$Q$503,(_calc!$E$635-500)))=0,"",INDEX('My equipment'!$Q$4:$Q$503,(_calc!$E$635-500)))&amp;". ")&amp;IF(LEN(IF(LEN(INDEX('My equipment'!$R$4:$R$503,(_calc!$E$635-500)))=0,"",INDEX('My equipment'!$R$4:$R$503,(_calc!$E$635-500))))=0,"","Claims contact: "&amp;IF(LEN(INDEX('My equipment'!$R$4:$R$503,(_calc!$E$635-500)))=0,"",INDEX('My equipment'!$R$4:$R$503,(_calc!$E$635-500)))&amp;". ")&amp;IF(LEN(IF(LEN(INDEX('My equipment'!$S$4:$S$503,(_calc!$E$635-500)))=0,"",INDEX('My equipment'!$S$4:$S$503,(_calc!$E$635-500))))=0,"","Claims email: "&amp;IF(LEN(INDEX('My equipment'!$S$4:$S$503,(_calc!$E$635-500)))=0,"",INDEX('My equipment'!$S$4:$S$503,(_calc!$E$635-500)))&amp;". ")&amp;IF(LEN(IF(LEN(INDEX('My equipment'!$U$4:$U$503,(_calc!$E$635-500)))=0,"",INDEX('My equipment'!$U$4:$U$503,(_calc!$E$635-500))))=0,"","Registered: "&amp;IF(LEN(INDEX('My equipment'!$U$4:$U$503,(_calc!$E$635-500)))=0,"",INDEX('My equipment'!$U$4:$U$503,(_calc!$E$635-500)))&amp;". ")&amp;IF(LEN(IF(LEN(INDEX('My equipment'!$V$4:$V$503,(_calc!$E$635-500)))=0,"",INDEX('My equipment'!$V$4:$V$503,(_calc!$E$635-500))))=0,"","Proof on file: "&amp;IF(LEN(INDEX('My equipment'!$V$4:$V$503,(_calc!$E$635-500)))=0,"",INDEX('My equipment'!$V$4:$V$503,(_calc!$E$635-500)))&amp;". ")&amp;IF(LEN(IF(LEN(INDEX('My equipment'!$W$4:$W$503,(_calc!$E$635-500)))=0,"",INDEX('My equipment'!$W$4:$W$503,(_calc!$E$635-500))))=0,"","Claim ref: "&amp;IF(LEN(INDEX('My equipment'!$W$4:$W$503,(_calc!$E$635-500)))=0,"",INDEX('My equipment'!$W$4:$W$503,(_calc!$E$635-500)))&amp;". ")&amp;IF(LEN(IF(LEN(INDEX('My equipment'!$Y$4:$Y$503,(_calc!$E$635-500)))=0,"",INDEX('My equipment'!$Y$4:$Y$503,(_calc!$E$635-500))))=0,"",IF(LEN(INDEX('My equipment'!$Y$4:$Y$503,(_calc!$E$635-500)))=0,"",INDEX('My equipment'!$Y$4:$Y$503,(_calc!$E$635-500)))))))</f>
        <v/>
      </c>
      <c r="G633" s="54">
        <f>IF(_calc!$E$635="","",IF(_calc!$E$635&lt;=500,"",IF(LEN(INDEX('My equipment'!$X$4:$X$503,(_calc!$E$635-500)))=0,"",INDEX('My equipment'!$X$4:$X$503,(_calc!$E$635-500)))))</f>
        <v/>
      </c>
      <c r="K633" s="54">
        <f>IF(_calc!$E$635="","",IF(_calc!$E$635&lt;=500,"",IF(LEN(INDEX('My equipment'!$T$4:$T$503,(_calc!$E$635-500)))=0,"",INDEX('My equipment'!$T$4:$T$503,(_calc!$E$635-500)))))</f>
        <v/>
      </c>
    </row>
    <row r="634">
      <c r="A634" s="54">
        <f>IF(_calc!$E$636="","",IF(_calc!$E$636&lt;=500,"Warranty – "&amp;IF(LEN(INDEX('Dealer pipeline'!$C$4:$C$503,_calc!$E$636))=0,"",INDEX('Dealer pipeline'!$C$4:$C$503,_calc!$E$636))&amp;" – "&amp;IF(LEN(INDEX('Dealer pipeline'!$D$4:$D$503,_calc!$E$636))=0,"",INDEX('Dealer pipeline'!$D$4:$D$503,_calc!$E$636))&amp;" – "&amp;IF(LEN(INDEX('Dealer pipeline'!$A$4:$A$503,_calc!$E$636))=0,"",INDEX('Dealer pipeline'!$A$4:$A$503,_calc!$E$636)),"Warranty – "&amp;IF(LEN(INDEX('My equipment'!$A$4:$A$503,(_calc!$E$636-500)))=0,"",INDEX('My equipment'!$A$4:$A$503,(_calc!$E$636-500)))&amp;" – "&amp;IF(LEN(INDEX('My equipment'!$D$4:$D$503,(_calc!$E$636-500)))=0,"",INDEX('My equipment'!$D$4:$D$503,(_calc!$E$636-500)))))</f>
        <v/>
      </c>
      <c r="B634" s="54">
        <f>IF(_calc!$E$636="","",IF(_calc!$E$636&lt;=500,IF(ISNUMBER(INDEX('Dealer pipeline'!$M$4:$M$503,_calc!$E$636)),TEXT(INDEX('Dealer pipeline'!$M$4:$M$503,_calc!$E$636),"yyyy-mm-dd"),""),IF(ISNUMBER(INDEX('My equipment'!$M$4:$M$503,(_calc!$E$636-500))),TEXT(INDEX('My equipment'!$M$4:$M$503,(_calc!$E$636-500)),"yyyy-mm-dd"),"")))</f>
        <v/>
      </c>
      <c r="C634" s="54">
        <f>IF(_calc!$E$636="","",IF(_calc!$E$636&lt;=500,"Warranty","Warranty"))</f>
        <v/>
      </c>
      <c r="D634" s="54">
        <f>IF(_calc!$E$636="","",IF(_calc!$E$636&lt;=500,IF(ISNUMBER(INDEX('Dealer pipeline'!$H$4:$H$503,_calc!$E$636)),TEXT(INDEX('Dealer pipeline'!$H$4:$H$503,_calc!$E$636),"yyyy-mm-dd"),""),IF(ISNUMBER(INDEX('My equipment'!$H$4:$H$503,(_calc!$E$636-500))),TEXT(INDEX('My equipment'!$H$4:$H$503,(_calc!$E$636-500)),"yyyy-mm-dd"),"")))</f>
        <v/>
      </c>
      <c r="F634" s="54">
        <f>IF(_calc!$E$636="","",IF(_calc!$E$636&lt;=500,TRIM(IF(LEN(IF(LEN(INDEX('Dealer pipeline'!$A$4:$A$503,_calc!$E$636))=0,"",INDEX('Dealer pipeline'!$A$4:$A$503,_calc!$E$636)))=0,"","Customer: "&amp;IF(LEN(INDEX('Dealer pipeline'!$A$4:$A$503,_calc!$E$636))=0,"",INDEX('Dealer pipeline'!$A$4:$A$503,_calc!$E$636))&amp;". ")&amp;IF(LEN(IF(LEN(INDEX('Dealer pipeline'!$B$4:$B$503,_calc!$E$636))=0,"",INDEX('Dealer pipeline'!$B$4:$B$503,_calc!$E$636)))=0,"","Contact: "&amp;IF(LEN(INDEX('Dealer pipeline'!$B$4:$B$503,_calc!$E$636))=0,"",INDEX('Dealer pipeline'!$B$4:$B$503,_calc!$E$636))&amp;". ")&amp;IF(LEN(IF(LEN(INDEX('Dealer pipeline'!$D$4:$D$503,_calc!$E$636))=0,"",INDEX('Dealer pipeline'!$D$4:$D$503,_calc!$E$636)))=0,"","Serial: "&amp;IF(LEN(INDEX('Dealer pipeline'!$D$4:$D$503,_calc!$E$636))=0,"",INDEX('Dealer pipeline'!$D$4:$D$503,_calc!$E$636))&amp;". ")&amp;IF(LEN(IF(ISNUMBER(INDEX('Dealer pipeline'!$J$4:$J$503,_calc!$E$636)),TEXT(INDEX('Dealer pipeline'!$J$4:$J$503,_calc!$E$636),"yyyy-mm-dd"),""))=0,"","Parts end: "&amp;IF(ISNUMBER(INDEX('Dealer pipeline'!$J$4:$J$503,_calc!$E$636)),TEXT(INDEX('Dealer pipeline'!$J$4:$J$503,_calc!$E$636),"yyyy-mm-dd"),"")&amp;". ")&amp;IF(LEN(IF(ISNUMBER(INDEX('Dealer pipeline'!$L$4:$L$503,_calc!$E$636)),TEXT(INDEX('Dealer pipeline'!$L$4:$L$503,_calc!$E$636),"yyyy-mm-dd"),""))=0,"","Labor end: "&amp;IF(ISNUMBER(INDEX('Dealer pipeline'!$L$4:$L$503,_calc!$E$636)),TEXT(INDEX('Dealer pipeline'!$L$4:$L$503,_calc!$E$636),"yyyy-mm-dd"),"")&amp;". ")&amp;IF(LEN(IF(LEN(INDEX('Dealer pipeline'!$Q$4:$Q$503,_calc!$E$636))=0,"",INDEX('Dealer pipeline'!$Q$4:$Q$503,_calc!$E$636)))=0,"","Status: "&amp;IF(LEN(INDEX('Dealer pipeline'!$Q$4:$Q$503,_calc!$E$636))=0,"",INDEX('Dealer pipeline'!$Q$4:$Q$503,_calc!$E$636))&amp;". ")&amp;IF(LEN(IF(LEN(INDEX('Dealer pipeline'!$P$4:$P$503,_calc!$E$636))=0,"",INDEX('Dealer pipeline'!$P$4:$P$503,_calc!$E$636)))=0,"","Last touch: "&amp;IF(LEN(INDEX('Dealer pipeline'!$P$4:$P$503,_calc!$E$636))=0,"",INDEX('Dealer pipeline'!$P$4:$P$503,_calc!$E$636))&amp;". ")&amp;IF(LEN(IF(LEN(INDEX('Dealer pipeline'!$R$4:$R$503,_calc!$E$636))=0,"",INDEX('Dealer pipeline'!$R$4:$R$503,_calc!$E$636)))=0,"","Owner: "&amp;IF(LEN(INDEX('Dealer pipeline'!$R$4:$R$503,_calc!$E$636))=0,"",INDEX('Dealer pipeline'!$R$4:$R$503,_calc!$E$636))&amp;". ")&amp;IF(LEN(IF(LEN(INDEX('Dealer pipeline'!$S$4:$S$503,_calc!$E$636))=0,"",INDEX('Dealer pipeline'!$S$4:$S$503,_calc!$E$636)))=0,"","Backup: "&amp;IF(LEN(INDEX('Dealer pipeline'!$S$4:$S$503,_calc!$E$636))=0,"",INDEX('Dealer pipeline'!$S$4:$S$503,_calc!$E$636))&amp;". ")&amp;IF(LEN(IF(LEN(INDEX('Dealer pipeline'!$T$4:$T$503,_calc!$E$636))=0,"",INDEX('Dealer pipeline'!$T$4:$T$503,_calc!$E$636)))=0,"",IF(LEN(INDEX('Dealer pipeline'!$T$4:$T$503,_calc!$E$636))=0,"",INDEX('Dealer pipeline'!$T$4:$T$503,_calc!$E$636)))),TRIM(IF(LEN(IF(LEN(INDEX('My equipment'!$C$4:$C$503,(_calc!$E$636-500)))=0,"",INDEX('My equipment'!$C$4:$C$503,(_calc!$E$636-500))))=0,"","Model: "&amp;IF(LEN(INDEX('My equipment'!$C$4:$C$503,(_calc!$E$636-500)))=0,"",INDEX('My equipment'!$C$4:$C$503,(_calc!$E$636-500)))&amp;". ")&amp;IF(LEN(IF(LEN(INDEX('My equipment'!$D$4:$D$503,(_calc!$E$636-500)))=0,"",INDEX('My equipment'!$D$4:$D$503,(_calc!$E$636-500))))=0,"","Serial: "&amp;IF(LEN(INDEX('My equipment'!$D$4:$D$503,(_calc!$E$636-500)))=0,"",INDEX('My equipment'!$D$4:$D$503,(_calc!$E$636-500)))&amp;". ")&amp;IF(LEN(IF(ISNUMBER(INDEX('My equipment'!$J$4:$J$503,(_calc!$E$636-500))),TEXT(INDEX('My equipment'!$J$4:$J$503,(_calc!$E$636-500)),"yyyy-mm-dd"),""))=0,"","Parts end: "&amp;IF(ISNUMBER(INDEX('My equipment'!$J$4:$J$503,(_calc!$E$636-500))),TEXT(INDEX('My equipment'!$J$4:$J$503,(_calc!$E$636-500)),"yyyy-mm-dd"),"")&amp;". ")&amp;IF(LEN(IF(ISNUMBER(INDEX('My equipment'!$L$4:$L$503,(_calc!$E$636-500))),TEXT(INDEX('My equipment'!$L$4:$L$503,(_calc!$E$636-500)),"yyyy-mm-dd"),""))=0,"","Labor end: "&amp;IF(ISNUMBER(INDEX('My equipment'!$L$4:$L$503,(_calc!$E$636-500))),TEXT(INDEX('My equipment'!$L$4:$L$503,(_calc!$E$636-500)),"yyyy-mm-dd"),"")&amp;". ")&amp;IF(LEN(IF(ISNUMBER(INDEX('My equipment'!$P$4:$P$503,(_calc!$E$636-500))),TEXT(INDEX('My equipment'!$P$4:$P$503,(_calc!$E$636-500)),"yyyy-mm-dd"),""))=0,"","Check by: "&amp;IF(ISNUMBER(INDEX('My equipment'!$P$4:$P$503,(_calc!$E$636-500))),TEXT(INDEX('My equipment'!$P$4:$P$503,(_calc!$E$636-500)),"yyyy-mm-dd"),"")&amp;". ")&amp;IF(LEN(IF(LEN(INDEX('My equipment'!$Q$4:$Q$503,(_calc!$E$636-500)))=0,"",INDEX('My equipment'!$Q$4:$Q$503,(_calc!$E$636-500))))=0,"","Claim status: "&amp;IF(LEN(INDEX('My equipment'!$Q$4:$Q$503,(_calc!$E$636-500)))=0,"",INDEX('My equipment'!$Q$4:$Q$503,(_calc!$E$636-500)))&amp;". ")&amp;IF(LEN(IF(LEN(INDEX('My equipment'!$R$4:$R$503,(_calc!$E$636-500)))=0,"",INDEX('My equipment'!$R$4:$R$503,(_calc!$E$636-500))))=0,"","Claims contact: "&amp;IF(LEN(INDEX('My equipment'!$R$4:$R$503,(_calc!$E$636-500)))=0,"",INDEX('My equipment'!$R$4:$R$503,(_calc!$E$636-500)))&amp;". ")&amp;IF(LEN(IF(LEN(INDEX('My equipment'!$S$4:$S$503,(_calc!$E$636-500)))=0,"",INDEX('My equipment'!$S$4:$S$503,(_calc!$E$636-500))))=0,"","Claims email: "&amp;IF(LEN(INDEX('My equipment'!$S$4:$S$503,(_calc!$E$636-500)))=0,"",INDEX('My equipment'!$S$4:$S$503,(_calc!$E$636-500)))&amp;". ")&amp;IF(LEN(IF(LEN(INDEX('My equipment'!$U$4:$U$503,(_calc!$E$636-500)))=0,"",INDEX('My equipment'!$U$4:$U$503,(_calc!$E$636-500))))=0,"","Registered: "&amp;IF(LEN(INDEX('My equipment'!$U$4:$U$503,(_calc!$E$636-500)))=0,"",INDEX('My equipment'!$U$4:$U$503,(_calc!$E$636-500)))&amp;". ")&amp;IF(LEN(IF(LEN(INDEX('My equipment'!$V$4:$V$503,(_calc!$E$636-500)))=0,"",INDEX('My equipment'!$V$4:$V$503,(_calc!$E$636-500))))=0,"","Proof on file: "&amp;IF(LEN(INDEX('My equipment'!$V$4:$V$503,(_calc!$E$636-500)))=0,"",INDEX('My equipment'!$V$4:$V$503,(_calc!$E$636-500)))&amp;". ")&amp;IF(LEN(IF(LEN(INDEX('My equipment'!$W$4:$W$503,(_calc!$E$636-500)))=0,"",INDEX('My equipment'!$W$4:$W$503,(_calc!$E$636-500))))=0,"","Claim ref: "&amp;IF(LEN(INDEX('My equipment'!$W$4:$W$503,(_calc!$E$636-500)))=0,"",INDEX('My equipment'!$W$4:$W$503,(_calc!$E$636-500)))&amp;". ")&amp;IF(LEN(IF(LEN(INDEX('My equipment'!$Y$4:$Y$503,(_calc!$E$636-500)))=0,"",INDEX('My equipment'!$Y$4:$Y$503,(_calc!$E$636-500))))=0,"",IF(LEN(INDEX('My equipment'!$Y$4:$Y$503,(_calc!$E$636-500)))=0,"",INDEX('My equipment'!$Y$4:$Y$503,(_calc!$E$636-500)))))))</f>
        <v/>
      </c>
      <c r="G634" s="54">
        <f>IF(_calc!$E$636="","",IF(_calc!$E$636&lt;=500,"",IF(LEN(INDEX('My equipment'!$X$4:$X$503,(_calc!$E$636-500)))=0,"",INDEX('My equipment'!$X$4:$X$503,(_calc!$E$636-500)))))</f>
        <v/>
      </c>
      <c r="K634" s="54">
        <f>IF(_calc!$E$636="","",IF(_calc!$E$636&lt;=500,"",IF(LEN(INDEX('My equipment'!$T$4:$T$503,(_calc!$E$636-500)))=0,"",INDEX('My equipment'!$T$4:$T$503,(_calc!$E$636-500)))))</f>
        <v/>
      </c>
    </row>
    <row r="635">
      <c r="A635" s="54">
        <f>IF(_calc!$E$637="","",IF(_calc!$E$637&lt;=500,"Warranty – "&amp;IF(LEN(INDEX('Dealer pipeline'!$C$4:$C$503,_calc!$E$637))=0,"",INDEX('Dealer pipeline'!$C$4:$C$503,_calc!$E$637))&amp;" – "&amp;IF(LEN(INDEX('Dealer pipeline'!$D$4:$D$503,_calc!$E$637))=0,"",INDEX('Dealer pipeline'!$D$4:$D$503,_calc!$E$637))&amp;" – "&amp;IF(LEN(INDEX('Dealer pipeline'!$A$4:$A$503,_calc!$E$637))=0,"",INDEX('Dealer pipeline'!$A$4:$A$503,_calc!$E$637)),"Warranty – "&amp;IF(LEN(INDEX('My equipment'!$A$4:$A$503,(_calc!$E$637-500)))=0,"",INDEX('My equipment'!$A$4:$A$503,(_calc!$E$637-500)))&amp;" – "&amp;IF(LEN(INDEX('My equipment'!$D$4:$D$503,(_calc!$E$637-500)))=0,"",INDEX('My equipment'!$D$4:$D$503,(_calc!$E$637-500)))))</f>
        <v/>
      </c>
      <c r="B635" s="54">
        <f>IF(_calc!$E$637="","",IF(_calc!$E$637&lt;=500,IF(ISNUMBER(INDEX('Dealer pipeline'!$M$4:$M$503,_calc!$E$637)),TEXT(INDEX('Dealer pipeline'!$M$4:$M$503,_calc!$E$637),"yyyy-mm-dd"),""),IF(ISNUMBER(INDEX('My equipment'!$M$4:$M$503,(_calc!$E$637-500))),TEXT(INDEX('My equipment'!$M$4:$M$503,(_calc!$E$637-500)),"yyyy-mm-dd"),"")))</f>
        <v/>
      </c>
      <c r="C635" s="54">
        <f>IF(_calc!$E$637="","",IF(_calc!$E$637&lt;=500,"Warranty","Warranty"))</f>
        <v/>
      </c>
      <c r="D635" s="54">
        <f>IF(_calc!$E$637="","",IF(_calc!$E$637&lt;=500,IF(ISNUMBER(INDEX('Dealer pipeline'!$H$4:$H$503,_calc!$E$637)),TEXT(INDEX('Dealer pipeline'!$H$4:$H$503,_calc!$E$637),"yyyy-mm-dd"),""),IF(ISNUMBER(INDEX('My equipment'!$H$4:$H$503,(_calc!$E$637-500))),TEXT(INDEX('My equipment'!$H$4:$H$503,(_calc!$E$637-500)),"yyyy-mm-dd"),"")))</f>
        <v/>
      </c>
      <c r="F635" s="54">
        <f>IF(_calc!$E$637="","",IF(_calc!$E$637&lt;=500,TRIM(IF(LEN(IF(LEN(INDEX('Dealer pipeline'!$A$4:$A$503,_calc!$E$637))=0,"",INDEX('Dealer pipeline'!$A$4:$A$503,_calc!$E$637)))=0,"","Customer: "&amp;IF(LEN(INDEX('Dealer pipeline'!$A$4:$A$503,_calc!$E$637))=0,"",INDEX('Dealer pipeline'!$A$4:$A$503,_calc!$E$637))&amp;". ")&amp;IF(LEN(IF(LEN(INDEX('Dealer pipeline'!$B$4:$B$503,_calc!$E$637))=0,"",INDEX('Dealer pipeline'!$B$4:$B$503,_calc!$E$637)))=0,"","Contact: "&amp;IF(LEN(INDEX('Dealer pipeline'!$B$4:$B$503,_calc!$E$637))=0,"",INDEX('Dealer pipeline'!$B$4:$B$503,_calc!$E$637))&amp;". ")&amp;IF(LEN(IF(LEN(INDEX('Dealer pipeline'!$D$4:$D$503,_calc!$E$637))=0,"",INDEX('Dealer pipeline'!$D$4:$D$503,_calc!$E$637)))=0,"","Serial: "&amp;IF(LEN(INDEX('Dealer pipeline'!$D$4:$D$503,_calc!$E$637))=0,"",INDEX('Dealer pipeline'!$D$4:$D$503,_calc!$E$637))&amp;". ")&amp;IF(LEN(IF(ISNUMBER(INDEX('Dealer pipeline'!$J$4:$J$503,_calc!$E$637)),TEXT(INDEX('Dealer pipeline'!$J$4:$J$503,_calc!$E$637),"yyyy-mm-dd"),""))=0,"","Parts end: "&amp;IF(ISNUMBER(INDEX('Dealer pipeline'!$J$4:$J$503,_calc!$E$637)),TEXT(INDEX('Dealer pipeline'!$J$4:$J$503,_calc!$E$637),"yyyy-mm-dd"),"")&amp;". ")&amp;IF(LEN(IF(ISNUMBER(INDEX('Dealer pipeline'!$L$4:$L$503,_calc!$E$637)),TEXT(INDEX('Dealer pipeline'!$L$4:$L$503,_calc!$E$637),"yyyy-mm-dd"),""))=0,"","Labor end: "&amp;IF(ISNUMBER(INDEX('Dealer pipeline'!$L$4:$L$503,_calc!$E$637)),TEXT(INDEX('Dealer pipeline'!$L$4:$L$503,_calc!$E$637),"yyyy-mm-dd"),"")&amp;". ")&amp;IF(LEN(IF(LEN(INDEX('Dealer pipeline'!$Q$4:$Q$503,_calc!$E$637))=0,"",INDEX('Dealer pipeline'!$Q$4:$Q$503,_calc!$E$637)))=0,"","Status: "&amp;IF(LEN(INDEX('Dealer pipeline'!$Q$4:$Q$503,_calc!$E$637))=0,"",INDEX('Dealer pipeline'!$Q$4:$Q$503,_calc!$E$637))&amp;". ")&amp;IF(LEN(IF(LEN(INDEX('Dealer pipeline'!$P$4:$P$503,_calc!$E$637))=0,"",INDEX('Dealer pipeline'!$P$4:$P$503,_calc!$E$637)))=0,"","Last touch: "&amp;IF(LEN(INDEX('Dealer pipeline'!$P$4:$P$503,_calc!$E$637))=0,"",INDEX('Dealer pipeline'!$P$4:$P$503,_calc!$E$637))&amp;". ")&amp;IF(LEN(IF(LEN(INDEX('Dealer pipeline'!$R$4:$R$503,_calc!$E$637))=0,"",INDEX('Dealer pipeline'!$R$4:$R$503,_calc!$E$637)))=0,"","Owner: "&amp;IF(LEN(INDEX('Dealer pipeline'!$R$4:$R$503,_calc!$E$637))=0,"",INDEX('Dealer pipeline'!$R$4:$R$503,_calc!$E$637))&amp;". ")&amp;IF(LEN(IF(LEN(INDEX('Dealer pipeline'!$S$4:$S$503,_calc!$E$637))=0,"",INDEX('Dealer pipeline'!$S$4:$S$503,_calc!$E$637)))=0,"","Backup: "&amp;IF(LEN(INDEX('Dealer pipeline'!$S$4:$S$503,_calc!$E$637))=0,"",INDEX('Dealer pipeline'!$S$4:$S$503,_calc!$E$637))&amp;". ")&amp;IF(LEN(IF(LEN(INDEX('Dealer pipeline'!$T$4:$T$503,_calc!$E$637))=0,"",INDEX('Dealer pipeline'!$T$4:$T$503,_calc!$E$637)))=0,"",IF(LEN(INDEX('Dealer pipeline'!$T$4:$T$503,_calc!$E$637))=0,"",INDEX('Dealer pipeline'!$T$4:$T$503,_calc!$E$637)))),TRIM(IF(LEN(IF(LEN(INDEX('My equipment'!$C$4:$C$503,(_calc!$E$637-500)))=0,"",INDEX('My equipment'!$C$4:$C$503,(_calc!$E$637-500))))=0,"","Model: "&amp;IF(LEN(INDEX('My equipment'!$C$4:$C$503,(_calc!$E$637-500)))=0,"",INDEX('My equipment'!$C$4:$C$503,(_calc!$E$637-500)))&amp;". ")&amp;IF(LEN(IF(LEN(INDEX('My equipment'!$D$4:$D$503,(_calc!$E$637-500)))=0,"",INDEX('My equipment'!$D$4:$D$503,(_calc!$E$637-500))))=0,"","Serial: "&amp;IF(LEN(INDEX('My equipment'!$D$4:$D$503,(_calc!$E$637-500)))=0,"",INDEX('My equipment'!$D$4:$D$503,(_calc!$E$637-500)))&amp;". ")&amp;IF(LEN(IF(ISNUMBER(INDEX('My equipment'!$J$4:$J$503,(_calc!$E$637-500))),TEXT(INDEX('My equipment'!$J$4:$J$503,(_calc!$E$637-500)),"yyyy-mm-dd"),""))=0,"","Parts end: "&amp;IF(ISNUMBER(INDEX('My equipment'!$J$4:$J$503,(_calc!$E$637-500))),TEXT(INDEX('My equipment'!$J$4:$J$503,(_calc!$E$637-500)),"yyyy-mm-dd"),"")&amp;". ")&amp;IF(LEN(IF(ISNUMBER(INDEX('My equipment'!$L$4:$L$503,(_calc!$E$637-500))),TEXT(INDEX('My equipment'!$L$4:$L$503,(_calc!$E$637-500)),"yyyy-mm-dd"),""))=0,"","Labor end: "&amp;IF(ISNUMBER(INDEX('My equipment'!$L$4:$L$503,(_calc!$E$637-500))),TEXT(INDEX('My equipment'!$L$4:$L$503,(_calc!$E$637-500)),"yyyy-mm-dd"),"")&amp;". ")&amp;IF(LEN(IF(ISNUMBER(INDEX('My equipment'!$P$4:$P$503,(_calc!$E$637-500))),TEXT(INDEX('My equipment'!$P$4:$P$503,(_calc!$E$637-500)),"yyyy-mm-dd"),""))=0,"","Check by: "&amp;IF(ISNUMBER(INDEX('My equipment'!$P$4:$P$503,(_calc!$E$637-500))),TEXT(INDEX('My equipment'!$P$4:$P$503,(_calc!$E$637-500)),"yyyy-mm-dd"),"")&amp;". ")&amp;IF(LEN(IF(LEN(INDEX('My equipment'!$Q$4:$Q$503,(_calc!$E$637-500)))=0,"",INDEX('My equipment'!$Q$4:$Q$503,(_calc!$E$637-500))))=0,"","Claim status: "&amp;IF(LEN(INDEX('My equipment'!$Q$4:$Q$503,(_calc!$E$637-500)))=0,"",INDEX('My equipment'!$Q$4:$Q$503,(_calc!$E$637-500)))&amp;". ")&amp;IF(LEN(IF(LEN(INDEX('My equipment'!$R$4:$R$503,(_calc!$E$637-500)))=0,"",INDEX('My equipment'!$R$4:$R$503,(_calc!$E$637-500))))=0,"","Claims contact: "&amp;IF(LEN(INDEX('My equipment'!$R$4:$R$503,(_calc!$E$637-500)))=0,"",INDEX('My equipment'!$R$4:$R$503,(_calc!$E$637-500)))&amp;". ")&amp;IF(LEN(IF(LEN(INDEX('My equipment'!$S$4:$S$503,(_calc!$E$637-500)))=0,"",INDEX('My equipment'!$S$4:$S$503,(_calc!$E$637-500))))=0,"","Claims email: "&amp;IF(LEN(INDEX('My equipment'!$S$4:$S$503,(_calc!$E$637-500)))=0,"",INDEX('My equipment'!$S$4:$S$503,(_calc!$E$637-500)))&amp;". ")&amp;IF(LEN(IF(LEN(INDEX('My equipment'!$U$4:$U$503,(_calc!$E$637-500)))=0,"",INDEX('My equipment'!$U$4:$U$503,(_calc!$E$637-500))))=0,"","Registered: "&amp;IF(LEN(INDEX('My equipment'!$U$4:$U$503,(_calc!$E$637-500)))=0,"",INDEX('My equipment'!$U$4:$U$503,(_calc!$E$637-500)))&amp;". ")&amp;IF(LEN(IF(LEN(INDEX('My equipment'!$V$4:$V$503,(_calc!$E$637-500)))=0,"",INDEX('My equipment'!$V$4:$V$503,(_calc!$E$637-500))))=0,"","Proof on file: "&amp;IF(LEN(INDEX('My equipment'!$V$4:$V$503,(_calc!$E$637-500)))=0,"",INDEX('My equipment'!$V$4:$V$503,(_calc!$E$637-500)))&amp;". ")&amp;IF(LEN(IF(LEN(INDEX('My equipment'!$W$4:$W$503,(_calc!$E$637-500)))=0,"",INDEX('My equipment'!$W$4:$W$503,(_calc!$E$637-500))))=0,"","Claim ref: "&amp;IF(LEN(INDEX('My equipment'!$W$4:$W$503,(_calc!$E$637-500)))=0,"",INDEX('My equipment'!$W$4:$W$503,(_calc!$E$637-500)))&amp;". ")&amp;IF(LEN(IF(LEN(INDEX('My equipment'!$Y$4:$Y$503,(_calc!$E$637-500)))=0,"",INDEX('My equipment'!$Y$4:$Y$503,(_calc!$E$637-500))))=0,"",IF(LEN(INDEX('My equipment'!$Y$4:$Y$503,(_calc!$E$637-500)))=0,"",INDEX('My equipment'!$Y$4:$Y$503,(_calc!$E$637-500)))))))</f>
        <v/>
      </c>
      <c r="G635" s="54">
        <f>IF(_calc!$E$637="","",IF(_calc!$E$637&lt;=500,"",IF(LEN(INDEX('My equipment'!$X$4:$X$503,(_calc!$E$637-500)))=0,"",INDEX('My equipment'!$X$4:$X$503,(_calc!$E$637-500)))))</f>
        <v/>
      </c>
      <c r="K635" s="54">
        <f>IF(_calc!$E$637="","",IF(_calc!$E$637&lt;=500,"",IF(LEN(INDEX('My equipment'!$T$4:$T$503,(_calc!$E$637-500)))=0,"",INDEX('My equipment'!$T$4:$T$503,(_calc!$E$637-500)))))</f>
        <v/>
      </c>
    </row>
    <row r="636">
      <c r="A636" s="54">
        <f>IF(_calc!$E$638="","",IF(_calc!$E$638&lt;=500,"Warranty – "&amp;IF(LEN(INDEX('Dealer pipeline'!$C$4:$C$503,_calc!$E$638))=0,"",INDEX('Dealer pipeline'!$C$4:$C$503,_calc!$E$638))&amp;" – "&amp;IF(LEN(INDEX('Dealer pipeline'!$D$4:$D$503,_calc!$E$638))=0,"",INDEX('Dealer pipeline'!$D$4:$D$503,_calc!$E$638))&amp;" – "&amp;IF(LEN(INDEX('Dealer pipeline'!$A$4:$A$503,_calc!$E$638))=0,"",INDEX('Dealer pipeline'!$A$4:$A$503,_calc!$E$638)),"Warranty – "&amp;IF(LEN(INDEX('My equipment'!$A$4:$A$503,(_calc!$E$638-500)))=0,"",INDEX('My equipment'!$A$4:$A$503,(_calc!$E$638-500)))&amp;" – "&amp;IF(LEN(INDEX('My equipment'!$D$4:$D$503,(_calc!$E$638-500)))=0,"",INDEX('My equipment'!$D$4:$D$503,(_calc!$E$638-500)))))</f>
        <v/>
      </c>
      <c r="B636" s="54">
        <f>IF(_calc!$E$638="","",IF(_calc!$E$638&lt;=500,IF(ISNUMBER(INDEX('Dealer pipeline'!$M$4:$M$503,_calc!$E$638)),TEXT(INDEX('Dealer pipeline'!$M$4:$M$503,_calc!$E$638),"yyyy-mm-dd"),""),IF(ISNUMBER(INDEX('My equipment'!$M$4:$M$503,(_calc!$E$638-500))),TEXT(INDEX('My equipment'!$M$4:$M$503,(_calc!$E$638-500)),"yyyy-mm-dd"),"")))</f>
        <v/>
      </c>
      <c r="C636" s="54">
        <f>IF(_calc!$E$638="","",IF(_calc!$E$638&lt;=500,"Warranty","Warranty"))</f>
        <v/>
      </c>
      <c r="D636" s="54">
        <f>IF(_calc!$E$638="","",IF(_calc!$E$638&lt;=500,IF(ISNUMBER(INDEX('Dealer pipeline'!$H$4:$H$503,_calc!$E$638)),TEXT(INDEX('Dealer pipeline'!$H$4:$H$503,_calc!$E$638),"yyyy-mm-dd"),""),IF(ISNUMBER(INDEX('My equipment'!$H$4:$H$503,(_calc!$E$638-500))),TEXT(INDEX('My equipment'!$H$4:$H$503,(_calc!$E$638-500)),"yyyy-mm-dd"),"")))</f>
        <v/>
      </c>
      <c r="F636" s="54">
        <f>IF(_calc!$E$638="","",IF(_calc!$E$638&lt;=500,TRIM(IF(LEN(IF(LEN(INDEX('Dealer pipeline'!$A$4:$A$503,_calc!$E$638))=0,"",INDEX('Dealer pipeline'!$A$4:$A$503,_calc!$E$638)))=0,"","Customer: "&amp;IF(LEN(INDEX('Dealer pipeline'!$A$4:$A$503,_calc!$E$638))=0,"",INDEX('Dealer pipeline'!$A$4:$A$503,_calc!$E$638))&amp;". ")&amp;IF(LEN(IF(LEN(INDEX('Dealer pipeline'!$B$4:$B$503,_calc!$E$638))=0,"",INDEX('Dealer pipeline'!$B$4:$B$503,_calc!$E$638)))=0,"","Contact: "&amp;IF(LEN(INDEX('Dealer pipeline'!$B$4:$B$503,_calc!$E$638))=0,"",INDEX('Dealer pipeline'!$B$4:$B$503,_calc!$E$638))&amp;". ")&amp;IF(LEN(IF(LEN(INDEX('Dealer pipeline'!$D$4:$D$503,_calc!$E$638))=0,"",INDEX('Dealer pipeline'!$D$4:$D$503,_calc!$E$638)))=0,"","Serial: "&amp;IF(LEN(INDEX('Dealer pipeline'!$D$4:$D$503,_calc!$E$638))=0,"",INDEX('Dealer pipeline'!$D$4:$D$503,_calc!$E$638))&amp;". ")&amp;IF(LEN(IF(ISNUMBER(INDEX('Dealer pipeline'!$J$4:$J$503,_calc!$E$638)),TEXT(INDEX('Dealer pipeline'!$J$4:$J$503,_calc!$E$638),"yyyy-mm-dd"),""))=0,"","Parts end: "&amp;IF(ISNUMBER(INDEX('Dealer pipeline'!$J$4:$J$503,_calc!$E$638)),TEXT(INDEX('Dealer pipeline'!$J$4:$J$503,_calc!$E$638),"yyyy-mm-dd"),"")&amp;". ")&amp;IF(LEN(IF(ISNUMBER(INDEX('Dealer pipeline'!$L$4:$L$503,_calc!$E$638)),TEXT(INDEX('Dealer pipeline'!$L$4:$L$503,_calc!$E$638),"yyyy-mm-dd"),""))=0,"","Labor end: "&amp;IF(ISNUMBER(INDEX('Dealer pipeline'!$L$4:$L$503,_calc!$E$638)),TEXT(INDEX('Dealer pipeline'!$L$4:$L$503,_calc!$E$638),"yyyy-mm-dd"),"")&amp;". ")&amp;IF(LEN(IF(LEN(INDEX('Dealer pipeline'!$Q$4:$Q$503,_calc!$E$638))=0,"",INDEX('Dealer pipeline'!$Q$4:$Q$503,_calc!$E$638)))=0,"","Status: "&amp;IF(LEN(INDEX('Dealer pipeline'!$Q$4:$Q$503,_calc!$E$638))=0,"",INDEX('Dealer pipeline'!$Q$4:$Q$503,_calc!$E$638))&amp;". ")&amp;IF(LEN(IF(LEN(INDEX('Dealer pipeline'!$P$4:$P$503,_calc!$E$638))=0,"",INDEX('Dealer pipeline'!$P$4:$P$503,_calc!$E$638)))=0,"","Last touch: "&amp;IF(LEN(INDEX('Dealer pipeline'!$P$4:$P$503,_calc!$E$638))=0,"",INDEX('Dealer pipeline'!$P$4:$P$503,_calc!$E$638))&amp;". ")&amp;IF(LEN(IF(LEN(INDEX('Dealer pipeline'!$R$4:$R$503,_calc!$E$638))=0,"",INDEX('Dealer pipeline'!$R$4:$R$503,_calc!$E$638)))=0,"","Owner: "&amp;IF(LEN(INDEX('Dealer pipeline'!$R$4:$R$503,_calc!$E$638))=0,"",INDEX('Dealer pipeline'!$R$4:$R$503,_calc!$E$638))&amp;". ")&amp;IF(LEN(IF(LEN(INDEX('Dealer pipeline'!$S$4:$S$503,_calc!$E$638))=0,"",INDEX('Dealer pipeline'!$S$4:$S$503,_calc!$E$638)))=0,"","Backup: "&amp;IF(LEN(INDEX('Dealer pipeline'!$S$4:$S$503,_calc!$E$638))=0,"",INDEX('Dealer pipeline'!$S$4:$S$503,_calc!$E$638))&amp;". ")&amp;IF(LEN(IF(LEN(INDEX('Dealer pipeline'!$T$4:$T$503,_calc!$E$638))=0,"",INDEX('Dealer pipeline'!$T$4:$T$503,_calc!$E$638)))=0,"",IF(LEN(INDEX('Dealer pipeline'!$T$4:$T$503,_calc!$E$638))=0,"",INDEX('Dealer pipeline'!$T$4:$T$503,_calc!$E$638)))),TRIM(IF(LEN(IF(LEN(INDEX('My equipment'!$C$4:$C$503,(_calc!$E$638-500)))=0,"",INDEX('My equipment'!$C$4:$C$503,(_calc!$E$638-500))))=0,"","Model: "&amp;IF(LEN(INDEX('My equipment'!$C$4:$C$503,(_calc!$E$638-500)))=0,"",INDEX('My equipment'!$C$4:$C$503,(_calc!$E$638-500)))&amp;". ")&amp;IF(LEN(IF(LEN(INDEX('My equipment'!$D$4:$D$503,(_calc!$E$638-500)))=0,"",INDEX('My equipment'!$D$4:$D$503,(_calc!$E$638-500))))=0,"","Serial: "&amp;IF(LEN(INDEX('My equipment'!$D$4:$D$503,(_calc!$E$638-500)))=0,"",INDEX('My equipment'!$D$4:$D$503,(_calc!$E$638-500)))&amp;". ")&amp;IF(LEN(IF(ISNUMBER(INDEX('My equipment'!$J$4:$J$503,(_calc!$E$638-500))),TEXT(INDEX('My equipment'!$J$4:$J$503,(_calc!$E$638-500)),"yyyy-mm-dd"),""))=0,"","Parts end: "&amp;IF(ISNUMBER(INDEX('My equipment'!$J$4:$J$503,(_calc!$E$638-500))),TEXT(INDEX('My equipment'!$J$4:$J$503,(_calc!$E$638-500)),"yyyy-mm-dd"),"")&amp;". ")&amp;IF(LEN(IF(ISNUMBER(INDEX('My equipment'!$L$4:$L$503,(_calc!$E$638-500))),TEXT(INDEX('My equipment'!$L$4:$L$503,(_calc!$E$638-500)),"yyyy-mm-dd"),""))=0,"","Labor end: "&amp;IF(ISNUMBER(INDEX('My equipment'!$L$4:$L$503,(_calc!$E$638-500))),TEXT(INDEX('My equipment'!$L$4:$L$503,(_calc!$E$638-500)),"yyyy-mm-dd"),"")&amp;". ")&amp;IF(LEN(IF(ISNUMBER(INDEX('My equipment'!$P$4:$P$503,(_calc!$E$638-500))),TEXT(INDEX('My equipment'!$P$4:$P$503,(_calc!$E$638-500)),"yyyy-mm-dd"),""))=0,"","Check by: "&amp;IF(ISNUMBER(INDEX('My equipment'!$P$4:$P$503,(_calc!$E$638-500))),TEXT(INDEX('My equipment'!$P$4:$P$503,(_calc!$E$638-500)),"yyyy-mm-dd"),"")&amp;". ")&amp;IF(LEN(IF(LEN(INDEX('My equipment'!$Q$4:$Q$503,(_calc!$E$638-500)))=0,"",INDEX('My equipment'!$Q$4:$Q$503,(_calc!$E$638-500))))=0,"","Claim status: "&amp;IF(LEN(INDEX('My equipment'!$Q$4:$Q$503,(_calc!$E$638-500)))=0,"",INDEX('My equipment'!$Q$4:$Q$503,(_calc!$E$638-500)))&amp;". ")&amp;IF(LEN(IF(LEN(INDEX('My equipment'!$R$4:$R$503,(_calc!$E$638-500)))=0,"",INDEX('My equipment'!$R$4:$R$503,(_calc!$E$638-500))))=0,"","Claims contact: "&amp;IF(LEN(INDEX('My equipment'!$R$4:$R$503,(_calc!$E$638-500)))=0,"",INDEX('My equipment'!$R$4:$R$503,(_calc!$E$638-500)))&amp;". ")&amp;IF(LEN(IF(LEN(INDEX('My equipment'!$S$4:$S$503,(_calc!$E$638-500)))=0,"",INDEX('My equipment'!$S$4:$S$503,(_calc!$E$638-500))))=0,"","Claims email: "&amp;IF(LEN(INDEX('My equipment'!$S$4:$S$503,(_calc!$E$638-500)))=0,"",INDEX('My equipment'!$S$4:$S$503,(_calc!$E$638-500)))&amp;". ")&amp;IF(LEN(IF(LEN(INDEX('My equipment'!$U$4:$U$503,(_calc!$E$638-500)))=0,"",INDEX('My equipment'!$U$4:$U$503,(_calc!$E$638-500))))=0,"","Registered: "&amp;IF(LEN(INDEX('My equipment'!$U$4:$U$503,(_calc!$E$638-500)))=0,"",INDEX('My equipment'!$U$4:$U$503,(_calc!$E$638-500)))&amp;". ")&amp;IF(LEN(IF(LEN(INDEX('My equipment'!$V$4:$V$503,(_calc!$E$638-500)))=0,"",INDEX('My equipment'!$V$4:$V$503,(_calc!$E$638-500))))=0,"","Proof on file: "&amp;IF(LEN(INDEX('My equipment'!$V$4:$V$503,(_calc!$E$638-500)))=0,"",INDEX('My equipment'!$V$4:$V$503,(_calc!$E$638-500)))&amp;". ")&amp;IF(LEN(IF(LEN(INDEX('My equipment'!$W$4:$W$503,(_calc!$E$638-500)))=0,"",INDEX('My equipment'!$W$4:$W$503,(_calc!$E$638-500))))=0,"","Claim ref: "&amp;IF(LEN(INDEX('My equipment'!$W$4:$W$503,(_calc!$E$638-500)))=0,"",INDEX('My equipment'!$W$4:$W$503,(_calc!$E$638-500)))&amp;". ")&amp;IF(LEN(IF(LEN(INDEX('My equipment'!$Y$4:$Y$503,(_calc!$E$638-500)))=0,"",INDEX('My equipment'!$Y$4:$Y$503,(_calc!$E$638-500))))=0,"",IF(LEN(INDEX('My equipment'!$Y$4:$Y$503,(_calc!$E$638-500)))=0,"",INDEX('My equipment'!$Y$4:$Y$503,(_calc!$E$638-500)))))))</f>
        <v/>
      </c>
      <c r="G636" s="54">
        <f>IF(_calc!$E$638="","",IF(_calc!$E$638&lt;=500,"",IF(LEN(INDEX('My equipment'!$X$4:$X$503,(_calc!$E$638-500)))=0,"",INDEX('My equipment'!$X$4:$X$503,(_calc!$E$638-500)))))</f>
        <v/>
      </c>
      <c r="K636" s="54">
        <f>IF(_calc!$E$638="","",IF(_calc!$E$638&lt;=500,"",IF(LEN(INDEX('My equipment'!$T$4:$T$503,(_calc!$E$638-500)))=0,"",INDEX('My equipment'!$T$4:$T$503,(_calc!$E$638-500)))))</f>
        <v/>
      </c>
    </row>
    <row r="637">
      <c r="A637" s="54">
        <f>IF(_calc!$E$639="","",IF(_calc!$E$639&lt;=500,"Warranty – "&amp;IF(LEN(INDEX('Dealer pipeline'!$C$4:$C$503,_calc!$E$639))=0,"",INDEX('Dealer pipeline'!$C$4:$C$503,_calc!$E$639))&amp;" – "&amp;IF(LEN(INDEX('Dealer pipeline'!$D$4:$D$503,_calc!$E$639))=0,"",INDEX('Dealer pipeline'!$D$4:$D$503,_calc!$E$639))&amp;" – "&amp;IF(LEN(INDEX('Dealer pipeline'!$A$4:$A$503,_calc!$E$639))=0,"",INDEX('Dealer pipeline'!$A$4:$A$503,_calc!$E$639)),"Warranty – "&amp;IF(LEN(INDEX('My equipment'!$A$4:$A$503,(_calc!$E$639-500)))=0,"",INDEX('My equipment'!$A$4:$A$503,(_calc!$E$639-500)))&amp;" – "&amp;IF(LEN(INDEX('My equipment'!$D$4:$D$503,(_calc!$E$639-500)))=0,"",INDEX('My equipment'!$D$4:$D$503,(_calc!$E$639-500)))))</f>
        <v/>
      </c>
      <c r="B637" s="54">
        <f>IF(_calc!$E$639="","",IF(_calc!$E$639&lt;=500,IF(ISNUMBER(INDEX('Dealer pipeline'!$M$4:$M$503,_calc!$E$639)),TEXT(INDEX('Dealer pipeline'!$M$4:$M$503,_calc!$E$639),"yyyy-mm-dd"),""),IF(ISNUMBER(INDEX('My equipment'!$M$4:$M$503,(_calc!$E$639-500))),TEXT(INDEX('My equipment'!$M$4:$M$503,(_calc!$E$639-500)),"yyyy-mm-dd"),"")))</f>
        <v/>
      </c>
      <c r="C637" s="54">
        <f>IF(_calc!$E$639="","",IF(_calc!$E$639&lt;=500,"Warranty","Warranty"))</f>
        <v/>
      </c>
      <c r="D637" s="54">
        <f>IF(_calc!$E$639="","",IF(_calc!$E$639&lt;=500,IF(ISNUMBER(INDEX('Dealer pipeline'!$H$4:$H$503,_calc!$E$639)),TEXT(INDEX('Dealer pipeline'!$H$4:$H$503,_calc!$E$639),"yyyy-mm-dd"),""),IF(ISNUMBER(INDEX('My equipment'!$H$4:$H$503,(_calc!$E$639-500))),TEXT(INDEX('My equipment'!$H$4:$H$503,(_calc!$E$639-500)),"yyyy-mm-dd"),"")))</f>
        <v/>
      </c>
      <c r="F637" s="54">
        <f>IF(_calc!$E$639="","",IF(_calc!$E$639&lt;=500,TRIM(IF(LEN(IF(LEN(INDEX('Dealer pipeline'!$A$4:$A$503,_calc!$E$639))=0,"",INDEX('Dealer pipeline'!$A$4:$A$503,_calc!$E$639)))=0,"","Customer: "&amp;IF(LEN(INDEX('Dealer pipeline'!$A$4:$A$503,_calc!$E$639))=0,"",INDEX('Dealer pipeline'!$A$4:$A$503,_calc!$E$639))&amp;". ")&amp;IF(LEN(IF(LEN(INDEX('Dealer pipeline'!$B$4:$B$503,_calc!$E$639))=0,"",INDEX('Dealer pipeline'!$B$4:$B$503,_calc!$E$639)))=0,"","Contact: "&amp;IF(LEN(INDEX('Dealer pipeline'!$B$4:$B$503,_calc!$E$639))=0,"",INDEX('Dealer pipeline'!$B$4:$B$503,_calc!$E$639))&amp;". ")&amp;IF(LEN(IF(LEN(INDEX('Dealer pipeline'!$D$4:$D$503,_calc!$E$639))=0,"",INDEX('Dealer pipeline'!$D$4:$D$503,_calc!$E$639)))=0,"","Serial: "&amp;IF(LEN(INDEX('Dealer pipeline'!$D$4:$D$503,_calc!$E$639))=0,"",INDEX('Dealer pipeline'!$D$4:$D$503,_calc!$E$639))&amp;". ")&amp;IF(LEN(IF(ISNUMBER(INDEX('Dealer pipeline'!$J$4:$J$503,_calc!$E$639)),TEXT(INDEX('Dealer pipeline'!$J$4:$J$503,_calc!$E$639),"yyyy-mm-dd"),""))=0,"","Parts end: "&amp;IF(ISNUMBER(INDEX('Dealer pipeline'!$J$4:$J$503,_calc!$E$639)),TEXT(INDEX('Dealer pipeline'!$J$4:$J$503,_calc!$E$639),"yyyy-mm-dd"),"")&amp;". ")&amp;IF(LEN(IF(ISNUMBER(INDEX('Dealer pipeline'!$L$4:$L$503,_calc!$E$639)),TEXT(INDEX('Dealer pipeline'!$L$4:$L$503,_calc!$E$639),"yyyy-mm-dd"),""))=0,"","Labor end: "&amp;IF(ISNUMBER(INDEX('Dealer pipeline'!$L$4:$L$503,_calc!$E$639)),TEXT(INDEX('Dealer pipeline'!$L$4:$L$503,_calc!$E$639),"yyyy-mm-dd"),"")&amp;". ")&amp;IF(LEN(IF(LEN(INDEX('Dealer pipeline'!$Q$4:$Q$503,_calc!$E$639))=0,"",INDEX('Dealer pipeline'!$Q$4:$Q$503,_calc!$E$639)))=0,"","Status: "&amp;IF(LEN(INDEX('Dealer pipeline'!$Q$4:$Q$503,_calc!$E$639))=0,"",INDEX('Dealer pipeline'!$Q$4:$Q$503,_calc!$E$639))&amp;". ")&amp;IF(LEN(IF(LEN(INDEX('Dealer pipeline'!$P$4:$P$503,_calc!$E$639))=0,"",INDEX('Dealer pipeline'!$P$4:$P$503,_calc!$E$639)))=0,"","Last touch: "&amp;IF(LEN(INDEX('Dealer pipeline'!$P$4:$P$503,_calc!$E$639))=0,"",INDEX('Dealer pipeline'!$P$4:$P$503,_calc!$E$639))&amp;". ")&amp;IF(LEN(IF(LEN(INDEX('Dealer pipeline'!$R$4:$R$503,_calc!$E$639))=0,"",INDEX('Dealer pipeline'!$R$4:$R$503,_calc!$E$639)))=0,"","Owner: "&amp;IF(LEN(INDEX('Dealer pipeline'!$R$4:$R$503,_calc!$E$639))=0,"",INDEX('Dealer pipeline'!$R$4:$R$503,_calc!$E$639))&amp;". ")&amp;IF(LEN(IF(LEN(INDEX('Dealer pipeline'!$S$4:$S$503,_calc!$E$639))=0,"",INDEX('Dealer pipeline'!$S$4:$S$503,_calc!$E$639)))=0,"","Backup: "&amp;IF(LEN(INDEX('Dealer pipeline'!$S$4:$S$503,_calc!$E$639))=0,"",INDEX('Dealer pipeline'!$S$4:$S$503,_calc!$E$639))&amp;". ")&amp;IF(LEN(IF(LEN(INDEX('Dealer pipeline'!$T$4:$T$503,_calc!$E$639))=0,"",INDEX('Dealer pipeline'!$T$4:$T$503,_calc!$E$639)))=0,"",IF(LEN(INDEX('Dealer pipeline'!$T$4:$T$503,_calc!$E$639))=0,"",INDEX('Dealer pipeline'!$T$4:$T$503,_calc!$E$639)))),TRIM(IF(LEN(IF(LEN(INDEX('My equipment'!$C$4:$C$503,(_calc!$E$639-500)))=0,"",INDEX('My equipment'!$C$4:$C$503,(_calc!$E$639-500))))=0,"","Model: "&amp;IF(LEN(INDEX('My equipment'!$C$4:$C$503,(_calc!$E$639-500)))=0,"",INDEX('My equipment'!$C$4:$C$503,(_calc!$E$639-500)))&amp;". ")&amp;IF(LEN(IF(LEN(INDEX('My equipment'!$D$4:$D$503,(_calc!$E$639-500)))=0,"",INDEX('My equipment'!$D$4:$D$503,(_calc!$E$639-500))))=0,"","Serial: "&amp;IF(LEN(INDEX('My equipment'!$D$4:$D$503,(_calc!$E$639-500)))=0,"",INDEX('My equipment'!$D$4:$D$503,(_calc!$E$639-500)))&amp;". ")&amp;IF(LEN(IF(ISNUMBER(INDEX('My equipment'!$J$4:$J$503,(_calc!$E$639-500))),TEXT(INDEX('My equipment'!$J$4:$J$503,(_calc!$E$639-500)),"yyyy-mm-dd"),""))=0,"","Parts end: "&amp;IF(ISNUMBER(INDEX('My equipment'!$J$4:$J$503,(_calc!$E$639-500))),TEXT(INDEX('My equipment'!$J$4:$J$503,(_calc!$E$639-500)),"yyyy-mm-dd"),"")&amp;". ")&amp;IF(LEN(IF(ISNUMBER(INDEX('My equipment'!$L$4:$L$503,(_calc!$E$639-500))),TEXT(INDEX('My equipment'!$L$4:$L$503,(_calc!$E$639-500)),"yyyy-mm-dd"),""))=0,"","Labor end: "&amp;IF(ISNUMBER(INDEX('My equipment'!$L$4:$L$503,(_calc!$E$639-500))),TEXT(INDEX('My equipment'!$L$4:$L$503,(_calc!$E$639-500)),"yyyy-mm-dd"),"")&amp;". ")&amp;IF(LEN(IF(ISNUMBER(INDEX('My equipment'!$P$4:$P$503,(_calc!$E$639-500))),TEXT(INDEX('My equipment'!$P$4:$P$503,(_calc!$E$639-500)),"yyyy-mm-dd"),""))=0,"","Check by: "&amp;IF(ISNUMBER(INDEX('My equipment'!$P$4:$P$503,(_calc!$E$639-500))),TEXT(INDEX('My equipment'!$P$4:$P$503,(_calc!$E$639-500)),"yyyy-mm-dd"),"")&amp;". ")&amp;IF(LEN(IF(LEN(INDEX('My equipment'!$Q$4:$Q$503,(_calc!$E$639-500)))=0,"",INDEX('My equipment'!$Q$4:$Q$503,(_calc!$E$639-500))))=0,"","Claim status: "&amp;IF(LEN(INDEX('My equipment'!$Q$4:$Q$503,(_calc!$E$639-500)))=0,"",INDEX('My equipment'!$Q$4:$Q$503,(_calc!$E$639-500)))&amp;". ")&amp;IF(LEN(IF(LEN(INDEX('My equipment'!$R$4:$R$503,(_calc!$E$639-500)))=0,"",INDEX('My equipment'!$R$4:$R$503,(_calc!$E$639-500))))=0,"","Claims contact: "&amp;IF(LEN(INDEX('My equipment'!$R$4:$R$503,(_calc!$E$639-500)))=0,"",INDEX('My equipment'!$R$4:$R$503,(_calc!$E$639-500)))&amp;". ")&amp;IF(LEN(IF(LEN(INDEX('My equipment'!$S$4:$S$503,(_calc!$E$639-500)))=0,"",INDEX('My equipment'!$S$4:$S$503,(_calc!$E$639-500))))=0,"","Claims email: "&amp;IF(LEN(INDEX('My equipment'!$S$4:$S$503,(_calc!$E$639-500)))=0,"",INDEX('My equipment'!$S$4:$S$503,(_calc!$E$639-500)))&amp;". ")&amp;IF(LEN(IF(LEN(INDEX('My equipment'!$U$4:$U$503,(_calc!$E$639-500)))=0,"",INDEX('My equipment'!$U$4:$U$503,(_calc!$E$639-500))))=0,"","Registered: "&amp;IF(LEN(INDEX('My equipment'!$U$4:$U$503,(_calc!$E$639-500)))=0,"",INDEX('My equipment'!$U$4:$U$503,(_calc!$E$639-500)))&amp;". ")&amp;IF(LEN(IF(LEN(INDEX('My equipment'!$V$4:$V$503,(_calc!$E$639-500)))=0,"",INDEX('My equipment'!$V$4:$V$503,(_calc!$E$639-500))))=0,"","Proof on file: "&amp;IF(LEN(INDEX('My equipment'!$V$4:$V$503,(_calc!$E$639-500)))=0,"",INDEX('My equipment'!$V$4:$V$503,(_calc!$E$639-500)))&amp;". ")&amp;IF(LEN(IF(LEN(INDEX('My equipment'!$W$4:$W$503,(_calc!$E$639-500)))=0,"",INDEX('My equipment'!$W$4:$W$503,(_calc!$E$639-500))))=0,"","Claim ref: "&amp;IF(LEN(INDEX('My equipment'!$W$4:$W$503,(_calc!$E$639-500)))=0,"",INDEX('My equipment'!$W$4:$W$503,(_calc!$E$639-500)))&amp;". ")&amp;IF(LEN(IF(LEN(INDEX('My equipment'!$Y$4:$Y$503,(_calc!$E$639-500)))=0,"",INDEX('My equipment'!$Y$4:$Y$503,(_calc!$E$639-500))))=0,"",IF(LEN(INDEX('My equipment'!$Y$4:$Y$503,(_calc!$E$639-500)))=0,"",INDEX('My equipment'!$Y$4:$Y$503,(_calc!$E$639-500)))))))</f>
        <v/>
      </c>
      <c r="G637" s="54">
        <f>IF(_calc!$E$639="","",IF(_calc!$E$639&lt;=500,"",IF(LEN(INDEX('My equipment'!$X$4:$X$503,(_calc!$E$639-500)))=0,"",INDEX('My equipment'!$X$4:$X$503,(_calc!$E$639-500)))))</f>
        <v/>
      </c>
      <c r="K637" s="54">
        <f>IF(_calc!$E$639="","",IF(_calc!$E$639&lt;=500,"",IF(LEN(INDEX('My equipment'!$T$4:$T$503,(_calc!$E$639-500)))=0,"",INDEX('My equipment'!$T$4:$T$503,(_calc!$E$639-500)))))</f>
        <v/>
      </c>
    </row>
    <row r="638">
      <c r="A638" s="54">
        <f>IF(_calc!$E$640="","",IF(_calc!$E$640&lt;=500,"Warranty – "&amp;IF(LEN(INDEX('Dealer pipeline'!$C$4:$C$503,_calc!$E$640))=0,"",INDEX('Dealer pipeline'!$C$4:$C$503,_calc!$E$640))&amp;" – "&amp;IF(LEN(INDEX('Dealer pipeline'!$D$4:$D$503,_calc!$E$640))=0,"",INDEX('Dealer pipeline'!$D$4:$D$503,_calc!$E$640))&amp;" – "&amp;IF(LEN(INDEX('Dealer pipeline'!$A$4:$A$503,_calc!$E$640))=0,"",INDEX('Dealer pipeline'!$A$4:$A$503,_calc!$E$640)),"Warranty – "&amp;IF(LEN(INDEX('My equipment'!$A$4:$A$503,(_calc!$E$640-500)))=0,"",INDEX('My equipment'!$A$4:$A$503,(_calc!$E$640-500)))&amp;" – "&amp;IF(LEN(INDEX('My equipment'!$D$4:$D$503,(_calc!$E$640-500)))=0,"",INDEX('My equipment'!$D$4:$D$503,(_calc!$E$640-500)))))</f>
        <v/>
      </c>
      <c r="B638" s="54">
        <f>IF(_calc!$E$640="","",IF(_calc!$E$640&lt;=500,IF(ISNUMBER(INDEX('Dealer pipeline'!$M$4:$M$503,_calc!$E$640)),TEXT(INDEX('Dealer pipeline'!$M$4:$M$503,_calc!$E$640),"yyyy-mm-dd"),""),IF(ISNUMBER(INDEX('My equipment'!$M$4:$M$503,(_calc!$E$640-500))),TEXT(INDEX('My equipment'!$M$4:$M$503,(_calc!$E$640-500)),"yyyy-mm-dd"),"")))</f>
        <v/>
      </c>
      <c r="C638" s="54">
        <f>IF(_calc!$E$640="","",IF(_calc!$E$640&lt;=500,"Warranty","Warranty"))</f>
        <v/>
      </c>
      <c r="D638" s="54">
        <f>IF(_calc!$E$640="","",IF(_calc!$E$640&lt;=500,IF(ISNUMBER(INDEX('Dealer pipeline'!$H$4:$H$503,_calc!$E$640)),TEXT(INDEX('Dealer pipeline'!$H$4:$H$503,_calc!$E$640),"yyyy-mm-dd"),""),IF(ISNUMBER(INDEX('My equipment'!$H$4:$H$503,(_calc!$E$640-500))),TEXT(INDEX('My equipment'!$H$4:$H$503,(_calc!$E$640-500)),"yyyy-mm-dd"),"")))</f>
        <v/>
      </c>
      <c r="F638" s="54">
        <f>IF(_calc!$E$640="","",IF(_calc!$E$640&lt;=500,TRIM(IF(LEN(IF(LEN(INDEX('Dealer pipeline'!$A$4:$A$503,_calc!$E$640))=0,"",INDEX('Dealer pipeline'!$A$4:$A$503,_calc!$E$640)))=0,"","Customer: "&amp;IF(LEN(INDEX('Dealer pipeline'!$A$4:$A$503,_calc!$E$640))=0,"",INDEX('Dealer pipeline'!$A$4:$A$503,_calc!$E$640))&amp;". ")&amp;IF(LEN(IF(LEN(INDEX('Dealer pipeline'!$B$4:$B$503,_calc!$E$640))=0,"",INDEX('Dealer pipeline'!$B$4:$B$503,_calc!$E$640)))=0,"","Contact: "&amp;IF(LEN(INDEX('Dealer pipeline'!$B$4:$B$503,_calc!$E$640))=0,"",INDEX('Dealer pipeline'!$B$4:$B$503,_calc!$E$640))&amp;". ")&amp;IF(LEN(IF(LEN(INDEX('Dealer pipeline'!$D$4:$D$503,_calc!$E$640))=0,"",INDEX('Dealer pipeline'!$D$4:$D$503,_calc!$E$640)))=0,"","Serial: "&amp;IF(LEN(INDEX('Dealer pipeline'!$D$4:$D$503,_calc!$E$640))=0,"",INDEX('Dealer pipeline'!$D$4:$D$503,_calc!$E$640))&amp;". ")&amp;IF(LEN(IF(ISNUMBER(INDEX('Dealer pipeline'!$J$4:$J$503,_calc!$E$640)),TEXT(INDEX('Dealer pipeline'!$J$4:$J$503,_calc!$E$640),"yyyy-mm-dd"),""))=0,"","Parts end: "&amp;IF(ISNUMBER(INDEX('Dealer pipeline'!$J$4:$J$503,_calc!$E$640)),TEXT(INDEX('Dealer pipeline'!$J$4:$J$503,_calc!$E$640),"yyyy-mm-dd"),"")&amp;". ")&amp;IF(LEN(IF(ISNUMBER(INDEX('Dealer pipeline'!$L$4:$L$503,_calc!$E$640)),TEXT(INDEX('Dealer pipeline'!$L$4:$L$503,_calc!$E$640),"yyyy-mm-dd"),""))=0,"","Labor end: "&amp;IF(ISNUMBER(INDEX('Dealer pipeline'!$L$4:$L$503,_calc!$E$640)),TEXT(INDEX('Dealer pipeline'!$L$4:$L$503,_calc!$E$640),"yyyy-mm-dd"),"")&amp;". ")&amp;IF(LEN(IF(LEN(INDEX('Dealer pipeline'!$Q$4:$Q$503,_calc!$E$640))=0,"",INDEX('Dealer pipeline'!$Q$4:$Q$503,_calc!$E$640)))=0,"","Status: "&amp;IF(LEN(INDEX('Dealer pipeline'!$Q$4:$Q$503,_calc!$E$640))=0,"",INDEX('Dealer pipeline'!$Q$4:$Q$503,_calc!$E$640))&amp;". ")&amp;IF(LEN(IF(LEN(INDEX('Dealer pipeline'!$P$4:$P$503,_calc!$E$640))=0,"",INDEX('Dealer pipeline'!$P$4:$P$503,_calc!$E$640)))=0,"","Last touch: "&amp;IF(LEN(INDEX('Dealer pipeline'!$P$4:$P$503,_calc!$E$640))=0,"",INDEX('Dealer pipeline'!$P$4:$P$503,_calc!$E$640))&amp;". ")&amp;IF(LEN(IF(LEN(INDEX('Dealer pipeline'!$R$4:$R$503,_calc!$E$640))=0,"",INDEX('Dealer pipeline'!$R$4:$R$503,_calc!$E$640)))=0,"","Owner: "&amp;IF(LEN(INDEX('Dealer pipeline'!$R$4:$R$503,_calc!$E$640))=0,"",INDEX('Dealer pipeline'!$R$4:$R$503,_calc!$E$640))&amp;". ")&amp;IF(LEN(IF(LEN(INDEX('Dealer pipeline'!$S$4:$S$503,_calc!$E$640))=0,"",INDEX('Dealer pipeline'!$S$4:$S$503,_calc!$E$640)))=0,"","Backup: "&amp;IF(LEN(INDEX('Dealer pipeline'!$S$4:$S$503,_calc!$E$640))=0,"",INDEX('Dealer pipeline'!$S$4:$S$503,_calc!$E$640))&amp;". ")&amp;IF(LEN(IF(LEN(INDEX('Dealer pipeline'!$T$4:$T$503,_calc!$E$640))=0,"",INDEX('Dealer pipeline'!$T$4:$T$503,_calc!$E$640)))=0,"",IF(LEN(INDEX('Dealer pipeline'!$T$4:$T$503,_calc!$E$640))=0,"",INDEX('Dealer pipeline'!$T$4:$T$503,_calc!$E$640)))),TRIM(IF(LEN(IF(LEN(INDEX('My equipment'!$C$4:$C$503,(_calc!$E$640-500)))=0,"",INDEX('My equipment'!$C$4:$C$503,(_calc!$E$640-500))))=0,"","Model: "&amp;IF(LEN(INDEX('My equipment'!$C$4:$C$503,(_calc!$E$640-500)))=0,"",INDEX('My equipment'!$C$4:$C$503,(_calc!$E$640-500)))&amp;". ")&amp;IF(LEN(IF(LEN(INDEX('My equipment'!$D$4:$D$503,(_calc!$E$640-500)))=0,"",INDEX('My equipment'!$D$4:$D$503,(_calc!$E$640-500))))=0,"","Serial: "&amp;IF(LEN(INDEX('My equipment'!$D$4:$D$503,(_calc!$E$640-500)))=0,"",INDEX('My equipment'!$D$4:$D$503,(_calc!$E$640-500)))&amp;". ")&amp;IF(LEN(IF(ISNUMBER(INDEX('My equipment'!$J$4:$J$503,(_calc!$E$640-500))),TEXT(INDEX('My equipment'!$J$4:$J$503,(_calc!$E$640-500)),"yyyy-mm-dd"),""))=0,"","Parts end: "&amp;IF(ISNUMBER(INDEX('My equipment'!$J$4:$J$503,(_calc!$E$640-500))),TEXT(INDEX('My equipment'!$J$4:$J$503,(_calc!$E$640-500)),"yyyy-mm-dd"),"")&amp;". ")&amp;IF(LEN(IF(ISNUMBER(INDEX('My equipment'!$L$4:$L$503,(_calc!$E$640-500))),TEXT(INDEX('My equipment'!$L$4:$L$503,(_calc!$E$640-500)),"yyyy-mm-dd"),""))=0,"","Labor end: "&amp;IF(ISNUMBER(INDEX('My equipment'!$L$4:$L$503,(_calc!$E$640-500))),TEXT(INDEX('My equipment'!$L$4:$L$503,(_calc!$E$640-500)),"yyyy-mm-dd"),"")&amp;". ")&amp;IF(LEN(IF(ISNUMBER(INDEX('My equipment'!$P$4:$P$503,(_calc!$E$640-500))),TEXT(INDEX('My equipment'!$P$4:$P$503,(_calc!$E$640-500)),"yyyy-mm-dd"),""))=0,"","Check by: "&amp;IF(ISNUMBER(INDEX('My equipment'!$P$4:$P$503,(_calc!$E$640-500))),TEXT(INDEX('My equipment'!$P$4:$P$503,(_calc!$E$640-500)),"yyyy-mm-dd"),"")&amp;". ")&amp;IF(LEN(IF(LEN(INDEX('My equipment'!$Q$4:$Q$503,(_calc!$E$640-500)))=0,"",INDEX('My equipment'!$Q$4:$Q$503,(_calc!$E$640-500))))=0,"","Claim status: "&amp;IF(LEN(INDEX('My equipment'!$Q$4:$Q$503,(_calc!$E$640-500)))=0,"",INDEX('My equipment'!$Q$4:$Q$503,(_calc!$E$640-500)))&amp;". ")&amp;IF(LEN(IF(LEN(INDEX('My equipment'!$R$4:$R$503,(_calc!$E$640-500)))=0,"",INDEX('My equipment'!$R$4:$R$503,(_calc!$E$640-500))))=0,"","Claims contact: "&amp;IF(LEN(INDEX('My equipment'!$R$4:$R$503,(_calc!$E$640-500)))=0,"",INDEX('My equipment'!$R$4:$R$503,(_calc!$E$640-500)))&amp;". ")&amp;IF(LEN(IF(LEN(INDEX('My equipment'!$S$4:$S$503,(_calc!$E$640-500)))=0,"",INDEX('My equipment'!$S$4:$S$503,(_calc!$E$640-500))))=0,"","Claims email: "&amp;IF(LEN(INDEX('My equipment'!$S$4:$S$503,(_calc!$E$640-500)))=0,"",INDEX('My equipment'!$S$4:$S$503,(_calc!$E$640-500)))&amp;". ")&amp;IF(LEN(IF(LEN(INDEX('My equipment'!$U$4:$U$503,(_calc!$E$640-500)))=0,"",INDEX('My equipment'!$U$4:$U$503,(_calc!$E$640-500))))=0,"","Registered: "&amp;IF(LEN(INDEX('My equipment'!$U$4:$U$503,(_calc!$E$640-500)))=0,"",INDEX('My equipment'!$U$4:$U$503,(_calc!$E$640-500)))&amp;". ")&amp;IF(LEN(IF(LEN(INDEX('My equipment'!$V$4:$V$503,(_calc!$E$640-500)))=0,"",INDEX('My equipment'!$V$4:$V$503,(_calc!$E$640-500))))=0,"","Proof on file: "&amp;IF(LEN(INDEX('My equipment'!$V$4:$V$503,(_calc!$E$640-500)))=0,"",INDEX('My equipment'!$V$4:$V$503,(_calc!$E$640-500)))&amp;". ")&amp;IF(LEN(IF(LEN(INDEX('My equipment'!$W$4:$W$503,(_calc!$E$640-500)))=0,"",INDEX('My equipment'!$W$4:$W$503,(_calc!$E$640-500))))=0,"","Claim ref: "&amp;IF(LEN(INDEX('My equipment'!$W$4:$W$503,(_calc!$E$640-500)))=0,"",INDEX('My equipment'!$W$4:$W$503,(_calc!$E$640-500)))&amp;". ")&amp;IF(LEN(IF(LEN(INDEX('My equipment'!$Y$4:$Y$503,(_calc!$E$640-500)))=0,"",INDEX('My equipment'!$Y$4:$Y$503,(_calc!$E$640-500))))=0,"",IF(LEN(INDEX('My equipment'!$Y$4:$Y$503,(_calc!$E$640-500)))=0,"",INDEX('My equipment'!$Y$4:$Y$503,(_calc!$E$640-500)))))))</f>
        <v/>
      </c>
      <c r="G638" s="54">
        <f>IF(_calc!$E$640="","",IF(_calc!$E$640&lt;=500,"",IF(LEN(INDEX('My equipment'!$X$4:$X$503,(_calc!$E$640-500)))=0,"",INDEX('My equipment'!$X$4:$X$503,(_calc!$E$640-500)))))</f>
        <v/>
      </c>
      <c r="K638" s="54">
        <f>IF(_calc!$E$640="","",IF(_calc!$E$640&lt;=500,"",IF(LEN(INDEX('My equipment'!$T$4:$T$503,(_calc!$E$640-500)))=0,"",INDEX('My equipment'!$T$4:$T$503,(_calc!$E$640-500)))))</f>
        <v/>
      </c>
    </row>
    <row r="639">
      <c r="A639" s="54">
        <f>IF(_calc!$E$641="","",IF(_calc!$E$641&lt;=500,"Warranty – "&amp;IF(LEN(INDEX('Dealer pipeline'!$C$4:$C$503,_calc!$E$641))=0,"",INDEX('Dealer pipeline'!$C$4:$C$503,_calc!$E$641))&amp;" – "&amp;IF(LEN(INDEX('Dealer pipeline'!$D$4:$D$503,_calc!$E$641))=0,"",INDEX('Dealer pipeline'!$D$4:$D$503,_calc!$E$641))&amp;" – "&amp;IF(LEN(INDEX('Dealer pipeline'!$A$4:$A$503,_calc!$E$641))=0,"",INDEX('Dealer pipeline'!$A$4:$A$503,_calc!$E$641)),"Warranty – "&amp;IF(LEN(INDEX('My equipment'!$A$4:$A$503,(_calc!$E$641-500)))=0,"",INDEX('My equipment'!$A$4:$A$503,(_calc!$E$641-500)))&amp;" – "&amp;IF(LEN(INDEX('My equipment'!$D$4:$D$503,(_calc!$E$641-500)))=0,"",INDEX('My equipment'!$D$4:$D$503,(_calc!$E$641-500)))))</f>
        <v/>
      </c>
      <c r="B639" s="54">
        <f>IF(_calc!$E$641="","",IF(_calc!$E$641&lt;=500,IF(ISNUMBER(INDEX('Dealer pipeline'!$M$4:$M$503,_calc!$E$641)),TEXT(INDEX('Dealer pipeline'!$M$4:$M$503,_calc!$E$641),"yyyy-mm-dd"),""),IF(ISNUMBER(INDEX('My equipment'!$M$4:$M$503,(_calc!$E$641-500))),TEXT(INDEX('My equipment'!$M$4:$M$503,(_calc!$E$641-500)),"yyyy-mm-dd"),"")))</f>
        <v/>
      </c>
      <c r="C639" s="54">
        <f>IF(_calc!$E$641="","",IF(_calc!$E$641&lt;=500,"Warranty","Warranty"))</f>
        <v/>
      </c>
      <c r="D639" s="54">
        <f>IF(_calc!$E$641="","",IF(_calc!$E$641&lt;=500,IF(ISNUMBER(INDEX('Dealer pipeline'!$H$4:$H$503,_calc!$E$641)),TEXT(INDEX('Dealer pipeline'!$H$4:$H$503,_calc!$E$641),"yyyy-mm-dd"),""),IF(ISNUMBER(INDEX('My equipment'!$H$4:$H$503,(_calc!$E$641-500))),TEXT(INDEX('My equipment'!$H$4:$H$503,(_calc!$E$641-500)),"yyyy-mm-dd"),"")))</f>
        <v/>
      </c>
      <c r="F639" s="54">
        <f>IF(_calc!$E$641="","",IF(_calc!$E$641&lt;=500,TRIM(IF(LEN(IF(LEN(INDEX('Dealer pipeline'!$A$4:$A$503,_calc!$E$641))=0,"",INDEX('Dealer pipeline'!$A$4:$A$503,_calc!$E$641)))=0,"","Customer: "&amp;IF(LEN(INDEX('Dealer pipeline'!$A$4:$A$503,_calc!$E$641))=0,"",INDEX('Dealer pipeline'!$A$4:$A$503,_calc!$E$641))&amp;". ")&amp;IF(LEN(IF(LEN(INDEX('Dealer pipeline'!$B$4:$B$503,_calc!$E$641))=0,"",INDEX('Dealer pipeline'!$B$4:$B$503,_calc!$E$641)))=0,"","Contact: "&amp;IF(LEN(INDEX('Dealer pipeline'!$B$4:$B$503,_calc!$E$641))=0,"",INDEX('Dealer pipeline'!$B$4:$B$503,_calc!$E$641))&amp;". ")&amp;IF(LEN(IF(LEN(INDEX('Dealer pipeline'!$D$4:$D$503,_calc!$E$641))=0,"",INDEX('Dealer pipeline'!$D$4:$D$503,_calc!$E$641)))=0,"","Serial: "&amp;IF(LEN(INDEX('Dealer pipeline'!$D$4:$D$503,_calc!$E$641))=0,"",INDEX('Dealer pipeline'!$D$4:$D$503,_calc!$E$641))&amp;". ")&amp;IF(LEN(IF(ISNUMBER(INDEX('Dealer pipeline'!$J$4:$J$503,_calc!$E$641)),TEXT(INDEX('Dealer pipeline'!$J$4:$J$503,_calc!$E$641),"yyyy-mm-dd"),""))=0,"","Parts end: "&amp;IF(ISNUMBER(INDEX('Dealer pipeline'!$J$4:$J$503,_calc!$E$641)),TEXT(INDEX('Dealer pipeline'!$J$4:$J$503,_calc!$E$641),"yyyy-mm-dd"),"")&amp;". ")&amp;IF(LEN(IF(ISNUMBER(INDEX('Dealer pipeline'!$L$4:$L$503,_calc!$E$641)),TEXT(INDEX('Dealer pipeline'!$L$4:$L$503,_calc!$E$641),"yyyy-mm-dd"),""))=0,"","Labor end: "&amp;IF(ISNUMBER(INDEX('Dealer pipeline'!$L$4:$L$503,_calc!$E$641)),TEXT(INDEX('Dealer pipeline'!$L$4:$L$503,_calc!$E$641),"yyyy-mm-dd"),"")&amp;". ")&amp;IF(LEN(IF(LEN(INDEX('Dealer pipeline'!$Q$4:$Q$503,_calc!$E$641))=0,"",INDEX('Dealer pipeline'!$Q$4:$Q$503,_calc!$E$641)))=0,"","Status: "&amp;IF(LEN(INDEX('Dealer pipeline'!$Q$4:$Q$503,_calc!$E$641))=0,"",INDEX('Dealer pipeline'!$Q$4:$Q$503,_calc!$E$641))&amp;". ")&amp;IF(LEN(IF(LEN(INDEX('Dealer pipeline'!$P$4:$P$503,_calc!$E$641))=0,"",INDEX('Dealer pipeline'!$P$4:$P$503,_calc!$E$641)))=0,"","Last touch: "&amp;IF(LEN(INDEX('Dealer pipeline'!$P$4:$P$503,_calc!$E$641))=0,"",INDEX('Dealer pipeline'!$P$4:$P$503,_calc!$E$641))&amp;". ")&amp;IF(LEN(IF(LEN(INDEX('Dealer pipeline'!$R$4:$R$503,_calc!$E$641))=0,"",INDEX('Dealer pipeline'!$R$4:$R$503,_calc!$E$641)))=0,"","Owner: "&amp;IF(LEN(INDEX('Dealer pipeline'!$R$4:$R$503,_calc!$E$641))=0,"",INDEX('Dealer pipeline'!$R$4:$R$503,_calc!$E$641))&amp;". ")&amp;IF(LEN(IF(LEN(INDEX('Dealer pipeline'!$S$4:$S$503,_calc!$E$641))=0,"",INDEX('Dealer pipeline'!$S$4:$S$503,_calc!$E$641)))=0,"","Backup: "&amp;IF(LEN(INDEX('Dealer pipeline'!$S$4:$S$503,_calc!$E$641))=0,"",INDEX('Dealer pipeline'!$S$4:$S$503,_calc!$E$641))&amp;". ")&amp;IF(LEN(IF(LEN(INDEX('Dealer pipeline'!$T$4:$T$503,_calc!$E$641))=0,"",INDEX('Dealer pipeline'!$T$4:$T$503,_calc!$E$641)))=0,"",IF(LEN(INDEX('Dealer pipeline'!$T$4:$T$503,_calc!$E$641))=0,"",INDEX('Dealer pipeline'!$T$4:$T$503,_calc!$E$641)))),TRIM(IF(LEN(IF(LEN(INDEX('My equipment'!$C$4:$C$503,(_calc!$E$641-500)))=0,"",INDEX('My equipment'!$C$4:$C$503,(_calc!$E$641-500))))=0,"","Model: "&amp;IF(LEN(INDEX('My equipment'!$C$4:$C$503,(_calc!$E$641-500)))=0,"",INDEX('My equipment'!$C$4:$C$503,(_calc!$E$641-500)))&amp;". ")&amp;IF(LEN(IF(LEN(INDEX('My equipment'!$D$4:$D$503,(_calc!$E$641-500)))=0,"",INDEX('My equipment'!$D$4:$D$503,(_calc!$E$641-500))))=0,"","Serial: "&amp;IF(LEN(INDEX('My equipment'!$D$4:$D$503,(_calc!$E$641-500)))=0,"",INDEX('My equipment'!$D$4:$D$503,(_calc!$E$641-500)))&amp;". ")&amp;IF(LEN(IF(ISNUMBER(INDEX('My equipment'!$J$4:$J$503,(_calc!$E$641-500))),TEXT(INDEX('My equipment'!$J$4:$J$503,(_calc!$E$641-500)),"yyyy-mm-dd"),""))=0,"","Parts end: "&amp;IF(ISNUMBER(INDEX('My equipment'!$J$4:$J$503,(_calc!$E$641-500))),TEXT(INDEX('My equipment'!$J$4:$J$503,(_calc!$E$641-500)),"yyyy-mm-dd"),"")&amp;". ")&amp;IF(LEN(IF(ISNUMBER(INDEX('My equipment'!$L$4:$L$503,(_calc!$E$641-500))),TEXT(INDEX('My equipment'!$L$4:$L$503,(_calc!$E$641-500)),"yyyy-mm-dd"),""))=0,"","Labor end: "&amp;IF(ISNUMBER(INDEX('My equipment'!$L$4:$L$503,(_calc!$E$641-500))),TEXT(INDEX('My equipment'!$L$4:$L$503,(_calc!$E$641-500)),"yyyy-mm-dd"),"")&amp;". ")&amp;IF(LEN(IF(ISNUMBER(INDEX('My equipment'!$P$4:$P$503,(_calc!$E$641-500))),TEXT(INDEX('My equipment'!$P$4:$P$503,(_calc!$E$641-500)),"yyyy-mm-dd"),""))=0,"","Check by: "&amp;IF(ISNUMBER(INDEX('My equipment'!$P$4:$P$503,(_calc!$E$641-500))),TEXT(INDEX('My equipment'!$P$4:$P$503,(_calc!$E$641-500)),"yyyy-mm-dd"),"")&amp;". ")&amp;IF(LEN(IF(LEN(INDEX('My equipment'!$Q$4:$Q$503,(_calc!$E$641-500)))=0,"",INDEX('My equipment'!$Q$4:$Q$503,(_calc!$E$641-500))))=0,"","Claim status: "&amp;IF(LEN(INDEX('My equipment'!$Q$4:$Q$503,(_calc!$E$641-500)))=0,"",INDEX('My equipment'!$Q$4:$Q$503,(_calc!$E$641-500)))&amp;". ")&amp;IF(LEN(IF(LEN(INDEX('My equipment'!$R$4:$R$503,(_calc!$E$641-500)))=0,"",INDEX('My equipment'!$R$4:$R$503,(_calc!$E$641-500))))=0,"","Claims contact: "&amp;IF(LEN(INDEX('My equipment'!$R$4:$R$503,(_calc!$E$641-500)))=0,"",INDEX('My equipment'!$R$4:$R$503,(_calc!$E$641-500)))&amp;". ")&amp;IF(LEN(IF(LEN(INDEX('My equipment'!$S$4:$S$503,(_calc!$E$641-500)))=0,"",INDEX('My equipment'!$S$4:$S$503,(_calc!$E$641-500))))=0,"","Claims email: "&amp;IF(LEN(INDEX('My equipment'!$S$4:$S$503,(_calc!$E$641-500)))=0,"",INDEX('My equipment'!$S$4:$S$503,(_calc!$E$641-500)))&amp;". ")&amp;IF(LEN(IF(LEN(INDEX('My equipment'!$U$4:$U$503,(_calc!$E$641-500)))=0,"",INDEX('My equipment'!$U$4:$U$503,(_calc!$E$641-500))))=0,"","Registered: "&amp;IF(LEN(INDEX('My equipment'!$U$4:$U$503,(_calc!$E$641-500)))=0,"",INDEX('My equipment'!$U$4:$U$503,(_calc!$E$641-500)))&amp;". ")&amp;IF(LEN(IF(LEN(INDEX('My equipment'!$V$4:$V$503,(_calc!$E$641-500)))=0,"",INDEX('My equipment'!$V$4:$V$503,(_calc!$E$641-500))))=0,"","Proof on file: "&amp;IF(LEN(INDEX('My equipment'!$V$4:$V$503,(_calc!$E$641-500)))=0,"",INDEX('My equipment'!$V$4:$V$503,(_calc!$E$641-500)))&amp;". ")&amp;IF(LEN(IF(LEN(INDEX('My equipment'!$W$4:$W$503,(_calc!$E$641-500)))=0,"",INDEX('My equipment'!$W$4:$W$503,(_calc!$E$641-500))))=0,"","Claim ref: "&amp;IF(LEN(INDEX('My equipment'!$W$4:$W$503,(_calc!$E$641-500)))=0,"",INDEX('My equipment'!$W$4:$W$503,(_calc!$E$641-500)))&amp;". ")&amp;IF(LEN(IF(LEN(INDEX('My equipment'!$Y$4:$Y$503,(_calc!$E$641-500)))=0,"",INDEX('My equipment'!$Y$4:$Y$503,(_calc!$E$641-500))))=0,"",IF(LEN(INDEX('My equipment'!$Y$4:$Y$503,(_calc!$E$641-500)))=0,"",INDEX('My equipment'!$Y$4:$Y$503,(_calc!$E$641-500)))))))</f>
        <v/>
      </c>
      <c r="G639" s="54">
        <f>IF(_calc!$E$641="","",IF(_calc!$E$641&lt;=500,"",IF(LEN(INDEX('My equipment'!$X$4:$X$503,(_calc!$E$641-500)))=0,"",INDEX('My equipment'!$X$4:$X$503,(_calc!$E$641-500)))))</f>
        <v/>
      </c>
      <c r="K639" s="54">
        <f>IF(_calc!$E$641="","",IF(_calc!$E$641&lt;=500,"",IF(LEN(INDEX('My equipment'!$T$4:$T$503,(_calc!$E$641-500)))=0,"",INDEX('My equipment'!$T$4:$T$503,(_calc!$E$641-500)))))</f>
        <v/>
      </c>
    </row>
    <row r="640">
      <c r="A640" s="54">
        <f>IF(_calc!$E$642="","",IF(_calc!$E$642&lt;=500,"Warranty – "&amp;IF(LEN(INDEX('Dealer pipeline'!$C$4:$C$503,_calc!$E$642))=0,"",INDEX('Dealer pipeline'!$C$4:$C$503,_calc!$E$642))&amp;" – "&amp;IF(LEN(INDEX('Dealer pipeline'!$D$4:$D$503,_calc!$E$642))=0,"",INDEX('Dealer pipeline'!$D$4:$D$503,_calc!$E$642))&amp;" – "&amp;IF(LEN(INDEX('Dealer pipeline'!$A$4:$A$503,_calc!$E$642))=0,"",INDEX('Dealer pipeline'!$A$4:$A$503,_calc!$E$642)),"Warranty – "&amp;IF(LEN(INDEX('My equipment'!$A$4:$A$503,(_calc!$E$642-500)))=0,"",INDEX('My equipment'!$A$4:$A$503,(_calc!$E$642-500)))&amp;" – "&amp;IF(LEN(INDEX('My equipment'!$D$4:$D$503,(_calc!$E$642-500)))=0,"",INDEX('My equipment'!$D$4:$D$503,(_calc!$E$642-500)))))</f>
        <v/>
      </c>
      <c r="B640" s="54">
        <f>IF(_calc!$E$642="","",IF(_calc!$E$642&lt;=500,IF(ISNUMBER(INDEX('Dealer pipeline'!$M$4:$M$503,_calc!$E$642)),TEXT(INDEX('Dealer pipeline'!$M$4:$M$503,_calc!$E$642),"yyyy-mm-dd"),""),IF(ISNUMBER(INDEX('My equipment'!$M$4:$M$503,(_calc!$E$642-500))),TEXT(INDEX('My equipment'!$M$4:$M$503,(_calc!$E$642-500)),"yyyy-mm-dd"),"")))</f>
        <v/>
      </c>
      <c r="C640" s="54">
        <f>IF(_calc!$E$642="","",IF(_calc!$E$642&lt;=500,"Warranty","Warranty"))</f>
        <v/>
      </c>
      <c r="D640" s="54">
        <f>IF(_calc!$E$642="","",IF(_calc!$E$642&lt;=500,IF(ISNUMBER(INDEX('Dealer pipeline'!$H$4:$H$503,_calc!$E$642)),TEXT(INDEX('Dealer pipeline'!$H$4:$H$503,_calc!$E$642),"yyyy-mm-dd"),""),IF(ISNUMBER(INDEX('My equipment'!$H$4:$H$503,(_calc!$E$642-500))),TEXT(INDEX('My equipment'!$H$4:$H$503,(_calc!$E$642-500)),"yyyy-mm-dd"),"")))</f>
        <v/>
      </c>
      <c r="F640" s="54">
        <f>IF(_calc!$E$642="","",IF(_calc!$E$642&lt;=500,TRIM(IF(LEN(IF(LEN(INDEX('Dealer pipeline'!$A$4:$A$503,_calc!$E$642))=0,"",INDEX('Dealer pipeline'!$A$4:$A$503,_calc!$E$642)))=0,"","Customer: "&amp;IF(LEN(INDEX('Dealer pipeline'!$A$4:$A$503,_calc!$E$642))=0,"",INDEX('Dealer pipeline'!$A$4:$A$503,_calc!$E$642))&amp;". ")&amp;IF(LEN(IF(LEN(INDEX('Dealer pipeline'!$B$4:$B$503,_calc!$E$642))=0,"",INDEX('Dealer pipeline'!$B$4:$B$503,_calc!$E$642)))=0,"","Contact: "&amp;IF(LEN(INDEX('Dealer pipeline'!$B$4:$B$503,_calc!$E$642))=0,"",INDEX('Dealer pipeline'!$B$4:$B$503,_calc!$E$642))&amp;". ")&amp;IF(LEN(IF(LEN(INDEX('Dealer pipeline'!$D$4:$D$503,_calc!$E$642))=0,"",INDEX('Dealer pipeline'!$D$4:$D$503,_calc!$E$642)))=0,"","Serial: "&amp;IF(LEN(INDEX('Dealer pipeline'!$D$4:$D$503,_calc!$E$642))=0,"",INDEX('Dealer pipeline'!$D$4:$D$503,_calc!$E$642))&amp;". ")&amp;IF(LEN(IF(ISNUMBER(INDEX('Dealer pipeline'!$J$4:$J$503,_calc!$E$642)),TEXT(INDEX('Dealer pipeline'!$J$4:$J$503,_calc!$E$642),"yyyy-mm-dd"),""))=0,"","Parts end: "&amp;IF(ISNUMBER(INDEX('Dealer pipeline'!$J$4:$J$503,_calc!$E$642)),TEXT(INDEX('Dealer pipeline'!$J$4:$J$503,_calc!$E$642),"yyyy-mm-dd"),"")&amp;". ")&amp;IF(LEN(IF(ISNUMBER(INDEX('Dealer pipeline'!$L$4:$L$503,_calc!$E$642)),TEXT(INDEX('Dealer pipeline'!$L$4:$L$503,_calc!$E$642),"yyyy-mm-dd"),""))=0,"","Labor end: "&amp;IF(ISNUMBER(INDEX('Dealer pipeline'!$L$4:$L$503,_calc!$E$642)),TEXT(INDEX('Dealer pipeline'!$L$4:$L$503,_calc!$E$642),"yyyy-mm-dd"),"")&amp;". ")&amp;IF(LEN(IF(LEN(INDEX('Dealer pipeline'!$Q$4:$Q$503,_calc!$E$642))=0,"",INDEX('Dealer pipeline'!$Q$4:$Q$503,_calc!$E$642)))=0,"","Status: "&amp;IF(LEN(INDEX('Dealer pipeline'!$Q$4:$Q$503,_calc!$E$642))=0,"",INDEX('Dealer pipeline'!$Q$4:$Q$503,_calc!$E$642))&amp;". ")&amp;IF(LEN(IF(LEN(INDEX('Dealer pipeline'!$P$4:$P$503,_calc!$E$642))=0,"",INDEX('Dealer pipeline'!$P$4:$P$503,_calc!$E$642)))=0,"","Last touch: "&amp;IF(LEN(INDEX('Dealer pipeline'!$P$4:$P$503,_calc!$E$642))=0,"",INDEX('Dealer pipeline'!$P$4:$P$503,_calc!$E$642))&amp;". ")&amp;IF(LEN(IF(LEN(INDEX('Dealer pipeline'!$R$4:$R$503,_calc!$E$642))=0,"",INDEX('Dealer pipeline'!$R$4:$R$503,_calc!$E$642)))=0,"","Owner: "&amp;IF(LEN(INDEX('Dealer pipeline'!$R$4:$R$503,_calc!$E$642))=0,"",INDEX('Dealer pipeline'!$R$4:$R$503,_calc!$E$642))&amp;". ")&amp;IF(LEN(IF(LEN(INDEX('Dealer pipeline'!$S$4:$S$503,_calc!$E$642))=0,"",INDEX('Dealer pipeline'!$S$4:$S$503,_calc!$E$642)))=0,"","Backup: "&amp;IF(LEN(INDEX('Dealer pipeline'!$S$4:$S$503,_calc!$E$642))=0,"",INDEX('Dealer pipeline'!$S$4:$S$503,_calc!$E$642))&amp;". ")&amp;IF(LEN(IF(LEN(INDEX('Dealer pipeline'!$T$4:$T$503,_calc!$E$642))=0,"",INDEX('Dealer pipeline'!$T$4:$T$503,_calc!$E$642)))=0,"",IF(LEN(INDEX('Dealer pipeline'!$T$4:$T$503,_calc!$E$642))=0,"",INDEX('Dealer pipeline'!$T$4:$T$503,_calc!$E$642)))),TRIM(IF(LEN(IF(LEN(INDEX('My equipment'!$C$4:$C$503,(_calc!$E$642-500)))=0,"",INDEX('My equipment'!$C$4:$C$503,(_calc!$E$642-500))))=0,"","Model: "&amp;IF(LEN(INDEX('My equipment'!$C$4:$C$503,(_calc!$E$642-500)))=0,"",INDEX('My equipment'!$C$4:$C$503,(_calc!$E$642-500)))&amp;". ")&amp;IF(LEN(IF(LEN(INDEX('My equipment'!$D$4:$D$503,(_calc!$E$642-500)))=0,"",INDEX('My equipment'!$D$4:$D$503,(_calc!$E$642-500))))=0,"","Serial: "&amp;IF(LEN(INDEX('My equipment'!$D$4:$D$503,(_calc!$E$642-500)))=0,"",INDEX('My equipment'!$D$4:$D$503,(_calc!$E$642-500)))&amp;". ")&amp;IF(LEN(IF(ISNUMBER(INDEX('My equipment'!$J$4:$J$503,(_calc!$E$642-500))),TEXT(INDEX('My equipment'!$J$4:$J$503,(_calc!$E$642-500)),"yyyy-mm-dd"),""))=0,"","Parts end: "&amp;IF(ISNUMBER(INDEX('My equipment'!$J$4:$J$503,(_calc!$E$642-500))),TEXT(INDEX('My equipment'!$J$4:$J$503,(_calc!$E$642-500)),"yyyy-mm-dd"),"")&amp;". ")&amp;IF(LEN(IF(ISNUMBER(INDEX('My equipment'!$L$4:$L$503,(_calc!$E$642-500))),TEXT(INDEX('My equipment'!$L$4:$L$503,(_calc!$E$642-500)),"yyyy-mm-dd"),""))=0,"","Labor end: "&amp;IF(ISNUMBER(INDEX('My equipment'!$L$4:$L$503,(_calc!$E$642-500))),TEXT(INDEX('My equipment'!$L$4:$L$503,(_calc!$E$642-500)),"yyyy-mm-dd"),"")&amp;". ")&amp;IF(LEN(IF(ISNUMBER(INDEX('My equipment'!$P$4:$P$503,(_calc!$E$642-500))),TEXT(INDEX('My equipment'!$P$4:$P$503,(_calc!$E$642-500)),"yyyy-mm-dd"),""))=0,"","Check by: "&amp;IF(ISNUMBER(INDEX('My equipment'!$P$4:$P$503,(_calc!$E$642-500))),TEXT(INDEX('My equipment'!$P$4:$P$503,(_calc!$E$642-500)),"yyyy-mm-dd"),"")&amp;". ")&amp;IF(LEN(IF(LEN(INDEX('My equipment'!$Q$4:$Q$503,(_calc!$E$642-500)))=0,"",INDEX('My equipment'!$Q$4:$Q$503,(_calc!$E$642-500))))=0,"","Claim status: "&amp;IF(LEN(INDEX('My equipment'!$Q$4:$Q$503,(_calc!$E$642-500)))=0,"",INDEX('My equipment'!$Q$4:$Q$503,(_calc!$E$642-500)))&amp;". ")&amp;IF(LEN(IF(LEN(INDEX('My equipment'!$R$4:$R$503,(_calc!$E$642-500)))=0,"",INDEX('My equipment'!$R$4:$R$503,(_calc!$E$642-500))))=0,"","Claims contact: "&amp;IF(LEN(INDEX('My equipment'!$R$4:$R$503,(_calc!$E$642-500)))=0,"",INDEX('My equipment'!$R$4:$R$503,(_calc!$E$642-500)))&amp;". ")&amp;IF(LEN(IF(LEN(INDEX('My equipment'!$S$4:$S$503,(_calc!$E$642-500)))=0,"",INDEX('My equipment'!$S$4:$S$503,(_calc!$E$642-500))))=0,"","Claims email: "&amp;IF(LEN(INDEX('My equipment'!$S$4:$S$503,(_calc!$E$642-500)))=0,"",INDEX('My equipment'!$S$4:$S$503,(_calc!$E$642-500)))&amp;". ")&amp;IF(LEN(IF(LEN(INDEX('My equipment'!$U$4:$U$503,(_calc!$E$642-500)))=0,"",INDEX('My equipment'!$U$4:$U$503,(_calc!$E$642-500))))=0,"","Registered: "&amp;IF(LEN(INDEX('My equipment'!$U$4:$U$503,(_calc!$E$642-500)))=0,"",INDEX('My equipment'!$U$4:$U$503,(_calc!$E$642-500)))&amp;". ")&amp;IF(LEN(IF(LEN(INDEX('My equipment'!$V$4:$V$503,(_calc!$E$642-500)))=0,"",INDEX('My equipment'!$V$4:$V$503,(_calc!$E$642-500))))=0,"","Proof on file: "&amp;IF(LEN(INDEX('My equipment'!$V$4:$V$503,(_calc!$E$642-500)))=0,"",INDEX('My equipment'!$V$4:$V$503,(_calc!$E$642-500)))&amp;". ")&amp;IF(LEN(IF(LEN(INDEX('My equipment'!$W$4:$W$503,(_calc!$E$642-500)))=0,"",INDEX('My equipment'!$W$4:$W$503,(_calc!$E$642-500))))=0,"","Claim ref: "&amp;IF(LEN(INDEX('My equipment'!$W$4:$W$503,(_calc!$E$642-500)))=0,"",INDEX('My equipment'!$W$4:$W$503,(_calc!$E$642-500)))&amp;". ")&amp;IF(LEN(IF(LEN(INDEX('My equipment'!$Y$4:$Y$503,(_calc!$E$642-500)))=0,"",INDEX('My equipment'!$Y$4:$Y$503,(_calc!$E$642-500))))=0,"",IF(LEN(INDEX('My equipment'!$Y$4:$Y$503,(_calc!$E$642-500)))=0,"",INDEX('My equipment'!$Y$4:$Y$503,(_calc!$E$642-500)))))))</f>
        <v/>
      </c>
      <c r="G640" s="54">
        <f>IF(_calc!$E$642="","",IF(_calc!$E$642&lt;=500,"",IF(LEN(INDEX('My equipment'!$X$4:$X$503,(_calc!$E$642-500)))=0,"",INDEX('My equipment'!$X$4:$X$503,(_calc!$E$642-500)))))</f>
        <v/>
      </c>
      <c r="K640" s="54">
        <f>IF(_calc!$E$642="","",IF(_calc!$E$642&lt;=500,"",IF(LEN(INDEX('My equipment'!$T$4:$T$503,(_calc!$E$642-500)))=0,"",INDEX('My equipment'!$T$4:$T$503,(_calc!$E$642-500)))))</f>
        <v/>
      </c>
    </row>
    <row r="641">
      <c r="A641" s="54">
        <f>IF(_calc!$E$643="","",IF(_calc!$E$643&lt;=500,"Warranty – "&amp;IF(LEN(INDEX('Dealer pipeline'!$C$4:$C$503,_calc!$E$643))=0,"",INDEX('Dealer pipeline'!$C$4:$C$503,_calc!$E$643))&amp;" – "&amp;IF(LEN(INDEX('Dealer pipeline'!$D$4:$D$503,_calc!$E$643))=0,"",INDEX('Dealer pipeline'!$D$4:$D$503,_calc!$E$643))&amp;" – "&amp;IF(LEN(INDEX('Dealer pipeline'!$A$4:$A$503,_calc!$E$643))=0,"",INDEX('Dealer pipeline'!$A$4:$A$503,_calc!$E$643)),"Warranty – "&amp;IF(LEN(INDEX('My equipment'!$A$4:$A$503,(_calc!$E$643-500)))=0,"",INDEX('My equipment'!$A$4:$A$503,(_calc!$E$643-500)))&amp;" – "&amp;IF(LEN(INDEX('My equipment'!$D$4:$D$503,(_calc!$E$643-500)))=0,"",INDEX('My equipment'!$D$4:$D$503,(_calc!$E$643-500)))))</f>
        <v/>
      </c>
      <c r="B641" s="54">
        <f>IF(_calc!$E$643="","",IF(_calc!$E$643&lt;=500,IF(ISNUMBER(INDEX('Dealer pipeline'!$M$4:$M$503,_calc!$E$643)),TEXT(INDEX('Dealer pipeline'!$M$4:$M$503,_calc!$E$643),"yyyy-mm-dd"),""),IF(ISNUMBER(INDEX('My equipment'!$M$4:$M$503,(_calc!$E$643-500))),TEXT(INDEX('My equipment'!$M$4:$M$503,(_calc!$E$643-500)),"yyyy-mm-dd"),"")))</f>
        <v/>
      </c>
      <c r="C641" s="54">
        <f>IF(_calc!$E$643="","",IF(_calc!$E$643&lt;=500,"Warranty","Warranty"))</f>
        <v/>
      </c>
      <c r="D641" s="54">
        <f>IF(_calc!$E$643="","",IF(_calc!$E$643&lt;=500,IF(ISNUMBER(INDEX('Dealer pipeline'!$H$4:$H$503,_calc!$E$643)),TEXT(INDEX('Dealer pipeline'!$H$4:$H$503,_calc!$E$643),"yyyy-mm-dd"),""),IF(ISNUMBER(INDEX('My equipment'!$H$4:$H$503,(_calc!$E$643-500))),TEXT(INDEX('My equipment'!$H$4:$H$503,(_calc!$E$643-500)),"yyyy-mm-dd"),"")))</f>
        <v/>
      </c>
      <c r="F641" s="54">
        <f>IF(_calc!$E$643="","",IF(_calc!$E$643&lt;=500,TRIM(IF(LEN(IF(LEN(INDEX('Dealer pipeline'!$A$4:$A$503,_calc!$E$643))=0,"",INDEX('Dealer pipeline'!$A$4:$A$503,_calc!$E$643)))=0,"","Customer: "&amp;IF(LEN(INDEX('Dealer pipeline'!$A$4:$A$503,_calc!$E$643))=0,"",INDEX('Dealer pipeline'!$A$4:$A$503,_calc!$E$643))&amp;". ")&amp;IF(LEN(IF(LEN(INDEX('Dealer pipeline'!$B$4:$B$503,_calc!$E$643))=0,"",INDEX('Dealer pipeline'!$B$4:$B$503,_calc!$E$643)))=0,"","Contact: "&amp;IF(LEN(INDEX('Dealer pipeline'!$B$4:$B$503,_calc!$E$643))=0,"",INDEX('Dealer pipeline'!$B$4:$B$503,_calc!$E$643))&amp;". ")&amp;IF(LEN(IF(LEN(INDEX('Dealer pipeline'!$D$4:$D$503,_calc!$E$643))=0,"",INDEX('Dealer pipeline'!$D$4:$D$503,_calc!$E$643)))=0,"","Serial: "&amp;IF(LEN(INDEX('Dealer pipeline'!$D$4:$D$503,_calc!$E$643))=0,"",INDEX('Dealer pipeline'!$D$4:$D$503,_calc!$E$643))&amp;". ")&amp;IF(LEN(IF(ISNUMBER(INDEX('Dealer pipeline'!$J$4:$J$503,_calc!$E$643)),TEXT(INDEX('Dealer pipeline'!$J$4:$J$503,_calc!$E$643),"yyyy-mm-dd"),""))=0,"","Parts end: "&amp;IF(ISNUMBER(INDEX('Dealer pipeline'!$J$4:$J$503,_calc!$E$643)),TEXT(INDEX('Dealer pipeline'!$J$4:$J$503,_calc!$E$643),"yyyy-mm-dd"),"")&amp;". ")&amp;IF(LEN(IF(ISNUMBER(INDEX('Dealer pipeline'!$L$4:$L$503,_calc!$E$643)),TEXT(INDEX('Dealer pipeline'!$L$4:$L$503,_calc!$E$643),"yyyy-mm-dd"),""))=0,"","Labor end: "&amp;IF(ISNUMBER(INDEX('Dealer pipeline'!$L$4:$L$503,_calc!$E$643)),TEXT(INDEX('Dealer pipeline'!$L$4:$L$503,_calc!$E$643),"yyyy-mm-dd"),"")&amp;". ")&amp;IF(LEN(IF(LEN(INDEX('Dealer pipeline'!$Q$4:$Q$503,_calc!$E$643))=0,"",INDEX('Dealer pipeline'!$Q$4:$Q$503,_calc!$E$643)))=0,"","Status: "&amp;IF(LEN(INDEX('Dealer pipeline'!$Q$4:$Q$503,_calc!$E$643))=0,"",INDEX('Dealer pipeline'!$Q$4:$Q$503,_calc!$E$643))&amp;". ")&amp;IF(LEN(IF(LEN(INDEX('Dealer pipeline'!$P$4:$P$503,_calc!$E$643))=0,"",INDEX('Dealer pipeline'!$P$4:$P$503,_calc!$E$643)))=0,"","Last touch: "&amp;IF(LEN(INDEX('Dealer pipeline'!$P$4:$P$503,_calc!$E$643))=0,"",INDEX('Dealer pipeline'!$P$4:$P$503,_calc!$E$643))&amp;". ")&amp;IF(LEN(IF(LEN(INDEX('Dealer pipeline'!$R$4:$R$503,_calc!$E$643))=0,"",INDEX('Dealer pipeline'!$R$4:$R$503,_calc!$E$643)))=0,"","Owner: "&amp;IF(LEN(INDEX('Dealer pipeline'!$R$4:$R$503,_calc!$E$643))=0,"",INDEX('Dealer pipeline'!$R$4:$R$503,_calc!$E$643))&amp;". ")&amp;IF(LEN(IF(LEN(INDEX('Dealer pipeline'!$S$4:$S$503,_calc!$E$643))=0,"",INDEX('Dealer pipeline'!$S$4:$S$503,_calc!$E$643)))=0,"","Backup: "&amp;IF(LEN(INDEX('Dealer pipeline'!$S$4:$S$503,_calc!$E$643))=0,"",INDEX('Dealer pipeline'!$S$4:$S$503,_calc!$E$643))&amp;". ")&amp;IF(LEN(IF(LEN(INDEX('Dealer pipeline'!$T$4:$T$503,_calc!$E$643))=0,"",INDEX('Dealer pipeline'!$T$4:$T$503,_calc!$E$643)))=0,"",IF(LEN(INDEX('Dealer pipeline'!$T$4:$T$503,_calc!$E$643))=0,"",INDEX('Dealer pipeline'!$T$4:$T$503,_calc!$E$643)))),TRIM(IF(LEN(IF(LEN(INDEX('My equipment'!$C$4:$C$503,(_calc!$E$643-500)))=0,"",INDEX('My equipment'!$C$4:$C$503,(_calc!$E$643-500))))=0,"","Model: "&amp;IF(LEN(INDEX('My equipment'!$C$4:$C$503,(_calc!$E$643-500)))=0,"",INDEX('My equipment'!$C$4:$C$503,(_calc!$E$643-500)))&amp;". ")&amp;IF(LEN(IF(LEN(INDEX('My equipment'!$D$4:$D$503,(_calc!$E$643-500)))=0,"",INDEX('My equipment'!$D$4:$D$503,(_calc!$E$643-500))))=0,"","Serial: "&amp;IF(LEN(INDEX('My equipment'!$D$4:$D$503,(_calc!$E$643-500)))=0,"",INDEX('My equipment'!$D$4:$D$503,(_calc!$E$643-500)))&amp;". ")&amp;IF(LEN(IF(ISNUMBER(INDEX('My equipment'!$J$4:$J$503,(_calc!$E$643-500))),TEXT(INDEX('My equipment'!$J$4:$J$503,(_calc!$E$643-500)),"yyyy-mm-dd"),""))=0,"","Parts end: "&amp;IF(ISNUMBER(INDEX('My equipment'!$J$4:$J$503,(_calc!$E$643-500))),TEXT(INDEX('My equipment'!$J$4:$J$503,(_calc!$E$643-500)),"yyyy-mm-dd"),"")&amp;". ")&amp;IF(LEN(IF(ISNUMBER(INDEX('My equipment'!$L$4:$L$503,(_calc!$E$643-500))),TEXT(INDEX('My equipment'!$L$4:$L$503,(_calc!$E$643-500)),"yyyy-mm-dd"),""))=0,"","Labor end: "&amp;IF(ISNUMBER(INDEX('My equipment'!$L$4:$L$503,(_calc!$E$643-500))),TEXT(INDEX('My equipment'!$L$4:$L$503,(_calc!$E$643-500)),"yyyy-mm-dd"),"")&amp;". ")&amp;IF(LEN(IF(ISNUMBER(INDEX('My equipment'!$P$4:$P$503,(_calc!$E$643-500))),TEXT(INDEX('My equipment'!$P$4:$P$503,(_calc!$E$643-500)),"yyyy-mm-dd"),""))=0,"","Check by: "&amp;IF(ISNUMBER(INDEX('My equipment'!$P$4:$P$503,(_calc!$E$643-500))),TEXT(INDEX('My equipment'!$P$4:$P$503,(_calc!$E$643-500)),"yyyy-mm-dd"),"")&amp;". ")&amp;IF(LEN(IF(LEN(INDEX('My equipment'!$Q$4:$Q$503,(_calc!$E$643-500)))=0,"",INDEX('My equipment'!$Q$4:$Q$503,(_calc!$E$643-500))))=0,"","Claim status: "&amp;IF(LEN(INDEX('My equipment'!$Q$4:$Q$503,(_calc!$E$643-500)))=0,"",INDEX('My equipment'!$Q$4:$Q$503,(_calc!$E$643-500)))&amp;". ")&amp;IF(LEN(IF(LEN(INDEX('My equipment'!$R$4:$R$503,(_calc!$E$643-500)))=0,"",INDEX('My equipment'!$R$4:$R$503,(_calc!$E$643-500))))=0,"","Claims contact: "&amp;IF(LEN(INDEX('My equipment'!$R$4:$R$503,(_calc!$E$643-500)))=0,"",INDEX('My equipment'!$R$4:$R$503,(_calc!$E$643-500)))&amp;". ")&amp;IF(LEN(IF(LEN(INDEX('My equipment'!$S$4:$S$503,(_calc!$E$643-500)))=0,"",INDEX('My equipment'!$S$4:$S$503,(_calc!$E$643-500))))=0,"","Claims email: "&amp;IF(LEN(INDEX('My equipment'!$S$4:$S$503,(_calc!$E$643-500)))=0,"",INDEX('My equipment'!$S$4:$S$503,(_calc!$E$643-500)))&amp;". ")&amp;IF(LEN(IF(LEN(INDEX('My equipment'!$U$4:$U$503,(_calc!$E$643-500)))=0,"",INDEX('My equipment'!$U$4:$U$503,(_calc!$E$643-500))))=0,"","Registered: "&amp;IF(LEN(INDEX('My equipment'!$U$4:$U$503,(_calc!$E$643-500)))=0,"",INDEX('My equipment'!$U$4:$U$503,(_calc!$E$643-500)))&amp;". ")&amp;IF(LEN(IF(LEN(INDEX('My equipment'!$V$4:$V$503,(_calc!$E$643-500)))=0,"",INDEX('My equipment'!$V$4:$V$503,(_calc!$E$643-500))))=0,"","Proof on file: "&amp;IF(LEN(INDEX('My equipment'!$V$4:$V$503,(_calc!$E$643-500)))=0,"",INDEX('My equipment'!$V$4:$V$503,(_calc!$E$643-500)))&amp;". ")&amp;IF(LEN(IF(LEN(INDEX('My equipment'!$W$4:$W$503,(_calc!$E$643-500)))=0,"",INDEX('My equipment'!$W$4:$W$503,(_calc!$E$643-500))))=0,"","Claim ref: "&amp;IF(LEN(INDEX('My equipment'!$W$4:$W$503,(_calc!$E$643-500)))=0,"",INDEX('My equipment'!$W$4:$W$503,(_calc!$E$643-500)))&amp;". ")&amp;IF(LEN(IF(LEN(INDEX('My equipment'!$Y$4:$Y$503,(_calc!$E$643-500)))=0,"",INDEX('My equipment'!$Y$4:$Y$503,(_calc!$E$643-500))))=0,"",IF(LEN(INDEX('My equipment'!$Y$4:$Y$503,(_calc!$E$643-500)))=0,"",INDEX('My equipment'!$Y$4:$Y$503,(_calc!$E$643-500)))))))</f>
        <v/>
      </c>
      <c r="G641" s="54">
        <f>IF(_calc!$E$643="","",IF(_calc!$E$643&lt;=500,"",IF(LEN(INDEX('My equipment'!$X$4:$X$503,(_calc!$E$643-500)))=0,"",INDEX('My equipment'!$X$4:$X$503,(_calc!$E$643-500)))))</f>
        <v/>
      </c>
      <c r="K641" s="54">
        <f>IF(_calc!$E$643="","",IF(_calc!$E$643&lt;=500,"",IF(LEN(INDEX('My equipment'!$T$4:$T$503,(_calc!$E$643-500)))=0,"",INDEX('My equipment'!$T$4:$T$503,(_calc!$E$643-500)))))</f>
        <v/>
      </c>
    </row>
    <row r="642">
      <c r="A642" s="54">
        <f>IF(_calc!$E$644="","",IF(_calc!$E$644&lt;=500,"Warranty – "&amp;IF(LEN(INDEX('Dealer pipeline'!$C$4:$C$503,_calc!$E$644))=0,"",INDEX('Dealer pipeline'!$C$4:$C$503,_calc!$E$644))&amp;" – "&amp;IF(LEN(INDEX('Dealer pipeline'!$D$4:$D$503,_calc!$E$644))=0,"",INDEX('Dealer pipeline'!$D$4:$D$503,_calc!$E$644))&amp;" – "&amp;IF(LEN(INDEX('Dealer pipeline'!$A$4:$A$503,_calc!$E$644))=0,"",INDEX('Dealer pipeline'!$A$4:$A$503,_calc!$E$644)),"Warranty – "&amp;IF(LEN(INDEX('My equipment'!$A$4:$A$503,(_calc!$E$644-500)))=0,"",INDEX('My equipment'!$A$4:$A$503,(_calc!$E$644-500)))&amp;" – "&amp;IF(LEN(INDEX('My equipment'!$D$4:$D$503,(_calc!$E$644-500)))=0,"",INDEX('My equipment'!$D$4:$D$503,(_calc!$E$644-500)))))</f>
        <v/>
      </c>
      <c r="B642" s="54">
        <f>IF(_calc!$E$644="","",IF(_calc!$E$644&lt;=500,IF(ISNUMBER(INDEX('Dealer pipeline'!$M$4:$M$503,_calc!$E$644)),TEXT(INDEX('Dealer pipeline'!$M$4:$M$503,_calc!$E$644),"yyyy-mm-dd"),""),IF(ISNUMBER(INDEX('My equipment'!$M$4:$M$503,(_calc!$E$644-500))),TEXT(INDEX('My equipment'!$M$4:$M$503,(_calc!$E$644-500)),"yyyy-mm-dd"),"")))</f>
        <v/>
      </c>
      <c r="C642" s="54">
        <f>IF(_calc!$E$644="","",IF(_calc!$E$644&lt;=500,"Warranty","Warranty"))</f>
        <v/>
      </c>
      <c r="D642" s="54">
        <f>IF(_calc!$E$644="","",IF(_calc!$E$644&lt;=500,IF(ISNUMBER(INDEX('Dealer pipeline'!$H$4:$H$503,_calc!$E$644)),TEXT(INDEX('Dealer pipeline'!$H$4:$H$503,_calc!$E$644),"yyyy-mm-dd"),""),IF(ISNUMBER(INDEX('My equipment'!$H$4:$H$503,(_calc!$E$644-500))),TEXT(INDEX('My equipment'!$H$4:$H$503,(_calc!$E$644-500)),"yyyy-mm-dd"),"")))</f>
        <v/>
      </c>
      <c r="F642" s="54">
        <f>IF(_calc!$E$644="","",IF(_calc!$E$644&lt;=500,TRIM(IF(LEN(IF(LEN(INDEX('Dealer pipeline'!$A$4:$A$503,_calc!$E$644))=0,"",INDEX('Dealer pipeline'!$A$4:$A$503,_calc!$E$644)))=0,"","Customer: "&amp;IF(LEN(INDEX('Dealer pipeline'!$A$4:$A$503,_calc!$E$644))=0,"",INDEX('Dealer pipeline'!$A$4:$A$503,_calc!$E$644))&amp;". ")&amp;IF(LEN(IF(LEN(INDEX('Dealer pipeline'!$B$4:$B$503,_calc!$E$644))=0,"",INDEX('Dealer pipeline'!$B$4:$B$503,_calc!$E$644)))=0,"","Contact: "&amp;IF(LEN(INDEX('Dealer pipeline'!$B$4:$B$503,_calc!$E$644))=0,"",INDEX('Dealer pipeline'!$B$4:$B$503,_calc!$E$644))&amp;". ")&amp;IF(LEN(IF(LEN(INDEX('Dealer pipeline'!$D$4:$D$503,_calc!$E$644))=0,"",INDEX('Dealer pipeline'!$D$4:$D$503,_calc!$E$644)))=0,"","Serial: "&amp;IF(LEN(INDEX('Dealer pipeline'!$D$4:$D$503,_calc!$E$644))=0,"",INDEX('Dealer pipeline'!$D$4:$D$503,_calc!$E$644))&amp;". ")&amp;IF(LEN(IF(ISNUMBER(INDEX('Dealer pipeline'!$J$4:$J$503,_calc!$E$644)),TEXT(INDEX('Dealer pipeline'!$J$4:$J$503,_calc!$E$644),"yyyy-mm-dd"),""))=0,"","Parts end: "&amp;IF(ISNUMBER(INDEX('Dealer pipeline'!$J$4:$J$503,_calc!$E$644)),TEXT(INDEX('Dealer pipeline'!$J$4:$J$503,_calc!$E$644),"yyyy-mm-dd"),"")&amp;". ")&amp;IF(LEN(IF(ISNUMBER(INDEX('Dealer pipeline'!$L$4:$L$503,_calc!$E$644)),TEXT(INDEX('Dealer pipeline'!$L$4:$L$503,_calc!$E$644),"yyyy-mm-dd"),""))=0,"","Labor end: "&amp;IF(ISNUMBER(INDEX('Dealer pipeline'!$L$4:$L$503,_calc!$E$644)),TEXT(INDEX('Dealer pipeline'!$L$4:$L$503,_calc!$E$644),"yyyy-mm-dd"),"")&amp;". ")&amp;IF(LEN(IF(LEN(INDEX('Dealer pipeline'!$Q$4:$Q$503,_calc!$E$644))=0,"",INDEX('Dealer pipeline'!$Q$4:$Q$503,_calc!$E$644)))=0,"","Status: "&amp;IF(LEN(INDEX('Dealer pipeline'!$Q$4:$Q$503,_calc!$E$644))=0,"",INDEX('Dealer pipeline'!$Q$4:$Q$503,_calc!$E$644))&amp;". ")&amp;IF(LEN(IF(LEN(INDEX('Dealer pipeline'!$P$4:$P$503,_calc!$E$644))=0,"",INDEX('Dealer pipeline'!$P$4:$P$503,_calc!$E$644)))=0,"","Last touch: "&amp;IF(LEN(INDEX('Dealer pipeline'!$P$4:$P$503,_calc!$E$644))=0,"",INDEX('Dealer pipeline'!$P$4:$P$503,_calc!$E$644))&amp;". ")&amp;IF(LEN(IF(LEN(INDEX('Dealer pipeline'!$R$4:$R$503,_calc!$E$644))=0,"",INDEX('Dealer pipeline'!$R$4:$R$503,_calc!$E$644)))=0,"","Owner: "&amp;IF(LEN(INDEX('Dealer pipeline'!$R$4:$R$503,_calc!$E$644))=0,"",INDEX('Dealer pipeline'!$R$4:$R$503,_calc!$E$644))&amp;". ")&amp;IF(LEN(IF(LEN(INDEX('Dealer pipeline'!$S$4:$S$503,_calc!$E$644))=0,"",INDEX('Dealer pipeline'!$S$4:$S$503,_calc!$E$644)))=0,"","Backup: "&amp;IF(LEN(INDEX('Dealer pipeline'!$S$4:$S$503,_calc!$E$644))=0,"",INDEX('Dealer pipeline'!$S$4:$S$503,_calc!$E$644))&amp;". ")&amp;IF(LEN(IF(LEN(INDEX('Dealer pipeline'!$T$4:$T$503,_calc!$E$644))=0,"",INDEX('Dealer pipeline'!$T$4:$T$503,_calc!$E$644)))=0,"",IF(LEN(INDEX('Dealer pipeline'!$T$4:$T$503,_calc!$E$644))=0,"",INDEX('Dealer pipeline'!$T$4:$T$503,_calc!$E$644)))),TRIM(IF(LEN(IF(LEN(INDEX('My equipment'!$C$4:$C$503,(_calc!$E$644-500)))=0,"",INDEX('My equipment'!$C$4:$C$503,(_calc!$E$644-500))))=0,"","Model: "&amp;IF(LEN(INDEX('My equipment'!$C$4:$C$503,(_calc!$E$644-500)))=0,"",INDEX('My equipment'!$C$4:$C$503,(_calc!$E$644-500)))&amp;". ")&amp;IF(LEN(IF(LEN(INDEX('My equipment'!$D$4:$D$503,(_calc!$E$644-500)))=0,"",INDEX('My equipment'!$D$4:$D$503,(_calc!$E$644-500))))=0,"","Serial: "&amp;IF(LEN(INDEX('My equipment'!$D$4:$D$503,(_calc!$E$644-500)))=0,"",INDEX('My equipment'!$D$4:$D$503,(_calc!$E$644-500)))&amp;". ")&amp;IF(LEN(IF(ISNUMBER(INDEX('My equipment'!$J$4:$J$503,(_calc!$E$644-500))),TEXT(INDEX('My equipment'!$J$4:$J$503,(_calc!$E$644-500)),"yyyy-mm-dd"),""))=0,"","Parts end: "&amp;IF(ISNUMBER(INDEX('My equipment'!$J$4:$J$503,(_calc!$E$644-500))),TEXT(INDEX('My equipment'!$J$4:$J$503,(_calc!$E$644-500)),"yyyy-mm-dd"),"")&amp;". ")&amp;IF(LEN(IF(ISNUMBER(INDEX('My equipment'!$L$4:$L$503,(_calc!$E$644-500))),TEXT(INDEX('My equipment'!$L$4:$L$503,(_calc!$E$644-500)),"yyyy-mm-dd"),""))=0,"","Labor end: "&amp;IF(ISNUMBER(INDEX('My equipment'!$L$4:$L$503,(_calc!$E$644-500))),TEXT(INDEX('My equipment'!$L$4:$L$503,(_calc!$E$644-500)),"yyyy-mm-dd"),"")&amp;". ")&amp;IF(LEN(IF(ISNUMBER(INDEX('My equipment'!$P$4:$P$503,(_calc!$E$644-500))),TEXT(INDEX('My equipment'!$P$4:$P$503,(_calc!$E$644-500)),"yyyy-mm-dd"),""))=0,"","Check by: "&amp;IF(ISNUMBER(INDEX('My equipment'!$P$4:$P$503,(_calc!$E$644-500))),TEXT(INDEX('My equipment'!$P$4:$P$503,(_calc!$E$644-500)),"yyyy-mm-dd"),"")&amp;". ")&amp;IF(LEN(IF(LEN(INDEX('My equipment'!$Q$4:$Q$503,(_calc!$E$644-500)))=0,"",INDEX('My equipment'!$Q$4:$Q$503,(_calc!$E$644-500))))=0,"","Claim status: "&amp;IF(LEN(INDEX('My equipment'!$Q$4:$Q$503,(_calc!$E$644-500)))=0,"",INDEX('My equipment'!$Q$4:$Q$503,(_calc!$E$644-500)))&amp;". ")&amp;IF(LEN(IF(LEN(INDEX('My equipment'!$R$4:$R$503,(_calc!$E$644-500)))=0,"",INDEX('My equipment'!$R$4:$R$503,(_calc!$E$644-500))))=0,"","Claims contact: "&amp;IF(LEN(INDEX('My equipment'!$R$4:$R$503,(_calc!$E$644-500)))=0,"",INDEX('My equipment'!$R$4:$R$503,(_calc!$E$644-500)))&amp;". ")&amp;IF(LEN(IF(LEN(INDEX('My equipment'!$S$4:$S$503,(_calc!$E$644-500)))=0,"",INDEX('My equipment'!$S$4:$S$503,(_calc!$E$644-500))))=0,"","Claims email: "&amp;IF(LEN(INDEX('My equipment'!$S$4:$S$503,(_calc!$E$644-500)))=0,"",INDEX('My equipment'!$S$4:$S$503,(_calc!$E$644-500)))&amp;". ")&amp;IF(LEN(IF(LEN(INDEX('My equipment'!$U$4:$U$503,(_calc!$E$644-500)))=0,"",INDEX('My equipment'!$U$4:$U$503,(_calc!$E$644-500))))=0,"","Registered: "&amp;IF(LEN(INDEX('My equipment'!$U$4:$U$503,(_calc!$E$644-500)))=0,"",INDEX('My equipment'!$U$4:$U$503,(_calc!$E$644-500)))&amp;". ")&amp;IF(LEN(IF(LEN(INDEX('My equipment'!$V$4:$V$503,(_calc!$E$644-500)))=0,"",INDEX('My equipment'!$V$4:$V$503,(_calc!$E$644-500))))=0,"","Proof on file: "&amp;IF(LEN(INDEX('My equipment'!$V$4:$V$503,(_calc!$E$644-500)))=0,"",INDEX('My equipment'!$V$4:$V$503,(_calc!$E$644-500)))&amp;". ")&amp;IF(LEN(IF(LEN(INDEX('My equipment'!$W$4:$W$503,(_calc!$E$644-500)))=0,"",INDEX('My equipment'!$W$4:$W$503,(_calc!$E$644-500))))=0,"","Claim ref: "&amp;IF(LEN(INDEX('My equipment'!$W$4:$W$503,(_calc!$E$644-500)))=0,"",INDEX('My equipment'!$W$4:$W$503,(_calc!$E$644-500)))&amp;". ")&amp;IF(LEN(IF(LEN(INDEX('My equipment'!$Y$4:$Y$503,(_calc!$E$644-500)))=0,"",INDEX('My equipment'!$Y$4:$Y$503,(_calc!$E$644-500))))=0,"",IF(LEN(INDEX('My equipment'!$Y$4:$Y$503,(_calc!$E$644-500)))=0,"",INDEX('My equipment'!$Y$4:$Y$503,(_calc!$E$644-500)))))))</f>
        <v/>
      </c>
      <c r="G642" s="54">
        <f>IF(_calc!$E$644="","",IF(_calc!$E$644&lt;=500,"",IF(LEN(INDEX('My equipment'!$X$4:$X$503,(_calc!$E$644-500)))=0,"",INDEX('My equipment'!$X$4:$X$503,(_calc!$E$644-500)))))</f>
        <v/>
      </c>
      <c r="K642" s="54">
        <f>IF(_calc!$E$644="","",IF(_calc!$E$644&lt;=500,"",IF(LEN(INDEX('My equipment'!$T$4:$T$503,(_calc!$E$644-500)))=0,"",INDEX('My equipment'!$T$4:$T$503,(_calc!$E$644-500)))))</f>
        <v/>
      </c>
    </row>
    <row r="643">
      <c r="A643" s="54">
        <f>IF(_calc!$E$645="","",IF(_calc!$E$645&lt;=500,"Warranty – "&amp;IF(LEN(INDEX('Dealer pipeline'!$C$4:$C$503,_calc!$E$645))=0,"",INDEX('Dealer pipeline'!$C$4:$C$503,_calc!$E$645))&amp;" – "&amp;IF(LEN(INDEX('Dealer pipeline'!$D$4:$D$503,_calc!$E$645))=0,"",INDEX('Dealer pipeline'!$D$4:$D$503,_calc!$E$645))&amp;" – "&amp;IF(LEN(INDEX('Dealer pipeline'!$A$4:$A$503,_calc!$E$645))=0,"",INDEX('Dealer pipeline'!$A$4:$A$503,_calc!$E$645)),"Warranty – "&amp;IF(LEN(INDEX('My equipment'!$A$4:$A$503,(_calc!$E$645-500)))=0,"",INDEX('My equipment'!$A$4:$A$503,(_calc!$E$645-500)))&amp;" – "&amp;IF(LEN(INDEX('My equipment'!$D$4:$D$503,(_calc!$E$645-500)))=0,"",INDEX('My equipment'!$D$4:$D$503,(_calc!$E$645-500)))))</f>
        <v/>
      </c>
      <c r="B643" s="54">
        <f>IF(_calc!$E$645="","",IF(_calc!$E$645&lt;=500,IF(ISNUMBER(INDEX('Dealer pipeline'!$M$4:$M$503,_calc!$E$645)),TEXT(INDEX('Dealer pipeline'!$M$4:$M$503,_calc!$E$645),"yyyy-mm-dd"),""),IF(ISNUMBER(INDEX('My equipment'!$M$4:$M$503,(_calc!$E$645-500))),TEXT(INDEX('My equipment'!$M$4:$M$503,(_calc!$E$645-500)),"yyyy-mm-dd"),"")))</f>
        <v/>
      </c>
      <c r="C643" s="54">
        <f>IF(_calc!$E$645="","",IF(_calc!$E$645&lt;=500,"Warranty","Warranty"))</f>
        <v/>
      </c>
      <c r="D643" s="54">
        <f>IF(_calc!$E$645="","",IF(_calc!$E$645&lt;=500,IF(ISNUMBER(INDEX('Dealer pipeline'!$H$4:$H$503,_calc!$E$645)),TEXT(INDEX('Dealer pipeline'!$H$4:$H$503,_calc!$E$645),"yyyy-mm-dd"),""),IF(ISNUMBER(INDEX('My equipment'!$H$4:$H$503,(_calc!$E$645-500))),TEXT(INDEX('My equipment'!$H$4:$H$503,(_calc!$E$645-500)),"yyyy-mm-dd"),"")))</f>
        <v/>
      </c>
      <c r="F643" s="54">
        <f>IF(_calc!$E$645="","",IF(_calc!$E$645&lt;=500,TRIM(IF(LEN(IF(LEN(INDEX('Dealer pipeline'!$A$4:$A$503,_calc!$E$645))=0,"",INDEX('Dealer pipeline'!$A$4:$A$503,_calc!$E$645)))=0,"","Customer: "&amp;IF(LEN(INDEX('Dealer pipeline'!$A$4:$A$503,_calc!$E$645))=0,"",INDEX('Dealer pipeline'!$A$4:$A$503,_calc!$E$645))&amp;". ")&amp;IF(LEN(IF(LEN(INDEX('Dealer pipeline'!$B$4:$B$503,_calc!$E$645))=0,"",INDEX('Dealer pipeline'!$B$4:$B$503,_calc!$E$645)))=0,"","Contact: "&amp;IF(LEN(INDEX('Dealer pipeline'!$B$4:$B$503,_calc!$E$645))=0,"",INDEX('Dealer pipeline'!$B$4:$B$503,_calc!$E$645))&amp;". ")&amp;IF(LEN(IF(LEN(INDEX('Dealer pipeline'!$D$4:$D$503,_calc!$E$645))=0,"",INDEX('Dealer pipeline'!$D$4:$D$503,_calc!$E$645)))=0,"","Serial: "&amp;IF(LEN(INDEX('Dealer pipeline'!$D$4:$D$503,_calc!$E$645))=0,"",INDEX('Dealer pipeline'!$D$4:$D$503,_calc!$E$645))&amp;". ")&amp;IF(LEN(IF(ISNUMBER(INDEX('Dealer pipeline'!$J$4:$J$503,_calc!$E$645)),TEXT(INDEX('Dealer pipeline'!$J$4:$J$503,_calc!$E$645),"yyyy-mm-dd"),""))=0,"","Parts end: "&amp;IF(ISNUMBER(INDEX('Dealer pipeline'!$J$4:$J$503,_calc!$E$645)),TEXT(INDEX('Dealer pipeline'!$J$4:$J$503,_calc!$E$645),"yyyy-mm-dd"),"")&amp;". ")&amp;IF(LEN(IF(ISNUMBER(INDEX('Dealer pipeline'!$L$4:$L$503,_calc!$E$645)),TEXT(INDEX('Dealer pipeline'!$L$4:$L$503,_calc!$E$645),"yyyy-mm-dd"),""))=0,"","Labor end: "&amp;IF(ISNUMBER(INDEX('Dealer pipeline'!$L$4:$L$503,_calc!$E$645)),TEXT(INDEX('Dealer pipeline'!$L$4:$L$503,_calc!$E$645),"yyyy-mm-dd"),"")&amp;". ")&amp;IF(LEN(IF(LEN(INDEX('Dealer pipeline'!$Q$4:$Q$503,_calc!$E$645))=0,"",INDEX('Dealer pipeline'!$Q$4:$Q$503,_calc!$E$645)))=0,"","Status: "&amp;IF(LEN(INDEX('Dealer pipeline'!$Q$4:$Q$503,_calc!$E$645))=0,"",INDEX('Dealer pipeline'!$Q$4:$Q$503,_calc!$E$645))&amp;". ")&amp;IF(LEN(IF(LEN(INDEX('Dealer pipeline'!$P$4:$P$503,_calc!$E$645))=0,"",INDEX('Dealer pipeline'!$P$4:$P$503,_calc!$E$645)))=0,"","Last touch: "&amp;IF(LEN(INDEX('Dealer pipeline'!$P$4:$P$503,_calc!$E$645))=0,"",INDEX('Dealer pipeline'!$P$4:$P$503,_calc!$E$645))&amp;". ")&amp;IF(LEN(IF(LEN(INDEX('Dealer pipeline'!$R$4:$R$503,_calc!$E$645))=0,"",INDEX('Dealer pipeline'!$R$4:$R$503,_calc!$E$645)))=0,"","Owner: "&amp;IF(LEN(INDEX('Dealer pipeline'!$R$4:$R$503,_calc!$E$645))=0,"",INDEX('Dealer pipeline'!$R$4:$R$503,_calc!$E$645))&amp;". ")&amp;IF(LEN(IF(LEN(INDEX('Dealer pipeline'!$S$4:$S$503,_calc!$E$645))=0,"",INDEX('Dealer pipeline'!$S$4:$S$503,_calc!$E$645)))=0,"","Backup: "&amp;IF(LEN(INDEX('Dealer pipeline'!$S$4:$S$503,_calc!$E$645))=0,"",INDEX('Dealer pipeline'!$S$4:$S$503,_calc!$E$645))&amp;". ")&amp;IF(LEN(IF(LEN(INDEX('Dealer pipeline'!$T$4:$T$503,_calc!$E$645))=0,"",INDEX('Dealer pipeline'!$T$4:$T$503,_calc!$E$645)))=0,"",IF(LEN(INDEX('Dealer pipeline'!$T$4:$T$503,_calc!$E$645))=0,"",INDEX('Dealer pipeline'!$T$4:$T$503,_calc!$E$645)))),TRIM(IF(LEN(IF(LEN(INDEX('My equipment'!$C$4:$C$503,(_calc!$E$645-500)))=0,"",INDEX('My equipment'!$C$4:$C$503,(_calc!$E$645-500))))=0,"","Model: "&amp;IF(LEN(INDEX('My equipment'!$C$4:$C$503,(_calc!$E$645-500)))=0,"",INDEX('My equipment'!$C$4:$C$503,(_calc!$E$645-500)))&amp;". ")&amp;IF(LEN(IF(LEN(INDEX('My equipment'!$D$4:$D$503,(_calc!$E$645-500)))=0,"",INDEX('My equipment'!$D$4:$D$503,(_calc!$E$645-500))))=0,"","Serial: "&amp;IF(LEN(INDEX('My equipment'!$D$4:$D$503,(_calc!$E$645-500)))=0,"",INDEX('My equipment'!$D$4:$D$503,(_calc!$E$645-500)))&amp;". ")&amp;IF(LEN(IF(ISNUMBER(INDEX('My equipment'!$J$4:$J$503,(_calc!$E$645-500))),TEXT(INDEX('My equipment'!$J$4:$J$503,(_calc!$E$645-500)),"yyyy-mm-dd"),""))=0,"","Parts end: "&amp;IF(ISNUMBER(INDEX('My equipment'!$J$4:$J$503,(_calc!$E$645-500))),TEXT(INDEX('My equipment'!$J$4:$J$503,(_calc!$E$645-500)),"yyyy-mm-dd"),"")&amp;". ")&amp;IF(LEN(IF(ISNUMBER(INDEX('My equipment'!$L$4:$L$503,(_calc!$E$645-500))),TEXT(INDEX('My equipment'!$L$4:$L$503,(_calc!$E$645-500)),"yyyy-mm-dd"),""))=0,"","Labor end: "&amp;IF(ISNUMBER(INDEX('My equipment'!$L$4:$L$503,(_calc!$E$645-500))),TEXT(INDEX('My equipment'!$L$4:$L$503,(_calc!$E$645-500)),"yyyy-mm-dd"),"")&amp;". ")&amp;IF(LEN(IF(ISNUMBER(INDEX('My equipment'!$P$4:$P$503,(_calc!$E$645-500))),TEXT(INDEX('My equipment'!$P$4:$P$503,(_calc!$E$645-500)),"yyyy-mm-dd"),""))=0,"","Check by: "&amp;IF(ISNUMBER(INDEX('My equipment'!$P$4:$P$503,(_calc!$E$645-500))),TEXT(INDEX('My equipment'!$P$4:$P$503,(_calc!$E$645-500)),"yyyy-mm-dd"),"")&amp;". ")&amp;IF(LEN(IF(LEN(INDEX('My equipment'!$Q$4:$Q$503,(_calc!$E$645-500)))=0,"",INDEX('My equipment'!$Q$4:$Q$503,(_calc!$E$645-500))))=0,"","Claim status: "&amp;IF(LEN(INDEX('My equipment'!$Q$4:$Q$503,(_calc!$E$645-500)))=0,"",INDEX('My equipment'!$Q$4:$Q$503,(_calc!$E$645-500)))&amp;". ")&amp;IF(LEN(IF(LEN(INDEX('My equipment'!$R$4:$R$503,(_calc!$E$645-500)))=0,"",INDEX('My equipment'!$R$4:$R$503,(_calc!$E$645-500))))=0,"","Claims contact: "&amp;IF(LEN(INDEX('My equipment'!$R$4:$R$503,(_calc!$E$645-500)))=0,"",INDEX('My equipment'!$R$4:$R$503,(_calc!$E$645-500)))&amp;". ")&amp;IF(LEN(IF(LEN(INDEX('My equipment'!$S$4:$S$503,(_calc!$E$645-500)))=0,"",INDEX('My equipment'!$S$4:$S$503,(_calc!$E$645-500))))=0,"","Claims email: "&amp;IF(LEN(INDEX('My equipment'!$S$4:$S$503,(_calc!$E$645-500)))=0,"",INDEX('My equipment'!$S$4:$S$503,(_calc!$E$645-500)))&amp;". ")&amp;IF(LEN(IF(LEN(INDEX('My equipment'!$U$4:$U$503,(_calc!$E$645-500)))=0,"",INDEX('My equipment'!$U$4:$U$503,(_calc!$E$645-500))))=0,"","Registered: "&amp;IF(LEN(INDEX('My equipment'!$U$4:$U$503,(_calc!$E$645-500)))=0,"",INDEX('My equipment'!$U$4:$U$503,(_calc!$E$645-500)))&amp;". ")&amp;IF(LEN(IF(LEN(INDEX('My equipment'!$V$4:$V$503,(_calc!$E$645-500)))=0,"",INDEX('My equipment'!$V$4:$V$503,(_calc!$E$645-500))))=0,"","Proof on file: "&amp;IF(LEN(INDEX('My equipment'!$V$4:$V$503,(_calc!$E$645-500)))=0,"",INDEX('My equipment'!$V$4:$V$503,(_calc!$E$645-500)))&amp;". ")&amp;IF(LEN(IF(LEN(INDEX('My equipment'!$W$4:$W$503,(_calc!$E$645-500)))=0,"",INDEX('My equipment'!$W$4:$W$503,(_calc!$E$645-500))))=0,"","Claim ref: "&amp;IF(LEN(INDEX('My equipment'!$W$4:$W$503,(_calc!$E$645-500)))=0,"",INDEX('My equipment'!$W$4:$W$503,(_calc!$E$645-500)))&amp;". ")&amp;IF(LEN(IF(LEN(INDEX('My equipment'!$Y$4:$Y$503,(_calc!$E$645-500)))=0,"",INDEX('My equipment'!$Y$4:$Y$503,(_calc!$E$645-500))))=0,"",IF(LEN(INDEX('My equipment'!$Y$4:$Y$503,(_calc!$E$645-500)))=0,"",INDEX('My equipment'!$Y$4:$Y$503,(_calc!$E$645-500)))))))</f>
        <v/>
      </c>
      <c r="G643" s="54">
        <f>IF(_calc!$E$645="","",IF(_calc!$E$645&lt;=500,"",IF(LEN(INDEX('My equipment'!$X$4:$X$503,(_calc!$E$645-500)))=0,"",INDEX('My equipment'!$X$4:$X$503,(_calc!$E$645-500)))))</f>
        <v/>
      </c>
      <c r="K643" s="54">
        <f>IF(_calc!$E$645="","",IF(_calc!$E$645&lt;=500,"",IF(LEN(INDEX('My equipment'!$T$4:$T$503,(_calc!$E$645-500)))=0,"",INDEX('My equipment'!$T$4:$T$503,(_calc!$E$645-500)))))</f>
        <v/>
      </c>
    </row>
    <row r="644">
      <c r="A644" s="54">
        <f>IF(_calc!$E$646="","",IF(_calc!$E$646&lt;=500,"Warranty – "&amp;IF(LEN(INDEX('Dealer pipeline'!$C$4:$C$503,_calc!$E$646))=0,"",INDEX('Dealer pipeline'!$C$4:$C$503,_calc!$E$646))&amp;" – "&amp;IF(LEN(INDEX('Dealer pipeline'!$D$4:$D$503,_calc!$E$646))=0,"",INDEX('Dealer pipeline'!$D$4:$D$503,_calc!$E$646))&amp;" – "&amp;IF(LEN(INDEX('Dealer pipeline'!$A$4:$A$503,_calc!$E$646))=0,"",INDEX('Dealer pipeline'!$A$4:$A$503,_calc!$E$646)),"Warranty – "&amp;IF(LEN(INDEX('My equipment'!$A$4:$A$503,(_calc!$E$646-500)))=0,"",INDEX('My equipment'!$A$4:$A$503,(_calc!$E$646-500)))&amp;" – "&amp;IF(LEN(INDEX('My equipment'!$D$4:$D$503,(_calc!$E$646-500)))=0,"",INDEX('My equipment'!$D$4:$D$503,(_calc!$E$646-500)))))</f>
        <v/>
      </c>
      <c r="B644" s="54">
        <f>IF(_calc!$E$646="","",IF(_calc!$E$646&lt;=500,IF(ISNUMBER(INDEX('Dealer pipeline'!$M$4:$M$503,_calc!$E$646)),TEXT(INDEX('Dealer pipeline'!$M$4:$M$503,_calc!$E$646),"yyyy-mm-dd"),""),IF(ISNUMBER(INDEX('My equipment'!$M$4:$M$503,(_calc!$E$646-500))),TEXT(INDEX('My equipment'!$M$4:$M$503,(_calc!$E$646-500)),"yyyy-mm-dd"),"")))</f>
        <v/>
      </c>
      <c r="C644" s="54">
        <f>IF(_calc!$E$646="","",IF(_calc!$E$646&lt;=500,"Warranty","Warranty"))</f>
        <v/>
      </c>
      <c r="D644" s="54">
        <f>IF(_calc!$E$646="","",IF(_calc!$E$646&lt;=500,IF(ISNUMBER(INDEX('Dealer pipeline'!$H$4:$H$503,_calc!$E$646)),TEXT(INDEX('Dealer pipeline'!$H$4:$H$503,_calc!$E$646),"yyyy-mm-dd"),""),IF(ISNUMBER(INDEX('My equipment'!$H$4:$H$503,(_calc!$E$646-500))),TEXT(INDEX('My equipment'!$H$4:$H$503,(_calc!$E$646-500)),"yyyy-mm-dd"),"")))</f>
        <v/>
      </c>
      <c r="F644" s="54">
        <f>IF(_calc!$E$646="","",IF(_calc!$E$646&lt;=500,TRIM(IF(LEN(IF(LEN(INDEX('Dealer pipeline'!$A$4:$A$503,_calc!$E$646))=0,"",INDEX('Dealer pipeline'!$A$4:$A$503,_calc!$E$646)))=0,"","Customer: "&amp;IF(LEN(INDEX('Dealer pipeline'!$A$4:$A$503,_calc!$E$646))=0,"",INDEX('Dealer pipeline'!$A$4:$A$503,_calc!$E$646))&amp;". ")&amp;IF(LEN(IF(LEN(INDEX('Dealer pipeline'!$B$4:$B$503,_calc!$E$646))=0,"",INDEX('Dealer pipeline'!$B$4:$B$503,_calc!$E$646)))=0,"","Contact: "&amp;IF(LEN(INDEX('Dealer pipeline'!$B$4:$B$503,_calc!$E$646))=0,"",INDEX('Dealer pipeline'!$B$4:$B$503,_calc!$E$646))&amp;". ")&amp;IF(LEN(IF(LEN(INDEX('Dealer pipeline'!$D$4:$D$503,_calc!$E$646))=0,"",INDEX('Dealer pipeline'!$D$4:$D$503,_calc!$E$646)))=0,"","Serial: "&amp;IF(LEN(INDEX('Dealer pipeline'!$D$4:$D$503,_calc!$E$646))=0,"",INDEX('Dealer pipeline'!$D$4:$D$503,_calc!$E$646))&amp;". ")&amp;IF(LEN(IF(ISNUMBER(INDEX('Dealer pipeline'!$J$4:$J$503,_calc!$E$646)),TEXT(INDEX('Dealer pipeline'!$J$4:$J$503,_calc!$E$646),"yyyy-mm-dd"),""))=0,"","Parts end: "&amp;IF(ISNUMBER(INDEX('Dealer pipeline'!$J$4:$J$503,_calc!$E$646)),TEXT(INDEX('Dealer pipeline'!$J$4:$J$503,_calc!$E$646),"yyyy-mm-dd"),"")&amp;". ")&amp;IF(LEN(IF(ISNUMBER(INDEX('Dealer pipeline'!$L$4:$L$503,_calc!$E$646)),TEXT(INDEX('Dealer pipeline'!$L$4:$L$503,_calc!$E$646),"yyyy-mm-dd"),""))=0,"","Labor end: "&amp;IF(ISNUMBER(INDEX('Dealer pipeline'!$L$4:$L$503,_calc!$E$646)),TEXT(INDEX('Dealer pipeline'!$L$4:$L$503,_calc!$E$646),"yyyy-mm-dd"),"")&amp;". ")&amp;IF(LEN(IF(LEN(INDEX('Dealer pipeline'!$Q$4:$Q$503,_calc!$E$646))=0,"",INDEX('Dealer pipeline'!$Q$4:$Q$503,_calc!$E$646)))=0,"","Status: "&amp;IF(LEN(INDEX('Dealer pipeline'!$Q$4:$Q$503,_calc!$E$646))=0,"",INDEX('Dealer pipeline'!$Q$4:$Q$503,_calc!$E$646))&amp;". ")&amp;IF(LEN(IF(LEN(INDEX('Dealer pipeline'!$P$4:$P$503,_calc!$E$646))=0,"",INDEX('Dealer pipeline'!$P$4:$P$503,_calc!$E$646)))=0,"","Last touch: "&amp;IF(LEN(INDEX('Dealer pipeline'!$P$4:$P$503,_calc!$E$646))=0,"",INDEX('Dealer pipeline'!$P$4:$P$503,_calc!$E$646))&amp;". ")&amp;IF(LEN(IF(LEN(INDEX('Dealer pipeline'!$R$4:$R$503,_calc!$E$646))=0,"",INDEX('Dealer pipeline'!$R$4:$R$503,_calc!$E$646)))=0,"","Owner: "&amp;IF(LEN(INDEX('Dealer pipeline'!$R$4:$R$503,_calc!$E$646))=0,"",INDEX('Dealer pipeline'!$R$4:$R$503,_calc!$E$646))&amp;". ")&amp;IF(LEN(IF(LEN(INDEX('Dealer pipeline'!$S$4:$S$503,_calc!$E$646))=0,"",INDEX('Dealer pipeline'!$S$4:$S$503,_calc!$E$646)))=0,"","Backup: "&amp;IF(LEN(INDEX('Dealer pipeline'!$S$4:$S$503,_calc!$E$646))=0,"",INDEX('Dealer pipeline'!$S$4:$S$503,_calc!$E$646))&amp;". ")&amp;IF(LEN(IF(LEN(INDEX('Dealer pipeline'!$T$4:$T$503,_calc!$E$646))=0,"",INDEX('Dealer pipeline'!$T$4:$T$503,_calc!$E$646)))=0,"",IF(LEN(INDEX('Dealer pipeline'!$T$4:$T$503,_calc!$E$646))=0,"",INDEX('Dealer pipeline'!$T$4:$T$503,_calc!$E$646)))),TRIM(IF(LEN(IF(LEN(INDEX('My equipment'!$C$4:$C$503,(_calc!$E$646-500)))=0,"",INDEX('My equipment'!$C$4:$C$503,(_calc!$E$646-500))))=0,"","Model: "&amp;IF(LEN(INDEX('My equipment'!$C$4:$C$503,(_calc!$E$646-500)))=0,"",INDEX('My equipment'!$C$4:$C$503,(_calc!$E$646-500)))&amp;". ")&amp;IF(LEN(IF(LEN(INDEX('My equipment'!$D$4:$D$503,(_calc!$E$646-500)))=0,"",INDEX('My equipment'!$D$4:$D$503,(_calc!$E$646-500))))=0,"","Serial: "&amp;IF(LEN(INDEX('My equipment'!$D$4:$D$503,(_calc!$E$646-500)))=0,"",INDEX('My equipment'!$D$4:$D$503,(_calc!$E$646-500)))&amp;". ")&amp;IF(LEN(IF(ISNUMBER(INDEX('My equipment'!$J$4:$J$503,(_calc!$E$646-500))),TEXT(INDEX('My equipment'!$J$4:$J$503,(_calc!$E$646-500)),"yyyy-mm-dd"),""))=0,"","Parts end: "&amp;IF(ISNUMBER(INDEX('My equipment'!$J$4:$J$503,(_calc!$E$646-500))),TEXT(INDEX('My equipment'!$J$4:$J$503,(_calc!$E$646-500)),"yyyy-mm-dd"),"")&amp;". ")&amp;IF(LEN(IF(ISNUMBER(INDEX('My equipment'!$L$4:$L$503,(_calc!$E$646-500))),TEXT(INDEX('My equipment'!$L$4:$L$503,(_calc!$E$646-500)),"yyyy-mm-dd"),""))=0,"","Labor end: "&amp;IF(ISNUMBER(INDEX('My equipment'!$L$4:$L$503,(_calc!$E$646-500))),TEXT(INDEX('My equipment'!$L$4:$L$503,(_calc!$E$646-500)),"yyyy-mm-dd"),"")&amp;". ")&amp;IF(LEN(IF(ISNUMBER(INDEX('My equipment'!$P$4:$P$503,(_calc!$E$646-500))),TEXT(INDEX('My equipment'!$P$4:$P$503,(_calc!$E$646-500)),"yyyy-mm-dd"),""))=0,"","Check by: "&amp;IF(ISNUMBER(INDEX('My equipment'!$P$4:$P$503,(_calc!$E$646-500))),TEXT(INDEX('My equipment'!$P$4:$P$503,(_calc!$E$646-500)),"yyyy-mm-dd"),"")&amp;". ")&amp;IF(LEN(IF(LEN(INDEX('My equipment'!$Q$4:$Q$503,(_calc!$E$646-500)))=0,"",INDEX('My equipment'!$Q$4:$Q$503,(_calc!$E$646-500))))=0,"","Claim status: "&amp;IF(LEN(INDEX('My equipment'!$Q$4:$Q$503,(_calc!$E$646-500)))=0,"",INDEX('My equipment'!$Q$4:$Q$503,(_calc!$E$646-500)))&amp;". ")&amp;IF(LEN(IF(LEN(INDEX('My equipment'!$R$4:$R$503,(_calc!$E$646-500)))=0,"",INDEX('My equipment'!$R$4:$R$503,(_calc!$E$646-500))))=0,"","Claims contact: "&amp;IF(LEN(INDEX('My equipment'!$R$4:$R$503,(_calc!$E$646-500)))=0,"",INDEX('My equipment'!$R$4:$R$503,(_calc!$E$646-500)))&amp;". ")&amp;IF(LEN(IF(LEN(INDEX('My equipment'!$S$4:$S$503,(_calc!$E$646-500)))=0,"",INDEX('My equipment'!$S$4:$S$503,(_calc!$E$646-500))))=0,"","Claims email: "&amp;IF(LEN(INDEX('My equipment'!$S$4:$S$503,(_calc!$E$646-500)))=0,"",INDEX('My equipment'!$S$4:$S$503,(_calc!$E$646-500)))&amp;". ")&amp;IF(LEN(IF(LEN(INDEX('My equipment'!$U$4:$U$503,(_calc!$E$646-500)))=0,"",INDEX('My equipment'!$U$4:$U$503,(_calc!$E$646-500))))=0,"","Registered: "&amp;IF(LEN(INDEX('My equipment'!$U$4:$U$503,(_calc!$E$646-500)))=0,"",INDEX('My equipment'!$U$4:$U$503,(_calc!$E$646-500)))&amp;". ")&amp;IF(LEN(IF(LEN(INDEX('My equipment'!$V$4:$V$503,(_calc!$E$646-500)))=0,"",INDEX('My equipment'!$V$4:$V$503,(_calc!$E$646-500))))=0,"","Proof on file: "&amp;IF(LEN(INDEX('My equipment'!$V$4:$V$503,(_calc!$E$646-500)))=0,"",INDEX('My equipment'!$V$4:$V$503,(_calc!$E$646-500)))&amp;". ")&amp;IF(LEN(IF(LEN(INDEX('My equipment'!$W$4:$W$503,(_calc!$E$646-500)))=0,"",INDEX('My equipment'!$W$4:$W$503,(_calc!$E$646-500))))=0,"","Claim ref: "&amp;IF(LEN(INDEX('My equipment'!$W$4:$W$503,(_calc!$E$646-500)))=0,"",INDEX('My equipment'!$W$4:$W$503,(_calc!$E$646-500)))&amp;". ")&amp;IF(LEN(IF(LEN(INDEX('My equipment'!$Y$4:$Y$503,(_calc!$E$646-500)))=0,"",INDEX('My equipment'!$Y$4:$Y$503,(_calc!$E$646-500))))=0,"",IF(LEN(INDEX('My equipment'!$Y$4:$Y$503,(_calc!$E$646-500)))=0,"",INDEX('My equipment'!$Y$4:$Y$503,(_calc!$E$646-500)))))))</f>
        <v/>
      </c>
      <c r="G644" s="54">
        <f>IF(_calc!$E$646="","",IF(_calc!$E$646&lt;=500,"",IF(LEN(INDEX('My equipment'!$X$4:$X$503,(_calc!$E$646-500)))=0,"",INDEX('My equipment'!$X$4:$X$503,(_calc!$E$646-500)))))</f>
        <v/>
      </c>
      <c r="K644" s="54">
        <f>IF(_calc!$E$646="","",IF(_calc!$E$646&lt;=500,"",IF(LEN(INDEX('My equipment'!$T$4:$T$503,(_calc!$E$646-500)))=0,"",INDEX('My equipment'!$T$4:$T$503,(_calc!$E$646-500)))))</f>
        <v/>
      </c>
    </row>
    <row r="645">
      <c r="A645" s="54">
        <f>IF(_calc!$E$647="","",IF(_calc!$E$647&lt;=500,"Warranty – "&amp;IF(LEN(INDEX('Dealer pipeline'!$C$4:$C$503,_calc!$E$647))=0,"",INDEX('Dealer pipeline'!$C$4:$C$503,_calc!$E$647))&amp;" – "&amp;IF(LEN(INDEX('Dealer pipeline'!$D$4:$D$503,_calc!$E$647))=0,"",INDEX('Dealer pipeline'!$D$4:$D$503,_calc!$E$647))&amp;" – "&amp;IF(LEN(INDEX('Dealer pipeline'!$A$4:$A$503,_calc!$E$647))=0,"",INDEX('Dealer pipeline'!$A$4:$A$503,_calc!$E$647)),"Warranty – "&amp;IF(LEN(INDEX('My equipment'!$A$4:$A$503,(_calc!$E$647-500)))=0,"",INDEX('My equipment'!$A$4:$A$503,(_calc!$E$647-500)))&amp;" – "&amp;IF(LEN(INDEX('My equipment'!$D$4:$D$503,(_calc!$E$647-500)))=0,"",INDEX('My equipment'!$D$4:$D$503,(_calc!$E$647-500)))))</f>
        <v/>
      </c>
      <c r="B645" s="54">
        <f>IF(_calc!$E$647="","",IF(_calc!$E$647&lt;=500,IF(ISNUMBER(INDEX('Dealer pipeline'!$M$4:$M$503,_calc!$E$647)),TEXT(INDEX('Dealer pipeline'!$M$4:$M$503,_calc!$E$647),"yyyy-mm-dd"),""),IF(ISNUMBER(INDEX('My equipment'!$M$4:$M$503,(_calc!$E$647-500))),TEXT(INDEX('My equipment'!$M$4:$M$503,(_calc!$E$647-500)),"yyyy-mm-dd"),"")))</f>
        <v/>
      </c>
      <c r="C645" s="54">
        <f>IF(_calc!$E$647="","",IF(_calc!$E$647&lt;=500,"Warranty","Warranty"))</f>
        <v/>
      </c>
      <c r="D645" s="54">
        <f>IF(_calc!$E$647="","",IF(_calc!$E$647&lt;=500,IF(ISNUMBER(INDEX('Dealer pipeline'!$H$4:$H$503,_calc!$E$647)),TEXT(INDEX('Dealer pipeline'!$H$4:$H$503,_calc!$E$647),"yyyy-mm-dd"),""),IF(ISNUMBER(INDEX('My equipment'!$H$4:$H$503,(_calc!$E$647-500))),TEXT(INDEX('My equipment'!$H$4:$H$503,(_calc!$E$647-500)),"yyyy-mm-dd"),"")))</f>
        <v/>
      </c>
      <c r="F645" s="54">
        <f>IF(_calc!$E$647="","",IF(_calc!$E$647&lt;=500,TRIM(IF(LEN(IF(LEN(INDEX('Dealer pipeline'!$A$4:$A$503,_calc!$E$647))=0,"",INDEX('Dealer pipeline'!$A$4:$A$503,_calc!$E$647)))=0,"","Customer: "&amp;IF(LEN(INDEX('Dealer pipeline'!$A$4:$A$503,_calc!$E$647))=0,"",INDEX('Dealer pipeline'!$A$4:$A$503,_calc!$E$647))&amp;". ")&amp;IF(LEN(IF(LEN(INDEX('Dealer pipeline'!$B$4:$B$503,_calc!$E$647))=0,"",INDEX('Dealer pipeline'!$B$4:$B$503,_calc!$E$647)))=0,"","Contact: "&amp;IF(LEN(INDEX('Dealer pipeline'!$B$4:$B$503,_calc!$E$647))=0,"",INDEX('Dealer pipeline'!$B$4:$B$503,_calc!$E$647))&amp;". ")&amp;IF(LEN(IF(LEN(INDEX('Dealer pipeline'!$D$4:$D$503,_calc!$E$647))=0,"",INDEX('Dealer pipeline'!$D$4:$D$503,_calc!$E$647)))=0,"","Serial: "&amp;IF(LEN(INDEX('Dealer pipeline'!$D$4:$D$503,_calc!$E$647))=0,"",INDEX('Dealer pipeline'!$D$4:$D$503,_calc!$E$647))&amp;". ")&amp;IF(LEN(IF(ISNUMBER(INDEX('Dealer pipeline'!$J$4:$J$503,_calc!$E$647)),TEXT(INDEX('Dealer pipeline'!$J$4:$J$503,_calc!$E$647),"yyyy-mm-dd"),""))=0,"","Parts end: "&amp;IF(ISNUMBER(INDEX('Dealer pipeline'!$J$4:$J$503,_calc!$E$647)),TEXT(INDEX('Dealer pipeline'!$J$4:$J$503,_calc!$E$647),"yyyy-mm-dd"),"")&amp;". ")&amp;IF(LEN(IF(ISNUMBER(INDEX('Dealer pipeline'!$L$4:$L$503,_calc!$E$647)),TEXT(INDEX('Dealer pipeline'!$L$4:$L$503,_calc!$E$647),"yyyy-mm-dd"),""))=0,"","Labor end: "&amp;IF(ISNUMBER(INDEX('Dealer pipeline'!$L$4:$L$503,_calc!$E$647)),TEXT(INDEX('Dealer pipeline'!$L$4:$L$503,_calc!$E$647),"yyyy-mm-dd"),"")&amp;". ")&amp;IF(LEN(IF(LEN(INDEX('Dealer pipeline'!$Q$4:$Q$503,_calc!$E$647))=0,"",INDEX('Dealer pipeline'!$Q$4:$Q$503,_calc!$E$647)))=0,"","Status: "&amp;IF(LEN(INDEX('Dealer pipeline'!$Q$4:$Q$503,_calc!$E$647))=0,"",INDEX('Dealer pipeline'!$Q$4:$Q$503,_calc!$E$647))&amp;". ")&amp;IF(LEN(IF(LEN(INDEX('Dealer pipeline'!$P$4:$P$503,_calc!$E$647))=0,"",INDEX('Dealer pipeline'!$P$4:$P$503,_calc!$E$647)))=0,"","Last touch: "&amp;IF(LEN(INDEX('Dealer pipeline'!$P$4:$P$503,_calc!$E$647))=0,"",INDEX('Dealer pipeline'!$P$4:$P$503,_calc!$E$647))&amp;". ")&amp;IF(LEN(IF(LEN(INDEX('Dealer pipeline'!$R$4:$R$503,_calc!$E$647))=0,"",INDEX('Dealer pipeline'!$R$4:$R$503,_calc!$E$647)))=0,"","Owner: "&amp;IF(LEN(INDEX('Dealer pipeline'!$R$4:$R$503,_calc!$E$647))=0,"",INDEX('Dealer pipeline'!$R$4:$R$503,_calc!$E$647))&amp;". ")&amp;IF(LEN(IF(LEN(INDEX('Dealer pipeline'!$S$4:$S$503,_calc!$E$647))=0,"",INDEX('Dealer pipeline'!$S$4:$S$503,_calc!$E$647)))=0,"","Backup: "&amp;IF(LEN(INDEX('Dealer pipeline'!$S$4:$S$503,_calc!$E$647))=0,"",INDEX('Dealer pipeline'!$S$4:$S$503,_calc!$E$647))&amp;". ")&amp;IF(LEN(IF(LEN(INDEX('Dealer pipeline'!$T$4:$T$503,_calc!$E$647))=0,"",INDEX('Dealer pipeline'!$T$4:$T$503,_calc!$E$647)))=0,"",IF(LEN(INDEX('Dealer pipeline'!$T$4:$T$503,_calc!$E$647))=0,"",INDEX('Dealer pipeline'!$T$4:$T$503,_calc!$E$647)))),TRIM(IF(LEN(IF(LEN(INDEX('My equipment'!$C$4:$C$503,(_calc!$E$647-500)))=0,"",INDEX('My equipment'!$C$4:$C$503,(_calc!$E$647-500))))=0,"","Model: "&amp;IF(LEN(INDEX('My equipment'!$C$4:$C$503,(_calc!$E$647-500)))=0,"",INDEX('My equipment'!$C$4:$C$503,(_calc!$E$647-500)))&amp;". ")&amp;IF(LEN(IF(LEN(INDEX('My equipment'!$D$4:$D$503,(_calc!$E$647-500)))=0,"",INDEX('My equipment'!$D$4:$D$503,(_calc!$E$647-500))))=0,"","Serial: "&amp;IF(LEN(INDEX('My equipment'!$D$4:$D$503,(_calc!$E$647-500)))=0,"",INDEX('My equipment'!$D$4:$D$503,(_calc!$E$647-500)))&amp;". ")&amp;IF(LEN(IF(ISNUMBER(INDEX('My equipment'!$J$4:$J$503,(_calc!$E$647-500))),TEXT(INDEX('My equipment'!$J$4:$J$503,(_calc!$E$647-500)),"yyyy-mm-dd"),""))=0,"","Parts end: "&amp;IF(ISNUMBER(INDEX('My equipment'!$J$4:$J$503,(_calc!$E$647-500))),TEXT(INDEX('My equipment'!$J$4:$J$503,(_calc!$E$647-500)),"yyyy-mm-dd"),"")&amp;". ")&amp;IF(LEN(IF(ISNUMBER(INDEX('My equipment'!$L$4:$L$503,(_calc!$E$647-500))),TEXT(INDEX('My equipment'!$L$4:$L$503,(_calc!$E$647-500)),"yyyy-mm-dd"),""))=0,"","Labor end: "&amp;IF(ISNUMBER(INDEX('My equipment'!$L$4:$L$503,(_calc!$E$647-500))),TEXT(INDEX('My equipment'!$L$4:$L$503,(_calc!$E$647-500)),"yyyy-mm-dd"),"")&amp;". ")&amp;IF(LEN(IF(ISNUMBER(INDEX('My equipment'!$P$4:$P$503,(_calc!$E$647-500))),TEXT(INDEX('My equipment'!$P$4:$P$503,(_calc!$E$647-500)),"yyyy-mm-dd"),""))=0,"","Check by: "&amp;IF(ISNUMBER(INDEX('My equipment'!$P$4:$P$503,(_calc!$E$647-500))),TEXT(INDEX('My equipment'!$P$4:$P$503,(_calc!$E$647-500)),"yyyy-mm-dd"),"")&amp;". ")&amp;IF(LEN(IF(LEN(INDEX('My equipment'!$Q$4:$Q$503,(_calc!$E$647-500)))=0,"",INDEX('My equipment'!$Q$4:$Q$503,(_calc!$E$647-500))))=0,"","Claim status: "&amp;IF(LEN(INDEX('My equipment'!$Q$4:$Q$503,(_calc!$E$647-500)))=0,"",INDEX('My equipment'!$Q$4:$Q$503,(_calc!$E$647-500)))&amp;". ")&amp;IF(LEN(IF(LEN(INDEX('My equipment'!$R$4:$R$503,(_calc!$E$647-500)))=0,"",INDEX('My equipment'!$R$4:$R$503,(_calc!$E$647-500))))=0,"","Claims contact: "&amp;IF(LEN(INDEX('My equipment'!$R$4:$R$503,(_calc!$E$647-500)))=0,"",INDEX('My equipment'!$R$4:$R$503,(_calc!$E$647-500)))&amp;". ")&amp;IF(LEN(IF(LEN(INDEX('My equipment'!$S$4:$S$503,(_calc!$E$647-500)))=0,"",INDEX('My equipment'!$S$4:$S$503,(_calc!$E$647-500))))=0,"","Claims email: "&amp;IF(LEN(INDEX('My equipment'!$S$4:$S$503,(_calc!$E$647-500)))=0,"",INDEX('My equipment'!$S$4:$S$503,(_calc!$E$647-500)))&amp;". ")&amp;IF(LEN(IF(LEN(INDEX('My equipment'!$U$4:$U$503,(_calc!$E$647-500)))=0,"",INDEX('My equipment'!$U$4:$U$503,(_calc!$E$647-500))))=0,"","Registered: "&amp;IF(LEN(INDEX('My equipment'!$U$4:$U$503,(_calc!$E$647-500)))=0,"",INDEX('My equipment'!$U$4:$U$503,(_calc!$E$647-500)))&amp;". ")&amp;IF(LEN(IF(LEN(INDEX('My equipment'!$V$4:$V$503,(_calc!$E$647-500)))=0,"",INDEX('My equipment'!$V$4:$V$503,(_calc!$E$647-500))))=0,"","Proof on file: "&amp;IF(LEN(INDEX('My equipment'!$V$4:$V$503,(_calc!$E$647-500)))=0,"",INDEX('My equipment'!$V$4:$V$503,(_calc!$E$647-500)))&amp;". ")&amp;IF(LEN(IF(LEN(INDEX('My equipment'!$W$4:$W$503,(_calc!$E$647-500)))=0,"",INDEX('My equipment'!$W$4:$W$503,(_calc!$E$647-500))))=0,"","Claim ref: "&amp;IF(LEN(INDEX('My equipment'!$W$4:$W$503,(_calc!$E$647-500)))=0,"",INDEX('My equipment'!$W$4:$W$503,(_calc!$E$647-500)))&amp;". ")&amp;IF(LEN(IF(LEN(INDEX('My equipment'!$Y$4:$Y$503,(_calc!$E$647-500)))=0,"",INDEX('My equipment'!$Y$4:$Y$503,(_calc!$E$647-500))))=0,"",IF(LEN(INDEX('My equipment'!$Y$4:$Y$503,(_calc!$E$647-500)))=0,"",INDEX('My equipment'!$Y$4:$Y$503,(_calc!$E$647-500)))))))</f>
        <v/>
      </c>
      <c r="G645" s="54">
        <f>IF(_calc!$E$647="","",IF(_calc!$E$647&lt;=500,"",IF(LEN(INDEX('My equipment'!$X$4:$X$503,(_calc!$E$647-500)))=0,"",INDEX('My equipment'!$X$4:$X$503,(_calc!$E$647-500)))))</f>
        <v/>
      </c>
      <c r="K645" s="54">
        <f>IF(_calc!$E$647="","",IF(_calc!$E$647&lt;=500,"",IF(LEN(INDEX('My equipment'!$T$4:$T$503,(_calc!$E$647-500)))=0,"",INDEX('My equipment'!$T$4:$T$503,(_calc!$E$647-500)))))</f>
        <v/>
      </c>
    </row>
    <row r="646">
      <c r="A646" s="54">
        <f>IF(_calc!$E$648="","",IF(_calc!$E$648&lt;=500,"Warranty – "&amp;IF(LEN(INDEX('Dealer pipeline'!$C$4:$C$503,_calc!$E$648))=0,"",INDEX('Dealer pipeline'!$C$4:$C$503,_calc!$E$648))&amp;" – "&amp;IF(LEN(INDEX('Dealer pipeline'!$D$4:$D$503,_calc!$E$648))=0,"",INDEX('Dealer pipeline'!$D$4:$D$503,_calc!$E$648))&amp;" – "&amp;IF(LEN(INDEX('Dealer pipeline'!$A$4:$A$503,_calc!$E$648))=0,"",INDEX('Dealer pipeline'!$A$4:$A$503,_calc!$E$648)),"Warranty – "&amp;IF(LEN(INDEX('My equipment'!$A$4:$A$503,(_calc!$E$648-500)))=0,"",INDEX('My equipment'!$A$4:$A$503,(_calc!$E$648-500)))&amp;" – "&amp;IF(LEN(INDEX('My equipment'!$D$4:$D$503,(_calc!$E$648-500)))=0,"",INDEX('My equipment'!$D$4:$D$503,(_calc!$E$648-500)))))</f>
        <v/>
      </c>
      <c r="B646" s="54">
        <f>IF(_calc!$E$648="","",IF(_calc!$E$648&lt;=500,IF(ISNUMBER(INDEX('Dealer pipeline'!$M$4:$M$503,_calc!$E$648)),TEXT(INDEX('Dealer pipeline'!$M$4:$M$503,_calc!$E$648),"yyyy-mm-dd"),""),IF(ISNUMBER(INDEX('My equipment'!$M$4:$M$503,(_calc!$E$648-500))),TEXT(INDEX('My equipment'!$M$4:$M$503,(_calc!$E$648-500)),"yyyy-mm-dd"),"")))</f>
        <v/>
      </c>
      <c r="C646" s="54">
        <f>IF(_calc!$E$648="","",IF(_calc!$E$648&lt;=500,"Warranty","Warranty"))</f>
        <v/>
      </c>
      <c r="D646" s="54">
        <f>IF(_calc!$E$648="","",IF(_calc!$E$648&lt;=500,IF(ISNUMBER(INDEX('Dealer pipeline'!$H$4:$H$503,_calc!$E$648)),TEXT(INDEX('Dealer pipeline'!$H$4:$H$503,_calc!$E$648),"yyyy-mm-dd"),""),IF(ISNUMBER(INDEX('My equipment'!$H$4:$H$503,(_calc!$E$648-500))),TEXT(INDEX('My equipment'!$H$4:$H$503,(_calc!$E$648-500)),"yyyy-mm-dd"),"")))</f>
        <v/>
      </c>
      <c r="F646" s="54">
        <f>IF(_calc!$E$648="","",IF(_calc!$E$648&lt;=500,TRIM(IF(LEN(IF(LEN(INDEX('Dealer pipeline'!$A$4:$A$503,_calc!$E$648))=0,"",INDEX('Dealer pipeline'!$A$4:$A$503,_calc!$E$648)))=0,"","Customer: "&amp;IF(LEN(INDEX('Dealer pipeline'!$A$4:$A$503,_calc!$E$648))=0,"",INDEX('Dealer pipeline'!$A$4:$A$503,_calc!$E$648))&amp;". ")&amp;IF(LEN(IF(LEN(INDEX('Dealer pipeline'!$B$4:$B$503,_calc!$E$648))=0,"",INDEX('Dealer pipeline'!$B$4:$B$503,_calc!$E$648)))=0,"","Contact: "&amp;IF(LEN(INDEX('Dealer pipeline'!$B$4:$B$503,_calc!$E$648))=0,"",INDEX('Dealer pipeline'!$B$4:$B$503,_calc!$E$648))&amp;". ")&amp;IF(LEN(IF(LEN(INDEX('Dealer pipeline'!$D$4:$D$503,_calc!$E$648))=0,"",INDEX('Dealer pipeline'!$D$4:$D$503,_calc!$E$648)))=0,"","Serial: "&amp;IF(LEN(INDEX('Dealer pipeline'!$D$4:$D$503,_calc!$E$648))=0,"",INDEX('Dealer pipeline'!$D$4:$D$503,_calc!$E$648))&amp;". ")&amp;IF(LEN(IF(ISNUMBER(INDEX('Dealer pipeline'!$J$4:$J$503,_calc!$E$648)),TEXT(INDEX('Dealer pipeline'!$J$4:$J$503,_calc!$E$648),"yyyy-mm-dd"),""))=0,"","Parts end: "&amp;IF(ISNUMBER(INDEX('Dealer pipeline'!$J$4:$J$503,_calc!$E$648)),TEXT(INDEX('Dealer pipeline'!$J$4:$J$503,_calc!$E$648),"yyyy-mm-dd"),"")&amp;". ")&amp;IF(LEN(IF(ISNUMBER(INDEX('Dealer pipeline'!$L$4:$L$503,_calc!$E$648)),TEXT(INDEX('Dealer pipeline'!$L$4:$L$503,_calc!$E$648),"yyyy-mm-dd"),""))=0,"","Labor end: "&amp;IF(ISNUMBER(INDEX('Dealer pipeline'!$L$4:$L$503,_calc!$E$648)),TEXT(INDEX('Dealer pipeline'!$L$4:$L$503,_calc!$E$648),"yyyy-mm-dd"),"")&amp;". ")&amp;IF(LEN(IF(LEN(INDEX('Dealer pipeline'!$Q$4:$Q$503,_calc!$E$648))=0,"",INDEX('Dealer pipeline'!$Q$4:$Q$503,_calc!$E$648)))=0,"","Status: "&amp;IF(LEN(INDEX('Dealer pipeline'!$Q$4:$Q$503,_calc!$E$648))=0,"",INDEX('Dealer pipeline'!$Q$4:$Q$503,_calc!$E$648))&amp;". ")&amp;IF(LEN(IF(LEN(INDEX('Dealer pipeline'!$P$4:$P$503,_calc!$E$648))=0,"",INDEX('Dealer pipeline'!$P$4:$P$503,_calc!$E$648)))=0,"","Last touch: "&amp;IF(LEN(INDEX('Dealer pipeline'!$P$4:$P$503,_calc!$E$648))=0,"",INDEX('Dealer pipeline'!$P$4:$P$503,_calc!$E$648))&amp;". ")&amp;IF(LEN(IF(LEN(INDEX('Dealer pipeline'!$R$4:$R$503,_calc!$E$648))=0,"",INDEX('Dealer pipeline'!$R$4:$R$503,_calc!$E$648)))=0,"","Owner: "&amp;IF(LEN(INDEX('Dealer pipeline'!$R$4:$R$503,_calc!$E$648))=0,"",INDEX('Dealer pipeline'!$R$4:$R$503,_calc!$E$648))&amp;". ")&amp;IF(LEN(IF(LEN(INDEX('Dealer pipeline'!$S$4:$S$503,_calc!$E$648))=0,"",INDEX('Dealer pipeline'!$S$4:$S$503,_calc!$E$648)))=0,"","Backup: "&amp;IF(LEN(INDEX('Dealer pipeline'!$S$4:$S$503,_calc!$E$648))=0,"",INDEX('Dealer pipeline'!$S$4:$S$503,_calc!$E$648))&amp;". ")&amp;IF(LEN(IF(LEN(INDEX('Dealer pipeline'!$T$4:$T$503,_calc!$E$648))=0,"",INDEX('Dealer pipeline'!$T$4:$T$503,_calc!$E$648)))=0,"",IF(LEN(INDEX('Dealer pipeline'!$T$4:$T$503,_calc!$E$648))=0,"",INDEX('Dealer pipeline'!$T$4:$T$503,_calc!$E$648)))),TRIM(IF(LEN(IF(LEN(INDEX('My equipment'!$C$4:$C$503,(_calc!$E$648-500)))=0,"",INDEX('My equipment'!$C$4:$C$503,(_calc!$E$648-500))))=0,"","Model: "&amp;IF(LEN(INDEX('My equipment'!$C$4:$C$503,(_calc!$E$648-500)))=0,"",INDEX('My equipment'!$C$4:$C$503,(_calc!$E$648-500)))&amp;". ")&amp;IF(LEN(IF(LEN(INDEX('My equipment'!$D$4:$D$503,(_calc!$E$648-500)))=0,"",INDEX('My equipment'!$D$4:$D$503,(_calc!$E$648-500))))=0,"","Serial: "&amp;IF(LEN(INDEX('My equipment'!$D$4:$D$503,(_calc!$E$648-500)))=0,"",INDEX('My equipment'!$D$4:$D$503,(_calc!$E$648-500)))&amp;". ")&amp;IF(LEN(IF(ISNUMBER(INDEX('My equipment'!$J$4:$J$503,(_calc!$E$648-500))),TEXT(INDEX('My equipment'!$J$4:$J$503,(_calc!$E$648-500)),"yyyy-mm-dd"),""))=0,"","Parts end: "&amp;IF(ISNUMBER(INDEX('My equipment'!$J$4:$J$503,(_calc!$E$648-500))),TEXT(INDEX('My equipment'!$J$4:$J$503,(_calc!$E$648-500)),"yyyy-mm-dd"),"")&amp;". ")&amp;IF(LEN(IF(ISNUMBER(INDEX('My equipment'!$L$4:$L$503,(_calc!$E$648-500))),TEXT(INDEX('My equipment'!$L$4:$L$503,(_calc!$E$648-500)),"yyyy-mm-dd"),""))=0,"","Labor end: "&amp;IF(ISNUMBER(INDEX('My equipment'!$L$4:$L$503,(_calc!$E$648-500))),TEXT(INDEX('My equipment'!$L$4:$L$503,(_calc!$E$648-500)),"yyyy-mm-dd"),"")&amp;". ")&amp;IF(LEN(IF(ISNUMBER(INDEX('My equipment'!$P$4:$P$503,(_calc!$E$648-500))),TEXT(INDEX('My equipment'!$P$4:$P$503,(_calc!$E$648-500)),"yyyy-mm-dd"),""))=0,"","Check by: "&amp;IF(ISNUMBER(INDEX('My equipment'!$P$4:$P$503,(_calc!$E$648-500))),TEXT(INDEX('My equipment'!$P$4:$P$503,(_calc!$E$648-500)),"yyyy-mm-dd"),"")&amp;". ")&amp;IF(LEN(IF(LEN(INDEX('My equipment'!$Q$4:$Q$503,(_calc!$E$648-500)))=0,"",INDEX('My equipment'!$Q$4:$Q$503,(_calc!$E$648-500))))=0,"","Claim status: "&amp;IF(LEN(INDEX('My equipment'!$Q$4:$Q$503,(_calc!$E$648-500)))=0,"",INDEX('My equipment'!$Q$4:$Q$503,(_calc!$E$648-500)))&amp;". ")&amp;IF(LEN(IF(LEN(INDEX('My equipment'!$R$4:$R$503,(_calc!$E$648-500)))=0,"",INDEX('My equipment'!$R$4:$R$503,(_calc!$E$648-500))))=0,"","Claims contact: "&amp;IF(LEN(INDEX('My equipment'!$R$4:$R$503,(_calc!$E$648-500)))=0,"",INDEX('My equipment'!$R$4:$R$503,(_calc!$E$648-500)))&amp;". ")&amp;IF(LEN(IF(LEN(INDEX('My equipment'!$S$4:$S$503,(_calc!$E$648-500)))=0,"",INDEX('My equipment'!$S$4:$S$503,(_calc!$E$648-500))))=0,"","Claims email: "&amp;IF(LEN(INDEX('My equipment'!$S$4:$S$503,(_calc!$E$648-500)))=0,"",INDEX('My equipment'!$S$4:$S$503,(_calc!$E$648-500)))&amp;". ")&amp;IF(LEN(IF(LEN(INDEX('My equipment'!$U$4:$U$503,(_calc!$E$648-500)))=0,"",INDEX('My equipment'!$U$4:$U$503,(_calc!$E$648-500))))=0,"","Registered: "&amp;IF(LEN(INDEX('My equipment'!$U$4:$U$503,(_calc!$E$648-500)))=0,"",INDEX('My equipment'!$U$4:$U$503,(_calc!$E$648-500)))&amp;". ")&amp;IF(LEN(IF(LEN(INDEX('My equipment'!$V$4:$V$503,(_calc!$E$648-500)))=0,"",INDEX('My equipment'!$V$4:$V$503,(_calc!$E$648-500))))=0,"","Proof on file: "&amp;IF(LEN(INDEX('My equipment'!$V$4:$V$503,(_calc!$E$648-500)))=0,"",INDEX('My equipment'!$V$4:$V$503,(_calc!$E$648-500)))&amp;". ")&amp;IF(LEN(IF(LEN(INDEX('My equipment'!$W$4:$W$503,(_calc!$E$648-500)))=0,"",INDEX('My equipment'!$W$4:$W$503,(_calc!$E$648-500))))=0,"","Claim ref: "&amp;IF(LEN(INDEX('My equipment'!$W$4:$W$503,(_calc!$E$648-500)))=0,"",INDEX('My equipment'!$W$4:$W$503,(_calc!$E$648-500)))&amp;". ")&amp;IF(LEN(IF(LEN(INDEX('My equipment'!$Y$4:$Y$503,(_calc!$E$648-500)))=0,"",INDEX('My equipment'!$Y$4:$Y$503,(_calc!$E$648-500))))=0,"",IF(LEN(INDEX('My equipment'!$Y$4:$Y$503,(_calc!$E$648-500)))=0,"",INDEX('My equipment'!$Y$4:$Y$503,(_calc!$E$648-500)))))))</f>
        <v/>
      </c>
      <c r="G646" s="54">
        <f>IF(_calc!$E$648="","",IF(_calc!$E$648&lt;=500,"",IF(LEN(INDEX('My equipment'!$X$4:$X$503,(_calc!$E$648-500)))=0,"",INDEX('My equipment'!$X$4:$X$503,(_calc!$E$648-500)))))</f>
        <v/>
      </c>
      <c r="K646" s="54">
        <f>IF(_calc!$E$648="","",IF(_calc!$E$648&lt;=500,"",IF(LEN(INDEX('My equipment'!$T$4:$T$503,(_calc!$E$648-500)))=0,"",INDEX('My equipment'!$T$4:$T$503,(_calc!$E$648-500)))))</f>
        <v/>
      </c>
    </row>
    <row r="647">
      <c r="A647" s="54">
        <f>IF(_calc!$E$649="","",IF(_calc!$E$649&lt;=500,"Warranty – "&amp;IF(LEN(INDEX('Dealer pipeline'!$C$4:$C$503,_calc!$E$649))=0,"",INDEX('Dealer pipeline'!$C$4:$C$503,_calc!$E$649))&amp;" – "&amp;IF(LEN(INDEX('Dealer pipeline'!$D$4:$D$503,_calc!$E$649))=0,"",INDEX('Dealer pipeline'!$D$4:$D$503,_calc!$E$649))&amp;" – "&amp;IF(LEN(INDEX('Dealer pipeline'!$A$4:$A$503,_calc!$E$649))=0,"",INDEX('Dealer pipeline'!$A$4:$A$503,_calc!$E$649)),"Warranty – "&amp;IF(LEN(INDEX('My equipment'!$A$4:$A$503,(_calc!$E$649-500)))=0,"",INDEX('My equipment'!$A$4:$A$503,(_calc!$E$649-500)))&amp;" – "&amp;IF(LEN(INDEX('My equipment'!$D$4:$D$503,(_calc!$E$649-500)))=0,"",INDEX('My equipment'!$D$4:$D$503,(_calc!$E$649-500)))))</f>
        <v/>
      </c>
      <c r="B647" s="54">
        <f>IF(_calc!$E$649="","",IF(_calc!$E$649&lt;=500,IF(ISNUMBER(INDEX('Dealer pipeline'!$M$4:$M$503,_calc!$E$649)),TEXT(INDEX('Dealer pipeline'!$M$4:$M$503,_calc!$E$649),"yyyy-mm-dd"),""),IF(ISNUMBER(INDEX('My equipment'!$M$4:$M$503,(_calc!$E$649-500))),TEXT(INDEX('My equipment'!$M$4:$M$503,(_calc!$E$649-500)),"yyyy-mm-dd"),"")))</f>
        <v/>
      </c>
      <c r="C647" s="54">
        <f>IF(_calc!$E$649="","",IF(_calc!$E$649&lt;=500,"Warranty","Warranty"))</f>
        <v/>
      </c>
      <c r="D647" s="54">
        <f>IF(_calc!$E$649="","",IF(_calc!$E$649&lt;=500,IF(ISNUMBER(INDEX('Dealer pipeline'!$H$4:$H$503,_calc!$E$649)),TEXT(INDEX('Dealer pipeline'!$H$4:$H$503,_calc!$E$649),"yyyy-mm-dd"),""),IF(ISNUMBER(INDEX('My equipment'!$H$4:$H$503,(_calc!$E$649-500))),TEXT(INDEX('My equipment'!$H$4:$H$503,(_calc!$E$649-500)),"yyyy-mm-dd"),"")))</f>
        <v/>
      </c>
      <c r="F647" s="54">
        <f>IF(_calc!$E$649="","",IF(_calc!$E$649&lt;=500,TRIM(IF(LEN(IF(LEN(INDEX('Dealer pipeline'!$A$4:$A$503,_calc!$E$649))=0,"",INDEX('Dealer pipeline'!$A$4:$A$503,_calc!$E$649)))=0,"","Customer: "&amp;IF(LEN(INDEX('Dealer pipeline'!$A$4:$A$503,_calc!$E$649))=0,"",INDEX('Dealer pipeline'!$A$4:$A$503,_calc!$E$649))&amp;". ")&amp;IF(LEN(IF(LEN(INDEX('Dealer pipeline'!$B$4:$B$503,_calc!$E$649))=0,"",INDEX('Dealer pipeline'!$B$4:$B$503,_calc!$E$649)))=0,"","Contact: "&amp;IF(LEN(INDEX('Dealer pipeline'!$B$4:$B$503,_calc!$E$649))=0,"",INDEX('Dealer pipeline'!$B$4:$B$503,_calc!$E$649))&amp;". ")&amp;IF(LEN(IF(LEN(INDEX('Dealer pipeline'!$D$4:$D$503,_calc!$E$649))=0,"",INDEX('Dealer pipeline'!$D$4:$D$503,_calc!$E$649)))=0,"","Serial: "&amp;IF(LEN(INDEX('Dealer pipeline'!$D$4:$D$503,_calc!$E$649))=0,"",INDEX('Dealer pipeline'!$D$4:$D$503,_calc!$E$649))&amp;". ")&amp;IF(LEN(IF(ISNUMBER(INDEX('Dealer pipeline'!$J$4:$J$503,_calc!$E$649)),TEXT(INDEX('Dealer pipeline'!$J$4:$J$503,_calc!$E$649),"yyyy-mm-dd"),""))=0,"","Parts end: "&amp;IF(ISNUMBER(INDEX('Dealer pipeline'!$J$4:$J$503,_calc!$E$649)),TEXT(INDEX('Dealer pipeline'!$J$4:$J$503,_calc!$E$649),"yyyy-mm-dd"),"")&amp;". ")&amp;IF(LEN(IF(ISNUMBER(INDEX('Dealer pipeline'!$L$4:$L$503,_calc!$E$649)),TEXT(INDEX('Dealer pipeline'!$L$4:$L$503,_calc!$E$649),"yyyy-mm-dd"),""))=0,"","Labor end: "&amp;IF(ISNUMBER(INDEX('Dealer pipeline'!$L$4:$L$503,_calc!$E$649)),TEXT(INDEX('Dealer pipeline'!$L$4:$L$503,_calc!$E$649),"yyyy-mm-dd"),"")&amp;". ")&amp;IF(LEN(IF(LEN(INDEX('Dealer pipeline'!$Q$4:$Q$503,_calc!$E$649))=0,"",INDEX('Dealer pipeline'!$Q$4:$Q$503,_calc!$E$649)))=0,"","Status: "&amp;IF(LEN(INDEX('Dealer pipeline'!$Q$4:$Q$503,_calc!$E$649))=0,"",INDEX('Dealer pipeline'!$Q$4:$Q$503,_calc!$E$649))&amp;". ")&amp;IF(LEN(IF(LEN(INDEX('Dealer pipeline'!$P$4:$P$503,_calc!$E$649))=0,"",INDEX('Dealer pipeline'!$P$4:$P$503,_calc!$E$649)))=0,"","Last touch: "&amp;IF(LEN(INDEX('Dealer pipeline'!$P$4:$P$503,_calc!$E$649))=0,"",INDEX('Dealer pipeline'!$P$4:$P$503,_calc!$E$649))&amp;". ")&amp;IF(LEN(IF(LEN(INDEX('Dealer pipeline'!$R$4:$R$503,_calc!$E$649))=0,"",INDEX('Dealer pipeline'!$R$4:$R$503,_calc!$E$649)))=0,"","Owner: "&amp;IF(LEN(INDEX('Dealer pipeline'!$R$4:$R$503,_calc!$E$649))=0,"",INDEX('Dealer pipeline'!$R$4:$R$503,_calc!$E$649))&amp;". ")&amp;IF(LEN(IF(LEN(INDEX('Dealer pipeline'!$S$4:$S$503,_calc!$E$649))=0,"",INDEX('Dealer pipeline'!$S$4:$S$503,_calc!$E$649)))=0,"","Backup: "&amp;IF(LEN(INDEX('Dealer pipeline'!$S$4:$S$503,_calc!$E$649))=0,"",INDEX('Dealer pipeline'!$S$4:$S$503,_calc!$E$649))&amp;". ")&amp;IF(LEN(IF(LEN(INDEX('Dealer pipeline'!$T$4:$T$503,_calc!$E$649))=0,"",INDEX('Dealer pipeline'!$T$4:$T$503,_calc!$E$649)))=0,"",IF(LEN(INDEX('Dealer pipeline'!$T$4:$T$503,_calc!$E$649))=0,"",INDEX('Dealer pipeline'!$T$4:$T$503,_calc!$E$649)))),TRIM(IF(LEN(IF(LEN(INDEX('My equipment'!$C$4:$C$503,(_calc!$E$649-500)))=0,"",INDEX('My equipment'!$C$4:$C$503,(_calc!$E$649-500))))=0,"","Model: "&amp;IF(LEN(INDEX('My equipment'!$C$4:$C$503,(_calc!$E$649-500)))=0,"",INDEX('My equipment'!$C$4:$C$503,(_calc!$E$649-500)))&amp;". ")&amp;IF(LEN(IF(LEN(INDEX('My equipment'!$D$4:$D$503,(_calc!$E$649-500)))=0,"",INDEX('My equipment'!$D$4:$D$503,(_calc!$E$649-500))))=0,"","Serial: "&amp;IF(LEN(INDEX('My equipment'!$D$4:$D$503,(_calc!$E$649-500)))=0,"",INDEX('My equipment'!$D$4:$D$503,(_calc!$E$649-500)))&amp;". ")&amp;IF(LEN(IF(ISNUMBER(INDEX('My equipment'!$J$4:$J$503,(_calc!$E$649-500))),TEXT(INDEX('My equipment'!$J$4:$J$503,(_calc!$E$649-500)),"yyyy-mm-dd"),""))=0,"","Parts end: "&amp;IF(ISNUMBER(INDEX('My equipment'!$J$4:$J$503,(_calc!$E$649-500))),TEXT(INDEX('My equipment'!$J$4:$J$503,(_calc!$E$649-500)),"yyyy-mm-dd"),"")&amp;". ")&amp;IF(LEN(IF(ISNUMBER(INDEX('My equipment'!$L$4:$L$503,(_calc!$E$649-500))),TEXT(INDEX('My equipment'!$L$4:$L$503,(_calc!$E$649-500)),"yyyy-mm-dd"),""))=0,"","Labor end: "&amp;IF(ISNUMBER(INDEX('My equipment'!$L$4:$L$503,(_calc!$E$649-500))),TEXT(INDEX('My equipment'!$L$4:$L$503,(_calc!$E$649-500)),"yyyy-mm-dd"),"")&amp;". ")&amp;IF(LEN(IF(ISNUMBER(INDEX('My equipment'!$P$4:$P$503,(_calc!$E$649-500))),TEXT(INDEX('My equipment'!$P$4:$P$503,(_calc!$E$649-500)),"yyyy-mm-dd"),""))=0,"","Check by: "&amp;IF(ISNUMBER(INDEX('My equipment'!$P$4:$P$503,(_calc!$E$649-500))),TEXT(INDEX('My equipment'!$P$4:$P$503,(_calc!$E$649-500)),"yyyy-mm-dd"),"")&amp;". ")&amp;IF(LEN(IF(LEN(INDEX('My equipment'!$Q$4:$Q$503,(_calc!$E$649-500)))=0,"",INDEX('My equipment'!$Q$4:$Q$503,(_calc!$E$649-500))))=0,"","Claim status: "&amp;IF(LEN(INDEX('My equipment'!$Q$4:$Q$503,(_calc!$E$649-500)))=0,"",INDEX('My equipment'!$Q$4:$Q$503,(_calc!$E$649-500)))&amp;". ")&amp;IF(LEN(IF(LEN(INDEX('My equipment'!$R$4:$R$503,(_calc!$E$649-500)))=0,"",INDEX('My equipment'!$R$4:$R$503,(_calc!$E$649-500))))=0,"","Claims contact: "&amp;IF(LEN(INDEX('My equipment'!$R$4:$R$503,(_calc!$E$649-500)))=0,"",INDEX('My equipment'!$R$4:$R$503,(_calc!$E$649-500)))&amp;". ")&amp;IF(LEN(IF(LEN(INDEX('My equipment'!$S$4:$S$503,(_calc!$E$649-500)))=0,"",INDEX('My equipment'!$S$4:$S$503,(_calc!$E$649-500))))=0,"","Claims email: "&amp;IF(LEN(INDEX('My equipment'!$S$4:$S$503,(_calc!$E$649-500)))=0,"",INDEX('My equipment'!$S$4:$S$503,(_calc!$E$649-500)))&amp;". ")&amp;IF(LEN(IF(LEN(INDEX('My equipment'!$U$4:$U$503,(_calc!$E$649-500)))=0,"",INDEX('My equipment'!$U$4:$U$503,(_calc!$E$649-500))))=0,"","Registered: "&amp;IF(LEN(INDEX('My equipment'!$U$4:$U$503,(_calc!$E$649-500)))=0,"",INDEX('My equipment'!$U$4:$U$503,(_calc!$E$649-500)))&amp;". ")&amp;IF(LEN(IF(LEN(INDEX('My equipment'!$V$4:$V$503,(_calc!$E$649-500)))=0,"",INDEX('My equipment'!$V$4:$V$503,(_calc!$E$649-500))))=0,"","Proof on file: "&amp;IF(LEN(INDEX('My equipment'!$V$4:$V$503,(_calc!$E$649-500)))=0,"",INDEX('My equipment'!$V$4:$V$503,(_calc!$E$649-500)))&amp;". ")&amp;IF(LEN(IF(LEN(INDEX('My equipment'!$W$4:$W$503,(_calc!$E$649-500)))=0,"",INDEX('My equipment'!$W$4:$W$503,(_calc!$E$649-500))))=0,"","Claim ref: "&amp;IF(LEN(INDEX('My equipment'!$W$4:$W$503,(_calc!$E$649-500)))=0,"",INDEX('My equipment'!$W$4:$W$503,(_calc!$E$649-500)))&amp;". ")&amp;IF(LEN(IF(LEN(INDEX('My equipment'!$Y$4:$Y$503,(_calc!$E$649-500)))=0,"",INDEX('My equipment'!$Y$4:$Y$503,(_calc!$E$649-500))))=0,"",IF(LEN(INDEX('My equipment'!$Y$4:$Y$503,(_calc!$E$649-500)))=0,"",INDEX('My equipment'!$Y$4:$Y$503,(_calc!$E$649-500)))))))</f>
        <v/>
      </c>
      <c r="G647" s="54">
        <f>IF(_calc!$E$649="","",IF(_calc!$E$649&lt;=500,"",IF(LEN(INDEX('My equipment'!$X$4:$X$503,(_calc!$E$649-500)))=0,"",INDEX('My equipment'!$X$4:$X$503,(_calc!$E$649-500)))))</f>
        <v/>
      </c>
      <c r="K647" s="54">
        <f>IF(_calc!$E$649="","",IF(_calc!$E$649&lt;=500,"",IF(LEN(INDEX('My equipment'!$T$4:$T$503,(_calc!$E$649-500)))=0,"",INDEX('My equipment'!$T$4:$T$503,(_calc!$E$649-500)))))</f>
        <v/>
      </c>
    </row>
    <row r="648">
      <c r="A648" s="54">
        <f>IF(_calc!$E$650="","",IF(_calc!$E$650&lt;=500,"Warranty – "&amp;IF(LEN(INDEX('Dealer pipeline'!$C$4:$C$503,_calc!$E$650))=0,"",INDEX('Dealer pipeline'!$C$4:$C$503,_calc!$E$650))&amp;" – "&amp;IF(LEN(INDEX('Dealer pipeline'!$D$4:$D$503,_calc!$E$650))=0,"",INDEX('Dealer pipeline'!$D$4:$D$503,_calc!$E$650))&amp;" – "&amp;IF(LEN(INDEX('Dealer pipeline'!$A$4:$A$503,_calc!$E$650))=0,"",INDEX('Dealer pipeline'!$A$4:$A$503,_calc!$E$650)),"Warranty – "&amp;IF(LEN(INDEX('My equipment'!$A$4:$A$503,(_calc!$E$650-500)))=0,"",INDEX('My equipment'!$A$4:$A$503,(_calc!$E$650-500)))&amp;" – "&amp;IF(LEN(INDEX('My equipment'!$D$4:$D$503,(_calc!$E$650-500)))=0,"",INDEX('My equipment'!$D$4:$D$503,(_calc!$E$650-500)))))</f>
        <v/>
      </c>
      <c r="B648" s="54">
        <f>IF(_calc!$E$650="","",IF(_calc!$E$650&lt;=500,IF(ISNUMBER(INDEX('Dealer pipeline'!$M$4:$M$503,_calc!$E$650)),TEXT(INDEX('Dealer pipeline'!$M$4:$M$503,_calc!$E$650),"yyyy-mm-dd"),""),IF(ISNUMBER(INDEX('My equipment'!$M$4:$M$503,(_calc!$E$650-500))),TEXT(INDEX('My equipment'!$M$4:$M$503,(_calc!$E$650-500)),"yyyy-mm-dd"),"")))</f>
        <v/>
      </c>
      <c r="C648" s="54">
        <f>IF(_calc!$E$650="","",IF(_calc!$E$650&lt;=500,"Warranty","Warranty"))</f>
        <v/>
      </c>
      <c r="D648" s="54">
        <f>IF(_calc!$E$650="","",IF(_calc!$E$650&lt;=500,IF(ISNUMBER(INDEX('Dealer pipeline'!$H$4:$H$503,_calc!$E$650)),TEXT(INDEX('Dealer pipeline'!$H$4:$H$503,_calc!$E$650),"yyyy-mm-dd"),""),IF(ISNUMBER(INDEX('My equipment'!$H$4:$H$503,(_calc!$E$650-500))),TEXT(INDEX('My equipment'!$H$4:$H$503,(_calc!$E$650-500)),"yyyy-mm-dd"),"")))</f>
        <v/>
      </c>
      <c r="F648" s="54">
        <f>IF(_calc!$E$650="","",IF(_calc!$E$650&lt;=500,TRIM(IF(LEN(IF(LEN(INDEX('Dealer pipeline'!$A$4:$A$503,_calc!$E$650))=0,"",INDEX('Dealer pipeline'!$A$4:$A$503,_calc!$E$650)))=0,"","Customer: "&amp;IF(LEN(INDEX('Dealer pipeline'!$A$4:$A$503,_calc!$E$650))=0,"",INDEX('Dealer pipeline'!$A$4:$A$503,_calc!$E$650))&amp;". ")&amp;IF(LEN(IF(LEN(INDEX('Dealer pipeline'!$B$4:$B$503,_calc!$E$650))=0,"",INDEX('Dealer pipeline'!$B$4:$B$503,_calc!$E$650)))=0,"","Contact: "&amp;IF(LEN(INDEX('Dealer pipeline'!$B$4:$B$503,_calc!$E$650))=0,"",INDEX('Dealer pipeline'!$B$4:$B$503,_calc!$E$650))&amp;". ")&amp;IF(LEN(IF(LEN(INDEX('Dealer pipeline'!$D$4:$D$503,_calc!$E$650))=0,"",INDEX('Dealer pipeline'!$D$4:$D$503,_calc!$E$650)))=0,"","Serial: "&amp;IF(LEN(INDEX('Dealer pipeline'!$D$4:$D$503,_calc!$E$650))=0,"",INDEX('Dealer pipeline'!$D$4:$D$503,_calc!$E$650))&amp;". ")&amp;IF(LEN(IF(ISNUMBER(INDEX('Dealer pipeline'!$J$4:$J$503,_calc!$E$650)),TEXT(INDEX('Dealer pipeline'!$J$4:$J$503,_calc!$E$650),"yyyy-mm-dd"),""))=0,"","Parts end: "&amp;IF(ISNUMBER(INDEX('Dealer pipeline'!$J$4:$J$503,_calc!$E$650)),TEXT(INDEX('Dealer pipeline'!$J$4:$J$503,_calc!$E$650),"yyyy-mm-dd"),"")&amp;". ")&amp;IF(LEN(IF(ISNUMBER(INDEX('Dealer pipeline'!$L$4:$L$503,_calc!$E$650)),TEXT(INDEX('Dealer pipeline'!$L$4:$L$503,_calc!$E$650),"yyyy-mm-dd"),""))=0,"","Labor end: "&amp;IF(ISNUMBER(INDEX('Dealer pipeline'!$L$4:$L$503,_calc!$E$650)),TEXT(INDEX('Dealer pipeline'!$L$4:$L$503,_calc!$E$650),"yyyy-mm-dd"),"")&amp;". ")&amp;IF(LEN(IF(LEN(INDEX('Dealer pipeline'!$Q$4:$Q$503,_calc!$E$650))=0,"",INDEX('Dealer pipeline'!$Q$4:$Q$503,_calc!$E$650)))=0,"","Status: "&amp;IF(LEN(INDEX('Dealer pipeline'!$Q$4:$Q$503,_calc!$E$650))=0,"",INDEX('Dealer pipeline'!$Q$4:$Q$503,_calc!$E$650))&amp;". ")&amp;IF(LEN(IF(LEN(INDEX('Dealer pipeline'!$P$4:$P$503,_calc!$E$650))=0,"",INDEX('Dealer pipeline'!$P$4:$P$503,_calc!$E$650)))=0,"","Last touch: "&amp;IF(LEN(INDEX('Dealer pipeline'!$P$4:$P$503,_calc!$E$650))=0,"",INDEX('Dealer pipeline'!$P$4:$P$503,_calc!$E$650))&amp;". ")&amp;IF(LEN(IF(LEN(INDEX('Dealer pipeline'!$R$4:$R$503,_calc!$E$650))=0,"",INDEX('Dealer pipeline'!$R$4:$R$503,_calc!$E$650)))=0,"","Owner: "&amp;IF(LEN(INDEX('Dealer pipeline'!$R$4:$R$503,_calc!$E$650))=0,"",INDEX('Dealer pipeline'!$R$4:$R$503,_calc!$E$650))&amp;". ")&amp;IF(LEN(IF(LEN(INDEX('Dealer pipeline'!$S$4:$S$503,_calc!$E$650))=0,"",INDEX('Dealer pipeline'!$S$4:$S$503,_calc!$E$650)))=0,"","Backup: "&amp;IF(LEN(INDEX('Dealer pipeline'!$S$4:$S$503,_calc!$E$650))=0,"",INDEX('Dealer pipeline'!$S$4:$S$503,_calc!$E$650))&amp;". ")&amp;IF(LEN(IF(LEN(INDEX('Dealer pipeline'!$T$4:$T$503,_calc!$E$650))=0,"",INDEX('Dealer pipeline'!$T$4:$T$503,_calc!$E$650)))=0,"",IF(LEN(INDEX('Dealer pipeline'!$T$4:$T$503,_calc!$E$650))=0,"",INDEX('Dealer pipeline'!$T$4:$T$503,_calc!$E$650)))),TRIM(IF(LEN(IF(LEN(INDEX('My equipment'!$C$4:$C$503,(_calc!$E$650-500)))=0,"",INDEX('My equipment'!$C$4:$C$503,(_calc!$E$650-500))))=0,"","Model: "&amp;IF(LEN(INDEX('My equipment'!$C$4:$C$503,(_calc!$E$650-500)))=0,"",INDEX('My equipment'!$C$4:$C$503,(_calc!$E$650-500)))&amp;". ")&amp;IF(LEN(IF(LEN(INDEX('My equipment'!$D$4:$D$503,(_calc!$E$650-500)))=0,"",INDEX('My equipment'!$D$4:$D$503,(_calc!$E$650-500))))=0,"","Serial: "&amp;IF(LEN(INDEX('My equipment'!$D$4:$D$503,(_calc!$E$650-500)))=0,"",INDEX('My equipment'!$D$4:$D$503,(_calc!$E$650-500)))&amp;". ")&amp;IF(LEN(IF(ISNUMBER(INDEX('My equipment'!$J$4:$J$503,(_calc!$E$650-500))),TEXT(INDEX('My equipment'!$J$4:$J$503,(_calc!$E$650-500)),"yyyy-mm-dd"),""))=0,"","Parts end: "&amp;IF(ISNUMBER(INDEX('My equipment'!$J$4:$J$503,(_calc!$E$650-500))),TEXT(INDEX('My equipment'!$J$4:$J$503,(_calc!$E$650-500)),"yyyy-mm-dd"),"")&amp;". ")&amp;IF(LEN(IF(ISNUMBER(INDEX('My equipment'!$L$4:$L$503,(_calc!$E$650-500))),TEXT(INDEX('My equipment'!$L$4:$L$503,(_calc!$E$650-500)),"yyyy-mm-dd"),""))=0,"","Labor end: "&amp;IF(ISNUMBER(INDEX('My equipment'!$L$4:$L$503,(_calc!$E$650-500))),TEXT(INDEX('My equipment'!$L$4:$L$503,(_calc!$E$650-500)),"yyyy-mm-dd"),"")&amp;". ")&amp;IF(LEN(IF(ISNUMBER(INDEX('My equipment'!$P$4:$P$503,(_calc!$E$650-500))),TEXT(INDEX('My equipment'!$P$4:$P$503,(_calc!$E$650-500)),"yyyy-mm-dd"),""))=0,"","Check by: "&amp;IF(ISNUMBER(INDEX('My equipment'!$P$4:$P$503,(_calc!$E$650-500))),TEXT(INDEX('My equipment'!$P$4:$P$503,(_calc!$E$650-500)),"yyyy-mm-dd"),"")&amp;". ")&amp;IF(LEN(IF(LEN(INDEX('My equipment'!$Q$4:$Q$503,(_calc!$E$650-500)))=0,"",INDEX('My equipment'!$Q$4:$Q$503,(_calc!$E$650-500))))=0,"","Claim status: "&amp;IF(LEN(INDEX('My equipment'!$Q$4:$Q$503,(_calc!$E$650-500)))=0,"",INDEX('My equipment'!$Q$4:$Q$503,(_calc!$E$650-500)))&amp;". ")&amp;IF(LEN(IF(LEN(INDEX('My equipment'!$R$4:$R$503,(_calc!$E$650-500)))=0,"",INDEX('My equipment'!$R$4:$R$503,(_calc!$E$650-500))))=0,"","Claims contact: "&amp;IF(LEN(INDEX('My equipment'!$R$4:$R$503,(_calc!$E$650-500)))=0,"",INDEX('My equipment'!$R$4:$R$503,(_calc!$E$650-500)))&amp;". ")&amp;IF(LEN(IF(LEN(INDEX('My equipment'!$S$4:$S$503,(_calc!$E$650-500)))=0,"",INDEX('My equipment'!$S$4:$S$503,(_calc!$E$650-500))))=0,"","Claims email: "&amp;IF(LEN(INDEX('My equipment'!$S$4:$S$503,(_calc!$E$650-500)))=0,"",INDEX('My equipment'!$S$4:$S$503,(_calc!$E$650-500)))&amp;". ")&amp;IF(LEN(IF(LEN(INDEX('My equipment'!$U$4:$U$503,(_calc!$E$650-500)))=0,"",INDEX('My equipment'!$U$4:$U$503,(_calc!$E$650-500))))=0,"","Registered: "&amp;IF(LEN(INDEX('My equipment'!$U$4:$U$503,(_calc!$E$650-500)))=0,"",INDEX('My equipment'!$U$4:$U$503,(_calc!$E$650-500)))&amp;". ")&amp;IF(LEN(IF(LEN(INDEX('My equipment'!$V$4:$V$503,(_calc!$E$650-500)))=0,"",INDEX('My equipment'!$V$4:$V$503,(_calc!$E$650-500))))=0,"","Proof on file: "&amp;IF(LEN(INDEX('My equipment'!$V$4:$V$503,(_calc!$E$650-500)))=0,"",INDEX('My equipment'!$V$4:$V$503,(_calc!$E$650-500)))&amp;". ")&amp;IF(LEN(IF(LEN(INDEX('My equipment'!$W$4:$W$503,(_calc!$E$650-500)))=0,"",INDEX('My equipment'!$W$4:$W$503,(_calc!$E$650-500))))=0,"","Claim ref: "&amp;IF(LEN(INDEX('My equipment'!$W$4:$W$503,(_calc!$E$650-500)))=0,"",INDEX('My equipment'!$W$4:$W$503,(_calc!$E$650-500)))&amp;". ")&amp;IF(LEN(IF(LEN(INDEX('My equipment'!$Y$4:$Y$503,(_calc!$E$650-500)))=0,"",INDEX('My equipment'!$Y$4:$Y$503,(_calc!$E$650-500))))=0,"",IF(LEN(INDEX('My equipment'!$Y$4:$Y$503,(_calc!$E$650-500)))=0,"",INDEX('My equipment'!$Y$4:$Y$503,(_calc!$E$650-500)))))))</f>
        <v/>
      </c>
      <c r="G648" s="54">
        <f>IF(_calc!$E$650="","",IF(_calc!$E$650&lt;=500,"",IF(LEN(INDEX('My equipment'!$X$4:$X$503,(_calc!$E$650-500)))=0,"",INDEX('My equipment'!$X$4:$X$503,(_calc!$E$650-500)))))</f>
        <v/>
      </c>
      <c r="K648" s="54">
        <f>IF(_calc!$E$650="","",IF(_calc!$E$650&lt;=500,"",IF(LEN(INDEX('My equipment'!$T$4:$T$503,(_calc!$E$650-500)))=0,"",INDEX('My equipment'!$T$4:$T$503,(_calc!$E$650-500)))))</f>
        <v/>
      </c>
    </row>
    <row r="649">
      <c r="A649" s="54">
        <f>IF(_calc!$E$651="","",IF(_calc!$E$651&lt;=500,"Warranty – "&amp;IF(LEN(INDEX('Dealer pipeline'!$C$4:$C$503,_calc!$E$651))=0,"",INDEX('Dealer pipeline'!$C$4:$C$503,_calc!$E$651))&amp;" – "&amp;IF(LEN(INDEX('Dealer pipeline'!$D$4:$D$503,_calc!$E$651))=0,"",INDEX('Dealer pipeline'!$D$4:$D$503,_calc!$E$651))&amp;" – "&amp;IF(LEN(INDEX('Dealer pipeline'!$A$4:$A$503,_calc!$E$651))=0,"",INDEX('Dealer pipeline'!$A$4:$A$503,_calc!$E$651)),"Warranty – "&amp;IF(LEN(INDEX('My equipment'!$A$4:$A$503,(_calc!$E$651-500)))=0,"",INDEX('My equipment'!$A$4:$A$503,(_calc!$E$651-500)))&amp;" – "&amp;IF(LEN(INDEX('My equipment'!$D$4:$D$503,(_calc!$E$651-500)))=0,"",INDEX('My equipment'!$D$4:$D$503,(_calc!$E$651-500)))))</f>
        <v/>
      </c>
      <c r="B649" s="54">
        <f>IF(_calc!$E$651="","",IF(_calc!$E$651&lt;=500,IF(ISNUMBER(INDEX('Dealer pipeline'!$M$4:$M$503,_calc!$E$651)),TEXT(INDEX('Dealer pipeline'!$M$4:$M$503,_calc!$E$651),"yyyy-mm-dd"),""),IF(ISNUMBER(INDEX('My equipment'!$M$4:$M$503,(_calc!$E$651-500))),TEXT(INDEX('My equipment'!$M$4:$M$503,(_calc!$E$651-500)),"yyyy-mm-dd"),"")))</f>
        <v/>
      </c>
      <c r="C649" s="54">
        <f>IF(_calc!$E$651="","",IF(_calc!$E$651&lt;=500,"Warranty","Warranty"))</f>
        <v/>
      </c>
      <c r="D649" s="54">
        <f>IF(_calc!$E$651="","",IF(_calc!$E$651&lt;=500,IF(ISNUMBER(INDEX('Dealer pipeline'!$H$4:$H$503,_calc!$E$651)),TEXT(INDEX('Dealer pipeline'!$H$4:$H$503,_calc!$E$651),"yyyy-mm-dd"),""),IF(ISNUMBER(INDEX('My equipment'!$H$4:$H$503,(_calc!$E$651-500))),TEXT(INDEX('My equipment'!$H$4:$H$503,(_calc!$E$651-500)),"yyyy-mm-dd"),"")))</f>
        <v/>
      </c>
      <c r="F649" s="54">
        <f>IF(_calc!$E$651="","",IF(_calc!$E$651&lt;=500,TRIM(IF(LEN(IF(LEN(INDEX('Dealer pipeline'!$A$4:$A$503,_calc!$E$651))=0,"",INDEX('Dealer pipeline'!$A$4:$A$503,_calc!$E$651)))=0,"","Customer: "&amp;IF(LEN(INDEX('Dealer pipeline'!$A$4:$A$503,_calc!$E$651))=0,"",INDEX('Dealer pipeline'!$A$4:$A$503,_calc!$E$651))&amp;". ")&amp;IF(LEN(IF(LEN(INDEX('Dealer pipeline'!$B$4:$B$503,_calc!$E$651))=0,"",INDEX('Dealer pipeline'!$B$4:$B$503,_calc!$E$651)))=0,"","Contact: "&amp;IF(LEN(INDEX('Dealer pipeline'!$B$4:$B$503,_calc!$E$651))=0,"",INDEX('Dealer pipeline'!$B$4:$B$503,_calc!$E$651))&amp;". ")&amp;IF(LEN(IF(LEN(INDEX('Dealer pipeline'!$D$4:$D$503,_calc!$E$651))=0,"",INDEX('Dealer pipeline'!$D$4:$D$503,_calc!$E$651)))=0,"","Serial: "&amp;IF(LEN(INDEX('Dealer pipeline'!$D$4:$D$503,_calc!$E$651))=0,"",INDEX('Dealer pipeline'!$D$4:$D$503,_calc!$E$651))&amp;". ")&amp;IF(LEN(IF(ISNUMBER(INDEX('Dealer pipeline'!$J$4:$J$503,_calc!$E$651)),TEXT(INDEX('Dealer pipeline'!$J$4:$J$503,_calc!$E$651),"yyyy-mm-dd"),""))=0,"","Parts end: "&amp;IF(ISNUMBER(INDEX('Dealer pipeline'!$J$4:$J$503,_calc!$E$651)),TEXT(INDEX('Dealer pipeline'!$J$4:$J$503,_calc!$E$651),"yyyy-mm-dd"),"")&amp;". ")&amp;IF(LEN(IF(ISNUMBER(INDEX('Dealer pipeline'!$L$4:$L$503,_calc!$E$651)),TEXT(INDEX('Dealer pipeline'!$L$4:$L$503,_calc!$E$651),"yyyy-mm-dd"),""))=0,"","Labor end: "&amp;IF(ISNUMBER(INDEX('Dealer pipeline'!$L$4:$L$503,_calc!$E$651)),TEXT(INDEX('Dealer pipeline'!$L$4:$L$503,_calc!$E$651),"yyyy-mm-dd"),"")&amp;". ")&amp;IF(LEN(IF(LEN(INDEX('Dealer pipeline'!$Q$4:$Q$503,_calc!$E$651))=0,"",INDEX('Dealer pipeline'!$Q$4:$Q$503,_calc!$E$651)))=0,"","Status: "&amp;IF(LEN(INDEX('Dealer pipeline'!$Q$4:$Q$503,_calc!$E$651))=0,"",INDEX('Dealer pipeline'!$Q$4:$Q$503,_calc!$E$651))&amp;". ")&amp;IF(LEN(IF(LEN(INDEX('Dealer pipeline'!$P$4:$P$503,_calc!$E$651))=0,"",INDEX('Dealer pipeline'!$P$4:$P$503,_calc!$E$651)))=0,"","Last touch: "&amp;IF(LEN(INDEX('Dealer pipeline'!$P$4:$P$503,_calc!$E$651))=0,"",INDEX('Dealer pipeline'!$P$4:$P$503,_calc!$E$651))&amp;". ")&amp;IF(LEN(IF(LEN(INDEX('Dealer pipeline'!$R$4:$R$503,_calc!$E$651))=0,"",INDEX('Dealer pipeline'!$R$4:$R$503,_calc!$E$651)))=0,"","Owner: "&amp;IF(LEN(INDEX('Dealer pipeline'!$R$4:$R$503,_calc!$E$651))=0,"",INDEX('Dealer pipeline'!$R$4:$R$503,_calc!$E$651))&amp;". ")&amp;IF(LEN(IF(LEN(INDEX('Dealer pipeline'!$S$4:$S$503,_calc!$E$651))=0,"",INDEX('Dealer pipeline'!$S$4:$S$503,_calc!$E$651)))=0,"","Backup: "&amp;IF(LEN(INDEX('Dealer pipeline'!$S$4:$S$503,_calc!$E$651))=0,"",INDEX('Dealer pipeline'!$S$4:$S$503,_calc!$E$651))&amp;". ")&amp;IF(LEN(IF(LEN(INDEX('Dealer pipeline'!$T$4:$T$503,_calc!$E$651))=0,"",INDEX('Dealer pipeline'!$T$4:$T$503,_calc!$E$651)))=0,"",IF(LEN(INDEX('Dealer pipeline'!$T$4:$T$503,_calc!$E$651))=0,"",INDEX('Dealer pipeline'!$T$4:$T$503,_calc!$E$651)))),TRIM(IF(LEN(IF(LEN(INDEX('My equipment'!$C$4:$C$503,(_calc!$E$651-500)))=0,"",INDEX('My equipment'!$C$4:$C$503,(_calc!$E$651-500))))=0,"","Model: "&amp;IF(LEN(INDEX('My equipment'!$C$4:$C$503,(_calc!$E$651-500)))=0,"",INDEX('My equipment'!$C$4:$C$503,(_calc!$E$651-500)))&amp;". ")&amp;IF(LEN(IF(LEN(INDEX('My equipment'!$D$4:$D$503,(_calc!$E$651-500)))=0,"",INDEX('My equipment'!$D$4:$D$503,(_calc!$E$651-500))))=0,"","Serial: "&amp;IF(LEN(INDEX('My equipment'!$D$4:$D$503,(_calc!$E$651-500)))=0,"",INDEX('My equipment'!$D$4:$D$503,(_calc!$E$651-500)))&amp;". ")&amp;IF(LEN(IF(ISNUMBER(INDEX('My equipment'!$J$4:$J$503,(_calc!$E$651-500))),TEXT(INDEX('My equipment'!$J$4:$J$503,(_calc!$E$651-500)),"yyyy-mm-dd"),""))=0,"","Parts end: "&amp;IF(ISNUMBER(INDEX('My equipment'!$J$4:$J$503,(_calc!$E$651-500))),TEXT(INDEX('My equipment'!$J$4:$J$503,(_calc!$E$651-500)),"yyyy-mm-dd"),"")&amp;". ")&amp;IF(LEN(IF(ISNUMBER(INDEX('My equipment'!$L$4:$L$503,(_calc!$E$651-500))),TEXT(INDEX('My equipment'!$L$4:$L$503,(_calc!$E$651-500)),"yyyy-mm-dd"),""))=0,"","Labor end: "&amp;IF(ISNUMBER(INDEX('My equipment'!$L$4:$L$503,(_calc!$E$651-500))),TEXT(INDEX('My equipment'!$L$4:$L$503,(_calc!$E$651-500)),"yyyy-mm-dd"),"")&amp;". ")&amp;IF(LEN(IF(ISNUMBER(INDEX('My equipment'!$P$4:$P$503,(_calc!$E$651-500))),TEXT(INDEX('My equipment'!$P$4:$P$503,(_calc!$E$651-500)),"yyyy-mm-dd"),""))=0,"","Check by: "&amp;IF(ISNUMBER(INDEX('My equipment'!$P$4:$P$503,(_calc!$E$651-500))),TEXT(INDEX('My equipment'!$P$4:$P$503,(_calc!$E$651-500)),"yyyy-mm-dd"),"")&amp;". ")&amp;IF(LEN(IF(LEN(INDEX('My equipment'!$Q$4:$Q$503,(_calc!$E$651-500)))=0,"",INDEX('My equipment'!$Q$4:$Q$503,(_calc!$E$651-500))))=0,"","Claim status: "&amp;IF(LEN(INDEX('My equipment'!$Q$4:$Q$503,(_calc!$E$651-500)))=0,"",INDEX('My equipment'!$Q$4:$Q$503,(_calc!$E$651-500)))&amp;". ")&amp;IF(LEN(IF(LEN(INDEX('My equipment'!$R$4:$R$503,(_calc!$E$651-500)))=0,"",INDEX('My equipment'!$R$4:$R$503,(_calc!$E$651-500))))=0,"","Claims contact: "&amp;IF(LEN(INDEX('My equipment'!$R$4:$R$503,(_calc!$E$651-500)))=0,"",INDEX('My equipment'!$R$4:$R$503,(_calc!$E$651-500)))&amp;". ")&amp;IF(LEN(IF(LEN(INDEX('My equipment'!$S$4:$S$503,(_calc!$E$651-500)))=0,"",INDEX('My equipment'!$S$4:$S$503,(_calc!$E$651-500))))=0,"","Claims email: "&amp;IF(LEN(INDEX('My equipment'!$S$4:$S$503,(_calc!$E$651-500)))=0,"",INDEX('My equipment'!$S$4:$S$503,(_calc!$E$651-500)))&amp;". ")&amp;IF(LEN(IF(LEN(INDEX('My equipment'!$U$4:$U$503,(_calc!$E$651-500)))=0,"",INDEX('My equipment'!$U$4:$U$503,(_calc!$E$651-500))))=0,"","Registered: "&amp;IF(LEN(INDEX('My equipment'!$U$4:$U$503,(_calc!$E$651-500)))=0,"",INDEX('My equipment'!$U$4:$U$503,(_calc!$E$651-500)))&amp;". ")&amp;IF(LEN(IF(LEN(INDEX('My equipment'!$V$4:$V$503,(_calc!$E$651-500)))=0,"",INDEX('My equipment'!$V$4:$V$503,(_calc!$E$651-500))))=0,"","Proof on file: "&amp;IF(LEN(INDEX('My equipment'!$V$4:$V$503,(_calc!$E$651-500)))=0,"",INDEX('My equipment'!$V$4:$V$503,(_calc!$E$651-500)))&amp;". ")&amp;IF(LEN(IF(LEN(INDEX('My equipment'!$W$4:$W$503,(_calc!$E$651-500)))=0,"",INDEX('My equipment'!$W$4:$W$503,(_calc!$E$651-500))))=0,"","Claim ref: "&amp;IF(LEN(INDEX('My equipment'!$W$4:$W$503,(_calc!$E$651-500)))=0,"",INDEX('My equipment'!$W$4:$W$503,(_calc!$E$651-500)))&amp;". ")&amp;IF(LEN(IF(LEN(INDEX('My equipment'!$Y$4:$Y$503,(_calc!$E$651-500)))=0,"",INDEX('My equipment'!$Y$4:$Y$503,(_calc!$E$651-500))))=0,"",IF(LEN(INDEX('My equipment'!$Y$4:$Y$503,(_calc!$E$651-500)))=0,"",INDEX('My equipment'!$Y$4:$Y$503,(_calc!$E$651-500)))))))</f>
        <v/>
      </c>
      <c r="G649" s="54">
        <f>IF(_calc!$E$651="","",IF(_calc!$E$651&lt;=500,"",IF(LEN(INDEX('My equipment'!$X$4:$X$503,(_calc!$E$651-500)))=0,"",INDEX('My equipment'!$X$4:$X$503,(_calc!$E$651-500)))))</f>
        <v/>
      </c>
      <c r="K649" s="54">
        <f>IF(_calc!$E$651="","",IF(_calc!$E$651&lt;=500,"",IF(LEN(INDEX('My equipment'!$T$4:$T$503,(_calc!$E$651-500)))=0,"",INDEX('My equipment'!$T$4:$T$503,(_calc!$E$651-500)))))</f>
        <v/>
      </c>
    </row>
    <row r="650">
      <c r="A650" s="54">
        <f>IF(_calc!$E$652="","",IF(_calc!$E$652&lt;=500,"Warranty – "&amp;IF(LEN(INDEX('Dealer pipeline'!$C$4:$C$503,_calc!$E$652))=0,"",INDEX('Dealer pipeline'!$C$4:$C$503,_calc!$E$652))&amp;" – "&amp;IF(LEN(INDEX('Dealer pipeline'!$D$4:$D$503,_calc!$E$652))=0,"",INDEX('Dealer pipeline'!$D$4:$D$503,_calc!$E$652))&amp;" – "&amp;IF(LEN(INDEX('Dealer pipeline'!$A$4:$A$503,_calc!$E$652))=0,"",INDEX('Dealer pipeline'!$A$4:$A$503,_calc!$E$652)),"Warranty – "&amp;IF(LEN(INDEX('My equipment'!$A$4:$A$503,(_calc!$E$652-500)))=0,"",INDEX('My equipment'!$A$4:$A$503,(_calc!$E$652-500)))&amp;" – "&amp;IF(LEN(INDEX('My equipment'!$D$4:$D$503,(_calc!$E$652-500)))=0,"",INDEX('My equipment'!$D$4:$D$503,(_calc!$E$652-500)))))</f>
        <v/>
      </c>
      <c r="B650" s="54">
        <f>IF(_calc!$E$652="","",IF(_calc!$E$652&lt;=500,IF(ISNUMBER(INDEX('Dealer pipeline'!$M$4:$M$503,_calc!$E$652)),TEXT(INDEX('Dealer pipeline'!$M$4:$M$503,_calc!$E$652),"yyyy-mm-dd"),""),IF(ISNUMBER(INDEX('My equipment'!$M$4:$M$503,(_calc!$E$652-500))),TEXT(INDEX('My equipment'!$M$4:$M$503,(_calc!$E$652-500)),"yyyy-mm-dd"),"")))</f>
        <v/>
      </c>
      <c r="C650" s="54">
        <f>IF(_calc!$E$652="","",IF(_calc!$E$652&lt;=500,"Warranty","Warranty"))</f>
        <v/>
      </c>
      <c r="D650" s="54">
        <f>IF(_calc!$E$652="","",IF(_calc!$E$652&lt;=500,IF(ISNUMBER(INDEX('Dealer pipeline'!$H$4:$H$503,_calc!$E$652)),TEXT(INDEX('Dealer pipeline'!$H$4:$H$503,_calc!$E$652),"yyyy-mm-dd"),""),IF(ISNUMBER(INDEX('My equipment'!$H$4:$H$503,(_calc!$E$652-500))),TEXT(INDEX('My equipment'!$H$4:$H$503,(_calc!$E$652-500)),"yyyy-mm-dd"),"")))</f>
        <v/>
      </c>
      <c r="F650" s="54">
        <f>IF(_calc!$E$652="","",IF(_calc!$E$652&lt;=500,TRIM(IF(LEN(IF(LEN(INDEX('Dealer pipeline'!$A$4:$A$503,_calc!$E$652))=0,"",INDEX('Dealer pipeline'!$A$4:$A$503,_calc!$E$652)))=0,"","Customer: "&amp;IF(LEN(INDEX('Dealer pipeline'!$A$4:$A$503,_calc!$E$652))=0,"",INDEX('Dealer pipeline'!$A$4:$A$503,_calc!$E$652))&amp;". ")&amp;IF(LEN(IF(LEN(INDEX('Dealer pipeline'!$B$4:$B$503,_calc!$E$652))=0,"",INDEX('Dealer pipeline'!$B$4:$B$503,_calc!$E$652)))=0,"","Contact: "&amp;IF(LEN(INDEX('Dealer pipeline'!$B$4:$B$503,_calc!$E$652))=0,"",INDEX('Dealer pipeline'!$B$4:$B$503,_calc!$E$652))&amp;". ")&amp;IF(LEN(IF(LEN(INDEX('Dealer pipeline'!$D$4:$D$503,_calc!$E$652))=0,"",INDEX('Dealer pipeline'!$D$4:$D$503,_calc!$E$652)))=0,"","Serial: "&amp;IF(LEN(INDEX('Dealer pipeline'!$D$4:$D$503,_calc!$E$652))=0,"",INDEX('Dealer pipeline'!$D$4:$D$503,_calc!$E$652))&amp;". ")&amp;IF(LEN(IF(ISNUMBER(INDEX('Dealer pipeline'!$J$4:$J$503,_calc!$E$652)),TEXT(INDEX('Dealer pipeline'!$J$4:$J$503,_calc!$E$652),"yyyy-mm-dd"),""))=0,"","Parts end: "&amp;IF(ISNUMBER(INDEX('Dealer pipeline'!$J$4:$J$503,_calc!$E$652)),TEXT(INDEX('Dealer pipeline'!$J$4:$J$503,_calc!$E$652),"yyyy-mm-dd"),"")&amp;". ")&amp;IF(LEN(IF(ISNUMBER(INDEX('Dealer pipeline'!$L$4:$L$503,_calc!$E$652)),TEXT(INDEX('Dealer pipeline'!$L$4:$L$503,_calc!$E$652),"yyyy-mm-dd"),""))=0,"","Labor end: "&amp;IF(ISNUMBER(INDEX('Dealer pipeline'!$L$4:$L$503,_calc!$E$652)),TEXT(INDEX('Dealer pipeline'!$L$4:$L$503,_calc!$E$652),"yyyy-mm-dd"),"")&amp;". ")&amp;IF(LEN(IF(LEN(INDEX('Dealer pipeline'!$Q$4:$Q$503,_calc!$E$652))=0,"",INDEX('Dealer pipeline'!$Q$4:$Q$503,_calc!$E$652)))=0,"","Status: "&amp;IF(LEN(INDEX('Dealer pipeline'!$Q$4:$Q$503,_calc!$E$652))=0,"",INDEX('Dealer pipeline'!$Q$4:$Q$503,_calc!$E$652))&amp;". ")&amp;IF(LEN(IF(LEN(INDEX('Dealer pipeline'!$P$4:$P$503,_calc!$E$652))=0,"",INDEX('Dealer pipeline'!$P$4:$P$503,_calc!$E$652)))=0,"","Last touch: "&amp;IF(LEN(INDEX('Dealer pipeline'!$P$4:$P$503,_calc!$E$652))=0,"",INDEX('Dealer pipeline'!$P$4:$P$503,_calc!$E$652))&amp;". ")&amp;IF(LEN(IF(LEN(INDEX('Dealer pipeline'!$R$4:$R$503,_calc!$E$652))=0,"",INDEX('Dealer pipeline'!$R$4:$R$503,_calc!$E$652)))=0,"","Owner: "&amp;IF(LEN(INDEX('Dealer pipeline'!$R$4:$R$503,_calc!$E$652))=0,"",INDEX('Dealer pipeline'!$R$4:$R$503,_calc!$E$652))&amp;". ")&amp;IF(LEN(IF(LEN(INDEX('Dealer pipeline'!$S$4:$S$503,_calc!$E$652))=0,"",INDEX('Dealer pipeline'!$S$4:$S$503,_calc!$E$652)))=0,"","Backup: "&amp;IF(LEN(INDEX('Dealer pipeline'!$S$4:$S$503,_calc!$E$652))=0,"",INDEX('Dealer pipeline'!$S$4:$S$503,_calc!$E$652))&amp;". ")&amp;IF(LEN(IF(LEN(INDEX('Dealer pipeline'!$T$4:$T$503,_calc!$E$652))=0,"",INDEX('Dealer pipeline'!$T$4:$T$503,_calc!$E$652)))=0,"",IF(LEN(INDEX('Dealer pipeline'!$T$4:$T$503,_calc!$E$652))=0,"",INDEX('Dealer pipeline'!$T$4:$T$503,_calc!$E$652)))),TRIM(IF(LEN(IF(LEN(INDEX('My equipment'!$C$4:$C$503,(_calc!$E$652-500)))=0,"",INDEX('My equipment'!$C$4:$C$503,(_calc!$E$652-500))))=0,"","Model: "&amp;IF(LEN(INDEX('My equipment'!$C$4:$C$503,(_calc!$E$652-500)))=0,"",INDEX('My equipment'!$C$4:$C$503,(_calc!$E$652-500)))&amp;". ")&amp;IF(LEN(IF(LEN(INDEX('My equipment'!$D$4:$D$503,(_calc!$E$652-500)))=0,"",INDEX('My equipment'!$D$4:$D$503,(_calc!$E$652-500))))=0,"","Serial: "&amp;IF(LEN(INDEX('My equipment'!$D$4:$D$503,(_calc!$E$652-500)))=0,"",INDEX('My equipment'!$D$4:$D$503,(_calc!$E$652-500)))&amp;". ")&amp;IF(LEN(IF(ISNUMBER(INDEX('My equipment'!$J$4:$J$503,(_calc!$E$652-500))),TEXT(INDEX('My equipment'!$J$4:$J$503,(_calc!$E$652-500)),"yyyy-mm-dd"),""))=0,"","Parts end: "&amp;IF(ISNUMBER(INDEX('My equipment'!$J$4:$J$503,(_calc!$E$652-500))),TEXT(INDEX('My equipment'!$J$4:$J$503,(_calc!$E$652-500)),"yyyy-mm-dd"),"")&amp;". ")&amp;IF(LEN(IF(ISNUMBER(INDEX('My equipment'!$L$4:$L$503,(_calc!$E$652-500))),TEXT(INDEX('My equipment'!$L$4:$L$503,(_calc!$E$652-500)),"yyyy-mm-dd"),""))=0,"","Labor end: "&amp;IF(ISNUMBER(INDEX('My equipment'!$L$4:$L$503,(_calc!$E$652-500))),TEXT(INDEX('My equipment'!$L$4:$L$503,(_calc!$E$652-500)),"yyyy-mm-dd"),"")&amp;". ")&amp;IF(LEN(IF(ISNUMBER(INDEX('My equipment'!$P$4:$P$503,(_calc!$E$652-500))),TEXT(INDEX('My equipment'!$P$4:$P$503,(_calc!$E$652-500)),"yyyy-mm-dd"),""))=0,"","Check by: "&amp;IF(ISNUMBER(INDEX('My equipment'!$P$4:$P$503,(_calc!$E$652-500))),TEXT(INDEX('My equipment'!$P$4:$P$503,(_calc!$E$652-500)),"yyyy-mm-dd"),"")&amp;". ")&amp;IF(LEN(IF(LEN(INDEX('My equipment'!$Q$4:$Q$503,(_calc!$E$652-500)))=0,"",INDEX('My equipment'!$Q$4:$Q$503,(_calc!$E$652-500))))=0,"","Claim status: "&amp;IF(LEN(INDEX('My equipment'!$Q$4:$Q$503,(_calc!$E$652-500)))=0,"",INDEX('My equipment'!$Q$4:$Q$503,(_calc!$E$652-500)))&amp;". ")&amp;IF(LEN(IF(LEN(INDEX('My equipment'!$R$4:$R$503,(_calc!$E$652-500)))=0,"",INDEX('My equipment'!$R$4:$R$503,(_calc!$E$652-500))))=0,"","Claims contact: "&amp;IF(LEN(INDEX('My equipment'!$R$4:$R$503,(_calc!$E$652-500)))=0,"",INDEX('My equipment'!$R$4:$R$503,(_calc!$E$652-500)))&amp;". ")&amp;IF(LEN(IF(LEN(INDEX('My equipment'!$S$4:$S$503,(_calc!$E$652-500)))=0,"",INDEX('My equipment'!$S$4:$S$503,(_calc!$E$652-500))))=0,"","Claims email: "&amp;IF(LEN(INDEX('My equipment'!$S$4:$S$503,(_calc!$E$652-500)))=0,"",INDEX('My equipment'!$S$4:$S$503,(_calc!$E$652-500)))&amp;". ")&amp;IF(LEN(IF(LEN(INDEX('My equipment'!$U$4:$U$503,(_calc!$E$652-500)))=0,"",INDEX('My equipment'!$U$4:$U$503,(_calc!$E$652-500))))=0,"","Registered: "&amp;IF(LEN(INDEX('My equipment'!$U$4:$U$503,(_calc!$E$652-500)))=0,"",INDEX('My equipment'!$U$4:$U$503,(_calc!$E$652-500)))&amp;". ")&amp;IF(LEN(IF(LEN(INDEX('My equipment'!$V$4:$V$503,(_calc!$E$652-500)))=0,"",INDEX('My equipment'!$V$4:$V$503,(_calc!$E$652-500))))=0,"","Proof on file: "&amp;IF(LEN(INDEX('My equipment'!$V$4:$V$503,(_calc!$E$652-500)))=0,"",INDEX('My equipment'!$V$4:$V$503,(_calc!$E$652-500)))&amp;". ")&amp;IF(LEN(IF(LEN(INDEX('My equipment'!$W$4:$W$503,(_calc!$E$652-500)))=0,"",INDEX('My equipment'!$W$4:$W$503,(_calc!$E$652-500))))=0,"","Claim ref: "&amp;IF(LEN(INDEX('My equipment'!$W$4:$W$503,(_calc!$E$652-500)))=0,"",INDEX('My equipment'!$W$4:$W$503,(_calc!$E$652-500)))&amp;". ")&amp;IF(LEN(IF(LEN(INDEX('My equipment'!$Y$4:$Y$503,(_calc!$E$652-500)))=0,"",INDEX('My equipment'!$Y$4:$Y$503,(_calc!$E$652-500))))=0,"",IF(LEN(INDEX('My equipment'!$Y$4:$Y$503,(_calc!$E$652-500)))=0,"",INDEX('My equipment'!$Y$4:$Y$503,(_calc!$E$652-500)))))))</f>
        <v/>
      </c>
      <c r="G650" s="54">
        <f>IF(_calc!$E$652="","",IF(_calc!$E$652&lt;=500,"",IF(LEN(INDEX('My equipment'!$X$4:$X$503,(_calc!$E$652-500)))=0,"",INDEX('My equipment'!$X$4:$X$503,(_calc!$E$652-500)))))</f>
        <v/>
      </c>
      <c r="K650" s="54">
        <f>IF(_calc!$E$652="","",IF(_calc!$E$652&lt;=500,"",IF(LEN(INDEX('My equipment'!$T$4:$T$503,(_calc!$E$652-500)))=0,"",INDEX('My equipment'!$T$4:$T$503,(_calc!$E$652-500)))))</f>
        <v/>
      </c>
    </row>
    <row r="651">
      <c r="A651" s="54">
        <f>IF(_calc!$E$653="","",IF(_calc!$E$653&lt;=500,"Warranty – "&amp;IF(LEN(INDEX('Dealer pipeline'!$C$4:$C$503,_calc!$E$653))=0,"",INDEX('Dealer pipeline'!$C$4:$C$503,_calc!$E$653))&amp;" – "&amp;IF(LEN(INDEX('Dealer pipeline'!$D$4:$D$503,_calc!$E$653))=0,"",INDEX('Dealer pipeline'!$D$4:$D$503,_calc!$E$653))&amp;" – "&amp;IF(LEN(INDEX('Dealer pipeline'!$A$4:$A$503,_calc!$E$653))=0,"",INDEX('Dealer pipeline'!$A$4:$A$503,_calc!$E$653)),"Warranty – "&amp;IF(LEN(INDEX('My equipment'!$A$4:$A$503,(_calc!$E$653-500)))=0,"",INDEX('My equipment'!$A$4:$A$503,(_calc!$E$653-500)))&amp;" – "&amp;IF(LEN(INDEX('My equipment'!$D$4:$D$503,(_calc!$E$653-500)))=0,"",INDEX('My equipment'!$D$4:$D$503,(_calc!$E$653-500)))))</f>
        <v/>
      </c>
      <c r="B651" s="54">
        <f>IF(_calc!$E$653="","",IF(_calc!$E$653&lt;=500,IF(ISNUMBER(INDEX('Dealer pipeline'!$M$4:$M$503,_calc!$E$653)),TEXT(INDEX('Dealer pipeline'!$M$4:$M$503,_calc!$E$653),"yyyy-mm-dd"),""),IF(ISNUMBER(INDEX('My equipment'!$M$4:$M$503,(_calc!$E$653-500))),TEXT(INDEX('My equipment'!$M$4:$M$503,(_calc!$E$653-500)),"yyyy-mm-dd"),"")))</f>
        <v/>
      </c>
      <c r="C651" s="54">
        <f>IF(_calc!$E$653="","",IF(_calc!$E$653&lt;=500,"Warranty","Warranty"))</f>
        <v/>
      </c>
      <c r="D651" s="54">
        <f>IF(_calc!$E$653="","",IF(_calc!$E$653&lt;=500,IF(ISNUMBER(INDEX('Dealer pipeline'!$H$4:$H$503,_calc!$E$653)),TEXT(INDEX('Dealer pipeline'!$H$4:$H$503,_calc!$E$653),"yyyy-mm-dd"),""),IF(ISNUMBER(INDEX('My equipment'!$H$4:$H$503,(_calc!$E$653-500))),TEXT(INDEX('My equipment'!$H$4:$H$503,(_calc!$E$653-500)),"yyyy-mm-dd"),"")))</f>
        <v/>
      </c>
      <c r="F651" s="54">
        <f>IF(_calc!$E$653="","",IF(_calc!$E$653&lt;=500,TRIM(IF(LEN(IF(LEN(INDEX('Dealer pipeline'!$A$4:$A$503,_calc!$E$653))=0,"",INDEX('Dealer pipeline'!$A$4:$A$503,_calc!$E$653)))=0,"","Customer: "&amp;IF(LEN(INDEX('Dealer pipeline'!$A$4:$A$503,_calc!$E$653))=0,"",INDEX('Dealer pipeline'!$A$4:$A$503,_calc!$E$653))&amp;". ")&amp;IF(LEN(IF(LEN(INDEX('Dealer pipeline'!$B$4:$B$503,_calc!$E$653))=0,"",INDEX('Dealer pipeline'!$B$4:$B$503,_calc!$E$653)))=0,"","Contact: "&amp;IF(LEN(INDEX('Dealer pipeline'!$B$4:$B$503,_calc!$E$653))=0,"",INDEX('Dealer pipeline'!$B$4:$B$503,_calc!$E$653))&amp;". ")&amp;IF(LEN(IF(LEN(INDEX('Dealer pipeline'!$D$4:$D$503,_calc!$E$653))=0,"",INDEX('Dealer pipeline'!$D$4:$D$503,_calc!$E$653)))=0,"","Serial: "&amp;IF(LEN(INDEX('Dealer pipeline'!$D$4:$D$503,_calc!$E$653))=0,"",INDEX('Dealer pipeline'!$D$4:$D$503,_calc!$E$653))&amp;". ")&amp;IF(LEN(IF(ISNUMBER(INDEX('Dealer pipeline'!$J$4:$J$503,_calc!$E$653)),TEXT(INDEX('Dealer pipeline'!$J$4:$J$503,_calc!$E$653),"yyyy-mm-dd"),""))=0,"","Parts end: "&amp;IF(ISNUMBER(INDEX('Dealer pipeline'!$J$4:$J$503,_calc!$E$653)),TEXT(INDEX('Dealer pipeline'!$J$4:$J$503,_calc!$E$653),"yyyy-mm-dd"),"")&amp;". ")&amp;IF(LEN(IF(ISNUMBER(INDEX('Dealer pipeline'!$L$4:$L$503,_calc!$E$653)),TEXT(INDEX('Dealer pipeline'!$L$4:$L$503,_calc!$E$653),"yyyy-mm-dd"),""))=0,"","Labor end: "&amp;IF(ISNUMBER(INDEX('Dealer pipeline'!$L$4:$L$503,_calc!$E$653)),TEXT(INDEX('Dealer pipeline'!$L$4:$L$503,_calc!$E$653),"yyyy-mm-dd"),"")&amp;". ")&amp;IF(LEN(IF(LEN(INDEX('Dealer pipeline'!$Q$4:$Q$503,_calc!$E$653))=0,"",INDEX('Dealer pipeline'!$Q$4:$Q$503,_calc!$E$653)))=0,"","Status: "&amp;IF(LEN(INDEX('Dealer pipeline'!$Q$4:$Q$503,_calc!$E$653))=0,"",INDEX('Dealer pipeline'!$Q$4:$Q$503,_calc!$E$653))&amp;". ")&amp;IF(LEN(IF(LEN(INDEX('Dealer pipeline'!$P$4:$P$503,_calc!$E$653))=0,"",INDEX('Dealer pipeline'!$P$4:$P$503,_calc!$E$653)))=0,"","Last touch: "&amp;IF(LEN(INDEX('Dealer pipeline'!$P$4:$P$503,_calc!$E$653))=0,"",INDEX('Dealer pipeline'!$P$4:$P$503,_calc!$E$653))&amp;". ")&amp;IF(LEN(IF(LEN(INDEX('Dealer pipeline'!$R$4:$R$503,_calc!$E$653))=0,"",INDEX('Dealer pipeline'!$R$4:$R$503,_calc!$E$653)))=0,"","Owner: "&amp;IF(LEN(INDEX('Dealer pipeline'!$R$4:$R$503,_calc!$E$653))=0,"",INDEX('Dealer pipeline'!$R$4:$R$503,_calc!$E$653))&amp;". ")&amp;IF(LEN(IF(LEN(INDEX('Dealer pipeline'!$S$4:$S$503,_calc!$E$653))=0,"",INDEX('Dealer pipeline'!$S$4:$S$503,_calc!$E$653)))=0,"","Backup: "&amp;IF(LEN(INDEX('Dealer pipeline'!$S$4:$S$503,_calc!$E$653))=0,"",INDEX('Dealer pipeline'!$S$4:$S$503,_calc!$E$653))&amp;". ")&amp;IF(LEN(IF(LEN(INDEX('Dealer pipeline'!$T$4:$T$503,_calc!$E$653))=0,"",INDEX('Dealer pipeline'!$T$4:$T$503,_calc!$E$653)))=0,"",IF(LEN(INDEX('Dealer pipeline'!$T$4:$T$503,_calc!$E$653))=0,"",INDEX('Dealer pipeline'!$T$4:$T$503,_calc!$E$653)))),TRIM(IF(LEN(IF(LEN(INDEX('My equipment'!$C$4:$C$503,(_calc!$E$653-500)))=0,"",INDEX('My equipment'!$C$4:$C$503,(_calc!$E$653-500))))=0,"","Model: "&amp;IF(LEN(INDEX('My equipment'!$C$4:$C$503,(_calc!$E$653-500)))=0,"",INDEX('My equipment'!$C$4:$C$503,(_calc!$E$653-500)))&amp;". ")&amp;IF(LEN(IF(LEN(INDEX('My equipment'!$D$4:$D$503,(_calc!$E$653-500)))=0,"",INDEX('My equipment'!$D$4:$D$503,(_calc!$E$653-500))))=0,"","Serial: "&amp;IF(LEN(INDEX('My equipment'!$D$4:$D$503,(_calc!$E$653-500)))=0,"",INDEX('My equipment'!$D$4:$D$503,(_calc!$E$653-500)))&amp;". ")&amp;IF(LEN(IF(ISNUMBER(INDEX('My equipment'!$J$4:$J$503,(_calc!$E$653-500))),TEXT(INDEX('My equipment'!$J$4:$J$503,(_calc!$E$653-500)),"yyyy-mm-dd"),""))=0,"","Parts end: "&amp;IF(ISNUMBER(INDEX('My equipment'!$J$4:$J$503,(_calc!$E$653-500))),TEXT(INDEX('My equipment'!$J$4:$J$503,(_calc!$E$653-500)),"yyyy-mm-dd"),"")&amp;". ")&amp;IF(LEN(IF(ISNUMBER(INDEX('My equipment'!$L$4:$L$503,(_calc!$E$653-500))),TEXT(INDEX('My equipment'!$L$4:$L$503,(_calc!$E$653-500)),"yyyy-mm-dd"),""))=0,"","Labor end: "&amp;IF(ISNUMBER(INDEX('My equipment'!$L$4:$L$503,(_calc!$E$653-500))),TEXT(INDEX('My equipment'!$L$4:$L$503,(_calc!$E$653-500)),"yyyy-mm-dd"),"")&amp;". ")&amp;IF(LEN(IF(ISNUMBER(INDEX('My equipment'!$P$4:$P$503,(_calc!$E$653-500))),TEXT(INDEX('My equipment'!$P$4:$P$503,(_calc!$E$653-500)),"yyyy-mm-dd"),""))=0,"","Check by: "&amp;IF(ISNUMBER(INDEX('My equipment'!$P$4:$P$503,(_calc!$E$653-500))),TEXT(INDEX('My equipment'!$P$4:$P$503,(_calc!$E$653-500)),"yyyy-mm-dd"),"")&amp;". ")&amp;IF(LEN(IF(LEN(INDEX('My equipment'!$Q$4:$Q$503,(_calc!$E$653-500)))=0,"",INDEX('My equipment'!$Q$4:$Q$503,(_calc!$E$653-500))))=0,"","Claim status: "&amp;IF(LEN(INDEX('My equipment'!$Q$4:$Q$503,(_calc!$E$653-500)))=0,"",INDEX('My equipment'!$Q$4:$Q$503,(_calc!$E$653-500)))&amp;". ")&amp;IF(LEN(IF(LEN(INDEX('My equipment'!$R$4:$R$503,(_calc!$E$653-500)))=0,"",INDEX('My equipment'!$R$4:$R$503,(_calc!$E$653-500))))=0,"","Claims contact: "&amp;IF(LEN(INDEX('My equipment'!$R$4:$R$503,(_calc!$E$653-500)))=0,"",INDEX('My equipment'!$R$4:$R$503,(_calc!$E$653-500)))&amp;". ")&amp;IF(LEN(IF(LEN(INDEX('My equipment'!$S$4:$S$503,(_calc!$E$653-500)))=0,"",INDEX('My equipment'!$S$4:$S$503,(_calc!$E$653-500))))=0,"","Claims email: "&amp;IF(LEN(INDEX('My equipment'!$S$4:$S$503,(_calc!$E$653-500)))=0,"",INDEX('My equipment'!$S$4:$S$503,(_calc!$E$653-500)))&amp;". ")&amp;IF(LEN(IF(LEN(INDEX('My equipment'!$U$4:$U$503,(_calc!$E$653-500)))=0,"",INDEX('My equipment'!$U$4:$U$503,(_calc!$E$653-500))))=0,"","Registered: "&amp;IF(LEN(INDEX('My equipment'!$U$4:$U$503,(_calc!$E$653-500)))=0,"",INDEX('My equipment'!$U$4:$U$503,(_calc!$E$653-500)))&amp;". ")&amp;IF(LEN(IF(LEN(INDEX('My equipment'!$V$4:$V$503,(_calc!$E$653-500)))=0,"",INDEX('My equipment'!$V$4:$V$503,(_calc!$E$653-500))))=0,"","Proof on file: "&amp;IF(LEN(INDEX('My equipment'!$V$4:$V$503,(_calc!$E$653-500)))=0,"",INDEX('My equipment'!$V$4:$V$503,(_calc!$E$653-500)))&amp;". ")&amp;IF(LEN(IF(LEN(INDEX('My equipment'!$W$4:$W$503,(_calc!$E$653-500)))=0,"",INDEX('My equipment'!$W$4:$W$503,(_calc!$E$653-500))))=0,"","Claim ref: "&amp;IF(LEN(INDEX('My equipment'!$W$4:$W$503,(_calc!$E$653-500)))=0,"",INDEX('My equipment'!$W$4:$W$503,(_calc!$E$653-500)))&amp;". ")&amp;IF(LEN(IF(LEN(INDEX('My equipment'!$Y$4:$Y$503,(_calc!$E$653-500)))=0,"",INDEX('My equipment'!$Y$4:$Y$503,(_calc!$E$653-500))))=0,"",IF(LEN(INDEX('My equipment'!$Y$4:$Y$503,(_calc!$E$653-500)))=0,"",INDEX('My equipment'!$Y$4:$Y$503,(_calc!$E$653-500)))))))</f>
        <v/>
      </c>
      <c r="G651" s="54">
        <f>IF(_calc!$E$653="","",IF(_calc!$E$653&lt;=500,"",IF(LEN(INDEX('My equipment'!$X$4:$X$503,(_calc!$E$653-500)))=0,"",INDEX('My equipment'!$X$4:$X$503,(_calc!$E$653-500)))))</f>
        <v/>
      </c>
      <c r="K651" s="54">
        <f>IF(_calc!$E$653="","",IF(_calc!$E$653&lt;=500,"",IF(LEN(INDEX('My equipment'!$T$4:$T$503,(_calc!$E$653-500)))=0,"",INDEX('My equipment'!$T$4:$T$503,(_calc!$E$653-500)))))</f>
        <v/>
      </c>
    </row>
    <row r="652">
      <c r="A652" s="54">
        <f>IF(_calc!$E$654="","",IF(_calc!$E$654&lt;=500,"Warranty – "&amp;IF(LEN(INDEX('Dealer pipeline'!$C$4:$C$503,_calc!$E$654))=0,"",INDEX('Dealer pipeline'!$C$4:$C$503,_calc!$E$654))&amp;" – "&amp;IF(LEN(INDEX('Dealer pipeline'!$D$4:$D$503,_calc!$E$654))=0,"",INDEX('Dealer pipeline'!$D$4:$D$503,_calc!$E$654))&amp;" – "&amp;IF(LEN(INDEX('Dealer pipeline'!$A$4:$A$503,_calc!$E$654))=0,"",INDEX('Dealer pipeline'!$A$4:$A$503,_calc!$E$654)),"Warranty – "&amp;IF(LEN(INDEX('My equipment'!$A$4:$A$503,(_calc!$E$654-500)))=0,"",INDEX('My equipment'!$A$4:$A$503,(_calc!$E$654-500)))&amp;" – "&amp;IF(LEN(INDEX('My equipment'!$D$4:$D$503,(_calc!$E$654-500)))=0,"",INDEX('My equipment'!$D$4:$D$503,(_calc!$E$654-500)))))</f>
        <v/>
      </c>
      <c r="B652" s="54">
        <f>IF(_calc!$E$654="","",IF(_calc!$E$654&lt;=500,IF(ISNUMBER(INDEX('Dealer pipeline'!$M$4:$M$503,_calc!$E$654)),TEXT(INDEX('Dealer pipeline'!$M$4:$M$503,_calc!$E$654),"yyyy-mm-dd"),""),IF(ISNUMBER(INDEX('My equipment'!$M$4:$M$503,(_calc!$E$654-500))),TEXT(INDEX('My equipment'!$M$4:$M$503,(_calc!$E$654-500)),"yyyy-mm-dd"),"")))</f>
        <v/>
      </c>
      <c r="C652" s="54">
        <f>IF(_calc!$E$654="","",IF(_calc!$E$654&lt;=500,"Warranty","Warranty"))</f>
        <v/>
      </c>
      <c r="D652" s="54">
        <f>IF(_calc!$E$654="","",IF(_calc!$E$654&lt;=500,IF(ISNUMBER(INDEX('Dealer pipeline'!$H$4:$H$503,_calc!$E$654)),TEXT(INDEX('Dealer pipeline'!$H$4:$H$503,_calc!$E$654),"yyyy-mm-dd"),""),IF(ISNUMBER(INDEX('My equipment'!$H$4:$H$503,(_calc!$E$654-500))),TEXT(INDEX('My equipment'!$H$4:$H$503,(_calc!$E$654-500)),"yyyy-mm-dd"),"")))</f>
        <v/>
      </c>
      <c r="F652" s="54">
        <f>IF(_calc!$E$654="","",IF(_calc!$E$654&lt;=500,TRIM(IF(LEN(IF(LEN(INDEX('Dealer pipeline'!$A$4:$A$503,_calc!$E$654))=0,"",INDEX('Dealer pipeline'!$A$4:$A$503,_calc!$E$654)))=0,"","Customer: "&amp;IF(LEN(INDEX('Dealer pipeline'!$A$4:$A$503,_calc!$E$654))=0,"",INDEX('Dealer pipeline'!$A$4:$A$503,_calc!$E$654))&amp;". ")&amp;IF(LEN(IF(LEN(INDEX('Dealer pipeline'!$B$4:$B$503,_calc!$E$654))=0,"",INDEX('Dealer pipeline'!$B$4:$B$503,_calc!$E$654)))=0,"","Contact: "&amp;IF(LEN(INDEX('Dealer pipeline'!$B$4:$B$503,_calc!$E$654))=0,"",INDEX('Dealer pipeline'!$B$4:$B$503,_calc!$E$654))&amp;". ")&amp;IF(LEN(IF(LEN(INDEX('Dealer pipeline'!$D$4:$D$503,_calc!$E$654))=0,"",INDEX('Dealer pipeline'!$D$4:$D$503,_calc!$E$654)))=0,"","Serial: "&amp;IF(LEN(INDEX('Dealer pipeline'!$D$4:$D$503,_calc!$E$654))=0,"",INDEX('Dealer pipeline'!$D$4:$D$503,_calc!$E$654))&amp;". ")&amp;IF(LEN(IF(ISNUMBER(INDEX('Dealer pipeline'!$J$4:$J$503,_calc!$E$654)),TEXT(INDEX('Dealer pipeline'!$J$4:$J$503,_calc!$E$654),"yyyy-mm-dd"),""))=0,"","Parts end: "&amp;IF(ISNUMBER(INDEX('Dealer pipeline'!$J$4:$J$503,_calc!$E$654)),TEXT(INDEX('Dealer pipeline'!$J$4:$J$503,_calc!$E$654),"yyyy-mm-dd"),"")&amp;". ")&amp;IF(LEN(IF(ISNUMBER(INDEX('Dealer pipeline'!$L$4:$L$503,_calc!$E$654)),TEXT(INDEX('Dealer pipeline'!$L$4:$L$503,_calc!$E$654),"yyyy-mm-dd"),""))=0,"","Labor end: "&amp;IF(ISNUMBER(INDEX('Dealer pipeline'!$L$4:$L$503,_calc!$E$654)),TEXT(INDEX('Dealer pipeline'!$L$4:$L$503,_calc!$E$654),"yyyy-mm-dd"),"")&amp;". ")&amp;IF(LEN(IF(LEN(INDEX('Dealer pipeline'!$Q$4:$Q$503,_calc!$E$654))=0,"",INDEX('Dealer pipeline'!$Q$4:$Q$503,_calc!$E$654)))=0,"","Status: "&amp;IF(LEN(INDEX('Dealer pipeline'!$Q$4:$Q$503,_calc!$E$654))=0,"",INDEX('Dealer pipeline'!$Q$4:$Q$503,_calc!$E$654))&amp;". ")&amp;IF(LEN(IF(LEN(INDEX('Dealer pipeline'!$P$4:$P$503,_calc!$E$654))=0,"",INDEX('Dealer pipeline'!$P$4:$P$503,_calc!$E$654)))=0,"","Last touch: "&amp;IF(LEN(INDEX('Dealer pipeline'!$P$4:$P$503,_calc!$E$654))=0,"",INDEX('Dealer pipeline'!$P$4:$P$503,_calc!$E$654))&amp;". ")&amp;IF(LEN(IF(LEN(INDEX('Dealer pipeline'!$R$4:$R$503,_calc!$E$654))=0,"",INDEX('Dealer pipeline'!$R$4:$R$503,_calc!$E$654)))=0,"","Owner: "&amp;IF(LEN(INDEX('Dealer pipeline'!$R$4:$R$503,_calc!$E$654))=0,"",INDEX('Dealer pipeline'!$R$4:$R$503,_calc!$E$654))&amp;". ")&amp;IF(LEN(IF(LEN(INDEX('Dealer pipeline'!$S$4:$S$503,_calc!$E$654))=0,"",INDEX('Dealer pipeline'!$S$4:$S$503,_calc!$E$654)))=0,"","Backup: "&amp;IF(LEN(INDEX('Dealer pipeline'!$S$4:$S$503,_calc!$E$654))=0,"",INDEX('Dealer pipeline'!$S$4:$S$503,_calc!$E$654))&amp;". ")&amp;IF(LEN(IF(LEN(INDEX('Dealer pipeline'!$T$4:$T$503,_calc!$E$654))=0,"",INDEX('Dealer pipeline'!$T$4:$T$503,_calc!$E$654)))=0,"",IF(LEN(INDEX('Dealer pipeline'!$T$4:$T$503,_calc!$E$654))=0,"",INDEX('Dealer pipeline'!$T$4:$T$503,_calc!$E$654)))),TRIM(IF(LEN(IF(LEN(INDEX('My equipment'!$C$4:$C$503,(_calc!$E$654-500)))=0,"",INDEX('My equipment'!$C$4:$C$503,(_calc!$E$654-500))))=0,"","Model: "&amp;IF(LEN(INDEX('My equipment'!$C$4:$C$503,(_calc!$E$654-500)))=0,"",INDEX('My equipment'!$C$4:$C$503,(_calc!$E$654-500)))&amp;". ")&amp;IF(LEN(IF(LEN(INDEX('My equipment'!$D$4:$D$503,(_calc!$E$654-500)))=0,"",INDEX('My equipment'!$D$4:$D$503,(_calc!$E$654-500))))=0,"","Serial: "&amp;IF(LEN(INDEX('My equipment'!$D$4:$D$503,(_calc!$E$654-500)))=0,"",INDEX('My equipment'!$D$4:$D$503,(_calc!$E$654-500)))&amp;". ")&amp;IF(LEN(IF(ISNUMBER(INDEX('My equipment'!$J$4:$J$503,(_calc!$E$654-500))),TEXT(INDEX('My equipment'!$J$4:$J$503,(_calc!$E$654-500)),"yyyy-mm-dd"),""))=0,"","Parts end: "&amp;IF(ISNUMBER(INDEX('My equipment'!$J$4:$J$503,(_calc!$E$654-500))),TEXT(INDEX('My equipment'!$J$4:$J$503,(_calc!$E$654-500)),"yyyy-mm-dd"),"")&amp;". ")&amp;IF(LEN(IF(ISNUMBER(INDEX('My equipment'!$L$4:$L$503,(_calc!$E$654-500))),TEXT(INDEX('My equipment'!$L$4:$L$503,(_calc!$E$654-500)),"yyyy-mm-dd"),""))=0,"","Labor end: "&amp;IF(ISNUMBER(INDEX('My equipment'!$L$4:$L$503,(_calc!$E$654-500))),TEXT(INDEX('My equipment'!$L$4:$L$503,(_calc!$E$654-500)),"yyyy-mm-dd"),"")&amp;". ")&amp;IF(LEN(IF(ISNUMBER(INDEX('My equipment'!$P$4:$P$503,(_calc!$E$654-500))),TEXT(INDEX('My equipment'!$P$4:$P$503,(_calc!$E$654-500)),"yyyy-mm-dd"),""))=0,"","Check by: "&amp;IF(ISNUMBER(INDEX('My equipment'!$P$4:$P$503,(_calc!$E$654-500))),TEXT(INDEX('My equipment'!$P$4:$P$503,(_calc!$E$654-500)),"yyyy-mm-dd"),"")&amp;". ")&amp;IF(LEN(IF(LEN(INDEX('My equipment'!$Q$4:$Q$503,(_calc!$E$654-500)))=0,"",INDEX('My equipment'!$Q$4:$Q$503,(_calc!$E$654-500))))=0,"","Claim status: "&amp;IF(LEN(INDEX('My equipment'!$Q$4:$Q$503,(_calc!$E$654-500)))=0,"",INDEX('My equipment'!$Q$4:$Q$503,(_calc!$E$654-500)))&amp;". ")&amp;IF(LEN(IF(LEN(INDEX('My equipment'!$R$4:$R$503,(_calc!$E$654-500)))=0,"",INDEX('My equipment'!$R$4:$R$503,(_calc!$E$654-500))))=0,"","Claims contact: "&amp;IF(LEN(INDEX('My equipment'!$R$4:$R$503,(_calc!$E$654-500)))=0,"",INDEX('My equipment'!$R$4:$R$503,(_calc!$E$654-500)))&amp;". ")&amp;IF(LEN(IF(LEN(INDEX('My equipment'!$S$4:$S$503,(_calc!$E$654-500)))=0,"",INDEX('My equipment'!$S$4:$S$503,(_calc!$E$654-500))))=0,"","Claims email: "&amp;IF(LEN(INDEX('My equipment'!$S$4:$S$503,(_calc!$E$654-500)))=0,"",INDEX('My equipment'!$S$4:$S$503,(_calc!$E$654-500)))&amp;". ")&amp;IF(LEN(IF(LEN(INDEX('My equipment'!$U$4:$U$503,(_calc!$E$654-500)))=0,"",INDEX('My equipment'!$U$4:$U$503,(_calc!$E$654-500))))=0,"","Registered: "&amp;IF(LEN(INDEX('My equipment'!$U$4:$U$503,(_calc!$E$654-500)))=0,"",INDEX('My equipment'!$U$4:$U$503,(_calc!$E$654-500)))&amp;". ")&amp;IF(LEN(IF(LEN(INDEX('My equipment'!$V$4:$V$503,(_calc!$E$654-500)))=0,"",INDEX('My equipment'!$V$4:$V$503,(_calc!$E$654-500))))=0,"","Proof on file: "&amp;IF(LEN(INDEX('My equipment'!$V$4:$V$503,(_calc!$E$654-500)))=0,"",INDEX('My equipment'!$V$4:$V$503,(_calc!$E$654-500)))&amp;". ")&amp;IF(LEN(IF(LEN(INDEX('My equipment'!$W$4:$W$503,(_calc!$E$654-500)))=0,"",INDEX('My equipment'!$W$4:$W$503,(_calc!$E$654-500))))=0,"","Claim ref: "&amp;IF(LEN(INDEX('My equipment'!$W$4:$W$503,(_calc!$E$654-500)))=0,"",INDEX('My equipment'!$W$4:$W$503,(_calc!$E$654-500)))&amp;". ")&amp;IF(LEN(IF(LEN(INDEX('My equipment'!$Y$4:$Y$503,(_calc!$E$654-500)))=0,"",INDEX('My equipment'!$Y$4:$Y$503,(_calc!$E$654-500))))=0,"",IF(LEN(INDEX('My equipment'!$Y$4:$Y$503,(_calc!$E$654-500)))=0,"",INDEX('My equipment'!$Y$4:$Y$503,(_calc!$E$654-500)))))))</f>
        <v/>
      </c>
      <c r="G652" s="54">
        <f>IF(_calc!$E$654="","",IF(_calc!$E$654&lt;=500,"",IF(LEN(INDEX('My equipment'!$X$4:$X$503,(_calc!$E$654-500)))=0,"",INDEX('My equipment'!$X$4:$X$503,(_calc!$E$654-500)))))</f>
        <v/>
      </c>
      <c r="K652" s="54">
        <f>IF(_calc!$E$654="","",IF(_calc!$E$654&lt;=500,"",IF(LEN(INDEX('My equipment'!$T$4:$T$503,(_calc!$E$654-500)))=0,"",INDEX('My equipment'!$T$4:$T$503,(_calc!$E$654-500)))))</f>
        <v/>
      </c>
    </row>
    <row r="653">
      <c r="A653" s="54">
        <f>IF(_calc!$E$655="","",IF(_calc!$E$655&lt;=500,"Warranty – "&amp;IF(LEN(INDEX('Dealer pipeline'!$C$4:$C$503,_calc!$E$655))=0,"",INDEX('Dealer pipeline'!$C$4:$C$503,_calc!$E$655))&amp;" – "&amp;IF(LEN(INDEX('Dealer pipeline'!$D$4:$D$503,_calc!$E$655))=0,"",INDEX('Dealer pipeline'!$D$4:$D$503,_calc!$E$655))&amp;" – "&amp;IF(LEN(INDEX('Dealer pipeline'!$A$4:$A$503,_calc!$E$655))=0,"",INDEX('Dealer pipeline'!$A$4:$A$503,_calc!$E$655)),"Warranty – "&amp;IF(LEN(INDEX('My equipment'!$A$4:$A$503,(_calc!$E$655-500)))=0,"",INDEX('My equipment'!$A$4:$A$503,(_calc!$E$655-500)))&amp;" – "&amp;IF(LEN(INDEX('My equipment'!$D$4:$D$503,(_calc!$E$655-500)))=0,"",INDEX('My equipment'!$D$4:$D$503,(_calc!$E$655-500)))))</f>
        <v/>
      </c>
      <c r="B653" s="54">
        <f>IF(_calc!$E$655="","",IF(_calc!$E$655&lt;=500,IF(ISNUMBER(INDEX('Dealer pipeline'!$M$4:$M$503,_calc!$E$655)),TEXT(INDEX('Dealer pipeline'!$M$4:$M$503,_calc!$E$655),"yyyy-mm-dd"),""),IF(ISNUMBER(INDEX('My equipment'!$M$4:$M$503,(_calc!$E$655-500))),TEXT(INDEX('My equipment'!$M$4:$M$503,(_calc!$E$655-500)),"yyyy-mm-dd"),"")))</f>
        <v/>
      </c>
      <c r="C653" s="54">
        <f>IF(_calc!$E$655="","",IF(_calc!$E$655&lt;=500,"Warranty","Warranty"))</f>
        <v/>
      </c>
      <c r="D653" s="54">
        <f>IF(_calc!$E$655="","",IF(_calc!$E$655&lt;=500,IF(ISNUMBER(INDEX('Dealer pipeline'!$H$4:$H$503,_calc!$E$655)),TEXT(INDEX('Dealer pipeline'!$H$4:$H$503,_calc!$E$655),"yyyy-mm-dd"),""),IF(ISNUMBER(INDEX('My equipment'!$H$4:$H$503,(_calc!$E$655-500))),TEXT(INDEX('My equipment'!$H$4:$H$503,(_calc!$E$655-500)),"yyyy-mm-dd"),"")))</f>
        <v/>
      </c>
      <c r="F653" s="54">
        <f>IF(_calc!$E$655="","",IF(_calc!$E$655&lt;=500,TRIM(IF(LEN(IF(LEN(INDEX('Dealer pipeline'!$A$4:$A$503,_calc!$E$655))=0,"",INDEX('Dealer pipeline'!$A$4:$A$503,_calc!$E$655)))=0,"","Customer: "&amp;IF(LEN(INDEX('Dealer pipeline'!$A$4:$A$503,_calc!$E$655))=0,"",INDEX('Dealer pipeline'!$A$4:$A$503,_calc!$E$655))&amp;". ")&amp;IF(LEN(IF(LEN(INDEX('Dealer pipeline'!$B$4:$B$503,_calc!$E$655))=0,"",INDEX('Dealer pipeline'!$B$4:$B$503,_calc!$E$655)))=0,"","Contact: "&amp;IF(LEN(INDEX('Dealer pipeline'!$B$4:$B$503,_calc!$E$655))=0,"",INDEX('Dealer pipeline'!$B$4:$B$503,_calc!$E$655))&amp;". ")&amp;IF(LEN(IF(LEN(INDEX('Dealer pipeline'!$D$4:$D$503,_calc!$E$655))=0,"",INDEX('Dealer pipeline'!$D$4:$D$503,_calc!$E$655)))=0,"","Serial: "&amp;IF(LEN(INDEX('Dealer pipeline'!$D$4:$D$503,_calc!$E$655))=0,"",INDEX('Dealer pipeline'!$D$4:$D$503,_calc!$E$655))&amp;". ")&amp;IF(LEN(IF(ISNUMBER(INDEX('Dealer pipeline'!$J$4:$J$503,_calc!$E$655)),TEXT(INDEX('Dealer pipeline'!$J$4:$J$503,_calc!$E$655),"yyyy-mm-dd"),""))=0,"","Parts end: "&amp;IF(ISNUMBER(INDEX('Dealer pipeline'!$J$4:$J$503,_calc!$E$655)),TEXT(INDEX('Dealer pipeline'!$J$4:$J$503,_calc!$E$655),"yyyy-mm-dd"),"")&amp;". ")&amp;IF(LEN(IF(ISNUMBER(INDEX('Dealer pipeline'!$L$4:$L$503,_calc!$E$655)),TEXT(INDEX('Dealer pipeline'!$L$4:$L$503,_calc!$E$655),"yyyy-mm-dd"),""))=0,"","Labor end: "&amp;IF(ISNUMBER(INDEX('Dealer pipeline'!$L$4:$L$503,_calc!$E$655)),TEXT(INDEX('Dealer pipeline'!$L$4:$L$503,_calc!$E$655),"yyyy-mm-dd"),"")&amp;". ")&amp;IF(LEN(IF(LEN(INDEX('Dealer pipeline'!$Q$4:$Q$503,_calc!$E$655))=0,"",INDEX('Dealer pipeline'!$Q$4:$Q$503,_calc!$E$655)))=0,"","Status: "&amp;IF(LEN(INDEX('Dealer pipeline'!$Q$4:$Q$503,_calc!$E$655))=0,"",INDEX('Dealer pipeline'!$Q$4:$Q$503,_calc!$E$655))&amp;". ")&amp;IF(LEN(IF(LEN(INDEX('Dealer pipeline'!$P$4:$P$503,_calc!$E$655))=0,"",INDEX('Dealer pipeline'!$P$4:$P$503,_calc!$E$655)))=0,"","Last touch: "&amp;IF(LEN(INDEX('Dealer pipeline'!$P$4:$P$503,_calc!$E$655))=0,"",INDEX('Dealer pipeline'!$P$4:$P$503,_calc!$E$655))&amp;". ")&amp;IF(LEN(IF(LEN(INDEX('Dealer pipeline'!$R$4:$R$503,_calc!$E$655))=0,"",INDEX('Dealer pipeline'!$R$4:$R$503,_calc!$E$655)))=0,"","Owner: "&amp;IF(LEN(INDEX('Dealer pipeline'!$R$4:$R$503,_calc!$E$655))=0,"",INDEX('Dealer pipeline'!$R$4:$R$503,_calc!$E$655))&amp;". ")&amp;IF(LEN(IF(LEN(INDEX('Dealer pipeline'!$S$4:$S$503,_calc!$E$655))=0,"",INDEX('Dealer pipeline'!$S$4:$S$503,_calc!$E$655)))=0,"","Backup: "&amp;IF(LEN(INDEX('Dealer pipeline'!$S$4:$S$503,_calc!$E$655))=0,"",INDEX('Dealer pipeline'!$S$4:$S$503,_calc!$E$655))&amp;". ")&amp;IF(LEN(IF(LEN(INDEX('Dealer pipeline'!$T$4:$T$503,_calc!$E$655))=0,"",INDEX('Dealer pipeline'!$T$4:$T$503,_calc!$E$655)))=0,"",IF(LEN(INDEX('Dealer pipeline'!$T$4:$T$503,_calc!$E$655))=0,"",INDEX('Dealer pipeline'!$T$4:$T$503,_calc!$E$655)))),TRIM(IF(LEN(IF(LEN(INDEX('My equipment'!$C$4:$C$503,(_calc!$E$655-500)))=0,"",INDEX('My equipment'!$C$4:$C$503,(_calc!$E$655-500))))=0,"","Model: "&amp;IF(LEN(INDEX('My equipment'!$C$4:$C$503,(_calc!$E$655-500)))=0,"",INDEX('My equipment'!$C$4:$C$503,(_calc!$E$655-500)))&amp;". ")&amp;IF(LEN(IF(LEN(INDEX('My equipment'!$D$4:$D$503,(_calc!$E$655-500)))=0,"",INDEX('My equipment'!$D$4:$D$503,(_calc!$E$655-500))))=0,"","Serial: "&amp;IF(LEN(INDEX('My equipment'!$D$4:$D$503,(_calc!$E$655-500)))=0,"",INDEX('My equipment'!$D$4:$D$503,(_calc!$E$655-500)))&amp;". ")&amp;IF(LEN(IF(ISNUMBER(INDEX('My equipment'!$J$4:$J$503,(_calc!$E$655-500))),TEXT(INDEX('My equipment'!$J$4:$J$503,(_calc!$E$655-500)),"yyyy-mm-dd"),""))=0,"","Parts end: "&amp;IF(ISNUMBER(INDEX('My equipment'!$J$4:$J$503,(_calc!$E$655-500))),TEXT(INDEX('My equipment'!$J$4:$J$503,(_calc!$E$655-500)),"yyyy-mm-dd"),"")&amp;". ")&amp;IF(LEN(IF(ISNUMBER(INDEX('My equipment'!$L$4:$L$503,(_calc!$E$655-500))),TEXT(INDEX('My equipment'!$L$4:$L$503,(_calc!$E$655-500)),"yyyy-mm-dd"),""))=0,"","Labor end: "&amp;IF(ISNUMBER(INDEX('My equipment'!$L$4:$L$503,(_calc!$E$655-500))),TEXT(INDEX('My equipment'!$L$4:$L$503,(_calc!$E$655-500)),"yyyy-mm-dd"),"")&amp;". ")&amp;IF(LEN(IF(ISNUMBER(INDEX('My equipment'!$P$4:$P$503,(_calc!$E$655-500))),TEXT(INDEX('My equipment'!$P$4:$P$503,(_calc!$E$655-500)),"yyyy-mm-dd"),""))=0,"","Check by: "&amp;IF(ISNUMBER(INDEX('My equipment'!$P$4:$P$503,(_calc!$E$655-500))),TEXT(INDEX('My equipment'!$P$4:$P$503,(_calc!$E$655-500)),"yyyy-mm-dd"),"")&amp;". ")&amp;IF(LEN(IF(LEN(INDEX('My equipment'!$Q$4:$Q$503,(_calc!$E$655-500)))=0,"",INDEX('My equipment'!$Q$4:$Q$503,(_calc!$E$655-500))))=0,"","Claim status: "&amp;IF(LEN(INDEX('My equipment'!$Q$4:$Q$503,(_calc!$E$655-500)))=0,"",INDEX('My equipment'!$Q$4:$Q$503,(_calc!$E$655-500)))&amp;". ")&amp;IF(LEN(IF(LEN(INDEX('My equipment'!$R$4:$R$503,(_calc!$E$655-500)))=0,"",INDEX('My equipment'!$R$4:$R$503,(_calc!$E$655-500))))=0,"","Claims contact: "&amp;IF(LEN(INDEX('My equipment'!$R$4:$R$503,(_calc!$E$655-500)))=0,"",INDEX('My equipment'!$R$4:$R$503,(_calc!$E$655-500)))&amp;". ")&amp;IF(LEN(IF(LEN(INDEX('My equipment'!$S$4:$S$503,(_calc!$E$655-500)))=0,"",INDEX('My equipment'!$S$4:$S$503,(_calc!$E$655-500))))=0,"","Claims email: "&amp;IF(LEN(INDEX('My equipment'!$S$4:$S$503,(_calc!$E$655-500)))=0,"",INDEX('My equipment'!$S$4:$S$503,(_calc!$E$655-500)))&amp;". ")&amp;IF(LEN(IF(LEN(INDEX('My equipment'!$U$4:$U$503,(_calc!$E$655-500)))=0,"",INDEX('My equipment'!$U$4:$U$503,(_calc!$E$655-500))))=0,"","Registered: "&amp;IF(LEN(INDEX('My equipment'!$U$4:$U$503,(_calc!$E$655-500)))=0,"",INDEX('My equipment'!$U$4:$U$503,(_calc!$E$655-500)))&amp;". ")&amp;IF(LEN(IF(LEN(INDEX('My equipment'!$V$4:$V$503,(_calc!$E$655-500)))=0,"",INDEX('My equipment'!$V$4:$V$503,(_calc!$E$655-500))))=0,"","Proof on file: "&amp;IF(LEN(INDEX('My equipment'!$V$4:$V$503,(_calc!$E$655-500)))=0,"",INDEX('My equipment'!$V$4:$V$503,(_calc!$E$655-500)))&amp;". ")&amp;IF(LEN(IF(LEN(INDEX('My equipment'!$W$4:$W$503,(_calc!$E$655-500)))=0,"",INDEX('My equipment'!$W$4:$W$503,(_calc!$E$655-500))))=0,"","Claim ref: "&amp;IF(LEN(INDEX('My equipment'!$W$4:$W$503,(_calc!$E$655-500)))=0,"",INDEX('My equipment'!$W$4:$W$503,(_calc!$E$655-500)))&amp;". ")&amp;IF(LEN(IF(LEN(INDEX('My equipment'!$Y$4:$Y$503,(_calc!$E$655-500)))=0,"",INDEX('My equipment'!$Y$4:$Y$503,(_calc!$E$655-500))))=0,"",IF(LEN(INDEX('My equipment'!$Y$4:$Y$503,(_calc!$E$655-500)))=0,"",INDEX('My equipment'!$Y$4:$Y$503,(_calc!$E$655-500)))))))</f>
        <v/>
      </c>
      <c r="G653" s="54">
        <f>IF(_calc!$E$655="","",IF(_calc!$E$655&lt;=500,"",IF(LEN(INDEX('My equipment'!$X$4:$X$503,(_calc!$E$655-500)))=0,"",INDEX('My equipment'!$X$4:$X$503,(_calc!$E$655-500)))))</f>
        <v/>
      </c>
      <c r="K653" s="54">
        <f>IF(_calc!$E$655="","",IF(_calc!$E$655&lt;=500,"",IF(LEN(INDEX('My equipment'!$T$4:$T$503,(_calc!$E$655-500)))=0,"",INDEX('My equipment'!$T$4:$T$503,(_calc!$E$655-500)))))</f>
        <v/>
      </c>
    </row>
    <row r="654">
      <c r="A654" s="54">
        <f>IF(_calc!$E$656="","",IF(_calc!$E$656&lt;=500,"Warranty – "&amp;IF(LEN(INDEX('Dealer pipeline'!$C$4:$C$503,_calc!$E$656))=0,"",INDEX('Dealer pipeline'!$C$4:$C$503,_calc!$E$656))&amp;" – "&amp;IF(LEN(INDEX('Dealer pipeline'!$D$4:$D$503,_calc!$E$656))=0,"",INDEX('Dealer pipeline'!$D$4:$D$503,_calc!$E$656))&amp;" – "&amp;IF(LEN(INDEX('Dealer pipeline'!$A$4:$A$503,_calc!$E$656))=0,"",INDEX('Dealer pipeline'!$A$4:$A$503,_calc!$E$656)),"Warranty – "&amp;IF(LEN(INDEX('My equipment'!$A$4:$A$503,(_calc!$E$656-500)))=0,"",INDEX('My equipment'!$A$4:$A$503,(_calc!$E$656-500)))&amp;" – "&amp;IF(LEN(INDEX('My equipment'!$D$4:$D$503,(_calc!$E$656-500)))=0,"",INDEX('My equipment'!$D$4:$D$503,(_calc!$E$656-500)))))</f>
        <v/>
      </c>
      <c r="B654" s="54">
        <f>IF(_calc!$E$656="","",IF(_calc!$E$656&lt;=500,IF(ISNUMBER(INDEX('Dealer pipeline'!$M$4:$M$503,_calc!$E$656)),TEXT(INDEX('Dealer pipeline'!$M$4:$M$503,_calc!$E$656),"yyyy-mm-dd"),""),IF(ISNUMBER(INDEX('My equipment'!$M$4:$M$503,(_calc!$E$656-500))),TEXT(INDEX('My equipment'!$M$4:$M$503,(_calc!$E$656-500)),"yyyy-mm-dd"),"")))</f>
        <v/>
      </c>
      <c r="C654" s="54">
        <f>IF(_calc!$E$656="","",IF(_calc!$E$656&lt;=500,"Warranty","Warranty"))</f>
        <v/>
      </c>
      <c r="D654" s="54">
        <f>IF(_calc!$E$656="","",IF(_calc!$E$656&lt;=500,IF(ISNUMBER(INDEX('Dealer pipeline'!$H$4:$H$503,_calc!$E$656)),TEXT(INDEX('Dealer pipeline'!$H$4:$H$503,_calc!$E$656),"yyyy-mm-dd"),""),IF(ISNUMBER(INDEX('My equipment'!$H$4:$H$503,(_calc!$E$656-500))),TEXT(INDEX('My equipment'!$H$4:$H$503,(_calc!$E$656-500)),"yyyy-mm-dd"),"")))</f>
        <v/>
      </c>
      <c r="F654" s="54">
        <f>IF(_calc!$E$656="","",IF(_calc!$E$656&lt;=500,TRIM(IF(LEN(IF(LEN(INDEX('Dealer pipeline'!$A$4:$A$503,_calc!$E$656))=0,"",INDEX('Dealer pipeline'!$A$4:$A$503,_calc!$E$656)))=0,"","Customer: "&amp;IF(LEN(INDEX('Dealer pipeline'!$A$4:$A$503,_calc!$E$656))=0,"",INDEX('Dealer pipeline'!$A$4:$A$503,_calc!$E$656))&amp;". ")&amp;IF(LEN(IF(LEN(INDEX('Dealer pipeline'!$B$4:$B$503,_calc!$E$656))=0,"",INDEX('Dealer pipeline'!$B$4:$B$503,_calc!$E$656)))=0,"","Contact: "&amp;IF(LEN(INDEX('Dealer pipeline'!$B$4:$B$503,_calc!$E$656))=0,"",INDEX('Dealer pipeline'!$B$4:$B$503,_calc!$E$656))&amp;". ")&amp;IF(LEN(IF(LEN(INDEX('Dealer pipeline'!$D$4:$D$503,_calc!$E$656))=0,"",INDEX('Dealer pipeline'!$D$4:$D$503,_calc!$E$656)))=0,"","Serial: "&amp;IF(LEN(INDEX('Dealer pipeline'!$D$4:$D$503,_calc!$E$656))=0,"",INDEX('Dealer pipeline'!$D$4:$D$503,_calc!$E$656))&amp;". ")&amp;IF(LEN(IF(ISNUMBER(INDEX('Dealer pipeline'!$J$4:$J$503,_calc!$E$656)),TEXT(INDEX('Dealer pipeline'!$J$4:$J$503,_calc!$E$656),"yyyy-mm-dd"),""))=0,"","Parts end: "&amp;IF(ISNUMBER(INDEX('Dealer pipeline'!$J$4:$J$503,_calc!$E$656)),TEXT(INDEX('Dealer pipeline'!$J$4:$J$503,_calc!$E$656),"yyyy-mm-dd"),"")&amp;". ")&amp;IF(LEN(IF(ISNUMBER(INDEX('Dealer pipeline'!$L$4:$L$503,_calc!$E$656)),TEXT(INDEX('Dealer pipeline'!$L$4:$L$503,_calc!$E$656),"yyyy-mm-dd"),""))=0,"","Labor end: "&amp;IF(ISNUMBER(INDEX('Dealer pipeline'!$L$4:$L$503,_calc!$E$656)),TEXT(INDEX('Dealer pipeline'!$L$4:$L$503,_calc!$E$656),"yyyy-mm-dd"),"")&amp;". ")&amp;IF(LEN(IF(LEN(INDEX('Dealer pipeline'!$Q$4:$Q$503,_calc!$E$656))=0,"",INDEX('Dealer pipeline'!$Q$4:$Q$503,_calc!$E$656)))=0,"","Status: "&amp;IF(LEN(INDEX('Dealer pipeline'!$Q$4:$Q$503,_calc!$E$656))=0,"",INDEX('Dealer pipeline'!$Q$4:$Q$503,_calc!$E$656))&amp;". ")&amp;IF(LEN(IF(LEN(INDEX('Dealer pipeline'!$P$4:$P$503,_calc!$E$656))=0,"",INDEX('Dealer pipeline'!$P$4:$P$503,_calc!$E$656)))=0,"","Last touch: "&amp;IF(LEN(INDEX('Dealer pipeline'!$P$4:$P$503,_calc!$E$656))=0,"",INDEX('Dealer pipeline'!$P$4:$P$503,_calc!$E$656))&amp;". ")&amp;IF(LEN(IF(LEN(INDEX('Dealer pipeline'!$R$4:$R$503,_calc!$E$656))=0,"",INDEX('Dealer pipeline'!$R$4:$R$503,_calc!$E$656)))=0,"","Owner: "&amp;IF(LEN(INDEX('Dealer pipeline'!$R$4:$R$503,_calc!$E$656))=0,"",INDEX('Dealer pipeline'!$R$4:$R$503,_calc!$E$656))&amp;". ")&amp;IF(LEN(IF(LEN(INDEX('Dealer pipeline'!$S$4:$S$503,_calc!$E$656))=0,"",INDEX('Dealer pipeline'!$S$4:$S$503,_calc!$E$656)))=0,"","Backup: "&amp;IF(LEN(INDEX('Dealer pipeline'!$S$4:$S$503,_calc!$E$656))=0,"",INDEX('Dealer pipeline'!$S$4:$S$503,_calc!$E$656))&amp;". ")&amp;IF(LEN(IF(LEN(INDEX('Dealer pipeline'!$T$4:$T$503,_calc!$E$656))=0,"",INDEX('Dealer pipeline'!$T$4:$T$503,_calc!$E$656)))=0,"",IF(LEN(INDEX('Dealer pipeline'!$T$4:$T$503,_calc!$E$656))=0,"",INDEX('Dealer pipeline'!$T$4:$T$503,_calc!$E$656)))),TRIM(IF(LEN(IF(LEN(INDEX('My equipment'!$C$4:$C$503,(_calc!$E$656-500)))=0,"",INDEX('My equipment'!$C$4:$C$503,(_calc!$E$656-500))))=0,"","Model: "&amp;IF(LEN(INDEX('My equipment'!$C$4:$C$503,(_calc!$E$656-500)))=0,"",INDEX('My equipment'!$C$4:$C$503,(_calc!$E$656-500)))&amp;". ")&amp;IF(LEN(IF(LEN(INDEX('My equipment'!$D$4:$D$503,(_calc!$E$656-500)))=0,"",INDEX('My equipment'!$D$4:$D$503,(_calc!$E$656-500))))=0,"","Serial: "&amp;IF(LEN(INDEX('My equipment'!$D$4:$D$503,(_calc!$E$656-500)))=0,"",INDEX('My equipment'!$D$4:$D$503,(_calc!$E$656-500)))&amp;". ")&amp;IF(LEN(IF(ISNUMBER(INDEX('My equipment'!$J$4:$J$503,(_calc!$E$656-500))),TEXT(INDEX('My equipment'!$J$4:$J$503,(_calc!$E$656-500)),"yyyy-mm-dd"),""))=0,"","Parts end: "&amp;IF(ISNUMBER(INDEX('My equipment'!$J$4:$J$503,(_calc!$E$656-500))),TEXT(INDEX('My equipment'!$J$4:$J$503,(_calc!$E$656-500)),"yyyy-mm-dd"),"")&amp;". ")&amp;IF(LEN(IF(ISNUMBER(INDEX('My equipment'!$L$4:$L$503,(_calc!$E$656-500))),TEXT(INDEX('My equipment'!$L$4:$L$503,(_calc!$E$656-500)),"yyyy-mm-dd"),""))=0,"","Labor end: "&amp;IF(ISNUMBER(INDEX('My equipment'!$L$4:$L$503,(_calc!$E$656-500))),TEXT(INDEX('My equipment'!$L$4:$L$503,(_calc!$E$656-500)),"yyyy-mm-dd"),"")&amp;". ")&amp;IF(LEN(IF(ISNUMBER(INDEX('My equipment'!$P$4:$P$503,(_calc!$E$656-500))),TEXT(INDEX('My equipment'!$P$4:$P$503,(_calc!$E$656-500)),"yyyy-mm-dd"),""))=0,"","Check by: "&amp;IF(ISNUMBER(INDEX('My equipment'!$P$4:$P$503,(_calc!$E$656-500))),TEXT(INDEX('My equipment'!$P$4:$P$503,(_calc!$E$656-500)),"yyyy-mm-dd"),"")&amp;". ")&amp;IF(LEN(IF(LEN(INDEX('My equipment'!$Q$4:$Q$503,(_calc!$E$656-500)))=0,"",INDEX('My equipment'!$Q$4:$Q$503,(_calc!$E$656-500))))=0,"","Claim status: "&amp;IF(LEN(INDEX('My equipment'!$Q$4:$Q$503,(_calc!$E$656-500)))=0,"",INDEX('My equipment'!$Q$4:$Q$503,(_calc!$E$656-500)))&amp;". ")&amp;IF(LEN(IF(LEN(INDEX('My equipment'!$R$4:$R$503,(_calc!$E$656-500)))=0,"",INDEX('My equipment'!$R$4:$R$503,(_calc!$E$656-500))))=0,"","Claims contact: "&amp;IF(LEN(INDEX('My equipment'!$R$4:$R$503,(_calc!$E$656-500)))=0,"",INDEX('My equipment'!$R$4:$R$503,(_calc!$E$656-500)))&amp;". ")&amp;IF(LEN(IF(LEN(INDEX('My equipment'!$S$4:$S$503,(_calc!$E$656-500)))=0,"",INDEX('My equipment'!$S$4:$S$503,(_calc!$E$656-500))))=0,"","Claims email: "&amp;IF(LEN(INDEX('My equipment'!$S$4:$S$503,(_calc!$E$656-500)))=0,"",INDEX('My equipment'!$S$4:$S$503,(_calc!$E$656-500)))&amp;". ")&amp;IF(LEN(IF(LEN(INDEX('My equipment'!$U$4:$U$503,(_calc!$E$656-500)))=0,"",INDEX('My equipment'!$U$4:$U$503,(_calc!$E$656-500))))=0,"","Registered: "&amp;IF(LEN(INDEX('My equipment'!$U$4:$U$503,(_calc!$E$656-500)))=0,"",INDEX('My equipment'!$U$4:$U$503,(_calc!$E$656-500)))&amp;". ")&amp;IF(LEN(IF(LEN(INDEX('My equipment'!$V$4:$V$503,(_calc!$E$656-500)))=0,"",INDEX('My equipment'!$V$4:$V$503,(_calc!$E$656-500))))=0,"","Proof on file: "&amp;IF(LEN(INDEX('My equipment'!$V$4:$V$503,(_calc!$E$656-500)))=0,"",INDEX('My equipment'!$V$4:$V$503,(_calc!$E$656-500)))&amp;". ")&amp;IF(LEN(IF(LEN(INDEX('My equipment'!$W$4:$W$503,(_calc!$E$656-500)))=0,"",INDEX('My equipment'!$W$4:$W$503,(_calc!$E$656-500))))=0,"","Claim ref: "&amp;IF(LEN(INDEX('My equipment'!$W$4:$W$503,(_calc!$E$656-500)))=0,"",INDEX('My equipment'!$W$4:$W$503,(_calc!$E$656-500)))&amp;". ")&amp;IF(LEN(IF(LEN(INDEX('My equipment'!$Y$4:$Y$503,(_calc!$E$656-500)))=0,"",INDEX('My equipment'!$Y$4:$Y$503,(_calc!$E$656-500))))=0,"",IF(LEN(INDEX('My equipment'!$Y$4:$Y$503,(_calc!$E$656-500)))=0,"",INDEX('My equipment'!$Y$4:$Y$503,(_calc!$E$656-500)))))))</f>
        <v/>
      </c>
      <c r="G654" s="54">
        <f>IF(_calc!$E$656="","",IF(_calc!$E$656&lt;=500,"",IF(LEN(INDEX('My equipment'!$X$4:$X$503,(_calc!$E$656-500)))=0,"",INDEX('My equipment'!$X$4:$X$503,(_calc!$E$656-500)))))</f>
        <v/>
      </c>
      <c r="K654" s="54">
        <f>IF(_calc!$E$656="","",IF(_calc!$E$656&lt;=500,"",IF(LEN(INDEX('My equipment'!$T$4:$T$503,(_calc!$E$656-500)))=0,"",INDEX('My equipment'!$T$4:$T$503,(_calc!$E$656-500)))))</f>
        <v/>
      </c>
    </row>
    <row r="655">
      <c r="A655" s="54">
        <f>IF(_calc!$E$657="","",IF(_calc!$E$657&lt;=500,"Warranty – "&amp;IF(LEN(INDEX('Dealer pipeline'!$C$4:$C$503,_calc!$E$657))=0,"",INDEX('Dealer pipeline'!$C$4:$C$503,_calc!$E$657))&amp;" – "&amp;IF(LEN(INDEX('Dealer pipeline'!$D$4:$D$503,_calc!$E$657))=0,"",INDEX('Dealer pipeline'!$D$4:$D$503,_calc!$E$657))&amp;" – "&amp;IF(LEN(INDEX('Dealer pipeline'!$A$4:$A$503,_calc!$E$657))=0,"",INDEX('Dealer pipeline'!$A$4:$A$503,_calc!$E$657)),"Warranty – "&amp;IF(LEN(INDEX('My equipment'!$A$4:$A$503,(_calc!$E$657-500)))=0,"",INDEX('My equipment'!$A$4:$A$503,(_calc!$E$657-500)))&amp;" – "&amp;IF(LEN(INDEX('My equipment'!$D$4:$D$503,(_calc!$E$657-500)))=0,"",INDEX('My equipment'!$D$4:$D$503,(_calc!$E$657-500)))))</f>
        <v/>
      </c>
      <c r="B655" s="54">
        <f>IF(_calc!$E$657="","",IF(_calc!$E$657&lt;=500,IF(ISNUMBER(INDEX('Dealer pipeline'!$M$4:$M$503,_calc!$E$657)),TEXT(INDEX('Dealer pipeline'!$M$4:$M$503,_calc!$E$657),"yyyy-mm-dd"),""),IF(ISNUMBER(INDEX('My equipment'!$M$4:$M$503,(_calc!$E$657-500))),TEXT(INDEX('My equipment'!$M$4:$M$503,(_calc!$E$657-500)),"yyyy-mm-dd"),"")))</f>
        <v/>
      </c>
      <c r="C655" s="54">
        <f>IF(_calc!$E$657="","",IF(_calc!$E$657&lt;=500,"Warranty","Warranty"))</f>
        <v/>
      </c>
      <c r="D655" s="54">
        <f>IF(_calc!$E$657="","",IF(_calc!$E$657&lt;=500,IF(ISNUMBER(INDEX('Dealer pipeline'!$H$4:$H$503,_calc!$E$657)),TEXT(INDEX('Dealer pipeline'!$H$4:$H$503,_calc!$E$657),"yyyy-mm-dd"),""),IF(ISNUMBER(INDEX('My equipment'!$H$4:$H$503,(_calc!$E$657-500))),TEXT(INDEX('My equipment'!$H$4:$H$503,(_calc!$E$657-500)),"yyyy-mm-dd"),"")))</f>
        <v/>
      </c>
      <c r="F655" s="54">
        <f>IF(_calc!$E$657="","",IF(_calc!$E$657&lt;=500,TRIM(IF(LEN(IF(LEN(INDEX('Dealer pipeline'!$A$4:$A$503,_calc!$E$657))=0,"",INDEX('Dealer pipeline'!$A$4:$A$503,_calc!$E$657)))=0,"","Customer: "&amp;IF(LEN(INDEX('Dealer pipeline'!$A$4:$A$503,_calc!$E$657))=0,"",INDEX('Dealer pipeline'!$A$4:$A$503,_calc!$E$657))&amp;". ")&amp;IF(LEN(IF(LEN(INDEX('Dealer pipeline'!$B$4:$B$503,_calc!$E$657))=0,"",INDEX('Dealer pipeline'!$B$4:$B$503,_calc!$E$657)))=0,"","Contact: "&amp;IF(LEN(INDEX('Dealer pipeline'!$B$4:$B$503,_calc!$E$657))=0,"",INDEX('Dealer pipeline'!$B$4:$B$503,_calc!$E$657))&amp;". ")&amp;IF(LEN(IF(LEN(INDEX('Dealer pipeline'!$D$4:$D$503,_calc!$E$657))=0,"",INDEX('Dealer pipeline'!$D$4:$D$503,_calc!$E$657)))=0,"","Serial: "&amp;IF(LEN(INDEX('Dealer pipeline'!$D$4:$D$503,_calc!$E$657))=0,"",INDEX('Dealer pipeline'!$D$4:$D$503,_calc!$E$657))&amp;". ")&amp;IF(LEN(IF(ISNUMBER(INDEX('Dealer pipeline'!$J$4:$J$503,_calc!$E$657)),TEXT(INDEX('Dealer pipeline'!$J$4:$J$503,_calc!$E$657),"yyyy-mm-dd"),""))=0,"","Parts end: "&amp;IF(ISNUMBER(INDEX('Dealer pipeline'!$J$4:$J$503,_calc!$E$657)),TEXT(INDEX('Dealer pipeline'!$J$4:$J$503,_calc!$E$657),"yyyy-mm-dd"),"")&amp;". ")&amp;IF(LEN(IF(ISNUMBER(INDEX('Dealer pipeline'!$L$4:$L$503,_calc!$E$657)),TEXT(INDEX('Dealer pipeline'!$L$4:$L$503,_calc!$E$657),"yyyy-mm-dd"),""))=0,"","Labor end: "&amp;IF(ISNUMBER(INDEX('Dealer pipeline'!$L$4:$L$503,_calc!$E$657)),TEXT(INDEX('Dealer pipeline'!$L$4:$L$503,_calc!$E$657),"yyyy-mm-dd"),"")&amp;". ")&amp;IF(LEN(IF(LEN(INDEX('Dealer pipeline'!$Q$4:$Q$503,_calc!$E$657))=0,"",INDEX('Dealer pipeline'!$Q$4:$Q$503,_calc!$E$657)))=0,"","Status: "&amp;IF(LEN(INDEX('Dealer pipeline'!$Q$4:$Q$503,_calc!$E$657))=0,"",INDEX('Dealer pipeline'!$Q$4:$Q$503,_calc!$E$657))&amp;". ")&amp;IF(LEN(IF(LEN(INDEX('Dealer pipeline'!$P$4:$P$503,_calc!$E$657))=0,"",INDEX('Dealer pipeline'!$P$4:$P$503,_calc!$E$657)))=0,"","Last touch: "&amp;IF(LEN(INDEX('Dealer pipeline'!$P$4:$P$503,_calc!$E$657))=0,"",INDEX('Dealer pipeline'!$P$4:$P$503,_calc!$E$657))&amp;". ")&amp;IF(LEN(IF(LEN(INDEX('Dealer pipeline'!$R$4:$R$503,_calc!$E$657))=0,"",INDEX('Dealer pipeline'!$R$4:$R$503,_calc!$E$657)))=0,"","Owner: "&amp;IF(LEN(INDEX('Dealer pipeline'!$R$4:$R$503,_calc!$E$657))=0,"",INDEX('Dealer pipeline'!$R$4:$R$503,_calc!$E$657))&amp;". ")&amp;IF(LEN(IF(LEN(INDEX('Dealer pipeline'!$S$4:$S$503,_calc!$E$657))=0,"",INDEX('Dealer pipeline'!$S$4:$S$503,_calc!$E$657)))=0,"","Backup: "&amp;IF(LEN(INDEX('Dealer pipeline'!$S$4:$S$503,_calc!$E$657))=0,"",INDEX('Dealer pipeline'!$S$4:$S$503,_calc!$E$657))&amp;". ")&amp;IF(LEN(IF(LEN(INDEX('Dealer pipeline'!$T$4:$T$503,_calc!$E$657))=0,"",INDEX('Dealer pipeline'!$T$4:$T$503,_calc!$E$657)))=0,"",IF(LEN(INDEX('Dealer pipeline'!$T$4:$T$503,_calc!$E$657))=0,"",INDEX('Dealer pipeline'!$T$4:$T$503,_calc!$E$657)))),TRIM(IF(LEN(IF(LEN(INDEX('My equipment'!$C$4:$C$503,(_calc!$E$657-500)))=0,"",INDEX('My equipment'!$C$4:$C$503,(_calc!$E$657-500))))=0,"","Model: "&amp;IF(LEN(INDEX('My equipment'!$C$4:$C$503,(_calc!$E$657-500)))=0,"",INDEX('My equipment'!$C$4:$C$503,(_calc!$E$657-500)))&amp;". ")&amp;IF(LEN(IF(LEN(INDEX('My equipment'!$D$4:$D$503,(_calc!$E$657-500)))=0,"",INDEX('My equipment'!$D$4:$D$503,(_calc!$E$657-500))))=0,"","Serial: "&amp;IF(LEN(INDEX('My equipment'!$D$4:$D$503,(_calc!$E$657-500)))=0,"",INDEX('My equipment'!$D$4:$D$503,(_calc!$E$657-500)))&amp;". ")&amp;IF(LEN(IF(ISNUMBER(INDEX('My equipment'!$J$4:$J$503,(_calc!$E$657-500))),TEXT(INDEX('My equipment'!$J$4:$J$503,(_calc!$E$657-500)),"yyyy-mm-dd"),""))=0,"","Parts end: "&amp;IF(ISNUMBER(INDEX('My equipment'!$J$4:$J$503,(_calc!$E$657-500))),TEXT(INDEX('My equipment'!$J$4:$J$503,(_calc!$E$657-500)),"yyyy-mm-dd"),"")&amp;". ")&amp;IF(LEN(IF(ISNUMBER(INDEX('My equipment'!$L$4:$L$503,(_calc!$E$657-500))),TEXT(INDEX('My equipment'!$L$4:$L$503,(_calc!$E$657-500)),"yyyy-mm-dd"),""))=0,"","Labor end: "&amp;IF(ISNUMBER(INDEX('My equipment'!$L$4:$L$503,(_calc!$E$657-500))),TEXT(INDEX('My equipment'!$L$4:$L$503,(_calc!$E$657-500)),"yyyy-mm-dd"),"")&amp;". ")&amp;IF(LEN(IF(ISNUMBER(INDEX('My equipment'!$P$4:$P$503,(_calc!$E$657-500))),TEXT(INDEX('My equipment'!$P$4:$P$503,(_calc!$E$657-500)),"yyyy-mm-dd"),""))=0,"","Check by: "&amp;IF(ISNUMBER(INDEX('My equipment'!$P$4:$P$503,(_calc!$E$657-500))),TEXT(INDEX('My equipment'!$P$4:$P$503,(_calc!$E$657-500)),"yyyy-mm-dd"),"")&amp;". ")&amp;IF(LEN(IF(LEN(INDEX('My equipment'!$Q$4:$Q$503,(_calc!$E$657-500)))=0,"",INDEX('My equipment'!$Q$4:$Q$503,(_calc!$E$657-500))))=0,"","Claim status: "&amp;IF(LEN(INDEX('My equipment'!$Q$4:$Q$503,(_calc!$E$657-500)))=0,"",INDEX('My equipment'!$Q$4:$Q$503,(_calc!$E$657-500)))&amp;". ")&amp;IF(LEN(IF(LEN(INDEX('My equipment'!$R$4:$R$503,(_calc!$E$657-500)))=0,"",INDEX('My equipment'!$R$4:$R$503,(_calc!$E$657-500))))=0,"","Claims contact: "&amp;IF(LEN(INDEX('My equipment'!$R$4:$R$503,(_calc!$E$657-500)))=0,"",INDEX('My equipment'!$R$4:$R$503,(_calc!$E$657-500)))&amp;". ")&amp;IF(LEN(IF(LEN(INDEX('My equipment'!$S$4:$S$503,(_calc!$E$657-500)))=0,"",INDEX('My equipment'!$S$4:$S$503,(_calc!$E$657-500))))=0,"","Claims email: "&amp;IF(LEN(INDEX('My equipment'!$S$4:$S$503,(_calc!$E$657-500)))=0,"",INDEX('My equipment'!$S$4:$S$503,(_calc!$E$657-500)))&amp;". ")&amp;IF(LEN(IF(LEN(INDEX('My equipment'!$U$4:$U$503,(_calc!$E$657-500)))=0,"",INDEX('My equipment'!$U$4:$U$503,(_calc!$E$657-500))))=0,"","Registered: "&amp;IF(LEN(INDEX('My equipment'!$U$4:$U$503,(_calc!$E$657-500)))=0,"",INDEX('My equipment'!$U$4:$U$503,(_calc!$E$657-500)))&amp;". ")&amp;IF(LEN(IF(LEN(INDEX('My equipment'!$V$4:$V$503,(_calc!$E$657-500)))=0,"",INDEX('My equipment'!$V$4:$V$503,(_calc!$E$657-500))))=0,"","Proof on file: "&amp;IF(LEN(INDEX('My equipment'!$V$4:$V$503,(_calc!$E$657-500)))=0,"",INDEX('My equipment'!$V$4:$V$503,(_calc!$E$657-500)))&amp;". ")&amp;IF(LEN(IF(LEN(INDEX('My equipment'!$W$4:$W$503,(_calc!$E$657-500)))=0,"",INDEX('My equipment'!$W$4:$W$503,(_calc!$E$657-500))))=0,"","Claim ref: "&amp;IF(LEN(INDEX('My equipment'!$W$4:$W$503,(_calc!$E$657-500)))=0,"",INDEX('My equipment'!$W$4:$W$503,(_calc!$E$657-500)))&amp;". ")&amp;IF(LEN(IF(LEN(INDEX('My equipment'!$Y$4:$Y$503,(_calc!$E$657-500)))=0,"",INDEX('My equipment'!$Y$4:$Y$503,(_calc!$E$657-500))))=0,"",IF(LEN(INDEX('My equipment'!$Y$4:$Y$503,(_calc!$E$657-500)))=0,"",INDEX('My equipment'!$Y$4:$Y$503,(_calc!$E$657-500)))))))</f>
        <v/>
      </c>
      <c r="G655" s="54">
        <f>IF(_calc!$E$657="","",IF(_calc!$E$657&lt;=500,"",IF(LEN(INDEX('My equipment'!$X$4:$X$503,(_calc!$E$657-500)))=0,"",INDEX('My equipment'!$X$4:$X$503,(_calc!$E$657-500)))))</f>
        <v/>
      </c>
      <c r="K655" s="54">
        <f>IF(_calc!$E$657="","",IF(_calc!$E$657&lt;=500,"",IF(LEN(INDEX('My equipment'!$T$4:$T$503,(_calc!$E$657-500)))=0,"",INDEX('My equipment'!$T$4:$T$503,(_calc!$E$657-500)))))</f>
        <v/>
      </c>
    </row>
    <row r="656">
      <c r="A656" s="54">
        <f>IF(_calc!$E$658="","",IF(_calc!$E$658&lt;=500,"Warranty – "&amp;IF(LEN(INDEX('Dealer pipeline'!$C$4:$C$503,_calc!$E$658))=0,"",INDEX('Dealer pipeline'!$C$4:$C$503,_calc!$E$658))&amp;" – "&amp;IF(LEN(INDEX('Dealer pipeline'!$D$4:$D$503,_calc!$E$658))=0,"",INDEX('Dealer pipeline'!$D$4:$D$503,_calc!$E$658))&amp;" – "&amp;IF(LEN(INDEX('Dealer pipeline'!$A$4:$A$503,_calc!$E$658))=0,"",INDEX('Dealer pipeline'!$A$4:$A$503,_calc!$E$658)),"Warranty – "&amp;IF(LEN(INDEX('My equipment'!$A$4:$A$503,(_calc!$E$658-500)))=0,"",INDEX('My equipment'!$A$4:$A$503,(_calc!$E$658-500)))&amp;" – "&amp;IF(LEN(INDEX('My equipment'!$D$4:$D$503,(_calc!$E$658-500)))=0,"",INDEX('My equipment'!$D$4:$D$503,(_calc!$E$658-500)))))</f>
        <v/>
      </c>
      <c r="B656" s="54">
        <f>IF(_calc!$E$658="","",IF(_calc!$E$658&lt;=500,IF(ISNUMBER(INDEX('Dealer pipeline'!$M$4:$M$503,_calc!$E$658)),TEXT(INDEX('Dealer pipeline'!$M$4:$M$503,_calc!$E$658),"yyyy-mm-dd"),""),IF(ISNUMBER(INDEX('My equipment'!$M$4:$M$503,(_calc!$E$658-500))),TEXT(INDEX('My equipment'!$M$4:$M$503,(_calc!$E$658-500)),"yyyy-mm-dd"),"")))</f>
        <v/>
      </c>
      <c r="C656" s="54">
        <f>IF(_calc!$E$658="","",IF(_calc!$E$658&lt;=500,"Warranty","Warranty"))</f>
        <v/>
      </c>
      <c r="D656" s="54">
        <f>IF(_calc!$E$658="","",IF(_calc!$E$658&lt;=500,IF(ISNUMBER(INDEX('Dealer pipeline'!$H$4:$H$503,_calc!$E$658)),TEXT(INDEX('Dealer pipeline'!$H$4:$H$503,_calc!$E$658),"yyyy-mm-dd"),""),IF(ISNUMBER(INDEX('My equipment'!$H$4:$H$503,(_calc!$E$658-500))),TEXT(INDEX('My equipment'!$H$4:$H$503,(_calc!$E$658-500)),"yyyy-mm-dd"),"")))</f>
        <v/>
      </c>
      <c r="F656" s="54">
        <f>IF(_calc!$E$658="","",IF(_calc!$E$658&lt;=500,TRIM(IF(LEN(IF(LEN(INDEX('Dealer pipeline'!$A$4:$A$503,_calc!$E$658))=0,"",INDEX('Dealer pipeline'!$A$4:$A$503,_calc!$E$658)))=0,"","Customer: "&amp;IF(LEN(INDEX('Dealer pipeline'!$A$4:$A$503,_calc!$E$658))=0,"",INDEX('Dealer pipeline'!$A$4:$A$503,_calc!$E$658))&amp;". ")&amp;IF(LEN(IF(LEN(INDEX('Dealer pipeline'!$B$4:$B$503,_calc!$E$658))=0,"",INDEX('Dealer pipeline'!$B$4:$B$503,_calc!$E$658)))=0,"","Contact: "&amp;IF(LEN(INDEX('Dealer pipeline'!$B$4:$B$503,_calc!$E$658))=0,"",INDEX('Dealer pipeline'!$B$4:$B$503,_calc!$E$658))&amp;". ")&amp;IF(LEN(IF(LEN(INDEX('Dealer pipeline'!$D$4:$D$503,_calc!$E$658))=0,"",INDEX('Dealer pipeline'!$D$4:$D$503,_calc!$E$658)))=0,"","Serial: "&amp;IF(LEN(INDEX('Dealer pipeline'!$D$4:$D$503,_calc!$E$658))=0,"",INDEX('Dealer pipeline'!$D$4:$D$503,_calc!$E$658))&amp;". ")&amp;IF(LEN(IF(ISNUMBER(INDEX('Dealer pipeline'!$J$4:$J$503,_calc!$E$658)),TEXT(INDEX('Dealer pipeline'!$J$4:$J$503,_calc!$E$658),"yyyy-mm-dd"),""))=0,"","Parts end: "&amp;IF(ISNUMBER(INDEX('Dealer pipeline'!$J$4:$J$503,_calc!$E$658)),TEXT(INDEX('Dealer pipeline'!$J$4:$J$503,_calc!$E$658),"yyyy-mm-dd"),"")&amp;". ")&amp;IF(LEN(IF(ISNUMBER(INDEX('Dealer pipeline'!$L$4:$L$503,_calc!$E$658)),TEXT(INDEX('Dealer pipeline'!$L$4:$L$503,_calc!$E$658),"yyyy-mm-dd"),""))=0,"","Labor end: "&amp;IF(ISNUMBER(INDEX('Dealer pipeline'!$L$4:$L$503,_calc!$E$658)),TEXT(INDEX('Dealer pipeline'!$L$4:$L$503,_calc!$E$658),"yyyy-mm-dd"),"")&amp;". ")&amp;IF(LEN(IF(LEN(INDEX('Dealer pipeline'!$Q$4:$Q$503,_calc!$E$658))=0,"",INDEX('Dealer pipeline'!$Q$4:$Q$503,_calc!$E$658)))=0,"","Status: "&amp;IF(LEN(INDEX('Dealer pipeline'!$Q$4:$Q$503,_calc!$E$658))=0,"",INDEX('Dealer pipeline'!$Q$4:$Q$503,_calc!$E$658))&amp;". ")&amp;IF(LEN(IF(LEN(INDEX('Dealer pipeline'!$P$4:$P$503,_calc!$E$658))=0,"",INDEX('Dealer pipeline'!$P$4:$P$503,_calc!$E$658)))=0,"","Last touch: "&amp;IF(LEN(INDEX('Dealer pipeline'!$P$4:$P$503,_calc!$E$658))=0,"",INDEX('Dealer pipeline'!$P$4:$P$503,_calc!$E$658))&amp;". ")&amp;IF(LEN(IF(LEN(INDEX('Dealer pipeline'!$R$4:$R$503,_calc!$E$658))=0,"",INDEX('Dealer pipeline'!$R$4:$R$503,_calc!$E$658)))=0,"","Owner: "&amp;IF(LEN(INDEX('Dealer pipeline'!$R$4:$R$503,_calc!$E$658))=0,"",INDEX('Dealer pipeline'!$R$4:$R$503,_calc!$E$658))&amp;". ")&amp;IF(LEN(IF(LEN(INDEX('Dealer pipeline'!$S$4:$S$503,_calc!$E$658))=0,"",INDEX('Dealer pipeline'!$S$4:$S$503,_calc!$E$658)))=0,"","Backup: "&amp;IF(LEN(INDEX('Dealer pipeline'!$S$4:$S$503,_calc!$E$658))=0,"",INDEX('Dealer pipeline'!$S$4:$S$503,_calc!$E$658))&amp;". ")&amp;IF(LEN(IF(LEN(INDEX('Dealer pipeline'!$T$4:$T$503,_calc!$E$658))=0,"",INDEX('Dealer pipeline'!$T$4:$T$503,_calc!$E$658)))=0,"",IF(LEN(INDEX('Dealer pipeline'!$T$4:$T$503,_calc!$E$658))=0,"",INDEX('Dealer pipeline'!$T$4:$T$503,_calc!$E$658)))),TRIM(IF(LEN(IF(LEN(INDEX('My equipment'!$C$4:$C$503,(_calc!$E$658-500)))=0,"",INDEX('My equipment'!$C$4:$C$503,(_calc!$E$658-500))))=0,"","Model: "&amp;IF(LEN(INDEX('My equipment'!$C$4:$C$503,(_calc!$E$658-500)))=0,"",INDEX('My equipment'!$C$4:$C$503,(_calc!$E$658-500)))&amp;". ")&amp;IF(LEN(IF(LEN(INDEX('My equipment'!$D$4:$D$503,(_calc!$E$658-500)))=0,"",INDEX('My equipment'!$D$4:$D$503,(_calc!$E$658-500))))=0,"","Serial: "&amp;IF(LEN(INDEX('My equipment'!$D$4:$D$503,(_calc!$E$658-500)))=0,"",INDEX('My equipment'!$D$4:$D$503,(_calc!$E$658-500)))&amp;". ")&amp;IF(LEN(IF(ISNUMBER(INDEX('My equipment'!$J$4:$J$503,(_calc!$E$658-500))),TEXT(INDEX('My equipment'!$J$4:$J$503,(_calc!$E$658-500)),"yyyy-mm-dd"),""))=0,"","Parts end: "&amp;IF(ISNUMBER(INDEX('My equipment'!$J$4:$J$503,(_calc!$E$658-500))),TEXT(INDEX('My equipment'!$J$4:$J$503,(_calc!$E$658-500)),"yyyy-mm-dd"),"")&amp;". ")&amp;IF(LEN(IF(ISNUMBER(INDEX('My equipment'!$L$4:$L$503,(_calc!$E$658-500))),TEXT(INDEX('My equipment'!$L$4:$L$503,(_calc!$E$658-500)),"yyyy-mm-dd"),""))=0,"","Labor end: "&amp;IF(ISNUMBER(INDEX('My equipment'!$L$4:$L$503,(_calc!$E$658-500))),TEXT(INDEX('My equipment'!$L$4:$L$503,(_calc!$E$658-500)),"yyyy-mm-dd"),"")&amp;". ")&amp;IF(LEN(IF(ISNUMBER(INDEX('My equipment'!$P$4:$P$503,(_calc!$E$658-500))),TEXT(INDEX('My equipment'!$P$4:$P$503,(_calc!$E$658-500)),"yyyy-mm-dd"),""))=0,"","Check by: "&amp;IF(ISNUMBER(INDEX('My equipment'!$P$4:$P$503,(_calc!$E$658-500))),TEXT(INDEX('My equipment'!$P$4:$P$503,(_calc!$E$658-500)),"yyyy-mm-dd"),"")&amp;". ")&amp;IF(LEN(IF(LEN(INDEX('My equipment'!$Q$4:$Q$503,(_calc!$E$658-500)))=0,"",INDEX('My equipment'!$Q$4:$Q$503,(_calc!$E$658-500))))=0,"","Claim status: "&amp;IF(LEN(INDEX('My equipment'!$Q$4:$Q$503,(_calc!$E$658-500)))=0,"",INDEX('My equipment'!$Q$4:$Q$503,(_calc!$E$658-500)))&amp;". ")&amp;IF(LEN(IF(LEN(INDEX('My equipment'!$R$4:$R$503,(_calc!$E$658-500)))=0,"",INDEX('My equipment'!$R$4:$R$503,(_calc!$E$658-500))))=0,"","Claims contact: "&amp;IF(LEN(INDEX('My equipment'!$R$4:$R$503,(_calc!$E$658-500)))=0,"",INDEX('My equipment'!$R$4:$R$503,(_calc!$E$658-500)))&amp;". ")&amp;IF(LEN(IF(LEN(INDEX('My equipment'!$S$4:$S$503,(_calc!$E$658-500)))=0,"",INDEX('My equipment'!$S$4:$S$503,(_calc!$E$658-500))))=0,"","Claims email: "&amp;IF(LEN(INDEX('My equipment'!$S$4:$S$503,(_calc!$E$658-500)))=0,"",INDEX('My equipment'!$S$4:$S$503,(_calc!$E$658-500)))&amp;". ")&amp;IF(LEN(IF(LEN(INDEX('My equipment'!$U$4:$U$503,(_calc!$E$658-500)))=0,"",INDEX('My equipment'!$U$4:$U$503,(_calc!$E$658-500))))=0,"","Registered: "&amp;IF(LEN(INDEX('My equipment'!$U$4:$U$503,(_calc!$E$658-500)))=0,"",INDEX('My equipment'!$U$4:$U$503,(_calc!$E$658-500)))&amp;". ")&amp;IF(LEN(IF(LEN(INDEX('My equipment'!$V$4:$V$503,(_calc!$E$658-500)))=0,"",INDEX('My equipment'!$V$4:$V$503,(_calc!$E$658-500))))=0,"","Proof on file: "&amp;IF(LEN(INDEX('My equipment'!$V$4:$V$503,(_calc!$E$658-500)))=0,"",INDEX('My equipment'!$V$4:$V$503,(_calc!$E$658-500)))&amp;". ")&amp;IF(LEN(IF(LEN(INDEX('My equipment'!$W$4:$W$503,(_calc!$E$658-500)))=0,"",INDEX('My equipment'!$W$4:$W$503,(_calc!$E$658-500))))=0,"","Claim ref: "&amp;IF(LEN(INDEX('My equipment'!$W$4:$W$503,(_calc!$E$658-500)))=0,"",INDEX('My equipment'!$W$4:$W$503,(_calc!$E$658-500)))&amp;". ")&amp;IF(LEN(IF(LEN(INDEX('My equipment'!$Y$4:$Y$503,(_calc!$E$658-500)))=0,"",INDEX('My equipment'!$Y$4:$Y$503,(_calc!$E$658-500))))=0,"",IF(LEN(INDEX('My equipment'!$Y$4:$Y$503,(_calc!$E$658-500)))=0,"",INDEX('My equipment'!$Y$4:$Y$503,(_calc!$E$658-500)))))))</f>
        <v/>
      </c>
      <c r="G656" s="54">
        <f>IF(_calc!$E$658="","",IF(_calc!$E$658&lt;=500,"",IF(LEN(INDEX('My equipment'!$X$4:$X$503,(_calc!$E$658-500)))=0,"",INDEX('My equipment'!$X$4:$X$503,(_calc!$E$658-500)))))</f>
        <v/>
      </c>
      <c r="K656" s="54">
        <f>IF(_calc!$E$658="","",IF(_calc!$E$658&lt;=500,"",IF(LEN(INDEX('My equipment'!$T$4:$T$503,(_calc!$E$658-500)))=0,"",INDEX('My equipment'!$T$4:$T$503,(_calc!$E$658-500)))))</f>
        <v/>
      </c>
    </row>
    <row r="657">
      <c r="A657" s="54">
        <f>IF(_calc!$E$659="","",IF(_calc!$E$659&lt;=500,"Warranty – "&amp;IF(LEN(INDEX('Dealer pipeline'!$C$4:$C$503,_calc!$E$659))=0,"",INDEX('Dealer pipeline'!$C$4:$C$503,_calc!$E$659))&amp;" – "&amp;IF(LEN(INDEX('Dealer pipeline'!$D$4:$D$503,_calc!$E$659))=0,"",INDEX('Dealer pipeline'!$D$4:$D$503,_calc!$E$659))&amp;" – "&amp;IF(LEN(INDEX('Dealer pipeline'!$A$4:$A$503,_calc!$E$659))=0,"",INDEX('Dealer pipeline'!$A$4:$A$503,_calc!$E$659)),"Warranty – "&amp;IF(LEN(INDEX('My equipment'!$A$4:$A$503,(_calc!$E$659-500)))=0,"",INDEX('My equipment'!$A$4:$A$503,(_calc!$E$659-500)))&amp;" – "&amp;IF(LEN(INDEX('My equipment'!$D$4:$D$503,(_calc!$E$659-500)))=0,"",INDEX('My equipment'!$D$4:$D$503,(_calc!$E$659-500)))))</f>
        <v/>
      </c>
      <c r="B657" s="54">
        <f>IF(_calc!$E$659="","",IF(_calc!$E$659&lt;=500,IF(ISNUMBER(INDEX('Dealer pipeline'!$M$4:$M$503,_calc!$E$659)),TEXT(INDEX('Dealer pipeline'!$M$4:$M$503,_calc!$E$659),"yyyy-mm-dd"),""),IF(ISNUMBER(INDEX('My equipment'!$M$4:$M$503,(_calc!$E$659-500))),TEXT(INDEX('My equipment'!$M$4:$M$503,(_calc!$E$659-500)),"yyyy-mm-dd"),"")))</f>
        <v/>
      </c>
      <c r="C657" s="54">
        <f>IF(_calc!$E$659="","",IF(_calc!$E$659&lt;=500,"Warranty","Warranty"))</f>
        <v/>
      </c>
      <c r="D657" s="54">
        <f>IF(_calc!$E$659="","",IF(_calc!$E$659&lt;=500,IF(ISNUMBER(INDEX('Dealer pipeline'!$H$4:$H$503,_calc!$E$659)),TEXT(INDEX('Dealer pipeline'!$H$4:$H$503,_calc!$E$659),"yyyy-mm-dd"),""),IF(ISNUMBER(INDEX('My equipment'!$H$4:$H$503,(_calc!$E$659-500))),TEXT(INDEX('My equipment'!$H$4:$H$503,(_calc!$E$659-500)),"yyyy-mm-dd"),"")))</f>
        <v/>
      </c>
      <c r="F657" s="54">
        <f>IF(_calc!$E$659="","",IF(_calc!$E$659&lt;=500,TRIM(IF(LEN(IF(LEN(INDEX('Dealer pipeline'!$A$4:$A$503,_calc!$E$659))=0,"",INDEX('Dealer pipeline'!$A$4:$A$503,_calc!$E$659)))=0,"","Customer: "&amp;IF(LEN(INDEX('Dealer pipeline'!$A$4:$A$503,_calc!$E$659))=0,"",INDEX('Dealer pipeline'!$A$4:$A$503,_calc!$E$659))&amp;". ")&amp;IF(LEN(IF(LEN(INDEX('Dealer pipeline'!$B$4:$B$503,_calc!$E$659))=0,"",INDEX('Dealer pipeline'!$B$4:$B$503,_calc!$E$659)))=0,"","Contact: "&amp;IF(LEN(INDEX('Dealer pipeline'!$B$4:$B$503,_calc!$E$659))=0,"",INDEX('Dealer pipeline'!$B$4:$B$503,_calc!$E$659))&amp;". ")&amp;IF(LEN(IF(LEN(INDEX('Dealer pipeline'!$D$4:$D$503,_calc!$E$659))=0,"",INDEX('Dealer pipeline'!$D$4:$D$503,_calc!$E$659)))=0,"","Serial: "&amp;IF(LEN(INDEX('Dealer pipeline'!$D$4:$D$503,_calc!$E$659))=0,"",INDEX('Dealer pipeline'!$D$4:$D$503,_calc!$E$659))&amp;". ")&amp;IF(LEN(IF(ISNUMBER(INDEX('Dealer pipeline'!$J$4:$J$503,_calc!$E$659)),TEXT(INDEX('Dealer pipeline'!$J$4:$J$503,_calc!$E$659),"yyyy-mm-dd"),""))=0,"","Parts end: "&amp;IF(ISNUMBER(INDEX('Dealer pipeline'!$J$4:$J$503,_calc!$E$659)),TEXT(INDEX('Dealer pipeline'!$J$4:$J$503,_calc!$E$659),"yyyy-mm-dd"),"")&amp;". ")&amp;IF(LEN(IF(ISNUMBER(INDEX('Dealer pipeline'!$L$4:$L$503,_calc!$E$659)),TEXT(INDEX('Dealer pipeline'!$L$4:$L$503,_calc!$E$659),"yyyy-mm-dd"),""))=0,"","Labor end: "&amp;IF(ISNUMBER(INDEX('Dealer pipeline'!$L$4:$L$503,_calc!$E$659)),TEXT(INDEX('Dealer pipeline'!$L$4:$L$503,_calc!$E$659),"yyyy-mm-dd"),"")&amp;". ")&amp;IF(LEN(IF(LEN(INDEX('Dealer pipeline'!$Q$4:$Q$503,_calc!$E$659))=0,"",INDEX('Dealer pipeline'!$Q$4:$Q$503,_calc!$E$659)))=0,"","Status: "&amp;IF(LEN(INDEX('Dealer pipeline'!$Q$4:$Q$503,_calc!$E$659))=0,"",INDEX('Dealer pipeline'!$Q$4:$Q$503,_calc!$E$659))&amp;". ")&amp;IF(LEN(IF(LEN(INDEX('Dealer pipeline'!$P$4:$P$503,_calc!$E$659))=0,"",INDEX('Dealer pipeline'!$P$4:$P$503,_calc!$E$659)))=0,"","Last touch: "&amp;IF(LEN(INDEX('Dealer pipeline'!$P$4:$P$503,_calc!$E$659))=0,"",INDEX('Dealer pipeline'!$P$4:$P$503,_calc!$E$659))&amp;". ")&amp;IF(LEN(IF(LEN(INDEX('Dealer pipeline'!$R$4:$R$503,_calc!$E$659))=0,"",INDEX('Dealer pipeline'!$R$4:$R$503,_calc!$E$659)))=0,"","Owner: "&amp;IF(LEN(INDEX('Dealer pipeline'!$R$4:$R$503,_calc!$E$659))=0,"",INDEX('Dealer pipeline'!$R$4:$R$503,_calc!$E$659))&amp;". ")&amp;IF(LEN(IF(LEN(INDEX('Dealer pipeline'!$S$4:$S$503,_calc!$E$659))=0,"",INDEX('Dealer pipeline'!$S$4:$S$503,_calc!$E$659)))=0,"","Backup: "&amp;IF(LEN(INDEX('Dealer pipeline'!$S$4:$S$503,_calc!$E$659))=0,"",INDEX('Dealer pipeline'!$S$4:$S$503,_calc!$E$659))&amp;". ")&amp;IF(LEN(IF(LEN(INDEX('Dealer pipeline'!$T$4:$T$503,_calc!$E$659))=0,"",INDEX('Dealer pipeline'!$T$4:$T$503,_calc!$E$659)))=0,"",IF(LEN(INDEX('Dealer pipeline'!$T$4:$T$503,_calc!$E$659))=0,"",INDEX('Dealer pipeline'!$T$4:$T$503,_calc!$E$659)))),TRIM(IF(LEN(IF(LEN(INDEX('My equipment'!$C$4:$C$503,(_calc!$E$659-500)))=0,"",INDEX('My equipment'!$C$4:$C$503,(_calc!$E$659-500))))=0,"","Model: "&amp;IF(LEN(INDEX('My equipment'!$C$4:$C$503,(_calc!$E$659-500)))=0,"",INDEX('My equipment'!$C$4:$C$503,(_calc!$E$659-500)))&amp;". ")&amp;IF(LEN(IF(LEN(INDEX('My equipment'!$D$4:$D$503,(_calc!$E$659-500)))=0,"",INDEX('My equipment'!$D$4:$D$503,(_calc!$E$659-500))))=0,"","Serial: "&amp;IF(LEN(INDEX('My equipment'!$D$4:$D$503,(_calc!$E$659-500)))=0,"",INDEX('My equipment'!$D$4:$D$503,(_calc!$E$659-500)))&amp;". ")&amp;IF(LEN(IF(ISNUMBER(INDEX('My equipment'!$J$4:$J$503,(_calc!$E$659-500))),TEXT(INDEX('My equipment'!$J$4:$J$503,(_calc!$E$659-500)),"yyyy-mm-dd"),""))=0,"","Parts end: "&amp;IF(ISNUMBER(INDEX('My equipment'!$J$4:$J$503,(_calc!$E$659-500))),TEXT(INDEX('My equipment'!$J$4:$J$503,(_calc!$E$659-500)),"yyyy-mm-dd"),"")&amp;". ")&amp;IF(LEN(IF(ISNUMBER(INDEX('My equipment'!$L$4:$L$503,(_calc!$E$659-500))),TEXT(INDEX('My equipment'!$L$4:$L$503,(_calc!$E$659-500)),"yyyy-mm-dd"),""))=0,"","Labor end: "&amp;IF(ISNUMBER(INDEX('My equipment'!$L$4:$L$503,(_calc!$E$659-500))),TEXT(INDEX('My equipment'!$L$4:$L$503,(_calc!$E$659-500)),"yyyy-mm-dd"),"")&amp;". ")&amp;IF(LEN(IF(ISNUMBER(INDEX('My equipment'!$P$4:$P$503,(_calc!$E$659-500))),TEXT(INDEX('My equipment'!$P$4:$P$503,(_calc!$E$659-500)),"yyyy-mm-dd"),""))=0,"","Check by: "&amp;IF(ISNUMBER(INDEX('My equipment'!$P$4:$P$503,(_calc!$E$659-500))),TEXT(INDEX('My equipment'!$P$4:$P$503,(_calc!$E$659-500)),"yyyy-mm-dd"),"")&amp;". ")&amp;IF(LEN(IF(LEN(INDEX('My equipment'!$Q$4:$Q$503,(_calc!$E$659-500)))=0,"",INDEX('My equipment'!$Q$4:$Q$503,(_calc!$E$659-500))))=0,"","Claim status: "&amp;IF(LEN(INDEX('My equipment'!$Q$4:$Q$503,(_calc!$E$659-500)))=0,"",INDEX('My equipment'!$Q$4:$Q$503,(_calc!$E$659-500)))&amp;". ")&amp;IF(LEN(IF(LEN(INDEX('My equipment'!$R$4:$R$503,(_calc!$E$659-500)))=0,"",INDEX('My equipment'!$R$4:$R$503,(_calc!$E$659-500))))=0,"","Claims contact: "&amp;IF(LEN(INDEX('My equipment'!$R$4:$R$503,(_calc!$E$659-500)))=0,"",INDEX('My equipment'!$R$4:$R$503,(_calc!$E$659-500)))&amp;". ")&amp;IF(LEN(IF(LEN(INDEX('My equipment'!$S$4:$S$503,(_calc!$E$659-500)))=0,"",INDEX('My equipment'!$S$4:$S$503,(_calc!$E$659-500))))=0,"","Claims email: "&amp;IF(LEN(INDEX('My equipment'!$S$4:$S$503,(_calc!$E$659-500)))=0,"",INDEX('My equipment'!$S$4:$S$503,(_calc!$E$659-500)))&amp;". ")&amp;IF(LEN(IF(LEN(INDEX('My equipment'!$U$4:$U$503,(_calc!$E$659-500)))=0,"",INDEX('My equipment'!$U$4:$U$503,(_calc!$E$659-500))))=0,"","Registered: "&amp;IF(LEN(INDEX('My equipment'!$U$4:$U$503,(_calc!$E$659-500)))=0,"",INDEX('My equipment'!$U$4:$U$503,(_calc!$E$659-500)))&amp;". ")&amp;IF(LEN(IF(LEN(INDEX('My equipment'!$V$4:$V$503,(_calc!$E$659-500)))=0,"",INDEX('My equipment'!$V$4:$V$503,(_calc!$E$659-500))))=0,"","Proof on file: "&amp;IF(LEN(INDEX('My equipment'!$V$4:$V$503,(_calc!$E$659-500)))=0,"",INDEX('My equipment'!$V$4:$V$503,(_calc!$E$659-500)))&amp;". ")&amp;IF(LEN(IF(LEN(INDEX('My equipment'!$W$4:$W$503,(_calc!$E$659-500)))=0,"",INDEX('My equipment'!$W$4:$W$503,(_calc!$E$659-500))))=0,"","Claim ref: "&amp;IF(LEN(INDEX('My equipment'!$W$4:$W$503,(_calc!$E$659-500)))=0,"",INDEX('My equipment'!$W$4:$W$503,(_calc!$E$659-500)))&amp;". ")&amp;IF(LEN(IF(LEN(INDEX('My equipment'!$Y$4:$Y$503,(_calc!$E$659-500)))=0,"",INDEX('My equipment'!$Y$4:$Y$503,(_calc!$E$659-500))))=0,"",IF(LEN(INDEX('My equipment'!$Y$4:$Y$503,(_calc!$E$659-500)))=0,"",INDEX('My equipment'!$Y$4:$Y$503,(_calc!$E$659-500)))))))</f>
        <v/>
      </c>
      <c r="G657" s="54">
        <f>IF(_calc!$E$659="","",IF(_calc!$E$659&lt;=500,"",IF(LEN(INDEX('My equipment'!$X$4:$X$503,(_calc!$E$659-500)))=0,"",INDEX('My equipment'!$X$4:$X$503,(_calc!$E$659-500)))))</f>
        <v/>
      </c>
      <c r="K657" s="54">
        <f>IF(_calc!$E$659="","",IF(_calc!$E$659&lt;=500,"",IF(LEN(INDEX('My equipment'!$T$4:$T$503,(_calc!$E$659-500)))=0,"",INDEX('My equipment'!$T$4:$T$503,(_calc!$E$659-500)))))</f>
        <v/>
      </c>
    </row>
    <row r="658">
      <c r="A658" s="54">
        <f>IF(_calc!$E$660="","",IF(_calc!$E$660&lt;=500,"Warranty – "&amp;IF(LEN(INDEX('Dealer pipeline'!$C$4:$C$503,_calc!$E$660))=0,"",INDEX('Dealer pipeline'!$C$4:$C$503,_calc!$E$660))&amp;" – "&amp;IF(LEN(INDEX('Dealer pipeline'!$D$4:$D$503,_calc!$E$660))=0,"",INDEX('Dealer pipeline'!$D$4:$D$503,_calc!$E$660))&amp;" – "&amp;IF(LEN(INDEX('Dealer pipeline'!$A$4:$A$503,_calc!$E$660))=0,"",INDEX('Dealer pipeline'!$A$4:$A$503,_calc!$E$660)),"Warranty – "&amp;IF(LEN(INDEX('My equipment'!$A$4:$A$503,(_calc!$E$660-500)))=0,"",INDEX('My equipment'!$A$4:$A$503,(_calc!$E$660-500)))&amp;" – "&amp;IF(LEN(INDEX('My equipment'!$D$4:$D$503,(_calc!$E$660-500)))=0,"",INDEX('My equipment'!$D$4:$D$503,(_calc!$E$660-500)))))</f>
        <v/>
      </c>
      <c r="B658" s="54">
        <f>IF(_calc!$E$660="","",IF(_calc!$E$660&lt;=500,IF(ISNUMBER(INDEX('Dealer pipeline'!$M$4:$M$503,_calc!$E$660)),TEXT(INDEX('Dealer pipeline'!$M$4:$M$503,_calc!$E$660),"yyyy-mm-dd"),""),IF(ISNUMBER(INDEX('My equipment'!$M$4:$M$503,(_calc!$E$660-500))),TEXT(INDEX('My equipment'!$M$4:$M$503,(_calc!$E$660-500)),"yyyy-mm-dd"),"")))</f>
        <v/>
      </c>
      <c r="C658" s="54">
        <f>IF(_calc!$E$660="","",IF(_calc!$E$660&lt;=500,"Warranty","Warranty"))</f>
        <v/>
      </c>
      <c r="D658" s="54">
        <f>IF(_calc!$E$660="","",IF(_calc!$E$660&lt;=500,IF(ISNUMBER(INDEX('Dealer pipeline'!$H$4:$H$503,_calc!$E$660)),TEXT(INDEX('Dealer pipeline'!$H$4:$H$503,_calc!$E$660),"yyyy-mm-dd"),""),IF(ISNUMBER(INDEX('My equipment'!$H$4:$H$503,(_calc!$E$660-500))),TEXT(INDEX('My equipment'!$H$4:$H$503,(_calc!$E$660-500)),"yyyy-mm-dd"),"")))</f>
        <v/>
      </c>
      <c r="F658" s="54">
        <f>IF(_calc!$E$660="","",IF(_calc!$E$660&lt;=500,TRIM(IF(LEN(IF(LEN(INDEX('Dealer pipeline'!$A$4:$A$503,_calc!$E$660))=0,"",INDEX('Dealer pipeline'!$A$4:$A$503,_calc!$E$660)))=0,"","Customer: "&amp;IF(LEN(INDEX('Dealer pipeline'!$A$4:$A$503,_calc!$E$660))=0,"",INDEX('Dealer pipeline'!$A$4:$A$503,_calc!$E$660))&amp;". ")&amp;IF(LEN(IF(LEN(INDEX('Dealer pipeline'!$B$4:$B$503,_calc!$E$660))=0,"",INDEX('Dealer pipeline'!$B$4:$B$503,_calc!$E$660)))=0,"","Contact: "&amp;IF(LEN(INDEX('Dealer pipeline'!$B$4:$B$503,_calc!$E$660))=0,"",INDEX('Dealer pipeline'!$B$4:$B$503,_calc!$E$660))&amp;". ")&amp;IF(LEN(IF(LEN(INDEX('Dealer pipeline'!$D$4:$D$503,_calc!$E$660))=0,"",INDEX('Dealer pipeline'!$D$4:$D$503,_calc!$E$660)))=0,"","Serial: "&amp;IF(LEN(INDEX('Dealer pipeline'!$D$4:$D$503,_calc!$E$660))=0,"",INDEX('Dealer pipeline'!$D$4:$D$503,_calc!$E$660))&amp;". ")&amp;IF(LEN(IF(ISNUMBER(INDEX('Dealer pipeline'!$J$4:$J$503,_calc!$E$660)),TEXT(INDEX('Dealer pipeline'!$J$4:$J$503,_calc!$E$660),"yyyy-mm-dd"),""))=0,"","Parts end: "&amp;IF(ISNUMBER(INDEX('Dealer pipeline'!$J$4:$J$503,_calc!$E$660)),TEXT(INDEX('Dealer pipeline'!$J$4:$J$503,_calc!$E$660),"yyyy-mm-dd"),"")&amp;". ")&amp;IF(LEN(IF(ISNUMBER(INDEX('Dealer pipeline'!$L$4:$L$503,_calc!$E$660)),TEXT(INDEX('Dealer pipeline'!$L$4:$L$503,_calc!$E$660),"yyyy-mm-dd"),""))=0,"","Labor end: "&amp;IF(ISNUMBER(INDEX('Dealer pipeline'!$L$4:$L$503,_calc!$E$660)),TEXT(INDEX('Dealer pipeline'!$L$4:$L$503,_calc!$E$660),"yyyy-mm-dd"),"")&amp;". ")&amp;IF(LEN(IF(LEN(INDEX('Dealer pipeline'!$Q$4:$Q$503,_calc!$E$660))=0,"",INDEX('Dealer pipeline'!$Q$4:$Q$503,_calc!$E$660)))=0,"","Status: "&amp;IF(LEN(INDEX('Dealer pipeline'!$Q$4:$Q$503,_calc!$E$660))=0,"",INDEX('Dealer pipeline'!$Q$4:$Q$503,_calc!$E$660))&amp;". ")&amp;IF(LEN(IF(LEN(INDEX('Dealer pipeline'!$P$4:$P$503,_calc!$E$660))=0,"",INDEX('Dealer pipeline'!$P$4:$P$503,_calc!$E$660)))=0,"","Last touch: "&amp;IF(LEN(INDEX('Dealer pipeline'!$P$4:$P$503,_calc!$E$660))=0,"",INDEX('Dealer pipeline'!$P$4:$P$503,_calc!$E$660))&amp;". ")&amp;IF(LEN(IF(LEN(INDEX('Dealer pipeline'!$R$4:$R$503,_calc!$E$660))=0,"",INDEX('Dealer pipeline'!$R$4:$R$503,_calc!$E$660)))=0,"","Owner: "&amp;IF(LEN(INDEX('Dealer pipeline'!$R$4:$R$503,_calc!$E$660))=0,"",INDEX('Dealer pipeline'!$R$4:$R$503,_calc!$E$660))&amp;". ")&amp;IF(LEN(IF(LEN(INDEX('Dealer pipeline'!$S$4:$S$503,_calc!$E$660))=0,"",INDEX('Dealer pipeline'!$S$4:$S$503,_calc!$E$660)))=0,"","Backup: "&amp;IF(LEN(INDEX('Dealer pipeline'!$S$4:$S$503,_calc!$E$660))=0,"",INDEX('Dealer pipeline'!$S$4:$S$503,_calc!$E$660))&amp;". ")&amp;IF(LEN(IF(LEN(INDEX('Dealer pipeline'!$T$4:$T$503,_calc!$E$660))=0,"",INDEX('Dealer pipeline'!$T$4:$T$503,_calc!$E$660)))=0,"",IF(LEN(INDEX('Dealer pipeline'!$T$4:$T$503,_calc!$E$660))=0,"",INDEX('Dealer pipeline'!$T$4:$T$503,_calc!$E$660)))),TRIM(IF(LEN(IF(LEN(INDEX('My equipment'!$C$4:$C$503,(_calc!$E$660-500)))=0,"",INDEX('My equipment'!$C$4:$C$503,(_calc!$E$660-500))))=0,"","Model: "&amp;IF(LEN(INDEX('My equipment'!$C$4:$C$503,(_calc!$E$660-500)))=0,"",INDEX('My equipment'!$C$4:$C$503,(_calc!$E$660-500)))&amp;". ")&amp;IF(LEN(IF(LEN(INDEX('My equipment'!$D$4:$D$503,(_calc!$E$660-500)))=0,"",INDEX('My equipment'!$D$4:$D$503,(_calc!$E$660-500))))=0,"","Serial: "&amp;IF(LEN(INDEX('My equipment'!$D$4:$D$503,(_calc!$E$660-500)))=0,"",INDEX('My equipment'!$D$4:$D$503,(_calc!$E$660-500)))&amp;". ")&amp;IF(LEN(IF(ISNUMBER(INDEX('My equipment'!$J$4:$J$503,(_calc!$E$660-500))),TEXT(INDEX('My equipment'!$J$4:$J$503,(_calc!$E$660-500)),"yyyy-mm-dd"),""))=0,"","Parts end: "&amp;IF(ISNUMBER(INDEX('My equipment'!$J$4:$J$503,(_calc!$E$660-500))),TEXT(INDEX('My equipment'!$J$4:$J$503,(_calc!$E$660-500)),"yyyy-mm-dd"),"")&amp;". ")&amp;IF(LEN(IF(ISNUMBER(INDEX('My equipment'!$L$4:$L$503,(_calc!$E$660-500))),TEXT(INDEX('My equipment'!$L$4:$L$503,(_calc!$E$660-500)),"yyyy-mm-dd"),""))=0,"","Labor end: "&amp;IF(ISNUMBER(INDEX('My equipment'!$L$4:$L$503,(_calc!$E$660-500))),TEXT(INDEX('My equipment'!$L$4:$L$503,(_calc!$E$660-500)),"yyyy-mm-dd"),"")&amp;". ")&amp;IF(LEN(IF(ISNUMBER(INDEX('My equipment'!$P$4:$P$503,(_calc!$E$660-500))),TEXT(INDEX('My equipment'!$P$4:$P$503,(_calc!$E$660-500)),"yyyy-mm-dd"),""))=0,"","Check by: "&amp;IF(ISNUMBER(INDEX('My equipment'!$P$4:$P$503,(_calc!$E$660-500))),TEXT(INDEX('My equipment'!$P$4:$P$503,(_calc!$E$660-500)),"yyyy-mm-dd"),"")&amp;". ")&amp;IF(LEN(IF(LEN(INDEX('My equipment'!$Q$4:$Q$503,(_calc!$E$660-500)))=0,"",INDEX('My equipment'!$Q$4:$Q$503,(_calc!$E$660-500))))=0,"","Claim status: "&amp;IF(LEN(INDEX('My equipment'!$Q$4:$Q$503,(_calc!$E$660-500)))=0,"",INDEX('My equipment'!$Q$4:$Q$503,(_calc!$E$660-500)))&amp;". ")&amp;IF(LEN(IF(LEN(INDEX('My equipment'!$R$4:$R$503,(_calc!$E$660-500)))=0,"",INDEX('My equipment'!$R$4:$R$503,(_calc!$E$660-500))))=0,"","Claims contact: "&amp;IF(LEN(INDEX('My equipment'!$R$4:$R$503,(_calc!$E$660-500)))=0,"",INDEX('My equipment'!$R$4:$R$503,(_calc!$E$660-500)))&amp;". ")&amp;IF(LEN(IF(LEN(INDEX('My equipment'!$S$4:$S$503,(_calc!$E$660-500)))=0,"",INDEX('My equipment'!$S$4:$S$503,(_calc!$E$660-500))))=0,"","Claims email: "&amp;IF(LEN(INDEX('My equipment'!$S$4:$S$503,(_calc!$E$660-500)))=0,"",INDEX('My equipment'!$S$4:$S$503,(_calc!$E$660-500)))&amp;". ")&amp;IF(LEN(IF(LEN(INDEX('My equipment'!$U$4:$U$503,(_calc!$E$660-500)))=0,"",INDEX('My equipment'!$U$4:$U$503,(_calc!$E$660-500))))=0,"","Registered: "&amp;IF(LEN(INDEX('My equipment'!$U$4:$U$503,(_calc!$E$660-500)))=0,"",INDEX('My equipment'!$U$4:$U$503,(_calc!$E$660-500)))&amp;". ")&amp;IF(LEN(IF(LEN(INDEX('My equipment'!$V$4:$V$503,(_calc!$E$660-500)))=0,"",INDEX('My equipment'!$V$4:$V$503,(_calc!$E$660-500))))=0,"","Proof on file: "&amp;IF(LEN(INDEX('My equipment'!$V$4:$V$503,(_calc!$E$660-500)))=0,"",INDEX('My equipment'!$V$4:$V$503,(_calc!$E$660-500)))&amp;". ")&amp;IF(LEN(IF(LEN(INDEX('My equipment'!$W$4:$W$503,(_calc!$E$660-500)))=0,"",INDEX('My equipment'!$W$4:$W$503,(_calc!$E$660-500))))=0,"","Claim ref: "&amp;IF(LEN(INDEX('My equipment'!$W$4:$W$503,(_calc!$E$660-500)))=0,"",INDEX('My equipment'!$W$4:$W$503,(_calc!$E$660-500)))&amp;". ")&amp;IF(LEN(IF(LEN(INDEX('My equipment'!$Y$4:$Y$503,(_calc!$E$660-500)))=0,"",INDEX('My equipment'!$Y$4:$Y$503,(_calc!$E$660-500))))=0,"",IF(LEN(INDEX('My equipment'!$Y$4:$Y$503,(_calc!$E$660-500)))=0,"",INDEX('My equipment'!$Y$4:$Y$503,(_calc!$E$660-500)))))))</f>
        <v/>
      </c>
      <c r="G658" s="54">
        <f>IF(_calc!$E$660="","",IF(_calc!$E$660&lt;=500,"",IF(LEN(INDEX('My equipment'!$X$4:$X$503,(_calc!$E$660-500)))=0,"",INDEX('My equipment'!$X$4:$X$503,(_calc!$E$660-500)))))</f>
        <v/>
      </c>
      <c r="K658" s="54">
        <f>IF(_calc!$E$660="","",IF(_calc!$E$660&lt;=500,"",IF(LEN(INDEX('My equipment'!$T$4:$T$503,(_calc!$E$660-500)))=0,"",INDEX('My equipment'!$T$4:$T$503,(_calc!$E$660-500)))))</f>
        <v/>
      </c>
    </row>
    <row r="659">
      <c r="A659" s="54">
        <f>IF(_calc!$E$661="","",IF(_calc!$E$661&lt;=500,"Warranty – "&amp;IF(LEN(INDEX('Dealer pipeline'!$C$4:$C$503,_calc!$E$661))=0,"",INDEX('Dealer pipeline'!$C$4:$C$503,_calc!$E$661))&amp;" – "&amp;IF(LEN(INDEX('Dealer pipeline'!$D$4:$D$503,_calc!$E$661))=0,"",INDEX('Dealer pipeline'!$D$4:$D$503,_calc!$E$661))&amp;" – "&amp;IF(LEN(INDEX('Dealer pipeline'!$A$4:$A$503,_calc!$E$661))=0,"",INDEX('Dealer pipeline'!$A$4:$A$503,_calc!$E$661)),"Warranty – "&amp;IF(LEN(INDEX('My equipment'!$A$4:$A$503,(_calc!$E$661-500)))=0,"",INDEX('My equipment'!$A$4:$A$503,(_calc!$E$661-500)))&amp;" – "&amp;IF(LEN(INDEX('My equipment'!$D$4:$D$503,(_calc!$E$661-500)))=0,"",INDEX('My equipment'!$D$4:$D$503,(_calc!$E$661-500)))))</f>
        <v/>
      </c>
      <c r="B659" s="54">
        <f>IF(_calc!$E$661="","",IF(_calc!$E$661&lt;=500,IF(ISNUMBER(INDEX('Dealer pipeline'!$M$4:$M$503,_calc!$E$661)),TEXT(INDEX('Dealer pipeline'!$M$4:$M$503,_calc!$E$661),"yyyy-mm-dd"),""),IF(ISNUMBER(INDEX('My equipment'!$M$4:$M$503,(_calc!$E$661-500))),TEXT(INDEX('My equipment'!$M$4:$M$503,(_calc!$E$661-500)),"yyyy-mm-dd"),"")))</f>
        <v/>
      </c>
      <c r="C659" s="54">
        <f>IF(_calc!$E$661="","",IF(_calc!$E$661&lt;=500,"Warranty","Warranty"))</f>
        <v/>
      </c>
      <c r="D659" s="54">
        <f>IF(_calc!$E$661="","",IF(_calc!$E$661&lt;=500,IF(ISNUMBER(INDEX('Dealer pipeline'!$H$4:$H$503,_calc!$E$661)),TEXT(INDEX('Dealer pipeline'!$H$4:$H$503,_calc!$E$661),"yyyy-mm-dd"),""),IF(ISNUMBER(INDEX('My equipment'!$H$4:$H$503,(_calc!$E$661-500))),TEXT(INDEX('My equipment'!$H$4:$H$503,(_calc!$E$661-500)),"yyyy-mm-dd"),"")))</f>
        <v/>
      </c>
      <c r="F659" s="54">
        <f>IF(_calc!$E$661="","",IF(_calc!$E$661&lt;=500,TRIM(IF(LEN(IF(LEN(INDEX('Dealer pipeline'!$A$4:$A$503,_calc!$E$661))=0,"",INDEX('Dealer pipeline'!$A$4:$A$503,_calc!$E$661)))=0,"","Customer: "&amp;IF(LEN(INDEX('Dealer pipeline'!$A$4:$A$503,_calc!$E$661))=0,"",INDEX('Dealer pipeline'!$A$4:$A$503,_calc!$E$661))&amp;". ")&amp;IF(LEN(IF(LEN(INDEX('Dealer pipeline'!$B$4:$B$503,_calc!$E$661))=0,"",INDEX('Dealer pipeline'!$B$4:$B$503,_calc!$E$661)))=0,"","Contact: "&amp;IF(LEN(INDEX('Dealer pipeline'!$B$4:$B$503,_calc!$E$661))=0,"",INDEX('Dealer pipeline'!$B$4:$B$503,_calc!$E$661))&amp;". ")&amp;IF(LEN(IF(LEN(INDEX('Dealer pipeline'!$D$4:$D$503,_calc!$E$661))=0,"",INDEX('Dealer pipeline'!$D$4:$D$503,_calc!$E$661)))=0,"","Serial: "&amp;IF(LEN(INDEX('Dealer pipeline'!$D$4:$D$503,_calc!$E$661))=0,"",INDEX('Dealer pipeline'!$D$4:$D$503,_calc!$E$661))&amp;". ")&amp;IF(LEN(IF(ISNUMBER(INDEX('Dealer pipeline'!$J$4:$J$503,_calc!$E$661)),TEXT(INDEX('Dealer pipeline'!$J$4:$J$503,_calc!$E$661),"yyyy-mm-dd"),""))=0,"","Parts end: "&amp;IF(ISNUMBER(INDEX('Dealer pipeline'!$J$4:$J$503,_calc!$E$661)),TEXT(INDEX('Dealer pipeline'!$J$4:$J$503,_calc!$E$661),"yyyy-mm-dd"),"")&amp;". ")&amp;IF(LEN(IF(ISNUMBER(INDEX('Dealer pipeline'!$L$4:$L$503,_calc!$E$661)),TEXT(INDEX('Dealer pipeline'!$L$4:$L$503,_calc!$E$661),"yyyy-mm-dd"),""))=0,"","Labor end: "&amp;IF(ISNUMBER(INDEX('Dealer pipeline'!$L$4:$L$503,_calc!$E$661)),TEXT(INDEX('Dealer pipeline'!$L$4:$L$503,_calc!$E$661),"yyyy-mm-dd"),"")&amp;". ")&amp;IF(LEN(IF(LEN(INDEX('Dealer pipeline'!$Q$4:$Q$503,_calc!$E$661))=0,"",INDEX('Dealer pipeline'!$Q$4:$Q$503,_calc!$E$661)))=0,"","Status: "&amp;IF(LEN(INDEX('Dealer pipeline'!$Q$4:$Q$503,_calc!$E$661))=0,"",INDEX('Dealer pipeline'!$Q$4:$Q$503,_calc!$E$661))&amp;". ")&amp;IF(LEN(IF(LEN(INDEX('Dealer pipeline'!$P$4:$P$503,_calc!$E$661))=0,"",INDEX('Dealer pipeline'!$P$4:$P$503,_calc!$E$661)))=0,"","Last touch: "&amp;IF(LEN(INDEX('Dealer pipeline'!$P$4:$P$503,_calc!$E$661))=0,"",INDEX('Dealer pipeline'!$P$4:$P$503,_calc!$E$661))&amp;". ")&amp;IF(LEN(IF(LEN(INDEX('Dealer pipeline'!$R$4:$R$503,_calc!$E$661))=0,"",INDEX('Dealer pipeline'!$R$4:$R$503,_calc!$E$661)))=0,"","Owner: "&amp;IF(LEN(INDEX('Dealer pipeline'!$R$4:$R$503,_calc!$E$661))=0,"",INDEX('Dealer pipeline'!$R$4:$R$503,_calc!$E$661))&amp;". ")&amp;IF(LEN(IF(LEN(INDEX('Dealer pipeline'!$S$4:$S$503,_calc!$E$661))=0,"",INDEX('Dealer pipeline'!$S$4:$S$503,_calc!$E$661)))=0,"","Backup: "&amp;IF(LEN(INDEX('Dealer pipeline'!$S$4:$S$503,_calc!$E$661))=0,"",INDEX('Dealer pipeline'!$S$4:$S$503,_calc!$E$661))&amp;". ")&amp;IF(LEN(IF(LEN(INDEX('Dealer pipeline'!$T$4:$T$503,_calc!$E$661))=0,"",INDEX('Dealer pipeline'!$T$4:$T$503,_calc!$E$661)))=0,"",IF(LEN(INDEX('Dealer pipeline'!$T$4:$T$503,_calc!$E$661))=0,"",INDEX('Dealer pipeline'!$T$4:$T$503,_calc!$E$661)))),TRIM(IF(LEN(IF(LEN(INDEX('My equipment'!$C$4:$C$503,(_calc!$E$661-500)))=0,"",INDEX('My equipment'!$C$4:$C$503,(_calc!$E$661-500))))=0,"","Model: "&amp;IF(LEN(INDEX('My equipment'!$C$4:$C$503,(_calc!$E$661-500)))=0,"",INDEX('My equipment'!$C$4:$C$503,(_calc!$E$661-500)))&amp;". ")&amp;IF(LEN(IF(LEN(INDEX('My equipment'!$D$4:$D$503,(_calc!$E$661-500)))=0,"",INDEX('My equipment'!$D$4:$D$503,(_calc!$E$661-500))))=0,"","Serial: "&amp;IF(LEN(INDEX('My equipment'!$D$4:$D$503,(_calc!$E$661-500)))=0,"",INDEX('My equipment'!$D$4:$D$503,(_calc!$E$661-500)))&amp;". ")&amp;IF(LEN(IF(ISNUMBER(INDEX('My equipment'!$J$4:$J$503,(_calc!$E$661-500))),TEXT(INDEX('My equipment'!$J$4:$J$503,(_calc!$E$661-500)),"yyyy-mm-dd"),""))=0,"","Parts end: "&amp;IF(ISNUMBER(INDEX('My equipment'!$J$4:$J$503,(_calc!$E$661-500))),TEXT(INDEX('My equipment'!$J$4:$J$503,(_calc!$E$661-500)),"yyyy-mm-dd"),"")&amp;". ")&amp;IF(LEN(IF(ISNUMBER(INDEX('My equipment'!$L$4:$L$503,(_calc!$E$661-500))),TEXT(INDEX('My equipment'!$L$4:$L$503,(_calc!$E$661-500)),"yyyy-mm-dd"),""))=0,"","Labor end: "&amp;IF(ISNUMBER(INDEX('My equipment'!$L$4:$L$503,(_calc!$E$661-500))),TEXT(INDEX('My equipment'!$L$4:$L$503,(_calc!$E$661-500)),"yyyy-mm-dd"),"")&amp;". ")&amp;IF(LEN(IF(ISNUMBER(INDEX('My equipment'!$P$4:$P$503,(_calc!$E$661-500))),TEXT(INDEX('My equipment'!$P$4:$P$503,(_calc!$E$661-500)),"yyyy-mm-dd"),""))=0,"","Check by: "&amp;IF(ISNUMBER(INDEX('My equipment'!$P$4:$P$503,(_calc!$E$661-500))),TEXT(INDEX('My equipment'!$P$4:$P$503,(_calc!$E$661-500)),"yyyy-mm-dd"),"")&amp;". ")&amp;IF(LEN(IF(LEN(INDEX('My equipment'!$Q$4:$Q$503,(_calc!$E$661-500)))=0,"",INDEX('My equipment'!$Q$4:$Q$503,(_calc!$E$661-500))))=0,"","Claim status: "&amp;IF(LEN(INDEX('My equipment'!$Q$4:$Q$503,(_calc!$E$661-500)))=0,"",INDEX('My equipment'!$Q$4:$Q$503,(_calc!$E$661-500)))&amp;". ")&amp;IF(LEN(IF(LEN(INDEX('My equipment'!$R$4:$R$503,(_calc!$E$661-500)))=0,"",INDEX('My equipment'!$R$4:$R$503,(_calc!$E$661-500))))=0,"","Claims contact: "&amp;IF(LEN(INDEX('My equipment'!$R$4:$R$503,(_calc!$E$661-500)))=0,"",INDEX('My equipment'!$R$4:$R$503,(_calc!$E$661-500)))&amp;". ")&amp;IF(LEN(IF(LEN(INDEX('My equipment'!$S$4:$S$503,(_calc!$E$661-500)))=0,"",INDEX('My equipment'!$S$4:$S$503,(_calc!$E$661-500))))=0,"","Claims email: "&amp;IF(LEN(INDEX('My equipment'!$S$4:$S$503,(_calc!$E$661-500)))=0,"",INDEX('My equipment'!$S$4:$S$503,(_calc!$E$661-500)))&amp;". ")&amp;IF(LEN(IF(LEN(INDEX('My equipment'!$U$4:$U$503,(_calc!$E$661-500)))=0,"",INDEX('My equipment'!$U$4:$U$503,(_calc!$E$661-500))))=0,"","Registered: "&amp;IF(LEN(INDEX('My equipment'!$U$4:$U$503,(_calc!$E$661-500)))=0,"",INDEX('My equipment'!$U$4:$U$503,(_calc!$E$661-500)))&amp;". ")&amp;IF(LEN(IF(LEN(INDEX('My equipment'!$V$4:$V$503,(_calc!$E$661-500)))=0,"",INDEX('My equipment'!$V$4:$V$503,(_calc!$E$661-500))))=0,"","Proof on file: "&amp;IF(LEN(INDEX('My equipment'!$V$4:$V$503,(_calc!$E$661-500)))=0,"",INDEX('My equipment'!$V$4:$V$503,(_calc!$E$661-500)))&amp;". ")&amp;IF(LEN(IF(LEN(INDEX('My equipment'!$W$4:$W$503,(_calc!$E$661-500)))=0,"",INDEX('My equipment'!$W$4:$W$503,(_calc!$E$661-500))))=0,"","Claim ref: "&amp;IF(LEN(INDEX('My equipment'!$W$4:$W$503,(_calc!$E$661-500)))=0,"",INDEX('My equipment'!$W$4:$W$503,(_calc!$E$661-500)))&amp;". ")&amp;IF(LEN(IF(LEN(INDEX('My equipment'!$Y$4:$Y$503,(_calc!$E$661-500)))=0,"",INDEX('My equipment'!$Y$4:$Y$503,(_calc!$E$661-500))))=0,"",IF(LEN(INDEX('My equipment'!$Y$4:$Y$503,(_calc!$E$661-500)))=0,"",INDEX('My equipment'!$Y$4:$Y$503,(_calc!$E$661-500)))))))</f>
        <v/>
      </c>
      <c r="G659" s="54">
        <f>IF(_calc!$E$661="","",IF(_calc!$E$661&lt;=500,"",IF(LEN(INDEX('My equipment'!$X$4:$X$503,(_calc!$E$661-500)))=0,"",INDEX('My equipment'!$X$4:$X$503,(_calc!$E$661-500)))))</f>
        <v/>
      </c>
      <c r="K659" s="54">
        <f>IF(_calc!$E$661="","",IF(_calc!$E$661&lt;=500,"",IF(LEN(INDEX('My equipment'!$T$4:$T$503,(_calc!$E$661-500)))=0,"",INDEX('My equipment'!$T$4:$T$503,(_calc!$E$661-500)))))</f>
        <v/>
      </c>
    </row>
    <row r="660">
      <c r="A660" s="54">
        <f>IF(_calc!$E$662="","",IF(_calc!$E$662&lt;=500,"Warranty – "&amp;IF(LEN(INDEX('Dealer pipeline'!$C$4:$C$503,_calc!$E$662))=0,"",INDEX('Dealer pipeline'!$C$4:$C$503,_calc!$E$662))&amp;" – "&amp;IF(LEN(INDEX('Dealer pipeline'!$D$4:$D$503,_calc!$E$662))=0,"",INDEX('Dealer pipeline'!$D$4:$D$503,_calc!$E$662))&amp;" – "&amp;IF(LEN(INDEX('Dealer pipeline'!$A$4:$A$503,_calc!$E$662))=0,"",INDEX('Dealer pipeline'!$A$4:$A$503,_calc!$E$662)),"Warranty – "&amp;IF(LEN(INDEX('My equipment'!$A$4:$A$503,(_calc!$E$662-500)))=0,"",INDEX('My equipment'!$A$4:$A$503,(_calc!$E$662-500)))&amp;" – "&amp;IF(LEN(INDEX('My equipment'!$D$4:$D$503,(_calc!$E$662-500)))=0,"",INDEX('My equipment'!$D$4:$D$503,(_calc!$E$662-500)))))</f>
        <v/>
      </c>
      <c r="B660" s="54">
        <f>IF(_calc!$E$662="","",IF(_calc!$E$662&lt;=500,IF(ISNUMBER(INDEX('Dealer pipeline'!$M$4:$M$503,_calc!$E$662)),TEXT(INDEX('Dealer pipeline'!$M$4:$M$503,_calc!$E$662),"yyyy-mm-dd"),""),IF(ISNUMBER(INDEX('My equipment'!$M$4:$M$503,(_calc!$E$662-500))),TEXT(INDEX('My equipment'!$M$4:$M$503,(_calc!$E$662-500)),"yyyy-mm-dd"),"")))</f>
        <v/>
      </c>
      <c r="C660" s="54">
        <f>IF(_calc!$E$662="","",IF(_calc!$E$662&lt;=500,"Warranty","Warranty"))</f>
        <v/>
      </c>
      <c r="D660" s="54">
        <f>IF(_calc!$E$662="","",IF(_calc!$E$662&lt;=500,IF(ISNUMBER(INDEX('Dealer pipeline'!$H$4:$H$503,_calc!$E$662)),TEXT(INDEX('Dealer pipeline'!$H$4:$H$503,_calc!$E$662),"yyyy-mm-dd"),""),IF(ISNUMBER(INDEX('My equipment'!$H$4:$H$503,(_calc!$E$662-500))),TEXT(INDEX('My equipment'!$H$4:$H$503,(_calc!$E$662-500)),"yyyy-mm-dd"),"")))</f>
        <v/>
      </c>
      <c r="F660" s="54">
        <f>IF(_calc!$E$662="","",IF(_calc!$E$662&lt;=500,TRIM(IF(LEN(IF(LEN(INDEX('Dealer pipeline'!$A$4:$A$503,_calc!$E$662))=0,"",INDEX('Dealer pipeline'!$A$4:$A$503,_calc!$E$662)))=0,"","Customer: "&amp;IF(LEN(INDEX('Dealer pipeline'!$A$4:$A$503,_calc!$E$662))=0,"",INDEX('Dealer pipeline'!$A$4:$A$503,_calc!$E$662))&amp;". ")&amp;IF(LEN(IF(LEN(INDEX('Dealer pipeline'!$B$4:$B$503,_calc!$E$662))=0,"",INDEX('Dealer pipeline'!$B$4:$B$503,_calc!$E$662)))=0,"","Contact: "&amp;IF(LEN(INDEX('Dealer pipeline'!$B$4:$B$503,_calc!$E$662))=0,"",INDEX('Dealer pipeline'!$B$4:$B$503,_calc!$E$662))&amp;". ")&amp;IF(LEN(IF(LEN(INDEX('Dealer pipeline'!$D$4:$D$503,_calc!$E$662))=0,"",INDEX('Dealer pipeline'!$D$4:$D$503,_calc!$E$662)))=0,"","Serial: "&amp;IF(LEN(INDEX('Dealer pipeline'!$D$4:$D$503,_calc!$E$662))=0,"",INDEX('Dealer pipeline'!$D$4:$D$503,_calc!$E$662))&amp;". ")&amp;IF(LEN(IF(ISNUMBER(INDEX('Dealer pipeline'!$J$4:$J$503,_calc!$E$662)),TEXT(INDEX('Dealer pipeline'!$J$4:$J$503,_calc!$E$662),"yyyy-mm-dd"),""))=0,"","Parts end: "&amp;IF(ISNUMBER(INDEX('Dealer pipeline'!$J$4:$J$503,_calc!$E$662)),TEXT(INDEX('Dealer pipeline'!$J$4:$J$503,_calc!$E$662),"yyyy-mm-dd"),"")&amp;". ")&amp;IF(LEN(IF(ISNUMBER(INDEX('Dealer pipeline'!$L$4:$L$503,_calc!$E$662)),TEXT(INDEX('Dealer pipeline'!$L$4:$L$503,_calc!$E$662),"yyyy-mm-dd"),""))=0,"","Labor end: "&amp;IF(ISNUMBER(INDEX('Dealer pipeline'!$L$4:$L$503,_calc!$E$662)),TEXT(INDEX('Dealer pipeline'!$L$4:$L$503,_calc!$E$662),"yyyy-mm-dd"),"")&amp;". ")&amp;IF(LEN(IF(LEN(INDEX('Dealer pipeline'!$Q$4:$Q$503,_calc!$E$662))=0,"",INDEX('Dealer pipeline'!$Q$4:$Q$503,_calc!$E$662)))=0,"","Status: "&amp;IF(LEN(INDEX('Dealer pipeline'!$Q$4:$Q$503,_calc!$E$662))=0,"",INDEX('Dealer pipeline'!$Q$4:$Q$503,_calc!$E$662))&amp;". ")&amp;IF(LEN(IF(LEN(INDEX('Dealer pipeline'!$P$4:$P$503,_calc!$E$662))=0,"",INDEX('Dealer pipeline'!$P$4:$P$503,_calc!$E$662)))=0,"","Last touch: "&amp;IF(LEN(INDEX('Dealer pipeline'!$P$4:$P$503,_calc!$E$662))=0,"",INDEX('Dealer pipeline'!$P$4:$P$503,_calc!$E$662))&amp;". ")&amp;IF(LEN(IF(LEN(INDEX('Dealer pipeline'!$R$4:$R$503,_calc!$E$662))=0,"",INDEX('Dealer pipeline'!$R$4:$R$503,_calc!$E$662)))=0,"","Owner: "&amp;IF(LEN(INDEX('Dealer pipeline'!$R$4:$R$503,_calc!$E$662))=0,"",INDEX('Dealer pipeline'!$R$4:$R$503,_calc!$E$662))&amp;". ")&amp;IF(LEN(IF(LEN(INDEX('Dealer pipeline'!$S$4:$S$503,_calc!$E$662))=0,"",INDEX('Dealer pipeline'!$S$4:$S$503,_calc!$E$662)))=0,"","Backup: "&amp;IF(LEN(INDEX('Dealer pipeline'!$S$4:$S$503,_calc!$E$662))=0,"",INDEX('Dealer pipeline'!$S$4:$S$503,_calc!$E$662))&amp;". ")&amp;IF(LEN(IF(LEN(INDEX('Dealer pipeline'!$T$4:$T$503,_calc!$E$662))=0,"",INDEX('Dealer pipeline'!$T$4:$T$503,_calc!$E$662)))=0,"",IF(LEN(INDEX('Dealer pipeline'!$T$4:$T$503,_calc!$E$662))=0,"",INDEX('Dealer pipeline'!$T$4:$T$503,_calc!$E$662)))),TRIM(IF(LEN(IF(LEN(INDEX('My equipment'!$C$4:$C$503,(_calc!$E$662-500)))=0,"",INDEX('My equipment'!$C$4:$C$503,(_calc!$E$662-500))))=0,"","Model: "&amp;IF(LEN(INDEX('My equipment'!$C$4:$C$503,(_calc!$E$662-500)))=0,"",INDEX('My equipment'!$C$4:$C$503,(_calc!$E$662-500)))&amp;". ")&amp;IF(LEN(IF(LEN(INDEX('My equipment'!$D$4:$D$503,(_calc!$E$662-500)))=0,"",INDEX('My equipment'!$D$4:$D$503,(_calc!$E$662-500))))=0,"","Serial: "&amp;IF(LEN(INDEX('My equipment'!$D$4:$D$503,(_calc!$E$662-500)))=0,"",INDEX('My equipment'!$D$4:$D$503,(_calc!$E$662-500)))&amp;". ")&amp;IF(LEN(IF(ISNUMBER(INDEX('My equipment'!$J$4:$J$503,(_calc!$E$662-500))),TEXT(INDEX('My equipment'!$J$4:$J$503,(_calc!$E$662-500)),"yyyy-mm-dd"),""))=0,"","Parts end: "&amp;IF(ISNUMBER(INDEX('My equipment'!$J$4:$J$503,(_calc!$E$662-500))),TEXT(INDEX('My equipment'!$J$4:$J$503,(_calc!$E$662-500)),"yyyy-mm-dd"),"")&amp;". ")&amp;IF(LEN(IF(ISNUMBER(INDEX('My equipment'!$L$4:$L$503,(_calc!$E$662-500))),TEXT(INDEX('My equipment'!$L$4:$L$503,(_calc!$E$662-500)),"yyyy-mm-dd"),""))=0,"","Labor end: "&amp;IF(ISNUMBER(INDEX('My equipment'!$L$4:$L$503,(_calc!$E$662-500))),TEXT(INDEX('My equipment'!$L$4:$L$503,(_calc!$E$662-500)),"yyyy-mm-dd"),"")&amp;". ")&amp;IF(LEN(IF(ISNUMBER(INDEX('My equipment'!$P$4:$P$503,(_calc!$E$662-500))),TEXT(INDEX('My equipment'!$P$4:$P$503,(_calc!$E$662-500)),"yyyy-mm-dd"),""))=0,"","Check by: "&amp;IF(ISNUMBER(INDEX('My equipment'!$P$4:$P$503,(_calc!$E$662-500))),TEXT(INDEX('My equipment'!$P$4:$P$503,(_calc!$E$662-500)),"yyyy-mm-dd"),"")&amp;". ")&amp;IF(LEN(IF(LEN(INDEX('My equipment'!$Q$4:$Q$503,(_calc!$E$662-500)))=0,"",INDEX('My equipment'!$Q$4:$Q$503,(_calc!$E$662-500))))=0,"","Claim status: "&amp;IF(LEN(INDEX('My equipment'!$Q$4:$Q$503,(_calc!$E$662-500)))=0,"",INDEX('My equipment'!$Q$4:$Q$503,(_calc!$E$662-500)))&amp;". ")&amp;IF(LEN(IF(LEN(INDEX('My equipment'!$R$4:$R$503,(_calc!$E$662-500)))=0,"",INDEX('My equipment'!$R$4:$R$503,(_calc!$E$662-500))))=0,"","Claims contact: "&amp;IF(LEN(INDEX('My equipment'!$R$4:$R$503,(_calc!$E$662-500)))=0,"",INDEX('My equipment'!$R$4:$R$503,(_calc!$E$662-500)))&amp;". ")&amp;IF(LEN(IF(LEN(INDEX('My equipment'!$S$4:$S$503,(_calc!$E$662-500)))=0,"",INDEX('My equipment'!$S$4:$S$503,(_calc!$E$662-500))))=0,"","Claims email: "&amp;IF(LEN(INDEX('My equipment'!$S$4:$S$503,(_calc!$E$662-500)))=0,"",INDEX('My equipment'!$S$4:$S$503,(_calc!$E$662-500)))&amp;". ")&amp;IF(LEN(IF(LEN(INDEX('My equipment'!$U$4:$U$503,(_calc!$E$662-500)))=0,"",INDEX('My equipment'!$U$4:$U$503,(_calc!$E$662-500))))=0,"","Registered: "&amp;IF(LEN(INDEX('My equipment'!$U$4:$U$503,(_calc!$E$662-500)))=0,"",INDEX('My equipment'!$U$4:$U$503,(_calc!$E$662-500)))&amp;". ")&amp;IF(LEN(IF(LEN(INDEX('My equipment'!$V$4:$V$503,(_calc!$E$662-500)))=0,"",INDEX('My equipment'!$V$4:$V$503,(_calc!$E$662-500))))=0,"","Proof on file: "&amp;IF(LEN(INDEX('My equipment'!$V$4:$V$503,(_calc!$E$662-500)))=0,"",INDEX('My equipment'!$V$4:$V$503,(_calc!$E$662-500)))&amp;". ")&amp;IF(LEN(IF(LEN(INDEX('My equipment'!$W$4:$W$503,(_calc!$E$662-500)))=0,"",INDEX('My equipment'!$W$4:$W$503,(_calc!$E$662-500))))=0,"","Claim ref: "&amp;IF(LEN(INDEX('My equipment'!$W$4:$W$503,(_calc!$E$662-500)))=0,"",INDEX('My equipment'!$W$4:$W$503,(_calc!$E$662-500)))&amp;". ")&amp;IF(LEN(IF(LEN(INDEX('My equipment'!$Y$4:$Y$503,(_calc!$E$662-500)))=0,"",INDEX('My equipment'!$Y$4:$Y$503,(_calc!$E$662-500))))=0,"",IF(LEN(INDEX('My equipment'!$Y$4:$Y$503,(_calc!$E$662-500)))=0,"",INDEX('My equipment'!$Y$4:$Y$503,(_calc!$E$662-500)))))))</f>
        <v/>
      </c>
      <c r="G660" s="54">
        <f>IF(_calc!$E$662="","",IF(_calc!$E$662&lt;=500,"",IF(LEN(INDEX('My equipment'!$X$4:$X$503,(_calc!$E$662-500)))=0,"",INDEX('My equipment'!$X$4:$X$503,(_calc!$E$662-500)))))</f>
        <v/>
      </c>
      <c r="K660" s="54">
        <f>IF(_calc!$E$662="","",IF(_calc!$E$662&lt;=500,"",IF(LEN(INDEX('My equipment'!$T$4:$T$503,(_calc!$E$662-500)))=0,"",INDEX('My equipment'!$T$4:$T$503,(_calc!$E$662-500)))))</f>
        <v/>
      </c>
    </row>
    <row r="661">
      <c r="A661" s="54">
        <f>IF(_calc!$E$663="","",IF(_calc!$E$663&lt;=500,"Warranty – "&amp;IF(LEN(INDEX('Dealer pipeline'!$C$4:$C$503,_calc!$E$663))=0,"",INDEX('Dealer pipeline'!$C$4:$C$503,_calc!$E$663))&amp;" – "&amp;IF(LEN(INDEX('Dealer pipeline'!$D$4:$D$503,_calc!$E$663))=0,"",INDEX('Dealer pipeline'!$D$4:$D$503,_calc!$E$663))&amp;" – "&amp;IF(LEN(INDEX('Dealer pipeline'!$A$4:$A$503,_calc!$E$663))=0,"",INDEX('Dealer pipeline'!$A$4:$A$503,_calc!$E$663)),"Warranty – "&amp;IF(LEN(INDEX('My equipment'!$A$4:$A$503,(_calc!$E$663-500)))=0,"",INDEX('My equipment'!$A$4:$A$503,(_calc!$E$663-500)))&amp;" – "&amp;IF(LEN(INDEX('My equipment'!$D$4:$D$503,(_calc!$E$663-500)))=0,"",INDEX('My equipment'!$D$4:$D$503,(_calc!$E$663-500)))))</f>
        <v/>
      </c>
      <c r="B661" s="54">
        <f>IF(_calc!$E$663="","",IF(_calc!$E$663&lt;=500,IF(ISNUMBER(INDEX('Dealer pipeline'!$M$4:$M$503,_calc!$E$663)),TEXT(INDEX('Dealer pipeline'!$M$4:$M$503,_calc!$E$663),"yyyy-mm-dd"),""),IF(ISNUMBER(INDEX('My equipment'!$M$4:$M$503,(_calc!$E$663-500))),TEXT(INDEX('My equipment'!$M$4:$M$503,(_calc!$E$663-500)),"yyyy-mm-dd"),"")))</f>
        <v/>
      </c>
      <c r="C661" s="54">
        <f>IF(_calc!$E$663="","",IF(_calc!$E$663&lt;=500,"Warranty","Warranty"))</f>
        <v/>
      </c>
      <c r="D661" s="54">
        <f>IF(_calc!$E$663="","",IF(_calc!$E$663&lt;=500,IF(ISNUMBER(INDEX('Dealer pipeline'!$H$4:$H$503,_calc!$E$663)),TEXT(INDEX('Dealer pipeline'!$H$4:$H$503,_calc!$E$663),"yyyy-mm-dd"),""),IF(ISNUMBER(INDEX('My equipment'!$H$4:$H$503,(_calc!$E$663-500))),TEXT(INDEX('My equipment'!$H$4:$H$503,(_calc!$E$663-500)),"yyyy-mm-dd"),"")))</f>
        <v/>
      </c>
      <c r="F661" s="54">
        <f>IF(_calc!$E$663="","",IF(_calc!$E$663&lt;=500,TRIM(IF(LEN(IF(LEN(INDEX('Dealer pipeline'!$A$4:$A$503,_calc!$E$663))=0,"",INDEX('Dealer pipeline'!$A$4:$A$503,_calc!$E$663)))=0,"","Customer: "&amp;IF(LEN(INDEX('Dealer pipeline'!$A$4:$A$503,_calc!$E$663))=0,"",INDEX('Dealer pipeline'!$A$4:$A$503,_calc!$E$663))&amp;". ")&amp;IF(LEN(IF(LEN(INDEX('Dealer pipeline'!$B$4:$B$503,_calc!$E$663))=0,"",INDEX('Dealer pipeline'!$B$4:$B$503,_calc!$E$663)))=0,"","Contact: "&amp;IF(LEN(INDEX('Dealer pipeline'!$B$4:$B$503,_calc!$E$663))=0,"",INDEX('Dealer pipeline'!$B$4:$B$503,_calc!$E$663))&amp;". ")&amp;IF(LEN(IF(LEN(INDEX('Dealer pipeline'!$D$4:$D$503,_calc!$E$663))=0,"",INDEX('Dealer pipeline'!$D$4:$D$503,_calc!$E$663)))=0,"","Serial: "&amp;IF(LEN(INDEX('Dealer pipeline'!$D$4:$D$503,_calc!$E$663))=0,"",INDEX('Dealer pipeline'!$D$4:$D$503,_calc!$E$663))&amp;". ")&amp;IF(LEN(IF(ISNUMBER(INDEX('Dealer pipeline'!$J$4:$J$503,_calc!$E$663)),TEXT(INDEX('Dealer pipeline'!$J$4:$J$503,_calc!$E$663),"yyyy-mm-dd"),""))=0,"","Parts end: "&amp;IF(ISNUMBER(INDEX('Dealer pipeline'!$J$4:$J$503,_calc!$E$663)),TEXT(INDEX('Dealer pipeline'!$J$4:$J$503,_calc!$E$663),"yyyy-mm-dd"),"")&amp;". ")&amp;IF(LEN(IF(ISNUMBER(INDEX('Dealer pipeline'!$L$4:$L$503,_calc!$E$663)),TEXT(INDEX('Dealer pipeline'!$L$4:$L$503,_calc!$E$663),"yyyy-mm-dd"),""))=0,"","Labor end: "&amp;IF(ISNUMBER(INDEX('Dealer pipeline'!$L$4:$L$503,_calc!$E$663)),TEXT(INDEX('Dealer pipeline'!$L$4:$L$503,_calc!$E$663),"yyyy-mm-dd"),"")&amp;". ")&amp;IF(LEN(IF(LEN(INDEX('Dealer pipeline'!$Q$4:$Q$503,_calc!$E$663))=0,"",INDEX('Dealer pipeline'!$Q$4:$Q$503,_calc!$E$663)))=0,"","Status: "&amp;IF(LEN(INDEX('Dealer pipeline'!$Q$4:$Q$503,_calc!$E$663))=0,"",INDEX('Dealer pipeline'!$Q$4:$Q$503,_calc!$E$663))&amp;". ")&amp;IF(LEN(IF(LEN(INDEX('Dealer pipeline'!$P$4:$P$503,_calc!$E$663))=0,"",INDEX('Dealer pipeline'!$P$4:$P$503,_calc!$E$663)))=0,"","Last touch: "&amp;IF(LEN(INDEX('Dealer pipeline'!$P$4:$P$503,_calc!$E$663))=0,"",INDEX('Dealer pipeline'!$P$4:$P$503,_calc!$E$663))&amp;". ")&amp;IF(LEN(IF(LEN(INDEX('Dealer pipeline'!$R$4:$R$503,_calc!$E$663))=0,"",INDEX('Dealer pipeline'!$R$4:$R$503,_calc!$E$663)))=0,"","Owner: "&amp;IF(LEN(INDEX('Dealer pipeline'!$R$4:$R$503,_calc!$E$663))=0,"",INDEX('Dealer pipeline'!$R$4:$R$503,_calc!$E$663))&amp;". ")&amp;IF(LEN(IF(LEN(INDEX('Dealer pipeline'!$S$4:$S$503,_calc!$E$663))=0,"",INDEX('Dealer pipeline'!$S$4:$S$503,_calc!$E$663)))=0,"","Backup: "&amp;IF(LEN(INDEX('Dealer pipeline'!$S$4:$S$503,_calc!$E$663))=0,"",INDEX('Dealer pipeline'!$S$4:$S$503,_calc!$E$663))&amp;". ")&amp;IF(LEN(IF(LEN(INDEX('Dealer pipeline'!$T$4:$T$503,_calc!$E$663))=0,"",INDEX('Dealer pipeline'!$T$4:$T$503,_calc!$E$663)))=0,"",IF(LEN(INDEX('Dealer pipeline'!$T$4:$T$503,_calc!$E$663))=0,"",INDEX('Dealer pipeline'!$T$4:$T$503,_calc!$E$663)))),TRIM(IF(LEN(IF(LEN(INDEX('My equipment'!$C$4:$C$503,(_calc!$E$663-500)))=0,"",INDEX('My equipment'!$C$4:$C$503,(_calc!$E$663-500))))=0,"","Model: "&amp;IF(LEN(INDEX('My equipment'!$C$4:$C$503,(_calc!$E$663-500)))=0,"",INDEX('My equipment'!$C$4:$C$503,(_calc!$E$663-500)))&amp;". ")&amp;IF(LEN(IF(LEN(INDEX('My equipment'!$D$4:$D$503,(_calc!$E$663-500)))=0,"",INDEX('My equipment'!$D$4:$D$503,(_calc!$E$663-500))))=0,"","Serial: "&amp;IF(LEN(INDEX('My equipment'!$D$4:$D$503,(_calc!$E$663-500)))=0,"",INDEX('My equipment'!$D$4:$D$503,(_calc!$E$663-500)))&amp;". ")&amp;IF(LEN(IF(ISNUMBER(INDEX('My equipment'!$J$4:$J$503,(_calc!$E$663-500))),TEXT(INDEX('My equipment'!$J$4:$J$503,(_calc!$E$663-500)),"yyyy-mm-dd"),""))=0,"","Parts end: "&amp;IF(ISNUMBER(INDEX('My equipment'!$J$4:$J$503,(_calc!$E$663-500))),TEXT(INDEX('My equipment'!$J$4:$J$503,(_calc!$E$663-500)),"yyyy-mm-dd"),"")&amp;". ")&amp;IF(LEN(IF(ISNUMBER(INDEX('My equipment'!$L$4:$L$503,(_calc!$E$663-500))),TEXT(INDEX('My equipment'!$L$4:$L$503,(_calc!$E$663-500)),"yyyy-mm-dd"),""))=0,"","Labor end: "&amp;IF(ISNUMBER(INDEX('My equipment'!$L$4:$L$503,(_calc!$E$663-500))),TEXT(INDEX('My equipment'!$L$4:$L$503,(_calc!$E$663-500)),"yyyy-mm-dd"),"")&amp;". ")&amp;IF(LEN(IF(ISNUMBER(INDEX('My equipment'!$P$4:$P$503,(_calc!$E$663-500))),TEXT(INDEX('My equipment'!$P$4:$P$503,(_calc!$E$663-500)),"yyyy-mm-dd"),""))=0,"","Check by: "&amp;IF(ISNUMBER(INDEX('My equipment'!$P$4:$P$503,(_calc!$E$663-500))),TEXT(INDEX('My equipment'!$P$4:$P$503,(_calc!$E$663-500)),"yyyy-mm-dd"),"")&amp;". ")&amp;IF(LEN(IF(LEN(INDEX('My equipment'!$Q$4:$Q$503,(_calc!$E$663-500)))=0,"",INDEX('My equipment'!$Q$4:$Q$503,(_calc!$E$663-500))))=0,"","Claim status: "&amp;IF(LEN(INDEX('My equipment'!$Q$4:$Q$503,(_calc!$E$663-500)))=0,"",INDEX('My equipment'!$Q$4:$Q$503,(_calc!$E$663-500)))&amp;". ")&amp;IF(LEN(IF(LEN(INDEX('My equipment'!$R$4:$R$503,(_calc!$E$663-500)))=0,"",INDEX('My equipment'!$R$4:$R$503,(_calc!$E$663-500))))=0,"","Claims contact: "&amp;IF(LEN(INDEX('My equipment'!$R$4:$R$503,(_calc!$E$663-500)))=0,"",INDEX('My equipment'!$R$4:$R$503,(_calc!$E$663-500)))&amp;". ")&amp;IF(LEN(IF(LEN(INDEX('My equipment'!$S$4:$S$503,(_calc!$E$663-500)))=0,"",INDEX('My equipment'!$S$4:$S$503,(_calc!$E$663-500))))=0,"","Claims email: "&amp;IF(LEN(INDEX('My equipment'!$S$4:$S$503,(_calc!$E$663-500)))=0,"",INDEX('My equipment'!$S$4:$S$503,(_calc!$E$663-500)))&amp;". ")&amp;IF(LEN(IF(LEN(INDEX('My equipment'!$U$4:$U$503,(_calc!$E$663-500)))=0,"",INDEX('My equipment'!$U$4:$U$503,(_calc!$E$663-500))))=0,"","Registered: "&amp;IF(LEN(INDEX('My equipment'!$U$4:$U$503,(_calc!$E$663-500)))=0,"",INDEX('My equipment'!$U$4:$U$503,(_calc!$E$663-500)))&amp;". ")&amp;IF(LEN(IF(LEN(INDEX('My equipment'!$V$4:$V$503,(_calc!$E$663-500)))=0,"",INDEX('My equipment'!$V$4:$V$503,(_calc!$E$663-500))))=0,"","Proof on file: "&amp;IF(LEN(INDEX('My equipment'!$V$4:$V$503,(_calc!$E$663-500)))=0,"",INDEX('My equipment'!$V$4:$V$503,(_calc!$E$663-500)))&amp;". ")&amp;IF(LEN(IF(LEN(INDEX('My equipment'!$W$4:$W$503,(_calc!$E$663-500)))=0,"",INDEX('My equipment'!$W$4:$W$503,(_calc!$E$663-500))))=0,"","Claim ref: "&amp;IF(LEN(INDEX('My equipment'!$W$4:$W$503,(_calc!$E$663-500)))=0,"",INDEX('My equipment'!$W$4:$W$503,(_calc!$E$663-500)))&amp;". ")&amp;IF(LEN(IF(LEN(INDEX('My equipment'!$Y$4:$Y$503,(_calc!$E$663-500)))=0,"",INDEX('My equipment'!$Y$4:$Y$503,(_calc!$E$663-500))))=0,"",IF(LEN(INDEX('My equipment'!$Y$4:$Y$503,(_calc!$E$663-500)))=0,"",INDEX('My equipment'!$Y$4:$Y$503,(_calc!$E$663-500)))))))</f>
        <v/>
      </c>
      <c r="G661" s="54">
        <f>IF(_calc!$E$663="","",IF(_calc!$E$663&lt;=500,"",IF(LEN(INDEX('My equipment'!$X$4:$X$503,(_calc!$E$663-500)))=0,"",INDEX('My equipment'!$X$4:$X$503,(_calc!$E$663-500)))))</f>
        <v/>
      </c>
      <c r="K661" s="54">
        <f>IF(_calc!$E$663="","",IF(_calc!$E$663&lt;=500,"",IF(LEN(INDEX('My equipment'!$T$4:$T$503,(_calc!$E$663-500)))=0,"",INDEX('My equipment'!$T$4:$T$503,(_calc!$E$663-500)))))</f>
        <v/>
      </c>
    </row>
    <row r="662">
      <c r="A662" s="54">
        <f>IF(_calc!$E$664="","",IF(_calc!$E$664&lt;=500,"Warranty – "&amp;IF(LEN(INDEX('Dealer pipeline'!$C$4:$C$503,_calc!$E$664))=0,"",INDEX('Dealer pipeline'!$C$4:$C$503,_calc!$E$664))&amp;" – "&amp;IF(LEN(INDEX('Dealer pipeline'!$D$4:$D$503,_calc!$E$664))=0,"",INDEX('Dealer pipeline'!$D$4:$D$503,_calc!$E$664))&amp;" – "&amp;IF(LEN(INDEX('Dealer pipeline'!$A$4:$A$503,_calc!$E$664))=0,"",INDEX('Dealer pipeline'!$A$4:$A$503,_calc!$E$664)),"Warranty – "&amp;IF(LEN(INDEX('My equipment'!$A$4:$A$503,(_calc!$E$664-500)))=0,"",INDEX('My equipment'!$A$4:$A$503,(_calc!$E$664-500)))&amp;" – "&amp;IF(LEN(INDEX('My equipment'!$D$4:$D$503,(_calc!$E$664-500)))=0,"",INDEX('My equipment'!$D$4:$D$503,(_calc!$E$664-500)))))</f>
        <v/>
      </c>
      <c r="B662" s="54">
        <f>IF(_calc!$E$664="","",IF(_calc!$E$664&lt;=500,IF(ISNUMBER(INDEX('Dealer pipeline'!$M$4:$M$503,_calc!$E$664)),TEXT(INDEX('Dealer pipeline'!$M$4:$M$503,_calc!$E$664),"yyyy-mm-dd"),""),IF(ISNUMBER(INDEX('My equipment'!$M$4:$M$503,(_calc!$E$664-500))),TEXT(INDEX('My equipment'!$M$4:$M$503,(_calc!$E$664-500)),"yyyy-mm-dd"),"")))</f>
        <v/>
      </c>
      <c r="C662" s="54">
        <f>IF(_calc!$E$664="","",IF(_calc!$E$664&lt;=500,"Warranty","Warranty"))</f>
        <v/>
      </c>
      <c r="D662" s="54">
        <f>IF(_calc!$E$664="","",IF(_calc!$E$664&lt;=500,IF(ISNUMBER(INDEX('Dealer pipeline'!$H$4:$H$503,_calc!$E$664)),TEXT(INDEX('Dealer pipeline'!$H$4:$H$503,_calc!$E$664),"yyyy-mm-dd"),""),IF(ISNUMBER(INDEX('My equipment'!$H$4:$H$503,(_calc!$E$664-500))),TEXT(INDEX('My equipment'!$H$4:$H$503,(_calc!$E$664-500)),"yyyy-mm-dd"),"")))</f>
        <v/>
      </c>
      <c r="F662" s="54">
        <f>IF(_calc!$E$664="","",IF(_calc!$E$664&lt;=500,TRIM(IF(LEN(IF(LEN(INDEX('Dealer pipeline'!$A$4:$A$503,_calc!$E$664))=0,"",INDEX('Dealer pipeline'!$A$4:$A$503,_calc!$E$664)))=0,"","Customer: "&amp;IF(LEN(INDEX('Dealer pipeline'!$A$4:$A$503,_calc!$E$664))=0,"",INDEX('Dealer pipeline'!$A$4:$A$503,_calc!$E$664))&amp;". ")&amp;IF(LEN(IF(LEN(INDEX('Dealer pipeline'!$B$4:$B$503,_calc!$E$664))=0,"",INDEX('Dealer pipeline'!$B$4:$B$503,_calc!$E$664)))=0,"","Contact: "&amp;IF(LEN(INDEX('Dealer pipeline'!$B$4:$B$503,_calc!$E$664))=0,"",INDEX('Dealer pipeline'!$B$4:$B$503,_calc!$E$664))&amp;". ")&amp;IF(LEN(IF(LEN(INDEX('Dealer pipeline'!$D$4:$D$503,_calc!$E$664))=0,"",INDEX('Dealer pipeline'!$D$4:$D$503,_calc!$E$664)))=0,"","Serial: "&amp;IF(LEN(INDEX('Dealer pipeline'!$D$4:$D$503,_calc!$E$664))=0,"",INDEX('Dealer pipeline'!$D$4:$D$503,_calc!$E$664))&amp;". ")&amp;IF(LEN(IF(ISNUMBER(INDEX('Dealer pipeline'!$J$4:$J$503,_calc!$E$664)),TEXT(INDEX('Dealer pipeline'!$J$4:$J$503,_calc!$E$664),"yyyy-mm-dd"),""))=0,"","Parts end: "&amp;IF(ISNUMBER(INDEX('Dealer pipeline'!$J$4:$J$503,_calc!$E$664)),TEXT(INDEX('Dealer pipeline'!$J$4:$J$503,_calc!$E$664),"yyyy-mm-dd"),"")&amp;". ")&amp;IF(LEN(IF(ISNUMBER(INDEX('Dealer pipeline'!$L$4:$L$503,_calc!$E$664)),TEXT(INDEX('Dealer pipeline'!$L$4:$L$503,_calc!$E$664),"yyyy-mm-dd"),""))=0,"","Labor end: "&amp;IF(ISNUMBER(INDEX('Dealer pipeline'!$L$4:$L$503,_calc!$E$664)),TEXT(INDEX('Dealer pipeline'!$L$4:$L$503,_calc!$E$664),"yyyy-mm-dd"),"")&amp;". ")&amp;IF(LEN(IF(LEN(INDEX('Dealer pipeline'!$Q$4:$Q$503,_calc!$E$664))=0,"",INDEX('Dealer pipeline'!$Q$4:$Q$503,_calc!$E$664)))=0,"","Status: "&amp;IF(LEN(INDEX('Dealer pipeline'!$Q$4:$Q$503,_calc!$E$664))=0,"",INDEX('Dealer pipeline'!$Q$4:$Q$503,_calc!$E$664))&amp;". ")&amp;IF(LEN(IF(LEN(INDEX('Dealer pipeline'!$P$4:$P$503,_calc!$E$664))=0,"",INDEX('Dealer pipeline'!$P$4:$P$503,_calc!$E$664)))=0,"","Last touch: "&amp;IF(LEN(INDEX('Dealer pipeline'!$P$4:$P$503,_calc!$E$664))=0,"",INDEX('Dealer pipeline'!$P$4:$P$503,_calc!$E$664))&amp;". ")&amp;IF(LEN(IF(LEN(INDEX('Dealer pipeline'!$R$4:$R$503,_calc!$E$664))=0,"",INDEX('Dealer pipeline'!$R$4:$R$503,_calc!$E$664)))=0,"","Owner: "&amp;IF(LEN(INDEX('Dealer pipeline'!$R$4:$R$503,_calc!$E$664))=0,"",INDEX('Dealer pipeline'!$R$4:$R$503,_calc!$E$664))&amp;". ")&amp;IF(LEN(IF(LEN(INDEX('Dealer pipeline'!$S$4:$S$503,_calc!$E$664))=0,"",INDEX('Dealer pipeline'!$S$4:$S$503,_calc!$E$664)))=0,"","Backup: "&amp;IF(LEN(INDEX('Dealer pipeline'!$S$4:$S$503,_calc!$E$664))=0,"",INDEX('Dealer pipeline'!$S$4:$S$503,_calc!$E$664))&amp;". ")&amp;IF(LEN(IF(LEN(INDEX('Dealer pipeline'!$T$4:$T$503,_calc!$E$664))=0,"",INDEX('Dealer pipeline'!$T$4:$T$503,_calc!$E$664)))=0,"",IF(LEN(INDEX('Dealer pipeline'!$T$4:$T$503,_calc!$E$664))=0,"",INDEX('Dealer pipeline'!$T$4:$T$503,_calc!$E$664)))),TRIM(IF(LEN(IF(LEN(INDEX('My equipment'!$C$4:$C$503,(_calc!$E$664-500)))=0,"",INDEX('My equipment'!$C$4:$C$503,(_calc!$E$664-500))))=0,"","Model: "&amp;IF(LEN(INDEX('My equipment'!$C$4:$C$503,(_calc!$E$664-500)))=0,"",INDEX('My equipment'!$C$4:$C$503,(_calc!$E$664-500)))&amp;". ")&amp;IF(LEN(IF(LEN(INDEX('My equipment'!$D$4:$D$503,(_calc!$E$664-500)))=0,"",INDEX('My equipment'!$D$4:$D$503,(_calc!$E$664-500))))=0,"","Serial: "&amp;IF(LEN(INDEX('My equipment'!$D$4:$D$503,(_calc!$E$664-500)))=0,"",INDEX('My equipment'!$D$4:$D$503,(_calc!$E$664-500)))&amp;". ")&amp;IF(LEN(IF(ISNUMBER(INDEX('My equipment'!$J$4:$J$503,(_calc!$E$664-500))),TEXT(INDEX('My equipment'!$J$4:$J$503,(_calc!$E$664-500)),"yyyy-mm-dd"),""))=0,"","Parts end: "&amp;IF(ISNUMBER(INDEX('My equipment'!$J$4:$J$503,(_calc!$E$664-500))),TEXT(INDEX('My equipment'!$J$4:$J$503,(_calc!$E$664-500)),"yyyy-mm-dd"),"")&amp;". ")&amp;IF(LEN(IF(ISNUMBER(INDEX('My equipment'!$L$4:$L$503,(_calc!$E$664-500))),TEXT(INDEX('My equipment'!$L$4:$L$503,(_calc!$E$664-500)),"yyyy-mm-dd"),""))=0,"","Labor end: "&amp;IF(ISNUMBER(INDEX('My equipment'!$L$4:$L$503,(_calc!$E$664-500))),TEXT(INDEX('My equipment'!$L$4:$L$503,(_calc!$E$664-500)),"yyyy-mm-dd"),"")&amp;". ")&amp;IF(LEN(IF(ISNUMBER(INDEX('My equipment'!$P$4:$P$503,(_calc!$E$664-500))),TEXT(INDEX('My equipment'!$P$4:$P$503,(_calc!$E$664-500)),"yyyy-mm-dd"),""))=0,"","Check by: "&amp;IF(ISNUMBER(INDEX('My equipment'!$P$4:$P$503,(_calc!$E$664-500))),TEXT(INDEX('My equipment'!$P$4:$P$503,(_calc!$E$664-500)),"yyyy-mm-dd"),"")&amp;". ")&amp;IF(LEN(IF(LEN(INDEX('My equipment'!$Q$4:$Q$503,(_calc!$E$664-500)))=0,"",INDEX('My equipment'!$Q$4:$Q$503,(_calc!$E$664-500))))=0,"","Claim status: "&amp;IF(LEN(INDEX('My equipment'!$Q$4:$Q$503,(_calc!$E$664-500)))=0,"",INDEX('My equipment'!$Q$4:$Q$503,(_calc!$E$664-500)))&amp;". ")&amp;IF(LEN(IF(LEN(INDEX('My equipment'!$R$4:$R$503,(_calc!$E$664-500)))=0,"",INDEX('My equipment'!$R$4:$R$503,(_calc!$E$664-500))))=0,"","Claims contact: "&amp;IF(LEN(INDEX('My equipment'!$R$4:$R$503,(_calc!$E$664-500)))=0,"",INDEX('My equipment'!$R$4:$R$503,(_calc!$E$664-500)))&amp;". ")&amp;IF(LEN(IF(LEN(INDEX('My equipment'!$S$4:$S$503,(_calc!$E$664-500)))=0,"",INDEX('My equipment'!$S$4:$S$503,(_calc!$E$664-500))))=0,"","Claims email: "&amp;IF(LEN(INDEX('My equipment'!$S$4:$S$503,(_calc!$E$664-500)))=0,"",INDEX('My equipment'!$S$4:$S$503,(_calc!$E$664-500)))&amp;". ")&amp;IF(LEN(IF(LEN(INDEX('My equipment'!$U$4:$U$503,(_calc!$E$664-500)))=0,"",INDEX('My equipment'!$U$4:$U$503,(_calc!$E$664-500))))=0,"","Registered: "&amp;IF(LEN(INDEX('My equipment'!$U$4:$U$503,(_calc!$E$664-500)))=0,"",INDEX('My equipment'!$U$4:$U$503,(_calc!$E$664-500)))&amp;". ")&amp;IF(LEN(IF(LEN(INDEX('My equipment'!$V$4:$V$503,(_calc!$E$664-500)))=0,"",INDEX('My equipment'!$V$4:$V$503,(_calc!$E$664-500))))=0,"","Proof on file: "&amp;IF(LEN(INDEX('My equipment'!$V$4:$V$503,(_calc!$E$664-500)))=0,"",INDEX('My equipment'!$V$4:$V$503,(_calc!$E$664-500)))&amp;". ")&amp;IF(LEN(IF(LEN(INDEX('My equipment'!$W$4:$W$503,(_calc!$E$664-500)))=0,"",INDEX('My equipment'!$W$4:$W$503,(_calc!$E$664-500))))=0,"","Claim ref: "&amp;IF(LEN(INDEX('My equipment'!$W$4:$W$503,(_calc!$E$664-500)))=0,"",INDEX('My equipment'!$W$4:$W$503,(_calc!$E$664-500)))&amp;". ")&amp;IF(LEN(IF(LEN(INDEX('My equipment'!$Y$4:$Y$503,(_calc!$E$664-500)))=0,"",INDEX('My equipment'!$Y$4:$Y$503,(_calc!$E$664-500))))=0,"",IF(LEN(INDEX('My equipment'!$Y$4:$Y$503,(_calc!$E$664-500)))=0,"",INDEX('My equipment'!$Y$4:$Y$503,(_calc!$E$664-500)))))))</f>
        <v/>
      </c>
      <c r="G662" s="54">
        <f>IF(_calc!$E$664="","",IF(_calc!$E$664&lt;=500,"",IF(LEN(INDEX('My equipment'!$X$4:$X$503,(_calc!$E$664-500)))=0,"",INDEX('My equipment'!$X$4:$X$503,(_calc!$E$664-500)))))</f>
        <v/>
      </c>
      <c r="K662" s="54">
        <f>IF(_calc!$E$664="","",IF(_calc!$E$664&lt;=500,"",IF(LEN(INDEX('My equipment'!$T$4:$T$503,(_calc!$E$664-500)))=0,"",INDEX('My equipment'!$T$4:$T$503,(_calc!$E$664-500)))))</f>
        <v/>
      </c>
    </row>
    <row r="663">
      <c r="A663" s="54">
        <f>IF(_calc!$E$665="","",IF(_calc!$E$665&lt;=500,"Warranty – "&amp;IF(LEN(INDEX('Dealer pipeline'!$C$4:$C$503,_calc!$E$665))=0,"",INDEX('Dealer pipeline'!$C$4:$C$503,_calc!$E$665))&amp;" – "&amp;IF(LEN(INDEX('Dealer pipeline'!$D$4:$D$503,_calc!$E$665))=0,"",INDEX('Dealer pipeline'!$D$4:$D$503,_calc!$E$665))&amp;" – "&amp;IF(LEN(INDEX('Dealer pipeline'!$A$4:$A$503,_calc!$E$665))=0,"",INDEX('Dealer pipeline'!$A$4:$A$503,_calc!$E$665)),"Warranty – "&amp;IF(LEN(INDEX('My equipment'!$A$4:$A$503,(_calc!$E$665-500)))=0,"",INDEX('My equipment'!$A$4:$A$503,(_calc!$E$665-500)))&amp;" – "&amp;IF(LEN(INDEX('My equipment'!$D$4:$D$503,(_calc!$E$665-500)))=0,"",INDEX('My equipment'!$D$4:$D$503,(_calc!$E$665-500)))))</f>
        <v/>
      </c>
      <c r="B663" s="54">
        <f>IF(_calc!$E$665="","",IF(_calc!$E$665&lt;=500,IF(ISNUMBER(INDEX('Dealer pipeline'!$M$4:$M$503,_calc!$E$665)),TEXT(INDEX('Dealer pipeline'!$M$4:$M$503,_calc!$E$665),"yyyy-mm-dd"),""),IF(ISNUMBER(INDEX('My equipment'!$M$4:$M$503,(_calc!$E$665-500))),TEXT(INDEX('My equipment'!$M$4:$M$503,(_calc!$E$665-500)),"yyyy-mm-dd"),"")))</f>
        <v/>
      </c>
      <c r="C663" s="54">
        <f>IF(_calc!$E$665="","",IF(_calc!$E$665&lt;=500,"Warranty","Warranty"))</f>
        <v/>
      </c>
      <c r="D663" s="54">
        <f>IF(_calc!$E$665="","",IF(_calc!$E$665&lt;=500,IF(ISNUMBER(INDEX('Dealer pipeline'!$H$4:$H$503,_calc!$E$665)),TEXT(INDEX('Dealer pipeline'!$H$4:$H$503,_calc!$E$665),"yyyy-mm-dd"),""),IF(ISNUMBER(INDEX('My equipment'!$H$4:$H$503,(_calc!$E$665-500))),TEXT(INDEX('My equipment'!$H$4:$H$503,(_calc!$E$665-500)),"yyyy-mm-dd"),"")))</f>
        <v/>
      </c>
      <c r="F663" s="54">
        <f>IF(_calc!$E$665="","",IF(_calc!$E$665&lt;=500,TRIM(IF(LEN(IF(LEN(INDEX('Dealer pipeline'!$A$4:$A$503,_calc!$E$665))=0,"",INDEX('Dealer pipeline'!$A$4:$A$503,_calc!$E$665)))=0,"","Customer: "&amp;IF(LEN(INDEX('Dealer pipeline'!$A$4:$A$503,_calc!$E$665))=0,"",INDEX('Dealer pipeline'!$A$4:$A$503,_calc!$E$665))&amp;". ")&amp;IF(LEN(IF(LEN(INDEX('Dealer pipeline'!$B$4:$B$503,_calc!$E$665))=0,"",INDEX('Dealer pipeline'!$B$4:$B$503,_calc!$E$665)))=0,"","Contact: "&amp;IF(LEN(INDEX('Dealer pipeline'!$B$4:$B$503,_calc!$E$665))=0,"",INDEX('Dealer pipeline'!$B$4:$B$503,_calc!$E$665))&amp;". ")&amp;IF(LEN(IF(LEN(INDEX('Dealer pipeline'!$D$4:$D$503,_calc!$E$665))=0,"",INDEX('Dealer pipeline'!$D$4:$D$503,_calc!$E$665)))=0,"","Serial: "&amp;IF(LEN(INDEX('Dealer pipeline'!$D$4:$D$503,_calc!$E$665))=0,"",INDEX('Dealer pipeline'!$D$4:$D$503,_calc!$E$665))&amp;". ")&amp;IF(LEN(IF(ISNUMBER(INDEX('Dealer pipeline'!$J$4:$J$503,_calc!$E$665)),TEXT(INDEX('Dealer pipeline'!$J$4:$J$503,_calc!$E$665),"yyyy-mm-dd"),""))=0,"","Parts end: "&amp;IF(ISNUMBER(INDEX('Dealer pipeline'!$J$4:$J$503,_calc!$E$665)),TEXT(INDEX('Dealer pipeline'!$J$4:$J$503,_calc!$E$665),"yyyy-mm-dd"),"")&amp;". ")&amp;IF(LEN(IF(ISNUMBER(INDEX('Dealer pipeline'!$L$4:$L$503,_calc!$E$665)),TEXT(INDEX('Dealer pipeline'!$L$4:$L$503,_calc!$E$665),"yyyy-mm-dd"),""))=0,"","Labor end: "&amp;IF(ISNUMBER(INDEX('Dealer pipeline'!$L$4:$L$503,_calc!$E$665)),TEXT(INDEX('Dealer pipeline'!$L$4:$L$503,_calc!$E$665),"yyyy-mm-dd"),"")&amp;". ")&amp;IF(LEN(IF(LEN(INDEX('Dealer pipeline'!$Q$4:$Q$503,_calc!$E$665))=0,"",INDEX('Dealer pipeline'!$Q$4:$Q$503,_calc!$E$665)))=0,"","Status: "&amp;IF(LEN(INDEX('Dealer pipeline'!$Q$4:$Q$503,_calc!$E$665))=0,"",INDEX('Dealer pipeline'!$Q$4:$Q$503,_calc!$E$665))&amp;". ")&amp;IF(LEN(IF(LEN(INDEX('Dealer pipeline'!$P$4:$P$503,_calc!$E$665))=0,"",INDEX('Dealer pipeline'!$P$4:$P$503,_calc!$E$665)))=0,"","Last touch: "&amp;IF(LEN(INDEX('Dealer pipeline'!$P$4:$P$503,_calc!$E$665))=0,"",INDEX('Dealer pipeline'!$P$4:$P$503,_calc!$E$665))&amp;". ")&amp;IF(LEN(IF(LEN(INDEX('Dealer pipeline'!$R$4:$R$503,_calc!$E$665))=0,"",INDEX('Dealer pipeline'!$R$4:$R$503,_calc!$E$665)))=0,"","Owner: "&amp;IF(LEN(INDEX('Dealer pipeline'!$R$4:$R$503,_calc!$E$665))=0,"",INDEX('Dealer pipeline'!$R$4:$R$503,_calc!$E$665))&amp;". ")&amp;IF(LEN(IF(LEN(INDEX('Dealer pipeline'!$S$4:$S$503,_calc!$E$665))=0,"",INDEX('Dealer pipeline'!$S$4:$S$503,_calc!$E$665)))=0,"","Backup: "&amp;IF(LEN(INDEX('Dealer pipeline'!$S$4:$S$503,_calc!$E$665))=0,"",INDEX('Dealer pipeline'!$S$4:$S$503,_calc!$E$665))&amp;". ")&amp;IF(LEN(IF(LEN(INDEX('Dealer pipeline'!$T$4:$T$503,_calc!$E$665))=0,"",INDEX('Dealer pipeline'!$T$4:$T$503,_calc!$E$665)))=0,"",IF(LEN(INDEX('Dealer pipeline'!$T$4:$T$503,_calc!$E$665))=0,"",INDEX('Dealer pipeline'!$T$4:$T$503,_calc!$E$665)))),TRIM(IF(LEN(IF(LEN(INDEX('My equipment'!$C$4:$C$503,(_calc!$E$665-500)))=0,"",INDEX('My equipment'!$C$4:$C$503,(_calc!$E$665-500))))=0,"","Model: "&amp;IF(LEN(INDEX('My equipment'!$C$4:$C$503,(_calc!$E$665-500)))=0,"",INDEX('My equipment'!$C$4:$C$503,(_calc!$E$665-500)))&amp;". ")&amp;IF(LEN(IF(LEN(INDEX('My equipment'!$D$4:$D$503,(_calc!$E$665-500)))=0,"",INDEX('My equipment'!$D$4:$D$503,(_calc!$E$665-500))))=0,"","Serial: "&amp;IF(LEN(INDEX('My equipment'!$D$4:$D$503,(_calc!$E$665-500)))=0,"",INDEX('My equipment'!$D$4:$D$503,(_calc!$E$665-500)))&amp;". ")&amp;IF(LEN(IF(ISNUMBER(INDEX('My equipment'!$J$4:$J$503,(_calc!$E$665-500))),TEXT(INDEX('My equipment'!$J$4:$J$503,(_calc!$E$665-500)),"yyyy-mm-dd"),""))=0,"","Parts end: "&amp;IF(ISNUMBER(INDEX('My equipment'!$J$4:$J$503,(_calc!$E$665-500))),TEXT(INDEX('My equipment'!$J$4:$J$503,(_calc!$E$665-500)),"yyyy-mm-dd"),"")&amp;". ")&amp;IF(LEN(IF(ISNUMBER(INDEX('My equipment'!$L$4:$L$503,(_calc!$E$665-500))),TEXT(INDEX('My equipment'!$L$4:$L$503,(_calc!$E$665-500)),"yyyy-mm-dd"),""))=0,"","Labor end: "&amp;IF(ISNUMBER(INDEX('My equipment'!$L$4:$L$503,(_calc!$E$665-500))),TEXT(INDEX('My equipment'!$L$4:$L$503,(_calc!$E$665-500)),"yyyy-mm-dd"),"")&amp;". ")&amp;IF(LEN(IF(ISNUMBER(INDEX('My equipment'!$P$4:$P$503,(_calc!$E$665-500))),TEXT(INDEX('My equipment'!$P$4:$P$503,(_calc!$E$665-500)),"yyyy-mm-dd"),""))=0,"","Check by: "&amp;IF(ISNUMBER(INDEX('My equipment'!$P$4:$P$503,(_calc!$E$665-500))),TEXT(INDEX('My equipment'!$P$4:$P$503,(_calc!$E$665-500)),"yyyy-mm-dd"),"")&amp;". ")&amp;IF(LEN(IF(LEN(INDEX('My equipment'!$Q$4:$Q$503,(_calc!$E$665-500)))=0,"",INDEX('My equipment'!$Q$4:$Q$503,(_calc!$E$665-500))))=0,"","Claim status: "&amp;IF(LEN(INDEX('My equipment'!$Q$4:$Q$503,(_calc!$E$665-500)))=0,"",INDEX('My equipment'!$Q$4:$Q$503,(_calc!$E$665-500)))&amp;". ")&amp;IF(LEN(IF(LEN(INDEX('My equipment'!$R$4:$R$503,(_calc!$E$665-500)))=0,"",INDEX('My equipment'!$R$4:$R$503,(_calc!$E$665-500))))=0,"","Claims contact: "&amp;IF(LEN(INDEX('My equipment'!$R$4:$R$503,(_calc!$E$665-500)))=0,"",INDEX('My equipment'!$R$4:$R$503,(_calc!$E$665-500)))&amp;". ")&amp;IF(LEN(IF(LEN(INDEX('My equipment'!$S$4:$S$503,(_calc!$E$665-500)))=0,"",INDEX('My equipment'!$S$4:$S$503,(_calc!$E$665-500))))=0,"","Claims email: "&amp;IF(LEN(INDEX('My equipment'!$S$4:$S$503,(_calc!$E$665-500)))=0,"",INDEX('My equipment'!$S$4:$S$503,(_calc!$E$665-500)))&amp;". ")&amp;IF(LEN(IF(LEN(INDEX('My equipment'!$U$4:$U$503,(_calc!$E$665-500)))=0,"",INDEX('My equipment'!$U$4:$U$503,(_calc!$E$665-500))))=0,"","Registered: "&amp;IF(LEN(INDEX('My equipment'!$U$4:$U$503,(_calc!$E$665-500)))=0,"",INDEX('My equipment'!$U$4:$U$503,(_calc!$E$665-500)))&amp;". ")&amp;IF(LEN(IF(LEN(INDEX('My equipment'!$V$4:$V$503,(_calc!$E$665-500)))=0,"",INDEX('My equipment'!$V$4:$V$503,(_calc!$E$665-500))))=0,"","Proof on file: "&amp;IF(LEN(INDEX('My equipment'!$V$4:$V$503,(_calc!$E$665-500)))=0,"",INDEX('My equipment'!$V$4:$V$503,(_calc!$E$665-500)))&amp;". ")&amp;IF(LEN(IF(LEN(INDEX('My equipment'!$W$4:$W$503,(_calc!$E$665-500)))=0,"",INDEX('My equipment'!$W$4:$W$503,(_calc!$E$665-500))))=0,"","Claim ref: "&amp;IF(LEN(INDEX('My equipment'!$W$4:$W$503,(_calc!$E$665-500)))=0,"",INDEX('My equipment'!$W$4:$W$503,(_calc!$E$665-500)))&amp;". ")&amp;IF(LEN(IF(LEN(INDEX('My equipment'!$Y$4:$Y$503,(_calc!$E$665-500)))=0,"",INDEX('My equipment'!$Y$4:$Y$503,(_calc!$E$665-500))))=0,"",IF(LEN(INDEX('My equipment'!$Y$4:$Y$503,(_calc!$E$665-500)))=0,"",INDEX('My equipment'!$Y$4:$Y$503,(_calc!$E$665-500)))))))</f>
        <v/>
      </c>
      <c r="G663" s="54">
        <f>IF(_calc!$E$665="","",IF(_calc!$E$665&lt;=500,"",IF(LEN(INDEX('My equipment'!$X$4:$X$503,(_calc!$E$665-500)))=0,"",INDEX('My equipment'!$X$4:$X$503,(_calc!$E$665-500)))))</f>
        <v/>
      </c>
      <c r="K663" s="54">
        <f>IF(_calc!$E$665="","",IF(_calc!$E$665&lt;=500,"",IF(LEN(INDEX('My equipment'!$T$4:$T$503,(_calc!$E$665-500)))=0,"",INDEX('My equipment'!$T$4:$T$503,(_calc!$E$665-500)))))</f>
        <v/>
      </c>
    </row>
    <row r="664">
      <c r="A664" s="54">
        <f>IF(_calc!$E$666="","",IF(_calc!$E$666&lt;=500,"Warranty – "&amp;IF(LEN(INDEX('Dealer pipeline'!$C$4:$C$503,_calc!$E$666))=0,"",INDEX('Dealer pipeline'!$C$4:$C$503,_calc!$E$666))&amp;" – "&amp;IF(LEN(INDEX('Dealer pipeline'!$D$4:$D$503,_calc!$E$666))=0,"",INDEX('Dealer pipeline'!$D$4:$D$503,_calc!$E$666))&amp;" – "&amp;IF(LEN(INDEX('Dealer pipeline'!$A$4:$A$503,_calc!$E$666))=0,"",INDEX('Dealer pipeline'!$A$4:$A$503,_calc!$E$666)),"Warranty – "&amp;IF(LEN(INDEX('My equipment'!$A$4:$A$503,(_calc!$E$666-500)))=0,"",INDEX('My equipment'!$A$4:$A$503,(_calc!$E$666-500)))&amp;" – "&amp;IF(LEN(INDEX('My equipment'!$D$4:$D$503,(_calc!$E$666-500)))=0,"",INDEX('My equipment'!$D$4:$D$503,(_calc!$E$666-500)))))</f>
        <v/>
      </c>
      <c r="B664" s="54">
        <f>IF(_calc!$E$666="","",IF(_calc!$E$666&lt;=500,IF(ISNUMBER(INDEX('Dealer pipeline'!$M$4:$M$503,_calc!$E$666)),TEXT(INDEX('Dealer pipeline'!$M$4:$M$503,_calc!$E$666),"yyyy-mm-dd"),""),IF(ISNUMBER(INDEX('My equipment'!$M$4:$M$503,(_calc!$E$666-500))),TEXT(INDEX('My equipment'!$M$4:$M$503,(_calc!$E$666-500)),"yyyy-mm-dd"),"")))</f>
        <v/>
      </c>
      <c r="C664" s="54">
        <f>IF(_calc!$E$666="","",IF(_calc!$E$666&lt;=500,"Warranty","Warranty"))</f>
        <v/>
      </c>
      <c r="D664" s="54">
        <f>IF(_calc!$E$666="","",IF(_calc!$E$666&lt;=500,IF(ISNUMBER(INDEX('Dealer pipeline'!$H$4:$H$503,_calc!$E$666)),TEXT(INDEX('Dealer pipeline'!$H$4:$H$503,_calc!$E$666),"yyyy-mm-dd"),""),IF(ISNUMBER(INDEX('My equipment'!$H$4:$H$503,(_calc!$E$666-500))),TEXT(INDEX('My equipment'!$H$4:$H$503,(_calc!$E$666-500)),"yyyy-mm-dd"),"")))</f>
        <v/>
      </c>
      <c r="F664" s="54">
        <f>IF(_calc!$E$666="","",IF(_calc!$E$666&lt;=500,TRIM(IF(LEN(IF(LEN(INDEX('Dealer pipeline'!$A$4:$A$503,_calc!$E$666))=0,"",INDEX('Dealer pipeline'!$A$4:$A$503,_calc!$E$666)))=0,"","Customer: "&amp;IF(LEN(INDEX('Dealer pipeline'!$A$4:$A$503,_calc!$E$666))=0,"",INDEX('Dealer pipeline'!$A$4:$A$503,_calc!$E$666))&amp;". ")&amp;IF(LEN(IF(LEN(INDEX('Dealer pipeline'!$B$4:$B$503,_calc!$E$666))=0,"",INDEX('Dealer pipeline'!$B$4:$B$503,_calc!$E$666)))=0,"","Contact: "&amp;IF(LEN(INDEX('Dealer pipeline'!$B$4:$B$503,_calc!$E$666))=0,"",INDEX('Dealer pipeline'!$B$4:$B$503,_calc!$E$666))&amp;". ")&amp;IF(LEN(IF(LEN(INDEX('Dealer pipeline'!$D$4:$D$503,_calc!$E$666))=0,"",INDEX('Dealer pipeline'!$D$4:$D$503,_calc!$E$666)))=0,"","Serial: "&amp;IF(LEN(INDEX('Dealer pipeline'!$D$4:$D$503,_calc!$E$666))=0,"",INDEX('Dealer pipeline'!$D$4:$D$503,_calc!$E$666))&amp;". ")&amp;IF(LEN(IF(ISNUMBER(INDEX('Dealer pipeline'!$J$4:$J$503,_calc!$E$666)),TEXT(INDEX('Dealer pipeline'!$J$4:$J$503,_calc!$E$666),"yyyy-mm-dd"),""))=0,"","Parts end: "&amp;IF(ISNUMBER(INDEX('Dealer pipeline'!$J$4:$J$503,_calc!$E$666)),TEXT(INDEX('Dealer pipeline'!$J$4:$J$503,_calc!$E$666),"yyyy-mm-dd"),"")&amp;". ")&amp;IF(LEN(IF(ISNUMBER(INDEX('Dealer pipeline'!$L$4:$L$503,_calc!$E$666)),TEXT(INDEX('Dealer pipeline'!$L$4:$L$503,_calc!$E$666),"yyyy-mm-dd"),""))=0,"","Labor end: "&amp;IF(ISNUMBER(INDEX('Dealer pipeline'!$L$4:$L$503,_calc!$E$666)),TEXT(INDEX('Dealer pipeline'!$L$4:$L$503,_calc!$E$666),"yyyy-mm-dd"),"")&amp;". ")&amp;IF(LEN(IF(LEN(INDEX('Dealer pipeline'!$Q$4:$Q$503,_calc!$E$666))=0,"",INDEX('Dealer pipeline'!$Q$4:$Q$503,_calc!$E$666)))=0,"","Status: "&amp;IF(LEN(INDEX('Dealer pipeline'!$Q$4:$Q$503,_calc!$E$666))=0,"",INDEX('Dealer pipeline'!$Q$4:$Q$503,_calc!$E$666))&amp;". ")&amp;IF(LEN(IF(LEN(INDEX('Dealer pipeline'!$P$4:$P$503,_calc!$E$666))=0,"",INDEX('Dealer pipeline'!$P$4:$P$503,_calc!$E$666)))=0,"","Last touch: "&amp;IF(LEN(INDEX('Dealer pipeline'!$P$4:$P$503,_calc!$E$666))=0,"",INDEX('Dealer pipeline'!$P$4:$P$503,_calc!$E$666))&amp;". ")&amp;IF(LEN(IF(LEN(INDEX('Dealer pipeline'!$R$4:$R$503,_calc!$E$666))=0,"",INDEX('Dealer pipeline'!$R$4:$R$503,_calc!$E$666)))=0,"","Owner: "&amp;IF(LEN(INDEX('Dealer pipeline'!$R$4:$R$503,_calc!$E$666))=0,"",INDEX('Dealer pipeline'!$R$4:$R$503,_calc!$E$666))&amp;". ")&amp;IF(LEN(IF(LEN(INDEX('Dealer pipeline'!$S$4:$S$503,_calc!$E$666))=0,"",INDEX('Dealer pipeline'!$S$4:$S$503,_calc!$E$666)))=0,"","Backup: "&amp;IF(LEN(INDEX('Dealer pipeline'!$S$4:$S$503,_calc!$E$666))=0,"",INDEX('Dealer pipeline'!$S$4:$S$503,_calc!$E$666))&amp;". ")&amp;IF(LEN(IF(LEN(INDEX('Dealer pipeline'!$T$4:$T$503,_calc!$E$666))=0,"",INDEX('Dealer pipeline'!$T$4:$T$503,_calc!$E$666)))=0,"",IF(LEN(INDEX('Dealer pipeline'!$T$4:$T$503,_calc!$E$666))=0,"",INDEX('Dealer pipeline'!$T$4:$T$503,_calc!$E$666)))),TRIM(IF(LEN(IF(LEN(INDEX('My equipment'!$C$4:$C$503,(_calc!$E$666-500)))=0,"",INDEX('My equipment'!$C$4:$C$503,(_calc!$E$666-500))))=0,"","Model: "&amp;IF(LEN(INDEX('My equipment'!$C$4:$C$503,(_calc!$E$666-500)))=0,"",INDEX('My equipment'!$C$4:$C$503,(_calc!$E$666-500)))&amp;". ")&amp;IF(LEN(IF(LEN(INDEX('My equipment'!$D$4:$D$503,(_calc!$E$666-500)))=0,"",INDEX('My equipment'!$D$4:$D$503,(_calc!$E$666-500))))=0,"","Serial: "&amp;IF(LEN(INDEX('My equipment'!$D$4:$D$503,(_calc!$E$666-500)))=0,"",INDEX('My equipment'!$D$4:$D$503,(_calc!$E$666-500)))&amp;". ")&amp;IF(LEN(IF(ISNUMBER(INDEX('My equipment'!$J$4:$J$503,(_calc!$E$666-500))),TEXT(INDEX('My equipment'!$J$4:$J$503,(_calc!$E$666-500)),"yyyy-mm-dd"),""))=0,"","Parts end: "&amp;IF(ISNUMBER(INDEX('My equipment'!$J$4:$J$503,(_calc!$E$666-500))),TEXT(INDEX('My equipment'!$J$4:$J$503,(_calc!$E$666-500)),"yyyy-mm-dd"),"")&amp;". ")&amp;IF(LEN(IF(ISNUMBER(INDEX('My equipment'!$L$4:$L$503,(_calc!$E$666-500))),TEXT(INDEX('My equipment'!$L$4:$L$503,(_calc!$E$666-500)),"yyyy-mm-dd"),""))=0,"","Labor end: "&amp;IF(ISNUMBER(INDEX('My equipment'!$L$4:$L$503,(_calc!$E$666-500))),TEXT(INDEX('My equipment'!$L$4:$L$503,(_calc!$E$666-500)),"yyyy-mm-dd"),"")&amp;". ")&amp;IF(LEN(IF(ISNUMBER(INDEX('My equipment'!$P$4:$P$503,(_calc!$E$666-500))),TEXT(INDEX('My equipment'!$P$4:$P$503,(_calc!$E$666-500)),"yyyy-mm-dd"),""))=0,"","Check by: "&amp;IF(ISNUMBER(INDEX('My equipment'!$P$4:$P$503,(_calc!$E$666-500))),TEXT(INDEX('My equipment'!$P$4:$P$503,(_calc!$E$666-500)),"yyyy-mm-dd"),"")&amp;". ")&amp;IF(LEN(IF(LEN(INDEX('My equipment'!$Q$4:$Q$503,(_calc!$E$666-500)))=0,"",INDEX('My equipment'!$Q$4:$Q$503,(_calc!$E$666-500))))=0,"","Claim status: "&amp;IF(LEN(INDEX('My equipment'!$Q$4:$Q$503,(_calc!$E$666-500)))=0,"",INDEX('My equipment'!$Q$4:$Q$503,(_calc!$E$666-500)))&amp;". ")&amp;IF(LEN(IF(LEN(INDEX('My equipment'!$R$4:$R$503,(_calc!$E$666-500)))=0,"",INDEX('My equipment'!$R$4:$R$503,(_calc!$E$666-500))))=0,"","Claims contact: "&amp;IF(LEN(INDEX('My equipment'!$R$4:$R$503,(_calc!$E$666-500)))=0,"",INDEX('My equipment'!$R$4:$R$503,(_calc!$E$666-500)))&amp;". ")&amp;IF(LEN(IF(LEN(INDEX('My equipment'!$S$4:$S$503,(_calc!$E$666-500)))=0,"",INDEX('My equipment'!$S$4:$S$503,(_calc!$E$666-500))))=0,"","Claims email: "&amp;IF(LEN(INDEX('My equipment'!$S$4:$S$503,(_calc!$E$666-500)))=0,"",INDEX('My equipment'!$S$4:$S$503,(_calc!$E$666-500)))&amp;". ")&amp;IF(LEN(IF(LEN(INDEX('My equipment'!$U$4:$U$503,(_calc!$E$666-500)))=0,"",INDEX('My equipment'!$U$4:$U$503,(_calc!$E$666-500))))=0,"","Registered: "&amp;IF(LEN(INDEX('My equipment'!$U$4:$U$503,(_calc!$E$666-500)))=0,"",INDEX('My equipment'!$U$4:$U$503,(_calc!$E$666-500)))&amp;". ")&amp;IF(LEN(IF(LEN(INDEX('My equipment'!$V$4:$V$503,(_calc!$E$666-500)))=0,"",INDEX('My equipment'!$V$4:$V$503,(_calc!$E$666-500))))=0,"","Proof on file: "&amp;IF(LEN(INDEX('My equipment'!$V$4:$V$503,(_calc!$E$666-500)))=0,"",INDEX('My equipment'!$V$4:$V$503,(_calc!$E$666-500)))&amp;". ")&amp;IF(LEN(IF(LEN(INDEX('My equipment'!$W$4:$W$503,(_calc!$E$666-500)))=0,"",INDEX('My equipment'!$W$4:$W$503,(_calc!$E$666-500))))=0,"","Claim ref: "&amp;IF(LEN(INDEX('My equipment'!$W$4:$W$503,(_calc!$E$666-500)))=0,"",INDEX('My equipment'!$W$4:$W$503,(_calc!$E$666-500)))&amp;". ")&amp;IF(LEN(IF(LEN(INDEX('My equipment'!$Y$4:$Y$503,(_calc!$E$666-500)))=0,"",INDEX('My equipment'!$Y$4:$Y$503,(_calc!$E$666-500))))=0,"",IF(LEN(INDEX('My equipment'!$Y$4:$Y$503,(_calc!$E$666-500)))=0,"",INDEX('My equipment'!$Y$4:$Y$503,(_calc!$E$666-500)))))))</f>
        <v/>
      </c>
      <c r="G664" s="54">
        <f>IF(_calc!$E$666="","",IF(_calc!$E$666&lt;=500,"",IF(LEN(INDEX('My equipment'!$X$4:$X$503,(_calc!$E$666-500)))=0,"",INDEX('My equipment'!$X$4:$X$503,(_calc!$E$666-500)))))</f>
        <v/>
      </c>
      <c r="K664" s="54">
        <f>IF(_calc!$E$666="","",IF(_calc!$E$666&lt;=500,"",IF(LEN(INDEX('My equipment'!$T$4:$T$503,(_calc!$E$666-500)))=0,"",INDEX('My equipment'!$T$4:$T$503,(_calc!$E$666-500)))))</f>
        <v/>
      </c>
    </row>
    <row r="665">
      <c r="A665" s="54">
        <f>IF(_calc!$E$667="","",IF(_calc!$E$667&lt;=500,"Warranty – "&amp;IF(LEN(INDEX('Dealer pipeline'!$C$4:$C$503,_calc!$E$667))=0,"",INDEX('Dealer pipeline'!$C$4:$C$503,_calc!$E$667))&amp;" – "&amp;IF(LEN(INDEX('Dealer pipeline'!$D$4:$D$503,_calc!$E$667))=0,"",INDEX('Dealer pipeline'!$D$4:$D$503,_calc!$E$667))&amp;" – "&amp;IF(LEN(INDEX('Dealer pipeline'!$A$4:$A$503,_calc!$E$667))=0,"",INDEX('Dealer pipeline'!$A$4:$A$503,_calc!$E$667)),"Warranty – "&amp;IF(LEN(INDEX('My equipment'!$A$4:$A$503,(_calc!$E$667-500)))=0,"",INDEX('My equipment'!$A$4:$A$503,(_calc!$E$667-500)))&amp;" – "&amp;IF(LEN(INDEX('My equipment'!$D$4:$D$503,(_calc!$E$667-500)))=0,"",INDEX('My equipment'!$D$4:$D$503,(_calc!$E$667-500)))))</f>
        <v/>
      </c>
      <c r="B665" s="54">
        <f>IF(_calc!$E$667="","",IF(_calc!$E$667&lt;=500,IF(ISNUMBER(INDEX('Dealer pipeline'!$M$4:$M$503,_calc!$E$667)),TEXT(INDEX('Dealer pipeline'!$M$4:$M$503,_calc!$E$667),"yyyy-mm-dd"),""),IF(ISNUMBER(INDEX('My equipment'!$M$4:$M$503,(_calc!$E$667-500))),TEXT(INDEX('My equipment'!$M$4:$M$503,(_calc!$E$667-500)),"yyyy-mm-dd"),"")))</f>
        <v/>
      </c>
      <c r="C665" s="54">
        <f>IF(_calc!$E$667="","",IF(_calc!$E$667&lt;=500,"Warranty","Warranty"))</f>
        <v/>
      </c>
      <c r="D665" s="54">
        <f>IF(_calc!$E$667="","",IF(_calc!$E$667&lt;=500,IF(ISNUMBER(INDEX('Dealer pipeline'!$H$4:$H$503,_calc!$E$667)),TEXT(INDEX('Dealer pipeline'!$H$4:$H$503,_calc!$E$667),"yyyy-mm-dd"),""),IF(ISNUMBER(INDEX('My equipment'!$H$4:$H$503,(_calc!$E$667-500))),TEXT(INDEX('My equipment'!$H$4:$H$503,(_calc!$E$667-500)),"yyyy-mm-dd"),"")))</f>
        <v/>
      </c>
      <c r="F665" s="54">
        <f>IF(_calc!$E$667="","",IF(_calc!$E$667&lt;=500,TRIM(IF(LEN(IF(LEN(INDEX('Dealer pipeline'!$A$4:$A$503,_calc!$E$667))=0,"",INDEX('Dealer pipeline'!$A$4:$A$503,_calc!$E$667)))=0,"","Customer: "&amp;IF(LEN(INDEX('Dealer pipeline'!$A$4:$A$503,_calc!$E$667))=0,"",INDEX('Dealer pipeline'!$A$4:$A$503,_calc!$E$667))&amp;". ")&amp;IF(LEN(IF(LEN(INDEX('Dealer pipeline'!$B$4:$B$503,_calc!$E$667))=0,"",INDEX('Dealer pipeline'!$B$4:$B$503,_calc!$E$667)))=0,"","Contact: "&amp;IF(LEN(INDEX('Dealer pipeline'!$B$4:$B$503,_calc!$E$667))=0,"",INDEX('Dealer pipeline'!$B$4:$B$503,_calc!$E$667))&amp;". ")&amp;IF(LEN(IF(LEN(INDEX('Dealer pipeline'!$D$4:$D$503,_calc!$E$667))=0,"",INDEX('Dealer pipeline'!$D$4:$D$503,_calc!$E$667)))=0,"","Serial: "&amp;IF(LEN(INDEX('Dealer pipeline'!$D$4:$D$503,_calc!$E$667))=0,"",INDEX('Dealer pipeline'!$D$4:$D$503,_calc!$E$667))&amp;". ")&amp;IF(LEN(IF(ISNUMBER(INDEX('Dealer pipeline'!$J$4:$J$503,_calc!$E$667)),TEXT(INDEX('Dealer pipeline'!$J$4:$J$503,_calc!$E$667),"yyyy-mm-dd"),""))=0,"","Parts end: "&amp;IF(ISNUMBER(INDEX('Dealer pipeline'!$J$4:$J$503,_calc!$E$667)),TEXT(INDEX('Dealer pipeline'!$J$4:$J$503,_calc!$E$667),"yyyy-mm-dd"),"")&amp;". ")&amp;IF(LEN(IF(ISNUMBER(INDEX('Dealer pipeline'!$L$4:$L$503,_calc!$E$667)),TEXT(INDEX('Dealer pipeline'!$L$4:$L$503,_calc!$E$667),"yyyy-mm-dd"),""))=0,"","Labor end: "&amp;IF(ISNUMBER(INDEX('Dealer pipeline'!$L$4:$L$503,_calc!$E$667)),TEXT(INDEX('Dealer pipeline'!$L$4:$L$503,_calc!$E$667),"yyyy-mm-dd"),"")&amp;". ")&amp;IF(LEN(IF(LEN(INDEX('Dealer pipeline'!$Q$4:$Q$503,_calc!$E$667))=0,"",INDEX('Dealer pipeline'!$Q$4:$Q$503,_calc!$E$667)))=0,"","Status: "&amp;IF(LEN(INDEX('Dealer pipeline'!$Q$4:$Q$503,_calc!$E$667))=0,"",INDEX('Dealer pipeline'!$Q$4:$Q$503,_calc!$E$667))&amp;". ")&amp;IF(LEN(IF(LEN(INDEX('Dealer pipeline'!$P$4:$P$503,_calc!$E$667))=0,"",INDEX('Dealer pipeline'!$P$4:$P$503,_calc!$E$667)))=0,"","Last touch: "&amp;IF(LEN(INDEX('Dealer pipeline'!$P$4:$P$503,_calc!$E$667))=0,"",INDEX('Dealer pipeline'!$P$4:$P$503,_calc!$E$667))&amp;". ")&amp;IF(LEN(IF(LEN(INDEX('Dealer pipeline'!$R$4:$R$503,_calc!$E$667))=0,"",INDEX('Dealer pipeline'!$R$4:$R$503,_calc!$E$667)))=0,"","Owner: "&amp;IF(LEN(INDEX('Dealer pipeline'!$R$4:$R$503,_calc!$E$667))=0,"",INDEX('Dealer pipeline'!$R$4:$R$503,_calc!$E$667))&amp;". ")&amp;IF(LEN(IF(LEN(INDEX('Dealer pipeline'!$S$4:$S$503,_calc!$E$667))=0,"",INDEX('Dealer pipeline'!$S$4:$S$503,_calc!$E$667)))=0,"","Backup: "&amp;IF(LEN(INDEX('Dealer pipeline'!$S$4:$S$503,_calc!$E$667))=0,"",INDEX('Dealer pipeline'!$S$4:$S$503,_calc!$E$667))&amp;". ")&amp;IF(LEN(IF(LEN(INDEX('Dealer pipeline'!$T$4:$T$503,_calc!$E$667))=0,"",INDEX('Dealer pipeline'!$T$4:$T$503,_calc!$E$667)))=0,"",IF(LEN(INDEX('Dealer pipeline'!$T$4:$T$503,_calc!$E$667))=0,"",INDEX('Dealer pipeline'!$T$4:$T$503,_calc!$E$667)))),TRIM(IF(LEN(IF(LEN(INDEX('My equipment'!$C$4:$C$503,(_calc!$E$667-500)))=0,"",INDEX('My equipment'!$C$4:$C$503,(_calc!$E$667-500))))=0,"","Model: "&amp;IF(LEN(INDEX('My equipment'!$C$4:$C$503,(_calc!$E$667-500)))=0,"",INDEX('My equipment'!$C$4:$C$503,(_calc!$E$667-500)))&amp;". ")&amp;IF(LEN(IF(LEN(INDEX('My equipment'!$D$4:$D$503,(_calc!$E$667-500)))=0,"",INDEX('My equipment'!$D$4:$D$503,(_calc!$E$667-500))))=0,"","Serial: "&amp;IF(LEN(INDEX('My equipment'!$D$4:$D$503,(_calc!$E$667-500)))=0,"",INDEX('My equipment'!$D$4:$D$503,(_calc!$E$667-500)))&amp;". ")&amp;IF(LEN(IF(ISNUMBER(INDEX('My equipment'!$J$4:$J$503,(_calc!$E$667-500))),TEXT(INDEX('My equipment'!$J$4:$J$503,(_calc!$E$667-500)),"yyyy-mm-dd"),""))=0,"","Parts end: "&amp;IF(ISNUMBER(INDEX('My equipment'!$J$4:$J$503,(_calc!$E$667-500))),TEXT(INDEX('My equipment'!$J$4:$J$503,(_calc!$E$667-500)),"yyyy-mm-dd"),"")&amp;". ")&amp;IF(LEN(IF(ISNUMBER(INDEX('My equipment'!$L$4:$L$503,(_calc!$E$667-500))),TEXT(INDEX('My equipment'!$L$4:$L$503,(_calc!$E$667-500)),"yyyy-mm-dd"),""))=0,"","Labor end: "&amp;IF(ISNUMBER(INDEX('My equipment'!$L$4:$L$503,(_calc!$E$667-500))),TEXT(INDEX('My equipment'!$L$4:$L$503,(_calc!$E$667-500)),"yyyy-mm-dd"),"")&amp;". ")&amp;IF(LEN(IF(ISNUMBER(INDEX('My equipment'!$P$4:$P$503,(_calc!$E$667-500))),TEXT(INDEX('My equipment'!$P$4:$P$503,(_calc!$E$667-500)),"yyyy-mm-dd"),""))=0,"","Check by: "&amp;IF(ISNUMBER(INDEX('My equipment'!$P$4:$P$503,(_calc!$E$667-500))),TEXT(INDEX('My equipment'!$P$4:$P$503,(_calc!$E$667-500)),"yyyy-mm-dd"),"")&amp;". ")&amp;IF(LEN(IF(LEN(INDEX('My equipment'!$Q$4:$Q$503,(_calc!$E$667-500)))=0,"",INDEX('My equipment'!$Q$4:$Q$503,(_calc!$E$667-500))))=0,"","Claim status: "&amp;IF(LEN(INDEX('My equipment'!$Q$4:$Q$503,(_calc!$E$667-500)))=0,"",INDEX('My equipment'!$Q$4:$Q$503,(_calc!$E$667-500)))&amp;". ")&amp;IF(LEN(IF(LEN(INDEX('My equipment'!$R$4:$R$503,(_calc!$E$667-500)))=0,"",INDEX('My equipment'!$R$4:$R$503,(_calc!$E$667-500))))=0,"","Claims contact: "&amp;IF(LEN(INDEX('My equipment'!$R$4:$R$503,(_calc!$E$667-500)))=0,"",INDEX('My equipment'!$R$4:$R$503,(_calc!$E$667-500)))&amp;". ")&amp;IF(LEN(IF(LEN(INDEX('My equipment'!$S$4:$S$503,(_calc!$E$667-500)))=0,"",INDEX('My equipment'!$S$4:$S$503,(_calc!$E$667-500))))=0,"","Claims email: "&amp;IF(LEN(INDEX('My equipment'!$S$4:$S$503,(_calc!$E$667-500)))=0,"",INDEX('My equipment'!$S$4:$S$503,(_calc!$E$667-500)))&amp;". ")&amp;IF(LEN(IF(LEN(INDEX('My equipment'!$U$4:$U$503,(_calc!$E$667-500)))=0,"",INDEX('My equipment'!$U$4:$U$503,(_calc!$E$667-500))))=0,"","Registered: "&amp;IF(LEN(INDEX('My equipment'!$U$4:$U$503,(_calc!$E$667-500)))=0,"",INDEX('My equipment'!$U$4:$U$503,(_calc!$E$667-500)))&amp;". ")&amp;IF(LEN(IF(LEN(INDEX('My equipment'!$V$4:$V$503,(_calc!$E$667-500)))=0,"",INDEX('My equipment'!$V$4:$V$503,(_calc!$E$667-500))))=0,"","Proof on file: "&amp;IF(LEN(INDEX('My equipment'!$V$4:$V$503,(_calc!$E$667-500)))=0,"",INDEX('My equipment'!$V$4:$V$503,(_calc!$E$667-500)))&amp;". ")&amp;IF(LEN(IF(LEN(INDEX('My equipment'!$W$4:$W$503,(_calc!$E$667-500)))=0,"",INDEX('My equipment'!$W$4:$W$503,(_calc!$E$667-500))))=0,"","Claim ref: "&amp;IF(LEN(INDEX('My equipment'!$W$4:$W$503,(_calc!$E$667-500)))=0,"",INDEX('My equipment'!$W$4:$W$503,(_calc!$E$667-500)))&amp;". ")&amp;IF(LEN(IF(LEN(INDEX('My equipment'!$Y$4:$Y$503,(_calc!$E$667-500)))=0,"",INDEX('My equipment'!$Y$4:$Y$503,(_calc!$E$667-500))))=0,"",IF(LEN(INDEX('My equipment'!$Y$4:$Y$503,(_calc!$E$667-500)))=0,"",INDEX('My equipment'!$Y$4:$Y$503,(_calc!$E$667-500)))))))</f>
        <v/>
      </c>
      <c r="G665" s="54">
        <f>IF(_calc!$E$667="","",IF(_calc!$E$667&lt;=500,"",IF(LEN(INDEX('My equipment'!$X$4:$X$503,(_calc!$E$667-500)))=0,"",INDEX('My equipment'!$X$4:$X$503,(_calc!$E$667-500)))))</f>
        <v/>
      </c>
      <c r="K665" s="54">
        <f>IF(_calc!$E$667="","",IF(_calc!$E$667&lt;=500,"",IF(LEN(INDEX('My equipment'!$T$4:$T$503,(_calc!$E$667-500)))=0,"",INDEX('My equipment'!$T$4:$T$503,(_calc!$E$667-500)))))</f>
        <v/>
      </c>
    </row>
    <row r="666">
      <c r="A666" s="54">
        <f>IF(_calc!$E$668="","",IF(_calc!$E$668&lt;=500,"Warranty – "&amp;IF(LEN(INDEX('Dealer pipeline'!$C$4:$C$503,_calc!$E$668))=0,"",INDEX('Dealer pipeline'!$C$4:$C$503,_calc!$E$668))&amp;" – "&amp;IF(LEN(INDEX('Dealer pipeline'!$D$4:$D$503,_calc!$E$668))=0,"",INDEX('Dealer pipeline'!$D$4:$D$503,_calc!$E$668))&amp;" – "&amp;IF(LEN(INDEX('Dealer pipeline'!$A$4:$A$503,_calc!$E$668))=0,"",INDEX('Dealer pipeline'!$A$4:$A$503,_calc!$E$668)),"Warranty – "&amp;IF(LEN(INDEX('My equipment'!$A$4:$A$503,(_calc!$E$668-500)))=0,"",INDEX('My equipment'!$A$4:$A$503,(_calc!$E$668-500)))&amp;" – "&amp;IF(LEN(INDEX('My equipment'!$D$4:$D$503,(_calc!$E$668-500)))=0,"",INDEX('My equipment'!$D$4:$D$503,(_calc!$E$668-500)))))</f>
        <v/>
      </c>
      <c r="B666" s="54">
        <f>IF(_calc!$E$668="","",IF(_calc!$E$668&lt;=500,IF(ISNUMBER(INDEX('Dealer pipeline'!$M$4:$M$503,_calc!$E$668)),TEXT(INDEX('Dealer pipeline'!$M$4:$M$503,_calc!$E$668),"yyyy-mm-dd"),""),IF(ISNUMBER(INDEX('My equipment'!$M$4:$M$503,(_calc!$E$668-500))),TEXT(INDEX('My equipment'!$M$4:$M$503,(_calc!$E$668-500)),"yyyy-mm-dd"),"")))</f>
        <v/>
      </c>
      <c r="C666" s="54">
        <f>IF(_calc!$E$668="","",IF(_calc!$E$668&lt;=500,"Warranty","Warranty"))</f>
        <v/>
      </c>
      <c r="D666" s="54">
        <f>IF(_calc!$E$668="","",IF(_calc!$E$668&lt;=500,IF(ISNUMBER(INDEX('Dealer pipeline'!$H$4:$H$503,_calc!$E$668)),TEXT(INDEX('Dealer pipeline'!$H$4:$H$503,_calc!$E$668),"yyyy-mm-dd"),""),IF(ISNUMBER(INDEX('My equipment'!$H$4:$H$503,(_calc!$E$668-500))),TEXT(INDEX('My equipment'!$H$4:$H$503,(_calc!$E$668-500)),"yyyy-mm-dd"),"")))</f>
        <v/>
      </c>
      <c r="F666" s="54">
        <f>IF(_calc!$E$668="","",IF(_calc!$E$668&lt;=500,TRIM(IF(LEN(IF(LEN(INDEX('Dealer pipeline'!$A$4:$A$503,_calc!$E$668))=0,"",INDEX('Dealer pipeline'!$A$4:$A$503,_calc!$E$668)))=0,"","Customer: "&amp;IF(LEN(INDEX('Dealer pipeline'!$A$4:$A$503,_calc!$E$668))=0,"",INDEX('Dealer pipeline'!$A$4:$A$503,_calc!$E$668))&amp;". ")&amp;IF(LEN(IF(LEN(INDEX('Dealer pipeline'!$B$4:$B$503,_calc!$E$668))=0,"",INDEX('Dealer pipeline'!$B$4:$B$503,_calc!$E$668)))=0,"","Contact: "&amp;IF(LEN(INDEX('Dealer pipeline'!$B$4:$B$503,_calc!$E$668))=0,"",INDEX('Dealer pipeline'!$B$4:$B$503,_calc!$E$668))&amp;". ")&amp;IF(LEN(IF(LEN(INDEX('Dealer pipeline'!$D$4:$D$503,_calc!$E$668))=0,"",INDEX('Dealer pipeline'!$D$4:$D$503,_calc!$E$668)))=0,"","Serial: "&amp;IF(LEN(INDEX('Dealer pipeline'!$D$4:$D$503,_calc!$E$668))=0,"",INDEX('Dealer pipeline'!$D$4:$D$503,_calc!$E$668))&amp;". ")&amp;IF(LEN(IF(ISNUMBER(INDEX('Dealer pipeline'!$J$4:$J$503,_calc!$E$668)),TEXT(INDEX('Dealer pipeline'!$J$4:$J$503,_calc!$E$668),"yyyy-mm-dd"),""))=0,"","Parts end: "&amp;IF(ISNUMBER(INDEX('Dealer pipeline'!$J$4:$J$503,_calc!$E$668)),TEXT(INDEX('Dealer pipeline'!$J$4:$J$503,_calc!$E$668),"yyyy-mm-dd"),"")&amp;". ")&amp;IF(LEN(IF(ISNUMBER(INDEX('Dealer pipeline'!$L$4:$L$503,_calc!$E$668)),TEXT(INDEX('Dealer pipeline'!$L$4:$L$503,_calc!$E$668),"yyyy-mm-dd"),""))=0,"","Labor end: "&amp;IF(ISNUMBER(INDEX('Dealer pipeline'!$L$4:$L$503,_calc!$E$668)),TEXT(INDEX('Dealer pipeline'!$L$4:$L$503,_calc!$E$668),"yyyy-mm-dd"),"")&amp;". ")&amp;IF(LEN(IF(LEN(INDEX('Dealer pipeline'!$Q$4:$Q$503,_calc!$E$668))=0,"",INDEX('Dealer pipeline'!$Q$4:$Q$503,_calc!$E$668)))=0,"","Status: "&amp;IF(LEN(INDEX('Dealer pipeline'!$Q$4:$Q$503,_calc!$E$668))=0,"",INDEX('Dealer pipeline'!$Q$4:$Q$503,_calc!$E$668))&amp;". ")&amp;IF(LEN(IF(LEN(INDEX('Dealer pipeline'!$P$4:$P$503,_calc!$E$668))=0,"",INDEX('Dealer pipeline'!$P$4:$P$503,_calc!$E$668)))=0,"","Last touch: "&amp;IF(LEN(INDEX('Dealer pipeline'!$P$4:$P$503,_calc!$E$668))=0,"",INDEX('Dealer pipeline'!$P$4:$P$503,_calc!$E$668))&amp;". ")&amp;IF(LEN(IF(LEN(INDEX('Dealer pipeline'!$R$4:$R$503,_calc!$E$668))=0,"",INDEX('Dealer pipeline'!$R$4:$R$503,_calc!$E$668)))=0,"","Owner: "&amp;IF(LEN(INDEX('Dealer pipeline'!$R$4:$R$503,_calc!$E$668))=0,"",INDEX('Dealer pipeline'!$R$4:$R$503,_calc!$E$668))&amp;". ")&amp;IF(LEN(IF(LEN(INDEX('Dealer pipeline'!$S$4:$S$503,_calc!$E$668))=0,"",INDEX('Dealer pipeline'!$S$4:$S$503,_calc!$E$668)))=0,"","Backup: "&amp;IF(LEN(INDEX('Dealer pipeline'!$S$4:$S$503,_calc!$E$668))=0,"",INDEX('Dealer pipeline'!$S$4:$S$503,_calc!$E$668))&amp;". ")&amp;IF(LEN(IF(LEN(INDEX('Dealer pipeline'!$T$4:$T$503,_calc!$E$668))=0,"",INDEX('Dealer pipeline'!$T$4:$T$503,_calc!$E$668)))=0,"",IF(LEN(INDEX('Dealer pipeline'!$T$4:$T$503,_calc!$E$668))=0,"",INDEX('Dealer pipeline'!$T$4:$T$503,_calc!$E$668)))),TRIM(IF(LEN(IF(LEN(INDEX('My equipment'!$C$4:$C$503,(_calc!$E$668-500)))=0,"",INDEX('My equipment'!$C$4:$C$503,(_calc!$E$668-500))))=0,"","Model: "&amp;IF(LEN(INDEX('My equipment'!$C$4:$C$503,(_calc!$E$668-500)))=0,"",INDEX('My equipment'!$C$4:$C$503,(_calc!$E$668-500)))&amp;". ")&amp;IF(LEN(IF(LEN(INDEX('My equipment'!$D$4:$D$503,(_calc!$E$668-500)))=0,"",INDEX('My equipment'!$D$4:$D$503,(_calc!$E$668-500))))=0,"","Serial: "&amp;IF(LEN(INDEX('My equipment'!$D$4:$D$503,(_calc!$E$668-500)))=0,"",INDEX('My equipment'!$D$4:$D$503,(_calc!$E$668-500)))&amp;". ")&amp;IF(LEN(IF(ISNUMBER(INDEX('My equipment'!$J$4:$J$503,(_calc!$E$668-500))),TEXT(INDEX('My equipment'!$J$4:$J$503,(_calc!$E$668-500)),"yyyy-mm-dd"),""))=0,"","Parts end: "&amp;IF(ISNUMBER(INDEX('My equipment'!$J$4:$J$503,(_calc!$E$668-500))),TEXT(INDEX('My equipment'!$J$4:$J$503,(_calc!$E$668-500)),"yyyy-mm-dd"),"")&amp;". ")&amp;IF(LEN(IF(ISNUMBER(INDEX('My equipment'!$L$4:$L$503,(_calc!$E$668-500))),TEXT(INDEX('My equipment'!$L$4:$L$503,(_calc!$E$668-500)),"yyyy-mm-dd"),""))=0,"","Labor end: "&amp;IF(ISNUMBER(INDEX('My equipment'!$L$4:$L$503,(_calc!$E$668-500))),TEXT(INDEX('My equipment'!$L$4:$L$503,(_calc!$E$668-500)),"yyyy-mm-dd"),"")&amp;". ")&amp;IF(LEN(IF(ISNUMBER(INDEX('My equipment'!$P$4:$P$503,(_calc!$E$668-500))),TEXT(INDEX('My equipment'!$P$4:$P$503,(_calc!$E$668-500)),"yyyy-mm-dd"),""))=0,"","Check by: "&amp;IF(ISNUMBER(INDEX('My equipment'!$P$4:$P$503,(_calc!$E$668-500))),TEXT(INDEX('My equipment'!$P$4:$P$503,(_calc!$E$668-500)),"yyyy-mm-dd"),"")&amp;". ")&amp;IF(LEN(IF(LEN(INDEX('My equipment'!$Q$4:$Q$503,(_calc!$E$668-500)))=0,"",INDEX('My equipment'!$Q$4:$Q$503,(_calc!$E$668-500))))=0,"","Claim status: "&amp;IF(LEN(INDEX('My equipment'!$Q$4:$Q$503,(_calc!$E$668-500)))=0,"",INDEX('My equipment'!$Q$4:$Q$503,(_calc!$E$668-500)))&amp;". ")&amp;IF(LEN(IF(LEN(INDEX('My equipment'!$R$4:$R$503,(_calc!$E$668-500)))=0,"",INDEX('My equipment'!$R$4:$R$503,(_calc!$E$668-500))))=0,"","Claims contact: "&amp;IF(LEN(INDEX('My equipment'!$R$4:$R$503,(_calc!$E$668-500)))=0,"",INDEX('My equipment'!$R$4:$R$503,(_calc!$E$668-500)))&amp;". ")&amp;IF(LEN(IF(LEN(INDEX('My equipment'!$S$4:$S$503,(_calc!$E$668-500)))=0,"",INDEX('My equipment'!$S$4:$S$503,(_calc!$E$668-500))))=0,"","Claims email: "&amp;IF(LEN(INDEX('My equipment'!$S$4:$S$503,(_calc!$E$668-500)))=0,"",INDEX('My equipment'!$S$4:$S$503,(_calc!$E$668-500)))&amp;". ")&amp;IF(LEN(IF(LEN(INDEX('My equipment'!$U$4:$U$503,(_calc!$E$668-500)))=0,"",INDEX('My equipment'!$U$4:$U$503,(_calc!$E$668-500))))=0,"","Registered: "&amp;IF(LEN(INDEX('My equipment'!$U$4:$U$503,(_calc!$E$668-500)))=0,"",INDEX('My equipment'!$U$4:$U$503,(_calc!$E$668-500)))&amp;". ")&amp;IF(LEN(IF(LEN(INDEX('My equipment'!$V$4:$V$503,(_calc!$E$668-500)))=0,"",INDEX('My equipment'!$V$4:$V$503,(_calc!$E$668-500))))=0,"","Proof on file: "&amp;IF(LEN(INDEX('My equipment'!$V$4:$V$503,(_calc!$E$668-500)))=0,"",INDEX('My equipment'!$V$4:$V$503,(_calc!$E$668-500)))&amp;". ")&amp;IF(LEN(IF(LEN(INDEX('My equipment'!$W$4:$W$503,(_calc!$E$668-500)))=0,"",INDEX('My equipment'!$W$4:$W$503,(_calc!$E$668-500))))=0,"","Claim ref: "&amp;IF(LEN(INDEX('My equipment'!$W$4:$W$503,(_calc!$E$668-500)))=0,"",INDEX('My equipment'!$W$4:$W$503,(_calc!$E$668-500)))&amp;". ")&amp;IF(LEN(IF(LEN(INDEX('My equipment'!$Y$4:$Y$503,(_calc!$E$668-500)))=0,"",INDEX('My equipment'!$Y$4:$Y$503,(_calc!$E$668-500))))=0,"",IF(LEN(INDEX('My equipment'!$Y$4:$Y$503,(_calc!$E$668-500)))=0,"",INDEX('My equipment'!$Y$4:$Y$503,(_calc!$E$668-500)))))))</f>
        <v/>
      </c>
      <c r="G666" s="54">
        <f>IF(_calc!$E$668="","",IF(_calc!$E$668&lt;=500,"",IF(LEN(INDEX('My equipment'!$X$4:$X$503,(_calc!$E$668-500)))=0,"",INDEX('My equipment'!$X$4:$X$503,(_calc!$E$668-500)))))</f>
        <v/>
      </c>
      <c r="K666" s="54">
        <f>IF(_calc!$E$668="","",IF(_calc!$E$668&lt;=500,"",IF(LEN(INDEX('My equipment'!$T$4:$T$503,(_calc!$E$668-500)))=0,"",INDEX('My equipment'!$T$4:$T$503,(_calc!$E$668-500)))))</f>
        <v/>
      </c>
    </row>
    <row r="667">
      <c r="A667" s="54">
        <f>IF(_calc!$E$669="","",IF(_calc!$E$669&lt;=500,"Warranty – "&amp;IF(LEN(INDEX('Dealer pipeline'!$C$4:$C$503,_calc!$E$669))=0,"",INDEX('Dealer pipeline'!$C$4:$C$503,_calc!$E$669))&amp;" – "&amp;IF(LEN(INDEX('Dealer pipeline'!$D$4:$D$503,_calc!$E$669))=0,"",INDEX('Dealer pipeline'!$D$4:$D$503,_calc!$E$669))&amp;" – "&amp;IF(LEN(INDEX('Dealer pipeline'!$A$4:$A$503,_calc!$E$669))=0,"",INDEX('Dealer pipeline'!$A$4:$A$503,_calc!$E$669)),"Warranty – "&amp;IF(LEN(INDEX('My equipment'!$A$4:$A$503,(_calc!$E$669-500)))=0,"",INDEX('My equipment'!$A$4:$A$503,(_calc!$E$669-500)))&amp;" – "&amp;IF(LEN(INDEX('My equipment'!$D$4:$D$503,(_calc!$E$669-500)))=0,"",INDEX('My equipment'!$D$4:$D$503,(_calc!$E$669-500)))))</f>
        <v/>
      </c>
      <c r="B667" s="54">
        <f>IF(_calc!$E$669="","",IF(_calc!$E$669&lt;=500,IF(ISNUMBER(INDEX('Dealer pipeline'!$M$4:$M$503,_calc!$E$669)),TEXT(INDEX('Dealer pipeline'!$M$4:$M$503,_calc!$E$669),"yyyy-mm-dd"),""),IF(ISNUMBER(INDEX('My equipment'!$M$4:$M$503,(_calc!$E$669-500))),TEXT(INDEX('My equipment'!$M$4:$M$503,(_calc!$E$669-500)),"yyyy-mm-dd"),"")))</f>
        <v/>
      </c>
      <c r="C667" s="54">
        <f>IF(_calc!$E$669="","",IF(_calc!$E$669&lt;=500,"Warranty","Warranty"))</f>
        <v/>
      </c>
      <c r="D667" s="54">
        <f>IF(_calc!$E$669="","",IF(_calc!$E$669&lt;=500,IF(ISNUMBER(INDEX('Dealer pipeline'!$H$4:$H$503,_calc!$E$669)),TEXT(INDEX('Dealer pipeline'!$H$4:$H$503,_calc!$E$669),"yyyy-mm-dd"),""),IF(ISNUMBER(INDEX('My equipment'!$H$4:$H$503,(_calc!$E$669-500))),TEXT(INDEX('My equipment'!$H$4:$H$503,(_calc!$E$669-500)),"yyyy-mm-dd"),"")))</f>
        <v/>
      </c>
      <c r="F667" s="54">
        <f>IF(_calc!$E$669="","",IF(_calc!$E$669&lt;=500,TRIM(IF(LEN(IF(LEN(INDEX('Dealer pipeline'!$A$4:$A$503,_calc!$E$669))=0,"",INDEX('Dealer pipeline'!$A$4:$A$503,_calc!$E$669)))=0,"","Customer: "&amp;IF(LEN(INDEX('Dealer pipeline'!$A$4:$A$503,_calc!$E$669))=0,"",INDEX('Dealer pipeline'!$A$4:$A$503,_calc!$E$669))&amp;". ")&amp;IF(LEN(IF(LEN(INDEX('Dealer pipeline'!$B$4:$B$503,_calc!$E$669))=0,"",INDEX('Dealer pipeline'!$B$4:$B$503,_calc!$E$669)))=0,"","Contact: "&amp;IF(LEN(INDEX('Dealer pipeline'!$B$4:$B$503,_calc!$E$669))=0,"",INDEX('Dealer pipeline'!$B$4:$B$503,_calc!$E$669))&amp;". ")&amp;IF(LEN(IF(LEN(INDEX('Dealer pipeline'!$D$4:$D$503,_calc!$E$669))=0,"",INDEX('Dealer pipeline'!$D$4:$D$503,_calc!$E$669)))=0,"","Serial: "&amp;IF(LEN(INDEX('Dealer pipeline'!$D$4:$D$503,_calc!$E$669))=0,"",INDEX('Dealer pipeline'!$D$4:$D$503,_calc!$E$669))&amp;". ")&amp;IF(LEN(IF(ISNUMBER(INDEX('Dealer pipeline'!$J$4:$J$503,_calc!$E$669)),TEXT(INDEX('Dealer pipeline'!$J$4:$J$503,_calc!$E$669),"yyyy-mm-dd"),""))=0,"","Parts end: "&amp;IF(ISNUMBER(INDEX('Dealer pipeline'!$J$4:$J$503,_calc!$E$669)),TEXT(INDEX('Dealer pipeline'!$J$4:$J$503,_calc!$E$669),"yyyy-mm-dd"),"")&amp;". ")&amp;IF(LEN(IF(ISNUMBER(INDEX('Dealer pipeline'!$L$4:$L$503,_calc!$E$669)),TEXT(INDEX('Dealer pipeline'!$L$4:$L$503,_calc!$E$669),"yyyy-mm-dd"),""))=0,"","Labor end: "&amp;IF(ISNUMBER(INDEX('Dealer pipeline'!$L$4:$L$503,_calc!$E$669)),TEXT(INDEX('Dealer pipeline'!$L$4:$L$503,_calc!$E$669),"yyyy-mm-dd"),"")&amp;". ")&amp;IF(LEN(IF(LEN(INDEX('Dealer pipeline'!$Q$4:$Q$503,_calc!$E$669))=0,"",INDEX('Dealer pipeline'!$Q$4:$Q$503,_calc!$E$669)))=0,"","Status: "&amp;IF(LEN(INDEX('Dealer pipeline'!$Q$4:$Q$503,_calc!$E$669))=0,"",INDEX('Dealer pipeline'!$Q$4:$Q$503,_calc!$E$669))&amp;". ")&amp;IF(LEN(IF(LEN(INDEX('Dealer pipeline'!$P$4:$P$503,_calc!$E$669))=0,"",INDEX('Dealer pipeline'!$P$4:$P$503,_calc!$E$669)))=0,"","Last touch: "&amp;IF(LEN(INDEX('Dealer pipeline'!$P$4:$P$503,_calc!$E$669))=0,"",INDEX('Dealer pipeline'!$P$4:$P$503,_calc!$E$669))&amp;". ")&amp;IF(LEN(IF(LEN(INDEX('Dealer pipeline'!$R$4:$R$503,_calc!$E$669))=0,"",INDEX('Dealer pipeline'!$R$4:$R$503,_calc!$E$669)))=0,"","Owner: "&amp;IF(LEN(INDEX('Dealer pipeline'!$R$4:$R$503,_calc!$E$669))=0,"",INDEX('Dealer pipeline'!$R$4:$R$503,_calc!$E$669))&amp;". ")&amp;IF(LEN(IF(LEN(INDEX('Dealer pipeline'!$S$4:$S$503,_calc!$E$669))=0,"",INDEX('Dealer pipeline'!$S$4:$S$503,_calc!$E$669)))=0,"","Backup: "&amp;IF(LEN(INDEX('Dealer pipeline'!$S$4:$S$503,_calc!$E$669))=0,"",INDEX('Dealer pipeline'!$S$4:$S$503,_calc!$E$669))&amp;". ")&amp;IF(LEN(IF(LEN(INDEX('Dealer pipeline'!$T$4:$T$503,_calc!$E$669))=0,"",INDEX('Dealer pipeline'!$T$4:$T$503,_calc!$E$669)))=0,"",IF(LEN(INDEX('Dealer pipeline'!$T$4:$T$503,_calc!$E$669))=0,"",INDEX('Dealer pipeline'!$T$4:$T$503,_calc!$E$669)))),TRIM(IF(LEN(IF(LEN(INDEX('My equipment'!$C$4:$C$503,(_calc!$E$669-500)))=0,"",INDEX('My equipment'!$C$4:$C$503,(_calc!$E$669-500))))=0,"","Model: "&amp;IF(LEN(INDEX('My equipment'!$C$4:$C$503,(_calc!$E$669-500)))=0,"",INDEX('My equipment'!$C$4:$C$503,(_calc!$E$669-500)))&amp;". ")&amp;IF(LEN(IF(LEN(INDEX('My equipment'!$D$4:$D$503,(_calc!$E$669-500)))=0,"",INDEX('My equipment'!$D$4:$D$503,(_calc!$E$669-500))))=0,"","Serial: "&amp;IF(LEN(INDEX('My equipment'!$D$4:$D$503,(_calc!$E$669-500)))=0,"",INDEX('My equipment'!$D$4:$D$503,(_calc!$E$669-500)))&amp;". ")&amp;IF(LEN(IF(ISNUMBER(INDEX('My equipment'!$J$4:$J$503,(_calc!$E$669-500))),TEXT(INDEX('My equipment'!$J$4:$J$503,(_calc!$E$669-500)),"yyyy-mm-dd"),""))=0,"","Parts end: "&amp;IF(ISNUMBER(INDEX('My equipment'!$J$4:$J$503,(_calc!$E$669-500))),TEXT(INDEX('My equipment'!$J$4:$J$503,(_calc!$E$669-500)),"yyyy-mm-dd"),"")&amp;". ")&amp;IF(LEN(IF(ISNUMBER(INDEX('My equipment'!$L$4:$L$503,(_calc!$E$669-500))),TEXT(INDEX('My equipment'!$L$4:$L$503,(_calc!$E$669-500)),"yyyy-mm-dd"),""))=0,"","Labor end: "&amp;IF(ISNUMBER(INDEX('My equipment'!$L$4:$L$503,(_calc!$E$669-500))),TEXT(INDEX('My equipment'!$L$4:$L$503,(_calc!$E$669-500)),"yyyy-mm-dd"),"")&amp;". ")&amp;IF(LEN(IF(ISNUMBER(INDEX('My equipment'!$P$4:$P$503,(_calc!$E$669-500))),TEXT(INDEX('My equipment'!$P$4:$P$503,(_calc!$E$669-500)),"yyyy-mm-dd"),""))=0,"","Check by: "&amp;IF(ISNUMBER(INDEX('My equipment'!$P$4:$P$503,(_calc!$E$669-500))),TEXT(INDEX('My equipment'!$P$4:$P$503,(_calc!$E$669-500)),"yyyy-mm-dd"),"")&amp;". ")&amp;IF(LEN(IF(LEN(INDEX('My equipment'!$Q$4:$Q$503,(_calc!$E$669-500)))=0,"",INDEX('My equipment'!$Q$4:$Q$503,(_calc!$E$669-500))))=0,"","Claim status: "&amp;IF(LEN(INDEX('My equipment'!$Q$4:$Q$503,(_calc!$E$669-500)))=0,"",INDEX('My equipment'!$Q$4:$Q$503,(_calc!$E$669-500)))&amp;". ")&amp;IF(LEN(IF(LEN(INDEX('My equipment'!$R$4:$R$503,(_calc!$E$669-500)))=0,"",INDEX('My equipment'!$R$4:$R$503,(_calc!$E$669-500))))=0,"","Claims contact: "&amp;IF(LEN(INDEX('My equipment'!$R$4:$R$503,(_calc!$E$669-500)))=0,"",INDEX('My equipment'!$R$4:$R$503,(_calc!$E$669-500)))&amp;". ")&amp;IF(LEN(IF(LEN(INDEX('My equipment'!$S$4:$S$503,(_calc!$E$669-500)))=0,"",INDEX('My equipment'!$S$4:$S$503,(_calc!$E$669-500))))=0,"","Claims email: "&amp;IF(LEN(INDEX('My equipment'!$S$4:$S$503,(_calc!$E$669-500)))=0,"",INDEX('My equipment'!$S$4:$S$503,(_calc!$E$669-500)))&amp;". ")&amp;IF(LEN(IF(LEN(INDEX('My equipment'!$U$4:$U$503,(_calc!$E$669-500)))=0,"",INDEX('My equipment'!$U$4:$U$503,(_calc!$E$669-500))))=0,"","Registered: "&amp;IF(LEN(INDEX('My equipment'!$U$4:$U$503,(_calc!$E$669-500)))=0,"",INDEX('My equipment'!$U$4:$U$503,(_calc!$E$669-500)))&amp;". ")&amp;IF(LEN(IF(LEN(INDEX('My equipment'!$V$4:$V$503,(_calc!$E$669-500)))=0,"",INDEX('My equipment'!$V$4:$V$503,(_calc!$E$669-500))))=0,"","Proof on file: "&amp;IF(LEN(INDEX('My equipment'!$V$4:$V$503,(_calc!$E$669-500)))=0,"",INDEX('My equipment'!$V$4:$V$503,(_calc!$E$669-500)))&amp;". ")&amp;IF(LEN(IF(LEN(INDEX('My equipment'!$W$4:$W$503,(_calc!$E$669-500)))=0,"",INDEX('My equipment'!$W$4:$W$503,(_calc!$E$669-500))))=0,"","Claim ref: "&amp;IF(LEN(INDEX('My equipment'!$W$4:$W$503,(_calc!$E$669-500)))=0,"",INDEX('My equipment'!$W$4:$W$503,(_calc!$E$669-500)))&amp;". ")&amp;IF(LEN(IF(LEN(INDEX('My equipment'!$Y$4:$Y$503,(_calc!$E$669-500)))=0,"",INDEX('My equipment'!$Y$4:$Y$503,(_calc!$E$669-500))))=0,"",IF(LEN(INDEX('My equipment'!$Y$4:$Y$503,(_calc!$E$669-500)))=0,"",INDEX('My equipment'!$Y$4:$Y$503,(_calc!$E$669-500)))))))</f>
        <v/>
      </c>
      <c r="G667" s="54">
        <f>IF(_calc!$E$669="","",IF(_calc!$E$669&lt;=500,"",IF(LEN(INDEX('My equipment'!$X$4:$X$503,(_calc!$E$669-500)))=0,"",INDEX('My equipment'!$X$4:$X$503,(_calc!$E$669-500)))))</f>
        <v/>
      </c>
      <c r="K667" s="54">
        <f>IF(_calc!$E$669="","",IF(_calc!$E$669&lt;=500,"",IF(LEN(INDEX('My equipment'!$T$4:$T$503,(_calc!$E$669-500)))=0,"",INDEX('My equipment'!$T$4:$T$503,(_calc!$E$669-500)))))</f>
        <v/>
      </c>
    </row>
    <row r="668">
      <c r="A668" s="54">
        <f>IF(_calc!$E$670="","",IF(_calc!$E$670&lt;=500,"Warranty – "&amp;IF(LEN(INDEX('Dealer pipeline'!$C$4:$C$503,_calc!$E$670))=0,"",INDEX('Dealer pipeline'!$C$4:$C$503,_calc!$E$670))&amp;" – "&amp;IF(LEN(INDEX('Dealer pipeline'!$D$4:$D$503,_calc!$E$670))=0,"",INDEX('Dealer pipeline'!$D$4:$D$503,_calc!$E$670))&amp;" – "&amp;IF(LEN(INDEX('Dealer pipeline'!$A$4:$A$503,_calc!$E$670))=0,"",INDEX('Dealer pipeline'!$A$4:$A$503,_calc!$E$670)),"Warranty – "&amp;IF(LEN(INDEX('My equipment'!$A$4:$A$503,(_calc!$E$670-500)))=0,"",INDEX('My equipment'!$A$4:$A$503,(_calc!$E$670-500)))&amp;" – "&amp;IF(LEN(INDEX('My equipment'!$D$4:$D$503,(_calc!$E$670-500)))=0,"",INDEX('My equipment'!$D$4:$D$503,(_calc!$E$670-500)))))</f>
        <v/>
      </c>
      <c r="B668" s="54">
        <f>IF(_calc!$E$670="","",IF(_calc!$E$670&lt;=500,IF(ISNUMBER(INDEX('Dealer pipeline'!$M$4:$M$503,_calc!$E$670)),TEXT(INDEX('Dealer pipeline'!$M$4:$M$503,_calc!$E$670),"yyyy-mm-dd"),""),IF(ISNUMBER(INDEX('My equipment'!$M$4:$M$503,(_calc!$E$670-500))),TEXT(INDEX('My equipment'!$M$4:$M$503,(_calc!$E$670-500)),"yyyy-mm-dd"),"")))</f>
        <v/>
      </c>
      <c r="C668" s="54">
        <f>IF(_calc!$E$670="","",IF(_calc!$E$670&lt;=500,"Warranty","Warranty"))</f>
        <v/>
      </c>
      <c r="D668" s="54">
        <f>IF(_calc!$E$670="","",IF(_calc!$E$670&lt;=500,IF(ISNUMBER(INDEX('Dealer pipeline'!$H$4:$H$503,_calc!$E$670)),TEXT(INDEX('Dealer pipeline'!$H$4:$H$503,_calc!$E$670),"yyyy-mm-dd"),""),IF(ISNUMBER(INDEX('My equipment'!$H$4:$H$503,(_calc!$E$670-500))),TEXT(INDEX('My equipment'!$H$4:$H$503,(_calc!$E$670-500)),"yyyy-mm-dd"),"")))</f>
        <v/>
      </c>
      <c r="F668" s="54">
        <f>IF(_calc!$E$670="","",IF(_calc!$E$670&lt;=500,TRIM(IF(LEN(IF(LEN(INDEX('Dealer pipeline'!$A$4:$A$503,_calc!$E$670))=0,"",INDEX('Dealer pipeline'!$A$4:$A$503,_calc!$E$670)))=0,"","Customer: "&amp;IF(LEN(INDEX('Dealer pipeline'!$A$4:$A$503,_calc!$E$670))=0,"",INDEX('Dealer pipeline'!$A$4:$A$503,_calc!$E$670))&amp;". ")&amp;IF(LEN(IF(LEN(INDEX('Dealer pipeline'!$B$4:$B$503,_calc!$E$670))=0,"",INDEX('Dealer pipeline'!$B$4:$B$503,_calc!$E$670)))=0,"","Contact: "&amp;IF(LEN(INDEX('Dealer pipeline'!$B$4:$B$503,_calc!$E$670))=0,"",INDEX('Dealer pipeline'!$B$4:$B$503,_calc!$E$670))&amp;". ")&amp;IF(LEN(IF(LEN(INDEX('Dealer pipeline'!$D$4:$D$503,_calc!$E$670))=0,"",INDEX('Dealer pipeline'!$D$4:$D$503,_calc!$E$670)))=0,"","Serial: "&amp;IF(LEN(INDEX('Dealer pipeline'!$D$4:$D$503,_calc!$E$670))=0,"",INDEX('Dealer pipeline'!$D$4:$D$503,_calc!$E$670))&amp;". ")&amp;IF(LEN(IF(ISNUMBER(INDEX('Dealer pipeline'!$J$4:$J$503,_calc!$E$670)),TEXT(INDEX('Dealer pipeline'!$J$4:$J$503,_calc!$E$670),"yyyy-mm-dd"),""))=0,"","Parts end: "&amp;IF(ISNUMBER(INDEX('Dealer pipeline'!$J$4:$J$503,_calc!$E$670)),TEXT(INDEX('Dealer pipeline'!$J$4:$J$503,_calc!$E$670),"yyyy-mm-dd"),"")&amp;". ")&amp;IF(LEN(IF(ISNUMBER(INDEX('Dealer pipeline'!$L$4:$L$503,_calc!$E$670)),TEXT(INDEX('Dealer pipeline'!$L$4:$L$503,_calc!$E$670),"yyyy-mm-dd"),""))=0,"","Labor end: "&amp;IF(ISNUMBER(INDEX('Dealer pipeline'!$L$4:$L$503,_calc!$E$670)),TEXT(INDEX('Dealer pipeline'!$L$4:$L$503,_calc!$E$670),"yyyy-mm-dd"),"")&amp;". ")&amp;IF(LEN(IF(LEN(INDEX('Dealer pipeline'!$Q$4:$Q$503,_calc!$E$670))=0,"",INDEX('Dealer pipeline'!$Q$4:$Q$503,_calc!$E$670)))=0,"","Status: "&amp;IF(LEN(INDEX('Dealer pipeline'!$Q$4:$Q$503,_calc!$E$670))=0,"",INDEX('Dealer pipeline'!$Q$4:$Q$503,_calc!$E$670))&amp;". ")&amp;IF(LEN(IF(LEN(INDEX('Dealer pipeline'!$P$4:$P$503,_calc!$E$670))=0,"",INDEX('Dealer pipeline'!$P$4:$P$503,_calc!$E$670)))=0,"","Last touch: "&amp;IF(LEN(INDEX('Dealer pipeline'!$P$4:$P$503,_calc!$E$670))=0,"",INDEX('Dealer pipeline'!$P$4:$P$503,_calc!$E$670))&amp;". ")&amp;IF(LEN(IF(LEN(INDEX('Dealer pipeline'!$R$4:$R$503,_calc!$E$670))=0,"",INDEX('Dealer pipeline'!$R$4:$R$503,_calc!$E$670)))=0,"","Owner: "&amp;IF(LEN(INDEX('Dealer pipeline'!$R$4:$R$503,_calc!$E$670))=0,"",INDEX('Dealer pipeline'!$R$4:$R$503,_calc!$E$670))&amp;". ")&amp;IF(LEN(IF(LEN(INDEX('Dealer pipeline'!$S$4:$S$503,_calc!$E$670))=0,"",INDEX('Dealer pipeline'!$S$4:$S$503,_calc!$E$670)))=0,"","Backup: "&amp;IF(LEN(INDEX('Dealer pipeline'!$S$4:$S$503,_calc!$E$670))=0,"",INDEX('Dealer pipeline'!$S$4:$S$503,_calc!$E$670))&amp;". ")&amp;IF(LEN(IF(LEN(INDEX('Dealer pipeline'!$T$4:$T$503,_calc!$E$670))=0,"",INDEX('Dealer pipeline'!$T$4:$T$503,_calc!$E$670)))=0,"",IF(LEN(INDEX('Dealer pipeline'!$T$4:$T$503,_calc!$E$670))=0,"",INDEX('Dealer pipeline'!$T$4:$T$503,_calc!$E$670)))),TRIM(IF(LEN(IF(LEN(INDEX('My equipment'!$C$4:$C$503,(_calc!$E$670-500)))=0,"",INDEX('My equipment'!$C$4:$C$503,(_calc!$E$670-500))))=0,"","Model: "&amp;IF(LEN(INDEX('My equipment'!$C$4:$C$503,(_calc!$E$670-500)))=0,"",INDEX('My equipment'!$C$4:$C$503,(_calc!$E$670-500)))&amp;". ")&amp;IF(LEN(IF(LEN(INDEX('My equipment'!$D$4:$D$503,(_calc!$E$670-500)))=0,"",INDEX('My equipment'!$D$4:$D$503,(_calc!$E$670-500))))=0,"","Serial: "&amp;IF(LEN(INDEX('My equipment'!$D$4:$D$503,(_calc!$E$670-500)))=0,"",INDEX('My equipment'!$D$4:$D$503,(_calc!$E$670-500)))&amp;". ")&amp;IF(LEN(IF(ISNUMBER(INDEX('My equipment'!$J$4:$J$503,(_calc!$E$670-500))),TEXT(INDEX('My equipment'!$J$4:$J$503,(_calc!$E$670-500)),"yyyy-mm-dd"),""))=0,"","Parts end: "&amp;IF(ISNUMBER(INDEX('My equipment'!$J$4:$J$503,(_calc!$E$670-500))),TEXT(INDEX('My equipment'!$J$4:$J$503,(_calc!$E$670-500)),"yyyy-mm-dd"),"")&amp;". ")&amp;IF(LEN(IF(ISNUMBER(INDEX('My equipment'!$L$4:$L$503,(_calc!$E$670-500))),TEXT(INDEX('My equipment'!$L$4:$L$503,(_calc!$E$670-500)),"yyyy-mm-dd"),""))=0,"","Labor end: "&amp;IF(ISNUMBER(INDEX('My equipment'!$L$4:$L$503,(_calc!$E$670-500))),TEXT(INDEX('My equipment'!$L$4:$L$503,(_calc!$E$670-500)),"yyyy-mm-dd"),"")&amp;". ")&amp;IF(LEN(IF(ISNUMBER(INDEX('My equipment'!$P$4:$P$503,(_calc!$E$670-500))),TEXT(INDEX('My equipment'!$P$4:$P$503,(_calc!$E$670-500)),"yyyy-mm-dd"),""))=0,"","Check by: "&amp;IF(ISNUMBER(INDEX('My equipment'!$P$4:$P$503,(_calc!$E$670-500))),TEXT(INDEX('My equipment'!$P$4:$P$503,(_calc!$E$670-500)),"yyyy-mm-dd"),"")&amp;". ")&amp;IF(LEN(IF(LEN(INDEX('My equipment'!$Q$4:$Q$503,(_calc!$E$670-500)))=0,"",INDEX('My equipment'!$Q$4:$Q$503,(_calc!$E$670-500))))=0,"","Claim status: "&amp;IF(LEN(INDEX('My equipment'!$Q$4:$Q$503,(_calc!$E$670-500)))=0,"",INDEX('My equipment'!$Q$4:$Q$503,(_calc!$E$670-500)))&amp;". ")&amp;IF(LEN(IF(LEN(INDEX('My equipment'!$R$4:$R$503,(_calc!$E$670-500)))=0,"",INDEX('My equipment'!$R$4:$R$503,(_calc!$E$670-500))))=0,"","Claims contact: "&amp;IF(LEN(INDEX('My equipment'!$R$4:$R$503,(_calc!$E$670-500)))=0,"",INDEX('My equipment'!$R$4:$R$503,(_calc!$E$670-500)))&amp;". ")&amp;IF(LEN(IF(LEN(INDEX('My equipment'!$S$4:$S$503,(_calc!$E$670-500)))=0,"",INDEX('My equipment'!$S$4:$S$503,(_calc!$E$670-500))))=0,"","Claims email: "&amp;IF(LEN(INDEX('My equipment'!$S$4:$S$503,(_calc!$E$670-500)))=0,"",INDEX('My equipment'!$S$4:$S$503,(_calc!$E$670-500)))&amp;". ")&amp;IF(LEN(IF(LEN(INDEX('My equipment'!$U$4:$U$503,(_calc!$E$670-500)))=0,"",INDEX('My equipment'!$U$4:$U$503,(_calc!$E$670-500))))=0,"","Registered: "&amp;IF(LEN(INDEX('My equipment'!$U$4:$U$503,(_calc!$E$670-500)))=0,"",INDEX('My equipment'!$U$4:$U$503,(_calc!$E$670-500)))&amp;". ")&amp;IF(LEN(IF(LEN(INDEX('My equipment'!$V$4:$V$503,(_calc!$E$670-500)))=0,"",INDEX('My equipment'!$V$4:$V$503,(_calc!$E$670-500))))=0,"","Proof on file: "&amp;IF(LEN(INDEX('My equipment'!$V$4:$V$503,(_calc!$E$670-500)))=0,"",INDEX('My equipment'!$V$4:$V$503,(_calc!$E$670-500)))&amp;". ")&amp;IF(LEN(IF(LEN(INDEX('My equipment'!$W$4:$W$503,(_calc!$E$670-500)))=0,"",INDEX('My equipment'!$W$4:$W$503,(_calc!$E$670-500))))=0,"","Claim ref: "&amp;IF(LEN(INDEX('My equipment'!$W$4:$W$503,(_calc!$E$670-500)))=0,"",INDEX('My equipment'!$W$4:$W$503,(_calc!$E$670-500)))&amp;". ")&amp;IF(LEN(IF(LEN(INDEX('My equipment'!$Y$4:$Y$503,(_calc!$E$670-500)))=0,"",INDEX('My equipment'!$Y$4:$Y$503,(_calc!$E$670-500))))=0,"",IF(LEN(INDEX('My equipment'!$Y$4:$Y$503,(_calc!$E$670-500)))=0,"",INDEX('My equipment'!$Y$4:$Y$503,(_calc!$E$670-500)))))))</f>
        <v/>
      </c>
      <c r="G668" s="54">
        <f>IF(_calc!$E$670="","",IF(_calc!$E$670&lt;=500,"",IF(LEN(INDEX('My equipment'!$X$4:$X$503,(_calc!$E$670-500)))=0,"",INDEX('My equipment'!$X$4:$X$503,(_calc!$E$670-500)))))</f>
        <v/>
      </c>
      <c r="K668" s="54">
        <f>IF(_calc!$E$670="","",IF(_calc!$E$670&lt;=500,"",IF(LEN(INDEX('My equipment'!$T$4:$T$503,(_calc!$E$670-500)))=0,"",INDEX('My equipment'!$T$4:$T$503,(_calc!$E$670-500)))))</f>
        <v/>
      </c>
    </row>
    <row r="669">
      <c r="A669" s="54">
        <f>IF(_calc!$E$671="","",IF(_calc!$E$671&lt;=500,"Warranty – "&amp;IF(LEN(INDEX('Dealer pipeline'!$C$4:$C$503,_calc!$E$671))=0,"",INDEX('Dealer pipeline'!$C$4:$C$503,_calc!$E$671))&amp;" – "&amp;IF(LEN(INDEX('Dealer pipeline'!$D$4:$D$503,_calc!$E$671))=0,"",INDEX('Dealer pipeline'!$D$4:$D$503,_calc!$E$671))&amp;" – "&amp;IF(LEN(INDEX('Dealer pipeline'!$A$4:$A$503,_calc!$E$671))=0,"",INDEX('Dealer pipeline'!$A$4:$A$503,_calc!$E$671)),"Warranty – "&amp;IF(LEN(INDEX('My equipment'!$A$4:$A$503,(_calc!$E$671-500)))=0,"",INDEX('My equipment'!$A$4:$A$503,(_calc!$E$671-500)))&amp;" – "&amp;IF(LEN(INDEX('My equipment'!$D$4:$D$503,(_calc!$E$671-500)))=0,"",INDEX('My equipment'!$D$4:$D$503,(_calc!$E$671-500)))))</f>
        <v/>
      </c>
      <c r="B669" s="54">
        <f>IF(_calc!$E$671="","",IF(_calc!$E$671&lt;=500,IF(ISNUMBER(INDEX('Dealer pipeline'!$M$4:$M$503,_calc!$E$671)),TEXT(INDEX('Dealer pipeline'!$M$4:$M$503,_calc!$E$671),"yyyy-mm-dd"),""),IF(ISNUMBER(INDEX('My equipment'!$M$4:$M$503,(_calc!$E$671-500))),TEXT(INDEX('My equipment'!$M$4:$M$503,(_calc!$E$671-500)),"yyyy-mm-dd"),"")))</f>
        <v/>
      </c>
      <c r="C669" s="54">
        <f>IF(_calc!$E$671="","",IF(_calc!$E$671&lt;=500,"Warranty","Warranty"))</f>
        <v/>
      </c>
      <c r="D669" s="54">
        <f>IF(_calc!$E$671="","",IF(_calc!$E$671&lt;=500,IF(ISNUMBER(INDEX('Dealer pipeline'!$H$4:$H$503,_calc!$E$671)),TEXT(INDEX('Dealer pipeline'!$H$4:$H$503,_calc!$E$671),"yyyy-mm-dd"),""),IF(ISNUMBER(INDEX('My equipment'!$H$4:$H$503,(_calc!$E$671-500))),TEXT(INDEX('My equipment'!$H$4:$H$503,(_calc!$E$671-500)),"yyyy-mm-dd"),"")))</f>
        <v/>
      </c>
      <c r="F669" s="54">
        <f>IF(_calc!$E$671="","",IF(_calc!$E$671&lt;=500,TRIM(IF(LEN(IF(LEN(INDEX('Dealer pipeline'!$A$4:$A$503,_calc!$E$671))=0,"",INDEX('Dealer pipeline'!$A$4:$A$503,_calc!$E$671)))=0,"","Customer: "&amp;IF(LEN(INDEX('Dealer pipeline'!$A$4:$A$503,_calc!$E$671))=0,"",INDEX('Dealer pipeline'!$A$4:$A$503,_calc!$E$671))&amp;". ")&amp;IF(LEN(IF(LEN(INDEX('Dealer pipeline'!$B$4:$B$503,_calc!$E$671))=0,"",INDEX('Dealer pipeline'!$B$4:$B$503,_calc!$E$671)))=0,"","Contact: "&amp;IF(LEN(INDEX('Dealer pipeline'!$B$4:$B$503,_calc!$E$671))=0,"",INDEX('Dealer pipeline'!$B$4:$B$503,_calc!$E$671))&amp;". ")&amp;IF(LEN(IF(LEN(INDEX('Dealer pipeline'!$D$4:$D$503,_calc!$E$671))=0,"",INDEX('Dealer pipeline'!$D$4:$D$503,_calc!$E$671)))=0,"","Serial: "&amp;IF(LEN(INDEX('Dealer pipeline'!$D$4:$D$503,_calc!$E$671))=0,"",INDEX('Dealer pipeline'!$D$4:$D$503,_calc!$E$671))&amp;". ")&amp;IF(LEN(IF(ISNUMBER(INDEX('Dealer pipeline'!$J$4:$J$503,_calc!$E$671)),TEXT(INDEX('Dealer pipeline'!$J$4:$J$503,_calc!$E$671),"yyyy-mm-dd"),""))=0,"","Parts end: "&amp;IF(ISNUMBER(INDEX('Dealer pipeline'!$J$4:$J$503,_calc!$E$671)),TEXT(INDEX('Dealer pipeline'!$J$4:$J$503,_calc!$E$671),"yyyy-mm-dd"),"")&amp;". ")&amp;IF(LEN(IF(ISNUMBER(INDEX('Dealer pipeline'!$L$4:$L$503,_calc!$E$671)),TEXT(INDEX('Dealer pipeline'!$L$4:$L$503,_calc!$E$671),"yyyy-mm-dd"),""))=0,"","Labor end: "&amp;IF(ISNUMBER(INDEX('Dealer pipeline'!$L$4:$L$503,_calc!$E$671)),TEXT(INDEX('Dealer pipeline'!$L$4:$L$503,_calc!$E$671),"yyyy-mm-dd"),"")&amp;". ")&amp;IF(LEN(IF(LEN(INDEX('Dealer pipeline'!$Q$4:$Q$503,_calc!$E$671))=0,"",INDEX('Dealer pipeline'!$Q$4:$Q$503,_calc!$E$671)))=0,"","Status: "&amp;IF(LEN(INDEX('Dealer pipeline'!$Q$4:$Q$503,_calc!$E$671))=0,"",INDEX('Dealer pipeline'!$Q$4:$Q$503,_calc!$E$671))&amp;". ")&amp;IF(LEN(IF(LEN(INDEX('Dealer pipeline'!$P$4:$P$503,_calc!$E$671))=0,"",INDEX('Dealer pipeline'!$P$4:$P$503,_calc!$E$671)))=0,"","Last touch: "&amp;IF(LEN(INDEX('Dealer pipeline'!$P$4:$P$503,_calc!$E$671))=0,"",INDEX('Dealer pipeline'!$P$4:$P$503,_calc!$E$671))&amp;". ")&amp;IF(LEN(IF(LEN(INDEX('Dealer pipeline'!$R$4:$R$503,_calc!$E$671))=0,"",INDEX('Dealer pipeline'!$R$4:$R$503,_calc!$E$671)))=0,"","Owner: "&amp;IF(LEN(INDEX('Dealer pipeline'!$R$4:$R$503,_calc!$E$671))=0,"",INDEX('Dealer pipeline'!$R$4:$R$503,_calc!$E$671))&amp;". ")&amp;IF(LEN(IF(LEN(INDEX('Dealer pipeline'!$S$4:$S$503,_calc!$E$671))=0,"",INDEX('Dealer pipeline'!$S$4:$S$503,_calc!$E$671)))=0,"","Backup: "&amp;IF(LEN(INDEX('Dealer pipeline'!$S$4:$S$503,_calc!$E$671))=0,"",INDEX('Dealer pipeline'!$S$4:$S$503,_calc!$E$671))&amp;". ")&amp;IF(LEN(IF(LEN(INDEX('Dealer pipeline'!$T$4:$T$503,_calc!$E$671))=0,"",INDEX('Dealer pipeline'!$T$4:$T$503,_calc!$E$671)))=0,"",IF(LEN(INDEX('Dealer pipeline'!$T$4:$T$503,_calc!$E$671))=0,"",INDEX('Dealer pipeline'!$T$4:$T$503,_calc!$E$671)))),TRIM(IF(LEN(IF(LEN(INDEX('My equipment'!$C$4:$C$503,(_calc!$E$671-500)))=0,"",INDEX('My equipment'!$C$4:$C$503,(_calc!$E$671-500))))=0,"","Model: "&amp;IF(LEN(INDEX('My equipment'!$C$4:$C$503,(_calc!$E$671-500)))=0,"",INDEX('My equipment'!$C$4:$C$503,(_calc!$E$671-500)))&amp;". ")&amp;IF(LEN(IF(LEN(INDEX('My equipment'!$D$4:$D$503,(_calc!$E$671-500)))=0,"",INDEX('My equipment'!$D$4:$D$503,(_calc!$E$671-500))))=0,"","Serial: "&amp;IF(LEN(INDEX('My equipment'!$D$4:$D$503,(_calc!$E$671-500)))=0,"",INDEX('My equipment'!$D$4:$D$503,(_calc!$E$671-500)))&amp;". ")&amp;IF(LEN(IF(ISNUMBER(INDEX('My equipment'!$J$4:$J$503,(_calc!$E$671-500))),TEXT(INDEX('My equipment'!$J$4:$J$503,(_calc!$E$671-500)),"yyyy-mm-dd"),""))=0,"","Parts end: "&amp;IF(ISNUMBER(INDEX('My equipment'!$J$4:$J$503,(_calc!$E$671-500))),TEXT(INDEX('My equipment'!$J$4:$J$503,(_calc!$E$671-500)),"yyyy-mm-dd"),"")&amp;". ")&amp;IF(LEN(IF(ISNUMBER(INDEX('My equipment'!$L$4:$L$503,(_calc!$E$671-500))),TEXT(INDEX('My equipment'!$L$4:$L$503,(_calc!$E$671-500)),"yyyy-mm-dd"),""))=0,"","Labor end: "&amp;IF(ISNUMBER(INDEX('My equipment'!$L$4:$L$503,(_calc!$E$671-500))),TEXT(INDEX('My equipment'!$L$4:$L$503,(_calc!$E$671-500)),"yyyy-mm-dd"),"")&amp;". ")&amp;IF(LEN(IF(ISNUMBER(INDEX('My equipment'!$P$4:$P$503,(_calc!$E$671-500))),TEXT(INDEX('My equipment'!$P$4:$P$503,(_calc!$E$671-500)),"yyyy-mm-dd"),""))=0,"","Check by: "&amp;IF(ISNUMBER(INDEX('My equipment'!$P$4:$P$503,(_calc!$E$671-500))),TEXT(INDEX('My equipment'!$P$4:$P$503,(_calc!$E$671-500)),"yyyy-mm-dd"),"")&amp;". ")&amp;IF(LEN(IF(LEN(INDEX('My equipment'!$Q$4:$Q$503,(_calc!$E$671-500)))=0,"",INDEX('My equipment'!$Q$4:$Q$503,(_calc!$E$671-500))))=0,"","Claim status: "&amp;IF(LEN(INDEX('My equipment'!$Q$4:$Q$503,(_calc!$E$671-500)))=0,"",INDEX('My equipment'!$Q$4:$Q$503,(_calc!$E$671-500)))&amp;". ")&amp;IF(LEN(IF(LEN(INDEX('My equipment'!$R$4:$R$503,(_calc!$E$671-500)))=0,"",INDEX('My equipment'!$R$4:$R$503,(_calc!$E$671-500))))=0,"","Claims contact: "&amp;IF(LEN(INDEX('My equipment'!$R$4:$R$503,(_calc!$E$671-500)))=0,"",INDEX('My equipment'!$R$4:$R$503,(_calc!$E$671-500)))&amp;". ")&amp;IF(LEN(IF(LEN(INDEX('My equipment'!$S$4:$S$503,(_calc!$E$671-500)))=0,"",INDEX('My equipment'!$S$4:$S$503,(_calc!$E$671-500))))=0,"","Claims email: "&amp;IF(LEN(INDEX('My equipment'!$S$4:$S$503,(_calc!$E$671-500)))=0,"",INDEX('My equipment'!$S$4:$S$503,(_calc!$E$671-500)))&amp;". ")&amp;IF(LEN(IF(LEN(INDEX('My equipment'!$U$4:$U$503,(_calc!$E$671-500)))=0,"",INDEX('My equipment'!$U$4:$U$503,(_calc!$E$671-500))))=0,"","Registered: "&amp;IF(LEN(INDEX('My equipment'!$U$4:$U$503,(_calc!$E$671-500)))=0,"",INDEX('My equipment'!$U$4:$U$503,(_calc!$E$671-500)))&amp;". ")&amp;IF(LEN(IF(LEN(INDEX('My equipment'!$V$4:$V$503,(_calc!$E$671-500)))=0,"",INDEX('My equipment'!$V$4:$V$503,(_calc!$E$671-500))))=0,"","Proof on file: "&amp;IF(LEN(INDEX('My equipment'!$V$4:$V$503,(_calc!$E$671-500)))=0,"",INDEX('My equipment'!$V$4:$V$503,(_calc!$E$671-500)))&amp;". ")&amp;IF(LEN(IF(LEN(INDEX('My equipment'!$W$4:$W$503,(_calc!$E$671-500)))=0,"",INDEX('My equipment'!$W$4:$W$503,(_calc!$E$671-500))))=0,"","Claim ref: "&amp;IF(LEN(INDEX('My equipment'!$W$4:$W$503,(_calc!$E$671-500)))=0,"",INDEX('My equipment'!$W$4:$W$503,(_calc!$E$671-500)))&amp;". ")&amp;IF(LEN(IF(LEN(INDEX('My equipment'!$Y$4:$Y$503,(_calc!$E$671-500)))=0,"",INDEX('My equipment'!$Y$4:$Y$503,(_calc!$E$671-500))))=0,"",IF(LEN(INDEX('My equipment'!$Y$4:$Y$503,(_calc!$E$671-500)))=0,"",INDEX('My equipment'!$Y$4:$Y$503,(_calc!$E$671-500)))))))</f>
        <v/>
      </c>
      <c r="G669" s="54">
        <f>IF(_calc!$E$671="","",IF(_calc!$E$671&lt;=500,"",IF(LEN(INDEX('My equipment'!$X$4:$X$503,(_calc!$E$671-500)))=0,"",INDEX('My equipment'!$X$4:$X$503,(_calc!$E$671-500)))))</f>
        <v/>
      </c>
      <c r="K669" s="54">
        <f>IF(_calc!$E$671="","",IF(_calc!$E$671&lt;=500,"",IF(LEN(INDEX('My equipment'!$T$4:$T$503,(_calc!$E$671-500)))=0,"",INDEX('My equipment'!$T$4:$T$503,(_calc!$E$671-500)))))</f>
        <v/>
      </c>
    </row>
    <row r="670">
      <c r="A670" s="54">
        <f>IF(_calc!$E$672="","",IF(_calc!$E$672&lt;=500,"Warranty – "&amp;IF(LEN(INDEX('Dealer pipeline'!$C$4:$C$503,_calc!$E$672))=0,"",INDEX('Dealer pipeline'!$C$4:$C$503,_calc!$E$672))&amp;" – "&amp;IF(LEN(INDEX('Dealer pipeline'!$D$4:$D$503,_calc!$E$672))=0,"",INDEX('Dealer pipeline'!$D$4:$D$503,_calc!$E$672))&amp;" – "&amp;IF(LEN(INDEX('Dealer pipeline'!$A$4:$A$503,_calc!$E$672))=0,"",INDEX('Dealer pipeline'!$A$4:$A$503,_calc!$E$672)),"Warranty – "&amp;IF(LEN(INDEX('My equipment'!$A$4:$A$503,(_calc!$E$672-500)))=0,"",INDEX('My equipment'!$A$4:$A$503,(_calc!$E$672-500)))&amp;" – "&amp;IF(LEN(INDEX('My equipment'!$D$4:$D$503,(_calc!$E$672-500)))=0,"",INDEX('My equipment'!$D$4:$D$503,(_calc!$E$672-500)))))</f>
        <v/>
      </c>
      <c r="B670" s="54">
        <f>IF(_calc!$E$672="","",IF(_calc!$E$672&lt;=500,IF(ISNUMBER(INDEX('Dealer pipeline'!$M$4:$M$503,_calc!$E$672)),TEXT(INDEX('Dealer pipeline'!$M$4:$M$503,_calc!$E$672),"yyyy-mm-dd"),""),IF(ISNUMBER(INDEX('My equipment'!$M$4:$M$503,(_calc!$E$672-500))),TEXT(INDEX('My equipment'!$M$4:$M$503,(_calc!$E$672-500)),"yyyy-mm-dd"),"")))</f>
        <v/>
      </c>
      <c r="C670" s="54">
        <f>IF(_calc!$E$672="","",IF(_calc!$E$672&lt;=500,"Warranty","Warranty"))</f>
        <v/>
      </c>
      <c r="D670" s="54">
        <f>IF(_calc!$E$672="","",IF(_calc!$E$672&lt;=500,IF(ISNUMBER(INDEX('Dealer pipeline'!$H$4:$H$503,_calc!$E$672)),TEXT(INDEX('Dealer pipeline'!$H$4:$H$503,_calc!$E$672),"yyyy-mm-dd"),""),IF(ISNUMBER(INDEX('My equipment'!$H$4:$H$503,(_calc!$E$672-500))),TEXT(INDEX('My equipment'!$H$4:$H$503,(_calc!$E$672-500)),"yyyy-mm-dd"),"")))</f>
        <v/>
      </c>
      <c r="F670" s="54">
        <f>IF(_calc!$E$672="","",IF(_calc!$E$672&lt;=500,TRIM(IF(LEN(IF(LEN(INDEX('Dealer pipeline'!$A$4:$A$503,_calc!$E$672))=0,"",INDEX('Dealer pipeline'!$A$4:$A$503,_calc!$E$672)))=0,"","Customer: "&amp;IF(LEN(INDEX('Dealer pipeline'!$A$4:$A$503,_calc!$E$672))=0,"",INDEX('Dealer pipeline'!$A$4:$A$503,_calc!$E$672))&amp;". ")&amp;IF(LEN(IF(LEN(INDEX('Dealer pipeline'!$B$4:$B$503,_calc!$E$672))=0,"",INDEX('Dealer pipeline'!$B$4:$B$503,_calc!$E$672)))=0,"","Contact: "&amp;IF(LEN(INDEX('Dealer pipeline'!$B$4:$B$503,_calc!$E$672))=0,"",INDEX('Dealer pipeline'!$B$4:$B$503,_calc!$E$672))&amp;". ")&amp;IF(LEN(IF(LEN(INDEX('Dealer pipeline'!$D$4:$D$503,_calc!$E$672))=0,"",INDEX('Dealer pipeline'!$D$4:$D$503,_calc!$E$672)))=0,"","Serial: "&amp;IF(LEN(INDEX('Dealer pipeline'!$D$4:$D$503,_calc!$E$672))=0,"",INDEX('Dealer pipeline'!$D$4:$D$503,_calc!$E$672))&amp;". ")&amp;IF(LEN(IF(ISNUMBER(INDEX('Dealer pipeline'!$J$4:$J$503,_calc!$E$672)),TEXT(INDEX('Dealer pipeline'!$J$4:$J$503,_calc!$E$672),"yyyy-mm-dd"),""))=0,"","Parts end: "&amp;IF(ISNUMBER(INDEX('Dealer pipeline'!$J$4:$J$503,_calc!$E$672)),TEXT(INDEX('Dealer pipeline'!$J$4:$J$503,_calc!$E$672),"yyyy-mm-dd"),"")&amp;". ")&amp;IF(LEN(IF(ISNUMBER(INDEX('Dealer pipeline'!$L$4:$L$503,_calc!$E$672)),TEXT(INDEX('Dealer pipeline'!$L$4:$L$503,_calc!$E$672),"yyyy-mm-dd"),""))=0,"","Labor end: "&amp;IF(ISNUMBER(INDEX('Dealer pipeline'!$L$4:$L$503,_calc!$E$672)),TEXT(INDEX('Dealer pipeline'!$L$4:$L$503,_calc!$E$672),"yyyy-mm-dd"),"")&amp;". ")&amp;IF(LEN(IF(LEN(INDEX('Dealer pipeline'!$Q$4:$Q$503,_calc!$E$672))=0,"",INDEX('Dealer pipeline'!$Q$4:$Q$503,_calc!$E$672)))=0,"","Status: "&amp;IF(LEN(INDEX('Dealer pipeline'!$Q$4:$Q$503,_calc!$E$672))=0,"",INDEX('Dealer pipeline'!$Q$4:$Q$503,_calc!$E$672))&amp;". ")&amp;IF(LEN(IF(LEN(INDEX('Dealer pipeline'!$P$4:$P$503,_calc!$E$672))=0,"",INDEX('Dealer pipeline'!$P$4:$P$503,_calc!$E$672)))=0,"","Last touch: "&amp;IF(LEN(INDEX('Dealer pipeline'!$P$4:$P$503,_calc!$E$672))=0,"",INDEX('Dealer pipeline'!$P$4:$P$503,_calc!$E$672))&amp;". ")&amp;IF(LEN(IF(LEN(INDEX('Dealer pipeline'!$R$4:$R$503,_calc!$E$672))=0,"",INDEX('Dealer pipeline'!$R$4:$R$503,_calc!$E$672)))=0,"","Owner: "&amp;IF(LEN(INDEX('Dealer pipeline'!$R$4:$R$503,_calc!$E$672))=0,"",INDEX('Dealer pipeline'!$R$4:$R$503,_calc!$E$672))&amp;". ")&amp;IF(LEN(IF(LEN(INDEX('Dealer pipeline'!$S$4:$S$503,_calc!$E$672))=0,"",INDEX('Dealer pipeline'!$S$4:$S$503,_calc!$E$672)))=0,"","Backup: "&amp;IF(LEN(INDEX('Dealer pipeline'!$S$4:$S$503,_calc!$E$672))=0,"",INDEX('Dealer pipeline'!$S$4:$S$503,_calc!$E$672))&amp;". ")&amp;IF(LEN(IF(LEN(INDEX('Dealer pipeline'!$T$4:$T$503,_calc!$E$672))=0,"",INDEX('Dealer pipeline'!$T$4:$T$503,_calc!$E$672)))=0,"",IF(LEN(INDEX('Dealer pipeline'!$T$4:$T$503,_calc!$E$672))=0,"",INDEX('Dealer pipeline'!$T$4:$T$503,_calc!$E$672)))),TRIM(IF(LEN(IF(LEN(INDEX('My equipment'!$C$4:$C$503,(_calc!$E$672-500)))=0,"",INDEX('My equipment'!$C$4:$C$503,(_calc!$E$672-500))))=0,"","Model: "&amp;IF(LEN(INDEX('My equipment'!$C$4:$C$503,(_calc!$E$672-500)))=0,"",INDEX('My equipment'!$C$4:$C$503,(_calc!$E$672-500)))&amp;". ")&amp;IF(LEN(IF(LEN(INDEX('My equipment'!$D$4:$D$503,(_calc!$E$672-500)))=0,"",INDEX('My equipment'!$D$4:$D$503,(_calc!$E$672-500))))=0,"","Serial: "&amp;IF(LEN(INDEX('My equipment'!$D$4:$D$503,(_calc!$E$672-500)))=0,"",INDEX('My equipment'!$D$4:$D$503,(_calc!$E$672-500)))&amp;". ")&amp;IF(LEN(IF(ISNUMBER(INDEX('My equipment'!$J$4:$J$503,(_calc!$E$672-500))),TEXT(INDEX('My equipment'!$J$4:$J$503,(_calc!$E$672-500)),"yyyy-mm-dd"),""))=0,"","Parts end: "&amp;IF(ISNUMBER(INDEX('My equipment'!$J$4:$J$503,(_calc!$E$672-500))),TEXT(INDEX('My equipment'!$J$4:$J$503,(_calc!$E$672-500)),"yyyy-mm-dd"),"")&amp;". ")&amp;IF(LEN(IF(ISNUMBER(INDEX('My equipment'!$L$4:$L$503,(_calc!$E$672-500))),TEXT(INDEX('My equipment'!$L$4:$L$503,(_calc!$E$672-500)),"yyyy-mm-dd"),""))=0,"","Labor end: "&amp;IF(ISNUMBER(INDEX('My equipment'!$L$4:$L$503,(_calc!$E$672-500))),TEXT(INDEX('My equipment'!$L$4:$L$503,(_calc!$E$672-500)),"yyyy-mm-dd"),"")&amp;". ")&amp;IF(LEN(IF(ISNUMBER(INDEX('My equipment'!$P$4:$P$503,(_calc!$E$672-500))),TEXT(INDEX('My equipment'!$P$4:$P$503,(_calc!$E$672-500)),"yyyy-mm-dd"),""))=0,"","Check by: "&amp;IF(ISNUMBER(INDEX('My equipment'!$P$4:$P$503,(_calc!$E$672-500))),TEXT(INDEX('My equipment'!$P$4:$P$503,(_calc!$E$672-500)),"yyyy-mm-dd"),"")&amp;". ")&amp;IF(LEN(IF(LEN(INDEX('My equipment'!$Q$4:$Q$503,(_calc!$E$672-500)))=0,"",INDEX('My equipment'!$Q$4:$Q$503,(_calc!$E$672-500))))=0,"","Claim status: "&amp;IF(LEN(INDEX('My equipment'!$Q$4:$Q$503,(_calc!$E$672-500)))=0,"",INDEX('My equipment'!$Q$4:$Q$503,(_calc!$E$672-500)))&amp;". ")&amp;IF(LEN(IF(LEN(INDEX('My equipment'!$R$4:$R$503,(_calc!$E$672-500)))=0,"",INDEX('My equipment'!$R$4:$R$503,(_calc!$E$672-500))))=0,"","Claims contact: "&amp;IF(LEN(INDEX('My equipment'!$R$4:$R$503,(_calc!$E$672-500)))=0,"",INDEX('My equipment'!$R$4:$R$503,(_calc!$E$672-500)))&amp;". ")&amp;IF(LEN(IF(LEN(INDEX('My equipment'!$S$4:$S$503,(_calc!$E$672-500)))=0,"",INDEX('My equipment'!$S$4:$S$503,(_calc!$E$672-500))))=0,"","Claims email: "&amp;IF(LEN(INDEX('My equipment'!$S$4:$S$503,(_calc!$E$672-500)))=0,"",INDEX('My equipment'!$S$4:$S$503,(_calc!$E$672-500)))&amp;". ")&amp;IF(LEN(IF(LEN(INDEX('My equipment'!$U$4:$U$503,(_calc!$E$672-500)))=0,"",INDEX('My equipment'!$U$4:$U$503,(_calc!$E$672-500))))=0,"","Registered: "&amp;IF(LEN(INDEX('My equipment'!$U$4:$U$503,(_calc!$E$672-500)))=0,"",INDEX('My equipment'!$U$4:$U$503,(_calc!$E$672-500)))&amp;". ")&amp;IF(LEN(IF(LEN(INDEX('My equipment'!$V$4:$V$503,(_calc!$E$672-500)))=0,"",INDEX('My equipment'!$V$4:$V$503,(_calc!$E$672-500))))=0,"","Proof on file: "&amp;IF(LEN(INDEX('My equipment'!$V$4:$V$503,(_calc!$E$672-500)))=0,"",INDEX('My equipment'!$V$4:$V$503,(_calc!$E$672-500)))&amp;". ")&amp;IF(LEN(IF(LEN(INDEX('My equipment'!$W$4:$W$503,(_calc!$E$672-500)))=0,"",INDEX('My equipment'!$W$4:$W$503,(_calc!$E$672-500))))=0,"","Claim ref: "&amp;IF(LEN(INDEX('My equipment'!$W$4:$W$503,(_calc!$E$672-500)))=0,"",INDEX('My equipment'!$W$4:$W$503,(_calc!$E$672-500)))&amp;". ")&amp;IF(LEN(IF(LEN(INDEX('My equipment'!$Y$4:$Y$503,(_calc!$E$672-500)))=0,"",INDEX('My equipment'!$Y$4:$Y$503,(_calc!$E$672-500))))=0,"",IF(LEN(INDEX('My equipment'!$Y$4:$Y$503,(_calc!$E$672-500)))=0,"",INDEX('My equipment'!$Y$4:$Y$503,(_calc!$E$672-500)))))))</f>
        <v/>
      </c>
      <c r="G670" s="54">
        <f>IF(_calc!$E$672="","",IF(_calc!$E$672&lt;=500,"",IF(LEN(INDEX('My equipment'!$X$4:$X$503,(_calc!$E$672-500)))=0,"",INDEX('My equipment'!$X$4:$X$503,(_calc!$E$672-500)))))</f>
        <v/>
      </c>
      <c r="K670" s="54">
        <f>IF(_calc!$E$672="","",IF(_calc!$E$672&lt;=500,"",IF(LEN(INDEX('My equipment'!$T$4:$T$503,(_calc!$E$672-500)))=0,"",INDEX('My equipment'!$T$4:$T$503,(_calc!$E$672-500)))))</f>
        <v/>
      </c>
    </row>
    <row r="671">
      <c r="A671" s="54">
        <f>IF(_calc!$E$673="","",IF(_calc!$E$673&lt;=500,"Warranty – "&amp;IF(LEN(INDEX('Dealer pipeline'!$C$4:$C$503,_calc!$E$673))=0,"",INDEX('Dealer pipeline'!$C$4:$C$503,_calc!$E$673))&amp;" – "&amp;IF(LEN(INDEX('Dealer pipeline'!$D$4:$D$503,_calc!$E$673))=0,"",INDEX('Dealer pipeline'!$D$4:$D$503,_calc!$E$673))&amp;" – "&amp;IF(LEN(INDEX('Dealer pipeline'!$A$4:$A$503,_calc!$E$673))=0,"",INDEX('Dealer pipeline'!$A$4:$A$503,_calc!$E$673)),"Warranty – "&amp;IF(LEN(INDEX('My equipment'!$A$4:$A$503,(_calc!$E$673-500)))=0,"",INDEX('My equipment'!$A$4:$A$503,(_calc!$E$673-500)))&amp;" – "&amp;IF(LEN(INDEX('My equipment'!$D$4:$D$503,(_calc!$E$673-500)))=0,"",INDEX('My equipment'!$D$4:$D$503,(_calc!$E$673-500)))))</f>
        <v/>
      </c>
      <c r="B671" s="54">
        <f>IF(_calc!$E$673="","",IF(_calc!$E$673&lt;=500,IF(ISNUMBER(INDEX('Dealer pipeline'!$M$4:$M$503,_calc!$E$673)),TEXT(INDEX('Dealer pipeline'!$M$4:$M$503,_calc!$E$673),"yyyy-mm-dd"),""),IF(ISNUMBER(INDEX('My equipment'!$M$4:$M$503,(_calc!$E$673-500))),TEXT(INDEX('My equipment'!$M$4:$M$503,(_calc!$E$673-500)),"yyyy-mm-dd"),"")))</f>
        <v/>
      </c>
      <c r="C671" s="54">
        <f>IF(_calc!$E$673="","",IF(_calc!$E$673&lt;=500,"Warranty","Warranty"))</f>
        <v/>
      </c>
      <c r="D671" s="54">
        <f>IF(_calc!$E$673="","",IF(_calc!$E$673&lt;=500,IF(ISNUMBER(INDEX('Dealer pipeline'!$H$4:$H$503,_calc!$E$673)),TEXT(INDEX('Dealer pipeline'!$H$4:$H$503,_calc!$E$673),"yyyy-mm-dd"),""),IF(ISNUMBER(INDEX('My equipment'!$H$4:$H$503,(_calc!$E$673-500))),TEXT(INDEX('My equipment'!$H$4:$H$503,(_calc!$E$673-500)),"yyyy-mm-dd"),"")))</f>
        <v/>
      </c>
      <c r="F671" s="54">
        <f>IF(_calc!$E$673="","",IF(_calc!$E$673&lt;=500,TRIM(IF(LEN(IF(LEN(INDEX('Dealer pipeline'!$A$4:$A$503,_calc!$E$673))=0,"",INDEX('Dealer pipeline'!$A$4:$A$503,_calc!$E$673)))=0,"","Customer: "&amp;IF(LEN(INDEX('Dealer pipeline'!$A$4:$A$503,_calc!$E$673))=0,"",INDEX('Dealer pipeline'!$A$4:$A$503,_calc!$E$673))&amp;". ")&amp;IF(LEN(IF(LEN(INDEX('Dealer pipeline'!$B$4:$B$503,_calc!$E$673))=0,"",INDEX('Dealer pipeline'!$B$4:$B$503,_calc!$E$673)))=0,"","Contact: "&amp;IF(LEN(INDEX('Dealer pipeline'!$B$4:$B$503,_calc!$E$673))=0,"",INDEX('Dealer pipeline'!$B$4:$B$503,_calc!$E$673))&amp;". ")&amp;IF(LEN(IF(LEN(INDEX('Dealer pipeline'!$D$4:$D$503,_calc!$E$673))=0,"",INDEX('Dealer pipeline'!$D$4:$D$503,_calc!$E$673)))=0,"","Serial: "&amp;IF(LEN(INDEX('Dealer pipeline'!$D$4:$D$503,_calc!$E$673))=0,"",INDEX('Dealer pipeline'!$D$4:$D$503,_calc!$E$673))&amp;". ")&amp;IF(LEN(IF(ISNUMBER(INDEX('Dealer pipeline'!$J$4:$J$503,_calc!$E$673)),TEXT(INDEX('Dealer pipeline'!$J$4:$J$503,_calc!$E$673),"yyyy-mm-dd"),""))=0,"","Parts end: "&amp;IF(ISNUMBER(INDEX('Dealer pipeline'!$J$4:$J$503,_calc!$E$673)),TEXT(INDEX('Dealer pipeline'!$J$4:$J$503,_calc!$E$673),"yyyy-mm-dd"),"")&amp;". ")&amp;IF(LEN(IF(ISNUMBER(INDEX('Dealer pipeline'!$L$4:$L$503,_calc!$E$673)),TEXT(INDEX('Dealer pipeline'!$L$4:$L$503,_calc!$E$673),"yyyy-mm-dd"),""))=0,"","Labor end: "&amp;IF(ISNUMBER(INDEX('Dealer pipeline'!$L$4:$L$503,_calc!$E$673)),TEXT(INDEX('Dealer pipeline'!$L$4:$L$503,_calc!$E$673),"yyyy-mm-dd"),"")&amp;". ")&amp;IF(LEN(IF(LEN(INDEX('Dealer pipeline'!$Q$4:$Q$503,_calc!$E$673))=0,"",INDEX('Dealer pipeline'!$Q$4:$Q$503,_calc!$E$673)))=0,"","Status: "&amp;IF(LEN(INDEX('Dealer pipeline'!$Q$4:$Q$503,_calc!$E$673))=0,"",INDEX('Dealer pipeline'!$Q$4:$Q$503,_calc!$E$673))&amp;". ")&amp;IF(LEN(IF(LEN(INDEX('Dealer pipeline'!$P$4:$P$503,_calc!$E$673))=0,"",INDEX('Dealer pipeline'!$P$4:$P$503,_calc!$E$673)))=0,"","Last touch: "&amp;IF(LEN(INDEX('Dealer pipeline'!$P$4:$P$503,_calc!$E$673))=0,"",INDEX('Dealer pipeline'!$P$4:$P$503,_calc!$E$673))&amp;". ")&amp;IF(LEN(IF(LEN(INDEX('Dealer pipeline'!$R$4:$R$503,_calc!$E$673))=0,"",INDEX('Dealer pipeline'!$R$4:$R$503,_calc!$E$673)))=0,"","Owner: "&amp;IF(LEN(INDEX('Dealer pipeline'!$R$4:$R$503,_calc!$E$673))=0,"",INDEX('Dealer pipeline'!$R$4:$R$503,_calc!$E$673))&amp;". ")&amp;IF(LEN(IF(LEN(INDEX('Dealer pipeline'!$S$4:$S$503,_calc!$E$673))=0,"",INDEX('Dealer pipeline'!$S$4:$S$503,_calc!$E$673)))=0,"","Backup: "&amp;IF(LEN(INDEX('Dealer pipeline'!$S$4:$S$503,_calc!$E$673))=0,"",INDEX('Dealer pipeline'!$S$4:$S$503,_calc!$E$673))&amp;". ")&amp;IF(LEN(IF(LEN(INDEX('Dealer pipeline'!$T$4:$T$503,_calc!$E$673))=0,"",INDEX('Dealer pipeline'!$T$4:$T$503,_calc!$E$673)))=0,"",IF(LEN(INDEX('Dealer pipeline'!$T$4:$T$503,_calc!$E$673))=0,"",INDEX('Dealer pipeline'!$T$4:$T$503,_calc!$E$673)))),TRIM(IF(LEN(IF(LEN(INDEX('My equipment'!$C$4:$C$503,(_calc!$E$673-500)))=0,"",INDEX('My equipment'!$C$4:$C$503,(_calc!$E$673-500))))=0,"","Model: "&amp;IF(LEN(INDEX('My equipment'!$C$4:$C$503,(_calc!$E$673-500)))=0,"",INDEX('My equipment'!$C$4:$C$503,(_calc!$E$673-500)))&amp;". ")&amp;IF(LEN(IF(LEN(INDEX('My equipment'!$D$4:$D$503,(_calc!$E$673-500)))=0,"",INDEX('My equipment'!$D$4:$D$503,(_calc!$E$673-500))))=0,"","Serial: "&amp;IF(LEN(INDEX('My equipment'!$D$4:$D$503,(_calc!$E$673-500)))=0,"",INDEX('My equipment'!$D$4:$D$503,(_calc!$E$673-500)))&amp;". ")&amp;IF(LEN(IF(ISNUMBER(INDEX('My equipment'!$J$4:$J$503,(_calc!$E$673-500))),TEXT(INDEX('My equipment'!$J$4:$J$503,(_calc!$E$673-500)),"yyyy-mm-dd"),""))=0,"","Parts end: "&amp;IF(ISNUMBER(INDEX('My equipment'!$J$4:$J$503,(_calc!$E$673-500))),TEXT(INDEX('My equipment'!$J$4:$J$503,(_calc!$E$673-500)),"yyyy-mm-dd"),"")&amp;". ")&amp;IF(LEN(IF(ISNUMBER(INDEX('My equipment'!$L$4:$L$503,(_calc!$E$673-500))),TEXT(INDEX('My equipment'!$L$4:$L$503,(_calc!$E$673-500)),"yyyy-mm-dd"),""))=0,"","Labor end: "&amp;IF(ISNUMBER(INDEX('My equipment'!$L$4:$L$503,(_calc!$E$673-500))),TEXT(INDEX('My equipment'!$L$4:$L$503,(_calc!$E$673-500)),"yyyy-mm-dd"),"")&amp;". ")&amp;IF(LEN(IF(ISNUMBER(INDEX('My equipment'!$P$4:$P$503,(_calc!$E$673-500))),TEXT(INDEX('My equipment'!$P$4:$P$503,(_calc!$E$673-500)),"yyyy-mm-dd"),""))=0,"","Check by: "&amp;IF(ISNUMBER(INDEX('My equipment'!$P$4:$P$503,(_calc!$E$673-500))),TEXT(INDEX('My equipment'!$P$4:$P$503,(_calc!$E$673-500)),"yyyy-mm-dd"),"")&amp;". ")&amp;IF(LEN(IF(LEN(INDEX('My equipment'!$Q$4:$Q$503,(_calc!$E$673-500)))=0,"",INDEX('My equipment'!$Q$4:$Q$503,(_calc!$E$673-500))))=0,"","Claim status: "&amp;IF(LEN(INDEX('My equipment'!$Q$4:$Q$503,(_calc!$E$673-500)))=0,"",INDEX('My equipment'!$Q$4:$Q$503,(_calc!$E$673-500)))&amp;". ")&amp;IF(LEN(IF(LEN(INDEX('My equipment'!$R$4:$R$503,(_calc!$E$673-500)))=0,"",INDEX('My equipment'!$R$4:$R$503,(_calc!$E$673-500))))=0,"","Claims contact: "&amp;IF(LEN(INDEX('My equipment'!$R$4:$R$503,(_calc!$E$673-500)))=0,"",INDEX('My equipment'!$R$4:$R$503,(_calc!$E$673-500)))&amp;". ")&amp;IF(LEN(IF(LEN(INDEX('My equipment'!$S$4:$S$503,(_calc!$E$673-500)))=0,"",INDEX('My equipment'!$S$4:$S$503,(_calc!$E$673-500))))=0,"","Claims email: "&amp;IF(LEN(INDEX('My equipment'!$S$4:$S$503,(_calc!$E$673-500)))=0,"",INDEX('My equipment'!$S$4:$S$503,(_calc!$E$673-500)))&amp;". ")&amp;IF(LEN(IF(LEN(INDEX('My equipment'!$U$4:$U$503,(_calc!$E$673-500)))=0,"",INDEX('My equipment'!$U$4:$U$503,(_calc!$E$673-500))))=0,"","Registered: "&amp;IF(LEN(INDEX('My equipment'!$U$4:$U$503,(_calc!$E$673-500)))=0,"",INDEX('My equipment'!$U$4:$U$503,(_calc!$E$673-500)))&amp;". ")&amp;IF(LEN(IF(LEN(INDEX('My equipment'!$V$4:$V$503,(_calc!$E$673-500)))=0,"",INDEX('My equipment'!$V$4:$V$503,(_calc!$E$673-500))))=0,"","Proof on file: "&amp;IF(LEN(INDEX('My equipment'!$V$4:$V$503,(_calc!$E$673-500)))=0,"",INDEX('My equipment'!$V$4:$V$503,(_calc!$E$673-500)))&amp;". ")&amp;IF(LEN(IF(LEN(INDEX('My equipment'!$W$4:$W$503,(_calc!$E$673-500)))=0,"",INDEX('My equipment'!$W$4:$W$503,(_calc!$E$673-500))))=0,"","Claim ref: "&amp;IF(LEN(INDEX('My equipment'!$W$4:$W$503,(_calc!$E$673-500)))=0,"",INDEX('My equipment'!$W$4:$W$503,(_calc!$E$673-500)))&amp;". ")&amp;IF(LEN(IF(LEN(INDEX('My equipment'!$Y$4:$Y$503,(_calc!$E$673-500)))=0,"",INDEX('My equipment'!$Y$4:$Y$503,(_calc!$E$673-500))))=0,"",IF(LEN(INDEX('My equipment'!$Y$4:$Y$503,(_calc!$E$673-500)))=0,"",INDEX('My equipment'!$Y$4:$Y$503,(_calc!$E$673-500)))))))</f>
        <v/>
      </c>
      <c r="G671" s="54">
        <f>IF(_calc!$E$673="","",IF(_calc!$E$673&lt;=500,"",IF(LEN(INDEX('My equipment'!$X$4:$X$503,(_calc!$E$673-500)))=0,"",INDEX('My equipment'!$X$4:$X$503,(_calc!$E$673-500)))))</f>
        <v/>
      </c>
      <c r="K671" s="54">
        <f>IF(_calc!$E$673="","",IF(_calc!$E$673&lt;=500,"",IF(LEN(INDEX('My equipment'!$T$4:$T$503,(_calc!$E$673-500)))=0,"",INDEX('My equipment'!$T$4:$T$503,(_calc!$E$673-500)))))</f>
        <v/>
      </c>
    </row>
    <row r="672">
      <c r="A672" s="54">
        <f>IF(_calc!$E$674="","",IF(_calc!$E$674&lt;=500,"Warranty – "&amp;IF(LEN(INDEX('Dealer pipeline'!$C$4:$C$503,_calc!$E$674))=0,"",INDEX('Dealer pipeline'!$C$4:$C$503,_calc!$E$674))&amp;" – "&amp;IF(LEN(INDEX('Dealer pipeline'!$D$4:$D$503,_calc!$E$674))=0,"",INDEX('Dealer pipeline'!$D$4:$D$503,_calc!$E$674))&amp;" – "&amp;IF(LEN(INDEX('Dealer pipeline'!$A$4:$A$503,_calc!$E$674))=0,"",INDEX('Dealer pipeline'!$A$4:$A$503,_calc!$E$674)),"Warranty – "&amp;IF(LEN(INDEX('My equipment'!$A$4:$A$503,(_calc!$E$674-500)))=0,"",INDEX('My equipment'!$A$4:$A$503,(_calc!$E$674-500)))&amp;" – "&amp;IF(LEN(INDEX('My equipment'!$D$4:$D$503,(_calc!$E$674-500)))=0,"",INDEX('My equipment'!$D$4:$D$503,(_calc!$E$674-500)))))</f>
        <v/>
      </c>
      <c r="B672" s="54">
        <f>IF(_calc!$E$674="","",IF(_calc!$E$674&lt;=500,IF(ISNUMBER(INDEX('Dealer pipeline'!$M$4:$M$503,_calc!$E$674)),TEXT(INDEX('Dealer pipeline'!$M$4:$M$503,_calc!$E$674),"yyyy-mm-dd"),""),IF(ISNUMBER(INDEX('My equipment'!$M$4:$M$503,(_calc!$E$674-500))),TEXT(INDEX('My equipment'!$M$4:$M$503,(_calc!$E$674-500)),"yyyy-mm-dd"),"")))</f>
        <v/>
      </c>
      <c r="C672" s="54">
        <f>IF(_calc!$E$674="","",IF(_calc!$E$674&lt;=500,"Warranty","Warranty"))</f>
        <v/>
      </c>
      <c r="D672" s="54">
        <f>IF(_calc!$E$674="","",IF(_calc!$E$674&lt;=500,IF(ISNUMBER(INDEX('Dealer pipeline'!$H$4:$H$503,_calc!$E$674)),TEXT(INDEX('Dealer pipeline'!$H$4:$H$503,_calc!$E$674),"yyyy-mm-dd"),""),IF(ISNUMBER(INDEX('My equipment'!$H$4:$H$503,(_calc!$E$674-500))),TEXT(INDEX('My equipment'!$H$4:$H$503,(_calc!$E$674-500)),"yyyy-mm-dd"),"")))</f>
        <v/>
      </c>
      <c r="F672" s="54">
        <f>IF(_calc!$E$674="","",IF(_calc!$E$674&lt;=500,TRIM(IF(LEN(IF(LEN(INDEX('Dealer pipeline'!$A$4:$A$503,_calc!$E$674))=0,"",INDEX('Dealer pipeline'!$A$4:$A$503,_calc!$E$674)))=0,"","Customer: "&amp;IF(LEN(INDEX('Dealer pipeline'!$A$4:$A$503,_calc!$E$674))=0,"",INDEX('Dealer pipeline'!$A$4:$A$503,_calc!$E$674))&amp;". ")&amp;IF(LEN(IF(LEN(INDEX('Dealer pipeline'!$B$4:$B$503,_calc!$E$674))=0,"",INDEX('Dealer pipeline'!$B$4:$B$503,_calc!$E$674)))=0,"","Contact: "&amp;IF(LEN(INDEX('Dealer pipeline'!$B$4:$B$503,_calc!$E$674))=0,"",INDEX('Dealer pipeline'!$B$4:$B$503,_calc!$E$674))&amp;". ")&amp;IF(LEN(IF(LEN(INDEX('Dealer pipeline'!$D$4:$D$503,_calc!$E$674))=0,"",INDEX('Dealer pipeline'!$D$4:$D$503,_calc!$E$674)))=0,"","Serial: "&amp;IF(LEN(INDEX('Dealer pipeline'!$D$4:$D$503,_calc!$E$674))=0,"",INDEX('Dealer pipeline'!$D$4:$D$503,_calc!$E$674))&amp;". ")&amp;IF(LEN(IF(ISNUMBER(INDEX('Dealer pipeline'!$J$4:$J$503,_calc!$E$674)),TEXT(INDEX('Dealer pipeline'!$J$4:$J$503,_calc!$E$674),"yyyy-mm-dd"),""))=0,"","Parts end: "&amp;IF(ISNUMBER(INDEX('Dealer pipeline'!$J$4:$J$503,_calc!$E$674)),TEXT(INDEX('Dealer pipeline'!$J$4:$J$503,_calc!$E$674),"yyyy-mm-dd"),"")&amp;". ")&amp;IF(LEN(IF(ISNUMBER(INDEX('Dealer pipeline'!$L$4:$L$503,_calc!$E$674)),TEXT(INDEX('Dealer pipeline'!$L$4:$L$503,_calc!$E$674),"yyyy-mm-dd"),""))=0,"","Labor end: "&amp;IF(ISNUMBER(INDEX('Dealer pipeline'!$L$4:$L$503,_calc!$E$674)),TEXT(INDEX('Dealer pipeline'!$L$4:$L$503,_calc!$E$674),"yyyy-mm-dd"),"")&amp;". ")&amp;IF(LEN(IF(LEN(INDEX('Dealer pipeline'!$Q$4:$Q$503,_calc!$E$674))=0,"",INDEX('Dealer pipeline'!$Q$4:$Q$503,_calc!$E$674)))=0,"","Status: "&amp;IF(LEN(INDEX('Dealer pipeline'!$Q$4:$Q$503,_calc!$E$674))=0,"",INDEX('Dealer pipeline'!$Q$4:$Q$503,_calc!$E$674))&amp;". ")&amp;IF(LEN(IF(LEN(INDEX('Dealer pipeline'!$P$4:$P$503,_calc!$E$674))=0,"",INDEX('Dealer pipeline'!$P$4:$P$503,_calc!$E$674)))=0,"","Last touch: "&amp;IF(LEN(INDEX('Dealer pipeline'!$P$4:$P$503,_calc!$E$674))=0,"",INDEX('Dealer pipeline'!$P$4:$P$503,_calc!$E$674))&amp;". ")&amp;IF(LEN(IF(LEN(INDEX('Dealer pipeline'!$R$4:$R$503,_calc!$E$674))=0,"",INDEX('Dealer pipeline'!$R$4:$R$503,_calc!$E$674)))=0,"","Owner: "&amp;IF(LEN(INDEX('Dealer pipeline'!$R$4:$R$503,_calc!$E$674))=0,"",INDEX('Dealer pipeline'!$R$4:$R$503,_calc!$E$674))&amp;". ")&amp;IF(LEN(IF(LEN(INDEX('Dealer pipeline'!$S$4:$S$503,_calc!$E$674))=0,"",INDEX('Dealer pipeline'!$S$4:$S$503,_calc!$E$674)))=0,"","Backup: "&amp;IF(LEN(INDEX('Dealer pipeline'!$S$4:$S$503,_calc!$E$674))=0,"",INDEX('Dealer pipeline'!$S$4:$S$503,_calc!$E$674))&amp;". ")&amp;IF(LEN(IF(LEN(INDEX('Dealer pipeline'!$T$4:$T$503,_calc!$E$674))=0,"",INDEX('Dealer pipeline'!$T$4:$T$503,_calc!$E$674)))=0,"",IF(LEN(INDEX('Dealer pipeline'!$T$4:$T$503,_calc!$E$674))=0,"",INDEX('Dealer pipeline'!$T$4:$T$503,_calc!$E$674)))),TRIM(IF(LEN(IF(LEN(INDEX('My equipment'!$C$4:$C$503,(_calc!$E$674-500)))=0,"",INDEX('My equipment'!$C$4:$C$503,(_calc!$E$674-500))))=0,"","Model: "&amp;IF(LEN(INDEX('My equipment'!$C$4:$C$503,(_calc!$E$674-500)))=0,"",INDEX('My equipment'!$C$4:$C$503,(_calc!$E$674-500)))&amp;". ")&amp;IF(LEN(IF(LEN(INDEX('My equipment'!$D$4:$D$503,(_calc!$E$674-500)))=0,"",INDEX('My equipment'!$D$4:$D$503,(_calc!$E$674-500))))=0,"","Serial: "&amp;IF(LEN(INDEX('My equipment'!$D$4:$D$503,(_calc!$E$674-500)))=0,"",INDEX('My equipment'!$D$4:$D$503,(_calc!$E$674-500)))&amp;". ")&amp;IF(LEN(IF(ISNUMBER(INDEX('My equipment'!$J$4:$J$503,(_calc!$E$674-500))),TEXT(INDEX('My equipment'!$J$4:$J$503,(_calc!$E$674-500)),"yyyy-mm-dd"),""))=0,"","Parts end: "&amp;IF(ISNUMBER(INDEX('My equipment'!$J$4:$J$503,(_calc!$E$674-500))),TEXT(INDEX('My equipment'!$J$4:$J$503,(_calc!$E$674-500)),"yyyy-mm-dd"),"")&amp;". ")&amp;IF(LEN(IF(ISNUMBER(INDEX('My equipment'!$L$4:$L$503,(_calc!$E$674-500))),TEXT(INDEX('My equipment'!$L$4:$L$503,(_calc!$E$674-500)),"yyyy-mm-dd"),""))=0,"","Labor end: "&amp;IF(ISNUMBER(INDEX('My equipment'!$L$4:$L$503,(_calc!$E$674-500))),TEXT(INDEX('My equipment'!$L$4:$L$503,(_calc!$E$674-500)),"yyyy-mm-dd"),"")&amp;". ")&amp;IF(LEN(IF(ISNUMBER(INDEX('My equipment'!$P$4:$P$503,(_calc!$E$674-500))),TEXT(INDEX('My equipment'!$P$4:$P$503,(_calc!$E$674-500)),"yyyy-mm-dd"),""))=0,"","Check by: "&amp;IF(ISNUMBER(INDEX('My equipment'!$P$4:$P$503,(_calc!$E$674-500))),TEXT(INDEX('My equipment'!$P$4:$P$503,(_calc!$E$674-500)),"yyyy-mm-dd"),"")&amp;". ")&amp;IF(LEN(IF(LEN(INDEX('My equipment'!$Q$4:$Q$503,(_calc!$E$674-500)))=0,"",INDEX('My equipment'!$Q$4:$Q$503,(_calc!$E$674-500))))=0,"","Claim status: "&amp;IF(LEN(INDEX('My equipment'!$Q$4:$Q$503,(_calc!$E$674-500)))=0,"",INDEX('My equipment'!$Q$4:$Q$503,(_calc!$E$674-500)))&amp;". ")&amp;IF(LEN(IF(LEN(INDEX('My equipment'!$R$4:$R$503,(_calc!$E$674-500)))=0,"",INDEX('My equipment'!$R$4:$R$503,(_calc!$E$674-500))))=0,"","Claims contact: "&amp;IF(LEN(INDEX('My equipment'!$R$4:$R$503,(_calc!$E$674-500)))=0,"",INDEX('My equipment'!$R$4:$R$503,(_calc!$E$674-500)))&amp;". ")&amp;IF(LEN(IF(LEN(INDEX('My equipment'!$S$4:$S$503,(_calc!$E$674-500)))=0,"",INDEX('My equipment'!$S$4:$S$503,(_calc!$E$674-500))))=0,"","Claims email: "&amp;IF(LEN(INDEX('My equipment'!$S$4:$S$503,(_calc!$E$674-500)))=0,"",INDEX('My equipment'!$S$4:$S$503,(_calc!$E$674-500)))&amp;". ")&amp;IF(LEN(IF(LEN(INDEX('My equipment'!$U$4:$U$503,(_calc!$E$674-500)))=0,"",INDEX('My equipment'!$U$4:$U$503,(_calc!$E$674-500))))=0,"","Registered: "&amp;IF(LEN(INDEX('My equipment'!$U$4:$U$503,(_calc!$E$674-500)))=0,"",INDEX('My equipment'!$U$4:$U$503,(_calc!$E$674-500)))&amp;". ")&amp;IF(LEN(IF(LEN(INDEX('My equipment'!$V$4:$V$503,(_calc!$E$674-500)))=0,"",INDEX('My equipment'!$V$4:$V$503,(_calc!$E$674-500))))=0,"","Proof on file: "&amp;IF(LEN(INDEX('My equipment'!$V$4:$V$503,(_calc!$E$674-500)))=0,"",INDEX('My equipment'!$V$4:$V$503,(_calc!$E$674-500)))&amp;". ")&amp;IF(LEN(IF(LEN(INDEX('My equipment'!$W$4:$W$503,(_calc!$E$674-500)))=0,"",INDEX('My equipment'!$W$4:$W$503,(_calc!$E$674-500))))=0,"","Claim ref: "&amp;IF(LEN(INDEX('My equipment'!$W$4:$W$503,(_calc!$E$674-500)))=0,"",INDEX('My equipment'!$W$4:$W$503,(_calc!$E$674-500)))&amp;". ")&amp;IF(LEN(IF(LEN(INDEX('My equipment'!$Y$4:$Y$503,(_calc!$E$674-500)))=0,"",INDEX('My equipment'!$Y$4:$Y$503,(_calc!$E$674-500))))=0,"",IF(LEN(INDEX('My equipment'!$Y$4:$Y$503,(_calc!$E$674-500)))=0,"",INDEX('My equipment'!$Y$4:$Y$503,(_calc!$E$674-500)))))))</f>
        <v/>
      </c>
      <c r="G672" s="54">
        <f>IF(_calc!$E$674="","",IF(_calc!$E$674&lt;=500,"",IF(LEN(INDEX('My equipment'!$X$4:$X$503,(_calc!$E$674-500)))=0,"",INDEX('My equipment'!$X$4:$X$503,(_calc!$E$674-500)))))</f>
        <v/>
      </c>
      <c r="K672" s="54">
        <f>IF(_calc!$E$674="","",IF(_calc!$E$674&lt;=500,"",IF(LEN(INDEX('My equipment'!$T$4:$T$503,(_calc!$E$674-500)))=0,"",INDEX('My equipment'!$T$4:$T$503,(_calc!$E$674-500)))))</f>
        <v/>
      </c>
    </row>
    <row r="673">
      <c r="A673" s="54">
        <f>IF(_calc!$E$675="","",IF(_calc!$E$675&lt;=500,"Warranty – "&amp;IF(LEN(INDEX('Dealer pipeline'!$C$4:$C$503,_calc!$E$675))=0,"",INDEX('Dealer pipeline'!$C$4:$C$503,_calc!$E$675))&amp;" – "&amp;IF(LEN(INDEX('Dealer pipeline'!$D$4:$D$503,_calc!$E$675))=0,"",INDEX('Dealer pipeline'!$D$4:$D$503,_calc!$E$675))&amp;" – "&amp;IF(LEN(INDEX('Dealer pipeline'!$A$4:$A$503,_calc!$E$675))=0,"",INDEX('Dealer pipeline'!$A$4:$A$503,_calc!$E$675)),"Warranty – "&amp;IF(LEN(INDEX('My equipment'!$A$4:$A$503,(_calc!$E$675-500)))=0,"",INDEX('My equipment'!$A$4:$A$503,(_calc!$E$675-500)))&amp;" – "&amp;IF(LEN(INDEX('My equipment'!$D$4:$D$503,(_calc!$E$675-500)))=0,"",INDEX('My equipment'!$D$4:$D$503,(_calc!$E$675-500)))))</f>
        <v/>
      </c>
      <c r="B673" s="54">
        <f>IF(_calc!$E$675="","",IF(_calc!$E$675&lt;=500,IF(ISNUMBER(INDEX('Dealer pipeline'!$M$4:$M$503,_calc!$E$675)),TEXT(INDEX('Dealer pipeline'!$M$4:$M$503,_calc!$E$675),"yyyy-mm-dd"),""),IF(ISNUMBER(INDEX('My equipment'!$M$4:$M$503,(_calc!$E$675-500))),TEXT(INDEX('My equipment'!$M$4:$M$503,(_calc!$E$675-500)),"yyyy-mm-dd"),"")))</f>
        <v/>
      </c>
      <c r="C673" s="54">
        <f>IF(_calc!$E$675="","",IF(_calc!$E$675&lt;=500,"Warranty","Warranty"))</f>
        <v/>
      </c>
      <c r="D673" s="54">
        <f>IF(_calc!$E$675="","",IF(_calc!$E$675&lt;=500,IF(ISNUMBER(INDEX('Dealer pipeline'!$H$4:$H$503,_calc!$E$675)),TEXT(INDEX('Dealer pipeline'!$H$4:$H$503,_calc!$E$675),"yyyy-mm-dd"),""),IF(ISNUMBER(INDEX('My equipment'!$H$4:$H$503,(_calc!$E$675-500))),TEXT(INDEX('My equipment'!$H$4:$H$503,(_calc!$E$675-500)),"yyyy-mm-dd"),"")))</f>
        <v/>
      </c>
      <c r="F673" s="54">
        <f>IF(_calc!$E$675="","",IF(_calc!$E$675&lt;=500,TRIM(IF(LEN(IF(LEN(INDEX('Dealer pipeline'!$A$4:$A$503,_calc!$E$675))=0,"",INDEX('Dealer pipeline'!$A$4:$A$503,_calc!$E$675)))=0,"","Customer: "&amp;IF(LEN(INDEX('Dealer pipeline'!$A$4:$A$503,_calc!$E$675))=0,"",INDEX('Dealer pipeline'!$A$4:$A$503,_calc!$E$675))&amp;". ")&amp;IF(LEN(IF(LEN(INDEX('Dealer pipeline'!$B$4:$B$503,_calc!$E$675))=0,"",INDEX('Dealer pipeline'!$B$4:$B$503,_calc!$E$675)))=0,"","Contact: "&amp;IF(LEN(INDEX('Dealer pipeline'!$B$4:$B$503,_calc!$E$675))=0,"",INDEX('Dealer pipeline'!$B$4:$B$503,_calc!$E$675))&amp;". ")&amp;IF(LEN(IF(LEN(INDEX('Dealer pipeline'!$D$4:$D$503,_calc!$E$675))=0,"",INDEX('Dealer pipeline'!$D$4:$D$503,_calc!$E$675)))=0,"","Serial: "&amp;IF(LEN(INDEX('Dealer pipeline'!$D$4:$D$503,_calc!$E$675))=0,"",INDEX('Dealer pipeline'!$D$4:$D$503,_calc!$E$675))&amp;". ")&amp;IF(LEN(IF(ISNUMBER(INDEX('Dealer pipeline'!$J$4:$J$503,_calc!$E$675)),TEXT(INDEX('Dealer pipeline'!$J$4:$J$503,_calc!$E$675),"yyyy-mm-dd"),""))=0,"","Parts end: "&amp;IF(ISNUMBER(INDEX('Dealer pipeline'!$J$4:$J$503,_calc!$E$675)),TEXT(INDEX('Dealer pipeline'!$J$4:$J$503,_calc!$E$675),"yyyy-mm-dd"),"")&amp;". ")&amp;IF(LEN(IF(ISNUMBER(INDEX('Dealer pipeline'!$L$4:$L$503,_calc!$E$675)),TEXT(INDEX('Dealer pipeline'!$L$4:$L$503,_calc!$E$675),"yyyy-mm-dd"),""))=0,"","Labor end: "&amp;IF(ISNUMBER(INDEX('Dealer pipeline'!$L$4:$L$503,_calc!$E$675)),TEXT(INDEX('Dealer pipeline'!$L$4:$L$503,_calc!$E$675),"yyyy-mm-dd"),"")&amp;". ")&amp;IF(LEN(IF(LEN(INDEX('Dealer pipeline'!$Q$4:$Q$503,_calc!$E$675))=0,"",INDEX('Dealer pipeline'!$Q$4:$Q$503,_calc!$E$675)))=0,"","Status: "&amp;IF(LEN(INDEX('Dealer pipeline'!$Q$4:$Q$503,_calc!$E$675))=0,"",INDEX('Dealer pipeline'!$Q$4:$Q$503,_calc!$E$675))&amp;". ")&amp;IF(LEN(IF(LEN(INDEX('Dealer pipeline'!$P$4:$P$503,_calc!$E$675))=0,"",INDEX('Dealer pipeline'!$P$4:$P$503,_calc!$E$675)))=0,"","Last touch: "&amp;IF(LEN(INDEX('Dealer pipeline'!$P$4:$P$503,_calc!$E$675))=0,"",INDEX('Dealer pipeline'!$P$4:$P$503,_calc!$E$675))&amp;". ")&amp;IF(LEN(IF(LEN(INDEX('Dealer pipeline'!$R$4:$R$503,_calc!$E$675))=0,"",INDEX('Dealer pipeline'!$R$4:$R$503,_calc!$E$675)))=0,"","Owner: "&amp;IF(LEN(INDEX('Dealer pipeline'!$R$4:$R$503,_calc!$E$675))=0,"",INDEX('Dealer pipeline'!$R$4:$R$503,_calc!$E$675))&amp;". ")&amp;IF(LEN(IF(LEN(INDEX('Dealer pipeline'!$S$4:$S$503,_calc!$E$675))=0,"",INDEX('Dealer pipeline'!$S$4:$S$503,_calc!$E$675)))=0,"","Backup: "&amp;IF(LEN(INDEX('Dealer pipeline'!$S$4:$S$503,_calc!$E$675))=0,"",INDEX('Dealer pipeline'!$S$4:$S$503,_calc!$E$675))&amp;". ")&amp;IF(LEN(IF(LEN(INDEX('Dealer pipeline'!$T$4:$T$503,_calc!$E$675))=0,"",INDEX('Dealer pipeline'!$T$4:$T$503,_calc!$E$675)))=0,"",IF(LEN(INDEX('Dealer pipeline'!$T$4:$T$503,_calc!$E$675))=0,"",INDEX('Dealer pipeline'!$T$4:$T$503,_calc!$E$675)))),TRIM(IF(LEN(IF(LEN(INDEX('My equipment'!$C$4:$C$503,(_calc!$E$675-500)))=0,"",INDEX('My equipment'!$C$4:$C$503,(_calc!$E$675-500))))=0,"","Model: "&amp;IF(LEN(INDEX('My equipment'!$C$4:$C$503,(_calc!$E$675-500)))=0,"",INDEX('My equipment'!$C$4:$C$503,(_calc!$E$675-500)))&amp;". ")&amp;IF(LEN(IF(LEN(INDEX('My equipment'!$D$4:$D$503,(_calc!$E$675-500)))=0,"",INDEX('My equipment'!$D$4:$D$503,(_calc!$E$675-500))))=0,"","Serial: "&amp;IF(LEN(INDEX('My equipment'!$D$4:$D$503,(_calc!$E$675-500)))=0,"",INDEX('My equipment'!$D$4:$D$503,(_calc!$E$675-500)))&amp;". ")&amp;IF(LEN(IF(ISNUMBER(INDEX('My equipment'!$J$4:$J$503,(_calc!$E$675-500))),TEXT(INDEX('My equipment'!$J$4:$J$503,(_calc!$E$675-500)),"yyyy-mm-dd"),""))=0,"","Parts end: "&amp;IF(ISNUMBER(INDEX('My equipment'!$J$4:$J$503,(_calc!$E$675-500))),TEXT(INDEX('My equipment'!$J$4:$J$503,(_calc!$E$675-500)),"yyyy-mm-dd"),"")&amp;". ")&amp;IF(LEN(IF(ISNUMBER(INDEX('My equipment'!$L$4:$L$503,(_calc!$E$675-500))),TEXT(INDEX('My equipment'!$L$4:$L$503,(_calc!$E$675-500)),"yyyy-mm-dd"),""))=0,"","Labor end: "&amp;IF(ISNUMBER(INDEX('My equipment'!$L$4:$L$503,(_calc!$E$675-500))),TEXT(INDEX('My equipment'!$L$4:$L$503,(_calc!$E$675-500)),"yyyy-mm-dd"),"")&amp;". ")&amp;IF(LEN(IF(ISNUMBER(INDEX('My equipment'!$P$4:$P$503,(_calc!$E$675-500))),TEXT(INDEX('My equipment'!$P$4:$P$503,(_calc!$E$675-500)),"yyyy-mm-dd"),""))=0,"","Check by: "&amp;IF(ISNUMBER(INDEX('My equipment'!$P$4:$P$503,(_calc!$E$675-500))),TEXT(INDEX('My equipment'!$P$4:$P$503,(_calc!$E$675-500)),"yyyy-mm-dd"),"")&amp;". ")&amp;IF(LEN(IF(LEN(INDEX('My equipment'!$Q$4:$Q$503,(_calc!$E$675-500)))=0,"",INDEX('My equipment'!$Q$4:$Q$503,(_calc!$E$675-500))))=0,"","Claim status: "&amp;IF(LEN(INDEX('My equipment'!$Q$4:$Q$503,(_calc!$E$675-500)))=0,"",INDEX('My equipment'!$Q$4:$Q$503,(_calc!$E$675-500)))&amp;". ")&amp;IF(LEN(IF(LEN(INDEX('My equipment'!$R$4:$R$503,(_calc!$E$675-500)))=0,"",INDEX('My equipment'!$R$4:$R$503,(_calc!$E$675-500))))=0,"","Claims contact: "&amp;IF(LEN(INDEX('My equipment'!$R$4:$R$503,(_calc!$E$675-500)))=0,"",INDEX('My equipment'!$R$4:$R$503,(_calc!$E$675-500)))&amp;". ")&amp;IF(LEN(IF(LEN(INDEX('My equipment'!$S$4:$S$503,(_calc!$E$675-500)))=0,"",INDEX('My equipment'!$S$4:$S$503,(_calc!$E$675-500))))=0,"","Claims email: "&amp;IF(LEN(INDEX('My equipment'!$S$4:$S$503,(_calc!$E$675-500)))=0,"",INDEX('My equipment'!$S$4:$S$503,(_calc!$E$675-500)))&amp;". ")&amp;IF(LEN(IF(LEN(INDEX('My equipment'!$U$4:$U$503,(_calc!$E$675-500)))=0,"",INDEX('My equipment'!$U$4:$U$503,(_calc!$E$675-500))))=0,"","Registered: "&amp;IF(LEN(INDEX('My equipment'!$U$4:$U$503,(_calc!$E$675-500)))=0,"",INDEX('My equipment'!$U$4:$U$503,(_calc!$E$675-500)))&amp;". ")&amp;IF(LEN(IF(LEN(INDEX('My equipment'!$V$4:$V$503,(_calc!$E$675-500)))=0,"",INDEX('My equipment'!$V$4:$V$503,(_calc!$E$675-500))))=0,"","Proof on file: "&amp;IF(LEN(INDEX('My equipment'!$V$4:$V$503,(_calc!$E$675-500)))=0,"",INDEX('My equipment'!$V$4:$V$503,(_calc!$E$675-500)))&amp;". ")&amp;IF(LEN(IF(LEN(INDEX('My equipment'!$W$4:$W$503,(_calc!$E$675-500)))=0,"",INDEX('My equipment'!$W$4:$W$503,(_calc!$E$675-500))))=0,"","Claim ref: "&amp;IF(LEN(INDEX('My equipment'!$W$4:$W$503,(_calc!$E$675-500)))=0,"",INDEX('My equipment'!$W$4:$W$503,(_calc!$E$675-500)))&amp;". ")&amp;IF(LEN(IF(LEN(INDEX('My equipment'!$Y$4:$Y$503,(_calc!$E$675-500)))=0,"",INDEX('My equipment'!$Y$4:$Y$503,(_calc!$E$675-500))))=0,"",IF(LEN(INDEX('My equipment'!$Y$4:$Y$503,(_calc!$E$675-500)))=0,"",INDEX('My equipment'!$Y$4:$Y$503,(_calc!$E$675-500)))))))</f>
        <v/>
      </c>
      <c r="G673" s="54">
        <f>IF(_calc!$E$675="","",IF(_calc!$E$675&lt;=500,"",IF(LEN(INDEX('My equipment'!$X$4:$X$503,(_calc!$E$675-500)))=0,"",INDEX('My equipment'!$X$4:$X$503,(_calc!$E$675-500)))))</f>
        <v/>
      </c>
      <c r="K673" s="54">
        <f>IF(_calc!$E$675="","",IF(_calc!$E$675&lt;=500,"",IF(LEN(INDEX('My equipment'!$T$4:$T$503,(_calc!$E$675-500)))=0,"",INDEX('My equipment'!$T$4:$T$503,(_calc!$E$675-500)))))</f>
        <v/>
      </c>
    </row>
    <row r="674">
      <c r="A674" s="54">
        <f>IF(_calc!$E$676="","",IF(_calc!$E$676&lt;=500,"Warranty – "&amp;IF(LEN(INDEX('Dealer pipeline'!$C$4:$C$503,_calc!$E$676))=0,"",INDEX('Dealer pipeline'!$C$4:$C$503,_calc!$E$676))&amp;" – "&amp;IF(LEN(INDEX('Dealer pipeline'!$D$4:$D$503,_calc!$E$676))=0,"",INDEX('Dealer pipeline'!$D$4:$D$503,_calc!$E$676))&amp;" – "&amp;IF(LEN(INDEX('Dealer pipeline'!$A$4:$A$503,_calc!$E$676))=0,"",INDEX('Dealer pipeline'!$A$4:$A$503,_calc!$E$676)),"Warranty – "&amp;IF(LEN(INDEX('My equipment'!$A$4:$A$503,(_calc!$E$676-500)))=0,"",INDEX('My equipment'!$A$4:$A$503,(_calc!$E$676-500)))&amp;" – "&amp;IF(LEN(INDEX('My equipment'!$D$4:$D$503,(_calc!$E$676-500)))=0,"",INDEX('My equipment'!$D$4:$D$503,(_calc!$E$676-500)))))</f>
        <v/>
      </c>
      <c r="B674" s="54">
        <f>IF(_calc!$E$676="","",IF(_calc!$E$676&lt;=500,IF(ISNUMBER(INDEX('Dealer pipeline'!$M$4:$M$503,_calc!$E$676)),TEXT(INDEX('Dealer pipeline'!$M$4:$M$503,_calc!$E$676),"yyyy-mm-dd"),""),IF(ISNUMBER(INDEX('My equipment'!$M$4:$M$503,(_calc!$E$676-500))),TEXT(INDEX('My equipment'!$M$4:$M$503,(_calc!$E$676-500)),"yyyy-mm-dd"),"")))</f>
        <v/>
      </c>
      <c r="C674" s="54">
        <f>IF(_calc!$E$676="","",IF(_calc!$E$676&lt;=500,"Warranty","Warranty"))</f>
        <v/>
      </c>
      <c r="D674" s="54">
        <f>IF(_calc!$E$676="","",IF(_calc!$E$676&lt;=500,IF(ISNUMBER(INDEX('Dealer pipeline'!$H$4:$H$503,_calc!$E$676)),TEXT(INDEX('Dealer pipeline'!$H$4:$H$503,_calc!$E$676),"yyyy-mm-dd"),""),IF(ISNUMBER(INDEX('My equipment'!$H$4:$H$503,(_calc!$E$676-500))),TEXT(INDEX('My equipment'!$H$4:$H$503,(_calc!$E$676-500)),"yyyy-mm-dd"),"")))</f>
        <v/>
      </c>
      <c r="F674" s="54">
        <f>IF(_calc!$E$676="","",IF(_calc!$E$676&lt;=500,TRIM(IF(LEN(IF(LEN(INDEX('Dealer pipeline'!$A$4:$A$503,_calc!$E$676))=0,"",INDEX('Dealer pipeline'!$A$4:$A$503,_calc!$E$676)))=0,"","Customer: "&amp;IF(LEN(INDEX('Dealer pipeline'!$A$4:$A$503,_calc!$E$676))=0,"",INDEX('Dealer pipeline'!$A$4:$A$503,_calc!$E$676))&amp;". ")&amp;IF(LEN(IF(LEN(INDEX('Dealer pipeline'!$B$4:$B$503,_calc!$E$676))=0,"",INDEX('Dealer pipeline'!$B$4:$B$503,_calc!$E$676)))=0,"","Contact: "&amp;IF(LEN(INDEX('Dealer pipeline'!$B$4:$B$503,_calc!$E$676))=0,"",INDEX('Dealer pipeline'!$B$4:$B$503,_calc!$E$676))&amp;". ")&amp;IF(LEN(IF(LEN(INDEX('Dealer pipeline'!$D$4:$D$503,_calc!$E$676))=0,"",INDEX('Dealer pipeline'!$D$4:$D$503,_calc!$E$676)))=0,"","Serial: "&amp;IF(LEN(INDEX('Dealer pipeline'!$D$4:$D$503,_calc!$E$676))=0,"",INDEX('Dealer pipeline'!$D$4:$D$503,_calc!$E$676))&amp;". ")&amp;IF(LEN(IF(ISNUMBER(INDEX('Dealer pipeline'!$J$4:$J$503,_calc!$E$676)),TEXT(INDEX('Dealer pipeline'!$J$4:$J$503,_calc!$E$676),"yyyy-mm-dd"),""))=0,"","Parts end: "&amp;IF(ISNUMBER(INDEX('Dealer pipeline'!$J$4:$J$503,_calc!$E$676)),TEXT(INDEX('Dealer pipeline'!$J$4:$J$503,_calc!$E$676),"yyyy-mm-dd"),"")&amp;". ")&amp;IF(LEN(IF(ISNUMBER(INDEX('Dealer pipeline'!$L$4:$L$503,_calc!$E$676)),TEXT(INDEX('Dealer pipeline'!$L$4:$L$503,_calc!$E$676),"yyyy-mm-dd"),""))=0,"","Labor end: "&amp;IF(ISNUMBER(INDEX('Dealer pipeline'!$L$4:$L$503,_calc!$E$676)),TEXT(INDEX('Dealer pipeline'!$L$4:$L$503,_calc!$E$676),"yyyy-mm-dd"),"")&amp;". ")&amp;IF(LEN(IF(LEN(INDEX('Dealer pipeline'!$Q$4:$Q$503,_calc!$E$676))=0,"",INDEX('Dealer pipeline'!$Q$4:$Q$503,_calc!$E$676)))=0,"","Status: "&amp;IF(LEN(INDEX('Dealer pipeline'!$Q$4:$Q$503,_calc!$E$676))=0,"",INDEX('Dealer pipeline'!$Q$4:$Q$503,_calc!$E$676))&amp;". ")&amp;IF(LEN(IF(LEN(INDEX('Dealer pipeline'!$P$4:$P$503,_calc!$E$676))=0,"",INDEX('Dealer pipeline'!$P$4:$P$503,_calc!$E$676)))=0,"","Last touch: "&amp;IF(LEN(INDEX('Dealer pipeline'!$P$4:$P$503,_calc!$E$676))=0,"",INDEX('Dealer pipeline'!$P$4:$P$503,_calc!$E$676))&amp;". ")&amp;IF(LEN(IF(LEN(INDEX('Dealer pipeline'!$R$4:$R$503,_calc!$E$676))=0,"",INDEX('Dealer pipeline'!$R$4:$R$503,_calc!$E$676)))=0,"","Owner: "&amp;IF(LEN(INDEX('Dealer pipeline'!$R$4:$R$503,_calc!$E$676))=0,"",INDEX('Dealer pipeline'!$R$4:$R$503,_calc!$E$676))&amp;". ")&amp;IF(LEN(IF(LEN(INDEX('Dealer pipeline'!$S$4:$S$503,_calc!$E$676))=0,"",INDEX('Dealer pipeline'!$S$4:$S$503,_calc!$E$676)))=0,"","Backup: "&amp;IF(LEN(INDEX('Dealer pipeline'!$S$4:$S$503,_calc!$E$676))=0,"",INDEX('Dealer pipeline'!$S$4:$S$503,_calc!$E$676))&amp;". ")&amp;IF(LEN(IF(LEN(INDEX('Dealer pipeline'!$T$4:$T$503,_calc!$E$676))=0,"",INDEX('Dealer pipeline'!$T$4:$T$503,_calc!$E$676)))=0,"",IF(LEN(INDEX('Dealer pipeline'!$T$4:$T$503,_calc!$E$676))=0,"",INDEX('Dealer pipeline'!$T$4:$T$503,_calc!$E$676)))),TRIM(IF(LEN(IF(LEN(INDEX('My equipment'!$C$4:$C$503,(_calc!$E$676-500)))=0,"",INDEX('My equipment'!$C$4:$C$503,(_calc!$E$676-500))))=0,"","Model: "&amp;IF(LEN(INDEX('My equipment'!$C$4:$C$503,(_calc!$E$676-500)))=0,"",INDEX('My equipment'!$C$4:$C$503,(_calc!$E$676-500)))&amp;". ")&amp;IF(LEN(IF(LEN(INDEX('My equipment'!$D$4:$D$503,(_calc!$E$676-500)))=0,"",INDEX('My equipment'!$D$4:$D$503,(_calc!$E$676-500))))=0,"","Serial: "&amp;IF(LEN(INDEX('My equipment'!$D$4:$D$503,(_calc!$E$676-500)))=0,"",INDEX('My equipment'!$D$4:$D$503,(_calc!$E$676-500)))&amp;". ")&amp;IF(LEN(IF(ISNUMBER(INDEX('My equipment'!$J$4:$J$503,(_calc!$E$676-500))),TEXT(INDEX('My equipment'!$J$4:$J$503,(_calc!$E$676-500)),"yyyy-mm-dd"),""))=0,"","Parts end: "&amp;IF(ISNUMBER(INDEX('My equipment'!$J$4:$J$503,(_calc!$E$676-500))),TEXT(INDEX('My equipment'!$J$4:$J$503,(_calc!$E$676-500)),"yyyy-mm-dd"),"")&amp;". ")&amp;IF(LEN(IF(ISNUMBER(INDEX('My equipment'!$L$4:$L$503,(_calc!$E$676-500))),TEXT(INDEX('My equipment'!$L$4:$L$503,(_calc!$E$676-500)),"yyyy-mm-dd"),""))=0,"","Labor end: "&amp;IF(ISNUMBER(INDEX('My equipment'!$L$4:$L$503,(_calc!$E$676-500))),TEXT(INDEX('My equipment'!$L$4:$L$503,(_calc!$E$676-500)),"yyyy-mm-dd"),"")&amp;". ")&amp;IF(LEN(IF(ISNUMBER(INDEX('My equipment'!$P$4:$P$503,(_calc!$E$676-500))),TEXT(INDEX('My equipment'!$P$4:$P$503,(_calc!$E$676-500)),"yyyy-mm-dd"),""))=0,"","Check by: "&amp;IF(ISNUMBER(INDEX('My equipment'!$P$4:$P$503,(_calc!$E$676-500))),TEXT(INDEX('My equipment'!$P$4:$P$503,(_calc!$E$676-500)),"yyyy-mm-dd"),"")&amp;". ")&amp;IF(LEN(IF(LEN(INDEX('My equipment'!$Q$4:$Q$503,(_calc!$E$676-500)))=0,"",INDEX('My equipment'!$Q$4:$Q$503,(_calc!$E$676-500))))=0,"","Claim status: "&amp;IF(LEN(INDEX('My equipment'!$Q$4:$Q$503,(_calc!$E$676-500)))=0,"",INDEX('My equipment'!$Q$4:$Q$503,(_calc!$E$676-500)))&amp;". ")&amp;IF(LEN(IF(LEN(INDEX('My equipment'!$R$4:$R$503,(_calc!$E$676-500)))=0,"",INDEX('My equipment'!$R$4:$R$503,(_calc!$E$676-500))))=0,"","Claims contact: "&amp;IF(LEN(INDEX('My equipment'!$R$4:$R$503,(_calc!$E$676-500)))=0,"",INDEX('My equipment'!$R$4:$R$503,(_calc!$E$676-500)))&amp;". ")&amp;IF(LEN(IF(LEN(INDEX('My equipment'!$S$4:$S$503,(_calc!$E$676-500)))=0,"",INDEX('My equipment'!$S$4:$S$503,(_calc!$E$676-500))))=0,"","Claims email: "&amp;IF(LEN(INDEX('My equipment'!$S$4:$S$503,(_calc!$E$676-500)))=0,"",INDEX('My equipment'!$S$4:$S$503,(_calc!$E$676-500)))&amp;". ")&amp;IF(LEN(IF(LEN(INDEX('My equipment'!$U$4:$U$503,(_calc!$E$676-500)))=0,"",INDEX('My equipment'!$U$4:$U$503,(_calc!$E$676-500))))=0,"","Registered: "&amp;IF(LEN(INDEX('My equipment'!$U$4:$U$503,(_calc!$E$676-500)))=0,"",INDEX('My equipment'!$U$4:$U$503,(_calc!$E$676-500)))&amp;". ")&amp;IF(LEN(IF(LEN(INDEX('My equipment'!$V$4:$V$503,(_calc!$E$676-500)))=0,"",INDEX('My equipment'!$V$4:$V$503,(_calc!$E$676-500))))=0,"","Proof on file: "&amp;IF(LEN(INDEX('My equipment'!$V$4:$V$503,(_calc!$E$676-500)))=0,"",INDEX('My equipment'!$V$4:$V$503,(_calc!$E$676-500)))&amp;". ")&amp;IF(LEN(IF(LEN(INDEX('My equipment'!$W$4:$W$503,(_calc!$E$676-500)))=0,"",INDEX('My equipment'!$W$4:$W$503,(_calc!$E$676-500))))=0,"","Claim ref: "&amp;IF(LEN(INDEX('My equipment'!$W$4:$W$503,(_calc!$E$676-500)))=0,"",INDEX('My equipment'!$W$4:$W$503,(_calc!$E$676-500)))&amp;". ")&amp;IF(LEN(IF(LEN(INDEX('My equipment'!$Y$4:$Y$503,(_calc!$E$676-500)))=0,"",INDEX('My equipment'!$Y$4:$Y$503,(_calc!$E$676-500))))=0,"",IF(LEN(INDEX('My equipment'!$Y$4:$Y$503,(_calc!$E$676-500)))=0,"",INDEX('My equipment'!$Y$4:$Y$503,(_calc!$E$676-500)))))))</f>
        <v/>
      </c>
      <c r="G674" s="54">
        <f>IF(_calc!$E$676="","",IF(_calc!$E$676&lt;=500,"",IF(LEN(INDEX('My equipment'!$X$4:$X$503,(_calc!$E$676-500)))=0,"",INDEX('My equipment'!$X$4:$X$503,(_calc!$E$676-500)))))</f>
        <v/>
      </c>
      <c r="K674" s="54">
        <f>IF(_calc!$E$676="","",IF(_calc!$E$676&lt;=500,"",IF(LEN(INDEX('My equipment'!$T$4:$T$503,(_calc!$E$676-500)))=0,"",INDEX('My equipment'!$T$4:$T$503,(_calc!$E$676-500)))))</f>
        <v/>
      </c>
    </row>
    <row r="675">
      <c r="A675" s="54">
        <f>IF(_calc!$E$677="","",IF(_calc!$E$677&lt;=500,"Warranty – "&amp;IF(LEN(INDEX('Dealer pipeline'!$C$4:$C$503,_calc!$E$677))=0,"",INDEX('Dealer pipeline'!$C$4:$C$503,_calc!$E$677))&amp;" – "&amp;IF(LEN(INDEX('Dealer pipeline'!$D$4:$D$503,_calc!$E$677))=0,"",INDEX('Dealer pipeline'!$D$4:$D$503,_calc!$E$677))&amp;" – "&amp;IF(LEN(INDEX('Dealer pipeline'!$A$4:$A$503,_calc!$E$677))=0,"",INDEX('Dealer pipeline'!$A$4:$A$503,_calc!$E$677)),"Warranty – "&amp;IF(LEN(INDEX('My equipment'!$A$4:$A$503,(_calc!$E$677-500)))=0,"",INDEX('My equipment'!$A$4:$A$503,(_calc!$E$677-500)))&amp;" – "&amp;IF(LEN(INDEX('My equipment'!$D$4:$D$503,(_calc!$E$677-500)))=0,"",INDEX('My equipment'!$D$4:$D$503,(_calc!$E$677-500)))))</f>
        <v/>
      </c>
      <c r="B675" s="54">
        <f>IF(_calc!$E$677="","",IF(_calc!$E$677&lt;=500,IF(ISNUMBER(INDEX('Dealer pipeline'!$M$4:$M$503,_calc!$E$677)),TEXT(INDEX('Dealer pipeline'!$M$4:$M$503,_calc!$E$677),"yyyy-mm-dd"),""),IF(ISNUMBER(INDEX('My equipment'!$M$4:$M$503,(_calc!$E$677-500))),TEXT(INDEX('My equipment'!$M$4:$M$503,(_calc!$E$677-500)),"yyyy-mm-dd"),"")))</f>
        <v/>
      </c>
      <c r="C675" s="54">
        <f>IF(_calc!$E$677="","",IF(_calc!$E$677&lt;=500,"Warranty","Warranty"))</f>
        <v/>
      </c>
      <c r="D675" s="54">
        <f>IF(_calc!$E$677="","",IF(_calc!$E$677&lt;=500,IF(ISNUMBER(INDEX('Dealer pipeline'!$H$4:$H$503,_calc!$E$677)),TEXT(INDEX('Dealer pipeline'!$H$4:$H$503,_calc!$E$677),"yyyy-mm-dd"),""),IF(ISNUMBER(INDEX('My equipment'!$H$4:$H$503,(_calc!$E$677-500))),TEXT(INDEX('My equipment'!$H$4:$H$503,(_calc!$E$677-500)),"yyyy-mm-dd"),"")))</f>
        <v/>
      </c>
      <c r="F675" s="54">
        <f>IF(_calc!$E$677="","",IF(_calc!$E$677&lt;=500,TRIM(IF(LEN(IF(LEN(INDEX('Dealer pipeline'!$A$4:$A$503,_calc!$E$677))=0,"",INDEX('Dealer pipeline'!$A$4:$A$503,_calc!$E$677)))=0,"","Customer: "&amp;IF(LEN(INDEX('Dealer pipeline'!$A$4:$A$503,_calc!$E$677))=0,"",INDEX('Dealer pipeline'!$A$4:$A$503,_calc!$E$677))&amp;". ")&amp;IF(LEN(IF(LEN(INDEX('Dealer pipeline'!$B$4:$B$503,_calc!$E$677))=0,"",INDEX('Dealer pipeline'!$B$4:$B$503,_calc!$E$677)))=0,"","Contact: "&amp;IF(LEN(INDEX('Dealer pipeline'!$B$4:$B$503,_calc!$E$677))=0,"",INDEX('Dealer pipeline'!$B$4:$B$503,_calc!$E$677))&amp;". ")&amp;IF(LEN(IF(LEN(INDEX('Dealer pipeline'!$D$4:$D$503,_calc!$E$677))=0,"",INDEX('Dealer pipeline'!$D$4:$D$503,_calc!$E$677)))=0,"","Serial: "&amp;IF(LEN(INDEX('Dealer pipeline'!$D$4:$D$503,_calc!$E$677))=0,"",INDEX('Dealer pipeline'!$D$4:$D$503,_calc!$E$677))&amp;". ")&amp;IF(LEN(IF(ISNUMBER(INDEX('Dealer pipeline'!$J$4:$J$503,_calc!$E$677)),TEXT(INDEX('Dealer pipeline'!$J$4:$J$503,_calc!$E$677),"yyyy-mm-dd"),""))=0,"","Parts end: "&amp;IF(ISNUMBER(INDEX('Dealer pipeline'!$J$4:$J$503,_calc!$E$677)),TEXT(INDEX('Dealer pipeline'!$J$4:$J$503,_calc!$E$677),"yyyy-mm-dd"),"")&amp;". ")&amp;IF(LEN(IF(ISNUMBER(INDEX('Dealer pipeline'!$L$4:$L$503,_calc!$E$677)),TEXT(INDEX('Dealer pipeline'!$L$4:$L$503,_calc!$E$677),"yyyy-mm-dd"),""))=0,"","Labor end: "&amp;IF(ISNUMBER(INDEX('Dealer pipeline'!$L$4:$L$503,_calc!$E$677)),TEXT(INDEX('Dealer pipeline'!$L$4:$L$503,_calc!$E$677),"yyyy-mm-dd"),"")&amp;". ")&amp;IF(LEN(IF(LEN(INDEX('Dealer pipeline'!$Q$4:$Q$503,_calc!$E$677))=0,"",INDEX('Dealer pipeline'!$Q$4:$Q$503,_calc!$E$677)))=0,"","Status: "&amp;IF(LEN(INDEX('Dealer pipeline'!$Q$4:$Q$503,_calc!$E$677))=0,"",INDEX('Dealer pipeline'!$Q$4:$Q$503,_calc!$E$677))&amp;". ")&amp;IF(LEN(IF(LEN(INDEX('Dealer pipeline'!$P$4:$P$503,_calc!$E$677))=0,"",INDEX('Dealer pipeline'!$P$4:$P$503,_calc!$E$677)))=0,"","Last touch: "&amp;IF(LEN(INDEX('Dealer pipeline'!$P$4:$P$503,_calc!$E$677))=0,"",INDEX('Dealer pipeline'!$P$4:$P$503,_calc!$E$677))&amp;". ")&amp;IF(LEN(IF(LEN(INDEX('Dealer pipeline'!$R$4:$R$503,_calc!$E$677))=0,"",INDEX('Dealer pipeline'!$R$4:$R$503,_calc!$E$677)))=0,"","Owner: "&amp;IF(LEN(INDEX('Dealer pipeline'!$R$4:$R$503,_calc!$E$677))=0,"",INDEX('Dealer pipeline'!$R$4:$R$503,_calc!$E$677))&amp;". ")&amp;IF(LEN(IF(LEN(INDEX('Dealer pipeline'!$S$4:$S$503,_calc!$E$677))=0,"",INDEX('Dealer pipeline'!$S$4:$S$503,_calc!$E$677)))=0,"","Backup: "&amp;IF(LEN(INDEX('Dealer pipeline'!$S$4:$S$503,_calc!$E$677))=0,"",INDEX('Dealer pipeline'!$S$4:$S$503,_calc!$E$677))&amp;". ")&amp;IF(LEN(IF(LEN(INDEX('Dealer pipeline'!$T$4:$T$503,_calc!$E$677))=0,"",INDEX('Dealer pipeline'!$T$4:$T$503,_calc!$E$677)))=0,"",IF(LEN(INDEX('Dealer pipeline'!$T$4:$T$503,_calc!$E$677))=0,"",INDEX('Dealer pipeline'!$T$4:$T$503,_calc!$E$677)))),TRIM(IF(LEN(IF(LEN(INDEX('My equipment'!$C$4:$C$503,(_calc!$E$677-500)))=0,"",INDEX('My equipment'!$C$4:$C$503,(_calc!$E$677-500))))=0,"","Model: "&amp;IF(LEN(INDEX('My equipment'!$C$4:$C$503,(_calc!$E$677-500)))=0,"",INDEX('My equipment'!$C$4:$C$503,(_calc!$E$677-500)))&amp;". ")&amp;IF(LEN(IF(LEN(INDEX('My equipment'!$D$4:$D$503,(_calc!$E$677-500)))=0,"",INDEX('My equipment'!$D$4:$D$503,(_calc!$E$677-500))))=0,"","Serial: "&amp;IF(LEN(INDEX('My equipment'!$D$4:$D$503,(_calc!$E$677-500)))=0,"",INDEX('My equipment'!$D$4:$D$503,(_calc!$E$677-500)))&amp;". ")&amp;IF(LEN(IF(ISNUMBER(INDEX('My equipment'!$J$4:$J$503,(_calc!$E$677-500))),TEXT(INDEX('My equipment'!$J$4:$J$503,(_calc!$E$677-500)),"yyyy-mm-dd"),""))=0,"","Parts end: "&amp;IF(ISNUMBER(INDEX('My equipment'!$J$4:$J$503,(_calc!$E$677-500))),TEXT(INDEX('My equipment'!$J$4:$J$503,(_calc!$E$677-500)),"yyyy-mm-dd"),"")&amp;". ")&amp;IF(LEN(IF(ISNUMBER(INDEX('My equipment'!$L$4:$L$503,(_calc!$E$677-500))),TEXT(INDEX('My equipment'!$L$4:$L$503,(_calc!$E$677-500)),"yyyy-mm-dd"),""))=0,"","Labor end: "&amp;IF(ISNUMBER(INDEX('My equipment'!$L$4:$L$503,(_calc!$E$677-500))),TEXT(INDEX('My equipment'!$L$4:$L$503,(_calc!$E$677-500)),"yyyy-mm-dd"),"")&amp;". ")&amp;IF(LEN(IF(ISNUMBER(INDEX('My equipment'!$P$4:$P$503,(_calc!$E$677-500))),TEXT(INDEX('My equipment'!$P$4:$P$503,(_calc!$E$677-500)),"yyyy-mm-dd"),""))=0,"","Check by: "&amp;IF(ISNUMBER(INDEX('My equipment'!$P$4:$P$503,(_calc!$E$677-500))),TEXT(INDEX('My equipment'!$P$4:$P$503,(_calc!$E$677-500)),"yyyy-mm-dd"),"")&amp;". ")&amp;IF(LEN(IF(LEN(INDEX('My equipment'!$Q$4:$Q$503,(_calc!$E$677-500)))=0,"",INDEX('My equipment'!$Q$4:$Q$503,(_calc!$E$677-500))))=0,"","Claim status: "&amp;IF(LEN(INDEX('My equipment'!$Q$4:$Q$503,(_calc!$E$677-500)))=0,"",INDEX('My equipment'!$Q$4:$Q$503,(_calc!$E$677-500)))&amp;". ")&amp;IF(LEN(IF(LEN(INDEX('My equipment'!$R$4:$R$503,(_calc!$E$677-500)))=0,"",INDEX('My equipment'!$R$4:$R$503,(_calc!$E$677-500))))=0,"","Claims contact: "&amp;IF(LEN(INDEX('My equipment'!$R$4:$R$503,(_calc!$E$677-500)))=0,"",INDEX('My equipment'!$R$4:$R$503,(_calc!$E$677-500)))&amp;". ")&amp;IF(LEN(IF(LEN(INDEX('My equipment'!$S$4:$S$503,(_calc!$E$677-500)))=0,"",INDEX('My equipment'!$S$4:$S$503,(_calc!$E$677-500))))=0,"","Claims email: "&amp;IF(LEN(INDEX('My equipment'!$S$4:$S$503,(_calc!$E$677-500)))=0,"",INDEX('My equipment'!$S$4:$S$503,(_calc!$E$677-500)))&amp;". ")&amp;IF(LEN(IF(LEN(INDEX('My equipment'!$U$4:$U$503,(_calc!$E$677-500)))=0,"",INDEX('My equipment'!$U$4:$U$503,(_calc!$E$677-500))))=0,"","Registered: "&amp;IF(LEN(INDEX('My equipment'!$U$4:$U$503,(_calc!$E$677-500)))=0,"",INDEX('My equipment'!$U$4:$U$503,(_calc!$E$677-500)))&amp;". ")&amp;IF(LEN(IF(LEN(INDEX('My equipment'!$V$4:$V$503,(_calc!$E$677-500)))=0,"",INDEX('My equipment'!$V$4:$V$503,(_calc!$E$677-500))))=0,"","Proof on file: "&amp;IF(LEN(INDEX('My equipment'!$V$4:$V$503,(_calc!$E$677-500)))=0,"",INDEX('My equipment'!$V$4:$V$503,(_calc!$E$677-500)))&amp;". ")&amp;IF(LEN(IF(LEN(INDEX('My equipment'!$W$4:$W$503,(_calc!$E$677-500)))=0,"",INDEX('My equipment'!$W$4:$W$503,(_calc!$E$677-500))))=0,"","Claim ref: "&amp;IF(LEN(INDEX('My equipment'!$W$4:$W$503,(_calc!$E$677-500)))=0,"",INDEX('My equipment'!$W$4:$W$503,(_calc!$E$677-500)))&amp;". ")&amp;IF(LEN(IF(LEN(INDEX('My equipment'!$Y$4:$Y$503,(_calc!$E$677-500)))=0,"",INDEX('My equipment'!$Y$4:$Y$503,(_calc!$E$677-500))))=0,"",IF(LEN(INDEX('My equipment'!$Y$4:$Y$503,(_calc!$E$677-500)))=0,"",INDEX('My equipment'!$Y$4:$Y$503,(_calc!$E$677-500)))))))</f>
        <v/>
      </c>
      <c r="G675" s="54">
        <f>IF(_calc!$E$677="","",IF(_calc!$E$677&lt;=500,"",IF(LEN(INDEX('My equipment'!$X$4:$X$503,(_calc!$E$677-500)))=0,"",INDEX('My equipment'!$X$4:$X$503,(_calc!$E$677-500)))))</f>
        <v/>
      </c>
      <c r="K675" s="54">
        <f>IF(_calc!$E$677="","",IF(_calc!$E$677&lt;=500,"",IF(LEN(INDEX('My equipment'!$T$4:$T$503,(_calc!$E$677-500)))=0,"",INDEX('My equipment'!$T$4:$T$503,(_calc!$E$677-500)))))</f>
        <v/>
      </c>
    </row>
    <row r="676">
      <c r="A676" s="54">
        <f>IF(_calc!$E$678="","",IF(_calc!$E$678&lt;=500,"Warranty – "&amp;IF(LEN(INDEX('Dealer pipeline'!$C$4:$C$503,_calc!$E$678))=0,"",INDEX('Dealer pipeline'!$C$4:$C$503,_calc!$E$678))&amp;" – "&amp;IF(LEN(INDEX('Dealer pipeline'!$D$4:$D$503,_calc!$E$678))=0,"",INDEX('Dealer pipeline'!$D$4:$D$503,_calc!$E$678))&amp;" – "&amp;IF(LEN(INDEX('Dealer pipeline'!$A$4:$A$503,_calc!$E$678))=0,"",INDEX('Dealer pipeline'!$A$4:$A$503,_calc!$E$678)),"Warranty – "&amp;IF(LEN(INDEX('My equipment'!$A$4:$A$503,(_calc!$E$678-500)))=0,"",INDEX('My equipment'!$A$4:$A$503,(_calc!$E$678-500)))&amp;" – "&amp;IF(LEN(INDEX('My equipment'!$D$4:$D$503,(_calc!$E$678-500)))=0,"",INDEX('My equipment'!$D$4:$D$503,(_calc!$E$678-500)))))</f>
        <v/>
      </c>
      <c r="B676" s="54">
        <f>IF(_calc!$E$678="","",IF(_calc!$E$678&lt;=500,IF(ISNUMBER(INDEX('Dealer pipeline'!$M$4:$M$503,_calc!$E$678)),TEXT(INDEX('Dealer pipeline'!$M$4:$M$503,_calc!$E$678),"yyyy-mm-dd"),""),IF(ISNUMBER(INDEX('My equipment'!$M$4:$M$503,(_calc!$E$678-500))),TEXT(INDEX('My equipment'!$M$4:$M$503,(_calc!$E$678-500)),"yyyy-mm-dd"),"")))</f>
        <v/>
      </c>
      <c r="C676" s="54">
        <f>IF(_calc!$E$678="","",IF(_calc!$E$678&lt;=500,"Warranty","Warranty"))</f>
        <v/>
      </c>
      <c r="D676" s="54">
        <f>IF(_calc!$E$678="","",IF(_calc!$E$678&lt;=500,IF(ISNUMBER(INDEX('Dealer pipeline'!$H$4:$H$503,_calc!$E$678)),TEXT(INDEX('Dealer pipeline'!$H$4:$H$503,_calc!$E$678),"yyyy-mm-dd"),""),IF(ISNUMBER(INDEX('My equipment'!$H$4:$H$503,(_calc!$E$678-500))),TEXT(INDEX('My equipment'!$H$4:$H$503,(_calc!$E$678-500)),"yyyy-mm-dd"),"")))</f>
        <v/>
      </c>
      <c r="F676" s="54">
        <f>IF(_calc!$E$678="","",IF(_calc!$E$678&lt;=500,TRIM(IF(LEN(IF(LEN(INDEX('Dealer pipeline'!$A$4:$A$503,_calc!$E$678))=0,"",INDEX('Dealer pipeline'!$A$4:$A$503,_calc!$E$678)))=0,"","Customer: "&amp;IF(LEN(INDEX('Dealer pipeline'!$A$4:$A$503,_calc!$E$678))=0,"",INDEX('Dealer pipeline'!$A$4:$A$503,_calc!$E$678))&amp;". ")&amp;IF(LEN(IF(LEN(INDEX('Dealer pipeline'!$B$4:$B$503,_calc!$E$678))=0,"",INDEX('Dealer pipeline'!$B$4:$B$503,_calc!$E$678)))=0,"","Contact: "&amp;IF(LEN(INDEX('Dealer pipeline'!$B$4:$B$503,_calc!$E$678))=0,"",INDEX('Dealer pipeline'!$B$4:$B$503,_calc!$E$678))&amp;". ")&amp;IF(LEN(IF(LEN(INDEX('Dealer pipeline'!$D$4:$D$503,_calc!$E$678))=0,"",INDEX('Dealer pipeline'!$D$4:$D$503,_calc!$E$678)))=0,"","Serial: "&amp;IF(LEN(INDEX('Dealer pipeline'!$D$4:$D$503,_calc!$E$678))=0,"",INDEX('Dealer pipeline'!$D$4:$D$503,_calc!$E$678))&amp;". ")&amp;IF(LEN(IF(ISNUMBER(INDEX('Dealer pipeline'!$J$4:$J$503,_calc!$E$678)),TEXT(INDEX('Dealer pipeline'!$J$4:$J$503,_calc!$E$678),"yyyy-mm-dd"),""))=0,"","Parts end: "&amp;IF(ISNUMBER(INDEX('Dealer pipeline'!$J$4:$J$503,_calc!$E$678)),TEXT(INDEX('Dealer pipeline'!$J$4:$J$503,_calc!$E$678),"yyyy-mm-dd"),"")&amp;". ")&amp;IF(LEN(IF(ISNUMBER(INDEX('Dealer pipeline'!$L$4:$L$503,_calc!$E$678)),TEXT(INDEX('Dealer pipeline'!$L$4:$L$503,_calc!$E$678),"yyyy-mm-dd"),""))=0,"","Labor end: "&amp;IF(ISNUMBER(INDEX('Dealer pipeline'!$L$4:$L$503,_calc!$E$678)),TEXT(INDEX('Dealer pipeline'!$L$4:$L$503,_calc!$E$678),"yyyy-mm-dd"),"")&amp;". ")&amp;IF(LEN(IF(LEN(INDEX('Dealer pipeline'!$Q$4:$Q$503,_calc!$E$678))=0,"",INDEX('Dealer pipeline'!$Q$4:$Q$503,_calc!$E$678)))=0,"","Status: "&amp;IF(LEN(INDEX('Dealer pipeline'!$Q$4:$Q$503,_calc!$E$678))=0,"",INDEX('Dealer pipeline'!$Q$4:$Q$503,_calc!$E$678))&amp;". ")&amp;IF(LEN(IF(LEN(INDEX('Dealer pipeline'!$P$4:$P$503,_calc!$E$678))=0,"",INDEX('Dealer pipeline'!$P$4:$P$503,_calc!$E$678)))=0,"","Last touch: "&amp;IF(LEN(INDEX('Dealer pipeline'!$P$4:$P$503,_calc!$E$678))=0,"",INDEX('Dealer pipeline'!$P$4:$P$503,_calc!$E$678))&amp;". ")&amp;IF(LEN(IF(LEN(INDEX('Dealer pipeline'!$R$4:$R$503,_calc!$E$678))=0,"",INDEX('Dealer pipeline'!$R$4:$R$503,_calc!$E$678)))=0,"","Owner: "&amp;IF(LEN(INDEX('Dealer pipeline'!$R$4:$R$503,_calc!$E$678))=0,"",INDEX('Dealer pipeline'!$R$4:$R$503,_calc!$E$678))&amp;". ")&amp;IF(LEN(IF(LEN(INDEX('Dealer pipeline'!$S$4:$S$503,_calc!$E$678))=0,"",INDEX('Dealer pipeline'!$S$4:$S$503,_calc!$E$678)))=0,"","Backup: "&amp;IF(LEN(INDEX('Dealer pipeline'!$S$4:$S$503,_calc!$E$678))=0,"",INDEX('Dealer pipeline'!$S$4:$S$503,_calc!$E$678))&amp;". ")&amp;IF(LEN(IF(LEN(INDEX('Dealer pipeline'!$T$4:$T$503,_calc!$E$678))=0,"",INDEX('Dealer pipeline'!$T$4:$T$503,_calc!$E$678)))=0,"",IF(LEN(INDEX('Dealer pipeline'!$T$4:$T$503,_calc!$E$678))=0,"",INDEX('Dealer pipeline'!$T$4:$T$503,_calc!$E$678)))),TRIM(IF(LEN(IF(LEN(INDEX('My equipment'!$C$4:$C$503,(_calc!$E$678-500)))=0,"",INDEX('My equipment'!$C$4:$C$503,(_calc!$E$678-500))))=0,"","Model: "&amp;IF(LEN(INDEX('My equipment'!$C$4:$C$503,(_calc!$E$678-500)))=0,"",INDEX('My equipment'!$C$4:$C$503,(_calc!$E$678-500)))&amp;". ")&amp;IF(LEN(IF(LEN(INDEX('My equipment'!$D$4:$D$503,(_calc!$E$678-500)))=0,"",INDEX('My equipment'!$D$4:$D$503,(_calc!$E$678-500))))=0,"","Serial: "&amp;IF(LEN(INDEX('My equipment'!$D$4:$D$503,(_calc!$E$678-500)))=0,"",INDEX('My equipment'!$D$4:$D$503,(_calc!$E$678-500)))&amp;". ")&amp;IF(LEN(IF(ISNUMBER(INDEX('My equipment'!$J$4:$J$503,(_calc!$E$678-500))),TEXT(INDEX('My equipment'!$J$4:$J$503,(_calc!$E$678-500)),"yyyy-mm-dd"),""))=0,"","Parts end: "&amp;IF(ISNUMBER(INDEX('My equipment'!$J$4:$J$503,(_calc!$E$678-500))),TEXT(INDEX('My equipment'!$J$4:$J$503,(_calc!$E$678-500)),"yyyy-mm-dd"),"")&amp;". ")&amp;IF(LEN(IF(ISNUMBER(INDEX('My equipment'!$L$4:$L$503,(_calc!$E$678-500))),TEXT(INDEX('My equipment'!$L$4:$L$503,(_calc!$E$678-500)),"yyyy-mm-dd"),""))=0,"","Labor end: "&amp;IF(ISNUMBER(INDEX('My equipment'!$L$4:$L$503,(_calc!$E$678-500))),TEXT(INDEX('My equipment'!$L$4:$L$503,(_calc!$E$678-500)),"yyyy-mm-dd"),"")&amp;". ")&amp;IF(LEN(IF(ISNUMBER(INDEX('My equipment'!$P$4:$P$503,(_calc!$E$678-500))),TEXT(INDEX('My equipment'!$P$4:$P$503,(_calc!$E$678-500)),"yyyy-mm-dd"),""))=0,"","Check by: "&amp;IF(ISNUMBER(INDEX('My equipment'!$P$4:$P$503,(_calc!$E$678-500))),TEXT(INDEX('My equipment'!$P$4:$P$503,(_calc!$E$678-500)),"yyyy-mm-dd"),"")&amp;". ")&amp;IF(LEN(IF(LEN(INDEX('My equipment'!$Q$4:$Q$503,(_calc!$E$678-500)))=0,"",INDEX('My equipment'!$Q$4:$Q$503,(_calc!$E$678-500))))=0,"","Claim status: "&amp;IF(LEN(INDEX('My equipment'!$Q$4:$Q$503,(_calc!$E$678-500)))=0,"",INDEX('My equipment'!$Q$4:$Q$503,(_calc!$E$678-500)))&amp;". ")&amp;IF(LEN(IF(LEN(INDEX('My equipment'!$R$4:$R$503,(_calc!$E$678-500)))=0,"",INDEX('My equipment'!$R$4:$R$503,(_calc!$E$678-500))))=0,"","Claims contact: "&amp;IF(LEN(INDEX('My equipment'!$R$4:$R$503,(_calc!$E$678-500)))=0,"",INDEX('My equipment'!$R$4:$R$503,(_calc!$E$678-500)))&amp;". ")&amp;IF(LEN(IF(LEN(INDEX('My equipment'!$S$4:$S$503,(_calc!$E$678-500)))=0,"",INDEX('My equipment'!$S$4:$S$503,(_calc!$E$678-500))))=0,"","Claims email: "&amp;IF(LEN(INDEX('My equipment'!$S$4:$S$503,(_calc!$E$678-500)))=0,"",INDEX('My equipment'!$S$4:$S$503,(_calc!$E$678-500)))&amp;". ")&amp;IF(LEN(IF(LEN(INDEX('My equipment'!$U$4:$U$503,(_calc!$E$678-500)))=0,"",INDEX('My equipment'!$U$4:$U$503,(_calc!$E$678-500))))=0,"","Registered: "&amp;IF(LEN(INDEX('My equipment'!$U$4:$U$503,(_calc!$E$678-500)))=0,"",INDEX('My equipment'!$U$4:$U$503,(_calc!$E$678-500)))&amp;". ")&amp;IF(LEN(IF(LEN(INDEX('My equipment'!$V$4:$V$503,(_calc!$E$678-500)))=0,"",INDEX('My equipment'!$V$4:$V$503,(_calc!$E$678-500))))=0,"","Proof on file: "&amp;IF(LEN(INDEX('My equipment'!$V$4:$V$503,(_calc!$E$678-500)))=0,"",INDEX('My equipment'!$V$4:$V$503,(_calc!$E$678-500)))&amp;". ")&amp;IF(LEN(IF(LEN(INDEX('My equipment'!$W$4:$W$503,(_calc!$E$678-500)))=0,"",INDEX('My equipment'!$W$4:$W$503,(_calc!$E$678-500))))=0,"","Claim ref: "&amp;IF(LEN(INDEX('My equipment'!$W$4:$W$503,(_calc!$E$678-500)))=0,"",INDEX('My equipment'!$W$4:$W$503,(_calc!$E$678-500)))&amp;". ")&amp;IF(LEN(IF(LEN(INDEX('My equipment'!$Y$4:$Y$503,(_calc!$E$678-500)))=0,"",INDEX('My equipment'!$Y$4:$Y$503,(_calc!$E$678-500))))=0,"",IF(LEN(INDEX('My equipment'!$Y$4:$Y$503,(_calc!$E$678-500)))=0,"",INDEX('My equipment'!$Y$4:$Y$503,(_calc!$E$678-500)))))))</f>
        <v/>
      </c>
      <c r="G676" s="54">
        <f>IF(_calc!$E$678="","",IF(_calc!$E$678&lt;=500,"",IF(LEN(INDEX('My equipment'!$X$4:$X$503,(_calc!$E$678-500)))=0,"",INDEX('My equipment'!$X$4:$X$503,(_calc!$E$678-500)))))</f>
        <v/>
      </c>
      <c r="K676" s="54">
        <f>IF(_calc!$E$678="","",IF(_calc!$E$678&lt;=500,"",IF(LEN(INDEX('My equipment'!$T$4:$T$503,(_calc!$E$678-500)))=0,"",INDEX('My equipment'!$T$4:$T$503,(_calc!$E$678-500)))))</f>
        <v/>
      </c>
    </row>
    <row r="677">
      <c r="A677" s="54">
        <f>IF(_calc!$E$679="","",IF(_calc!$E$679&lt;=500,"Warranty – "&amp;IF(LEN(INDEX('Dealer pipeline'!$C$4:$C$503,_calc!$E$679))=0,"",INDEX('Dealer pipeline'!$C$4:$C$503,_calc!$E$679))&amp;" – "&amp;IF(LEN(INDEX('Dealer pipeline'!$D$4:$D$503,_calc!$E$679))=0,"",INDEX('Dealer pipeline'!$D$4:$D$503,_calc!$E$679))&amp;" – "&amp;IF(LEN(INDEX('Dealer pipeline'!$A$4:$A$503,_calc!$E$679))=0,"",INDEX('Dealer pipeline'!$A$4:$A$503,_calc!$E$679)),"Warranty – "&amp;IF(LEN(INDEX('My equipment'!$A$4:$A$503,(_calc!$E$679-500)))=0,"",INDEX('My equipment'!$A$4:$A$503,(_calc!$E$679-500)))&amp;" – "&amp;IF(LEN(INDEX('My equipment'!$D$4:$D$503,(_calc!$E$679-500)))=0,"",INDEX('My equipment'!$D$4:$D$503,(_calc!$E$679-500)))))</f>
        <v/>
      </c>
      <c r="B677" s="54">
        <f>IF(_calc!$E$679="","",IF(_calc!$E$679&lt;=500,IF(ISNUMBER(INDEX('Dealer pipeline'!$M$4:$M$503,_calc!$E$679)),TEXT(INDEX('Dealer pipeline'!$M$4:$M$503,_calc!$E$679),"yyyy-mm-dd"),""),IF(ISNUMBER(INDEX('My equipment'!$M$4:$M$503,(_calc!$E$679-500))),TEXT(INDEX('My equipment'!$M$4:$M$503,(_calc!$E$679-500)),"yyyy-mm-dd"),"")))</f>
        <v/>
      </c>
      <c r="C677" s="54">
        <f>IF(_calc!$E$679="","",IF(_calc!$E$679&lt;=500,"Warranty","Warranty"))</f>
        <v/>
      </c>
      <c r="D677" s="54">
        <f>IF(_calc!$E$679="","",IF(_calc!$E$679&lt;=500,IF(ISNUMBER(INDEX('Dealer pipeline'!$H$4:$H$503,_calc!$E$679)),TEXT(INDEX('Dealer pipeline'!$H$4:$H$503,_calc!$E$679),"yyyy-mm-dd"),""),IF(ISNUMBER(INDEX('My equipment'!$H$4:$H$503,(_calc!$E$679-500))),TEXT(INDEX('My equipment'!$H$4:$H$503,(_calc!$E$679-500)),"yyyy-mm-dd"),"")))</f>
        <v/>
      </c>
      <c r="F677" s="54">
        <f>IF(_calc!$E$679="","",IF(_calc!$E$679&lt;=500,TRIM(IF(LEN(IF(LEN(INDEX('Dealer pipeline'!$A$4:$A$503,_calc!$E$679))=0,"",INDEX('Dealer pipeline'!$A$4:$A$503,_calc!$E$679)))=0,"","Customer: "&amp;IF(LEN(INDEX('Dealer pipeline'!$A$4:$A$503,_calc!$E$679))=0,"",INDEX('Dealer pipeline'!$A$4:$A$503,_calc!$E$679))&amp;". ")&amp;IF(LEN(IF(LEN(INDEX('Dealer pipeline'!$B$4:$B$503,_calc!$E$679))=0,"",INDEX('Dealer pipeline'!$B$4:$B$503,_calc!$E$679)))=0,"","Contact: "&amp;IF(LEN(INDEX('Dealer pipeline'!$B$4:$B$503,_calc!$E$679))=0,"",INDEX('Dealer pipeline'!$B$4:$B$503,_calc!$E$679))&amp;". ")&amp;IF(LEN(IF(LEN(INDEX('Dealer pipeline'!$D$4:$D$503,_calc!$E$679))=0,"",INDEX('Dealer pipeline'!$D$4:$D$503,_calc!$E$679)))=0,"","Serial: "&amp;IF(LEN(INDEX('Dealer pipeline'!$D$4:$D$503,_calc!$E$679))=0,"",INDEX('Dealer pipeline'!$D$4:$D$503,_calc!$E$679))&amp;". ")&amp;IF(LEN(IF(ISNUMBER(INDEX('Dealer pipeline'!$J$4:$J$503,_calc!$E$679)),TEXT(INDEX('Dealer pipeline'!$J$4:$J$503,_calc!$E$679),"yyyy-mm-dd"),""))=0,"","Parts end: "&amp;IF(ISNUMBER(INDEX('Dealer pipeline'!$J$4:$J$503,_calc!$E$679)),TEXT(INDEX('Dealer pipeline'!$J$4:$J$503,_calc!$E$679),"yyyy-mm-dd"),"")&amp;". ")&amp;IF(LEN(IF(ISNUMBER(INDEX('Dealer pipeline'!$L$4:$L$503,_calc!$E$679)),TEXT(INDEX('Dealer pipeline'!$L$4:$L$503,_calc!$E$679),"yyyy-mm-dd"),""))=0,"","Labor end: "&amp;IF(ISNUMBER(INDEX('Dealer pipeline'!$L$4:$L$503,_calc!$E$679)),TEXT(INDEX('Dealer pipeline'!$L$4:$L$503,_calc!$E$679),"yyyy-mm-dd"),"")&amp;". ")&amp;IF(LEN(IF(LEN(INDEX('Dealer pipeline'!$Q$4:$Q$503,_calc!$E$679))=0,"",INDEX('Dealer pipeline'!$Q$4:$Q$503,_calc!$E$679)))=0,"","Status: "&amp;IF(LEN(INDEX('Dealer pipeline'!$Q$4:$Q$503,_calc!$E$679))=0,"",INDEX('Dealer pipeline'!$Q$4:$Q$503,_calc!$E$679))&amp;". ")&amp;IF(LEN(IF(LEN(INDEX('Dealer pipeline'!$P$4:$P$503,_calc!$E$679))=0,"",INDEX('Dealer pipeline'!$P$4:$P$503,_calc!$E$679)))=0,"","Last touch: "&amp;IF(LEN(INDEX('Dealer pipeline'!$P$4:$P$503,_calc!$E$679))=0,"",INDEX('Dealer pipeline'!$P$4:$P$503,_calc!$E$679))&amp;". ")&amp;IF(LEN(IF(LEN(INDEX('Dealer pipeline'!$R$4:$R$503,_calc!$E$679))=0,"",INDEX('Dealer pipeline'!$R$4:$R$503,_calc!$E$679)))=0,"","Owner: "&amp;IF(LEN(INDEX('Dealer pipeline'!$R$4:$R$503,_calc!$E$679))=0,"",INDEX('Dealer pipeline'!$R$4:$R$503,_calc!$E$679))&amp;". ")&amp;IF(LEN(IF(LEN(INDEX('Dealer pipeline'!$S$4:$S$503,_calc!$E$679))=0,"",INDEX('Dealer pipeline'!$S$4:$S$503,_calc!$E$679)))=0,"","Backup: "&amp;IF(LEN(INDEX('Dealer pipeline'!$S$4:$S$503,_calc!$E$679))=0,"",INDEX('Dealer pipeline'!$S$4:$S$503,_calc!$E$679))&amp;". ")&amp;IF(LEN(IF(LEN(INDEX('Dealer pipeline'!$T$4:$T$503,_calc!$E$679))=0,"",INDEX('Dealer pipeline'!$T$4:$T$503,_calc!$E$679)))=0,"",IF(LEN(INDEX('Dealer pipeline'!$T$4:$T$503,_calc!$E$679))=0,"",INDEX('Dealer pipeline'!$T$4:$T$503,_calc!$E$679)))),TRIM(IF(LEN(IF(LEN(INDEX('My equipment'!$C$4:$C$503,(_calc!$E$679-500)))=0,"",INDEX('My equipment'!$C$4:$C$503,(_calc!$E$679-500))))=0,"","Model: "&amp;IF(LEN(INDEX('My equipment'!$C$4:$C$503,(_calc!$E$679-500)))=0,"",INDEX('My equipment'!$C$4:$C$503,(_calc!$E$679-500)))&amp;". ")&amp;IF(LEN(IF(LEN(INDEX('My equipment'!$D$4:$D$503,(_calc!$E$679-500)))=0,"",INDEX('My equipment'!$D$4:$D$503,(_calc!$E$679-500))))=0,"","Serial: "&amp;IF(LEN(INDEX('My equipment'!$D$4:$D$503,(_calc!$E$679-500)))=0,"",INDEX('My equipment'!$D$4:$D$503,(_calc!$E$679-500)))&amp;". ")&amp;IF(LEN(IF(ISNUMBER(INDEX('My equipment'!$J$4:$J$503,(_calc!$E$679-500))),TEXT(INDEX('My equipment'!$J$4:$J$503,(_calc!$E$679-500)),"yyyy-mm-dd"),""))=0,"","Parts end: "&amp;IF(ISNUMBER(INDEX('My equipment'!$J$4:$J$503,(_calc!$E$679-500))),TEXT(INDEX('My equipment'!$J$4:$J$503,(_calc!$E$679-500)),"yyyy-mm-dd"),"")&amp;". ")&amp;IF(LEN(IF(ISNUMBER(INDEX('My equipment'!$L$4:$L$503,(_calc!$E$679-500))),TEXT(INDEX('My equipment'!$L$4:$L$503,(_calc!$E$679-500)),"yyyy-mm-dd"),""))=0,"","Labor end: "&amp;IF(ISNUMBER(INDEX('My equipment'!$L$4:$L$503,(_calc!$E$679-500))),TEXT(INDEX('My equipment'!$L$4:$L$503,(_calc!$E$679-500)),"yyyy-mm-dd"),"")&amp;". ")&amp;IF(LEN(IF(ISNUMBER(INDEX('My equipment'!$P$4:$P$503,(_calc!$E$679-500))),TEXT(INDEX('My equipment'!$P$4:$P$503,(_calc!$E$679-500)),"yyyy-mm-dd"),""))=0,"","Check by: "&amp;IF(ISNUMBER(INDEX('My equipment'!$P$4:$P$503,(_calc!$E$679-500))),TEXT(INDEX('My equipment'!$P$4:$P$503,(_calc!$E$679-500)),"yyyy-mm-dd"),"")&amp;". ")&amp;IF(LEN(IF(LEN(INDEX('My equipment'!$Q$4:$Q$503,(_calc!$E$679-500)))=0,"",INDEX('My equipment'!$Q$4:$Q$503,(_calc!$E$679-500))))=0,"","Claim status: "&amp;IF(LEN(INDEX('My equipment'!$Q$4:$Q$503,(_calc!$E$679-500)))=0,"",INDEX('My equipment'!$Q$4:$Q$503,(_calc!$E$679-500)))&amp;". ")&amp;IF(LEN(IF(LEN(INDEX('My equipment'!$R$4:$R$503,(_calc!$E$679-500)))=0,"",INDEX('My equipment'!$R$4:$R$503,(_calc!$E$679-500))))=0,"","Claims contact: "&amp;IF(LEN(INDEX('My equipment'!$R$4:$R$503,(_calc!$E$679-500)))=0,"",INDEX('My equipment'!$R$4:$R$503,(_calc!$E$679-500)))&amp;". ")&amp;IF(LEN(IF(LEN(INDEX('My equipment'!$S$4:$S$503,(_calc!$E$679-500)))=0,"",INDEX('My equipment'!$S$4:$S$503,(_calc!$E$679-500))))=0,"","Claims email: "&amp;IF(LEN(INDEX('My equipment'!$S$4:$S$503,(_calc!$E$679-500)))=0,"",INDEX('My equipment'!$S$4:$S$503,(_calc!$E$679-500)))&amp;". ")&amp;IF(LEN(IF(LEN(INDEX('My equipment'!$U$4:$U$503,(_calc!$E$679-500)))=0,"",INDEX('My equipment'!$U$4:$U$503,(_calc!$E$679-500))))=0,"","Registered: "&amp;IF(LEN(INDEX('My equipment'!$U$4:$U$503,(_calc!$E$679-500)))=0,"",INDEX('My equipment'!$U$4:$U$503,(_calc!$E$679-500)))&amp;". ")&amp;IF(LEN(IF(LEN(INDEX('My equipment'!$V$4:$V$503,(_calc!$E$679-500)))=0,"",INDEX('My equipment'!$V$4:$V$503,(_calc!$E$679-500))))=0,"","Proof on file: "&amp;IF(LEN(INDEX('My equipment'!$V$4:$V$503,(_calc!$E$679-500)))=0,"",INDEX('My equipment'!$V$4:$V$503,(_calc!$E$679-500)))&amp;". ")&amp;IF(LEN(IF(LEN(INDEX('My equipment'!$W$4:$W$503,(_calc!$E$679-500)))=0,"",INDEX('My equipment'!$W$4:$W$503,(_calc!$E$679-500))))=0,"","Claim ref: "&amp;IF(LEN(INDEX('My equipment'!$W$4:$W$503,(_calc!$E$679-500)))=0,"",INDEX('My equipment'!$W$4:$W$503,(_calc!$E$679-500)))&amp;". ")&amp;IF(LEN(IF(LEN(INDEX('My equipment'!$Y$4:$Y$503,(_calc!$E$679-500)))=0,"",INDEX('My equipment'!$Y$4:$Y$503,(_calc!$E$679-500))))=0,"",IF(LEN(INDEX('My equipment'!$Y$4:$Y$503,(_calc!$E$679-500)))=0,"",INDEX('My equipment'!$Y$4:$Y$503,(_calc!$E$679-500)))))))</f>
        <v/>
      </c>
      <c r="G677" s="54">
        <f>IF(_calc!$E$679="","",IF(_calc!$E$679&lt;=500,"",IF(LEN(INDEX('My equipment'!$X$4:$X$503,(_calc!$E$679-500)))=0,"",INDEX('My equipment'!$X$4:$X$503,(_calc!$E$679-500)))))</f>
        <v/>
      </c>
      <c r="K677" s="54">
        <f>IF(_calc!$E$679="","",IF(_calc!$E$679&lt;=500,"",IF(LEN(INDEX('My equipment'!$T$4:$T$503,(_calc!$E$679-500)))=0,"",INDEX('My equipment'!$T$4:$T$503,(_calc!$E$679-500)))))</f>
        <v/>
      </c>
    </row>
    <row r="678">
      <c r="A678" s="54">
        <f>IF(_calc!$E$680="","",IF(_calc!$E$680&lt;=500,"Warranty – "&amp;IF(LEN(INDEX('Dealer pipeline'!$C$4:$C$503,_calc!$E$680))=0,"",INDEX('Dealer pipeline'!$C$4:$C$503,_calc!$E$680))&amp;" – "&amp;IF(LEN(INDEX('Dealer pipeline'!$D$4:$D$503,_calc!$E$680))=0,"",INDEX('Dealer pipeline'!$D$4:$D$503,_calc!$E$680))&amp;" – "&amp;IF(LEN(INDEX('Dealer pipeline'!$A$4:$A$503,_calc!$E$680))=0,"",INDEX('Dealer pipeline'!$A$4:$A$503,_calc!$E$680)),"Warranty – "&amp;IF(LEN(INDEX('My equipment'!$A$4:$A$503,(_calc!$E$680-500)))=0,"",INDEX('My equipment'!$A$4:$A$503,(_calc!$E$680-500)))&amp;" – "&amp;IF(LEN(INDEX('My equipment'!$D$4:$D$503,(_calc!$E$680-500)))=0,"",INDEX('My equipment'!$D$4:$D$503,(_calc!$E$680-500)))))</f>
        <v/>
      </c>
      <c r="B678" s="54">
        <f>IF(_calc!$E$680="","",IF(_calc!$E$680&lt;=500,IF(ISNUMBER(INDEX('Dealer pipeline'!$M$4:$M$503,_calc!$E$680)),TEXT(INDEX('Dealer pipeline'!$M$4:$M$503,_calc!$E$680),"yyyy-mm-dd"),""),IF(ISNUMBER(INDEX('My equipment'!$M$4:$M$503,(_calc!$E$680-500))),TEXT(INDEX('My equipment'!$M$4:$M$503,(_calc!$E$680-500)),"yyyy-mm-dd"),"")))</f>
        <v/>
      </c>
      <c r="C678" s="54">
        <f>IF(_calc!$E$680="","",IF(_calc!$E$680&lt;=500,"Warranty","Warranty"))</f>
        <v/>
      </c>
      <c r="D678" s="54">
        <f>IF(_calc!$E$680="","",IF(_calc!$E$680&lt;=500,IF(ISNUMBER(INDEX('Dealer pipeline'!$H$4:$H$503,_calc!$E$680)),TEXT(INDEX('Dealer pipeline'!$H$4:$H$503,_calc!$E$680),"yyyy-mm-dd"),""),IF(ISNUMBER(INDEX('My equipment'!$H$4:$H$503,(_calc!$E$680-500))),TEXT(INDEX('My equipment'!$H$4:$H$503,(_calc!$E$680-500)),"yyyy-mm-dd"),"")))</f>
        <v/>
      </c>
      <c r="F678" s="54">
        <f>IF(_calc!$E$680="","",IF(_calc!$E$680&lt;=500,TRIM(IF(LEN(IF(LEN(INDEX('Dealer pipeline'!$A$4:$A$503,_calc!$E$680))=0,"",INDEX('Dealer pipeline'!$A$4:$A$503,_calc!$E$680)))=0,"","Customer: "&amp;IF(LEN(INDEX('Dealer pipeline'!$A$4:$A$503,_calc!$E$680))=0,"",INDEX('Dealer pipeline'!$A$4:$A$503,_calc!$E$680))&amp;". ")&amp;IF(LEN(IF(LEN(INDEX('Dealer pipeline'!$B$4:$B$503,_calc!$E$680))=0,"",INDEX('Dealer pipeline'!$B$4:$B$503,_calc!$E$680)))=0,"","Contact: "&amp;IF(LEN(INDEX('Dealer pipeline'!$B$4:$B$503,_calc!$E$680))=0,"",INDEX('Dealer pipeline'!$B$4:$B$503,_calc!$E$680))&amp;". ")&amp;IF(LEN(IF(LEN(INDEX('Dealer pipeline'!$D$4:$D$503,_calc!$E$680))=0,"",INDEX('Dealer pipeline'!$D$4:$D$503,_calc!$E$680)))=0,"","Serial: "&amp;IF(LEN(INDEX('Dealer pipeline'!$D$4:$D$503,_calc!$E$680))=0,"",INDEX('Dealer pipeline'!$D$4:$D$503,_calc!$E$680))&amp;". ")&amp;IF(LEN(IF(ISNUMBER(INDEX('Dealer pipeline'!$J$4:$J$503,_calc!$E$680)),TEXT(INDEX('Dealer pipeline'!$J$4:$J$503,_calc!$E$680),"yyyy-mm-dd"),""))=0,"","Parts end: "&amp;IF(ISNUMBER(INDEX('Dealer pipeline'!$J$4:$J$503,_calc!$E$680)),TEXT(INDEX('Dealer pipeline'!$J$4:$J$503,_calc!$E$680),"yyyy-mm-dd"),"")&amp;". ")&amp;IF(LEN(IF(ISNUMBER(INDEX('Dealer pipeline'!$L$4:$L$503,_calc!$E$680)),TEXT(INDEX('Dealer pipeline'!$L$4:$L$503,_calc!$E$680),"yyyy-mm-dd"),""))=0,"","Labor end: "&amp;IF(ISNUMBER(INDEX('Dealer pipeline'!$L$4:$L$503,_calc!$E$680)),TEXT(INDEX('Dealer pipeline'!$L$4:$L$503,_calc!$E$680),"yyyy-mm-dd"),"")&amp;". ")&amp;IF(LEN(IF(LEN(INDEX('Dealer pipeline'!$Q$4:$Q$503,_calc!$E$680))=0,"",INDEX('Dealer pipeline'!$Q$4:$Q$503,_calc!$E$680)))=0,"","Status: "&amp;IF(LEN(INDEX('Dealer pipeline'!$Q$4:$Q$503,_calc!$E$680))=0,"",INDEX('Dealer pipeline'!$Q$4:$Q$503,_calc!$E$680))&amp;". ")&amp;IF(LEN(IF(LEN(INDEX('Dealer pipeline'!$P$4:$P$503,_calc!$E$680))=0,"",INDEX('Dealer pipeline'!$P$4:$P$503,_calc!$E$680)))=0,"","Last touch: "&amp;IF(LEN(INDEX('Dealer pipeline'!$P$4:$P$503,_calc!$E$680))=0,"",INDEX('Dealer pipeline'!$P$4:$P$503,_calc!$E$680))&amp;". ")&amp;IF(LEN(IF(LEN(INDEX('Dealer pipeline'!$R$4:$R$503,_calc!$E$680))=0,"",INDEX('Dealer pipeline'!$R$4:$R$503,_calc!$E$680)))=0,"","Owner: "&amp;IF(LEN(INDEX('Dealer pipeline'!$R$4:$R$503,_calc!$E$680))=0,"",INDEX('Dealer pipeline'!$R$4:$R$503,_calc!$E$680))&amp;". ")&amp;IF(LEN(IF(LEN(INDEX('Dealer pipeline'!$S$4:$S$503,_calc!$E$680))=0,"",INDEX('Dealer pipeline'!$S$4:$S$503,_calc!$E$680)))=0,"","Backup: "&amp;IF(LEN(INDEX('Dealer pipeline'!$S$4:$S$503,_calc!$E$680))=0,"",INDEX('Dealer pipeline'!$S$4:$S$503,_calc!$E$680))&amp;". ")&amp;IF(LEN(IF(LEN(INDEX('Dealer pipeline'!$T$4:$T$503,_calc!$E$680))=0,"",INDEX('Dealer pipeline'!$T$4:$T$503,_calc!$E$680)))=0,"",IF(LEN(INDEX('Dealer pipeline'!$T$4:$T$503,_calc!$E$680))=0,"",INDEX('Dealer pipeline'!$T$4:$T$503,_calc!$E$680)))),TRIM(IF(LEN(IF(LEN(INDEX('My equipment'!$C$4:$C$503,(_calc!$E$680-500)))=0,"",INDEX('My equipment'!$C$4:$C$503,(_calc!$E$680-500))))=0,"","Model: "&amp;IF(LEN(INDEX('My equipment'!$C$4:$C$503,(_calc!$E$680-500)))=0,"",INDEX('My equipment'!$C$4:$C$503,(_calc!$E$680-500)))&amp;". ")&amp;IF(LEN(IF(LEN(INDEX('My equipment'!$D$4:$D$503,(_calc!$E$680-500)))=0,"",INDEX('My equipment'!$D$4:$D$503,(_calc!$E$680-500))))=0,"","Serial: "&amp;IF(LEN(INDEX('My equipment'!$D$4:$D$503,(_calc!$E$680-500)))=0,"",INDEX('My equipment'!$D$4:$D$503,(_calc!$E$680-500)))&amp;". ")&amp;IF(LEN(IF(ISNUMBER(INDEX('My equipment'!$J$4:$J$503,(_calc!$E$680-500))),TEXT(INDEX('My equipment'!$J$4:$J$503,(_calc!$E$680-500)),"yyyy-mm-dd"),""))=0,"","Parts end: "&amp;IF(ISNUMBER(INDEX('My equipment'!$J$4:$J$503,(_calc!$E$680-500))),TEXT(INDEX('My equipment'!$J$4:$J$503,(_calc!$E$680-500)),"yyyy-mm-dd"),"")&amp;". ")&amp;IF(LEN(IF(ISNUMBER(INDEX('My equipment'!$L$4:$L$503,(_calc!$E$680-500))),TEXT(INDEX('My equipment'!$L$4:$L$503,(_calc!$E$680-500)),"yyyy-mm-dd"),""))=0,"","Labor end: "&amp;IF(ISNUMBER(INDEX('My equipment'!$L$4:$L$503,(_calc!$E$680-500))),TEXT(INDEX('My equipment'!$L$4:$L$503,(_calc!$E$680-500)),"yyyy-mm-dd"),"")&amp;". ")&amp;IF(LEN(IF(ISNUMBER(INDEX('My equipment'!$P$4:$P$503,(_calc!$E$680-500))),TEXT(INDEX('My equipment'!$P$4:$P$503,(_calc!$E$680-500)),"yyyy-mm-dd"),""))=0,"","Check by: "&amp;IF(ISNUMBER(INDEX('My equipment'!$P$4:$P$503,(_calc!$E$680-500))),TEXT(INDEX('My equipment'!$P$4:$P$503,(_calc!$E$680-500)),"yyyy-mm-dd"),"")&amp;". ")&amp;IF(LEN(IF(LEN(INDEX('My equipment'!$Q$4:$Q$503,(_calc!$E$680-500)))=0,"",INDEX('My equipment'!$Q$4:$Q$503,(_calc!$E$680-500))))=0,"","Claim status: "&amp;IF(LEN(INDEX('My equipment'!$Q$4:$Q$503,(_calc!$E$680-500)))=0,"",INDEX('My equipment'!$Q$4:$Q$503,(_calc!$E$680-500)))&amp;". ")&amp;IF(LEN(IF(LEN(INDEX('My equipment'!$R$4:$R$503,(_calc!$E$680-500)))=0,"",INDEX('My equipment'!$R$4:$R$503,(_calc!$E$680-500))))=0,"","Claims contact: "&amp;IF(LEN(INDEX('My equipment'!$R$4:$R$503,(_calc!$E$680-500)))=0,"",INDEX('My equipment'!$R$4:$R$503,(_calc!$E$680-500)))&amp;". ")&amp;IF(LEN(IF(LEN(INDEX('My equipment'!$S$4:$S$503,(_calc!$E$680-500)))=0,"",INDEX('My equipment'!$S$4:$S$503,(_calc!$E$680-500))))=0,"","Claims email: "&amp;IF(LEN(INDEX('My equipment'!$S$4:$S$503,(_calc!$E$680-500)))=0,"",INDEX('My equipment'!$S$4:$S$503,(_calc!$E$680-500)))&amp;". ")&amp;IF(LEN(IF(LEN(INDEX('My equipment'!$U$4:$U$503,(_calc!$E$680-500)))=0,"",INDEX('My equipment'!$U$4:$U$503,(_calc!$E$680-500))))=0,"","Registered: "&amp;IF(LEN(INDEX('My equipment'!$U$4:$U$503,(_calc!$E$680-500)))=0,"",INDEX('My equipment'!$U$4:$U$503,(_calc!$E$680-500)))&amp;". ")&amp;IF(LEN(IF(LEN(INDEX('My equipment'!$V$4:$V$503,(_calc!$E$680-500)))=0,"",INDEX('My equipment'!$V$4:$V$503,(_calc!$E$680-500))))=0,"","Proof on file: "&amp;IF(LEN(INDEX('My equipment'!$V$4:$V$503,(_calc!$E$680-500)))=0,"",INDEX('My equipment'!$V$4:$V$503,(_calc!$E$680-500)))&amp;". ")&amp;IF(LEN(IF(LEN(INDEX('My equipment'!$W$4:$W$503,(_calc!$E$680-500)))=0,"",INDEX('My equipment'!$W$4:$W$503,(_calc!$E$680-500))))=0,"","Claim ref: "&amp;IF(LEN(INDEX('My equipment'!$W$4:$W$503,(_calc!$E$680-500)))=0,"",INDEX('My equipment'!$W$4:$W$503,(_calc!$E$680-500)))&amp;". ")&amp;IF(LEN(IF(LEN(INDEX('My equipment'!$Y$4:$Y$503,(_calc!$E$680-500)))=0,"",INDEX('My equipment'!$Y$4:$Y$503,(_calc!$E$680-500))))=0,"",IF(LEN(INDEX('My equipment'!$Y$4:$Y$503,(_calc!$E$680-500)))=0,"",INDEX('My equipment'!$Y$4:$Y$503,(_calc!$E$680-500)))))))</f>
        <v/>
      </c>
      <c r="G678" s="54">
        <f>IF(_calc!$E$680="","",IF(_calc!$E$680&lt;=500,"",IF(LEN(INDEX('My equipment'!$X$4:$X$503,(_calc!$E$680-500)))=0,"",INDEX('My equipment'!$X$4:$X$503,(_calc!$E$680-500)))))</f>
        <v/>
      </c>
      <c r="K678" s="54">
        <f>IF(_calc!$E$680="","",IF(_calc!$E$680&lt;=500,"",IF(LEN(INDEX('My equipment'!$T$4:$T$503,(_calc!$E$680-500)))=0,"",INDEX('My equipment'!$T$4:$T$503,(_calc!$E$680-500)))))</f>
        <v/>
      </c>
    </row>
    <row r="679">
      <c r="A679" s="54">
        <f>IF(_calc!$E$681="","",IF(_calc!$E$681&lt;=500,"Warranty – "&amp;IF(LEN(INDEX('Dealer pipeline'!$C$4:$C$503,_calc!$E$681))=0,"",INDEX('Dealer pipeline'!$C$4:$C$503,_calc!$E$681))&amp;" – "&amp;IF(LEN(INDEX('Dealer pipeline'!$D$4:$D$503,_calc!$E$681))=0,"",INDEX('Dealer pipeline'!$D$4:$D$503,_calc!$E$681))&amp;" – "&amp;IF(LEN(INDEX('Dealer pipeline'!$A$4:$A$503,_calc!$E$681))=0,"",INDEX('Dealer pipeline'!$A$4:$A$503,_calc!$E$681)),"Warranty – "&amp;IF(LEN(INDEX('My equipment'!$A$4:$A$503,(_calc!$E$681-500)))=0,"",INDEX('My equipment'!$A$4:$A$503,(_calc!$E$681-500)))&amp;" – "&amp;IF(LEN(INDEX('My equipment'!$D$4:$D$503,(_calc!$E$681-500)))=0,"",INDEX('My equipment'!$D$4:$D$503,(_calc!$E$681-500)))))</f>
        <v/>
      </c>
      <c r="B679" s="54">
        <f>IF(_calc!$E$681="","",IF(_calc!$E$681&lt;=500,IF(ISNUMBER(INDEX('Dealer pipeline'!$M$4:$M$503,_calc!$E$681)),TEXT(INDEX('Dealer pipeline'!$M$4:$M$503,_calc!$E$681),"yyyy-mm-dd"),""),IF(ISNUMBER(INDEX('My equipment'!$M$4:$M$503,(_calc!$E$681-500))),TEXT(INDEX('My equipment'!$M$4:$M$503,(_calc!$E$681-500)),"yyyy-mm-dd"),"")))</f>
        <v/>
      </c>
      <c r="C679" s="54">
        <f>IF(_calc!$E$681="","",IF(_calc!$E$681&lt;=500,"Warranty","Warranty"))</f>
        <v/>
      </c>
      <c r="D679" s="54">
        <f>IF(_calc!$E$681="","",IF(_calc!$E$681&lt;=500,IF(ISNUMBER(INDEX('Dealer pipeline'!$H$4:$H$503,_calc!$E$681)),TEXT(INDEX('Dealer pipeline'!$H$4:$H$503,_calc!$E$681),"yyyy-mm-dd"),""),IF(ISNUMBER(INDEX('My equipment'!$H$4:$H$503,(_calc!$E$681-500))),TEXT(INDEX('My equipment'!$H$4:$H$503,(_calc!$E$681-500)),"yyyy-mm-dd"),"")))</f>
        <v/>
      </c>
      <c r="F679" s="54">
        <f>IF(_calc!$E$681="","",IF(_calc!$E$681&lt;=500,TRIM(IF(LEN(IF(LEN(INDEX('Dealer pipeline'!$A$4:$A$503,_calc!$E$681))=0,"",INDEX('Dealer pipeline'!$A$4:$A$503,_calc!$E$681)))=0,"","Customer: "&amp;IF(LEN(INDEX('Dealer pipeline'!$A$4:$A$503,_calc!$E$681))=0,"",INDEX('Dealer pipeline'!$A$4:$A$503,_calc!$E$681))&amp;". ")&amp;IF(LEN(IF(LEN(INDEX('Dealer pipeline'!$B$4:$B$503,_calc!$E$681))=0,"",INDEX('Dealer pipeline'!$B$4:$B$503,_calc!$E$681)))=0,"","Contact: "&amp;IF(LEN(INDEX('Dealer pipeline'!$B$4:$B$503,_calc!$E$681))=0,"",INDEX('Dealer pipeline'!$B$4:$B$503,_calc!$E$681))&amp;". ")&amp;IF(LEN(IF(LEN(INDEX('Dealer pipeline'!$D$4:$D$503,_calc!$E$681))=0,"",INDEX('Dealer pipeline'!$D$4:$D$503,_calc!$E$681)))=0,"","Serial: "&amp;IF(LEN(INDEX('Dealer pipeline'!$D$4:$D$503,_calc!$E$681))=0,"",INDEX('Dealer pipeline'!$D$4:$D$503,_calc!$E$681))&amp;". ")&amp;IF(LEN(IF(ISNUMBER(INDEX('Dealer pipeline'!$J$4:$J$503,_calc!$E$681)),TEXT(INDEX('Dealer pipeline'!$J$4:$J$503,_calc!$E$681),"yyyy-mm-dd"),""))=0,"","Parts end: "&amp;IF(ISNUMBER(INDEX('Dealer pipeline'!$J$4:$J$503,_calc!$E$681)),TEXT(INDEX('Dealer pipeline'!$J$4:$J$503,_calc!$E$681),"yyyy-mm-dd"),"")&amp;". ")&amp;IF(LEN(IF(ISNUMBER(INDEX('Dealer pipeline'!$L$4:$L$503,_calc!$E$681)),TEXT(INDEX('Dealer pipeline'!$L$4:$L$503,_calc!$E$681),"yyyy-mm-dd"),""))=0,"","Labor end: "&amp;IF(ISNUMBER(INDEX('Dealer pipeline'!$L$4:$L$503,_calc!$E$681)),TEXT(INDEX('Dealer pipeline'!$L$4:$L$503,_calc!$E$681),"yyyy-mm-dd"),"")&amp;". ")&amp;IF(LEN(IF(LEN(INDEX('Dealer pipeline'!$Q$4:$Q$503,_calc!$E$681))=0,"",INDEX('Dealer pipeline'!$Q$4:$Q$503,_calc!$E$681)))=0,"","Status: "&amp;IF(LEN(INDEX('Dealer pipeline'!$Q$4:$Q$503,_calc!$E$681))=0,"",INDEX('Dealer pipeline'!$Q$4:$Q$503,_calc!$E$681))&amp;". ")&amp;IF(LEN(IF(LEN(INDEX('Dealer pipeline'!$P$4:$P$503,_calc!$E$681))=0,"",INDEX('Dealer pipeline'!$P$4:$P$503,_calc!$E$681)))=0,"","Last touch: "&amp;IF(LEN(INDEX('Dealer pipeline'!$P$4:$P$503,_calc!$E$681))=0,"",INDEX('Dealer pipeline'!$P$4:$P$503,_calc!$E$681))&amp;". ")&amp;IF(LEN(IF(LEN(INDEX('Dealer pipeline'!$R$4:$R$503,_calc!$E$681))=0,"",INDEX('Dealer pipeline'!$R$4:$R$503,_calc!$E$681)))=0,"","Owner: "&amp;IF(LEN(INDEX('Dealer pipeline'!$R$4:$R$503,_calc!$E$681))=0,"",INDEX('Dealer pipeline'!$R$4:$R$503,_calc!$E$681))&amp;". ")&amp;IF(LEN(IF(LEN(INDEX('Dealer pipeline'!$S$4:$S$503,_calc!$E$681))=0,"",INDEX('Dealer pipeline'!$S$4:$S$503,_calc!$E$681)))=0,"","Backup: "&amp;IF(LEN(INDEX('Dealer pipeline'!$S$4:$S$503,_calc!$E$681))=0,"",INDEX('Dealer pipeline'!$S$4:$S$503,_calc!$E$681))&amp;". ")&amp;IF(LEN(IF(LEN(INDEX('Dealer pipeline'!$T$4:$T$503,_calc!$E$681))=0,"",INDEX('Dealer pipeline'!$T$4:$T$503,_calc!$E$681)))=0,"",IF(LEN(INDEX('Dealer pipeline'!$T$4:$T$503,_calc!$E$681))=0,"",INDEX('Dealer pipeline'!$T$4:$T$503,_calc!$E$681)))),TRIM(IF(LEN(IF(LEN(INDEX('My equipment'!$C$4:$C$503,(_calc!$E$681-500)))=0,"",INDEX('My equipment'!$C$4:$C$503,(_calc!$E$681-500))))=0,"","Model: "&amp;IF(LEN(INDEX('My equipment'!$C$4:$C$503,(_calc!$E$681-500)))=0,"",INDEX('My equipment'!$C$4:$C$503,(_calc!$E$681-500)))&amp;". ")&amp;IF(LEN(IF(LEN(INDEX('My equipment'!$D$4:$D$503,(_calc!$E$681-500)))=0,"",INDEX('My equipment'!$D$4:$D$503,(_calc!$E$681-500))))=0,"","Serial: "&amp;IF(LEN(INDEX('My equipment'!$D$4:$D$503,(_calc!$E$681-500)))=0,"",INDEX('My equipment'!$D$4:$D$503,(_calc!$E$681-500)))&amp;". ")&amp;IF(LEN(IF(ISNUMBER(INDEX('My equipment'!$J$4:$J$503,(_calc!$E$681-500))),TEXT(INDEX('My equipment'!$J$4:$J$503,(_calc!$E$681-500)),"yyyy-mm-dd"),""))=0,"","Parts end: "&amp;IF(ISNUMBER(INDEX('My equipment'!$J$4:$J$503,(_calc!$E$681-500))),TEXT(INDEX('My equipment'!$J$4:$J$503,(_calc!$E$681-500)),"yyyy-mm-dd"),"")&amp;". ")&amp;IF(LEN(IF(ISNUMBER(INDEX('My equipment'!$L$4:$L$503,(_calc!$E$681-500))),TEXT(INDEX('My equipment'!$L$4:$L$503,(_calc!$E$681-500)),"yyyy-mm-dd"),""))=0,"","Labor end: "&amp;IF(ISNUMBER(INDEX('My equipment'!$L$4:$L$503,(_calc!$E$681-500))),TEXT(INDEX('My equipment'!$L$4:$L$503,(_calc!$E$681-500)),"yyyy-mm-dd"),"")&amp;". ")&amp;IF(LEN(IF(ISNUMBER(INDEX('My equipment'!$P$4:$P$503,(_calc!$E$681-500))),TEXT(INDEX('My equipment'!$P$4:$P$503,(_calc!$E$681-500)),"yyyy-mm-dd"),""))=0,"","Check by: "&amp;IF(ISNUMBER(INDEX('My equipment'!$P$4:$P$503,(_calc!$E$681-500))),TEXT(INDEX('My equipment'!$P$4:$P$503,(_calc!$E$681-500)),"yyyy-mm-dd"),"")&amp;". ")&amp;IF(LEN(IF(LEN(INDEX('My equipment'!$Q$4:$Q$503,(_calc!$E$681-500)))=0,"",INDEX('My equipment'!$Q$4:$Q$503,(_calc!$E$681-500))))=0,"","Claim status: "&amp;IF(LEN(INDEX('My equipment'!$Q$4:$Q$503,(_calc!$E$681-500)))=0,"",INDEX('My equipment'!$Q$4:$Q$503,(_calc!$E$681-500)))&amp;". ")&amp;IF(LEN(IF(LEN(INDEX('My equipment'!$R$4:$R$503,(_calc!$E$681-500)))=0,"",INDEX('My equipment'!$R$4:$R$503,(_calc!$E$681-500))))=0,"","Claims contact: "&amp;IF(LEN(INDEX('My equipment'!$R$4:$R$503,(_calc!$E$681-500)))=0,"",INDEX('My equipment'!$R$4:$R$503,(_calc!$E$681-500)))&amp;". ")&amp;IF(LEN(IF(LEN(INDEX('My equipment'!$S$4:$S$503,(_calc!$E$681-500)))=0,"",INDEX('My equipment'!$S$4:$S$503,(_calc!$E$681-500))))=0,"","Claims email: "&amp;IF(LEN(INDEX('My equipment'!$S$4:$S$503,(_calc!$E$681-500)))=0,"",INDEX('My equipment'!$S$4:$S$503,(_calc!$E$681-500)))&amp;". ")&amp;IF(LEN(IF(LEN(INDEX('My equipment'!$U$4:$U$503,(_calc!$E$681-500)))=0,"",INDEX('My equipment'!$U$4:$U$503,(_calc!$E$681-500))))=0,"","Registered: "&amp;IF(LEN(INDEX('My equipment'!$U$4:$U$503,(_calc!$E$681-500)))=0,"",INDEX('My equipment'!$U$4:$U$503,(_calc!$E$681-500)))&amp;". ")&amp;IF(LEN(IF(LEN(INDEX('My equipment'!$V$4:$V$503,(_calc!$E$681-500)))=0,"",INDEX('My equipment'!$V$4:$V$503,(_calc!$E$681-500))))=0,"","Proof on file: "&amp;IF(LEN(INDEX('My equipment'!$V$4:$V$503,(_calc!$E$681-500)))=0,"",INDEX('My equipment'!$V$4:$V$503,(_calc!$E$681-500)))&amp;". ")&amp;IF(LEN(IF(LEN(INDEX('My equipment'!$W$4:$W$503,(_calc!$E$681-500)))=0,"",INDEX('My equipment'!$W$4:$W$503,(_calc!$E$681-500))))=0,"","Claim ref: "&amp;IF(LEN(INDEX('My equipment'!$W$4:$W$503,(_calc!$E$681-500)))=0,"",INDEX('My equipment'!$W$4:$W$503,(_calc!$E$681-500)))&amp;". ")&amp;IF(LEN(IF(LEN(INDEX('My equipment'!$Y$4:$Y$503,(_calc!$E$681-500)))=0,"",INDEX('My equipment'!$Y$4:$Y$503,(_calc!$E$681-500))))=0,"",IF(LEN(INDEX('My equipment'!$Y$4:$Y$503,(_calc!$E$681-500)))=0,"",INDEX('My equipment'!$Y$4:$Y$503,(_calc!$E$681-500)))))))</f>
        <v/>
      </c>
      <c r="G679" s="54">
        <f>IF(_calc!$E$681="","",IF(_calc!$E$681&lt;=500,"",IF(LEN(INDEX('My equipment'!$X$4:$X$503,(_calc!$E$681-500)))=0,"",INDEX('My equipment'!$X$4:$X$503,(_calc!$E$681-500)))))</f>
        <v/>
      </c>
      <c r="K679" s="54">
        <f>IF(_calc!$E$681="","",IF(_calc!$E$681&lt;=500,"",IF(LEN(INDEX('My equipment'!$T$4:$T$503,(_calc!$E$681-500)))=0,"",INDEX('My equipment'!$T$4:$T$503,(_calc!$E$681-500)))))</f>
        <v/>
      </c>
    </row>
    <row r="680">
      <c r="A680" s="54">
        <f>IF(_calc!$E$682="","",IF(_calc!$E$682&lt;=500,"Warranty – "&amp;IF(LEN(INDEX('Dealer pipeline'!$C$4:$C$503,_calc!$E$682))=0,"",INDEX('Dealer pipeline'!$C$4:$C$503,_calc!$E$682))&amp;" – "&amp;IF(LEN(INDEX('Dealer pipeline'!$D$4:$D$503,_calc!$E$682))=0,"",INDEX('Dealer pipeline'!$D$4:$D$503,_calc!$E$682))&amp;" – "&amp;IF(LEN(INDEX('Dealer pipeline'!$A$4:$A$503,_calc!$E$682))=0,"",INDEX('Dealer pipeline'!$A$4:$A$503,_calc!$E$682)),"Warranty – "&amp;IF(LEN(INDEX('My equipment'!$A$4:$A$503,(_calc!$E$682-500)))=0,"",INDEX('My equipment'!$A$4:$A$503,(_calc!$E$682-500)))&amp;" – "&amp;IF(LEN(INDEX('My equipment'!$D$4:$D$503,(_calc!$E$682-500)))=0,"",INDEX('My equipment'!$D$4:$D$503,(_calc!$E$682-500)))))</f>
        <v/>
      </c>
      <c r="B680" s="54">
        <f>IF(_calc!$E$682="","",IF(_calc!$E$682&lt;=500,IF(ISNUMBER(INDEX('Dealer pipeline'!$M$4:$M$503,_calc!$E$682)),TEXT(INDEX('Dealer pipeline'!$M$4:$M$503,_calc!$E$682),"yyyy-mm-dd"),""),IF(ISNUMBER(INDEX('My equipment'!$M$4:$M$503,(_calc!$E$682-500))),TEXT(INDEX('My equipment'!$M$4:$M$503,(_calc!$E$682-500)),"yyyy-mm-dd"),"")))</f>
        <v/>
      </c>
      <c r="C680" s="54">
        <f>IF(_calc!$E$682="","",IF(_calc!$E$682&lt;=500,"Warranty","Warranty"))</f>
        <v/>
      </c>
      <c r="D680" s="54">
        <f>IF(_calc!$E$682="","",IF(_calc!$E$682&lt;=500,IF(ISNUMBER(INDEX('Dealer pipeline'!$H$4:$H$503,_calc!$E$682)),TEXT(INDEX('Dealer pipeline'!$H$4:$H$503,_calc!$E$682),"yyyy-mm-dd"),""),IF(ISNUMBER(INDEX('My equipment'!$H$4:$H$503,(_calc!$E$682-500))),TEXT(INDEX('My equipment'!$H$4:$H$503,(_calc!$E$682-500)),"yyyy-mm-dd"),"")))</f>
        <v/>
      </c>
      <c r="F680" s="54">
        <f>IF(_calc!$E$682="","",IF(_calc!$E$682&lt;=500,TRIM(IF(LEN(IF(LEN(INDEX('Dealer pipeline'!$A$4:$A$503,_calc!$E$682))=0,"",INDEX('Dealer pipeline'!$A$4:$A$503,_calc!$E$682)))=0,"","Customer: "&amp;IF(LEN(INDEX('Dealer pipeline'!$A$4:$A$503,_calc!$E$682))=0,"",INDEX('Dealer pipeline'!$A$4:$A$503,_calc!$E$682))&amp;". ")&amp;IF(LEN(IF(LEN(INDEX('Dealer pipeline'!$B$4:$B$503,_calc!$E$682))=0,"",INDEX('Dealer pipeline'!$B$4:$B$503,_calc!$E$682)))=0,"","Contact: "&amp;IF(LEN(INDEX('Dealer pipeline'!$B$4:$B$503,_calc!$E$682))=0,"",INDEX('Dealer pipeline'!$B$4:$B$503,_calc!$E$682))&amp;". ")&amp;IF(LEN(IF(LEN(INDEX('Dealer pipeline'!$D$4:$D$503,_calc!$E$682))=0,"",INDEX('Dealer pipeline'!$D$4:$D$503,_calc!$E$682)))=0,"","Serial: "&amp;IF(LEN(INDEX('Dealer pipeline'!$D$4:$D$503,_calc!$E$682))=0,"",INDEX('Dealer pipeline'!$D$4:$D$503,_calc!$E$682))&amp;". ")&amp;IF(LEN(IF(ISNUMBER(INDEX('Dealer pipeline'!$J$4:$J$503,_calc!$E$682)),TEXT(INDEX('Dealer pipeline'!$J$4:$J$503,_calc!$E$682),"yyyy-mm-dd"),""))=0,"","Parts end: "&amp;IF(ISNUMBER(INDEX('Dealer pipeline'!$J$4:$J$503,_calc!$E$682)),TEXT(INDEX('Dealer pipeline'!$J$4:$J$503,_calc!$E$682),"yyyy-mm-dd"),"")&amp;". ")&amp;IF(LEN(IF(ISNUMBER(INDEX('Dealer pipeline'!$L$4:$L$503,_calc!$E$682)),TEXT(INDEX('Dealer pipeline'!$L$4:$L$503,_calc!$E$682),"yyyy-mm-dd"),""))=0,"","Labor end: "&amp;IF(ISNUMBER(INDEX('Dealer pipeline'!$L$4:$L$503,_calc!$E$682)),TEXT(INDEX('Dealer pipeline'!$L$4:$L$503,_calc!$E$682),"yyyy-mm-dd"),"")&amp;". ")&amp;IF(LEN(IF(LEN(INDEX('Dealer pipeline'!$Q$4:$Q$503,_calc!$E$682))=0,"",INDEX('Dealer pipeline'!$Q$4:$Q$503,_calc!$E$682)))=0,"","Status: "&amp;IF(LEN(INDEX('Dealer pipeline'!$Q$4:$Q$503,_calc!$E$682))=0,"",INDEX('Dealer pipeline'!$Q$4:$Q$503,_calc!$E$682))&amp;". ")&amp;IF(LEN(IF(LEN(INDEX('Dealer pipeline'!$P$4:$P$503,_calc!$E$682))=0,"",INDEX('Dealer pipeline'!$P$4:$P$503,_calc!$E$682)))=0,"","Last touch: "&amp;IF(LEN(INDEX('Dealer pipeline'!$P$4:$P$503,_calc!$E$682))=0,"",INDEX('Dealer pipeline'!$P$4:$P$503,_calc!$E$682))&amp;". ")&amp;IF(LEN(IF(LEN(INDEX('Dealer pipeline'!$R$4:$R$503,_calc!$E$682))=0,"",INDEX('Dealer pipeline'!$R$4:$R$503,_calc!$E$682)))=0,"","Owner: "&amp;IF(LEN(INDEX('Dealer pipeline'!$R$4:$R$503,_calc!$E$682))=0,"",INDEX('Dealer pipeline'!$R$4:$R$503,_calc!$E$682))&amp;". ")&amp;IF(LEN(IF(LEN(INDEX('Dealer pipeline'!$S$4:$S$503,_calc!$E$682))=0,"",INDEX('Dealer pipeline'!$S$4:$S$503,_calc!$E$682)))=0,"","Backup: "&amp;IF(LEN(INDEX('Dealer pipeline'!$S$4:$S$503,_calc!$E$682))=0,"",INDEX('Dealer pipeline'!$S$4:$S$503,_calc!$E$682))&amp;". ")&amp;IF(LEN(IF(LEN(INDEX('Dealer pipeline'!$T$4:$T$503,_calc!$E$682))=0,"",INDEX('Dealer pipeline'!$T$4:$T$503,_calc!$E$682)))=0,"",IF(LEN(INDEX('Dealer pipeline'!$T$4:$T$503,_calc!$E$682))=0,"",INDEX('Dealer pipeline'!$T$4:$T$503,_calc!$E$682)))),TRIM(IF(LEN(IF(LEN(INDEX('My equipment'!$C$4:$C$503,(_calc!$E$682-500)))=0,"",INDEX('My equipment'!$C$4:$C$503,(_calc!$E$682-500))))=0,"","Model: "&amp;IF(LEN(INDEX('My equipment'!$C$4:$C$503,(_calc!$E$682-500)))=0,"",INDEX('My equipment'!$C$4:$C$503,(_calc!$E$682-500)))&amp;". ")&amp;IF(LEN(IF(LEN(INDEX('My equipment'!$D$4:$D$503,(_calc!$E$682-500)))=0,"",INDEX('My equipment'!$D$4:$D$503,(_calc!$E$682-500))))=0,"","Serial: "&amp;IF(LEN(INDEX('My equipment'!$D$4:$D$503,(_calc!$E$682-500)))=0,"",INDEX('My equipment'!$D$4:$D$503,(_calc!$E$682-500)))&amp;". ")&amp;IF(LEN(IF(ISNUMBER(INDEX('My equipment'!$J$4:$J$503,(_calc!$E$682-500))),TEXT(INDEX('My equipment'!$J$4:$J$503,(_calc!$E$682-500)),"yyyy-mm-dd"),""))=0,"","Parts end: "&amp;IF(ISNUMBER(INDEX('My equipment'!$J$4:$J$503,(_calc!$E$682-500))),TEXT(INDEX('My equipment'!$J$4:$J$503,(_calc!$E$682-500)),"yyyy-mm-dd"),"")&amp;". ")&amp;IF(LEN(IF(ISNUMBER(INDEX('My equipment'!$L$4:$L$503,(_calc!$E$682-500))),TEXT(INDEX('My equipment'!$L$4:$L$503,(_calc!$E$682-500)),"yyyy-mm-dd"),""))=0,"","Labor end: "&amp;IF(ISNUMBER(INDEX('My equipment'!$L$4:$L$503,(_calc!$E$682-500))),TEXT(INDEX('My equipment'!$L$4:$L$503,(_calc!$E$682-500)),"yyyy-mm-dd"),"")&amp;". ")&amp;IF(LEN(IF(ISNUMBER(INDEX('My equipment'!$P$4:$P$503,(_calc!$E$682-500))),TEXT(INDEX('My equipment'!$P$4:$P$503,(_calc!$E$682-500)),"yyyy-mm-dd"),""))=0,"","Check by: "&amp;IF(ISNUMBER(INDEX('My equipment'!$P$4:$P$503,(_calc!$E$682-500))),TEXT(INDEX('My equipment'!$P$4:$P$503,(_calc!$E$682-500)),"yyyy-mm-dd"),"")&amp;". ")&amp;IF(LEN(IF(LEN(INDEX('My equipment'!$Q$4:$Q$503,(_calc!$E$682-500)))=0,"",INDEX('My equipment'!$Q$4:$Q$503,(_calc!$E$682-500))))=0,"","Claim status: "&amp;IF(LEN(INDEX('My equipment'!$Q$4:$Q$503,(_calc!$E$682-500)))=0,"",INDEX('My equipment'!$Q$4:$Q$503,(_calc!$E$682-500)))&amp;". ")&amp;IF(LEN(IF(LEN(INDEX('My equipment'!$R$4:$R$503,(_calc!$E$682-500)))=0,"",INDEX('My equipment'!$R$4:$R$503,(_calc!$E$682-500))))=0,"","Claims contact: "&amp;IF(LEN(INDEX('My equipment'!$R$4:$R$503,(_calc!$E$682-500)))=0,"",INDEX('My equipment'!$R$4:$R$503,(_calc!$E$682-500)))&amp;". ")&amp;IF(LEN(IF(LEN(INDEX('My equipment'!$S$4:$S$503,(_calc!$E$682-500)))=0,"",INDEX('My equipment'!$S$4:$S$503,(_calc!$E$682-500))))=0,"","Claims email: "&amp;IF(LEN(INDEX('My equipment'!$S$4:$S$503,(_calc!$E$682-500)))=0,"",INDEX('My equipment'!$S$4:$S$503,(_calc!$E$682-500)))&amp;". ")&amp;IF(LEN(IF(LEN(INDEX('My equipment'!$U$4:$U$503,(_calc!$E$682-500)))=0,"",INDEX('My equipment'!$U$4:$U$503,(_calc!$E$682-500))))=0,"","Registered: "&amp;IF(LEN(INDEX('My equipment'!$U$4:$U$503,(_calc!$E$682-500)))=0,"",INDEX('My equipment'!$U$4:$U$503,(_calc!$E$682-500)))&amp;". ")&amp;IF(LEN(IF(LEN(INDEX('My equipment'!$V$4:$V$503,(_calc!$E$682-500)))=0,"",INDEX('My equipment'!$V$4:$V$503,(_calc!$E$682-500))))=0,"","Proof on file: "&amp;IF(LEN(INDEX('My equipment'!$V$4:$V$503,(_calc!$E$682-500)))=0,"",INDEX('My equipment'!$V$4:$V$503,(_calc!$E$682-500)))&amp;". ")&amp;IF(LEN(IF(LEN(INDEX('My equipment'!$W$4:$W$503,(_calc!$E$682-500)))=0,"",INDEX('My equipment'!$W$4:$W$503,(_calc!$E$682-500))))=0,"","Claim ref: "&amp;IF(LEN(INDEX('My equipment'!$W$4:$W$503,(_calc!$E$682-500)))=0,"",INDEX('My equipment'!$W$4:$W$503,(_calc!$E$682-500)))&amp;". ")&amp;IF(LEN(IF(LEN(INDEX('My equipment'!$Y$4:$Y$503,(_calc!$E$682-500)))=0,"",INDEX('My equipment'!$Y$4:$Y$503,(_calc!$E$682-500))))=0,"",IF(LEN(INDEX('My equipment'!$Y$4:$Y$503,(_calc!$E$682-500)))=0,"",INDEX('My equipment'!$Y$4:$Y$503,(_calc!$E$682-500)))))))</f>
        <v/>
      </c>
      <c r="G680" s="54">
        <f>IF(_calc!$E$682="","",IF(_calc!$E$682&lt;=500,"",IF(LEN(INDEX('My equipment'!$X$4:$X$503,(_calc!$E$682-500)))=0,"",INDEX('My equipment'!$X$4:$X$503,(_calc!$E$682-500)))))</f>
        <v/>
      </c>
      <c r="K680" s="54">
        <f>IF(_calc!$E$682="","",IF(_calc!$E$682&lt;=500,"",IF(LEN(INDEX('My equipment'!$T$4:$T$503,(_calc!$E$682-500)))=0,"",INDEX('My equipment'!$T$4:$T$503,(_calc!$E$682-500)))))</f>
        <v/>
      </c>
    </row>
    <row r="681">
      <c r="A681" s="54">
        <f>IF(_calc!$E$683="","",IF(_calc!$E$683&lt;=500,"Warranty – "&amp;IF(LEN(INDEX('Dealer pipeline'!$C$4:$C$503,_calc!$E$683))=0,"",INDEX('Dealer pipeline'!$C$4:$C$503,_calc!$E$683))&amp;" – "&amp;IF(LEN(INDEX('Dealer pipeline'!$D$4:$D$503,_calc!$E$683))=0,"",INDEX('Dealer pipeline'!$D$4:$D$503,_calc!$E$683))&amp;" – "&amp;IF(LEN(INDEX('Dealer pipeline'!$A$4:$A$503,_calc!$E$683))=0,"",INDEX('Dealer pipeline'!$A$4:$A$503,_calc!$E$683)),"Warranty – "&amp;IF(LEN(INDEX('My equipment'!$A$4:$A$503,(_calc!$E$683-500)))=0,"",INDEX('My equipment'!$A$4:$A$503,(_calc!$E$683-500)))&amp;" – "&amp;IF(LEN(INDEX('My equipment'!$D$4:$D$503,(_calc!$E$683-500)))=0,"",INDEX('My equipment'!$D$4:$D$503,(_calc!$E$683-500)))))</f>
        <v/>
      </c>
      <c r="B681" s="54">
        <f>IF(_calc!$E$683="","",IF(_calc!$E$683&lt;=500,IF(ISNUMBER(INDEX('Dealer pipeline'!$M$4:$M$503,_calc!$E$683)),TEXT(INDEX('Dealer pipeline'!$M$4:$M$503,_calc!$E$683),"yyyy-mm-dd"),""),IF(ISNUMBER(INDEX('My equipment'!$M$4:$M$503,(_calc!$E$683-500))),TEXT(INDEX('My equipment'!$M$4:$M$503,(_calc!$E$683-500)),"yyyy-mm-dd"),"")))</f>
        <v/>
      </c>
      <c r="C681" s="54">
        <f>IF(_calc!$E$683="","",IF(_calc!$E$683&lt;=500,"Warranty","Warranty"))</f>
        <v/>
      </c>
      <c r="D681" s="54">
        <f>IF(_calc!$E$683="","",IF(_calc!$E$683&lt;=500,IF(ISNUMBER(INDEX('Dealer pipeline'!$H$4:$H$503,_calc!$E$683)),TEXT(INDEX('Dealer pipeline'!$H$4:$H$503,_calc!$E$683),"yyyy-mm-dd"),""),IF(ISNUMBER(INDEX('My equipment'!$H$4:$H$503,(_calc!$E$683-500))),TEXT(INDEX('My equipment'!$H$4:$H$503,(_calc!$E$683-500)),"yyyy-mm-dd"),"")))</f>
        <v/>
      </c>
      <c r="F681" s="54">
        <f>IF(_calc!$E$683="","",IF(_calc!$E$683&lt;=500,TRIM(IF(LEN(IF(LEN(INDEX('Dealer pipeline'!$A$4:$A$503,_calc!$E$683))=0,"",INDEX('Dealer pipeline'!$A$4:$A$503,_calc!$E$683)))=0,"","Customer: "&amp;IF(LEN(INDEX('Dealer pipeline'!$A$4:$A$503,_calc!$E$683))=0,"",INDEX('Dealer pipeline'!$A$4:$A$503,_calc!$E$683))&amp;". ")&amp;IF(LEN(IF(LEN(INDEX('Dealer pipeline'!$B$4:$B$503,_calc!$E$683))=0,"",INDEX('Dealer pipeline'!$B$4:$B$503,_calc!$E$683)))=0,"","Contact: "&amp;IF(LEN(INDEX('Dealer pipeline'!$B$4:$B$503,_calc!$E$683))=0,"",INDEX('Dealer pipeline'!$B$4:$B$503,_calc!$E$683))&amp;". ")&amp;IF(LEN(IF(LEN(INDEX('Dealer pipeline'!$D$4:$D$503,_calc!$E$683))=0,"",INDEX('Dealer pipeline'!$D$4:$D$503,_calc!$E$683)))=0,"","Serial: "&amp;IF(LEN(INDEX('Dealer pipeline'!$D$4:$D$503,_calc!$E$683))=0,"",INDEX('Dealer pipeline'!$D$4:$D$503,_calc!$E$683))&amp;". ")&amp;IF(LEN(IF(ISNUMBER(INDEX('Dealer pipeline'!$J$4:$J$503,_calc!$E$683)),TEXT(INDEX('Dealer pipeline'!$J$4:$J$503,_calc!$E$683),"yyyy-mm-dd"),""))=0,"","Parts end: "&amp;IF(ISNUMBER(INDEX('Dealer pipeline'!$J$4:$J$503,_calc!$E$683)),TEXT(INDEX('Dealer pipeline'!$J$4:$J$503,_calc!$E$683),"yyyy-mm-dd"),"")&amp;". ")&amp;IF(LEN(IF(ISNUMBER(INDEX('Dealer pipeline'!$L$4:$L$503,_calc!$E$683)),TEXT(INDEX('Dealer pipeline'!$L$4:$L$503,_calc!$E$683),"yyyy-mm-dd"),""))=0,"","Labor end: "&amp;IF(ISNUMBER(INDEX('Dealer pipeline'!$L$4:$L$503,_calc!$E$683)),TEXT(INDEX('Dealer pipeline'!$L$4:$L$503,_calc!$E$683),"yyyy-mm-dd"),"")&amp;". ")&amp;IF(LEN(IF(LEN(INDEX('Dealer pipeline'!$Q$4:$Q$503,_calc!$E$683))=0,"",INDEX('Dealer pipeline'!$Q$4:$Q$503,_calc!$E$683)))=0,"","Status: "&amp;IF(LEN(INDEX('Dealer pipeline'!$Q$4:$Q$503,_calc!$E$683))=0,"",INDEX('Dealer pipeline'!$Q$4:$Q$503,_calc!$E$683))&amp;". ")&amp;IF(LEN(IF(LEN(INDEX('Dealer pipeline'!$P$4:$P$503,_calc!$E$683))=0,"",INDEX('Dealer pipeline'!$P$4:$P$503,_calc!$E$683)))=0,"","Last touch: "&amp;IF(LEN(INDEX('Dealer pipeline'!$P$4:$P$503,_calc!$E$683))=0,"",INDEX('Dealer pipeline'!$P$4:$P$503,_calc!$E$683))&amp;". ")&amp;IF(LEN(IF(LEN(INDEX('Dealer pipeline'!$R$4:$R$503,_calc!$E$683))=0,"",INDEX('Dealer pipeline'!$R$4:$R$503,_calc!$E$683)))=0,"","Owner: "&amp;IF(LEN(INDEX('Dealer pipeline'!$R$4:$R$503,_calc!$E$683))=0,"",INDEX('Dealer pipeline'!$R$4:$R$503,_calc!$E$683))&amp;". ")&amp;IF(LEN(IF(LEN(INDEX('Dealer pipeline'!$S$4:$S$503,_calc!$E$683))=0,"",INDEX('Dealer pipeline'!$S$4:$S$503,_calc!$E$683)))=0,"","Backup: "&amp;IF(LEN(INDEX('Dealer pipeline'!$S$4:$S$503,_calc!$E$683))=0,"",INDEX('Dealer pipeline'!$S$4:$S$503,_calc!$E$683))&amp;". ")&amp;IF(LEN(IF(LEN(INDEX('Dealer pipeline'!$T$4:$T$503,_calc!$E$683))=0,"",INDEX('Dealer pipeline'!$T$4:$T$503,_calc!$E$683)))=0,"",IF(LEN(INDEX('Dealer pipeline'!$T$4:$T$503,_calc!$E$683))=0,"",INDEX('Dealer pipeline'!$T$4:$T$503,_calc!$E$683)))),TRIM(IF(LEN(IF(LEN(INDEX('My equipment'!$C$4:$C$503,(_calc!$E$683-500)))=0,"",INDEX('My equipment'!$C$4:$C$503,(_calc!$E$683-500))))=0,"","Model: "&amp;IF(LEN(INDEX('My equipment'!$C$4:$C$503,(_calc!$E$683-500)))=0,"",INDEX('My equipment'!$C$4:$C$503,(_calc!$E$683-500)))&amp;". ")&amp;IF(LEN(IF(LEN(INDEX('My equipment'!$D$4:$D$503,(_calc!$E$683-500)))=0,"",INDEX('My equipment'!$D$4:$D$503,(_calc!$E$683-500))))=0,"","Serial: "&amp;IF(LEN(INDEX('My equipment'!$D$4:$D$503,(_calc!$E$683-500)))=0,"",INDEX('My equipment'!$D$4:$D$503,(_calc!$E$683-500)))&amp;". ")&amp;IF(LEN(IF(ISNUMBER(INDEX('My equipment'!$J$4:$J$503,(_calc!$E$683-500))),TEXT(INDEX('My equipment'!$J$4:$J$503,(_calc!$E$683-500)),"yyyy-mm-dd"),""))=0,"","Parts end: "&amp;IF(ISNUMBER(INDEX('My equipment'!$J$4:$J$503,(_calc!$E$683-500))),TEXT(INDEX('My equipment'!$J$4:$J$503,(_calc!$E$683-500)),"yyyy-mm-dd"),"")&amp;". ")&amp;IF(LEN(IF(ISNUMBER(INDEX('My equipment'!$L$4:$L$503,(_calc!$E$683-500))),TEXT(INDEX('My equipment'!$L$4:$L$503,(_calc!$E$683-500)),"yyyy-mm-dd"),""))=0,"","Labor end: "&amp;IF(ISNUMBER(INDEX('My equipment'!$L$4:$L$503,(_calc!$E$683-500))),TEXT(INDEX('My equipment'!$L$4:$L$503,(_calc!$E$683-500)),"yyyy-mm-dd"),"")&amp;". ")&amp;IF(LEN(IF(ISNUMBER(INDEX('My equipment'!$P$4:$P$503,(_calc!$E$683-500))),TEXT(INDEX('My equipment'!$P$4:$P$503,(_calc!$E$683-500)),"yyyy-mm-dd"),""))=0,"","Check by: "&amp;IF(ISNUMBER(INDEX('My equipment'!$P$4:$P$503,(_calc!$E$683-500))),TEXT(INDEX('My equipment'!$P$4:$P$503,(_calc!$E$683-500)),"yyyy-mm-dd"),"")&amp;". ")&amp;IF(LEN(IF(LEN(INDEX('My equipment'!$Q$4:$Q$503,(_calc!$E$683-500)))=0,"",INDEX('My equipment'!$Q$4:$Q$503,(_calc!$E$683-500))))=0,"","Claim status: "&amp;IF(LEN(INDEX('My equipment'!$Q$4:$Q$503,(_calc!$E$683-500)))=0,"",INDEX('My equipment'!$Q$4:$Q$503,(_calc!$E$683-500)))&amp;". ")&amp;IF(LEN(IF(LEN(INDEX('My equipment'!$R$4:$R$503,(_calc!$E$683-500)))=0,"",INDEX('My equipment'!$R$4:$R$503,(_calc!$E$683-500))))=0,"","Claims contact: "&amp;IF(LEN(INDEX('My equipment'!$R$4:$R$503,(_calc!$E$683-500)))=0,"",INDEX('My equipment'!$R$4:$R$503,(_calc!$E$683-500)))&amp;". ")&amp;IF(LEN(IF(LEN(INDEX('My equipment'!$S$4:$S$503,(_calc!$E$683-500)))=0,"",INDEX('My equipment'!$S$4:$S$503,(_calc!$E$683-500))))=0,"","Claims email: "&amp;IF(LEN(INDEX('My equipment'!$S$4:$S$503,(_calc!$E$683-500)))=0,"",INDEX('My equipment'!$S$4:$S$503,(_calc!$E$683-500)))&amp;". ")&amp;IF(LEN(IF(LEN(INDEX('My equipment'!$U$4:$U$503,(_calc!$E$683-500)))=0,"",INDEX('My equipment'!$U$4:$U$503,(_calc!$E$683-500))))=0,"","Registered: "&amp;IF(LEN(INDEX('My equipment'!$U$4:$U$503,(_calc!$E$683-500)))=0,"",INDEX('My equipment'!$U$4:$U$503,(_calc!$E$683-500)))&amp;". ")&amp;IF(LEN(IF(LEN(INDEX('My equipment'!$V$4:$V$503,(_calc!$E$683-500)))=0,"",INDEX('My equipment'!$V$4:$V$503,(_calc!$E$683-500))))=0,"","Proof on file: "&amp;IF(LEN(INDEX('My equipment'!$V$4:$V$503,(_calc!$E$683-500)))=0,"",INDEX('My equipment'!$V$4:$V$503,(_calc!$E$683-500)))&amp;". ")&amp;IF(LEN(IF(LEN(INDEX('My equipment'!$W$4:$W$503,(_calc!$E$683-500)))=0,"",INDEX('My equipment'!$W$4:$W$503,(_calc!$E$683-500))))=0,"","Claim ref: "&amp;IF(LEN(INDEX('My equipment'!$W$4:$W$503,(_calc!$E$683-500)))=0,"",INDEX('My equipment'!$W$4:$W$503,(_calc!$E$683-500)))&amp;". ")&amp;IF(LEN(IF(LEN(INDEX('My equipment'!$Y$4:$Y$503,(_calc!$E$683-500)))=0,"",INDEX('My equipment'!$Y$4:$Y$503,(_calc!$E$683-500))))=0,"",IF(LEN(INDEX('My equipment'!$Y$4:$Y$503,(_calc!$E$683-500)))=0,"",INDEX('My equipment'!$Y$4:$Y$503,(_calc!$E$683-500)))))))</f>
        <v/>
      </c>
      <c r="G681" s="54">
        <f>IF(_calc!$E$683="","",IF(_calc!$E$683&lt;=500,"",IF(LEN(INDEX('My equipment'!$X$4:$X$503,(_calc!$E$683-500)))=0,"",INDEX('My equipment'!$X$4:$X$503,(_calc!$E$683-500)))))</f>
        <v/>
      </c>
      <c r="K681" s="54">
        <f>IF(_calc!$E$683="","",IF(_calc!$E$683&lt;=500,"",IF(LEN(INDEX('My equipment'!$T$4:$T$503,(_calc!$E$683-500)))=0,"",INDEX('My equipment'!$T$4:$T$503,(_calc!$E$683-500)))))</f>
        <v/>
      </c>
    </row>
    <row r="682">
      <c r="A682" s="54">
        <f>IF(_calc!$E$684="","",IF(_calc!$E$684&lt;=500,"Warranty – "&amp;IF(LEN(INDEX('Dealer pipeline'!$C$4:$C$503,_calc!$E$684))=0,"",INDEX('Dealer pipeline'!$C$4:$C$503,_calc!$E$684))&amp;" – "&amp;IF(LEN(INDEX('Dealer pipeline'!$D$4:$D$503,_calc!$E$684))=0,"",INDEX('Dealer pipeline'!$D$4:$D$503,_calc!$E$684))&amp;" – "&amp;IF(LEN(INDEX('Dealer pipeline'!$A$4:$A$503,_calc!$E$684))=0,"",INDEX('Dealer pipeline'!$A$4:$A$503,_calc!$E$684)),"Warranty – "&amp;IF(LEN(INDEX('My equipment'!$A$4:$A$503,(_calc!$E$684-500)))=0,"",INDEX('My equipment'!$A$4:$A$503,(_calc!$E$684-500)))&amp;" – "&amp;IF(LEN(INDEX('My equipment'!$D$4:$D$503,(_calc!$E$684-500)))=0,"",INDEX('My equipment'!$D$4:$D$503,(_calc!$E$684-500)))))</f>
        <v/>
      </c>
      <c r="B682" s="54">
        <f>IF(_calc!$E$684="","",IF(_calc!$E$684&lt;=500,IF(ISNUMBER(INDEX('Dealer pipeline'!$M$4:$M$503,_calc!$E$684)),TEXT(INDEX('Dealer pipeline'!$M$4:$M$503,_calc!$E$684),"yyyy-mm-dd"),""),IF(ISNUMBER(INDEX('My equipment'!$M$4:$M$503,(_calc!$E$684-500))),TEXT(INDEX('My equipment'!$M$4:$M$503,(_calc!$E$684-500)),"yyyy-mm-dd"),"")))</f>
        <v/>
      </c>
      <c r="C682" s="54">
        <f>IF(_calc!$E$684="","",IF(_calc!$E$684&lt;=500,"Warranty","Warranty"))</f>
        <v/>
      </c>
      <c r="D682" s="54">
        <f>IF(_calc!$E$684="","",IF(_calc!$E$684&lt;=500,IF(ISNUMBER(INDEX('Dealer pipeline'!$H$4:$H$503,_calc!$E$684)),TEXT(INDEX('Dealer pipeline'!$H$4:$H$503,_calc!$E$684),"yyyy-mm-dd"),""),IF(ISNUMBER(INDEX('My equipment'!$H$4:$H$503,(_calc!$E$684-500))),TEXT(INDEX('My equipment'!$H$4:$H$503,(_calc!$E$684-500)),"yyyy-mm-dd"),"")))</f>
        <v/>
      </c>
      <c r="F682" s="54">
        <f>IF(_calc!$E$684="","",IF(_calc!$E$684&lt;=500,TRIM(IF(LEN(IF(LEN(INDEX('Dealer pipeline'!$A$4:$A$503,_calc!$E$684))=0,"",INDEX('Dealer pipeline'!$A$4:$A$503,_calc!$E$684)))=0,"","Customer: "&amp;IF(LEN(INDEX('Dealer pipeline'!$A$4:$A$503,_calc!$E$684))=0,"",INDEX('Dealer pipeline'!$A$4:$A$503,_calc!$E$684))&amp;". ")&amp;IF(LEN(IF(LEN(INDEX('Dealer pipeline'!$B$4:$B$503,_calc!$E$684))=0,"",INDEX('Dealer pipeline'!$B$4:$B$503,_calc!$E$684)))=0,"","Contact: "&amp;IF(LEN(INDEX('Dealer pipeline'!$B$4:$B$503,_calc!$E$684))=0,"",INDEX('Dealer pipeline'!$B$4:$B$503,_calc!$E$684))&amp;". ")&amp;IF(LEN(IF(LEN(INDEX('Dealer pipeline'!$D$4:$D$503,_calc!$E$684))=0,"",INDEX('Dealer pipeline'!$D$4:$D$503,_calc!$E$684)))=0,"","Serial: "&amp;IF(LEN(INDEX('Dealer pipeline'!$D$4:$D$503,_calc!$E$684))=0,"",INDEX('Dealer pipeline'!$D$4:$D$503,_calc!$E$684))&amp;". ")&amp;IF(LEN(IF(ISNUMBER(INDEX('Dealer pipeline'!$J$4:$J$503,_calc!$E$684)),TEXT(INDEX('Dealer pipeline'!$J$4:$J$503,_calc!$E$684),"yyyy-mm-dd"),""))=0,"","Parts end: "&amp;IF(ISNUMBER(INDEX('Dealer pipeline'!$J$4:$J$503,_calc!$E$684)),TEXT(INDEX('Dealer pipeline'!$J$4:$J$503,_calc!$E$684),"yyyy-mm-dd"),"")&amp;". ")&amp;IF(LEN(IF(ISNUMBER(INDEX('Dealer pipeline'!$L$4:$L$503,_calc!$E$684)),TEXT(INDEX('Dealer pipeline'!$L$4:$L$503,_calc!$E$684),"yyyy-mm-dd"),""))=0,"","Labor end: "&amp;IF(ISNUMBER(INDEX('Dealer pipeline'!$L$4:$L$503,_calc!$E$684)),TEXT(INDEX('Dealer pipeline'!$L$4:$L$503,_calc!$E$684),"yyyy-mm-dd"),"")&amp;". ")&amp;IF(LEN(IF(LEN(INDEX('Dealer pipeline'!$Q$4:$Q$503,_calc!$E$684))=0,"",INDEX('Dealer pipeline'!$Q$4:$Q$503,_calc!$E$684)))=0,"","Status: "&amp;IF(LEN(INDEX('Dealer pipeline'!$Q$4:$Q$503,_calc!$E$684))=0,"",INDEX('Dealer pipeline'!$Q$4:$Q$503,_calc!$E$684))&amp;". ")&amp;IF(LEN(IF(LEN(INDEX('Dealer pipeline'!$P$4:$P$503,_calc!$E$684))=0,"",INDEX('Dealer pipeline'!$P$4:$P$503,_calc!$E$684)))=0,"","Last touch: "&amp;IF(LEN(INDEX('Dealer pipeline'!$P$4:$P$503,_calc!$E$684))=0,"",INDEX('Dealer pipeline'!$P$4:$P$503,_calc!$E$684))&amp;". ")&amp;IF(LEN(IF(LEN(INDEX('Dealer pipeline'!$R$4:$R$503,_calc!$E$684))=0,"",INDEX('Dealer pipeline'!$R$4:$R$503,_calc!$E$684)))=0,"","Owner: "&amp;IF(LEN(INDEX('Dealer pipeline'!$R$4:$R$503,_calc!$E$684))=0,"",INDEX('Dealer pipeline'!$R$4:$R$503,_calc!$E$684))&amp;". ")&amp;IF(LEN(IF(LEN(INDEX('Dealer pipeline'!$S$4:$S$503,_calc!$E$684))=0,"",INDEX('Dealer pipeline'!$S$4:$S$503,_calc!$E$684)))=0,"","Backup: "&amp;IF(LEN(INDEX('Dealer pipeline'!$S$4:$S$503,_calc!$E$684))=0,"",INDEX('Dealer pipeline'!$S$4:$S$503,_calc!$E$684))&amp;". ")&amp;IF(LEN(IF(LEN(INDEX('Dealer pipeline'!$T$4:$T$503,_calc!$E$684))=0,"",INDEX('Dealer pipeline'!$T$4:$T$503,_calc!$E$684)))=0,"",IF(LEN(INDEX('Dealer pipeline'!$T$4:$T$503,_calc!$E$684))=0,"",INDEX('Dealer pipeline'!$T$4:$T$503,_calc!$E$684)))),TRIM(IF(LEN(IF(LEN(INDEX('My equipment'!$C$4:$C$503,(_calc!$E$684-500)))=0,"",INDEX('My equipment'!$C$4:$C$503,(_calc!$E$684-500))))=0,"","Model: "&amp;IF(LEN(INDEX('My equipment'!$C$4:$C$503,(_calc!$E$684-500)))=0,"",INDEX('My equipment'!$C$4:$C$503,(_calc!$E$684-500)))&amp;". ")&amp;IF(LEN(IF(LEN(INDEX('My equipment'!$D$4:$D$503,(_calc!$E$684-500)))=0,"",INDEX('My equipment'!$D$4:$D$503,(_calc!$E$684-500))))=0,"","Serial: "&amp;IF(LEN(INDEX('My equipment'!$D$4:$D$503,(_calc!$E$684-500)))=0,"",INDEX('My equipment'!$D$4:$D$503,(_calc!$E$684-500)))&amp;". ")&amp;IF(LEN(IF(ISNUMBER(INDEX('My equipment'!$J$4:$J$503,(_calc!$E$684-500))),TEXT(INDEX('My equipment'!$J$4:$J$503,(_calc!$E$684-500)),"yyyy-mm-dd"),""))=0,"","Parts end: "&amp;IF(ISNUMBER(INDEX('My equipment'!$J$4:$J$503,(_calc!$E$684-500))),TEXT(INDEX('My equipment'!$J$4:$J$503,(_calc!$E$684-500)),"yyyy-mm-dd"),"")&amp;". ")&amp;IF(LEN(IF(ISNUMBER(INDEX('My equipment'!$L$4:$L$503,(_calc!$E$684-500))),TEXT(INDEX('My equipment'!$L$4:$L$503,(_calc!$E$684-500)),"yyyy-mm-dd"),""))=0,"","Labor end: "&amp;IF(ISNUMBER(INDEX('My equipment'!$L$4:$L$503,(_calc!$E$684-500))),TEXT(INDEX('My equipment'!$L$4:$L$503,(_calc!$E$684-500)),"yyyy-mm-dd"),"")&amp;". ")&amp;IF(LEN(IF(ISNUMBER(INDEX('My equipment'!$P$4:$P$503,(_calc!$E$684-500))),TEXT(INDEX('My equipment'!$P$4:$P$503,(_calc!$E$684-500)),"yyyy-mm-dd"),""))=0,"","Check by: "&amp;IF(ISNUMBER(INDEX('My equipment'!$P$4:$P$503,(_calc!$E$684-500))),TEXT(INDEX('My equipment'!$P$4:$P$503,(_calc!$E$684-500)),"yyyy-mm-dd"),"")&amp;". ")&amp;IF(LEN(IF(LEN(INDEX('My equipment'!$Q$4:$Q$503,(_calc!$E$684-500)))=0,"",INDEX('My equipment'!$Q$4:$Q$503,(_calc!$E$684-500))))=0,"","Claim status: "&amp;IF(LEN(INDEX('My equipment'!$Q$4:$Q$503,(_calc!$E$684-500)))=0,"",INDEX('My equipment'!$Q$4:$Q$503,(_calc!$E$684-500)))&amp;". ")&amp;IF(LEN(IF(LEN(INDEX('My equipment'!$R$4:$R$503,(_calc!$E$684-500)))=0,"",INDEX('My equipment'!$R$4:$R$503,(_calc!$E$684-500))))=0,"","Claims contact: "&amp;IF(LEN(INDEX('My equipment'!$R$4:$R$503,(_calc!$E$684-500)))=0,"",INDEX('My equipment'!$R$4:$R$503,(_calc!$E$684-500)))&amp;". ")&amp;IF(LEN(IF(LEN(INDEX('My equipment'!$S$4:$S$503,(_calc!$E$684-500)))=0,"",INDEX('My equipment'!$S$4:$S$503,(_calc!$E$684-500))))=0,"","Claims email: "&amp;IF(LEN(INDEX('My equipment'!$S$4:$S$503,(_calc!$E$684-500)))=0,"",INDEX('My equipment'!$S$4:$S$503,(_calc!$E$684-500)))&amp;". ")&amp;IF(LEN(IF(LEN(INDEX('My equipment'!$U$4:$U$503,(_calc!$E$684-500)))=0,"",INDEX('My equipment'!$U$4:$U$503,(_calc!$E$684-500))))=0,"","Registered: "&amp;IF(LEN(INDEX('My equipment'!$U$4:$U$503,(_calc!$E$684-500)))=0,"",INDEX('My equipment'!$U$4:$U$503,(_calc!$E$684-500)))&amp;". ")&amp;IF(LEN(IF(LEN(INDEX('My equipment'!$V$4:$V$503,(_calc!$E$684-500)))=0,"",INDEX('My equipment'!$V$4:$V$503,(_calc!$E$684-500))))=0,"","Proof on file: "&amp;IF(LEN(INDEX('My equipment'!$V$4:$V$503,(_calc!$E$684-500)))=0,"",INDEX('My equipment'!$V$4:$V$503,(_calc!$E$684-500)))&amp;". ")&amp;IF(LEN(IF(LEN(INDEX('My equipment'!$W$4:$W$503,(_calc!$E$684-500)))=0,"",INDEX('My equipment'!$W$4:$W$503,(_calc!$E$684-500))))=0,"","Claim ref: "&amp;IF(LEN(INDEX('My equipment'!$W$4:$W$503,(_calc!$E$684-500)))=0,"",INDEX('My equipment'!$W$4:$W$503,(_calc!$E$684-500)))&amp;". ")&amp;IF(LEN(IF(LEN(INDEX('My equipment'!$Y$4:$Y$503,(_calc!$E$684-500)))=0,"",INDEX('My equipment'!$Y$4:$Y$503,(_calc!$E$684-500))))=0,"",IF(LEN(INDEX('My equipment'!$Y$4:$Y$503,(_calc!$E$684-500)))=0,"",INDEX('My equipment'!$Y$4:$Y$503,(_calc!$E$684-500)))))))</f>
        <v/>
      </c>
      <c r="G682" s="54">
        <f>IF(_calc!$E$684="","",IF(_calc!$E$684&lt;=500,"",IF(LEN(INDEX('My equipment'!$X$4:$X$503,(_calc!$E$684-500)))=0,"",INDEX('My equipment'!$X$4:$X$503,(_calc!$E$684-500)))))</f>
        <v/>
      </c>
      <c r="K682" s="54">
        <f>IF(_calc!$E$684="","",IF(_calc!$E$684&lt;=500,"",IF(LEN(INDEX('My equipment'!$T$4:$T$503,(_calc!$E$684-500)))=0,"",INDEX('My equipment'!$T$4:$T$503,(_calc!$E$684-500)))))</f>
        <v/>
      </c>
    </row>
    <row r="683">
      <c r="A683" s="54">
        <f>IF(_calc!$E$685="","",IF(_calc!$E$685&lt;=500,"Warranty – "&amp;IF(LEN(INDEX('Dealer pipeline'!$C$4:$C$503,_calc!$E$685))=0,"",INDEX('Dealer pipeline'!$C$4:$C$503,_calc!$E$685))&amp;" – "&amp;IF(LEN(INDEX('Dealer pipeline'!$D$4:$D$503,_calc!$E$685))=0,"",INDEX('Dealer pipeline'!$D$4:$D$503,_calc!$E$685))&amp;" – "&amp;IF(LEN(INDEX('Dealer pipeline'!$A$4:$A$503,_calc!$E$685))=0,"",INDEX('Dealer pipeline'!$A$4:$A$503,_calc!$E$685)),"Warranty – "&amp;IF(LEN(INDEX('My equipment'!$A$4:$A$503,(_calc!$E$685-500)))=0,"",INDEX('My equipment'!$A$4:$A$503,(_calc!$E$685-500)))&amp;" – "&amp;IF(LEN(INDEX('My equipment'!$D$4:$D$503,(_calc!$E$685-500)))=0,"",INDEX('My equipment'!$D$4:$D$503,(_calc!$E$685-500)))))</f>
        <v/>
      </c>
      <c r="B683" s="54">
        <f>IF(_calc!$E$685="","",IF(_calc!$E$685&lt;=500,IF(ISNUMBER(INDEX('Dealer pipeline'!$M$4:$M$503,_calc!$E$685)),TEXT(INDEX('Dealer pipeline'!$M$4:$M$503,_calc!$E$685),"yyyy-mm-dd"),""),IF(ISNUMBER(INDEX('My equipment'!$M$4:$M$503,(_calc!$E$685-500))),TEXT(INDEX('My equipment'!$M$4:$M$503,(_calc!$E$685-500)),"yyyy-mm-dd"),"")))</f>
        <v/>
      </c>
      <c r="C683" s="54">
        <f>IF(_calc!$E$685="","",IF(_calc!$E$685&lt;=500,"Warranty","Warranty"))</f>
        <v/>
      </c>
      <c r="D683" s="54">
        <f>IF(_calc!$E$685="","",IF(_calc!$E$685&lt;=500,IF(ISNUMBER(INDEX('Dealer pipeline'!$H$4:$H$503,_calc!$E$685)),TEXT(INDEX('Dealer pipeline'!$H$4:$H$503,_calc!$E$685),"yyyy-mm-dd"),""),IF(ISNUMBER(INDEX('My equipment'!$H$4:$H$503,(_calc!$E$685-500))),TEXT(INDEX('My equipment'!$H$4:$H$503,(_calc!$E$685-500)),"yyyy-mm-dd"),"")))</f>
        <v/>
      </c>
      <c r="F683" s="54">
        <f>IF(_calc!$E$685="","",IF(_calc!$E$685&lt;=500,TRIM(IF(LEN(IF(LEN(INDEX('Dealer pipeline'!$A$4:$A$503,_calc!$E$685))=0,"",INDEX('Dealer pipeline'!$A$4:$A$503,_calc!$E$685)))=0,"","Customer: "&amp;IF(LEN(INDEX('Dealer pipeline'!$A$4:$A$503,_calc!$E$685))=0,"",INDEX('Dealer pipeline'!$A$4:$A$503,_calc!$E$685))&amp;". ")&amp;IF(LEN(IF(LEN(INDEX('Dealer pipeline'!$B$4:$B$503,_calc!$E$685))=0,"",INDEX('Dealer pipeline'!$B$4:$B$503,_calc!$E$685)))=0,"","Contact: "&amp;IF(LEN(INDEX('Dealer pipeline'!$B$4:$B$503,_calc!$E$685))=0,"",INDEX('Dealer pipeline'!$B$4:$B$503,_calc!$E$685))&amp;". ")&amp;IF(LEN(IF(LEN(INDEX('Dealer pipeline'!$D$4:$D$503,_calc!$E$685))=0,"",INDEX('Dealer pipeline'!$D$4:$D$503,_calc!$E$685)))=0,"","Serial: "&amp;IF(LEN(INDEX('Dealer pipeline'!$D$4:$D$503,_calc!$E$685))=0,"",INDEX('Dealer pipeline'!$D$4:$D$503,_calc!$E$685))&amp;". ")&amp;IF(LEN(IF(ISNUMBER(INDEX('Dealer pipeline'!$J$4:$J$503,_calc!$E$685)),TEXT(INDEX('Dealer pipeline'!$J$4:$J$503,_calc!$E$685),"yyyy-mm-dd"),""))=0,"","Parts end: "&amp;IF(ISNUMBER(INDEX('Dealer pipeline'!$J$4:$J$503,_calc!$E$685)),TEXT(INDEX('Dealer pipeline'!$J$4:$J$503,_calc!$E$685),"yyyy-mm-dd"),"")&amp;". ")&amp;IF(LEN(IF(ISNUMBER(INDEX('Dealer pipeline'!$L$4:$L$503,_calc!$E$685)),TEXT(INDEX('Dealer pipeline'!$L$4:$L$503,_calc!$E$685),"yyyy-mm-dd"),""))=0,"","Labor end: "&amp;IF(ISNUMBER(INDEX('Dealer pipeline'!$L$4:$L$503,_calc!$E$685)),TEXT(INDEX('Dealer pipeline'!$L$4:$L$503,_calc!$E$685),"yyyy-mm-dd"),"")&amp;". ")&amp;IF(LEN(IF(LEN(INDEX('Dealer pipeline'!$Q$4:$Q$503,_calc!$E$685))=0,"",INDEX('Dealer pipeline'!$Q$4:$Q$503,_calc!$E$685)))=0,"","Status: "&amp;IF(LEN(INDEX('Dealer pipeline'!$Q$4:$Q$503,_calc!$E$685))=0,"",INDEX('Dealer pipeline'!$Q$4:$Q$503,_calc!$E$685))&amp;". ")&amp;IF(LEN(IF(LEN(INDEX('Dealer pipeline'!$P$4:$P$503,_calc!$E$685))=0,"",INDEX('Dealer pipeline'!$P$4:$P$503,_calc!$E$685)))=0,"","Last touch: "&amp;IF(LEN(INDEX('Dealer pipeline'!$P$4:$P$503,_calc!$E$685))=0,"",INDEX('Dealer pipeline'!$P$4:$P$503,_calc!$E$685))&amp;". ")&amp;IF(LEN(IF(LEN(INDEX('Dealer pipeline'!$R$4:$R$503,_calc!$E$685))=0,"",INDEX('Dealer pipeline'!$R$4:$R$503,_calc!$E$685)))=0,"","Owner: "&amp;IF(LEN(INDEX('Dealer pipeline'!$R$4:$R$503,_calc!$E$685))=0,"",INDEX('Dealer pipeline'!$R$4:$R$503,_calc!$E$685))&amp;". ")&amp;IF(LEN(IF(LEN(INDEX('Dealer pipeline'!$S$4:$S$503,_calc!$E$685))=0,"",INDEX('Dealer pipeline'!$S$4:$S$503,_calc!$E$685)))=0,"","Backup: "&amp;IF(LEN(INDEX('Dealer pipeline'!$S$4:$S$503,_calc!$E$685))=0,"",INDEX('Dealer pipeline'!$S$4:$S$503,_calc!$E$685))&amp;". ")&amp;IF(LEN(IF(LEN(INDEX('Dealer pipeline'!$T$4:$T$503,_calc!$E$685))=0,"",INDEX('Dealer pipeline'!$T$4:$T$503,_calc!$E$685)))=0,"",IF(LEN(INDEX('Dealer pipeline'!$T$4:$T$503,_calc!$E$685))=0,"",INDEX('Dealer pipeline'!$T$4:$T$503,_calc!$E$685)))),TRIM(IF(LEN(IF(LEN(INDEX('My equipment'!$C$4:$C$503,(_calc!$E$685-500)))=0,"",INDEX('My equipment'!$C$4:$C$503,(_calc!$E$685-500))))=0,"","Model: "&amp;IF(LEN(INDEX('My equipment'!$C$4:$C$503,(_calc!$E$685-500)))=0,"",INDEX('My equipment'!$C$4:$C$503,(_calc!$E$685-500)))&amp;". ")&amp;IF(LEN(IF(LEN(INDEX('My equipment'!$D$4:$D$503,(_calc!$E$685-500)))=0,"",INDEX('My equipment'!$D$4:$D$503,(_calc!$E$685-500))))=0,"","Serial: "&amp;IF(LEN(INDEX('My equipment'!$D$4:$D$503,(_calc!$E$685-500)))=0,"",INDEX('My equipment'!$D$4:$D$503,(_calc!$E$685-500)))&amp;". ")&amp;IF(LEN(IF(ISNUMBER(INDEX('My equipment'!$J$4:$J$503,(_calc!$E$685-500))),TEXT(INDEX('My equipment'!$J$4:$J$503,(_calc!$E$685-500)),"yyyy-mm-dd"),""))=0,"","Parts end: "&amp;IF(ISNUMBER(INDEX('My equipment'!$J$4:$J$503,(_calc!$E$685-500))),TEXT(INDEX('My equipment'!$J$4:$J$503,(_calc!$E$685-500)),"yyyy-mm-dd"),"")&amp;". ")&amp;IF(LEN(IF(ISNUMBER(INDEX('My equipment'!$L$4:$L$503,(_calc!$E$685-500))),TEXT(INDEX('My equipment'!$L$4:$L$503,(_calc!$E$685-500)),"yyyy-mm-dd"),""))=0,"","Labor end: "&amp;IF(ISNUMBER(INDEX('My equipment'!$L$4:$L$503,(_calc!$E$685-500))),TEXT(INDEX('My equipment'!$L$4:$L$503,(_calc!$E$685-500)),"yyyy-mm-dd"),"")&amp;". ")&amp;IF(LEN(IF(ISNUMBER(INDEX('My equipment'!$P$4:$P$503,(_calc!$E$685-500))),TEXT(INDEX('My equipment'!$P$4:$P$503,(_calc!$E$685-500)),"yyyy-mm-dd"),""))=0,"","Check by: "&amp;IF(ISNUMBER(INDEX('My equipment'!$P$4:$P$503,(_calc!$E$685-500))),TEXT(INDEX('My equipment'!$P$4:$P$503,(_calc!$E$685-500)),"yyyy-mm-dd"),"")&amp;". ")&amp;IF(LEN(IF(LEN(INDEX('My equipment'!$Q$4:$Q$503,(_calc!$E$685-500)))=0,"",INDEX('My equipment'!$Q$4:$Q$503,(_calc!$E$685-500))))=0,"","Claim status: "&amp;IF(LEN(INDEX('My equipment'!$Q$4:$Q$503,(_calc!$E$685-500)))=0,"",INDEX('My equipment'!$Q$4:$Q$503,(_calc!$E$685-500)))&amp;". ")&amp;IF(LEN(IF(LEN(INDEX('My equipment'!$R$4:$R$503,(_calc!$E$685-500)))=0,"",INDEX('My equipment'!$R$4:$R$503,(_calc!$E$685-500))))=0,"","Claims contact: "&amp;IF(LEN(INDEX('My equipment'!$R$4:$R$503,(_calc!$E$685-500)))=0,"",INDEX('My equipment'!$R$4:$R$503,(_calc!$E$685-500)))&amp;". ")&amp;IF(LEN(IF(LEN(INDEX('My equipment'!$S$4:$S$503,(_calc!$E$685-500)))=0,"",INDEX('My equipment'!$S$4:$S$503,(_calc!$E$685-500))))=0,"","Claims email: "&amp;IF(LEN(INDEX('My equipment'!$S$4:$S$503,(_calc!$E$685-500)))=0,"",INDEX('My equipment'!$S$4:$S$503,(_calc!$E$685-500)))&amp;". ")&amp;IF(LEN(IF(LEN(INDEX('My equipment'!$U$4:$U$503,(_calc!$E$685-500)))=0,"",INDEX('My equipment'!$U$4:$U$503,(_calc!$E$685-500))))=0,"","Registered: "&amp;IF(LEN(INDEX('My equipment'!$U$4:$U$503,(_calc!$E$685-500)))=0,"",INDEX('My equipment'!$U$4:$U$503,(_calc!$E$685-500)))&amp;". ")&amp;IF(LEN(IF(LEN(INDEX('My equipment'!$V$4:$V$503,(_calc!$E$685-500)))=0,"",INDEX('My equipment'!$V$4:$V$503,(_calc!$E$685-500))))=0,"","Proof on file: "&amp;IF(LEN(INDEX('My equipment'!$V$4:$V$503,(_calc!$E$685-500)))=0,"",INDEX('My equipment'!$V$4:$V$503,(_calc!$E$685-500)))&amp;". ")&amp;IF(LEN(IF(LEN(INDEX('My equipment'!$W$4:$W$503,(_calc!$E$685-500)))=0,"",INDEX('My equipment'!$W$4:$W$503,(_calc!$E$685-500))))=0,"","Claim ref: "&amp;IF(LEN(INDEX('My equipment'!$W$4:$W$503,(_calc!$E$685-500)))=0,"",INDEX('My equipment'!$W$4:$W$503,(_calc!$E$685-500)))&amp;". ")&amp;IF(LEN(IF(LEN(INDEX('My equipment'!$Y$4:$Y$503,(_calc!$E$685-500)))=0,"",INDEX('My equipment'!$Y$4:$Y$503,(_calc!$E$685-500))))=0,"",IF(LEN(INDEX('My equipment'!$Y$4:$Y$503,(_calc!$E$685-500)))=0,"",INDEX('My equipment'!$Y$4:$Y$503,(_calc!$E$685-500)))))))</f>
        <v/>
      </c>
      <c r="G683" s="54">
        <f>IF(_calc!$E$685="","",IF(_calc!$E$685&lt;=500,"",IF(LEN(INDEX('My equipment'!$X$4:$X$503,(_calc!$E$685-500)))=0,"",INDEX('My equipment'!$X$4:$X$503,(_calc!$E$685-500)))))</f>
        <v/>
      </c>
      <c r="K683" s="54">
        <f>IF(_calc!$E$685="","",IF(_calc!$E$685&lt;=500,"",IF(LEN(INDEX('My equipment'!$T$4:$T$503,(_calc!$E$685-500)))=0,"",INDEX('My equipment'!$T$4:$T$503,(_calc!$E$685-500)))))</f>
        <v/>
      </c>
    </row>
    <row r="684">
      <c r="A684" s="54">
        <f>IF(_calc!$E$686="","",IF(_calc!$E$686&lt;=500,"Warranty – "&amp;IF(LEN(INDEX('Dealer pipeline'!$C$4:$C$503,_calc!$E$686))=0,"",INDEX('Dealer pipeline'!$C$4:$C$503,_calc!$E$686))&amp;" – "&amp;IF(LEN(INDEX('Dealer pipeline'!$D$4:$D$503,_calc!$E$686))=0,"",INDEX('Dealer pipeline'!$D$4:$D$503,_calc!$E$686))&amp;" – "&amp;IF(LEN(INDEX('Dealer pipeline'!$A$4:$A$503,_calc!$E$686))=0,"",INDEX('Dealer pipeline'!$A$4:$A$503,_calc!$E$686)),"Warranty – "&amp;IF(LEN(INDEX('My equipment'!$A$4:$A$503,(_calc!$E$686-500)))=0,"",INDEX('My equipment'!$A$4:$A$503,(_calc!$E$686-500)))&amp;" – "&amp;IF(LEN(INDEX('My equipment'!$D$4:$D$503,(_calc!$E$686-500)))=0,"",INDEX('My equipment'!$D$4:$D$503,(_calc!$E$686-500)))))</f>
        <v/>
      </c>
      <c r="B684" s="54">
        <f>IF(_calc!$E$686="","",IF(_calc!$E$686&lt;=500,IF(ISNUMBER(INDEX('Dealer pipeline'!$M$4:$M$503,_calc!$E$686)),TEXT(INDEX('Dealer pipeline'!$M$4:$M$503,_calc!$E$686),"yyyy-mm-dd"),""),IF(ISNUMBER(INDEX('My equipment'!$M$4:$M$503,(_calc!$E$686-500))),TEXT(INDEX('My equipment'!$M$4:$M$503,(_calc!$E$686-500)),"yyyy-mm-dd"),"")))</f>
        <v/>
      </c>
      <c r="C684" s="54">
        <f>IF(_calc!$E$686="","",IF(_calc!$E$686&lt;=500,"Warranty","Warranty"))</f>
        <v/>
      </c>
      <c r="D684" s="54">
        <f>IF(_calc!$E$686="","",IF(_calc!$E$686&lt;=500,IF(ISNUMBER(INDEX('Dealer pipeline'!$H$4:$H$503,_calc!$E$686)),TEXT(INDEX('Dealer pipeline'!$H$4:$H$503,_calc!$E$686),"yyyy-mm-dd"),""),IF(ISNUMBER(INDEX('My equipment'!$H$4:$H$503,(_calc!$E$686-500))),TEXT(INDEX('My equipment'!$H$4:$H$503,(_calc!$E$686-500)),"yyyy-mm-dd"),"")))</f>
        <v/>
      </c>
      <c r="F684" s="54">
        <f>IF(_calc!$E$686="","",IF(_calc!$E$686&lt;=500,TRIM(IF(LEN(IF(LEN(INDEX('Dealer pipeline'!$A$4:$A$503,_calc!$E$686))=0,"",INDEX('Dealer pipeline'!$A$4:$A$503,_calc!$E$686)))=0,"","Customer: "&amp;IF(LEN(INDEX('Dealer pipeline'!$A$4:$A$503,_calc!$E$686))=0,"",INDEX('Dealer pipeline'!$A$4:$A$503,_calc!$E$686))&amp;". ")&amp;IF(LEN(IF(LEN(INDEX('Dealer pipeline'!$B$4:$B$503,_calc!$E$686))=0,"",INDEX('Dealer pipeline'!$B$4:$B$503,_calc!$E$686)))=0,"","Contact: "&amp;IF(LEN(INDEX('Dealer pipeline'!$B$4:$B$503,_calc!$E$686))=0,"",INDEX('Dealer pipeline'!$B$4:$B$503,_calc!$E$686))&amp;". ")&amp;IF(LEN(IF(LEN(INDEX('Dealer pipeline'!$D$4:$D$503,_calc!$E$686))=0,"",INDEX('Dealer pipeline'!$D$4:$D$503,_calc!$E$686)))=0,"","Serial: "&amp;IF(LEN(INDEX('Dealer pipeline'!$D$4:$D$503,_calc!$E$686))=0,"",INDEX('Dealer pipeline'!$D$4:$D$503,_calc!$E$686))&amp;". ")&amp;IF(LEN(IF(ISNUMBER(INDEX('Dealer pipeline'!$J$4:$J$503,_calc!$E$686)),TEXT(INDEX('Dealer pipeline'!$J$4:$J$503,_calc!$E$686),"yyyy-mm-dd"),""))=0,"","Parts end: "&amp;IF(ISNUMBER(INDEX('Dealer pipeline'!$J$4:$J$503,_calc!$E$686)),TEXT(INDEX('Dealer pipeline'!$J$4:$J$503,_calc!$E$686),"yyyy-mm-dd"),"")&amp;". ")&amp;IF(LEN(IF(ISNUMBER(INDEX('Dealer pipeline'!$L$4:$L$503,_calc!$E$686)),TEXT(INDEX('Dealer pipeline'!$L$4:$L$503,_calc!$E$686),"yyyy-mm-dd"),""))=0,"","Labor end: "&amp;IF(ISNUMBER(INDEX('Dealer pipeline'!$L$4:$L$503,_calc!$E$686)),TEXT(INDEX('Dealer pipeline'!$L$4:$L$503,_calc!$E$686),"yyyy-mm-dd"),"")&amp;". ")&amp;IF(LEN(IF(LEN(INDEX('Dealer pipeline'!$Q$4:$Q$503,_calc!$E$686))=0,"",INDEX('Dealer pipeline'!$Q$4:$Q$503,_calc!$E$686)))=0,"","Status: "&amp;IF(LEN(INDEX('Dealer pipeline'!$Q$4:$Q$503,_calc!$E$686))=0,"",INDEX('Dealer pipeline'!$Q$4:$Q$503,_calc!$E$686))&amp;". ")&amp;IF(LEN(IF(LEN(INDEX('Dealer pipeline'!$P$4:$P$503,_calc!$E$686))=0,"",INDEX('Dealer pipeline'!$P$4:$P$503,_calc!$E$686)))=0,"","Last touch: "&amp;IF(LEN(INDEX('Dealer pipeline'!$P$4:$P$503,_calc!$E$686))=0,"",INDEX('Dealer pipeline'!$P$4:$P$503,_calc!$E$686))&amp;". ")&amp;IF(LEN(IF(LEN(INDEX('Dealer pipeline'!$R$4:$R$503,_calc!$E$686))=0,"",INDEX('Dealer pipeline'!$R$4:$R$503,_calc!$E$686)))=0,"","Owner: "&amp;IF(LEN(INDEX('Dealer pipeline'!$R$4:$R$503,_calc!$E$686))=0,"",INDEX('Dealer pipeline'!$R$4:$R$503,_calc!$E$686))&amp;". ")&amp;IF(LEN(IF(LEN(INDEX('Dealer pipeline'!$S$4:$S$503,_calc!$E$686))=0,"",INDEX('Dealer pipeline'!$S$4:$S$503,_calc!$E$686)))=0,"","Backup: "&amp;IF(LEN(INDEX('Dealer pipeline'!$S$4:$S$503,_calc!$E$686))=0,"",INDEX('Dealer pipeline'!$S$4:$S$503,_calc!$E$686))&amp;". ")&amp;IF(LEN(IF(LEN(INDEX('Dealer pipeline'!$T$4:$T$503,_calc!$E$686))=0,"",INDEX('Dealer pipeline'!$T$4:$T$503,_calc!$E$686)))=0,"",IF(LEN(INDEX('Dealer pipeline'!$T$4:$T$503,_calc!$E$686))=0,"",INDEX('Dealer pipeline'!$T$4:$T$503,_calc!$E$686)))),TRIM(IF(LEN(IF(LEN(INDEX('My equipment'!$C$4:$C$503,(_calc!$E$686-500)))=0,"",INDEX('My equipment'!$C$4:$C$503,(_calc!$E$686-500))))=0,"","Model: "&amp;IF(LEN(INDEX('My equipment'!$C$4:$C$503,(_calc!$E$686-500)))=0,"",INDEX('My equipment'!$C$4:$C$503,(_calc!$E$686-500)))&amp;". ")&amp;IF(LEN(IF(LEN(INDEX('My equipment'!$D$4:$D$503,(_calc!$E$686-500)))=0,"",INDEX('My equipment'!$D$4:$D$503,(_calc!$E$686-500))))=0,"","Serial: "&amp;IF(LEN(INDEX('My equipment'!$D$4:$D$503,(_calc!$E$686-500)))=0,"",INDEX('My equipment'!$D$4:$D$503,(_calc!$E$686-500)))&amp;". ")&amp;IF(LEN(IF(ISNUMBER(INDEX('My equipment'!$J$4:$J$503,(_calc!$E$686-500))),TEXT(INDEX('My equipment'!$J$4:$J$503,(_calc!$E$686-500)),"yyyy-mm-dd"),""))=0,"","Parts end: "&amp;IF(ISNUMBER(INDEX('My equipment'!$J$4:$J$503,(_calc!$E$686-500))),TEXT(INDEX('My equipment'!$J$4:$J$503,(_calc!$E$686-500)),"yyyy-mm-dd"),"")&amp;". ")&amp;IF(LEN(IF(ISNUMBER(INDEX('My equipment'!$L$4:$L$503,(_calc!$E$686-500))),TEXT(INDEX('My equipment'!$L$4:$L$503,(_calc!$E$686-500)),"yyyy-mm-dd"),""))=0,"","Labor end: "&amp;IF(ISNUMBER(INDEX('My equipment'!$L$4:$L$503,(_calc!$E$686-500))),TEXT(INDEX('My equipment'!$L$4:$L$503,(_calc!$E$686-500)),"yyyy-mm-dd"),"")&amp;". ")&amp;IF(LEN(IF(ISNUMBER(INDEX('My equipment'!$P$4:$P$503,(_calc!$E$686-500))),TEXT(INDEX('My equipment'!$P$4:$P$503,(_calc!$E$686-500)),"yyyy-mm-dd"),""))=0,"","Check by: "&amp;IF(ISNUMBER(INDEX('My equipment'!$P$4:$P$503,(_calc!$E$686-500))),TEXT(INDEX('My equipment'!$P$4:$P$503,(_calc!$E$686-500)),"yyyy-mm-dd"),"")&amp;". ")&amp;IF(LEN(IF(LEN(INDEX('My equipment'!$Q$4:$Q$503,(_calc!$E$686-500)))=0,"",INDEX('My equipment'!$Q$4:$Q$503,(_calc!$E$686-500))))=0,"","Claim status: "&amp;IF(LEN(INDEX('My equipment'!$Q$4:$Q$503,(_calc!$E$686-500)))=0,"",INDEX('My equipment'!$Q$4:$Q$503,(_calc!$E$686-500)))&amp;". ")&amp;IF(LEN(IF(LEN(INDEX('My equipment'!$R$4:$R$503,(_calc!$E$686-500)))=0,"",INDEX('My equipment'!$R$4:$R$503,(_calc!$E$686-500))))=0,"","Claims contact: "&amp;IF(LEN(INDEX('My equipment'!$R$4:$R$503,(_calc!$E$686-500)))=0,"",INDEX('My equipment'!$R$4:$R$503,(_calc!$E$686-500)))&amp;". ")&amp;IF(LEN(IF(LEN(INDEX('My equipment'!$S$4:$S$503,(_calc!$E$686-500)))=0,"",INDEX('My equipment'!$S$4:$S$503,(_calc!$E$686-500))))=0,"","Claims email: "&amp;IF(LEN(INDEX('My equipment'!$S$4:$S$503,(_calc!$E$686-500)))=0,"",INDEX('My equipment'!$S$4:$S$503,(_calc!$E$686-500)))&amp;". ")&amp;IF(LEN(IF(LEN(INDEX('My equipment'!$U$4:$U$503,(_calc!$E$686-500)))=0,"",INDEX('My equipment'!$U$4:$U$503,(_calc!$E$686-500))))=0,"","Registered: "&amp;IF(LEN(INDEX('My equipment'!$U$4:$U$503,(_calc!$E$686-500)))=0,"",INDEX('My equipment'!$U$4:$U$503,(_calc!$E$686-500)))&amp;". ")&amp;IF(LEN(IF(LEN(INDEX('My equipment'!$V$4:$V$503,(_calc!$E$686-500)))=0,"",INDEX('My equipment'!$V$4:$V$503,(_calc!$E$686-500))))=0,"","Proof on file: "&amp;IF(LEN(INDEX('My equipment'!$V$4:$V$503,(_calc!$E$686-500)))=0,"",INDEX('My equipment'!$V$4:$V$503,(_calc!$E$686-500)))&amp;". ")&amp;IF(LEN(IF(LEN(INDEX('My equipment'!$W$4:$W$503,(_calc!$E$686-500)))=0,"",INDEX('My equipment'!$W$4:$W$503,(_calc!$E$686-500))))=0,"","Claim ref: "&amp;IF(LEN(INDEX('My equipment'!$W$4:$W$503,(_calc!$E$686-500)))=0,"",INDEX('My equipment'!$W$4:$W$503,(_calc!$E$686-500)))&amp;". ")&amp;IF(LEN(IF(LEN(INDEX('My equipment'!$Y$4:$Y$503,(_calc!$E$686-500)))=0,"",INDEX('My equipment'!$Y$4:$Y$503,(_calc!$E$686-500))))=0,"",IF(LEN(INDEX('My equipment'!$Y$4:$Y$503,(_calc!$E$686-500)))=0,"",INDEX('My equipment'!$Y$4:$Y$503,(_calc!$E$686-500)))))))</f>
        <v/>
      </c>
      <c r="G684" s="54">
        <f>IF(_calc!$E$686="","",IF(_calc!$E$686&lt;=500,"",IF(LEN(INDEX('My equipment'!$X$4:$X$503,(_calc!$E$686-500)))=0,"",INDEX('My equipment'!$X$4:$X$503,(_calc!$E$686-500)))))</f>
        <v/>
      </c>
      <c r="K684" s="54">
        <f>IF(_calc!$E$686="","",IF(_calc!$E$686&lt;=500,"",IF(LEN(INDEX('My equipment'!$T$4:$T$503,(_calc!$E$686-500)))=0,"",INDEX('My equipment'!$T$4:$T$503,(_calc!$E$686-500)))))</f>
        <v/>
      </c>
    </row>
    <row r="685">
      <c r="A685" s="54">
        <f>IF(_calc!$E$687="","",IF(_calc!$E$687&lt;=500,"Warranty – "&amp;IF(LEN(INDEX('Dealer pipeline'!$C$4:$C$503,_calc!$E$687))=0,"",INDEX('Dealer pipeline'!$C$4:$C$503,_calc!$E$687))&amp;" – "&amp;IF(LEN(INDEX('Dealer pipeline'!$D$4:$D$503,_calc!$E$687))=0,"",INDEX('Dealer pipeline'!$D$4:$D$503,_calc!$E$687))&amp;" – "&amp;IF(LEN(INDEX('Dealer pipeline'!$A$4:$A$503,_calc!$E$687))=0,"",INDEX('Dealer pipeline'!$A$4:$A$503,_calc!$E$687)),"Warranty – "&amp;IF(LEN(INDEX('My equipment'!$A$4:$A$503,(_calc!$E$687-500)))=0,"",INDEX('My equipment'!$A$4:$A$503,(_calc!$E$687-500)))&amp;" – "&amp;IF(LEN(INDEX('My equipment'!$D$4:$D$503,(_calc!$E$687-500)))=0,"",INDEX('My equipment'!$D$4:$D$503,(_calc!$E$687-500)))))</f>
        <v/>
      </c>
      <c r="B685" s="54">
        <f>IF(_calc!$E$687="","",IF(_calc!$E$687&lt;=500,IF(ISNUMBER(INDEX('Dealer pipeline'!$M$4:$M$503,_calc!$E$687)),TEXT(INDEX('Dealer pipeline'!$M$4:$M$503,_calc!$E$687),"yyyy-mm-dd"),""),IF(ISNUMBER(INDEX('My equipment'!$M$4:$M$503,(_calc!$E$687-500))),TEXT(INDEX('My equipment'!$M$4:$M$503,(_calc!$E$687-500)),"yyyy-mm-dd"),"")))</f>
        <v/>
      </c>
      <c r="C685" s="54">
        <f>IF(_calc!$E$687="","",IF(_calc!$E$687&lt;=500,"Warranty","Warranty"))</f>
        <v/>
      </c>
      <c r="D685" s="54">
        <f>IF(_calc!$E$687="","",IF(_calc!$E$687&lt;=500,IF(ISNUMBER(INDEX('Dealer pipeline'!$H$4:$H$503,_calc!$E$687)),TEXT(INDEX('Dealer pipeline'!$H$4:$H$503,_calc!$E$687),"yyyy-mm-dd"),""),IF(ISNUMBER(INDEX('My equipment'!$H$4:$H$503,(_calc!$E$687-500))),TEXT(INDEX('My equipment'!$H$4:$H$503,(_calc!$E$687-500)),"yyyy-mm-dd"),"")))</f>
        <v/>
      </c>
      <c r="F685" s="54">
        <f>IF(_calc!$E$687="","",IF(_calc!$E$687&lt;=500,TRIM(IF(LEN(IF(LEN(INDEX('Dealer pipeline'!$A$4:$A$503,_calc!$E$687))=0,"",INDEX('Dealer pipeline'!$A$4:$A$503,_calc!$E$687)))=0,"","Customer: "&amp;IF(LEN(INDEX('Dealer pipeline'!$A$4:$A$503,_calc!$E$687))=0,"",INDEX('Dealer pipeline'!$A$4:$A$503,_calc!$E$687))&amp;". ")&amp;IF(LEN(IF(LEN(INDEX('Dealer pipeline'!$B$4:$B$503,_calc!$E$687))=0,"",INDEX('Dealer pipeline'!$B$4:$B$503,_calc!$E$687)))=0,"","Contact: "&amp;IF(LEN(INDEX('Dealer pipeline'!$B$4:$B$503,_calc!$E$687))=0,"",INDEX('Dealer pipeline'!$B$4:$B$503,_calc!$E$687))&amp;". ")&amp;IF(LEN(IF(LEN(INDEX('Dealer pipeline'!$D$4:$D$503,_calc!$E$687))=0,"",INDEX('Dealer pipeline'!$D$4:$D$503,_calc!$E$687)))=0,"","Serial: "&amp;IF(LEN(INDEX('Dealer pipeline'!$D$4:$D$503,_calc!$E$687))=0,"",INDEX('Dealer pipeline'!$D$4:$D$503,_calc!$E$687))&amp;". ")&amp;IF(LEN(IF(ISNUMBER(INDEX('Dealer pipeline'!$J$4:$J$503,_calc!$E$687)),TEXT(INDEX('Dealer pipeline'!$J$4:$J$503,_calc!$E$687),"yyyy-mm-dd"),""))=0,"","Parts end: "&amp;IF(ISNUMBER(INDEX('Dealer pipeline'!$J$4:$J$503,_calc!$E$687)),TEXT(INDEX('Dealer pipeline'!$J$4:$J$503,_calc!$E$687),"yyyy-mm-dd"),"")&amp;". ")&amp;IF(LEN(IF(ISNUMBER(INDEX('Dealer pipeline'!$L$4:$L$503,_calc!$E$687)),TEXT(INDEX('Dealer pipeline'!$L$4:$L$503,_calc!$E$687),"yyyy-mm-dd"),""))=0,"","Labor end: "&amp;IF(ISNUMBER(INDEX('Dealer pipeline'!$L$4:$L$503,_calc!$E$687)),TEXT(INDEX('Dealer pipeline'!$L$4:$L$503,_calc!$E$687),"yyyy-mm-dd"),"")&amp;". ")&amp;IF(LEN(IF(LEN(INDEX('Dealer pipeline'!$Q$4:$Q$503,_calc!$E$687))=0,"",INDEX('Dealer pipeline'!$Q$4:$Q$503,_calc!$E$687)))=0,"","Status: "&amp;IF(LEN(INDEX('Dealer pipeline'!$Q$4:$Q$503,_calc!$E$687))=0,"",INDEX('Dealer pipeline'!$Q$4:$Q$503,_calc!$E$687))&amp;". ")&amp;IF(LEN(IF(LEN(INDEX('Dealer pipeline'!$P$4:$P$503,_calc!$E$687))=0,"",INDEX('Dealer pipeline'!$P$4:$P$503,_calc!$E$687)))=0,"","Last touch: "&amp;IF(LEN(INDEX('Dealer pipeline'!$P$4:$P$503,_calc!$E$687))=0,"",INDEX('Dealer pipeline'!$P$4:$P$503,_calc!$E$687))&amp;". ")&amp;IF(LEN(IF(LEN(INDEX('Dealer pipeline'!$R$4:$R$503,_calc!$E$687))=0,"",INDEX('Dealer pipeline'!$R$4:$R$503,_calc!$E$687)))=0,"","Owner: "&amp;IF(LEN(INDEX('Dealer pipeline'!$R$4:$R$503,_calc!$E$687))=0,"",INDEX('Dealer pipeline'!$R$4:$R$503,_calc!$E$687))&amp;". ")&amp;IF(LEN(IF(LEN(INDEX('Dealer pipeline'!$S$4:$S$503,_calc!$E$687))=0,"",INDEX('Dealer pipeline'!$S$4:$S$503,_calc!$E$687)))=0,"","Backup: "&amp;IF(LEN(INDEX('Dealer pipeline'!$S$4:$S$503,_calc!$E$687))=0,"",INDEX('Dealer pipeline'!$S$4:$S$503,_calc!$E$687))&amp;". ")&amp;IF(LEN(IF(LEN(INDEX('Dealer pipeline'!$T$4:$T$503,_calc!$E$687))=0,"",INDEX('Dealer pipeline'!$T$4:$T$503,_calc!$E$687)))=0,"",IF(LEN(INDEX('Dealer pipeline'!$T$4:$T$503,_calc!$E$687))=0,"",INDEX('Dealer pipeline'!$T$4:$T$503,_calc!$E$687)))),TRIM(IF(LEN(IF(LEN(INDEX('My equipment'!$C$4:$C$503,(_calc!$E$687-500)))=0,"",INDEX('My equipment'!$C$4:$C$503,(_calc!$E$687-500))))=0,"","Model: "&amp;IF(LEN(INDEX('My equipment'!$C$4:$C$503,(_calc!$E$687-500)))=0,"",INDEX('My equipment'!$C$4:$C$503,(_calc!$E$687-500)))&amp;". ")&amp;IF(LEN(IF(LEN(INDEX('My equipment'!$D$4:$D$503,(_calc!$E$687-500)))=0,"",INDEX('My equipment'!$D$4:$D$503,(_calc!$E$687-500))))=0,"","Serial: "&amp;IF(LEN(INDEX('My equipment'!$D$4:$D$503,(_calc!$E$687-500)))=0,"",INDEX('My equipment'!$D$4:$D$503,(_calc!$E$687-500)))&amp;". ")&amp;IF(LEN(IF(ISNUMBER(INDEX('My equipment'!$J$4:$J$503,(_calc!$E$687-500))),TEXT(INDEX('My equipment'!$J$4:$J$503,(_calc!$E$687-500)),"yyyy-mm-dd"),""))=0,"","Parts end: "&amp;IF(ISNUMBER(INDEX('My equipment'!$J$4:$J$503,(_calc!$E$687-500))),TEXT(INDEX('My equipment'!$J$4:$J$503,(_calc!$E$687-500)),"yyyy-mm-dd"),"")&amp;". ")&amp;IF(LEN(IF(ISNUMBER(INDEX('My equipment'!$L$4:$L$503,(_calc!$E$687-500))),TEXT(INDEX('My equipment'!$L$4:$L$503,(_calc!$E$687-500)),"yyyy-mm-dd"),""))=0,"","Labor end: "&amp;IF(ISNUMBER(INDEX('My equipment'!$L$4:$L$503,(_calc!$E$687-500))),TEXT(INDEX('My equipment'!$L$4:$L$503,(_calc!$E$687-500)),"yyyy-mm-dd"),"")&amp;". ")&amp;IF(LEN(IF(ISNUMBER(INDEX('My equipment'!$P$4:$P$503,(_calc!$E$687-500))),TEXT(INDEX('My equipment'!$P$4:$P$503,(_calc!$E$687-500)),"yyyy-mm-dd"),""))=0,"","Check by: "&amp;IF(ISNUMBER(INDEX('My equipment'!$P$4:$P$503,(_calc!$E$687-500))),TEXT(INDEX('My equipment'!$P$4:$P$503,(_calc!$E$687-500)),"yyyy-mm-dd"),"")&amp;". ")&amp;IF(LEN(IF(LEN(INDEX('My equipment'!$Q$4:$Q$503,(_calc!$E$687-500)))=0,"",INDEX('My equipment'!$Q$4:$Q$503,(_calc!$E$687-500))))=0,"","Claim status: "&amp;IF(LEN(INDEX('My equipment'!$Q$4:$Q$503,(_calc!$E$687-500)))=0,"",INDEX('My equipment'!$Q$4:$Q$503,(_calc!$E$687-500)))&amp;". ")&amp;IF(LEN(IF(LEN(INDEX('My equipment'!$R$4:$R$503,(_calc!$E$687-500)))=0,"",INDEX('My equipment'!$R$4:$R$503,(_calc!$E$687-500))))=0,"","Claims contact: "&amp;IF(LEN(INDEX('My equipment'!$R$4:$R$503,(_calc!$E$687-500)))=0,"",INDEX('My equipment'!$R$4:$R$503,(_calc!$E$687-500)))&amp;". ")&amp;IF(LEN(IF(LEN(INDEX('My equipment'!$S$4:$S$503,(_calc!$E$687-500)))=0,"",INDEX('My equipment'!$S$4:$S$503,(_calc!$E$687-500))))=0,"","Claims email: "&amp;IF(LEN(INDEX('My equipment'!$S$4:$S$503,(_calc!$E$687-500)))=0,"",INDEX('My equipment'!$S$4:$S$503,(_calc!$E$687-500)))&amp;". ")&amp;IF(LEN(IF(LEN(INDEX('My equipment'!$U$4:$U$503,(_calc!$E$687-500)))=0,"",INDEX('My equipment'!$U$4:$U$503,(_calc!$E$687-500))))=0,"","Registered: "&amp;IF(LEN(INDEX('My equipment'!$U$4:$U$503,(_calc!$E$687-500)))=0,"",INDEX('My equipment'!$U$4:$U$503,(_calc!$E$687-500)))&amp;". ")&amp;IF(LEN(IF(LEN(INDEX('My equipment'!$V$4:$V$503,(_calc!$E$687-500)))=0,"",INDEX('My equipment'!$V$4:$V$503,(_calc!$E$687-500))))=0,"","Proof on file: "&amp;IF(LEN(INDEX('My equipment'!$V$4:$V$503,(_calc!$E$687-500)))=0,"",INDEX('My equipment'!$V$4:$V$503,(_calc!$E$687-500)))&amp;". ")&amp;IF(LEN(IF(LEN(INDEX('My equipment'!$W$4:$W$503,(_calc!$E$687-500)))=0,"",INDEX('My equipment'!$W$4:$W$503,(_calc!$E$687-500))))=0,"","Claim ref: "&amp;IF(LEN(INDEX('My equipment'!$W$4:$W$503,(_calc!$E$687-500)))=0,"",INDEX('My equipment'!$W$4:$W$503,(_calc!$E$687-500)))&amp;". ")&amp;IF(LEN(IF(LEN(INDEX('My equipment'!$Y$4:$Y$503,(_calc!$E$687-500)))=0,"",INDEX('My equipment'!$Y$4:$Y$503,(_calc!$E$687-500))))=0,"",IF(LEN(INDEX('My equipment'!$Y$4:$Y$503,(_calc!$E$687-500)))=0,"",INDEX('My equipment'!$Y$4:$Y$503,(_calc!$E$687-500)))))))</f>
        <v/>
      </c>
      <c r="G685" s="54">
        <f>IF(_calc!$E$687="","",IF(_calc!$E$687&lt;=500,"",IF(LEN(INDEX('My equipment'!$X$4:$X$503,(_calc!$E$687-500)))=0,"",INDEX('My equipment'!$X$4:$X$503,(_calc!$E$687-500)))))</f>
        <v/>
      </c>
      <c r="K685" s="54">
        <f>IF(_calc!$E$687="","",IF(_calc!$E$687&lt;=500,"",IF(LEN(INDEX('My equipment'!$T$4:$T$503,(_calc!$E$687-500)))=0,"",INDEX('My equipment'!$T$4:$T$503,(_calc!$E$687-500)))))</f>
        <v/>
      </c>
    </row>
    <row r="686">
      <c r="A686" s="54">
        <f>IF(_calc!$E$688="","",IF(_calc!$E$688&lt;=500,"Warranty – "&amp;IF(LEN(INDEX('Dealer pipeline'!$C$4:$C$503,_calc!$E$688))=0,"",INDEX('Dealer pipeline'!$C$4:$C$503,_calc!$E$688))&amp;" – "&amp;IF(LEN(INDEX('Dealer pipeline'!$D$4:$D$503,_calc!$E$688))=0,"",INDEX('Dealer pipeline'!$D$4:$D$503,_calc!$E$688))&amp;" – "&amp;IF(LEN(INDEX('Dealer pipeline'!$A$4:$A$503,_calc!$E$688))=0,"",INDEX('Dealer pipeline'!$A$4:$A$503,_calc!$E$688)),"Warranty – "&amp;IF(LEN(INDEX('My equipment'!$A$4:$A$503,(_calc!$E$688-500)))=0,"",INDEX('My equipment'!$A$4:$A$503,(_calc!$E$688-500)))&amp;" – "&amp;IF(LEN(INDEX('My equipment'!$D$4:$D$503,(_calc!$E$688-500)))=0,"",INDEX('My equipment'!$D$4:$D$503,(_calc!$E$688-500)))))</f>
        <v/>
      </c>
      <c r="B686" s="54">
        <f>IF(_calc!$E$688="","",IF(_calc!$E$688&lt;=500,IF(ISNUMBER(INDEX('Dealer pipeline'!$M$4:$M$503,_calc!$E$688)),TEXT(INDEX('Dealer pipeline'!$M$4:$M$503,_calc!$E$688),"yyyy-mm-dd"),""),IF(ISNUMBER(INDEX('My equipment'!$M$4:$M$503,(_calc!$E$688-500))),TEXT(INDEX('My equipment'!$M$4:$M$503,(_calc!$E$688-500)),"yyyy-mm-dd"),"")))</f>
        <v/>
      </c>
      <c r="C686" s="54">
        <f>IF(_calc!$E$688="","",IF(_calc!$E$688&lt;=500,"Warranty","Warranty"))</f>
        <v/>
      </c>
      <c r="D686" s="54">
        <f>IF(_calc!$E$688="","",IF(_calc!$E$688&lt;=500,IF(ISNUMBER(INDEX('Dealer pipeline'!$H$4:$H$503,_calc!$E$688)),TEXT(INDEX('Dealer pipeline'!$H$4:$H$503,_calc!$E$688),"yyyy-mm-dd"),""),IF(ISNUMBER(INDEX('My equipment'!$H$4:$H$503,(_calc!$E$688-500))),TEXT(INDEX('My equipment'!$H$4:$H$503,(_calc!$E$688-500)),"yyyy-mm-dd"),"")))</f>
        <v/>
      </c>
      <c r="F686" s="54">
        <f>IF(_calc!$E$688="","",IF(_calc!$E$688&lt;=500,TRIM(IF(LEN(IF(LEN(INDEX('Dealer pipeline'!$A$4:$A$503,_calc!$E$688))=0,"",INDEX('Dealer pipeline'!$A$4:$A$503,_calc!$E$688)))=0,"","Customer: "&amp;IF(LEN(INDEX('Dealer pipeline'!$A$4:$A$503,_calc!$E$688))=0,"",INDEX('Dealer pipeline'!$A$4:$A$503,_calc!$E$688))&amp;". ")&amp;IF(LEN(IF(LEN(INDEX('Dealer pipeline'!$B$4:$B$503,_calc!$E$688))=0,"",INDEX('Dealer pipeline'!$B$4:$B$503,_calc!$E$688)))=0,"","Contact: "&amp;IF(LEN(INDEX('Dealer pipeline'!$B$4:$B$503,_calc!$E$688))=0,"",INDEX('Dealer pipeline'!$B$4:$B$503,_calc!$E$688))&amp;". ")&amp;IF(LEN(IF(LEN(INDEX('Dealer pipeline'!$D$4:$D$503,_calc!$E$688))=0,"",INDEX('Dealer pipeline'!$D$4:$D$503,_calc!$E$688)))=0,"","Serial: "&amp;IF(LEN(INDEX('Dealer pipeline'!$D$4:$D$503,_calc!$E$688))=0,"",INDEX('Dealer pipeline'!$D$4:$D$503,_calc!$E$688))&amp;". ")&amp;IF(LEN(IF(ISNUMBER(INDEX('Dealer pipeline'!$J$4:$J$503,_calc!$E$688)),TEXT(INDEX('Dealer pipeline'!$J$4:$J$503,_calc!$E$688),"yyyy-mm-dd"),""))=0,"","Parts end: "&amp;IF(ISNUMBER(INDEX('Dealer pipeline'!$J$4:$J$503,_calc!$E$688)),TEXT(INDEX('Dealer pipeline'!$J$4:$J$503,_calc!$E$688),"yyyy-mm-dd"),"")&amp;". ")&amp;IF(LEN(IF(ISNUMBER(INDEX('Dealer pipeline'!$L$4:$L$503,_calc!$E$688)),TEXT(INDEX('Dealer pipeline'!$L$4:$L$503,_calc!$E$688),"yyyy-mm-dd"),""))=0,"","Labor end: "&amp;IF(ISNUMBER(INDEX('Dealer pipeline'!$L$4:$L$503,_calc!$E$688)),TEXT(INDEX('Dealer pipeline'!$L$4:$L$503,_calc!$E$688),"yyyy-mm-dd"),"")&amp;". ")&amp;IF(LEN(IF(LEN(INDEX('Dealer pipeline'!$Q$4:$Q$503,_calc!$E$688))=0,"",INDEX('Dealer pipeline'!$Q$4:$Q$503,_calc!$E$688)))=0,"","Status: "&amp;IF(LEN(INDEX('Dealer pipeline'!$Q$4:$Q$503,_calc!$E$688))=0,"",INDEX('Dealer pipeline'!$Q$4:$Q$503,_calc!$E$688))&amp;". ")&amp;IF(LEN(IF(LEN(INDEX('Dealer pipeline'!$P$4:$P$503,_calc!$E$688))=0,"",INDEX('Dealer pipeline'!$P$4:$P$503,_calc!$E$688)))=0,"","Last touch: "&amp;IF(LEN(INDEX('Dealer pipeline'!$P$4:$P$503,_calc!$E$688))=0,"",INDEX('Dealer pipeline'!$P$4:$P$503,_calc!$E$688))&amp;". ")&amp;IF(LEN(IF(LEN(INDEX('Dealer pipeline'!$R$4:$R$503,_calc!$E$688))=0,"",INDEX('Dealer pipeline'!$R$4:$R$503,_calc!$E$688)))=0,"","Owner: "&amp;IF(LEN(INDEX('Dealer pipeline'!$R$4:$R$503,_calc!$E$688))=0,"",INDEX('Dealer pipeline'!$R$4:$R$503,_calc!$E$688))&amp;". ")&amp;IF(LEN(IF(LEN(INDEX('Dealer pipeline'!$S$4:$S$503,_calc!$E$688))=0,"",INDEX('Dealer pipeline'!$S$4:$S$503,_calc!$E$688)))=0,"","Backup: "&amp;IF(LEN(INDEX('Dealer pipeline'!$S$4:$S$503,_calc!$E$688))=0,"",INDEX('Dealer pipeline'!$S$4:$S$503,_calc!$E$688))&amp;". ")&amp;IF(LEN(IF(LEN(INDEX('Dealer pipeline'!$T$4:$T$503,_calc!$E$688))=0,"",INDEX('Dealer pipeline'!$T$4:$T$503,_calc!$E$688)))=0,"",IF(LEN(INDEX('Dealer pipeline'!$T$4:$T$503,_calc!$E$688))=0,"",INDEX('Dealer pipeline'!$T$4:$T$503,_calc!$E$688)))),TRIM(IF(LEN(IF(LEN(INDEX('My equipment'!$C$4:$C$503,(_calc!$E$688-500)))=0,"",INDEX('My equipment'!$C$4:$C$503,(_calc!$E$688-500))))=0,"","Model: "&amp;IF(LEN(INDEX('My equipment'!$C$4:$C$503,(_calc!$E$688-500)))=0,"",INDEX('My equipment'!$C$4:$C$503,(_calc!$E$688-500)))&amp;". ")&amp;IF(LEN(IF(LEN(INDEX('My equipment'!$D$4:$D$503,(_calc!$E$688-500)))=0,"",INDEX('My equipment'!$D$4:$D$503,(_calc!$E$688-500))))=0,"","Serial: "&amp;IF(LEN(INDEX('My equipment'!$D$4:$D$503,(_calc!$E$688-500)))=0,"",INDEX('My equipment'!$D$4:$D$503,(_calc!$E$688-500)))&amp;". ")&amp;IF(LEN(IF(ISNUMBER(INDEX('My equipment'!$J$4:$J$503,(_calc!$E$688-500))),TEXT(INDEX('My equipment'!$J$4:$J$503,(_calc!$E$688-500)),"yyyy-mm-dd"),""))=0,"","Parts end: "&amp;IF(ISNUMBER(INDEX('My equipment'!$J$4:$J$503,(_calc!$E$688-500))),TEXT(INDEX('My equipment'!$J$4:$J$503,(_calc!$E$688-500)),"yyyy-mm-dd"),"")&amp;". ")&amp;IF(LEN(IF(ISNUMBER(INDEX('My equipment'!$L$4:$L$503,(_calc!$E$688-500))),TEXT(INDEX('My equipment'!$L$4:$L$503,(_calc!$E$688-500)),"yyyy-mm-dd"),""))=0,"","Labor end: "&amp;IF(ISNUMBER(INDEX('My equipment'!$L$4:$L$503,(_calc!$E$688-500))),TEXT(INDEX('My equipment'!$L$4:$L$503,(_calc!$E$688-500)),"yyyy-mm-dd"),"")&amp;". ")&amp;IF(LEN(IF(ISNUMBER(INDEX('My equipment'!$P$4:$P$503,(_calc!$E$688-500))),TEXT(INDEX('My equipment'!$P$4:$P$503,(_calc!$E$688-500)),"yyyy-mm-dd"),""))=0,"","Check by: "&amp;IF(ISNUMBER(INDEX('My equipment'!$P$4:$P$503,(_calc!$E$688-500))),TEXT(INDEX('My equipment'!$P$4:$P$503,(_calc!$E$688-500)),"yyyy-mm-dd"),"")&amp;". ")&amp;IF(LEN(IF(LEN(INDEX('My equipment'!$Q$4:$Q$503,(_calc!$E$688-500)))=0,"",INDEX('My equipment'!$Q$4:$Q$503,(_calc!$E$688-500))))=0,"","Claim status: "&amp;IF(LEN(INDEX('My equipment'!$Q$4:$Q$503,(_calc!$E$688-500)))=0,"",INDEX('My equipment'!$Q$4:$Q$503,(_calc!$E$688-500)))&amp;". ")&amp;IF(LEN(IF(LEN(INDEX('My equipment'!$R$4:$R$503,(_calc!$E$688-500)))=0,"",INDEX('My equipment'!$R$4:$R$503,(_calc!$E$688-500))))=0,"","Claims contact: "&amp;IF(LEN(INDEX('My equipment'!$R$4:$R$503,(_calc!$E$688-500)))=0,"",INDEX('My equipment'!$R$4:$R$503,(_calc!$E$688-500)))&amp;". ")&amp;IF(LEN(IF(LEN(INDEX('My equipment'!$S$4:$S$503,(_calc!$E$688-500)))=0,"",INDEX('My equipment'!$S$4:$S$503,(_calc!$E$688-500))))=0,"","Claims email: "&amp;IF(LEN(INDEX('My equipment'!$S$4:$S$503,(_calc!$E$688-500)))=0,"",INDEX('My equipment'!$S$4:$S$503,(_calc!$E$688-500)))&amp;". ")&amp;IF(LEN(IF(LEN(INDEX('My equipment'!$U$4:$U$503,(_calc!$E$688-500)))=0,"",INDEX('My equipment'!$U$4:$U$503,(_calc!$E$688-500))))=0,"","Registered: "&amp;IF(LEN(INDEX('My equipment'!$U$4:$U$503,(_calc!$E$688-500)))=0,"",INDEX('My equipment'!$U$4:$U$503,(_calc!$E$688-500)))&amp;". ")&amp;IF(LEN(IF(LEN(INDEX('My equipment'!$V$4:$V$503,(_calc!$E$688-500)))=0,"",INDEX('My equipment'!$V$4:$V$503,(_calc!$E$688-500))))=0,"","Proof on file: "&amp;IF(LEN(INDEX('My equipment'!$V$4:$V$503,(_calc!$E$688-500)))=0,"",INDEX('My equipment'!$V$4:$V$503,(_calc!$E$688-500)))&amp;". ")&amp;IF(LEN(IF(LEN(INDEX('My equipment'!$W$4:$W$503,(_calc!$E$688-500)))=0,"",INDEX('My equipment'!$W$4:$W$503,(_calc!$E$688-500))))=0,"","Claim ref: "&amp;IF(LEN(INDEX('My equipment'!$W$4:$W$503,(_calc!$E$688-500)))=0,"",INDEX('My equipment'!$W$4:$W$503,(_calc!$E$688-500)))&amp;". ")&amp;IF(LEN(IF(LEN(INDEX('My equipment'!$Y$4:$Y$503,(_calc!$E$688-500)))=0,"",INDEX('My equipment'!$Y$4:$Y$503,(_calc!$E$688-500))))=0,"",IF(LEN(INDEX('My equipment'!$Y$4:$Y$503,(_calc!$E$688-500)))=0,"",INDEX('My equipment'!$Y$4:$Y$503,(_calc!$E$688-500)))))))</f>
        <v/>
      </c>
      <c r="G686" s="54">
        <f>IF(_calc!$E$688="","",IF(_calc!$E$688&lt;=500,"",IF(LEN(INDEX('My equipment'!$X$4:$X$503,(_calc!$E$688-500)))=0,"",INDEX('My equipment'!$X$4:$X$503,(_calc!$E$688-500)))))</f>
        <v/>
      </c>
      <c r="K686" s="54">
        <f>IF(_calc!$E$688="","",IF(_calc!$E$688&lt;=500,"",IF(LEN(INDEX('My equipment'!$T$4:$T$503,(_calc!$E$688-500)))=0,"",INDEX('My equipment'!$T$4:$T$503,(_calc!$E$688-500)))))</f>
        <v/>
      </c>
    </row>
    <row r="687">
      <c r="A687" s="54">
        <f>IF(_calc!$E$689="","",IF(_calc!$E$689&lt;=500,"Warranty – "&amp;IF(LEN(INDEX('Dealer pipeline'!$C$4:$C$503,_calc!$E$689))=0,"",INDEX('Dealer pipeline'!$C$4:$C$503,_calc!$E$689))&amp;" – "&amp;IF(LEN(INDEX('Dealer pipeline'!$D$4:$D$503,_calc!$E$689))=0,"",INDEX('Dealer pipeline'!$D$4:$D$503,_calc!$E$689))&amp;" – "&amp;IF(LEN(INDEX('Dealer pipeline'!$A$4:$A$503,_calc!$E$689))=0,"",INDEX('Dealer pipeline'!$A$4:$A$503,_calc!$E$689)),"Warranty – "&amp;IF(LEN(INDEX('My equipment'!$A$4:$A$503,(_calc!$E$689-500)))=0,"",INDEX('My equipment'!$A$4:$A$503,(_calc!$E$689-500)))&amp;" – "&amp;IF(LEN(INDEX('My equipment'!$D$4:$D$503,(_calc!$E$689-500)))=0,"",INDEX('My equipment'!$D$4:$D$503,(_calc!$E$689-500)))))</f>
        <v/>
      </c>
      <c r="B687" s="54">
        <f>IF(_calc!$E$689="","",IF(_calc!$E$689&lt;=500,IF(ISNUMBER(INDEX('Dealer pipeline'!$M$4:$M$503,_calc!$E$689)),TEXT(INDEX('Dealer pipeline'!$M$4:$M$503,_calc!$E$689),"yyyy-mm-dd"),""),IF(ISNUMBER(INDEX('My equipment'!$M$4:$M$503,(_calc!$E$689-500))),TEXT(INDEX('My equipment'!$M$4:$M$503,(_calc!$E$689-500)),"yyyy-mm-dd"),"")))</f>
        <v/>
      </c>
      <c r="C687" s="54">
        <f>IF(_calc!$E$689="","",IF(_calc!$E$689&lt;=500,"Warranty","Warranty"))</f>
        <v/>
      </c>
      <c r="D687" s="54">
        <f>IF(_calc!$E$689="","",IF(_calc!$E$689&lt;=500,IF(ISNUMBER(INDEX('Dealer pipeline'!$H$4:$H$503,_calc!$E$689)),TEXT(INDEX('Dealer pipeline'!$H$4:$H$503,_calc!$E$689),"yyyy-mm-dd"),""),IF(ISNUMBER(INDEX('My equipment'!$H$4:$H$503,(_calc!$E$689-500))),TEXT(INDEX('My equipment'!$H$4:$H$503,(_calc!$E$689-500)),"yyyy-mm-dd"),"")))</f>
        <v/>
      </c>
      <c r="F687" s="54">
        <f>IF(_calc!$E$689="","",IF(_calc!$E$689&lt;=500,TRIM(IF(LEN(IF(LEN(INDEX('Dealer pipeline'!$A$4:$A$503,_calc!$E$689))=0,"",INDEX('Dealer pipeline'!$A$4:$A$503,_calc!$E$689)))=0,"","Customer: "&amp;IF(LEN(INDEX('Dealer pipeline'!$A$4:$A$503,_calc!$E$689))=0,"",INDEX('Dealer pipeline'!$A$4:$A$503,_calc!$E$689))&amp;". ")&amp;IF(LEN(IF(LEN(INDEX('Dealer pipeline'!$B$4:$B$503,_calc!$E$689))=0,"",INDEX('Dealer pipeline'!$B$4:$B$503,_calc!$E$689)))=0,"","Contact: "&amp;IF(LEN(INDEX('Dealer pipeline'!$B$4:$B$503,_calc!$E$689))=0,"",INDEX('Dealer pipeline'!$B$4:$B$503,_calc!$E$689))&amp;". ")&amp;IF(LEN(IF(LEN(INDEX('Dealer pipeline'!$D$4:$D$503,_calc!$E$689))=0,"",INDEX('Dealer pipeline'!$D$4:$D$503,_calc!$E$689)))=0,"","Serial: "&amp;IF(LEN(INDEX('Dealer pipeline'!$D$4:$D$503,_calc!$E$689))=0,"",INDEX('Dealer pipeline'!$D$4:$D$503,_calc!$E$689))&amp;". ")&amp;IF(LEN(IF(ISNUMBER(INDEX('Dealer pipeline'!$J$4:$J$503,_calc!$E$689)),TEXT(INDEX('Dealer pipeline'!$J$4:$J$503,_calc!$E$689),"yyyy-mm-dd"),""))=0,"","Parts end: "&amp;IF(ISNUMBER(INDEX('Dealer pipeline'!$J$4:$J$503,_calc!$E$689)),TEXT(INDEX('Dealer pipeline'!$J$4:$J$503,_calc!$E$689),"yyyy-mm-dd"),"")&amp;". ")&amp;IF(LEN(IF(ISNUMBER(INDEX('Dealer pipeline'!$L$4:$L$503,_calc!$E$689)),TEXT(INDEX('Dealer pipeline'!$L$4:$L$503,_calc!$E$689),"yyyy-mm-dd"),""))=0,"","Labor end: "&amp;IF(ISNUMBER(INDEX('Dealer pipeline'!$L$4:$L$503,_calc!$E$689)),TEXT(INDEX('Dealer pipeline'!$L$4:$L$503,_calc!$E$689),"yyyy-mm-dd"),"")&amp;". ")&amp;IF(LEN(IF(LEN(INDEX('Dealer pipeline'!$Q$4:$Q$503,_calc!$E$689))=0,"",INDEX('Dealer pipeline'!$Q$4:$Q$503,_calc!$E$689)))=0,"","Status: "&amp;IF(LEN(INDEX('Dealer pipeline'!$Q$4:$Q$503,_calc!$E$689))=0,"",INDEX('Dealer pipeline'!$Q$4:$Q$503,_calc!$E$689))&amp;". ")&amp;IF(LEN(IF(LEN(INDEX('Dealer pipeline'!$P$4:$P$503,_calc!$E$689))=0,"",INDEX('Dealer pipeline'!$P$4:$P$503,_calc!$E$689)))=0,"","Last touch: "&amp;IF(LEN(INDEX('Dealer pipeline'!$P$4:$P$503,_calc!$E$689))=0,"",INDEX('Dealer pipeline'!$P$4:$P$503,_calc!$E$689))&amp;". ")&amp;IF(LEN(IF(LEN(INDEX('Dealer pipeline'!$R$4:$R$503,_calc!$E$689))=0,"",INDEX('Dealer pipeline'!$R$4:$R$503,_calc!$E$689)))=0,"","Owner: "&amp;IF(LEN(INDEX('Dealer pipeline'!$R$4:$R$503,_calc!$E$689))=0,"",INDEX('Dealer pipeline'!$R$4:$R$503,_calc!$E$689))&amp;". ")&amp;IF(LEN(IF(LEN(INDEX('Dealer pipeline'!$S$4:$S$503,_calc!$E$689))=0,"",INDEX('Dealer pipeline'!$S$4:$S$503,_calc!$E$689)))=0,"","Backup: "&amp;IF(LEN(INDEX('Dealer pipeline'!$S$4:$S$503,_calc!$E$689))=0,"",INDEX('Dealer pipeline'!$S$4:$S$503,_calc!$E$689))&amp;". ")&amp;IF(LEN(IF(LEN(INDEX('Dealer pipeline'!$T$4:$T$503,_calc!$E$689))=0,"",INDEX('Dealer pipeline'!$T$4:$T$503,_calc!$E$689)))=0,"",IF(LEN(INDEX('Dealer pipeline'!$T$4:$T$503,_calc!$E$689))=0,"",INDEX('Dealer pipeline'!$T$4:$T$503,_calc!$E$689)))),TRIM(IF(LEN(IF(LEN(INDEX('My equipment'!$C$4:$C$503,(_calc!$E$689-500)))=0,"",INDEX('My equipment'!$C$4:$C$503,(_calc!$E$689-500))))=0,"","Model: "&amp;IF(LEN(INDEX('My equipment'!$C$4:$C$503,(_calc!$E$689-500)))=0,"",INDEX('My equipment'!$C$4:$C$503,(_calc!$E$689-500)))&amp;". ")&amp;IF(LEN(IF(LEN(INDEX('My equipment'!$D$4:$D$503,(_calc!$E$689-500)))=0,"",INDEX('My equipment'!$D$4:$D$503,(_calc!$E$689-500))))=0,"","Serial: "&amp;IF(LEN(INDEX('My equipment'!$D$4:$D$503,(_calc!$E$689-500)))=0,"",INDEX('My equipment'!$D$4:$D$503,(_calc!$E$689-500)))&amp;". ")&amp;IF(LEN(IF(ISNUMBER(INDEX('My equipment'!$J$4:$J$503,(_calc!$E$689-500))),TEXT(INDEX('My equipment'!$J$4:$J$503,(_calc!$E$689-500)),"yyyy-mm-dd"),""))=0,"","Parts end: "&amp;IF(ISNUMBER(INDEX('My equipment'!$J$4:$J$503,(_calc!$E$689-500))),TEXT(INDEX('My equipment'!$J$4:$J$503,(_calc!$E$689-500)),"yyyy-mm-dd"),"")&amp;". ")&amp;IF(LEN(IF(ISNUMBER(INDEX('My equipment'!$L$4:$L$503,(_calc!$E$689-500))),TEXT(INDEX('My equipment'!$L$4:$L$503,(_calc!$E$689-500)),"yyyy-mm-dd"),""))=0,"","Labor end: "&amp;IF(ISNUMBER(INDEX('My equipment'!$L$4:$L$503,(_calc!$E$689-500))),TEXT(INDEX('My equipment'!$L$4:$L$503,(_calc!$E$689-500)),"yyyy-mm-dd"),"")&amp;". ")&amp;IF(LEN(IF(ISNUMBER(INDEX('My equipment'!$P$4:$P$503,(_calc!$E$689-500))),TEXT(INDEX('My equipment'!$P$4:$P$503,(_calc!$E$689-500)),"yyyy-mm-dd"),""))=0,"","Check by: "&amp;IF(ISNUMBER(INDEX('My equipment'!$P$4:$P$503,(_calc!$E$689-500))),TEXT(INDEX('My equipment'!$P$4:$P$503,(_calc!$E$689-500)),"yyyy-mm-dd"),"")&amp;". ")&amp;IF(LEN(IF(LEN(INDEX('My equipment'!$Q$4:$Q$503,(_calc!$E$689-500)))=0,"",INDEX('My equipment'!$Q$4:$Q$503,(_calc!$E$689-500))))=0,"","Claim status: "&amp;IF(LEN(INDEX('My equipment'!$Q$4:$Q$503,(_calc!$E$689-500)))=0,"",INDEX('My equipment'!$Q$4:$Q$503,(_calc!$E$689-500)))&amp;". ")&amp;IF(LEN(IF(LEN(INDEX('My equipment'!$R$4:$R$503,(_calc!$E$689-500)))=0,"",INDEX('My equipment'!$R$4:$R$503,(_calc!$E$689-500))))=0,"","Claims contact: "&amp;IF(LEN(INDEX('My equipment'!$R$4:$R$503,(_calc!$E$689-500)))=0,"",INDEX('My equipment'!$R$4:$R$503,(_calc!$E$689-500)))&amp;". ")&amp;IF(LEN(IF(LEN(INDEX('My equipment'!$S$4:$S$503,(_calc!$E$689-500)))=0,"",INDEX('My equipment'!$S$4:$S$503,(_calc!$E$689-500))))=0,"","Claims email: "&amp;IF(LEN(INDEX('My equipment'!$S$4:$S$503,(_calc!$E$689-500)))=0,"",INDEX('My equipment'!$S$4:$S$503,(_calc!$E$689-500)))&amp;". ")&amp;IF(LEN(IF(LEN(INDEX('My equipment'!$U$4:$U$503,(_calc!$E$689-500)))=0,"",INDEX('My equipment'!$U$4:$U$503,(_calc!$E$689-500))))=0,"","Registered: "&amp;IF(LEN(INDEX('My equipment'!$U$4:$U$503,(_calc!$E$689-500)))=0,"",INDEX('My equipment'!$U$4:$U$503,(_calc!$E$689-500)))&amp;". ")&amp;IF(LEN(IF(LEN(INDEX('My equipment'!$V$4:$V$503,(_calc!$E$689-500)))=0,"",INDEX('My equipment'!$V$4:$V$503,(_calc!$E$689-500))))=0,"","Proof on file: "&amp;IF(LEN(INDEX('My equipment'!$V$4:$V$503,(_calc!$E$689-500)))=0,"",INDEX('My equipment'!$V$4:$V$503,(_calc!$E$689-500)))&amp;". ")&amp;IF(LEN(IF(LEN(INDEX('My equipment'!$W$4:$W$503,(_calc!$E$689-500)))=0,"",INDEX('My equipment'!$W$4:$W$503,(_calc!$E$689-500))))=0,"","Claim ref: "&amp;IF(LEN(INDEX('My equipment'!$W$4:$W$503,(_calc!$E$689-500)))=0,"",INDEX('My equipment'!$W$4:$W$503,(_calc!$E$689-500)))&amp;". ")&amp;IF(LEN(IF(LEN(INDEX('My equipment'!$Y$4:$Y$503,(_calc!$E$689-500)))=0,"",INDEX('My equipment'!$Y$4:$Y$503,(_calc!$E$689-500))))=0,"",IF(LEN(INDEX('My equipment'!$Y$4:$Y$503,(_calc!$E$689-500)))=0,"",INDEX('My equipment'!$Y$4:$Y$503,(_calc!$E$689-500)))))))</f>
        <v/>
      </c>
      <c r="G687" s="54">
        <f>IF(_calc!$E$689="","",IF(_calc!$E$689&lt;=500,"",IF(LEN(INDEX('My equipment'!$X$4:$X$503,(_calc!$E$689-500)))=0,"",INDEX('My equipment'!$X$4:$X$503,(_calc!$E$689-500)))))</f>
        <v/>
      </c>
      <c r="K687" s="54">
        <f>IF(_calc!$E$689="","",IF(_calc!$E$689&lt;=500,"",IF(LEN(INDEX('My equipment'!$T$4:$T$503,(_calc!$E$689-500)))=0,"",INDEX('My equipment'!$T$4:$T$503,(_calc!$E$689-500)))))</f>
        <v/>
      </c>
    </row>
    <row r="688">
      <c r="A688" s="54">
        <f>IF(_calc!$E$690="","",IF(_calc!$E$690&lt;=500,"Warranty – "&amp;IF(LEN(INDEX('Dealer pipeline'!$C$4:$C$503,_calc!$E$690))=0,"",INDEX('Dealer pipeline'!$C$4:$C$503,_calc!$E$690))&amp;" – "&amp;IF(LEN(INDEX('Dealer pipeline'!$D$4:$D$503,_calc!$E$690))=0,"",INDEX('Dealer pipeline'!$D$4:$D$503,_calc!$E$690))&amp;" – "&amp;IF(LEN(INDEX('Dealer pipeline'!$A$4:$A$503,_calc!$E$690))=0,"",INDEX('Dealer pipeline'!$A$4:$A$503,_calc!$E$690)),"Warranty – "&amp;IF(LEN(INDEX('My equipment'!$A$4:$A$503,(_calc!$E$690-500)))=0,"",INDEX('My equipment'!$A$4:$A$503,(_calc!$E$690-500)))&amp;" – "&amp;IF(LEN(INDEX('My equipment'!$D$4:$D$503,(_calc!$E$690-500)))=0,"",INDEX('My equipment'!$D$4:$D$503,(_calc!$E$690-500)))))</f>
        <v/>
      </c>
      <c r="B688" s="54">
        <f>IF(_calc!$E$690="","",IF(_calc!$E$690&lt;=500,IF(ISNUMBER(INDEX('Dealer pipeline'!$M$4:$M$503,_calc!$E$690)),TEXT(INDEX('Dealer pipeline'!$M$4:$M$503,_calc!$E$690),"yyyy-mm-dd"),""),IF(ISNUMBER(INDEX('My equipment'!$M$4:$M$503,(_calc!$E$690-500))),TEXT(INDEX('My equipment'!$M$4:$M$503,(_calc!$E$690-500)),"yyyy-mm-dd"),"")))</f>
        <v/>
      </c>
      <c r="C688" s="54">
        <f>IF(_calc!$E$690="","",IF(_calc!$E$690&lt;=500,"Warranty","Warranty"))</f>
        <v/>
      </c>
      <c r="D688" s="54">
        <f>IF(_calc!$E$690="","",IF(_calc!$E$690&lt;=500,IF(ISNUMBER(INDEX('Dealer pipeline'!$H$4:$H$503,_calc!$E$690)),TEXT(INDEX('Dealer pipeline'!$H$4:$H$503,_calc!$E$690),"yyyy-mm-dd"),""),IF(ISNUMBER(INDEX('My equipment'!$H$4:$H$503,(_calc!$E$690-500))),TEXT(INDEX('My equipment'!$H$4:$H$503,(_calc!$E$690-500)),"yyyy-mm-dd"),"")))</f>
        <v/>
      </c>
      <c r="F688" s="54">
        <f>IF(_calc!$E$690="","",IF(_calc!$E$690&lt;=500,TRIM(IF(LEN(IF(LEN(INDEX('Dealer pipeline'!$A$4:$A$503,_calc!$E$690))=0,"",INDEX('Dealer pipeline'!$A$4:$A$503,_calc!$E$690)))=0,"","Customer: "&amp;IF(LEN(INDEX('Dealer pipeline'!$A$4:$A$503,_calc!$E$690))=0,"",INDEX('Dealer pipeline'!$A$4:$A$503,_calc!$E$690))&amp;". ")&amp;IF(LEN(IF(LEN(INDEX('Dealer pipeline'!$B$4:$B$503,_calc!$E$690))=0,"",INDEX('Dealer pipeline'!$B$4:$B$503,_calc!$E$690)))=0,"","Contact: "&amp;IF(LEN(INDEX('Dealer pipeline'!$B$4:$B$503,_calc!$E$690))=0,"",INDEX('Dealer pipeline'!$B$4:$B$503,_calc!$E$690))&amp;". ")&amp;IF(LEN(IF(LEN(INDEX('Dealer pipeline'!$D$4:$D$503,_calc!$E$690))=0,"",INDEX('Dealer pipeline'!$D$4:$D$503,_calc!$E$690)))=0,"","Serial: "&amp;IF(LEN(INDEX('Dealer pipeline'!$D$4:$D$503,_calc!$E$690))=0,"",INDEX('Dealer pipeline'!$D$4:$D$503,_calc!$E$690))&amp;". ")&amp;IF(LEN(IF(ISNUMBER(INDEX('Dealer pipeline'!$J$4:$J$503,_calc!$E$690)),TEXT(INDEX('Dealer pipeline'!$J$4:$J$503,_calc!$E$690),"yyyy-mm-dd"),""))=0,"","Parts end: "&amp;IF(ISNUMBER(INDEX('Dealer pipeline'!$J$4:$J$503,_calc!$E$690)),TEXT(INDEX('Dealer pipeline'!$J$4:$J$503,_calc!$E$690),"yyyy-mm-dd"),"")&amp;". ")&amp;IF(LEN(IF(ISNUMBER(INDEX('Dealer pipeline'!$L$4:$L$503,_calc!$E$690)),TEXT(INDEX('Dealer pipeline'!$L$4:$L$503,_calc!$E$690),"yyyy-mm-dd"),""))=0,"","Labor end: "&amp;IF(ISNUMBER(INDEX('Dealer pipeline'!$L$4:$L$503,_calc!$E$690)),TEXT(INDEX('Dealer pipeline'!$L$4:$L$503,_calc!$E$690),"yyyy-mm-dd"),"")&amp;". ")&amp;IF(LEN(IF(LEN(INDEX('Dealer pipeline'!$Q$4:$Q$503,_calc!$E$690))=0,"",INDEX('Dealer pipeline'!$Q$4:$Q$503,_calc!$E$690)))=0,"","Status: "&amp;IF(LEN(INDEX('Dealer pipeline'!$Q$4:$Q$503,_calc!$E$690))=0,"",INDEX('Dealer pipeline'!$Q$4:$Q$503,_calc!$E$690))&amp;". ")&amp;IF(LEN(IF(LEN(INDEX('Dealer pipeline'!$P$4:$P$503,_calc!$E$690))=0,"",INDEX('Dealer pipeline'!$P$4:$P$503,_calc!$E$690)))=0,"","Last touch: "&amp;IF(LEN(INDEX('Dealer pipeline'!$P$4:$P$503,_calc!$E$690))=0,"",INDEX('Dealer pipeline'!$P$4:$P$503,_calc!$E$690))&amp;". ")&amp;IF(LEN(IF(LEN(INDEX('Dealer pipeline'!$R$4:$R$503,_calc!$E$690))=0,"",INDEX('Dealer pipeline'!$R$4:$R$503,_calc!$E$690)))=0,"","Owner: "&amp;IF(LEN(INDEX('Dealer pipeline'!$R$4:$R$503,_calc!$E$690))=0,"",INDEX('Dealer pipeline'!$R$4:$R$503,_calc!$E$690))&amp;". ")&amp;IF(LEN(IF(LEN(INDEX('Dealer pipeline'!$S$4:$S$503,_calc!$E$690))=0,"",INDEX('Dealer pipeline'!$S$4:$S$503,_calc!$E$690)))=0,"","Backup: "&amp;IF(LEN(INDEX('Dealer pipeline'!$S$4:$S$503,_calc!$E$690))=0,"",INDEX('Dealer pipeline'!$S$4:$S$503,_calc!$E$690))&amp;". ")&amp;IF(LEN(IF(LEN(INDEX('Dealer pipeline'!$T$4:$T$503,_calc!$E$690))=0,"",INDEX('Dealer pipeline'!$T$4:$T$503,_calc!$E$690)))=0,"",IF(LEN(INDEX('Dealer pipeline'!$T$4:$T$503,_calc!$E$690))=0,"",INDEX('Dealer pipeline'!$T$4:$T$503,_calc!$E$690)))),TRIM(IF(LEN(IF(LEN(INDEX('My equipment'!$C$4:$C$503,(_calc!$E$690-500)))=0,"",INDEX('My equipment'!$C$4:$C$503,(_calc!$E$690-500))))=0,"","Model: "&amp;IF(LEN(INDEX('My equipment'!$C$4:$C$503,(_calc!$E$690-500)))=0,"",INDEX('My equipment'!$C$4:$C$503,(_calc!$E$690-500)))&amp;". ")&amp;IF(LEN(IF(LEN(INDEX('My equipment'!$D$4:$D$503,(_calc!$E$690-500)))=0,"",INDEX('My equipment'!$D$4:$D$503,(_calc!$E$690-500))))=0,"","Serial: "&amp;IF(LEN(INDEX('My equipment'!$D$4:$D$503,(_calc!$E$690-500)))=0,"",INDEX('My equipment'!$D$4:$D$503,(_calc!$E$690-500)))&amp;". ")&amp;IF(LEN(IF(ISNUMBER(INDEX('My equipment'!$J$4:$J$503,(_calc!$E$690-500))),TEXT(INDEX('My equipment'!$J$4:$J$503,(_calc!$E$690-500)),"yyyy-mm-dd"),""))=0,"","Parts end: "&amp;IF(ISNUMBER(INDEX('My equipment'!$J$4:$J$503,(_calc!$E$690-500))),TEXT(INDEX('My equipment'!$J$4:$J$503,(_calc!$E$690-500)),"yyyy-mm-dd"),"")&amp;". ")&amp;IF(LEN(IF(ISNUMBER(INDEX('My equipment'!$L$4:$L$503,(_calc!$E$690-500))),TEXT(INDEX('My equipment'!$L$4:$L$503,(_calc!$E$690-500)),"yyyy-mm-dd"),""))=0,"","Labor end: "&amp;IF(ISNUMBER(INDEX('My equipment'!$L$4:$L$503,(_calc!$E$690-500))),TEXT(INDEX('My equipment'!$L$4:$L$503,(_calc!$E$690-500)),"yyyy-mm-dd"),"")&amp;". ")&amp;IF(LEN(IF(ISNUMBER(INDEX('My equipment'!$P$4:$P$503,(_calc!$E$690-500))),TEXT(INDEX('My equipment'!$P$4:$P$503,(_calc!$E$690-500)),"yyyy-mm-dd"),""))=0,"","Check by: "&amp;IF(ISNUMBER(INDEX('My equipment'!$P$4:$P$503,(_calc!$E$690-500))),TEXT(INDEX('My equipment'!$P$4:$P$503,(_calc!$E$690-500)),"yyyy-mm-dd"),"")&amp;". ")&amp;IF(LEN(IF(LEN(INDEX('My equipment'!$Q$4:$Q$503,(_calc!$E$690-500)))=0,"",INDEX('My equipment'!$Q$4:$Q$503,(_calc!$E$690-500))))=0,"","Claim status: "&amp;IF(LEN(INDEX('My equipment'!$Q$4:$Q$503,(_calc!$E$690-500)))=0,"",INDEX('My equipment'!$Q$4:$Q$503,(_calc!$E$690-500)))&amp;". ")&amp;IF(LEN(IF(LEN(INDEX('My equipment'!$R$4:$R$503,(_calc!$E$690-500)))=0,"",INDEX('My equipment'!$R$4:$R$503,(_calc!$E$690-500))))=0,"","Claims contact: "&amp;IF(LEN(INDEX('My equipment'!$R$4:$R$503,(_calc!$E$690-500)))=0,"",INDEX('My equipment'!$R$4:$R$503,(_calc!$E$690-500)))&amp;". ")&amp;IF(LEN(IF(LEN(INDEX('My equipment'!$S$4:$S$503,(_calc!$E$690-500)))=0,"",INDEX('My equipment'!$S$4:$S$503,(_calc!$E$690-500))))=0,"","Claims email: "&amp;IF(LEN(INDEX('My equipment'!$S$4:$S$503,(_calc!$E$690-500)))=0,"",INDEX('My equipment'!$S$4:$S$503,(_calc!$E$690-500)))&amp;". ")&amp;IF(LEN(IF(LEN(INDEX('My equipment'!$U$4:$U$503,(_calc!$E$690-500)))=0,"",INDEX('My equipment'!$U$4:$U$503,(_calc!$E$690-500))))=0,"","Registered: "&amp;IF(LEN(INDEX('My equipment'!$U$4:$U$503,(_calc!$E$690-500)))=0,"",INDEX('My equipment'!$U$4:$U$503,(_calc!$E$690-500)))&amp;". ")&amp;IF(LEN(IF(LEN(INDEX('My equipment'!$V$4:$V$503,(_calc!$E$690-500)))=0,"",INDEX('My equipment'!$V$4:$V$503,(_calc!$E$690-500))))=0,"","Proof on file: "&amp;IF(LEN(INDEX('My equipment'!$V$4:$V$503,(_calc!$E$690-500)))=0,"",INDEX('My equipment'!$V$4:$V$503,(_calc!$E$690-500)))&amp;". ")&amp;IF(LEN(IF(LEN(INDEX('My equipment'!$W$4:$W$503,(_calc!$E$690-500)))=0,"",INDEX('My equipment'!$W$4:$W$503,(_calc!$E$690-500))))=0,"","Claim ref: "&amp;IF(LEN(INDEX('My equipment'!$W$4:$W$503,(_calc!$E$690-500)))=0,"",INDEX('My equipment'!$W$4:$W$503,(_calc!$E$690-500)))&amp;". ")&amp;IF(LEN(IF(LEN(INDEX('My equipment'!$Y$4:$Y$503,(_calc!$E$690-500)))=0,"",INDEX('My equipment'!$Y$4:$Y$503,(_calc!$E$690-500))))=0,"",IF(LEN(INDEX('My equipment'!$Y$4:$Y$503,(_calc!$E$690-500)))=0,"",INDEX('My equipment'!$Y$4:$Y$503,(_calc!$E$690-500)))))))</f>
        <v/>
      </c>
      <c r="G688" s="54">
        <f>IF(_calc!$E$690="","",IF(_calc!$E$690&lt;=500,"",IF(LEN(INDEX('My equipment'!$X$4:$X$503,(_calc!$E$690-500)))=0,"",INDEX('My equipment'!$X$4:$X$503,(_calc!$E$690-500)))))</f>
        <v/>
      </c>
      <c r="K688" s="54">
        <f>IF(_calc!$E$690="","",IF(_calc!$E$690&lt;=500,"",IF(LEN(INDEX('My equipment'!$T$4:$T$503,(_calc!$E$690-500)))=0,"",INDEX('My equipment'!$T$4:$T$503,(_calc!$E$690-500)))))</f>
        <v/>
      </c>
    </row>
    <row r="689">
      <c r="A689" s="54">
        <f>IF(_calc!$E$691="","",IF(_calc!$E$691&lt;=500,"Warranty – "&amp;IF(LEN(INDEX('Dealer pipeline'!$C$4:$C$503,_calc!$E$691))=0,"",INDEX('Dealer pipeline'!$C$4:$C$503,_calc!$E$691))&amp;" – "&amp;IF(LEN(INDEX('Dealer pipeline'!$D$4:$D$503,_calc!$E$691))=0,"",INDEX('Dealer pipeline'!$D$4:$D$503,_calc!$E$691))&amp;" – "&amp;IF(LEN(INDEX('Dealer pipeline'!$A$4:$A$503,_calc!$E$691))=0,"",INDEX('Dealer pipeline'!$A$4:$A$503,_calc!$E$691)),"Warranty – "&amp;IF(LEN(INDEX('My equipment'!$A$4:$A$503,(_calc!$E$691-500)))=0,"",INDEX('My equipment'!$A$4:$A$503,(_calc!$E$691-500)))&amp;" – "&amp;IF(LEN(INDEX('My equipment'!$D$4:$D$503,(_calc!$E$691-500)))=0,"",INDEX('My equipment'!$D$4:$D$503,(_calc!$E$691-500)))))</f>
        <v/>
      </c>
      <c r="B689" s="54">
        <f>IF(_calc!$E$691="","",IF(_calc!$E$691&lt;=500,IF(ISNUMBER(INDEX('Dealer pipeline'!$M$4:$M$503,_calc!$E$691)),TEXT(INDEX('Dealer pipeline'!$M$4:$M$503,_calc!$E$691),"yyyy-mm-dd"),""),IF(ISNUMBER(INDEX('My equipment'!$M$4:$M$503,(_calc!$E$691-500))),TEXT(INDEX('My equipment'!$M$4:$M$503,(_calc!$E$691-500)),"yyyy-mm-dd"),"")))</f>
        <v/>
      </c>
      <c r="C689" s="54">
        <f>IF(_calc!$E$691="","",IF(_calc!$E$691&lt;=500,"Warranty","Warranty"))</f>
        <v/>
      </c>
      <c r="D689" s="54">
        <f>IF(_calc!$E$691="","",IF(_calc!$E$691&lt;=500,IF(ISNUMBER(INDEX('Dealer pipeline'!$H$4:$H$503,_calc!$E$691)),TEXT(INDEX('Dealer pipeline'!$H$4:$H$503,_calc!$E$691),"yyyy-mm-dd"),""),IF(ISNUMBER(INDEX('My equipment'!$H$4:$H$503,(_calc!$E$691-500))),TEXT(INDEX('My equipment'!$H$4:$H$503,(_calc!$E$691-500)),"yyyy-mm-dd"),"")))</f>
        <v/>
      </c>
      <c r="F689" s="54">
        <f>IF(_calc!$E$691="","",IF(_calc!$E$691&lt;=500,TRIM(IF(LEN(IF(LEN(INDEX('Dealer pipeline'!$A$4:$A$503,_calc!$E$691))=0,"",INDEX('Dealer pipeline'!$A$4:$A$503,_calc!$E$691)))=0,"","Customer: "&amp;IF(LEN(INDEX('Dealer pipeline'!$A$4:$A$503,_calc!$E$691))=0,"",INDEX('Dealer pipeline'!$A$4:$A$503,_calc!$E$691))&amp;". ")&amp;IF(LEN(IF(LEN(INDEX('Dealer pipeline'!$B$4:$B$503,_calc!$E$691))=0,"",INDEX('Dealer pipeline'!$B$4:$B$503,_calc!$E$691)))=0,"","Contact: "&amp;IF(LEN(INDEX('Dealer pipeline'!$B$4:$B$503,_calc!$E$691))=0,"",INDEX('Dealer pipeline'!$B$4:$B$503,_calc!$E$691))&amp;". ")&amp;IF(LEN(IF(LEN(INDEX('Dealer pipeline'!$D$4:$D$503,_calc!$E$691))=0,"",INDEX('Dealer pipeline'!$D$4:$D$503,_calc!$E$691)))=0,"","Serial: "&amp;IF(LEN(INDEX('Dealer pipeline'!$D$4:$D$503,_calc!$E$691))=0,"",INDEX('Dealer pipeline'!$D$4:$D$503,_calc!$E$691))&amp;". ")&amp;IF(LEN(IF(ISNUMBER(INDEX('Dealer pipeline'!$J$4:$J$503,_calc!$E$691)),TEXT(INDEX('Dealer pipeline'!$J$4:$J$503,_calc!$E$691),"yyyy-mm-dd"),""))=0,"","Parts end: "&amp;IF(ISNUMBER(INDEX('Dealer pipeline'!$J$4:$J$503,_calc!$E$691)),TEXT(INDEX('Dealer pipeline'!$J$4:$J$503,_calc!$E$691),"yyyy-mm-dd"),"")&amp;". ")&amp;IF(LEN(IF(ISNUMBER(INDEX('Dealer pipeline'!$L$4:$L$503,_calc!$E$691)),TEXT(INDEX('Dealer pipeline'!$L$4:$L$503,_calc!$E$691),"yyyy-mm-dd"),""))=0,"","Labor end: "&amp;IF(ISNUMBER(INDEX('Dealer pipeline'!$L$4:$L$503,_calc!$E$691)),TEXT(INDEX('Dealer pipeline'!$L$4:$L$503,_calc!$E$691),"yyyy-mm-dd"),"")&amp;". ")&amp;IF(LEN(IF(LEN(INDEX('Dealer pipeline'!$Q$4:$Q$503,_calc!$E$691))=0,"",INDEX('Dealer pipeline'!$Q$4:$Q$503,_calc!$E$691)))=0,"","Status: "&amp;IF(LEN(INDEX('Dealer pipeline'!$Q$4:$Q$503,_calc!$E$691))=0,"",INDEX('Dealer pipeline'!$Q$4:$Q$503,_calc!$E$691))&amp;". ")&amp;IF(LEN(IF(LEN(INDEX('Dealer pipeline'!$P$4:$P$503,_calc!$E$691))=0,"",INDEX('Dealer pipeline'!$P$4:$P$503,_calc!$E$691)))=0,"","Last touch: "&amp;IF(LEN(INDEX('Dealer pipeline'!$P$4:$P$503,_calc!$E$691))=0,"",INDEX('Dealer pipeline'!$P$4:$P$503,_calc!$E$691))&amp;". ")&amp;IF(LEN(IF(LEN(INDEX('Dealer pipeline'!$R$4:$R$503,_calc!$E$691))=0,"",INDEX('Dealer pipeline'!$R$4:$R$503,_calc!$E$691)))=0,"","Owner: "&amp;IF(LEN(INDEX('Dealer pipeline'!$R$4:$R$503,_calc!$E$691))=0,"",INDEX('Dealer pipeline'!$R$4:$R$503,_calc!$E$691))&amp;". ")&amp;IF(LEN(IF(LEN(INDEX('Dealer pipeline'!$S$4:$S$503,_calc!$E$691))=0,"",INDEX('Dealer pipeline'!$S$4:$S$503,_calc!$E$691)))=0,"","Backup: "&amp;IF(LEN(INDEX('Dealer pipeline'!$S$4:$S$503,_calc!$E$691))=0,"",INDEX('Dealer pipeline'!$S$4:$S$503,_calc!$E$691))&amp;". ")&amp;IF(LEN(IF(LEN(INDEX('Dealer pipeline'!$T$4:$T$503,_calc!$E$691))=0,"",INDEX('Dealer pipeline'!$T$4:$T$503,_calc!$E$691)))=0,"",IF(LEN(INDEX('Dealer pipeline'!$T$4:$T$503,_calc!$E$691))=0,"",INDEX('Dealer pipeline'!$T$4:$T$503,_calc!$E$691)))),TRIM(IF(LEN(IF(LEN(INDEX('My equipment'!$C$4:$C$503,(_calc!$E$691-500)))=0,"",INDEX('My equipment'!$C$4:$C$503,(_calc!$E$691-500))))=0,"","Model: "&amp;IF(LEN(INDEX('My equipment'!$C$4:$C$503,(_calc!$E$691-500)))=0,"",INDEX('My equipment'!$C$4:$C$503,(_calc!$E$691-500)))&amp;". ")&amp;IF(LEN(IF(LEN(INDEX('My equipment'!$D$4:$D$503,(_calc!$E$691-500)))=0,"",INDEX('My equipment'!$D$4:$D$503,(_calc!$E$691-500))))=0,"","Serial: "&amp;IF(LEN(INDEX('My equipment'!$D$4:$D$503,(_calc!$E$691-500)))=0,"",INDEX('My equipment'!$D$4:$D$503,(_calc!$E$691-500)))&amp;". ")&amp;IF(LEN(IF(ISNUMBER(INDEX('My equipment'!$J$4:$J$503,(_calc!$E$691-500))),TEXT(INDEX('My equipment'!$J$4:$J$503,(_calc!$E$691-500)),"yyyy-mm-dd"),""))=0,"","Parts end: "&amp;IF(ISNUMBER(INDEX('My equipment'!$J$4:$J$503,(_calc!$E$691-500))),TEXT(INDEX('My equipment'!$J$4:$J$503,(_calc!$E$691-500)),"yyyy-mm-dd"),"")&amp;". ")&amp;IF(LEN(IF(ISNUMBER(INDEX('My equipment'!$L$4:$L$503,(_calc!$E$691-500))),TEXT(INDEX('My equipment'!$L$4:$L$503,(_calc!$E$691-500)),"yyyy-mm-dd"),""))=0,"","Labor end: "&amp;IF(ISNUMBER(INDEX('My equipment'!$L$4:$L$503,(_calc!$E$691-500))),TEXT(INDEX('My equipment'!$L$4:$L$503,(_calc!$E$691-500)),"yyyy-mm-dd"),"")&amp;". ")&amp;IF(LEN(IF(ISNUMBER(INDEX('My equipment'!$P$4:$P$503,(_calc!$E$691-500))),TEXT(INDEX('My equipment'!$P$4:$P$503,(_calc!$E$691-500)),"yyyy-mm-dd"),""))=0,"","Check by: "&amp;IF(ISNUMBER(INDEX('My equipment'!$P$4:$P$503,(_calc!$E$691-500))),TEXT(INDEX('My equipment'!$P$4:$P$503,(_calc!$E$691-500)),"yyyy-mm-dd"),"")&amp;". ")&amp;IF(LEN(IF(LEN(INDEX('My equipment'!$Q$4:$Q$503,(_calc!$E$691-500)))=0,"",INDEX('My equipment'!$Q$4:$Q$503,(_calc!$E$691-500))))=0,"","Claim status: "&amp;IF(LEN(INDEX('My equipment'!$Q$4:$Q$503,(_calc!$E$691-500)))=0,"",INDEX('My equipment'!$Q$4:$Q$503,(_calc!$E$691-500)))&amp;". ")&amp;IF(LEN(IF(LEN(INDEX('My equipment'!$R$4:$R$503,(_calc!$E$691-500)))=0,"",INDEX('My equipment'!$R$4:$R$503,(_calc!$E$691-500))))=0,"","Claims contact: "&amp;IF(LEN(INDEX('My equipment'!$R$4:$R$503,(_calc!$E$691-500)))=0,"",INDEX('My equipment'!$R$4:$R$503,(_calc!$E$691-500)))&amp;". ")&amp;IF(LEN(IF(LEN(INDEX('My equipment'!$S$4:$S$503,(_calc!$E$691-500)))=0,"",INDEX('My equipment'!$S$4:$S$503,(_calc!$E$691-500))))=0,"","Claims email: "&amp;IF(LEN(INDEX('My equipment'!$S$4:$S$503,(_calc!$E$691-500)))=0,"",INDEX('My equipment'!$S$4:$S$503,(_calc!$E$691-500)))&amp;". ")&amp;IF(LEN(IF(LEN(INDEX('My equipment'!$U$4:$U$503,(_calc!$E$691-500)))=0,"",INDEX('My equipment'!$U$4:$U$503,(_calc!$E$691-500))))=0,"","Registered: "&amp;IF(LEN(INDEX('My equipment'!$U$4:$U$503,(_calc!$E$691-500)))=0,"",INDEX('My equipment'!$U$4:$U$503,(_calc!$E$691-500)))&amp;". ")&amp;IF(LEN(IF(LEN(INDEX('My equipment'!$V$4:$V$503,(_calc!$E$691-500)))=0,"",INDEX('My equipment'!$V$4:$V$503,(_calc!$E$691-500))))=0,"","Proof on file: "&amp;IF(LEN(INDEX('My equipment'!$V$4:$V$503,(_calc!$E$691-500)))=0,"",INDEX('My equipment'!$V$4:$V$503,(_calc!$E$691-500)))&amp;". ")&amp;IF(LEN(IF(LEN(INDEX('My equipment'!$W$4:$W$503,(_calc!$E$691-500)))=0,"",INDEX('My equipment'!$W$4:$W$503,(_calc!$E$691-500))))=0,"","Claim ref: "&amp;IF(LEN(INDEX('My equipment'!$W$4:$W$503,(_calc!$E$691-500)))=0,"",INDEX('My equipment'!$W$4:$W$503,(_calc!$E$691-500)))&amp;". ")&amp;IF(LEN(IF(LEN(INDEX('My equipment'!$Y$4:$Y$503,(_calc!$E$691-500)))=0,"",INDEX('My equipment'!$Y$4:$Y$503,(_calc!$E$691-500))))=0,"",IF(LEN(INDEX('My equipment'!$Y$4:$Y$503,(_calc!$E$691-500)))=0,"",INDEX('My equipment'!$Y$4:$Y$503,(_calc!$E$691-500)))))))</f>
        <v/>
      </c>
      <c r="G689" s="54">
        <f>IF(_calc!$E$691="","",IF(_calc!$E$691&lt;=500,"",IF(LEN(INDEX('My equipment'!$X$4:$X$503,(_calc!$E$691-500)))=0,"",INDEX('My equipment'!$X$4:$X$503,(_calc!$E$691-500)))))</f>
        <v/>
      </c>
      <c r="K689" s="54">
        <f>IF(_calc!$E$691="","",IF(_calc!$E$691&lt;=500,"",IF(LEN(INDEX('My equipment'!$T$4:$T$503,(_calc!$E$691-500)))=0,"",INDEX('My equipment'!$T$4:$T$503,(_calc!$E$691-500)))))</f>
        <v/>
      </c>
    </row>
    <row r="690">
      <c r="A690" s="54">
        <f>IF(_calc!$E$692="","",IF(_calc!$E$692&lt;=500,"Warranty – "&amp;IF(LEN(INDEX('Dealer pipeline'!$C$4:$C$503,_calc!$E$692))=0,"",INDEX('Dealer pipeline'!$C$4:$C$503,_calc!$E$692))&amp;" – "&amp;IF(LEN(INDEX('Dealer pipeline'!$D$4:$D$503,_calc!$E$692))=0,"",INDEX('Dealer pipeline'!$D$4:$D$503,_calc!$E$692))&amp;" – "&amp;IF(LEN(INDEX('Dealer pipeline'!$A$4:$A$503,_calc!$E$692))=0,"",INDEX('Dealer pipeline'!$A$4:$A$503,_calc!$E$692)),"Warranty – "&amp;IF(LEN(INDEX('My equipment'!$A$4:$A$503,(_calc!$E$692-500)))=0,"",INDEX('My equipment'!$A$4:$A$503,(_calc!$E$692-500)))&amp;" – "&amp;IF(LEN(INDEX('My equipment'!$D$4:$D$503,(_calc!$E$692-500)))=0,"",INDEX('My equipment'!$D$4:$D$503,(_calc!$E$692-500)))))</f>
        <v/>
      </c>
      <c r="B690" s="54">
        <f>IF(_calc!$E$692="","",IF(_calc!$E$692&lt;=500,IF(ISNUMBER(INDEX('Dealer pipeline'!$M$4:$M$503,_calc!$E$692)),TEXT(INDEX('Dealer pipeline'!$M$4:$M$503,_calc!$E$692),"yyyy-mm-dd"),""),IF(ISNUMBER(INDEX('My equipment'!$M$4:$M$503,(_calc!$E$692-500))),TEXT(INDEX('My equipment'!$M$4:$M$503,(_calc!$E$692-500)),"yyyy-mm-dd"),"")))</f>
        <v/>
      </c>
      <c r="C690" s="54">
        <f>IF(_calc!$E$692="","",IF(_calc!$E$692&lt;=500,"Warranty","Warranty"))</f>
        <v/>
      </c>
      <c r="D690" s="54">
        <f>IF(_calc!$E$692="","",IF(_calc!$E$692&lt;=500,IF(ISNUMBER(INDEX('Dealer pipeline'!$H$4:$H$503,_calc!$E$692)),TEXT(INDEX('Dealer pipeline'!$H$4:$H$503,_calc!$E$692),"yyyy-mm-dd"),""),IF(ISNUMBER(INDEX('My equipment'!$H$4:$H$503,(_calc!$E$692-500))),TEXT(INDEX('My equipment'!$H$4:$H$503,(_calc!$E$692-500)),"yyyy-mm-dd"),"")))</f>
        <v/>
      </c>
      <c r="F690" s="54">
        <f>IF(_calc!$E$692="","",IF(_calc!$E$692&lt;=500,TRIM(IF(LEN(IF(LEN(INDEX('Dealer pipeline'!$A$4:$A$503,_calc!$E$692))=0,"",INDEX('Dealer pipeline'!$A$4:$A$503,_calc!$E$692)))=0,"","Customer: "&amp;IF(LEN(INDEX('Dealer pipeline'!$A$4:$A$503,_calc!$E$692))=0,"",INDEX('Dealer pipeline'!$A$4:$A$503,_calc!$E$692))&amp;". ")&amp;IF(LEN(IF(LEN(INDEX('Dealer pipeline'!$B$4:$B$503,_calc!$E$692))=0,"",INDEX('Dealer pipeline'!$B$4:$B$503,_calc!$E$692)))=0,"","Contact: "&amp;IF(LEN(INDEX('Dealer pipeline'!$B$4:$B$503,_calc!$E$692))=0,"",INDEX('Dealer pipeline'!$B$4:$B$503,_calc!$E$692))&amp;". ")&amp;IF(LEN(IF(LEN(INDEX('Dealer pipeline'!$D$4:$D$503,_calc!$E$692))=0,"",INDEX('Dealer pipeline'!$D$4:$D$503,_calc!$E$692)))=0,"","Serial: "&amp;IF(LEN(INDEX('Dealer pipeline'!$D$4:$D$503,_calc!$E$692))=0,"",INDEX('Dealer pipeline'!$D$4:$D$503,_calc!$E$692))&amp;". ")&amp;IF(LEN(IF(ISNUMBER(INDEX('Dealer pipeline'!$J$4:$J$503,_calc!$E$692)),TEXT(INDEX('Dealer pipeline'!$J$4:$J$503,_calc!$E$692),"yyyy-mm-dd"),""))=0,"","Parts end: "&amp;IF(ISNUMBER(INDEX('Dealer pipeline'!$J$4:$J$503,_calc!$E$692)),TEXT(INDEX('Dealer pipeline'!$J$4:$J$503,_calc!$E$692),"yyyy-mm-dd"),"")&amp;". ")&amp;IF(LEN(IF(ISNUMBER(INDEX('Dealer pipeline'!$L$4:$L$503,_calc!$E$692)),TEXT(INDEX('Dealer pipeline'!$L$4:$L$503,_calc!$E$692),"yyyy-mm-dd"),""))=0,"","Labor end: "&amp;IF(ISNUMBER(INDEX('Dealer pipeline'!$L$4:$L$503,_calc!$E$692)),TEXT(INDEX('Dealer pipeline'!$L$4:$L$503,_calc!$E$692),"yyyy-mm-dd"),"")&amp;". ")&amp;IF(LEN(IF(LEN(INDEX('Dealer pipeline'!$Q$4:$Q$503,_calc!$E$692))=0,"",INDEX('Dealer pipeline'!$Q$4:$Q$503,_calc!$E$692)))=0,"","Status: "&amp;IF(LEN(INDEX('Dealer pipeline'!$Q$4:$Q$503,_calc!$E$692))=0,"",INDEX('Dealer pipeline'!$Q$4:$Q$503,_calc!$E$692))&amp;". ")&amp;IF(LEN(IF(LEN(INDEX('Dealer pipeline'!$P$4:$P$503,_calc!$E$692))=0,"",INDEX('Dealer pipeline'!$P$4:$P$503,_calc!$E$692)))=0,"","Last touch: "&amp;IF(LEN(INDEX('Dealer pipeline'!$P$4:$P$503,_calc!$E$692))=0,"",INDEX('Dealer pipeline'!$P$4:$P$503,_calc!$E$692))&amp;". ")&amp;IF(LEN(IF(LEN(INDEX('Dealer pipeline'!$R$4:$R$503,_calc!$E$692))=0,"",INDEX('Dealer pipeline'!$R$4:$R$503,_calc!$E$692)))=0,"","Owner: "&amp;IF(LEN(INDEX('Dealer pipeline'!$R$4:$R$503,_calc!$E$692))=0,"",INDEX('Dealer pipeline'!$R$4:$R$503,_calc!$E$692))&amp;". ")&amp;IF(LEN(IF(LEN(INDEX('Dealer pipeline'!$S$4:$S$503,_calc!$E$692))=0,"",INDEX('Dealer pipeline'!$S$4:$S$503,_calc!$E$692)))=0,"","Backup: "&amp;IF(LEN(INDEX('Dealer pipeline'!$S$4:$S$503,_calc!$E$692))=0,"",INDEX('Dealer pipeline'!$S$4:$S$503,_calc!$E$692))&amp;". ")&amp;IF(LEN(IF(LEN(INDEX('Dealer pipeline'!$T$4:$T$503,_calc!$E$692))=0,"",INDEX('Dealer pipeline'!$T$4:$T$503,_calc!$E$692)))=0,"",IF(LEN(INDEX('Dealer pipeline'!$T$4:$T$503,_calc!$E$692))=0,"",INDEX('Dealer pipeline'!$T$4:$T$503,_calc!$E$692)))),TRIM(IF(LEN(IF(LEN(INDEX('My equipment'!$C$4:$C$503,(_calc!$E$692-500)))=0,"",INDEX('My equipment'!$C$4:$C$503,(_calc!$E$692-500))))=0,"","Model: "&amp;IF(LEN(INDEX('My equipment'!$C$4:$C$503,(_calc!$E$692-500)))=0,"",INDEX('My equipment'!$C$4:$C$503,(_calc!$E$692-500)))&amp;". ")&amp;IF(LEN(IF(LEN(INDEX('My equipment'!$D$4:$D$503,(_calc!$E$692-500)))=0,"",INDEX('My equipment'!$D$4:$D$503,(_calc!$E$692-500))))=0,"","Serial: "&amp;IF(LEN(INDEX('My equipment'!$D$4:$D$503,(_calc!$E$692-500)))=0,"",INDEX('My equipment'!$D$4:$D$503,(_calc!$E$692-500)))&amp;". ")&amp;IF(LEN(IF(ISNUMBER(INDEX('My equipment'!$J$4:$J$503,(_calc!$E$692-500))),TEXT(INDEX('My equipment'!$J$4:$J$503,(_calc!$E$692-500)),"yyyy-mm-dd"),""))=0,"","Parts end: "&amp;IF(ISNUMBER(INDEX('My equipment'!$J$4:$J$503,(_calc!$E$692-500))),TEXT(INDEX('My equipment'!$J$4:$J$503,(_calc!$E$692-500)),"yyyy-mm-dd"),"")&amp;". ")&amp;IF(LEN(IF(ISNUMBER(INDEX('My equipment'!$L$4:$L$503,(_calc!$E$692-500))),TEXT(INDEX('My equipment'!$L$4:$L$503,(_calc!$E$692-500)),"yyyy-mm-dd"),""))=0,"","Labor end: "&amp;IF(ISNUMBER(INDEX('My equipment'!$L$4:$L$503,(_calc!$E$692-500))),TEXT(INDEX('My equipment'!$L$4:$L$503,(_calc!$E$692-500)),"yyyy-mm-dd"),"")&amp;". ")&amp;IF(LEN(IF(ISNUMBER(INDEX('My equipment'!$P$4:$P$503,(_calc!$E$692-500))),TEXT(INDEX('My equipment'!$P$4:$P$503,(_calc!$E$692-500)),"yyyy-mm-dd"),""))=0,"","Check by: "&amp;IF(ISNUMBER(INDEX('My equipment'!$P$4:$P$503,(_calc!$E$692-500))),TEXT(INDEX('My equipment'!$P$4:$P$503,(_calc!$E$692-500)),"yyyy-mm-dd"),"")&amp;". ")&amp;IF(LEN(IF(LEN(INDEX('My equipment'!$Q$4:$Q$503,(_calc!$E$692-500)))=0,"",INDEX('My equipment'!$Q$4:$Q$503,(_calc!$E$692-500))))=0,"","Claim status: "&amp;IF(LEN(INDEX('My equipment'!$Q$4:$Q$503,(_calc!$E$692-500)))=0,"",INDEX('My equipment'!$Q$4:$Q$503,(_calc!$E$692-500)))&amp;". ")&amp;IF(LEN(IF(LEN(INDEX('My equipment'!$R$4:$R$503,(_calc!$E$692-500)))=0,"",INDEX('My equipment'!$R$4:$R$503,(_calc!$E$692-500))))=0,"","Claims contact: "&amp;IF(LEN(INDEX('My equipment'!$R$4:$R$503,(_calc!$E$692-500)))=0,"",INDEX('My equipment'!$R$4:$R$503,(_calc!$E$692-500)))&amp;". ")&amp;IF(LEN(IF(LEN(INDEX('My equipment'!$S$4:$S$503,(_calc!$E$692-500)))=0,"",INDEX('My equipment'!$S$4:$S$503,(_calc!$E$692-500))))=0,"","Claims email: "&amp;IF(LEN(INDEX('My equipment'!$S$4:$S$503,(_calc!$E$692-500)))=0,"",INDEX('My equipment'!$S$4:$S$503,(_calc!$E$692-500)))&amp;". ")&amp;IF(LEN(IF(LEN(INDEX('My equipment'!$U$4:$U$503,(_calc!$E$692-500)))=0,"",INDEX('My equipment'!$U$4:$U$503,(_calc!$E$692-500))))=0,"","Registered: "&amp;IF(LEN(INDEX('My equipment'!$U$4:$U$503,(_calc!$E$692-500)))=0,"",INDEX('My equipment'!$U$4:$U$503,(_calc!$E$692-500)))&amp;". ")&amp;IF(LEN(IF(LEN(INDEX('My equipment'!$V$4:$V$503,(_calc!$E$692-500)))=0,"",INDEX('My equipment'!$V$4:$V$503,(_calc!$E$692-500))))=0,"","Proof on file: "&amp;IF(LEN(INDEX('My equipment'!$V$4:$V$503,(_calc!$E$692-500)))=0,"",INDEX('My equipment'!$V$4:$V$503,(_calc!$E$692-500)))&amp;". ")&amp;IF(LEN(IF(LEN(INDEX('My equipment'!$W$4:$W$503,(_calc!$E$692-500)))=0,"",INDEX('My equipment'!$W$4:$W$503,(_calc!$E$692-500))))=0,"","Claim ref: "&amp;IF(LEN(INDEX('My equipment'!$W$4:$W$503,(_calc!$E$692-500)))=0,"",INDEX('My equipment'!$W$4:$W$503,(_calc!$E$692-500)))&amp;". ")&amp;IF(LEN(IF(LEN(INDEX('My equipment'!$Y$4:$Y$503,(_calc!$E$692-500)))=0,"",INDEX('My equipment'!$Y$4:$Y$503,(_calc!$E$692-500))))=0,"",IF(LEN(INDEX('My equipment'!$Y$4:$Y$503,(_calc!$E$692-500)))=0,"",INDEX('My equipment'!$Y$4:$Y$503,(_calc!$E$692-500)))))))</f>
        <v/>
      </c>
      <c r="G690" s="54">
        <f>IF(_calc!$E$692="","",IF(_calc!$E$692&lt;=500,"",IF(LEN(INDEX('My equipment'!$X$4:$X$503,(_calc!$E$692-500)))=0,"",INDEX('My equipment'!$X$4:$X$503,(_calc!$E$692-500)))))</f>
        <v/>
      </c>
      <c r="K690" s="54">
        <f>IF(_calc!$E$692="","",IF(_calc!$E$692&lt;=500,"",IF(LEN(INDEX('My equipment'!$T$4:$T$503,(_calc!$E$692-500)))=0,"",INDEX('My equipment'!$T$4:$T$503,(_calc!$E$692-500)))))</f>
        <v/>
      </c>
    </row>
    <row r="691">
      <c r="A691" s="54">
        <f>IF(_calc!$E$693="","",IF(_calc!$E$693&lt;=500,"Warranty – "&amp;IF(LEN(INDEX('Dealer pipeline'!$C$4:$C$503,_calc!$E$693))=0,"",INDEX('Dealer pipeline'!$C$4:$C$503,_calc!$E$693))&amp;" – "&amp;IF(LEN(INDEX('Dealer pipeline'!$D$4:$D$503,_calc!$E$693))=0,"",INDEX('Dealer pipeline'!$D$4:$D$503,_calc!$E$693))&amp;" – "&amp;IF(LEN(INDEX('Dealer pipeline'!$A$4:$A$503,_calc!$E$693))=0,"",INDEX('Dealer pipeline'!$A$4:$A$503,_calc!$E$693)),"Warranty – "&amp;IF(LEN(INDEX('My equipment'!$A$4:$A$503,(_calc!$E$693-500)))=0,"",INDEX('My equipment'!$A$4:$A$503,(_calc!$E$693-500)))&amp;" – "&amp;IF(LEN(INDEX('My equipment'!$D$4:$D$503,(_calc!$E$693-500)))=0,"",INDEX('My equipment'!$D$4:$D$503,(_calc!$E$693-500)))))</f>
        <v/>
      </c>
      <c r="B691" s="54">
        <f>IF(_calc!$E$693="","",IF(_calc!$E$693&lt;=500,IF(ISNUMBER(INDEX('Dealer pipeline'!$M$4:$M$503,_calc!$E$693)),TEXT(INDEX('Dealer pipeline'!$M$4:$M$503,_calc!$E$693),"yyyy-mm-dd"),""),IF(ISNUMBER(INDEX('My equipment'!$M$4:$M$503,(_calc!$E$693-500))),TEXT(INDEX('My equipment'!$M$4:$M$503,(_calc!$E$693-500)),"yyyy-mm-dd"),"")))</f>
        <v/>
      </c>
      <c r="C691" s="54">
        <f>IF(_calc!$E$693="","",IF(_calc!$E$693&lt;=500,"Warranty","Warranty"))</f>
        <v/>
      </c>
      <c r="D691" s="54">
        <f>IF(_calc!$E$693="","",IF(_calc!$E$693&lt;=500,IF(ISNUMBER(INDEX('Dealer pipeline'!$H$4:$H$503,_calc!$E$693)),TEXT(INDEX('Dealer pipeline'!$H$4:$H$503,_calc!$E$693),"yyyy-mm-dd"),""),IF(ISNUMBER(INDEX('My equipment'!$H$4:$H$503,(_calc!$E$693-500))),TEXT(INDEX('My equipment'!$H$4:$H$503,(_calc!$E$693-500)),"yyyy-mm-dd"),"")))</f>
        <v/>
      </c>
      <c r="F691" s="54">
        <f>IF(_calc!$E$693="","",IF(_calc!$E$693&lt;=500,TRIM(IF(LEN(IF(LEN(INDEX('Dealer pipeline'!$A$4:$A$503,_calc!$E$693))=0,"",INDEX('Dealer pipeline'!$A$4:$A$503,_calc!$E$693)))=0,"","Customer: "&amp;IF(LEN(INDEX('Dealer pipeline'!$A$4:$A$503,_calc!$E$693))=0,"",INDEX('Dealer pipeline'!$A$4:$A$503,_calc!$E$693))&amp;". ")&amp;IF(LEN(IF(LEN(INDEX('Dealer pipeline'!$B$4:$B$503,_calc!$E$693))=0,"",INDEX('Dealer pipeline'!$B$4:$B$503,_calc!$E$693)))=0,"","Contact: "&amp;IF(LEN(INDEX('Dealer pipeline'!$B$4:$B$503,_calc!$E$693))=0,"",INDEX('Dealer pipeline'!$B$4:$B$503,_calc!$E$693))&amp;". ")&amp;IF(LEN(IF(LEN(INDEX('Dealer pipeline'!$D$4:$D$503,_calc!$E$693))=0,"",INDEX('Dealer pipeline'!$D$4:$D$503,_calc!$E$693)))=0,"","Serial: "&amp;IF(LEN(INDEX('Dealer pipeline'!$D$4:$D$503,_calc!$E$693))=0,"",INDEX('Dealer pipeline'!$D$4:$D$503,_calc!$E$693))&amp;". ")&amp;IF(LEN(IF(ISNUMBER(INDEX('Dealer pipeline'!$J$4:$J$503,_calc!$E$693)),TEXT(INDEX('Dealer pipeline'!$J$4:$J$503,_calc!$E$693),"yyyy-mm-dd"),""))=0,"","Parts end: "&amp;IF(ISNUMBER(INDEX('Dealer pipeline'!$J$4:$J$503,_calc!$E$693)),TEXT(INDEX('Dealer pipeline'!$J$4:$J$503,_calc!$E$693),"yyyy-mm-dd"),"")&amp;". ")&amp;IF(LEN(IF(ISNUMBER(INDEX('Dealer pipeline'!$L$4:$L$503,_calc!$E$693)),TEXT(INDEX('Dealer pipeline'!$L$4:$L$503,_calc!$E$693),"yyyy-mm-dd"),""))=0,"","Labor end: "&amp;IF(ISNUMBER(INDEX('Dealer pipeline'!$L$4:$L$503,_calc!$E$693)),TEXT(INDEX('Dealer pipeline'!$L$4:$L$503,_calc!$E$693),"yyyy-mm-dd"),"")&amp;". ")&amp;IF(LEN(IF(LEN(INDEX('Dealer pipeline'!$Q$4:$Q$503,_calc!$E$693))=0,"",INDEX('Dealer pipeline'!$Q$4:$Q$503,_calc!$E$693)))=0,"","Status: "&amp;IF(LEN(INDEX('Dealer pipeline'!$Q$4:$Q$503,_calc!$E$693))=0,"",INDEX('Dealer pipeline'!$Q$4:$Q$503,_calc!$E$693))&amp;". ")&amp;IF(LEN(IF(LEN(INDEX('Dealer pipeline'!$P$4:$P$503,_calc!$E$693))=0,"",INDEX('Dealer pipeline'!$P$4:$P$503,_calc!$E$693)))=0,"","Last touch: "&amp;IF(LEN(INDEX('Dealer pipeline'!$P$4:$P$503,_calc!$E$693))=0,"",INDEX('Dealer pipeline'!$P$4:$P$503,_calc!$E$693))&amp;". ")&amp;IF(LEN(IF(LEN(INDEX('Dealer pipeline'!$R$4:$R$503,_calc!$E$693))=0,"",INDEX('Dealer pipeline'!$R$4:$R$503,_calc!$E$693)))=0,"","Owner: "&amp;IF(LEN(INDEX('Dealer pipeline'!$R$4:$R$503,_calc!$E$693))=0,"",INDEX('Dealer pipeline'!$R$4:$R$503,_calc!$E$693))&amp;". ")&amp;IF(LEN(IF(LEN(INDEX('Dealer pipeline'!$S$4:$S$503,_calc!$E$693))=0,"",INDEX('Dealer pipeline'!$S$4:$S$503,_calc!$E$693)))=0,"","Backup: "&amp;IF(LEN(INDEX('Dealer pipeline'!$S$4:$S$503,_calc!$E$693))=0,"",INDEX('Dealer pipeline'!$S$4:$S$503,_calc!$E$693))&amp;". ")&amp;IF(LEN(IF(LEN(INDEX('Dealer pipeline'!$T$4:$T$503,_calc!$E$693))=0,"",INDEX('Dealer pipeline'!$T$4:$T$503,_calc!$E$693)))=0,"",IF(LEN(INDEX('Dealer pipeline'!$T$4:$T$503,_calc!$E$693))=0,"",INDEX('Dealer pipeline'!$T$4:$T$503,_calc!$E$693)))),TRIM(IF(LEN(IF(LEN(INDEX('My equipment'!$C$4:$C$503,(_calc!$E$693-500)))=0,"",INDEX('My equipment'!$C$4:$C$503,(_calc!$E$693-500))))=0,"","Model: "&amp;IF(LEN(INDEX('My equipment'!$C$4:$C$503,(_calc!$E$693-500)))=0,"",INDEX('My equipment'!$C$4:$C$503,(_calc!$E$693-500)))&amp;". ")&amp;IF(LEN(IF(LEN(INDEX('My equipment'!$D$4:$D$503,(_calc!$E$693-500)))=0,"",INDEX('My equipment'!$D$4:$D$503,(_calc!$E$693-500))))=0,"","Serial: "&amp;IF(LEN(INDEX('My equipment'!$D$4:$D$503,(_calc!$E$693-500)))=0,"",INDEX('My equipment'!$D$4:$D$503,(_calc!$E$693-500)))&amp;". ")&amp;IF(LEN(IF(ISNUMBER(INDEX('My equipment'!$J$4:$J$503,(_calc!$E$693-500))),TEXT(INDEX('My equipment'!$J$4:$J$503,(_calc!$E$693-500)),"yyyy-mm-dd"),""))=0,"","Parts end: "&amp;IF(ISNUMBER(INDEX('My equipment'!$J$4:$J$503,(_calc!$E$693-500))),TEXT(INDEX('My equipment'!$J$4:$J$503,(_calc!$E$693-500)),"yyyy-mm-dd"),"")&amp;". ")&amp;IF(LEN(IF(ISNUMBER(INDEX('My equipment'!$L$4:$L$503,(_calc!$E$693-500))),TEXT(INDEX('My equipment'!$L$4:$L$503,(_calc!$E$693-500)),"yyyy-mm-dd"),""))=0,"","Labor end: "&amp;IF(ISNUMBER(INDEX('My equipment'!$L$4:$L$503,(_calc!$E$693-500))),TEXT(INDEX('My equipment'!$L$4:$L$503,(_calc!$E$693-500)),"yyyy-mm-dd"),"")&amp;". ")&amp;IF(LEN(IF(ISNUMBER(INDEX('My equipment'!$P$4:$P$503,(_calc!$E$693-500))),TEXT(INDEX('My equipment'!$P$4:$P$503,(_calc!$E$693-500)),"yyyy-mm-dd"),""))=0,"","Check by: "&amp;IF(ISNUMBER(INDEX('My equipment'!$P$4:$P$503,(_calc!$E$693-500))),TEXT(INDEX('My equipment'!$P$4:$P$503,(_calc!$E$693-500)),"yyyy-mm-dd"),"")&amp;". ")&amp;IF(LEN(IF(LEN(INDEX('My equipment'!$Q$4:$Q$503,(_calc!$E$693-500)))=0,"",INDEX('My equipment'!$Q$4:$Q$503,(_calc!$E$693-500))))=0,"","Claim status: "&amp;IF(LEN(INDEX('My equipment'!$Q$4:$Q$503,(_calc!$E$693-500)))=0,"",INDEX('My equipment'!$Q$4:$Q$503,(_calc!$E$693-500)))&amp;". ")&amp;IF(LEN(IF(LEN(INDEX('My equipment'!$R$4:$R$503,(_calc!$E$693-500)))=0,"",INDEX('My equipment'!$R$4:$R$503,(_calc!$E$693-500))))=0,"","Claims contact: "&amp;IF(LEN(INDEX('My equipment'!$R$4:$R$503,(_calc!$E$693-500)))=0,"",INDEX('My equipment'!$R$4:$R$503,(_calc!$E$693-500)))&amp;". ")&amp;IF(LEN(IF(LEN(INDEX('My equipment'!$S$4:$S$503,(_calc!$E$693-500)))=0,"",INDEX('My equipment'!$S$4:$S$503,(_calc!$E$693-500))))=0,"","Claims email: "&amp;IF(LEN(INDEX('My equipment'!$S$4:$S$503,(_calc!$E$693-500)))=0,"",INDEX('My equipment'!$S$4:$S$503,(_calc!$E$693-500)))&amp;". ")&amp;IF(LEN(IF(LEN(INDEX('My equipment'!$U$4:$U$503,(_calc!$E$693-500)))=0,"",INDEX('My equipment'!$U$4:$U$503,(_calc!$E$693-500))))=0,"","Registered: "&amp;IF(LEN(INDEX('My equipment'!$U$4:$U$503,(_calc!$E$693-500)))=0,"",INDEX('My equipment'!$U$4:$U$503,(_calc!$E$693-500)))&amp;". ")&amp;IF(LEN(IF(LEN(INDEX('My equipment'!$V$4:$V$503,(_calc!$E$693-500)))=0,"",INDEX('My equipment'!$V$4:$V$503,(_calc!$E$693-500))))=0,"","Proof on file: "&amp;IF(LEN(INDEX('My equipment'!$V$4:$V$503,(_calc!$E$693-500)))=0,"",INDEX('My equipment'!$V$4:$V$503,(_calc!$E$693-500)))&amp;". ")&amp;IF(LEN(IF(LEN(INDEX('My equipment'!$W$4:$W$503,(_calc!$E$693-500)))=0,"",INDEX('My equipment'!$W$4:$W$503,(_calc!$E$693-500))))=0,"","Claim ref: "&amp;IF(LEN(INDEX('My equipment'!$W$4:$W$503,(_calc!$E$693-500)))=0,"",INDEX('My equipment'!$W$4:$W$503,(_calc!$E$693-500)))&amp;". ")&amp;IF(LEN(IF(LEN(INDEX('My equipment'!$Y$4:$Y$503,(_calc!$E$693-500)))=0,"",INDEX('My equipment'!$Y$4:$Y$503,(_calc!$E$693-500))))=0,"",IF(LEN(INDEX('My equipment'!$Y$4:$Y$503,(_calc!$E$693-500)))=0,"",INDEX('My equipment'!$Y$4:$Y$503,(_calc!$E$693-500)))))))</f>
        <v/>
      </c>
      <c r="G691" s="54">
        <f>IF(_calc!$E$693="","",IF(_calc!$E$693&lt;=500,"",IF(LEN(INDEX('My equipment'!$X$4:$X$503,(_calc!$E$693-500)))=0,"",INDEX('My equipment'!$X$4:$X$503,(_calc!$E$693-500)))))</f>
        <v/>
      </c>
      <c r="K691" s="54">
        <f>IF(_calc!$E$693="","",IF(_calc!$E$693&lt;=500,"",IF(LEN(INDEX('My equipment'!$T$4:$T$503,(_calc!$E$693-500)))=0,"",INDEX('My equipment'!$T$4:$T$503,(_calc!$E$693-500)))))</f>
        <v/>
      </c>
    </row>
    <row r="692">
      <c r="A692" s="54">
        <f>IF(_calc!$E$694="","",IF(_calc!$E$694&lt;=500,"Warranty – "&amp;IF(LEN(INDEX('Dealer pipeline'!$C$4:$C$503,_calc!$E$694))=0,"",INDEX('Dealer pipeline'!$C$4:$C$503,_calc!$E$694))&amp;" – "&amp;IF(LEN(INDEX('Dealer pipeline'!$D$4:$D$503,_calc!$E$694))=0,"",INDEX('Dealer pipeline'!$D$4:$D$503,_calc!$E$694))&amp;" – "&amp;IF(LEN(INDEX('Dealer pipeline'!$A$4:$A$503,_calc!$E$694))=0,"",INDEX('Dealer pipeline'!$A$4:$A$503,_calc!$E$694)),"Warranty – "&amp;IF(LEN(INDEX('My equipment'!$A$4:$A$503,(_calc!$E$694-500)))=0,"",INDEX('My equipment'!$A$4:$A$503,(_calc!$E$694-500)))&amp;" – "&amp;IF(LEN(INDEX('My equipment'!$D$4:$D$503,(_calc!$E$694-500)))=0,"",INDEX('My equipment'!$D$4:$D$503,(_calc!$E$694-500)))))</f>
        <v/>
      </c>
      <c r="B692" s="54">
        <f>IF(_calc!$E$694="","",IF(_calc!$E$694&lt;=500,IF(ISNUMBER(INDEX('Dealer pipeline'!$M$4:$M$503,_calc!$E$694)),TEXT(INDEX('Dealer pipeline'!$M$4:$M$503,_calc!$E$694),"yyyy-mm-dd"),""),IF(ISNUMBER(INDEX('My equipment'!$M$4:$M$503,(_calc!$E$694-500))),TEXT(INDEX('My equipment'!$M$4:$M$503,(_calc!$E$694-500)),"yyyy-mm-dd"),"")))</f>
        <v/>
      </c>
      <c r="C692" s="54">
        <f>IF(_calc!$E$694="","",IF(_calc!$E$694&lt;=500,"Warranty","Warranty"))</f>
        <v/>
      </c>
      <c r="D692" s="54">
        <f>IF(_calc!$E$694="","",IF(_calc!$E$694&lt;=500,IF(ISNUMBER(INDEX('Dealer pipeline'!$H$4:$H$503,_calc!$E$694)),TEXT(INDEX('Dealer pipeline'!$H$4:$H$503,_calc!$E$694),"yyyy-mm-dd"),""),IF(ISNUMBER(INDEX('My equipment'!$H$4:$H$503,(_calc!$E$694-500))),TEXT(INDEX('My equipment'!$H$4:$H$503,(_calc!$E$694-500)),"yyyy-mm-dd"),"")))</f>
        <v/>
      </c>
      <c r="F692" s="54">
        <f>IF(_calc!$E$694="","",IF(_calc!$E$694&lt;=500,TRIM(IF(LEN(IF(LEN(INDEX('Dealer pipeline'!$A$4:$A$503,_calc!$E$694))=0,"",INDEX('Dealer pipeline'!$A$4:$A$503,_calc!$E$694)))=0,"","Customer: "&amp;IF(LEN(INDEX('Dealer pipeline'!$A$4:$A$503,_calc!$E$694))=0,"",INDEX('Dealer pipeline'!$A$4:$A$503,_calc!$E$694))&amp;". ")&amp;IF(LEN(IF(LEN(INDEX('Dealer pipeline'!$B$4:$B$503,_calc!$E$694))=0,"",INDEX('Dealer pipeline'!$B$4:$B$503,_calc!$E$694)))=0,"","Contact: "&amp;IF(LEN(INDEX('Dealer pipeline'!$B$4:$B$503,_calc!$E$694))=0,"",INDEX('Dealer pipeline'!$B$4:$B$503,_calc!$E$694))&amp;". ")&amp;IF(LEN(IF(LEN(INDEX('Dealer pipeline'!$D$4:$D$503,_calc!$E$694))=0,"",INDEX('Dealer pipeline'!$D$4:$D$503,_calc!$E$694)))=0,"","Serial: "&amp;IF(LEN(INDEX('Dealer pipeline'!$D$4:$D$503,_calc!$E$694))=0,"",INDEX('Dealer pipeline'!$D$4:$D$503,_calc!$E$694))&amp;". ")&amp;IF(LEN(IF(ISNUMBER(INDEX('Dealer pipeline'!$J$4:$J$503,_calc!$E$694)),TEXT(INDEX('Dealer pipeline'!$J$4:$J$503,_calc!$E$694),"yyyy-mm-dd"),""))=0,"","Parts end: "&amp;IF(ISNUMBER(INDEX('Dealer pipeline'!$J$4:$J$503,_calc!$E$694)),TEXT(INDEX('Dealer pipeline'!$J$4:$J$503,_calc!$E$694),"yyyy-mm-dd"),"")&amp;". ")&amp;IF(LEN(IF(ISNUMBER(INDEX('Dealer pipeline'!$L$4:$L$503,_calc!$E$694)),TEXT(INDEX('Dealer pipeline'!$L$4:$L$503,_calc!$E$694),"yyyy-mm-dd"),""))=0,"","Labor end: "&amp;IF(ISNUMBER(INDEX('Dealer pipeline'!$L$4:$L$503,_calc!$E$694)),TEXT(INDEX('Dealer pipeline'!$L$4:$L$503,_calc!$E$694),"yyyy-mm-dd"),"")&amp;". ")&amp;IF(LEN(IF(LEN(INDEX('Dealer pipeline'!$Q$4:$Q$503,_calc!$E$694))=0,"",INDEX('Dealer pipeline'!$Q$4:$Q$503,_calc!$E$694)))=0,"","Status: "&amp;IF(LEN(INDEX('Dealer pipeline'!$Q$4:$Q$503,_calc!$E$694))=0,"",INDEX('Dealer pipeline'!$Q$4:$Q$503,_calc!$E$694))&amp;". ")&amp;IF(LEN(IF(LEN(INDEX('Dealer pipeline'!$P$4:$P$503,_calc!$E$694))=0,"",INDEX('Dealer pipeline'!$P$4:$P$503,_calc!$E$694)))=0,"","Last touch: "&amp;IF(LEN(INDEX('Dealer pipeline'!$P$4:$P$503,_calc!$E$694))=0,"",INDEX('Dealer pipeline'!$P$4:$P$503,_calc!$E$694))&amp;". ")&amp;IF(LEN(IF(LEN(INDEX('Dealer pipeline'!$R$4:$R$503,_calc!$E$694))=0,"",INDEX('Dealer pipeline'!$R$4:$R$503,_calc!$E$694)))=0,"","Owner: "&amp;IF(LEN(INDEX('Dealer pipeline'!$R$4:$R$503,_calc!$E$694))=0,"",INDEX('Dealer pipeline'!$R$4:$R$503,_calc!$E$694))&amp;". ")&amp;IF(LEN(IF(LEN(INDEX('Dealer pipeline'!$S$4:$S$503,_calc!$E$694))=0,"",INDEX('Dealer pipeline'!$S$4:$S$503,_calc!$E$694)))=0,"","Backup: "&amp;IF(LEN(INDEX('Dealer pipeline'!$S$4:$S$503,_calc!$E$694))=0,"",INDEX('Dealer pipeline'!$S$4:$S$503,_calc!$E$694))&amp;". ")&amp;IF(LEN(IF(LEN(INDEX('Dealer pipeline'!$T$4:$T$503,_calc!$E$694))=0,"",INDEX('Dealer pipeline'!$T$4:$T$503,_calc!$E$694)))=0,"",IF(LEN(INDEX('Dealer pipeline'!$T$4:$T$503,_calc!$E$694))=0,"",INDEX('Dealer pipeline'!$T$4:$T$503,_calc!$E$694)))),TRIM(IF(LEN(IF(LEN(INDEX('My equipment'!$C$4:$C$503,(_calc!$E$694-500)))=0,"",INDEX('My equipment'!$C$4:$C$503,(_calc!$E$694-500))))=0,"","Model: "&amp;IF(LEN(INDEX('My equipment'!$C$4:$C$503,(_calc!$E$694-500)))=0,"",INDEX('My equipment'!$C$4:$C$503,(_calc!$E$694-500)))&amp;". ")&amp;IF(LEN(IF(LEN(INDEX('My equipment'!$D$4:$D$503,(_calc!$E$694-500)))=0,"",INDEX('My equipment'!$D$4:$D$503,(_calc!$E$694-500))))=0,"","Serial: "&amp;IF(LEN(INDEX('My equipment'!$D$4:$D$503,(_calc!$E$694-500)))=0,"",INDEX('My equipment'!$D$4:$D$503,(_calc!$E$694-500)))&amp;". ")&amp;IF(LEN(IF(ISNUMBER(INDEX('My equipment'!$J$4:$J$503,(_calc!$E$694-500))),TEXT(INDEX('My equipment'!$J$4:$J$503,(_calc!$E$694-500)),"yyyy-mm-dd"),""))=0,"","Parts end: "&amp;IF(ISNUMBER(INDEX('My equipment'!$J$4:$J$503,(_calc!$E$694-500))),TEXT(INDEX('My equipment'!$J$4:$J$503,(_calc!$E$694-500)),"yyyy-mm-dd"),"")&amp;". ")&amp;IF(LEN(IF(ISNUMBER(INDEX('My equipment'!$L$4:$L$503,(_calc!$E$694-500))),TEXT(INDEX('My equipment'!$L$4:$L$503,(_calc!$E$694-500)),"yyyy-mm-dd"),""))=0,"","Labor end: "&amp;IF(ISNUMBER(INDEX('My equipment'!$L$4:$L$503,(_calc!$E$694-500))),TEXT(INDEX('My equipment'!$L$4:$L$503,(_calc!$E$694-500)),"yyyy-mm-dd"),"")&amp;". ")&amp;IF(LEN(IF(ISNUMBER(INDEX('My equipment'!$P$4:$P$503,(_calc!$E$694-500))),TEXT(INDEX('My equipment'!$P$4:$P$503,(_calc!$E$694-500)),"yyyy-mm-dd"),""))=0,"","Check by: "&amp;IF(ISNUMBER(INDEX('My equipment'!$P$4:$P$503,(_calc!$E$694-500))),TEXT(INDEX('My equipment'!$P$4:$P$503,(_calc!$E$694-500)),"yyyy-mm-dd"),"")&amp;". ")&amp;IF(LEN(IF(LEN(INDEX('My equipment'!$Q$4:$Q$503,(_calc!$E$694-500)))=0,"",INDEX('My equipment'!$Q$4:$Q$503,(_calc!$E$694-500))))=0,"","Claim status: "&amp;IF(LEN(INDEX('My equipment'!$Q$4:$Q$503,(_calc!$E$694-500)))=0,"",INDEX('My equipment'!$Q$4:$Q$503,(_calc!$E$694-500)))&amp;". ")&amp;IF(LEN(IF(LEN(INDEX('My equipment'!$R$4:$R$503,(_calc!$E$694-500)))=0,"",INDEX('My equipment'!$R$4:$R$503,(_calc!$E$694-500))))=0,"","Claims contact: "&amp;IF(LEN(INDEX('My equipment'!$R$4:$R$503,(_calc!$E$694-500)))=0,"",INDEX('My equipment'!$R$4:$R$503,(_calc!$E$694-500)))&amp;". ")&amp;IF(LEN(IF(LEN(INDEX('My equipment'!$S$4:$S$503,(_calc!$E$694-500)))=0,"",INDEX('My equipment'!$S$4:$S$503,(_calc!$E$694-500))))=0,"","Claims email: "&amp;IF(LEN(INDEX('My equipment'!$S$4:$S$503,(_calc!$E$694-500)))=0,"",INDEX('My equipment'!$S$4:$S$503,(_calc!$E$694-500)))&amp;". ")&amp;IF(LEN(IF(LEN(INDEX('My equipment'!$U$4:$U$503,(_calc!$E$694-500)))=0,"",INDEX('My equipment'!$U$4:$U$503,(_calc!$E$694-500))))=0,"","Registered: "&amp;IF(LEN(INDEX('My equipment'!$U$4:$U$503,(_calc!$E$694-500)))=0,"",INDEX('My equipment'!$U$4:$U$503,(_calc!$E$694-500)))&amp;". ")&amp;IF(LEN(IF(LEN(INDEX('My equipment'!$V$4:$V$503,(_calc!$E$694-500)))=0,"",INDEX('My equipment'!$V$4:$V$503,(_calc!$E$694-500))))=0,"","Proof on file: "&amp;IF(LEN(INDEX('My equipment'!$V$4:$V$503,(_calc!$E$694-500)))=0,"",INDEX('My equipment'!$V$4:$V$503,(_calc!$E$694-500)))&amp;". ")&amp;IF(LEN(IF(LEN(INDEX('My equipment'!$W$4:$W$503,(_calc!$E$694-500)))=0,"",INDEX('My equipment'!$W$4:$W$503,(_calc!$E$694-500))))=0,"","Claim ref: "&amp;IF(LEN(INDEX('My equipment'!$W$4:$W$503,(_calc!$E$694-500)))=0,"",INDEX('My equipment'!$W$4:$W$503,(_calc!$E$694-500)))&amp;". ")&amp;IF(LEN(IF(LEN(INDEX('My equipment'!$Y$4:$Y$503,(_calc!$E$694-500)))=0,"",INDEX('My equipment'!$Y$4:$Y$503,(_calc!$E$694-500))))=0,"",IF(LEN(INDEX('My equipment'!$Y$4:$Y$503,(_calc!$E$694-500)))=0,"",INDEX('My equipment'!$Y$4:$Y$503,(_calc!$E$694-500)))))))</f>
        <v/>
      </c>
      <c r="G692" s="54">
        <f>IF(_calc!$E$694="","",IF(_calc!$E$694&lt;=500,"",IF(LEN(INDEX('My equipment'!$X$4:$X$503,(_calc!$E$694-500)))=0,"",INDEX('My equipment'!$X$4:$X$503,(_calc!$E$694-500)))))</f>
        <v/>
      </c>
      <c r="K692" s="54">
        <f>IF(_calc!$E$694="","",IF(_calc!$E$694&lt;=500,"",IF(LEN(INDEX('My equipment'!$T$4:$T$503,(_calc!$E$694-500)))=0,"",INDEX('My equipment'!$T$4:$T$503,(_calc!$E$694-500)))))</f>
        <v/>
      </c>
    </row>
    <row r="693">
      <c r="A693" s="54">
        <f>IF(_calc!$E$695="","",IF(_calc!$E$695&lt;=500,"Warranty – "&amp;IF(LEN(INDEX('Dealer pipeline'!$C$4:$C$503,_calc!$E$695))=0,"",INDEX('Dealer pipeline'!$C$4:$C$503,_calc!$E$695))&amp;" – "&amp;IF(LEN(INDEX('Dealer pipeline'!$D$4:$D$503,_calc!$E$695))=0,"",INDEX('Dealer pipeline'!$D$4:$D$503,_calc!$E$695))&amp;" – "&amp;IF(LEN(INDEX('Dealer pipeline'!$A$4:$A$503,_calc!$E$695))=0,"",INDEX('Dealer pipeline'!$A$4:$A$503,_calc!$E$695)),"Warranty – "&amp;IF(LEN(INDEX('My equipment'!$A$4:$A$503,(_calc!$E$695-500)))=0,"",INDEX('My equipment'!$A$4:$A$503,(_calc!$E$695-500)))&amp;" – "&amp;IF(LEN(INDEX('My equipment'!$D$4:$D$503,(_calc!$E$695-500)))=0,"",INDEX('My equipment'!$D$4:$D$503,(_calc!$E$695-500)))))</f>
        <v/>
      </c>
      <c r="B693" s="54">
        <f>IF(_calc!$E$695="","",IF(_calc!$E$695&lt;=500,IF(ISNUMBER(INDEX('Dealer pipeline'!$M$4:$M$503,_calc!$E$695)),TEXT(INDEX('Dealer pipeline'!$M$4:$M$503,_calc!$E$695),"yyyy-mm-dd"),""),IF(ISNUMBER(INDEX('My equipment'!$M$4:$M$503,(_calc!$E$695-500))),TEXT(INDEX('My equipment'!$M$4:$M$503,(_calc!$E$695-500)),"yyyy-mm-dd"),"")))</f>
        <v/>
      </c>
      <c r="C693" s="54">
        <f>IF(_calc!$E$695="","",IF(_calc!$E$695&lt;=500,"Warranty","Warranty"))</f>
        <v/>
      </c>
      <c r="D693" s="54">
        <f>IF(_calc!$E$695="","",IF(_calc!$E$695&lt;=500,IF(ISNUMBER(INDEX('Dealer pipeline'!$H$4:$H$503,_calc!$E$695)),TEXT(INDEX('Dealer pipeline'!$H$4:$H$503,_calc!$E$695),"yyyy-mm-dd"),""),IF(ISNUMBER(INDEX('My equipment'!$H$4:$H$503,(_calc!$E$695-500))),TEXT(INDEX('My equipment'!$H$4:$H$503,(_calc!$E$695-500)),"yyyy-mm-dd"),"")))</f>
        <v/>
      </c>
      <c r="F693" s="54">
        <f>IF(_calc!$E$695="","",IF(_calc!$E$695&lt;=500,TRIM(IF(LEN(IF(LEN(INDEX('Dealer pipeline'!$A$4:$A$503,_calc!$E$695))=0,"",INDEX('Dealer pipeline'!$A$4:$A$503,_calc!$E$695)))=0,"","Customer: "&amp;IF(LEN(INDEX('Dealer pipeline'!$A$4:$A$503,_calc!$E$695))=0,"",INDEX('Dealer pipeline'!$A$4:$A$503,_calc!$E$695))&amp;". ")&amp;IF(LEN(IF(LEN(INDEX('Dealer pipeline'!$B$4:$B$503,_calc!$E$695))=0,"",INDEX('Dealer pipeline'!$B$4:$B$503,_calc!$E$695)))=0,"","Contact: "&amp;IF(LEN(INDEX('Dealer pipeline'!$B$4:$B$503,_calc!$E$695))=0,"",INDEX('Dealer pipeline'!$B$4:$B$503,_calc!$E$695))&amp;". ")&amp;IF(LEN(IF(LEN(INDEX('Dealer pipeline'!$D$4:$D$503,_calc!$E$695))=0,"",INDEX('Dealer pipeline'!$D$4:$D$503,_calc!$E$695)))=0,"","Serial: "&amp;IF(LEN(INDEX('Dealer pipeline'!$D$4:$D$503,_calc!$E$695))=0,"",INDEX('Dealer pipeline'!$D$4:$D$503,_calc!$E$695))&amp;". ")&amp;IF(LEN(IF(ISNUMBER(INDEX('Dealer pipeline'!$J$4:$J$503,_calc!$E$695)),TEXT(INDEX('Dealer pipeline'!$J$4:$J$503,_calc!$E$695),"yyyy-mm-dd"),""))=0,"","Parts end: "&amp;IF(ISNUMBER(INDEX('Dealer pipeline'!$J$4:$J$503,_calc!$E$695)),TEXT(INDEX('Dealer pipeline'!$J$4:$J$503,_calc!$E$695),"yyyy-mm-dd"),"")&amp;". ")&amp;IF(LEN(IF(ISNUMBER(INDEX('Dealer pipeline'!$L$4:$L$503,_calc!$E$695)),TEXT(INDEX('Dealer pipeline'!$L$4:$L$503,_calc!$E$695),"yyyy-mm-dd"),""))=0,"","Labor end: "&amp;IF(ISNUMBER(INDEX('Dealer pipeline'!$L$4:$L$503,_calc!$E$695)),TEXT(INDEX('Dealer pipeline'!$L$4:$L$503,_calc!$E$695),"yyyy-mm-dd"),"")&amp;". ")&amp;IF(LEN(IF(LEN(INDEX('Dealer pipeline'!$Q$4:$Q$503,_calc!$E$695))=0,"",INDEX('Dealer pipeline'!$Q$4:$Q$503,_calc!$E$695)))=0,"","Status: "&amp;IF(LEN(INDEX('Dealer pipeline'!$Q$4:$Q$503,_calc!$E$695))=0,"",INDEX('Dealer pipeline'!$Q$4:$Q$503,_calc!$E$695))&amp;". ")&amp;IF(LEN(IF(LEN(INDEX('Dealer pipeline'!$P$4:$P$503,_calc!$E$695))=0,"",INDEX('Dealer pipeline'!$P$4:$P$503,_calc!$E$695)))=0,"","Last touch: "&amp;IF(LEN(INDEX('Dealer pipeline'!$P$4:$P$503,_calc!$E$695))=0,"",INDEX('Dealer pipeline'!$P$4:$P$503,_calc!$E$695))&amp;". ")&amp;IF(LEN(IF(LEN(INDEX('Dealer pipeline'!$R$4:$R$503,_calc!$E$695))=0,"",INDEX('Dealer pipeline'!$R$4:$R$503,_calc!$E$695)))=0,"","Owner: "&amp;IF(LEN(INDEX('Dealer pipeline'!$R$4:$R$503,_calc!$E$695))=0,"",INDEX('Dealer pipeline'!$R$4:$R$503,_calc!$E$695))&amp;". ")&amp;IF(LEN(IF(LEN(INDEX('Dealer pipeline'!$S$4:$S$503,_calc!$E$695))=0,"",INDEX('Dealer pipeline'!$S$4:$S$503,_calc!$E$695)))=0,"","Backup: "&amp;IF(LEN(INDEX('Dealer pipeline'!$S$4:$S$503,_calc!$E$695))=0,"",INDEX('Dealer pipeline'!$S$4:$S$503,_calc!$E$695))&amp;". ")&amp;IF(LEN(IF(LEN(INDEX('Dealer pipeline'!$T$4:$T$503,_calc!$E$695))=0,"",INDEX('Dealer pipeline'!$T$4:$T$503,_calc!$E$695)))=0,"",IF(LEN(INDEX('Dealer pipeline'!$T$4:$T$503,_calc!$E$695))=0,"",INDEX('Dealer pipeline'!$T$4:$T$503,_calc!$E$695)))),TRIM(IF(LEN(IF(LEN(INDEX('My equipment'!$C$4:$C$503,(_calc!$E$695-500)))=0,"",INDEX('My equipment'!$C$4:$C$503,(_calc!$E$695-500))))=0,"","Model: "&amp;IF(LEN(INDEX('My equipment'!$C$4:$C$503,(_calc!$E$695-500)))=0,"",INDEX('My equipment'!$C$4:$C$503,(_calc!$E$695-500)))&amp;". ")&amp;IF(LEN(IF(LEN(INDEX('My equipment'!$D$4:$D$503,(_calc!$E$695-500)))=0,"",INDEX('My equipment'!$D$4:$D$503,(_calc!$E$695-500))))=0,"","Serial: "&amp;IF(LEN(INDEX('My equipment'!$D$4:$D$503,(_calc!$E$695-500)))=0,"",INDEX('My equipment'!$D$4:$D$503,(_calc!$E$695-500)))&amp;". ")&amp;IF(LEN(IF(ISNUMBER(INDEX('My equipment'!$J$4:$J$503,(_calc!$E$695-500))),TEXT(INDEX('My equipment'!$J$4:$J$503,(_calc!$E$695-500)),"yyyy-mm-dd"),""))=0,"","Parts end: "&amp;IF(ISNUMBER(INDEX('My equipment'!$J$4:$J$503,(_calc!$E$695-500))),TEXT(INDEX('My equipment'!$J$4:$J$503,(_calc!$E$695-500)),"yyyy-mm-dd"),"")&amp;". ")&amp;IF(LEN(IF(ISNUMBER(INDEX('My equipment'!$L$4:$L$503,(_calc!$E$695-500))),TEXT(INDEX('My equipment'!$L$4:$L$503,(_calc!$E$695-500)),"yyyy-mm-dd"),""))=0,"","Labor end: "&amp;IF(ISNUMBER(INDEX('My equipment'!$L$4:$L$503,(_calc!$E$695-500))),TEXT(INDEX('My equipment'!$L$4:$L$503,(_calc!$E$695-500)),"yyyy-mm-dd"),"")&amp;". ")&amp;IF(LEN(IF(ISNUMBER(INDEX('My equipment'!$P$4:$P$503,(_calc!$E$695-500))),TEXT(INDEX('My equipment'!$P$4:$P$503,(_calc!$E$695-500)),"yyyy-mm-dd"),""))=0,"","Check by: "&amp;IF(ISNUMBER(INDEX('My equipment'!$P$4:$P$503,(_calc!$E$695-500))),TEXT(INDEX('My equipment'!$P$4:$P$503,(_calc!$E$695-500)),"yyyy-mm-dd"),"")&amp;". ")&amp;IF(LEN(IF(LEN(INDEX('My equipment'!$Q$4:$Q$503,(_calc!$E$695-500)))=0,"",INDEX('My equipment'!$Q$4:$Q$503,(_calc!$E$695-500))))=0,"","Claim status: "&amp;IF(LEN(INDEX('My equipment'!$Q$4:$Q$503,(_calc!$E$695-500)))=0,"",INDEX('My equipment'!$Q$4:$Q$503,(_calc!$E$695-500)))&amp;". ")&amp;IF(LEN(IF(LEN(INDEX('My equipment'!$R$4:$R$503,(_calc!$E$695-500)))=0,"",INDEX('My equipment'!$R$4:$R$503,(_calc!$E$695-500))))=0,"","Claims contact: "&amp;IF(LEN(INDEX('My equipment'!$R$4:$R$503,(_calc!$E$695-500)))=0,"",INDEX('My equipment'!$R$4:$R$503,(_calc!$E$695-500)))&amp;". ")&amp;IF(LEN(IF(LEN(INDEX('My equipment'!$S$4:$S$503,(_calc!$E$695-500)))=0,"",INDEX('My equipment'!$S$4:$S$503,(_calc!$E$695-500))))=0,"","Claims email: "&amp;IF(LEN(INDEX('My equipment'!$S$4:$S$503,(_calc!$E$695-500)))=0,"",INDEX('My equipment'!$S$4:$S$503,(_calc!$E$695-500)))&amp;". ")&amp;IF(LEN(IF(LEN(INDEX('My equipment'!$U$4:$U$503,(_calc!$E$695-500)))=0,"",INDEX('My equipment'!$U$4:$U$503,(_calc!$E$695-500))))=0,"","Registered: "&amp;IF(LEN(INDEX('My equipment'!$U$4:$U$503,(_calc!$E$695-500)))=0,"",INDEX('My equipment'!$U$4:$U$503,(_calc!$E$695-500)))&amp;". ")&amp;IF(LEN(IF(LEN(INDEX('My equipment'!$V$4:$V$503,(_calc!$E$695-500)))=0,"",INDEX('My equipment'!$V$4:$V$503,(_calc!$E$695-500))))=0,"","Proof on file: "&amp;IF(LEN(INDEX('My equipment'!$V$4:$V$503,(_calc!$E$695-500)))=0,"",INDEX('My equipment'!$V$4:$V$503,(_calc!$E$695-500)))&amp;". ")&amp;IF(LEN(IF(LEN(INDEX('My equipment'!$W$4:$W$503,(_calc!$E$695-500)))=0,"",INDEX('My equipment'!$W$4:$W$503,(_calc!$E$695-500))))=0,"","Claim ref: "&amp;IF(LEN(INDEX('My equipment'!$W$4:$W$503,(_calc!$E$695-500)))=0,"",INDEX('My equipment'!$W$4:$W$503,(_calc!$E$695-500)))&amp;". ")&amp;IF(LEN(IF(LEN(INDEX('My equipment'!$Y$4:$Y$503,(_calc!$E$695-500)))=0,"",INDEX('My equipment'!$Y$4:$Y$503,(_calc!$E$695-500))))=0,"",IF(LEN(INDEX('My equipment'!$Y$4:$Y$503,(_calc!$E$695-500)))=0,"",INDEX('My equipment'!$Y$4:$Y$503,(_calc!$E$695-500)))))))</f>
        <v/>
      </c>
      <c r="G693" s="54">
        <f>IF(_calc!$E$695="","",IF(_calc!$E$695&lt;=500,"",IF(LEN(INDEX('My equipment'!$X$4:$X$503,(_calc!$E$695-500)))=0,"",INDEX('My equipment'!$X$4:$X$503,(_calc!$E$695-500)))))</f>
        <v/>
      </c>
      <c r="K693" s="54">
        <f>IF(_calc!$E$695="","",IF(_calc!$E$695&lt;=500,"",IF(LEN(INDEX('My equipment'!$T$4:$T$503,(_calc!$E$695-500)))=0,"",INDEX('My equipment'!$T$4:$T$503,(_calc!$E$695-500)))))</f>
        <v/>
      </c>
    </row>
    <row r="694">
      <c r="A694" s="54">
        <f>IF(_calc!$E$696="","",IF(_calc!$E$696&lt;=500,"Warranty – "&amp;IF(LEN(INDEX('Dealer pipeline'!$C$4:$C$503,_calc!$E$696))=0,"",INDEX('Dealer pipeline'!$C$4:$C$503,_calc!$E$696))&amp;" – "&amp;IF(LEN(INDEX('Dealer pipeline'!$D$4:$D$503,_calc!$E$696))=0,"",INDEX('Dealer pipeline'!$D$4:$D$503,_calc!$E$696))&amp;" – "&amp;IF(LEN(INDEX('Dealer pipeline'!$A$4:$A$503,_calc!$E$696))=0,"",INDEX('Dealer pipeline'!$A$4:$A$503,_calc!$E$696)),"Warranty – "&amp;IF(LEN(INDEX('My equipment'!$A$4:$A$503,(_calc!$E$696-500)))=0,"",INDEX('My equipment'!$A$4:$A$503,(_calc!$E$696-500)))&amp;" – "&amp;IF(LEN(INDEX('My equipment'!$D$4:$D$503,(_calc!$E$696-500)))=0,"",INDEX('My equipment'!$D$4:$D$503,(_calc!$E$696-500)))))</f>
        <v/>
      </c>
      <c r="B694" s="54">
        <f>IF(_calc!$E$696="","",IF(_calc!$E$696&lt;=500,IF(ISNUMBER(INDEX('Dealer pipeline'!$M$4:$M$503,_calc!$E$696)),TEXT(INDEX('Dealer pipeline'!$M$4:$M$503,_calc!$E$696),"yyyy-mm-dd"),""),IF(ISNUMBER(INDEX('My equipment'!$M$4:$M$503,(_calc!$E$696-500))),TEXT(INDEX('My equipment'!$M$4:$M$503,(_calc!$E$696-500)),"yyyy-mm-dd"),"")))</f>
        <v/>
      </c>
      <c r="C694" s="54">
        <f>IF(_calc!$E$696="","",IF(_calc!$E$696&lt;=500,"Warranty","Warranty"))</f>
        <v/>
      </c>
      <c r="D694" s="54">
        <f>IF(_calc!$E$696="","",IF(_calc!$E$696&lt;=500,IF(ISNUMBER(INDEX('Dealer pipeline'!$H$4:$H$503,_calc!$E$696)),TEXT(INDEX('Dealer pipeline'!$H$4:$H$503,_calc!$E$696),"yyyy-mm-dd"),""),IF(ISNUMBER(INDEX('My equipment'!$H$4:$H$503,(_calc!$E$696-500))),TEXT(INDEX('My equipment'!$H$4:$H$503,(_calc!$E$696-500)),"yyyy-mm-dd"),"")))</f>
        <v/>
      </c>
      <c r="F694" s="54">
        <f>IF(_calc!$E$696="","",IF(_calc!$E$696&lt;=500,TRIM(IF(LEN(IF(LEN(INDEX('Dealer pipeline'!$A$4:$A$503,_calc!$E$696))=0,"",INDEX('Dealer pipeline'!$A$4:$A$503,_calc!$E$696)))=0,"","Customer: "&amp;IF(LEN(INDEX('Dealer pipeline'!$A$4:$A$503,_calc!$E$696))=0,"",INDEX('Dealer pipeline'!$A$4:$A$503,_calc!$E$696))&amp;". ")&amp;IF(LEN(IF(LEN(INDEX('Dealer pipeline'!$B$4:$B$503,_calc!$E$696))=0,"",INDEX('Dealer pipeline'!$B$4:$B$503,_calc!$E$696)))=0,"","Contact: "&amp;IF(LEN(INDEX('Dealer pipeline'!$B$4:$B$503,_calc!$E$696))=0,"",INDEX('Dealer pipeline'!$B$4:$B$503,_calc!$E$696))&amp;". ")&amp;IF(LEN(IF(LEN(INDEX('Dealer pipeline'!$D$4:$D$503,_calc!$E$696))=0,"",INDEX('Dealer pipeline'!$D$4:$D$503,_calc!$E$696)))=0,"","Serial: "&amp;IF(LEN(INDEX('Dealer pipeline'!$D$4:$D$503,_calc!$E$696))=0,"",INDEX('Dealer pipeline'!$D$4:$D$503,_calc!$E$696))&amp;". ")&amp;IF(LEN(IF(ISNUMBER(INDEX('Dealer pipeline'!$J$4:$J$503,_calc!$E$696)),TEXT(INDEX('Dealer pipeline'!$J$4:$J$503,_calc!$E$696),"yyyy-mm-dd"),""))=0,"","Parts end: "&amp;IF(ISNUMBER(INDEX('Dealer pipeline'!$J$4:$J$503,_calc!$E$696)),TEXT(INDEX('Dealer pipeline'!$J$4:$J$503,_calc!$E$696),"yyyy-mm-dd"),"")&amp;". ")&amp;IF(LEN(IF(ISNUMBER(INDEX('Dealer pipeline'!$L$4:$L$503,_calc!$E$696)),TEXT(INDEX('Dealer pipeline'!$L$4:$L$503,_calc!$E$696),"yyyy-mm-dd"),""))=0,"","Labor end: "&amp;IF(ISNUMBER(INDEX('Dealer pipeline'!$L$4:$L$503,_calc!$E$696)),TEXT(INDEX('Dealer pipeline'!$L$4:$L$503,_calc!$E$696),"yyyy-mm-dd"),"")&amp;". ")&amp;IF(LEN(IF(LEN(INDEX('Dealer pipeline'!$Q$4:$Q$503,_calc!$E$696))=0,"",INDEX('Dealer pipeline'!$Q$4:$Q$503,_calc!$E$696)))=0,"","Status: "&amp;IF(LEN(INDEX('Dealer pipeline'!$Q$4:$Q$503,_calc!$E$696))=0,"",INDEX('Dealer pipeline'!$Q$4:$Q$503,_calc!$E$696))&amp;". ")&amp;IF(LEN(IF(LEN(INDEX('Dealer pipeline'!$P$4:$P$503,_calc!$E$696))=0,"",INDEX('Dealer pipeline'!$P$4:$P$503,_calc!$E$696)))=0,"","Last touch: "&amp;IF(LEN(INDEX('Dealer pipeline'!$P$4:$P$503,_calc!$E$696))=0,"",INDEX('Dealer pipeline'!$P$4:$P$503,_calc!$E$696))&amp;". ")&amp;IF(LEN(IF(LEN(INDEX('Dealer pipeline'!$R$4:$R$503,_calc!$E$696))=0,"",INDEX('Dealer pipeline'!$R$4:$R$503,_calc!$E$696)))=0,"","Owner: "&amp;IF(LEN(INDEX('Dealer pipeline'!$R$4:$R$503,_calc!$E$696))=0,"",INDEX('Dealer pipeline'!$R$4:$R$503,_calc!$E$696))&amp;". ")&amp;IF(LEN(IF(LEN(INDEX('Dealer pipeline'!$S$4:$S$503,_calc!$E$696))=0,"",INDEX('Dealer pipeline'!$S$4:$S$503,_calc!$E$696)))=0,"","Backup: "&amp;IF(LEN(INDEX('Dealer pipeline'!$S$4:$S$503,_calc!$E$696))=0,"",INDEX('Dealer pipeline'!$S$4:$S$503,_calc!$E$696))&amp;". ")&amp;IF(LEN(IF(LEN(INDEX('Dealer pipeline'!$T$4:$T$503,_calc!$E$696))=0,"",INDEX('Dealer pipeline'!$T$4:$T$503,_calc!$E$696)))=0,"",IF(LEN(INDEX('Dealer pipeline'!$T$4:$T$503,_calc!$E$696))=0,"",INDEX('Dealer pipeline'!$T$4:$T$503,_calc!$E$696)))),TRIM(IF(LEN(IF(LEN(INDEX('My equipment'!$C$4:$C$503,(_calc!$E$696-500)))=0,"",INDEX('My equipment'!$C$4:$C$503,(_calc!$E$696-500))))=0,"","Model: "&amp;IF(LEN(INDEX('My equipment'!$C$4:$C$503,(_calc!$E$696-500)))=0,"",INDEX('My equipment'!$C$4:$C$503,(_calc!$E$696-500)))&amp;". ")&amp;IF(LEN(IF(LEN(INDEX('My equipment'!$D$4:$D$503,(_calc!$E$696-500)))=0,"",INDEX('My equipment'!$D$4:$D$503,(_calc!$E$696-500))))=0,"","Serial: "&amp;IF(LEN(INDEX('My equipment'!$D$4:$D$503,(_calc!$E$696-500)))=0,"",INDEX('My equipment'!$D$4:$D$503,(_calc!$E$696-500)))&amp;". ")&amp;IF(LEN(IF(ISNUMBER(INDEX('My equipment'!$J$4:$J$503,(_calc!$E$696-500))),TEXT(INDEX('My equipment'!$J$4:$J$503,(_calc!$E$696-500)),"yyyy-mm-dd"),""))=0,"","Parts end: "&amp;IF(ISNUMBER(INDEX('My equipment'!$J$4:$J$503,(_calc!$E$696-500))),TEXT(INDEX('My equipment'!$J$4:$J$503,(_calc!$E$696-500)),"yyyy-mm-dd"),"")&amp;". ")&amp;IF(LEN(IF(ISNUMBER(INDEX('My equipment'!$L$4:$L$503,(_calc!$E$696-500))),TEXT(INDEX('My equipment'!$L$4:$L$503,(_calc!$E$696-500)),"yyyy-mm-dd"),""))=0,"","Labor end: "&amp;IF(ISNUMBER(INDEX('My equipment'!$L$4:$L$503,(_calc!$E$696-500))),TEXT(INDEX('My equipment'!$L$4:$L$503,(_calc!$E$696-500)),"yyyy-mm-dd"),"")&amp;". ")&amp;IF(LEN(IF(ISNUMBER(INDEX('My equipment'!$P$4:$P$503,(_calc!$E$696-500))),TEXT(INDEX('My equipment'!$P$4:$P$503,(_calc!$E$696-500)),"yyyy-mm-dd"),""))=0,"","Check by: "&amp;IF(ISNUMBER(INDEX('My equipment'!$P$4:$P$503,(_calc!$E$696-500))),TEXT(INDEX('My equipment'!$P$4:$P$503,(_calc!$E$696-500)),"yyyy-mm-dd"),"")&amp;". ")&amp;IF(LEN(IF(LEN(INDEX('My equipment'!$Q$4:$Q$503,(_calc!$E$696-500)))=0,"",INDEX('My equipment'!$Q$4:$Q$503,(_calc!$E$696-500))))=0,"","Claim status: "&amp;IF(LEN(INDEX('My equipment'!$Q$4:$Q$503,(_calc!$E$696-500)))=0,"",INDEX('My equipment'!$Q$4:$Q$503,(_calc!$E$696-500)))&amp;". ")&amp;IF(LEN(IF(LEN(INDEX('My equipment'!$R$4:$R$503,(_calc!$E$696-500)))=0,"",INDEX('My equipment'!$R$4:$R$503,(_calc!$E$696-500))))=0,"","Claims contact: "&amp;IF(LEN(INDEX('My equipment'!$R$4:$R$503,(_calc!$E$696-500)))=0,"",INDEX('My equipment'!$R$4:$R$503,(_calc!$E$696-500)))&amp;". ")&amp;IF(LEN(IF(LEN(INDEX('My equipment'!$S$4:$S$503,(_calc!$E$696-500)))=0,"",INDEX('My equipment'!$S$4:$S$503,(_calc!$E$696-500))))=0,"","Claims email: "&amp;IF(LEN(INDEX('My equipment'!$S$4:$S$503,(_calc!$E$696-500)))=0,"",INDEX('My equipment'!$S$4:$S$503,(_calc!$E$696-500)))&amp;". ")&amp;IF(LEN(IF(LEN(INDEX('My equipment'!$U$4:$U$503,(_calc!$E$696-500)))=0,"",INDEX('My equipment'!$U$4:$U$503,(_calc!$E$696-500))))=0,"","Registered: "&amp;IF(LEN(INDEX('My equipment'!$U$4:$U$503,(_calc!$E$696-500)))=0,"",INDEX('My equipment'!$U$4:$U$503,(_calc!$E$696-500)))&amp;". ")&amp;IF(LEN(IF(LEN(INDEX('My equipment'!$V$4:$V$503,(_calc!$E$696-500)))=0,"",INDEX('My equipment'!$V$4:$V$503,(_calc!$E$696-500))))=0,"","Proof on file: "&amp;IF(LEN(INDEX('My equipment'!$V$4:$V$503,(_calc!$E$696-500)))=0,"",INDEX('My equipment'!$V$4:$V$503,(_calc!$E$696-500)))&amp;". ")&amp;IF(LEN(IF(LEN(INDEX('My equipment'!$W$4:$W$503,(_calc!$E$696-500)))=0,"",INDEX('My equipment'!$W$4:$W$503,(_calc!$E$696-500))))=0,"","Claim ref: "&amp;IF(LEN(INDEX('My equipment'!$W$4:$W$503,(_calc!$E$696-500)))=0,"",INDEX('My equipment'!$W$4:$W$503,(_calc!$E$696-500)))&amp;". ")&amp;IF(LEN(IF(LEN(INDEX('My equipment'!$Y$4:$Y$503,(_calc!$E$696-500)))=0,"",INDEX('My equipment'!$Y$4:$Y$503,(_calc!$E$696-500))))=0,"",IF(LEN(INDEX('My equipment'!$Y$4:$Y$503,(_calc!$E$696-500)))=0,"",INDEX('My equipment'!$Y$4:$Y$503,(_calc!$E$696-500)))))))</f>
        <v/>
      </c>
      <c r="G694" s="54">
        <f>IF(_calc!$E$696="","",IF(_calc!$E$696&lt;=500,"",IF(LEN(INDEX('My equipment'!$X$4:$X$503,(_calc!$E$696-500)))=0,"",INDEX('My equipment'!$X$4:$X$503,(_calc!$E$696-500)))))</f>
        <v/>
      </c>
      <c r="K694" s="54">
        <f>IF(_calc!$E$696="","",IF(_calc!$E$696&lt;=500,"",IF(LEN(INDEX('My equipment'!$T$4:$T$503,(_calc!$E$696-500)))=0,"",INDEX('My equipment'!$T$4:$T$503,(_calc!$E$696-500)))))</f>
        <v/>
      </c>
    </row>
    <row r="695">
      <c r="A695" s="54">
        <f>IF(_calc!$E$697="","",IF(_calc!$E$697&lt;=500,"Warranty – "&amp;IF(LEN(INDEX('Dealer pipeline'!$C$4:$C$503,_calc!$E$697))=0,"",INDEX('Dealer pipeline'!$C$4:$C$503,_calc!$E$697))&amp;" – "&amp;IF(LEN(INDEX('Dealer pipeline'!$D$4:$D$503,_calc!$E$697))=0,"",INDEX('Dealer pipeline'!$D$4:$D$503,_calc!$E$697))&amp;" – "&amp;IF(LEN(INDEX('Dealer pipeline'!$A$4:$A$503,_calc!$E$697))=0,"",INDEX('Dealer pipeline'!$A$4:$A$503,_calc!$E$697)),"Warranty – "&amp;IF(LEN(INDEX('My equipment'!$A$4:$A$503,(_calc!$E$697-500)))=0,"",INDEX('My equipment'!$A$4:$A$503,(_calc!$E$697-500)))&amp;" – "&amp;IF(LEN(INDEX('My equipment'!$D$4:$D$503,(_calc!$E$697-500)))=0,"",INDEX('My equipment'!$D$4:$D$503,(_calc!$E$697-500)))))</f>
        <v/>
      </c>
      <c r="B695" s="54">
        <f>IF(_calc!$E$697="","",IF(_calc!$E$697&lt;=500,IF(ISNUMBER(INDEX('Dealer pipeline'!$M$4:$M$503,_calc!$E$697)),TEXT(INDEX('Dealer pipeline'!$M$4:$M$503,_calc!$E$697),"yyyy-mm-dd"),""),IF(ISNUMBER(INDEX('My equipment'!$M$4:$M$503,(_calc!$E$697-500))),TEXT(INDEX('My equipment'!$M$4:$M$503,(_calc!$E$697-500)),"yyyy-mm-dd"),"")))</f>
        <v/>
      </c>
      <c r="C695" s="54">
        <f>IF(_calc!$E$697="","",IF(_calc!$E$697&lt;=500,"Warranty","Warranty"))</f>
        <v/>
      </c>
      <c r="D695" s="54">
        <f>IF(_calc!$E$697="","",IF(_calc!$E$697&lt;=500,IF(ISNUMBER(INDEX('Dealer pipeline'!$H$4:$H$503,_calc!$E$697)),TEXT(INDEX('Dealer pipeline'!$H$4:$H$503,_calc!$E$697),"yyyy-mm-dd"),""),IF(ISNUMBER(INDEX('My equipment'!$H$4:$H$503,(_calc!$E$697-500))),TEXT(INDEX('My equipment'!$H$4:$H$503,(_calc!$E$697-500)),"yyyy-mm-dd"),"")))</f>
        <v/>
      </c>
      <c r="F695" s="54">
        <f>IF(_calc!$E$697="","",IF(_calc!$E$697&lt;=500,TRIM(IF(LEN(IF(LEN(INDEX('Dealer pipeline'!$A$4:$A$503,_calc!$E$697))=0,"",INDEX('Dealer pipeline'!$A$4:$A$503,_calc!$E$697)))=0,"","Customer: "&amp;IF(LEN(INDEX('Dealer pipeline'!$A$4:$A$503,_calc!$E$697))=0,"",INDEX('Dealer pipeline'!$A$4:$A$503,_calc!$E$697))&amp;". ")&amp;IF(LEN(IF(LEN(INDEX('Dealer pipeline'!$B$4:$B$503,_calc!$E$697))=0,"",INDEX('Dealer pipeline'!$B$4:$B$503,_calc!$E$697)))=0,"","Contact: "&amp;IF(LEN(INDEX('Dealer pipeline'!$B$4:$B$503,_calc!$E$697))=0,"",INDEX('Dealer pipeline'!$B$4:$B$503,_calc!$E$697))&amp;". ")&amp;IF(LEN(IF(LEN(INDEX('Dealer pipeline'!$D$4:$D$503,_calc!$E$697))=0,"",INDEX('Dealer pipeline'!$D$4:$D$503,_calc!$E$697)))=0,"","Serial: "&amp;IF(LEN(INDEX('Dealer pipeline'!$D$4:$D$503,_calc!$E$697))=0,"",INDEX('Dealer pipeline'!$D$4:$D$503,_calc!$E$697))&amp;". ")&amp;IF(LEN(IF(ISNUMBER(INDEX('Dealer pipeline'!$J$4:$J$503,_calc!$E$697)),TEXT(INDEX('Dealer pipeline'!$J$4:$J$503,_calc!$E$697),"yyyy-mm-dd"),""))=0,"","Parts end: "&amp;IF(ISNUMBER(INDEX('Dealer pipeline'!$J$4:$J$503,_calc!$E$697)),TEXT(INDEX('Dealer pipeline'!$J$4:$J$503,_calc!$E$697),"yyyy-mm-dd"),"")&amp;". ")&amp;IF(LEN(IF(ISNUMBER(INDEX('Dealer pipeline'!$L$4:$L$503,_calc!$E$697)),TEXT(INDEX('Dealer pipeline'!$L$4:$L$503,_calc!$E$697),"yyyy-mm-dd"),""))=0,"","Labor end: "&amp;IF(ISNUMBER(INDEX('Dealer pipeline'!$L$4:$L$503,_calc!$E$697)),TEXT(INDEX('Dealer pipeline'!$L$4:$L$503,_calc!$E$697),"yyyy-mm-dd"),"")&amp;". ")&amp;IF(LEN(IF(LEN(INDEX('Dealer pipeline'!$Q$4:$Q$503,_calc!$E$697))=0,"",INDEX('Dealer pipeline'!$Q$4:$Q$503,_calc!$E$697)))=0,"","Status: "&amp;IF(LEN(INDEX('Dealer pipeline'!$Q$4:$Q$503,_calc!$E$697))=0,"",INDEX('Dealer pipeline'!$Q$4:$Q$503,_calc!$E$697))&amp;". ")&amp;IF(LEN(IF(LEN(INDEX('Dealer pipeline'!$P$4:$P$503,_calc!$E$697))=0,"",INDEX('Dealer pipeline'!$P$4:$P$503,_calc!$E$697)))=0,"","Last touch: "&amp;IF(LEN(INDEX('Dealer pipeline'!$P$4:$P$503,_calc!$E$697))=0,"",INDEX('Dealer pipeline'!$P$4:$P$503,_calc!$E$697))&amp;". ")&amp;IF(LEN(IF(LEN(INDEX('Dealer pipeline'!$R$4:$R$503,_calc!$E$697))=0,"",INDEX('Dealer pipeline'!$R$4:$R$503,_calc!$E$697)))=0,"","Owner: "&amp;IF(LEN(INDEX('Dealer pipeline'!$R$4:$R$503,_calc!$E$697))=0,"",INDEX('Dealer pipeline'!$R$4:$R$503,_calc!$E$697))&amp;". ")&amp;IF(LEN(IF(LEN(INDEX('Dealer pipeline'!$S$4:$S$503,_calc!$E$697))=0,"",INDEX('Dealer pipeline'!$S$4:$S$503,_calc!$E$697)))=0,"","Backup: "&amp;IF(LEN(INDEX('Dealer pipeline'!$S$4:$S$503,_calc!$E$697))=0,"",INDEX('Dealer pipeline'!$S$4:$S$503,_calc!$E$697))&amp;". ")&amp;IF(LEN(IF(LEN(INDEX('Dealer pipeline'!$T$4:$T$503,_calc!$E$697))=0,"",INDEX('Dealer pipeline'!$T$4:$T$503,_calc!$E$697)))=0,"",IF(LEN(INDEX('Dealer pipeline'!$T$4:$T$503,_calc!$E$697))=0,"",INDEX('Dealer pipeline'!$T$4:$T$503,_calc!$E$697)))),TRIM(IF(LEN(IF(LEN(INDEX('My equipment'!$C$4:$C$503,(_calc!$E$697-500)))=0,"",INDEX('My equipment'!$C$4:$C$503,(_calc!$E$697-500))))=0,"","Model: "&amp;IF(LEN(INDEX('My equipment'!$C$4:$C$503,(_calc!$E$697-500)))=0,"",INDEX('My equipment'!$C$4:$C$503,(_calc!$E$697-500)))&amp;". ")&amp;IF(LEN(IF(LEN(INDEX('My equipment'!$D$4:$D$503,(_calc!$E$697-500)))=0,"",INDEX('My equipment'!$D$4:$D$503,(_calc!$E$697-500))))=0,"","Serial: "&amp;IF(LEN(INDEX('My equipment'!$D$4:$D$503,(_calc!$E$697-500)))=0,"",INDEX('My equipment'!$D$4:$D$503,(_calc!$E$697-500)))&amp;". ")&amp;IF(LEN(IF(ISNUMBER(INDEX('My equipment'!$J$4:$J$503,(_calc!$E$697-500))),TEXT(INDEX('My equipment'!$J$4:$J$503,(_calc!$E$697-500)),"yyyy-mm-dd"),""))=0,"","Parts end: "&amp;IF(ISNUMBER(INDEX('My equipment'!$J$4:$J$503,(_calc!$E$697-500))),TEXT(INDEX('My equipment'!$J$4:$J$503,(_calc!$E$697-500)),"yyyy-mm-dd"),"")&amp;". ")&amp;IF(LEN(IF(ISNUMBER(INDEX('My equipment'!$L$4:$L$503,(_calc!$E$697-500))),TEXT(INDEX('My equipment'!$L$4:$L$503,(_calc!$E$697-500)),"yyyy-mm-dd"),""))=0,"","Labor end: "&amp;IF(ISNUMBER(INDEX('My equipment'!$L$4:$L$503,(_calc!$E$697-500))),TEXT(INDEX('My equipment'!$L$4:$L$503,(_calc!$E$697-500)),"yyyy-mm-dd"),"")&amp;". ")&amp;IF(LEN(IF(ISNUMBER(INDEX('My equipment'!$P$4:$P$503,(_calc!$E$697-500))),TEXT(INDEX('My equipment'!$P$4:$P$503,(_calc!$E$697-500)),"yyyy-mm-dd"),""))=0,"","Check by: "&amp;IF(ISNUMBER(INDEX('My equipment'!$P$4:$P$503,(_calc!$E$697-500))),TEXT(INDEX('My equipment'!$P$4:$P$503,(_calc!$E$697-500)),"yyyy-mm-dd"),"")&amp;". ")&amp;IF(LEN(IF(LEN(INDEX('My equipment'!$Q$4:$Q$503,(_calc!$E$697-500)))=0,"",INDEX('My equipment'!$Q$4:$Q$503,(_calc!$E$697-500))))=0,"","Claim status: "&amp;IF(LEN(INDEX('My equipment'!$Q$4:$Q$503,(_calc!$E$697-500)))=0,"",INDEX('My equipment'!$Q$4:$Q$503,(_calc!$E$697-500)))&amp;". ")&amp;IF(LEN(IF(LEN(INDEX('My equipment'!$R$4:$R$503,(_calc!$E$697-500)))=0,"",INDEX('My equipment'!$R$4:$R$503,(_calc!$E$697-500))))=0,"","Claims contact: "&amp;IF(LEN(INDEX('My equipment'!$R$4:$R$503,(_calc!$E$697-500)))=0,"",INDEX('My equipment'!$R$4:$R$503,(_calc!$E$697-500)))&amp;". ")&amp;IF(LEN(IF(LEN(INDEX('My equipment'!$S$4:$S$503,(_calc!$E$697-500)))=0,"",INDEX('My equipment'!$S$4:$S$503,(_calc!$E$697-500))))=0,"","Claims email: "&amp;IF(LEN(INDEX('My equipment'!$S$4:$S$503,(_calc!$E$697-500)))=0,"",INDEX('My equipment'!$S$4:$S$503,(_calc!$E$697-500)))&amp;". ")&amp;IF(LEN(IF(LEN(INDEX('My equipment'!$U$4:$U$503,(_calc!$E$697-500)))=0,"",INDEX('My equipment'!$U$4:$U$503,(_calc!$E$697-500))))=0,"","Registered: "&amp;IF(LEN(INDEX('My equipment'!$U$4:$U$503,(_calc!$E$697-500)))=0,"",INDEX('My equipment'!$U$4:$U$503,(_calc!$E$697-500)))&amp;". ")&amp;IF(LEN(IF(LEN(INDEX('My equipment'!$V$4:$V$503,(_calc!$E$697-500)))=0,"",INDEX('My equipment'!$V$4:$V$503,(_calc!$E$697-500))))=0,"","Proof on file: "&amp;IF(LEN(INDEX('My equipment'!$V$4:$V$503,(_calc!$E$697-500)))=0,"",INDEX('My equipment'!$V$4:$V$503,(_calc!$E$697-500)))&amp;". ")&amp;IF(LEN(IF(LEN(INDEX('My equipment'!$W$4:$W$503,(_calc!$E$697-500)))=0,"",INDEX('My equipment'!$W$4:$W$503,(_calc!$E$697-500))))=0,"","Claim ref: "&amp;IF(LEN(INDEX('My equipment'!$W$4:$W$503,(_calc!$E$697-500)))=0,"",INDEX('My equipment'!$W$4:$W$503,(_calc!$E$697-500)))&amp;". ")&amp;IF(LEN(IF(LEN(INDEX('My equipment'!$Y$4:$Y$503,(_calc!$E$697-500)))=0,"",INDEX('My equipment'!$Y$4:$Y$503,(_calc!$E$697-500))))=0,"",IF(LEN(INDEX('My equipment'!$Y$4:$Y$503,(_calc!$E$697-500)))=0,"",INDEX('My equipment'!$Y$4:$Y$503,(_calc!$E$697-500)))))))</f>
        <v/>
      </c>
      <c r="G695" s="54">
        <f>IF(_calc!$E$697="","",IF(_calc!$E$697&lt;=500,"",IF(LEN(INDEX('My equipment'!$X$4:$X$503,(_calc!$E$697-500)))=0,"",INDEX('My equipment'!$X$4:$X$503,(_calc!$E$697-500)))))</f>
        <v/>
      </c>
      <c r="K695" s="54">
        <f>IF(_calc!$E$697="","",IF(_calc!$E$697&lt;=500,"",IF(LEN(INDEX('My equipment'!$T$4:$T$503,(_calc!$E$697-500)))=0,"",INDEX('My equipment'!$T$4:$T$503,(_calc!$E$697-500)))))</f>
        <v/>
      </c>
    </row>
    <row r="696">
      <c r="A696" s="54">
        <f>IF(_calc!$E$698="","",IF(_calc!$E$698&lt;=500,"Warranty – "&amp;IF(LEN(INDEX('Dealer pipeline'!$C$4:$C$503,_calc!$E$698))=0,"",INDEX('Dealer pipeline'!$C$4:$C$503,_calc!$E$698))&amp;" – "&amp;IF(LEN(INDEX('Dealer pipeline'!$D$4:$D$503,_calc!$E$698))=0,"",INDEX('Dealer pipeline'!$D$4:$D$503,_calc!$E$698))&amp;" – "&amp;IF(LEN(INDEX('Dealer pipeline'!$A$4:$A$503,_calc!$E$698))=0,"",INDEX('Dealer pipeline'!$A$4:$A$503,_calc!$E$698)),"Warranty – "&amp;IF(LEN(INDEX('My equipment'!$A$4:$A$503,(_calc!$E$698-500)))=0,"",INDEX('My equipment'!$A$4:$A$503,(_calc!$E$698-500)))&amp;" – "&amp;IF(LEN(INDEX('My equipment'!$D$4:$D$503,(_calc!$E$698-500)))=0,"",INDEX('My equipment'!$D$4:$D$503,(_calc!$E$698-500)))))</f>
        <v/>
      </c>
      <c r="B696" s="54">
        <f>IF(_calc!$E$698="","",IF(_calc!$E$698&lt;=500,IF(ISNUMBER(INDEX('Dealer pipeline'!$M$4:$M$503,_calc!$E$698)),TEXT(INDEX('Dealer pipeline'!$M$4:$M$503,_calc!$E$698),"yyyy-mm-dd"),""),IF(ISNUMBER(INDEX('My equipment'!$M$4:$M$503,(_calc!$E$698-500))),TEXT(INDEX('My equipment'!$M$4:$M$503,(_calc!$E$698-500)),"yyyy-mm-dd"),"")))</f>
        <v/>
      </c>
      <c r="C696" s="54">
        <f>IF(_calc!$E$698="","",IF(_calc!$E$698&lt;=500,"Warranty","Warranty"))</f>
        <v/>
      </c>
      <c r="D696" s="54">
        <f>IF(_calc!$E$698="","",IF(_calc!$E$698&lt;=500,IF(ISNUMBER(INDEX('Dealer pipeline'!$H$4:$H$503,_calc!$E$698)),TEXT(INDEX('Dealer pipeline'!$H$4:$H$503,_calc!$E$698),"yyyy-mm-dd"),""),IF(ISNUMBER(INDEX('My equipment'!$H$4:$H$503,(_calc!$E$698-500))),TEXT(INDEX('My equipment'!$H$4:$H$503,(_calc!$E$698-500)),"yyyy-mm-dd"),"")))</f>
        <v/>
      </c>
      <c r="F696" s="54">
        <f>IF(_calc!$E$698="","",IF(_calc!$E$698&lt;=500,TRIM(IF(LEN(IF(LEN(INDEX('Dealer pipeline'!$A$4:$A$503,_calc!$E$698))=0,"",INDEX('Dealer pipeline'!$A$4:$A$503,_calc!$E$698)))=0,"","Customer: "&amp;IF(LEN(INDEX('Dealer pipeline'!$A$4:$A$503,_calc!$E$698))=0,"",INDEX('Dealer pipeline'!$A$4:$A$503,_calc!$E$698))&amp;". ")&amp;IF(LEN(IF(LEN(INDEX('Dealer pipeline'!$B$4:$B$503,_calc!$E$698))=0,"",INDEX('Dealer pipeline'!$B$4:$B$503,_calc!$E$698)))=0,"","Contact: "&amp;IF(LEN(INDEX('Dealer pipeline'!$B$4:$B$503,_calc!$E$698))=0,"",INDEX('Dealer pipeline'!$B$4:$B$503,_calc!$E$698))&amp;". ")&amp;IF(LEN(IF(LEN(INDEX('Dealer pipeline'!$D$4:$D$503,_calc!$E$698))=0,"",INDEX('Dealer pipeline'!$D$4:$D$503,_calc!$E$698)))=0,"","Serial: "&amp;IF(LEN(INDEX('Dealer pipeline'!$D$4:$D$503,_calc!$E$698))=0,"",INDEX('Dealer pipeline'!$D$4:$D$503,_calc!$E$698))&amp;". ")&amp;IF(LEN(IF(ISNUMBER(INDEX('Dealer pipeline'!$J$4:$J$503,_calc!$E$698)),TEXT(INDEX('Dealer pipeline'!$J$4:$J$503,_calc!$E$698),"yyyy-mm-dd"),""))=0,"","Parts end: "&amp;IF(ISNUMBER(INDEX('Dealer pipeline'!$J$4:$J$503,_calc!$E$698)),TEXT(INDEX('Dealer pipeline'!$J$4:$J$503,_calc!$E$698),"yyyy-mm-dd"),"")&amp;". ")&amp;IF(LEN(IF(ISNUMBER(INDEX('Dealer pipeline'!$L$4:$L$503,_calc!$E$698)),TEXT(INDEX('Dealer pipeline'!$L$4:$L$503,_calc!$E$698),"yyyy-mm-dd"),""))=0,"","Labor end: "&amp;IF(ISNUMBER(INDEX('Dealer pipeline'!$L$4:$L$503,_calc!$E$698)),TEXT(INDEX('Dealer pipeline'!$L$4:$L$503,_calc!$E$698),"yyyy-mm-dd"),"")&amp;". ")&amp;IF(LEN(IF(LEN(INDEX('Dealer pipeline'!$Q$4:$Q$503,_calc!$E$698))=0,"",INDEX('Dealer pipeline'!$Q$4:$Q$503,_calc!$E$698)))=0,"","Status: "&amp;IF(LEN(INDEX('Dealer pipeline'!$Q$4:$Q$503,_calc!$E$698))=0,"",INDEX('Dealer pipeline'!$Q$4:$Q$503,_calc!$E$698))&amp;". ")&amp;IF(LEN(IF(LEN(INDEX('Dealer pipeline'!$P$4:$P$503,_calc!$E$698))=0,"",INDEX('Dealer pipeline'!$P$4:$P$503,_calc!$E$698)))=0,"","Last touch: "&amp;IF(LEN(INDEX('Dealer pipeline'!$P$4:$P$503,_calc!$E$698))=0,"",INDEX('Dealer pipeline'!$P$4:$P$503,_calc!$E$698))&amp;". ")&amp;IF(LEN(IF(LEN(INDEX('Dealer pipeline'!$R$4:$R$503,_calc!$E$698))=0,"",INDEX('Dealer pipeline'!$R$4:$R$503,_calc!$E$698)))=0,"","Owner: "&amp;IF(LEN(INDEX('Dealer pipeline'!$R$4:$R$503,_calc!$E$698))=0,"",INDEX('Dealer pipeline'!$R$4:$R$503,_calc!$E$698))&amp;". ")&amp;IF(LEN(IF(LEN(INDEX('Dealer pipeline'!$S$4:$S$503,_calc!$E$698))=0,"",INDEX('Dealer pipeline'!$S$4:$S$503,_calc!$E$698)))=0,"","Backup: "&amp;IF(LEN(INDEX('Dealer pipeline'!$S$4:$S$503,_calc!$E$698))=0,"",INDEX('Dealer pipeline'!$S$4:$S$503,_calc!$E$698))&amp;". ")&amp;IF(LEN(IF(LEN(INDEX('Dealer pipeline'!$T$4:$T$503,_calc!$E$698))=0,"",INDEX('Dealer pipeline'!$T$4:$T$503,_calc!$E$698)))=0,"",IF(LEN(INDEX('Dealer pipeline'!$T$4:$T$503,_calc!$E$698))=0,"",INDEX('Dealer pipeline'!$T$4:$T$503,_calc!$E$698)))),TRIM(IF(LEN(IF(LEN(INDEX('My equipment'!$C$4:$C$503,(_calc!$E$698-500)))=0,"",INDEX('My equipment'!$C$4:$C$503,(_calc!$E$698-500))))=0,"","Model: "&amp;IF(LEN(INDEX('My equipment'!$C$4:$C$503,(_calc!$E$698-500)))=0,"",INDEX('My equipment'!$C$4:$C$503,(_calc!$E$698-500)))&amp;". ")&amp;IF(LEN(IF(LEN(INDEX('My equipment'!$D$4:$D$503,(_calc!$E$698-500)))=0,"",INDEX('My equipment'!$D$4:$D$503,(_calc!$E$698-500))))=0,"","Serial: "&amp;IF(LEN(INDEX('My equipment'!$D$4:$D$503,(_calc!$E$698-500)))=0,"",INDEX('My equipment'!$D$4:$D$503,(_calc!$E$698-500)))&amp;". ")&amp;IF(LEN(IF(ISNUMBER(INDEX('My equipment'!$J$4:$J$503,(_calc!$E$698-500))),TEXT(INDEX('My equipment'!$J$4:$J$503,(_calc!$E$698-500)),"yyyy-mm-dd"),""))=0,"","Parts end: "&amp;IF(ISNUMBER(INDEX('My equipment'!$J$4:$J$503,(_calc!$E$698-500))),TEXT(INDEX('My equipment'!$J$4:$J$503,(_calc!$E$698-500)),"yyyy-mm-dd"),"")&amp;". ")&amp;IF(LEN(IF(ISNUMBER(INDEX('My equipment'!$L$4:$L$503,(_calc!$E$698-500))),TEXT(INDEX('My equipment'!$L$4:$L$503,(_calc!$E$698-500)),"yyyy-mm-dd"),""))=0,"","Labor end: "&amp;IF(ISNUMBER(INDEX('My equipment'!$L$4:$L$503,(_calc!$E$698-500))),TEXT(INDEX('My equipment'!$L$4:$L$503,(_calc!$E$698-500)),"yyyy-mm-dd"),"")&amp;". ")&amp;IF(LEN(IF(ISNUMBER(INDEX('My equipment'!$P$4:$P$503,(_calc!$E$698-500))),TEXT(INDEX('My equipment'!$P$4:$P$503,(_calc!$E$698-500)),"yyyy-mm-dd"),""))=0,"","Check by: "&amp;IF(ISNUMBER(INDEX('My equipment'!$P$4:$P$503,(_calc!$E$698-500))),TEXT(INDEX('My equipment'!$P$4:$P$503,(_calc!$E$698-500)),"yyyy-mm-dd"),"")&amp;". ")&amp;IF(LEN(IF(LEN(INDEX('My equipment'!$Q$4:$Q$503,(_calc!$E$698-500)))=0,"",INDEX('My equipment'!$Q$4:$Q$503,(_calc!$E$698-500))))=0,"","Claim status: "&amp;IF(LEN(INDEX('My equipment'!$Q$4:$Q$503,(_calc!$E$698-500)))=0,"",INDEX('My equipment'!$Q$4:$Q$503,(_calc!$E$698-500)))&amp;". ")&amp;IF(LEN(IF(LEN(INDEX('My equipment'!$R$4:$R$503,(_calc!$E$698-500)))=0,"",INDEX('My equipment'!$R$4:$R$503,(_calc!$E$698-500))))=0,"","Claims contact: "&amp;IF(LEN(INDEX('My equipment'!$R$4:$R$503,(_calc!$E$698-500)))=0,"",INDEX('My equipment'!$R$4:$R$503,(_calc!$E$698-500)))&amp;". ")&amp;IF(LEN(IF(LEN(INDEX('My equipment'!$S$4:$S$503,(_calc!$E$698-500)))=0,"",INDEX('My equipment'!$S$4:$S$503,(_calc!$E$698-500))))=0,"","Claims email: "&amp;IF(LEN(INDEX('My equipment'!$S$4:$S$503,(_calc!$E$698-500)))=0,"",INDEX('My equipment'!$S$4:$S$503,(_calc!$E$698-500)))&amp;". ")&amp;IF(LEN(IF(LEN(INDEX('My equipment'!$U$4:$U$503,(_calc!$E$698-500)))=0,"",INDEX('My equipment'!$U$4:$U$503,(_calc!$E$698-500))))=0,"","Registered: "&amp;IF(LEN(INDEX('My equipment'!$U$4:$U$503,(_calc!$E$698-500)))=0,"",INDEX('My equipment'!$U$4:$U$503,(_calc!$E$698-500)))&amp;". ")&amp;IF(LEN(IF(LEN(INDEX('My equipment'!$V$4:$V$503,(_calc!$E$698-500)))=0,"",INDEX('My equipment'!$V$4:$V$503,(_calc!$E$698-500))))=0,"","Proof on file: "&amp;IF(LEN(INDEX('My equipment'!$V$4:$V$503,(_calc!$E$698-500)))=0,"",INDEX('My equipment'!$V$4:$V$503,(_calc!$E$698-500)))&amp;". ")&amp;IF(LEN(IF(LEN(INDEX('My equipment'!$W$4:$W$503,(_calc!$E$698-500)))=0,"",INDEX('My equipment'!$W$4:$W$503,(_calc!$E$698-500))))=0,"","Claim ref: "&amp;IF(LEN(INDEX('My equipment'!$W$4:$W$503,(_calc!$E$698-500)))=0,"",INDEX('My equipment'!$W$4:$W$503,(_calc!$E$698-500)))&amp;". ")&amp;IF(LEN(IF(LEN(INDEX('My equipment'!$Y$4:$Y$503,(_calc!$E$698-500)))=0,"",INDEX('My equipment'!$Y$4:$Y$503,(_calc!$E$698-500))))=0,"",IF(LEN(INDEX('My equipment'!$Y$4:$Y$503,(_calc!$E$698-500)))=0,"",INDEX('My equipment'!$Y$4:$Y$503,(_calc!$E$698-500)))))))</f>
        <v/>
      </c>
      <c r="G696" s="54">
        <f>IF(_calc!$E$698="","",IF(_calc!$E$698&lt;=500,"",IF(LEN(INDEX('My equipment'!$X$4:$X$503,(_calc!$E$698-500)))=0,"",INDEX('My equipment'!$X$4:$X$503,(_calc!$E$698-500)))))</f>
        <v/>
      </c>
      <c r="K696" s="54">
        <f>IF(_calc!$E$698="","",IF(_calc!$E$698&lt;=500,"",IF(LEN(INDEX('My equipment'!$T$4:$T$503,(_calc!$E$698-500)))=0,"",INDEX('My equipment'!$T$4:$T$503,(_calc!$E$698-500)))))</f>
        <v/>
      </c>
    </row>
    <row r="697">
      <c r="A697" s="54">
        <f>IF(_calc!$E$699="","",IF(_calc!$E$699&lt;=500,"Warranty – "&amp;IF(LEN(INDEX('Dealer pipeline'!$C$4:$C$503,_calc!$E$699))=0,"",INDEX('Dealer pipeline'!$C$4:$C$503,_calc!$E$699))&amp;" – "&amp;IF(LEN(INDEX('Dealer pipeline'!$D$4:$D$503,_calc!$E$699))=0,"",INDEX('Dealer pipeline'!$D$4:$D$503,_calc!$E$699))&amp;" – "&amp;IF(LEN(INDEX('Dealer pipeline'!$A$4:$A$503,_calc!$E$699))=0,"",INDEX('Dealer pipeline'!$A$4:$A$503,_calc!$E$699)),"Warranty – "&amp;IF(LEN(INDEX('My equipment'!$A$4:$A$503,(_calc!$E$699-500)))=0,"",INDEX('My equipment'!$A$4:$A$503,(_calc!$E$699-500)))&amp;" – "&amp;IF(LEN(INDEX('My equipment'!$D$4:$D$503,(_calc!$E$699-500)))=0,"",INDEX('My equipment'!$D$4:$D$503,(_calc!$E$699-500)))))</f>
        <v/>
      </c>
      <c r="B697" s="54">
        <f>IF(_calc!$E$699="","",IF(_calc!$E$699&lt;=500,IF(ISNUMBER(INDEX('Dealer pipeline'!$M$4:$M$503,_calc!$E$699)),TEXT(INDEX('Dealer pipeline'!$M$4:$M$503,_calc!$E$699),"yyyy-mm-dd"),""),IF(ISNUMBER(INDEX('My equipment'!$M$4:$M$503,(_calc!$E$699-500))),TEXT(INDEX('My equipment'!$M$4:$M$503,(_calc!$E$699-500)),"yyyy-mm-dd"),"")))</f>
        <v/>
      </c>
      <c r="C697" s="54">
        <f>IF(_calc!$E$699="","",IF(_calc!$E$699&lt;=500,"Warranty","Warranty"))</f>
        <v/>
      </c>
      <c r="D697" s="54">
        <f>IF(_calc!$E$699="","",IF(_calc!$E$699&lt;=500,IF(ISNUMBER(INDEX('Dealer pipeline'!$H$4:$H$503,_calc!$E$699)),TEXT(INDEX('Dealer pipeline'!$H$4:$H$503,_calc!$E$699),"yyyy-mm-dd"),""),IF(ISNUMBER(INDEX('My equipment'!$H$4:$H$503,(_calc!$E$699-500))),TEXT(INDEX('My equipment'!$H$4:$H$503,(_calc!$E$699-500)),"yyyy-mm-dd"),"")))</f>
        <v/>
      </c>
      <c r="F697" s="54">
        <f>IF(_calc!$E$699="","",IF(_calc!$E$699&lt;=500,TRIM(IF(LEN(IF(LEN(INDEX('Dealer pipeline'!$A$4:$A$503,_calc!$E$699))=0,"",INDEX('Dealer pipeline'!$A$4:$A$503,_calc!$E$699)))=0,"","Customer: "&amp;IF(LEN(INDEX('Dealer pipeline'!$A$4:$A$503,_calc!$E$699))=0,"",INDEX('Dealer pipeline'!$A$4:$A$503,_calc!$E$699))&amp;". ")&amp;IF(LEN(IF(LEN(INDEX('Dealer pipeline'!$B$4:$B$503,_calc!$E$699))=0,"",INDEX('Dealer pipeline'!$B$4:$B$503,_calc!$E$699)))=0,"","Contact: "&amp;IF(LEN(INDEX('Dealer pipeline'!$B$4:$B$503,_calc!$E$699))=0,"",INDEX('Dealer pipeline'!$B$4:$B$503,_calc!$E$699))&amp;". ")&amp;IF(LEN(IF(LEN(INDEX('Dealer pipeline'!$D$4:$D$503,_calc!$E$699))=0,"",INDEX('Dealer pipeline'!$D$4:$D$503,_calc!$E$699)))=0,"","Serial: "&amp;IF(LEN(INDEX('Dealer pipeline'!$D$4:$D$503,_calc!$E$699))=0,"",INDEX('Dealer pipeline'!$D$4:$D$503,_calc!$E$699))&amp;". ")&amp;IF(LEN(IF(ISNUMBER(INDEX('Dealer pipeline'!$J$4:$J$503,_calc!$E$699)),TEXT(INDEX('Dealer pipeline'!$J$4:$J$503,_calc!$E$699),"yyyy-mm-dd"),""))=0,"","Parts end: "&amp;IF(ISNUMBER(INDEX('Dealer pipeline'!$J$4:$J$503,_calc!$E$699)),TEXT(INDEX('Dealer pipeline'!$J$4:$J$503,_calc!$E$699),"yyyy-mm-dd"),"")&amp;". ")&amp;IF(LEN(IF(ISNUMBER(INDEX('Dealer pipeline'!$L$4:$L$503,_calc!$E$699)),TEXT(INDEX('Dealer pipeline'!$L$4:$L$503,_calc!$E$699),"yyyy-mm-dd"),""))=0,"","Labor end: "&amp;IF(ISNUMBER(INDEX('Dealer pipeline'!$L$4:$L$503,_calc!$E$699)),TEXT(INDEX('Dealer pipeline'!$L$4:$L$503,_calc!$E$699),"yyyy-mm-dd"),"")&amp;". ")&amp;IF(LEN(IF(LEN(INDEX('Dealer pipeline'!$Q$4:$Q$503,_calc!$E$699))=0,"",INDEX('Dealer pipeline'!$Q$4:$Q$503,_calc!$E$699)))=0,"","Status: "&amp;IF(LEN(INDEX('Dealer pipeline'!$Q$4:$Q$503,_calc!$E$699))=0,"",INDEX('Dealer pipeline'!$Q$4:$Q$503,_calc!$E$699))&amp;". ")&amp;IF(LEN(IF(LEN(INDEX('Dealer pipeline'!$P$4:$P$503,_calc!$E$699))=0,"",INDEX('Dealer pipeline'!$P$4:$P$503,_calc!$E$699)))=0,"","Last touch: "&amp;IF(LEN(INDEX('Dealer pipeline'!$P$4:$P$503,_calc!$E$699))=0,"",INDEX('Dealer pipeline'!$P$4:$P$503,_calc!$E$699))&amp;". ")&amp;IF(LEN(IF(LEN(INDEX('Dealer pipeline'!$R$4:$R$503,_calc!$E$699))=0,"",INDEX('Dealer pipeline'!$R$4:$R$503,_calc!$E$699)))=0,"","Owner: "&amp;IF(LEN(INDEX('Dealer pipeline'!$R$4:$R$503,_calc!$E$699))=0,"",INDEX('Dealer pipeline'!$R$4:$R$503,_calc!$E$699))&amp;". ")&amp;IF(LEN(IF(LEN(INDEX('Dealer pipeline'!$S$4:$S$503,_calc!$E$699))=0,"",INDEX('Dealer pipeline'!$S$4:$S$503,_calc!$E$699)))=0,"","Backup: "&amp;IF(LEN(INDEX('Dealer pipeline'!$S$4:$S$503,_calc!$E$699))=0,"",INDEX('Dealer pipeline'!$S$4:$S$503,_calc!$E$699))&amp;". ")&amp;IF(LEN(IF(LEN(INDEX('Dealer pipeline'!$T$4:$T$503,_calc!$E$699))=0,"",INDEX('Dealer pipeline'!$T$4:$T$503,_calc!$E$699)))=0,"",IF(LEN(INDEX('Dealer pipeline'!$T$4:$T$503,_calc!$E$699))=0,"",INDEX('Dealer pipeline'!$T$4:$T$503,_calc!$E$699)))),TRIM(IF(LEN(IF(LEN(INDEX('My equipment'!$C$4:$C$503,(_calc!$E$699-500)))=0,"",INDEX('My equipment'!$C$4:$C$503,(_calc!$E$699-500))))=0,"","Model: "&amp;IF(LEN(INDEX('My equipment'!$C$4:$C$503,(_calc!$E$699-500)))=0,"",INDEX('My equipment'!$C$4:$C$503,(_calc!$E$699-500)))&amp;". ")&amp;IF(LEN(IF(LEN(INDEX('My equipment'!$D$4:$D$503,(_calc!$E$699-500)))=0,"",INDEX('My equipment'!$D$4:$D$503,(_calc!$E$699-500))))=0,"","Serial: "&amp;IF(LEN(INDEX('My equipment'!$D$4:$D$503,(_calc!$E$699-500)))=0,"",INDEX('My equipment'!$D$4:$D$503,(_calc!$E$699-500)))&amp;". ")&amp;IF(LEN(IF(ISNUMBER(INDEX('My equipment'!$J$4:$J$503,(_calc!$E$699-500))),TEXT(INDEX('My equipment'!$J$4:$J$503,(_calc!$E$699-500)),"yyyy-mm-dd"),""))=0,"","Parts end: "&amp;IF(ISNUMBER(INDEX('My equipment'!$J$4:$J$503,(_calc!$E$699-500))),TEXT(INDEX('My equipment'!$J$4:$J$503,(_calc!$E$699-500)),"yyyy-mm-dd"),"")&amp;". ")&amp;IF(LEN(IF(ISNUMBER(INDEX('My equipment'!$L$4:$L$503,(_calc!$E$699-500))),TEXT(INDEX('My equipment'!$L$4:$L$503,(_calc!$E$699-500)),"yyyy-mm-dd"),""))=0,"","Labor end: "&amp;IF(ISNUMBER(INDEX('My equipment'!$L$4:$L$503,(_calc!$E$699-500))),TEXT(INDEX('My equipment'!$L$4:$L$503,(_calc!$E$699-500)),"yyyy-mm-dd"),"")&amp;". ")&amp;IF(LEN(IF(ISNUMBER(INDEX('My equipment'!$P$4:$P$503,(_calc!$E$699-500))),TEXT(INDEX('My equipment'!$P$4:$P$503,(_calc!$E$699-500)),"yyyy-mm-dd"),""))=0,"","Check by: "&amp;IF(ISNUMBER(INDEX('My equipment'!$P$4:$P$503,(_calc!$E$699-500))),TEXT(INDEX('My equipment'!$P$4:$P$503,(_calc!$E$699-500)),"yyyy-mm-dd"),"")&amp;". ")&amp;IF(LEN(IF(LEN(INDEX('My equipment'!$Q$4:$Q$503,(_calc!$E$699-500)))=0,"",INDEX('My equipment'!$Q$4:$Q$503,(_calc!$E$699-500))))=0,"","Claim status: "&amp;IF(LEN(INDEX('My equipment'!$Q$4:$Q$503,(_calc!$E$699-500)))=0,"",INDEX('My equipment'!$Q$4:$Q$503,(_calc!$E$699-500)))&amp;". ")&amp;IF(LEN(IF(LEN(INDEX('My equipment'!$R$4:$R$503,(_calc!$E$699-500)))=0,"",INDEX('My equipment'!$R$4:$R$503,(_calc!$E$699-500))))=0,"","Claims contact: "&amp;IF(LEN(INDEX('My equipment'!$R$4:$R$503,(_calc!$E$699-500)))=0,"",INDEX('My equipment'!$R$4:$R$503,(_calc!$E$699-500)))&amp;". ")&amp;IF(LEN(IF(LEN(INDEX('My equipment'!$S$4:$S$503,(_calc!$E$699-500)))=0,"",INDEX('My equipment'!$S$4:$S$503,(_calc!$E$699-500))))=0,"","Claims email: "&amp;IF(LEN(INDEX('My equipment'!$S$4:$S$503,(_calc!$E$699-500)))=0,"",INDEX('My equipment'!$S$4:$S$503,(_calc!$E$699-500)))&amp;". ")&amp;IF(LEN(IF(LEN(INDEX('My equipment'!$U$4:$U$503,(_calc!$E$699-500)))=0,"",INDEX('My equipment'!$U$4:$U$503,(_calc!$E$699-500))))=0,"","Registered: "&amp;IF(LEN(INDEX('My equipment'!$U$4:$U$503,(_calc!$E$699-500)))=0,"",INDEX('My equipment'!$U$4:$U$503,(_calc!$E$699-500)))&amp;". ")&amp;IF(LEN(IF(LEN(INDEX('My equipment'!$V$4:$V$503,(_calc!$E$699-500)))=0,"",INDEX('My equipment'!$V$4:$V$503,(_calc!$E$699-500))))=0,"","Proof on file: "&amp;IF(LEN(INDEX('My equipment'!$V$4:$V$503,(_calc!$E$699-500)))=0,"",INDEX('My equipment'!$V$4:$V$503,(_calc!$E$699-500)))&amp;". ")&amp;IF(LEN(IF(LEN(INDEX('My equipment'!$W$4:$W$503,(_calc!$E$699-500)))=0,"",INDEX('My equipment'!$W$4:$W$503,(_calc!$E$699-500))))=0,"","Claim ref: "&amp;IF(LEN(INDEX('My equipment'!$W$4:$W$503,(_calc!$E$699-500)))=0,"",INDEX('My equipment'!$W$4:$W$503,(_calc!$E$699-500)))&amp;". ")&amp;IF(LEN(IF(LEN(INDEX('My equipment'!$Y$4:$Y$503,(_calc!$E$699-500)))=0,"",INDEX('My equipment'!$Y$4:$Y$503,(_calc!$E$699-500))))=0,"",IF(LEN(INDEX('My equipment'!$Y$4:$Y$503,(_calc!$E$699-500)))=0,"",INDEX('My equipment'!$Y$4:$Y$503,(_calc!$E$699-500)))))))</f>
        <v/>
      </c>
      <c r="G697" s="54">
        <f>IF(_calc!$E$699="","",IF(_calc!$E$699&lt;=500,"",IF(LEN(INDEX('My equipment'!$X$4:$X$503,(_calc!$E$699-500)))=0,"",INDEX('My equipment'!$X$4:$X$503,(_calc!$E$699-500)))))</f>
        <v/>
      </c>
      <c r="K697" s="54">
        <f>IF(_calc!$E$699="","",IF(_calc!$E$699&lt;=500,"",IF(LEN(INDEX('My equipment'!$T$4:$T$503,(_calc!$E$699-500)))=0,"",INDEX('My equipment'!$T$4:$T$503,(_calc!$E$699-500)))))</f>
        <v/>
      </c>
    </row>
    <row r="698">
      <c r="A698" s="54">
        <f>IF(_calc!$E$700="","",IF(_calc!$E$700&lt;=500,"Warranty – "&amp;IF(LEN(INDEX('Dealer pipeline'!$C$4:$C$503,_calc!$E$700))=0,"",INDEX('Dealer pipeline'!$C$4:$C$503,_calc!$E$700))&amp;" – "&amp;IF(LEN(INDEX('Dealer pipeline'!$D$4:$D$503,_calc!$E$700))=0,"",INDEX('Dealer pipeline'!$D$4:$D$503,_calc!$E$700))&amp;" – "&amp;IF(LEN(INDEX('Dealer pipeline'!$A$4:$A$503,_calc!$E$700))=0,"",INDEX('Dealer pipeline'!$A$4:$A$503,_calc!$E$700)),"Warranty – "&amp;IF(LEN(INDEX('My equipment'!$A$4:$A$503,(_calc!$E$700-500)))=0,"",INDEX('My equipment'!$A$4:$A$503,(_calc!$E$700-500)))&amp;" – "&amp;IF(LEN(INDEX('My equipment'!$D$4:$D$503,(_calc!$E$700-500)))=0,"",INDEX('My equipment'!$D$4:$D$503,(_calc!$E$700-500)))))</f>
        <v/>
      </c>
      <c r="B698" s="54">
        <f>IF(_calc!$E$700="","",IF(_calc!$E$700&lt;=500,IF(ISNUMBER(INDEX('Dealer pipeline'!$M$4:$M$503,_calc!$E$700)),TEXT(INDEX('Dealer pipeline'!$M$4:$M$503,_calc!$E$700),"yyyy-mm-dd"),""),IF(ISNUMBER(INDEX('My equipment'!$M$4:$M$503,(_calc!$E$700-500))),TEXT(INDEX('My equipment'!$M$4:$M$503,(_calc!$E$700-500)),"yyyy-mm-dd"),"")))</f>
        <v/>
      </c>
      <c r="C698" s="54">
        <f>IF(_calc!$E$700="","",IF(_calc!$E$700&lt;=500,"Warranty","Warranty"))</f>
        <v/>
      </c>
      <c r="D698" s="54">
        <f>IF(_calc!$E$700="","",IF(_calc!$E$700&lt;=500,IF(ISNUMBER(INDEX('Dealer pipeline'!$H$4:$H$503,_calc!$E$700)),TEXT(INDEX('Dealer pipeline'!$H$4:$H$503,_calc!$E$700),"yyyy-mm-dd"),""),IF(ISNUMBER(INDEX('My equipment'!$H$4:$H$503,(_calc!$E$700-500))),TEXT(INDEX('My equipment'!$H$4:$H$503,(_calc!$E$700-500)),"yyyy-mm-dd"),"")))</f>
        <v/>
      </c>
      <c r="F698" s="54">
        <f>IF(_calc!$E$700="","",IF(_calc!$E$700&lt;=500,TRIM(IF(LEN(IF(LEN(INDEX('Dealer pipeline'!$A$4:$A$503,_calc!$E$700))=0,"",INDEX('Dealer pipeline'!$A$4:$A$503,_calc!$E$700)))=0,"","Customer: "&amp;IF(LEN(INDEX('Dealer pipeline'!$A$4:$A$503,_calc!$E$700))=0,"",INDEX('Dealer pipeline'!$A$4:$A$503,_calc!$E$700))&amp;". ")&amp;IF(LEN(IF(LEN(INDEX('Dealer pipeline'!$B$4:$B$503,_calc!$E$700))=0,"",INDEX('Dealer pipeline'!$B$4:$B$503,_calc!$E$700)))=0,"","Contact: "&amp;IF(LEN(INDEX('Dealer pipeline'!$B$4:$B$503,_calc!$E$700))=0,"",INDEX('Dealer pipeline'!$B$4:$B$503,_calc!$E$700))&amp;". ")&amp;IF(LEN(IF(LEN(INDEX('Dealer pipeline'!$D$4:$D$503,_calc!$E$700))=0,"",INDEX('Dealer pipeline'!$D$4:$D$503,_calc!$E$700)))=0,"","Serial: "&amp;IF(LEN(INDEX('Dealer pipeline'!$D$4:$D$503,_calc!$E$700))=0,"",INDEX('Dealer pipeline'!$D$4:$D$503,_calc!$E$700))&amp;". ")&amp;IF(LEN(IF(ISNUMBER(INDEX('Dealer pipeline'!$J$4:$J$503,_calc!$E$700)),TEXT(INDEX('Dealer pipeline'!$J$4:$J$503,_calc!$E$700),"yyyy-mm-dd"),""))=0,"","Parts end: "&amp;IF(ISNUMBER(INDEX('Dealer pipeline'!$J$4:$J$503,_calc!$E$700)),TEXT(INDEX('Dealer pipeline'!$J$4:$J$503,_calc!$E$700),"yyyy-mm-dd"),"")&amp;". ")&amp;IF(LEN(IF(ISNUMBER(INDEX('Dealer pipeline'!$L$4:$L$503,_calc!$E$700)),TEXT(INDEX('Dealer pipeline'!$L$4:$L$503,_calc!$E$700),"yyyy-mm-dd"),""))=0,"","Labor end: "&amp;IF(ISNUMBER(INDEX('Dealer pipeline'!$L$4:$L$503,_calc!$E$700)),TEXT(INDEX('Dealer pipeline'!$L$4:$L$503,_calc!$E$700),"yyyy-mm-dd"),"")&amp;". ")&amp;IF(LEN(IF(LEN(INDEX('Dealer pipeline'!$Q$4:$Q$503,_calc!$E$700))=0,"",INDEX('Dealer pipeline'!$Q$4:$Q$503,_calc!$E$700)))=0,"","Status: "&amp;IF(LEN(INDEX('Dealer pipeline'!$Q$4:$Q$503,_calc!$E$700))=0,"",INDEX('Dealer pipeline'!$Q$4:$Q$503,_calc!$E$700))&amp;". ")&amp;IF(LEN(IF(LEN(INDEX('Dealer pipeline'!$P$4:$P$503,_calc!$E$700))=0,"",INDEX('Dealer pipeline'!$P$4:$P$503,_calc!$E$700)))=0,"","Last touch: "&amp;IF(LEN(INDEX('Dealer pipeline'!$P$4:$P$503,_calc!$E$700))=0,"",INDEX('Dealer pipeline'!$P$4:$P$503,_calc!$E$700))&amp;". ")&amp;IF(LEN(IF(LEN(INDEX('Dealer pipeline'!$R$4:$R$503,_calc!$E$700))=0,"",INDEX('Dealer pipeline'!$R$4:$R$503,_calc!$E$700)))=0,"","Owner: "&amp;IF(LEN(INDEX('Dealer pipeline'!$R$4:$R$503,_calc!$E$700))=0,"",INDEX('Dealer pipeline'!$R$4:$R$503,_calc!$E$700))&amp;". ")&amp;IF(LEN(IF(LEN(INDEX('Dealer pipeline'!$S$4:$S$503,_calc!$E$700))=0,"",INDEX('Dealer pipeline'!$S$4:$S$503,_calc!$E$700)))=0,"","Backup: "&amp;IF(LEN(INDEX('Dealer pipeline'!$S$4:$S$503,_calc!$E$700))=0,"",INDEX('Dealer pipeline'!$S$4:$S$503,_calc!$E$700))&amp;". ")&amp;IF(LEN(IF(LEN(INDEX('Dealer pipeline'!$T$4:$T$503,_calc!$E$700))=0,"",INDEX('Dealer pipeline'!$T$4:$T$503,_calc!$E$700)))=0,"",IF(LEN(INDEX('Dealer pipeline'!$T$4:$T$503,_calc!$E$700))=0,"",INDEX('Dealer pipeline'!$T$4:$T$503,_calc!$E$700)))),TRIM(IF(LEN(IF(LEN(INDEX('My equipment'!$C$4:$C$503,(_calc!$E$700-500)))=0,"",INDEX('My equipment'!$C$4:$C$503,(_calc!$E$700-500))))=0,"","Model: "&amp;IF(LEN(INDEX('My equipment'!$C$4:$C$503,(_calc!$E$700-500)))=0,"",INDEX('My equipment'!$C$4:$C$503,(_calc!$E$700-500)))&amp;". ")&amp;IF(LEN(IF(LEN(INDEX('My equipment'!$D$4:$D$503,(_calc!$E$700-500)))=0,"",INDEX('My equipment'!$D$4:$D$503,(_calc!$E$700-500))))=0,"","Serial: "&amp;IF(LEN(INDEX('My equipment'!$D$4:$D$503,(_calc!$E$700-500)))=0,"",INDEX('My equipment'!$D$4:$D$503,(_calc!$E$700-500)))&amp;". ")&amp;IF(LEN(IF(ISNUMBER(INDEX('My equipment'!$J$4:$J$503,(_calc!$E$700-500))),TEXT(INDEX('My equipment'!$J$4:$J$503,(_calc!$E$700-500)),"yyyy-mm-dd"),""))=0,"","Parts end: "&amp;IF(ISNUMBER(INDEX('My equipment'!$J$4:$J$503,(_calc!$E$700-500))),TEXT(INDEX('My equipment'!$J$4:$J$503,(_calc!$E$700-500)),"yyyy-mm-dd"),"")&amp;". ")&amp;IF(LEN(IF(ISNUMBER(INDEX('My equipment'!$L$4:$L$503,(_calc!$E$700-500))),TEXT(INDEX('My equipment'!$L$4:$L$503,(_calc!$E$700-500)),"yyyy-mm-dd"),""))=0,"","Labor end: "&amp;IF(ISNUMBER(INDEX('My equipment'!$L$4:$L$503,(_calc!$E$700-500))),TEXT(INDEX('My equipment'!$L$4:$L$503,(_calc!$E$700-500)),"yyyy-mm-dd"),"")&amp;". ")&amp;IF(LEN(IF(ISNUMBER(INDEX('My equipment'!$P$4:$P$503,(_calc!$E$700-500))),TEXT(INDEX('My equipment'!$P$4:$P$503,(_calc!$E$700-500)),"yyyy-mm-dd"),""))=0,"","Check by: "&amp;IF(ISNUMBER(INDEX('My equipment'!$P$4:$P$503,(_calc!$E$700-500))),TEXT(INDEX('My equipment'!$P$4:$P$503,(_calc!$E$700-500)),"yyyy-mm-dd"),"")&amp;". ")&amp;IF(LEN(IF(LEN(INDEX('My equipment'!$Q$4:$Q$503,(_calc!$E$700-500)))=0,"",INDEX('My equipment'!$Q$4:$Q$503,(_calc!$E$700-500))))=0,"","Claim status: "&amp;IF(LEN(INDEX('My equipment'!$Q$4:$Q$503,(_calc!$E$700-500)))=0,"",INDEX('My equipment'!$Q$4:$Q$503,(_calc!$E$700-500)))&amp;". ")&amp;IF(LEN(IF(LEN(INDEX('My equipment'!$R$4:$R$503,(_calc!$E$700-500)))=0,"",INDEX('My equipment'!$R$4:$R$503,(_calc!$E$700-500))))=0,"","Claims contact: "&amp;IF(LEN(INDEX('My equipment'!$R$4:$R$503,(_calc!$E$700-500)))=0,"",INDEX('My equipment'!$R$4:$R$503,(_calc!$E$700-500)))&amp;". ")&amp;IF(LEN(IF(LEN(INDEX('My equipment'!$S$4:$S$503,(_calc!$E$700-500)))=0,"",INDEX('My equipment'!$S$4:$S$503,(_calc!$E$700-500))))=0,"","Claims email: "&amp;IF(LEN(INDEX('My equipment'!$S$4:$S$503,(_calc!$E$700-500)))=0,"",INDEX('My equipment'!$S$4:$S$503,(_calc!$E$700-500)))&amp;". ")&amp;IF(LEN(IF(LEN(INDEX('My equipment'!$U$4:$U$503,(_calc!$E$700-500)))=0,"",INDEX('My equipment'!$U$4:$U$503,(_calc!$E$700-500))))=0,"","Registered: "&amp;IF(LEN(INDEX('My equipment'!$U$4:$U$503,(_calc!$E$700-500)))=0,"",INDEX('My equipment'!$U$4:$U$503,(_calc!$E$700-500)))&amp;". ")&amp;IF(LEN(IF(LEN(INDEX('My equipment'!$V$4:$V$503,(_calc!$E$700-500)))=0,"",INDEX('My equipment'!$V$4:$V$503,(_calc!$E$700-500))))=0,"","Proof on file: "&amp;IF(LEN(INDEX('My equipment'!$V$4:$V$503,(_calc!$E$700-500)))=0,"",INDEX('My equipment'!$V$4:$V$503,(_calc!$E$700-500)))&amp;". ")&amp;IF(LEN(IF(LEN(INDEX('My equipment'!$W$4:$W$503,(_calc!$E$700-500)))=0,"",INDEX('My equipment'!$W$4:$W$503,(_calc!$E$700-500))))=0,"","Claim ref: "&amp;IF(LEN(INDEX('My equipment'!$W$4:$W$503,(_calc!$E$700-500)))=0,"",INDEX('My equipment'!$W$4:$W$503,(_calc!$E$700-500)))&amp;". ")&amp;IF(LEN(IF(LEN(INDEX('My equipment'!$Y$4:$Y$503,(_calc!$E$700-500)))=0,"",INDEX('My equipment'!$Y$4:$Y$503,(_calc!$E$700-500))))=0,"",IF(LEN(INDEX('My equipment'!$Y$4:$Y$503,(_calc!$E$700-500)))=0,"",INDEX('My equipment'!$Y$4:$Y$503,(_calc!$E$700-500)))))))</f>
        <v/>
      </c>
      <c r="G698" s="54">
        <f>IF(_calc!$E$700="","",IF(_calc!$E$700&lt;=500,"",IF(LEN(INDEX('My equipment'!$X$4:$X$503,(_calc!$E$700-500)))=0,"",INDEX('My equipment'!$X$4:$X$503,(_calc!$E$700-500)))))</f>
        <v/>
      </c>
      <c r="K698" s="54">
        <f>IF(_calc!$E$700="","",IF(_calc!$E$700&lt;=500,"",IF(LEN(INDEX('My equipment'!$T$4:$T$503,(_calc!$E$700-500)))=0,"",INDEX('My equipment'!$T$4:$T$503,(_calc!$E$700-500)))))</f>
        <v/>
      </c>
    </row>
    <row r="699">
      <c r="A699" s="54">
        <f>IF(_calc!$E$701="","",IF(_calc!$E$701&lt;=500,"Warranty – "&amp;IF(LEN(INDEX('Dealer pipeline'!$C$4:$C$503,_calc!$E$701))=0,"",INDEX('Dealer pipeline'!$C$4:$C$503,_calc!$E$701))&amp;" – "&amp;IF(LEN(INDEX('Dealer pipeline'!$D$4:$D$503,_calc!$E$701))=0,"",INDEX('Dealer pipeline'!$D$4:$D$503,_calc!$E$701))&amp;" – "&amp;IF(LEN(INDEX('Dealer pipeline'!$A$4:$A$503,_calc!$E$701))=0,"",INDEX('Dealer pipeline'!$A$4:$A$503,_calc!$E$701)),"Warranty – "&amp;IF(LEN(INDEX('My equipment'!$A$4:$A$503,(_calc!$E$701-500)))=0,"",INDEX('My equipment'!$A$4:$A$503,(_calc!$E$701-500)))&amp;" – "&amp;IF(LEN(INDEX('My equipment'!$D$4:$D$503,(_calc!$E$701-500)))=0,"",INDEX('My equipment'!$D$4:$D$503,(_calc!$E$701-500)))))</f>
        <v/>
      </c>
      <c r="B699" s="54">
        <f>IF(_calc!$E$701="","",IF(_calc!$E$701&lt;=500,IF(ISNUMBER(INDEX('Dealer pipeline'!$M$4:$M$503,_calc!$E$701)),TEXT(INDEX('Dealer pipeline'!$M$4:$M$503,_calc!$E$701),"yyyy-mm-dd"),""),IF(ISNUMBER(INDEX('My equipment'!$M$4:$M$503,(_calc!$E$701-500))),TEXT(INDEX('My equipment'!$M$4:$M$503,(_calc!$E$701-500)),"yyyy-mm-dd"),"")))</f>
        <v/>
      </c>
      <c r="C699" s="54">
        <f>IF(_calc!$E$701="","",IF(_calc!$E$701&lt;=500,"Warranty","Warranty"))</f>
        <v/>
      </c>
      <c r="D699" s="54">
        <f>IF(_calc!$E$701="","",IF(_calc!$E$701&lt;=500,IF(ISNUMBER(INDEX('Dealer pipeline'!$H$4:$H$503,_calc!$E$701)),TEXT(INDEX('Dealer pipeline'!$H$4:$H$503,_calc!$E$701),"yyyy-mm-dd"),""),IF(ISNUMBER(INDEX('My equipment'!$H$4:$H$503,(_calc!$E$701-500))),TEXT(INDEX('My equipment'!$H$4:$H$503,(_calc!$E$701-500)),"yyyy-mm-dd"),"")))</f>
        <v/>
      </c>
      <c r="F699" s="54">
        <f>IF(_calc!$E$701="","",IF(_calc!$E$701&lt;=500,TRIM(IF(LEN(IF(LEN(INDEX('Dealer pipeline'!$A$4:$A$503,_calc!$E$701))=0,"",INDEX('Dealer pipeline'!$A$4:$A$503,_calc!$E$701)))=0,"","Customer: "&amp;IF(LEN(INDEX('Dealer pipeline'!$A$4:$A$503,_calc!$E$701))=0,"",INDEX('Dealer pipeline'!$A$4:$A$503,_calc!$E$701))&amp;". ")&amp;IF(LEN(IF(LEN(INDEX('Dealer pipeline'!$B$4:$B$503,_calc!$E$701))=0,"",INDEX('Dealer pipeline'!$B$4:$B$503,_calc!$E$701)))=0,"","Contact: "&amp;IF(LEN(INDEX('Dealer pipeline'!$B$4:$B$503,_calc!$E$701))=0,"",INDEX('Dealer pipeline'!$B$4:$B$503,_calc!$E$701))&amp;". ")&amp;IF(LEN(IF(LEN(INDEX('Dealer pipeline'!$D$4:$D$503,_calc!$E$701))=0,"",INDEX('Dealer pipeline'!$D$4:$D$503,_calc!$E$701)))=0,"","Serial: "&amp;IF(LEN(INDEX('Dealer pipeline'!$D$4:$D$503,_calc!$E$701))=0,"",INDEX('Dealer pipeline'!$D$4:$D$503,_calc!$E$701))&amp;". ")&amp;IF(LEN(IF(ISNUMBER(INDEX('Dealer pipeline'!$J$4:$J$503,_calc!$E$701)),TEXT(INDEX('Dealer pipeline'!$J$4:$J$503,_calc!$E$701),"yyyy-mm-dd"),""))=0,"","Parts end: "&amp;IF(ISNUMBER(INDEX('Dealer pipeline'!$J$4:$J$503,_calc!$E$701)),TEXT(INDEX('Dealer pipeline'!$J$4:$J$503,_calc!$E$701),"yyyy-mm-dd"),"")&amp;". ")&amp;IF(LEN(IF(ISNUMBER(INDEX('Dealer pipeline'!$L$4:$L$503,_calc!$E$701)),TEXT(INDEX('Dealer pipeline'!$L$4:$L$503,_calc!$E$701),"yyyy-mm-dd"),""))=0,"","Labor end: "&amp;IF(ISNUMBER(INDEX('Dealer pipeline'!$L$4:$L$503,_calc!$E$701)),TEXT(INDEX('Dealer pipeline'!$L$4:$L$503,_calc!$E$701),"yyyy-mm-dd"),"")&amp;". ")&amp;IF(LEN(IF(LEN(INDEX('Dealer pipeline'!$Q$4:$Q$503,_calc!$E$701))=0,"",INDEX('Dealer pipeline'!$Q$4:$Q$503,_calc!$E$701)))=0,"","Status: "&amp;IF(LEN(INDEX('Dealer pipeline'!$Q$4:$Q$503,_calc!$E$701))=0,"",INDEX('Dealer pipeline'!$Q$4:$Q$503,_calc!$E$701))&amp;". ")&amp;IF(LEN(IF(LEN(INDEX('Dealer pipeline'!$P$4:$P$503,_calc!$E$701))=0,"",INDEX('Dealer pipeline'!$P$4:$P$503,_calc!$E$701)))=0,"","Last touch: "&amp;IF(LEN(INDEX('Dealer pipeline'!$P$4:$P$503,_calc!$E$701))=0,"",INDEX('Dealer pipeline'!$P$4:$P$503,_calc!$E$701))&amp;". ")&amp;IF(LEN(IF(LEN(INDEX('Dealer pipeline'!$R$4:$R$503,_calc!$E$701))=0,"",INDEX('Dealer pipeline'!$R$4:$R$503,_calc!$E$701)))=0,"","Owner: "&amp;IF(LEN(INDEX('Dealer pipeline'!$R$4:$R$503,_calc!$E$701))=0,"",INDEX('Dealer pipeline'!$R$4:$R$503,_calc!$E$701))&amp;". ")&amp;IF(LEN(IF(LEN(INDEX('Dealer pipeline'!$S$4:$S$503,_calc!$E$701))=0,"",INDEX('Dealer pipeline'!$S$4:$S$503,_calc!$E$701)))=0,"","Backup: "&amp;IF(LEN(INDEX('Dealer pipeline'!$S$4:$S$503,_calc!$E$701))=0,"",INDEX('Dealer pipeline'!$S$4:$S$503,_calc!$E$701))&amp;". ")&amp;IF(LEN(IF(LEN(INDEX('Dealer pipeline'!$T$4:$T$503,_calc!$E$701))=0,"",INDEX('Dealer pipeline'!$T$4:$T$503,_calc!$E$701)))=0,"",IF(LEN(INDEX('Dealer pipeline'!$T$4:$T$503,_calc!$E$701))=0,"",INDEX('Dealer pipeline'!$T$4:$T$503,_calc!$E$701)))),TRIM(IF(LEN(IF(LEN(INDEX('My equipment'!$C$4:$C$503,(_calc!$E$701-500)))=0,"",INDEX('My equipment'!$C$4:$C$503,(_calc!$E$701-500))))=0,"","Model: "&amp;IF(LEN(INDEX('My equipment'!$C$4:$C$503,(_calc!$E$701-500)))=0,"",INDEX('My equipment'!$C$4:$C$503,(_calc!$E$701-500)))&amp;". ")&amp;IF(LEN(IF(LEN(INDEX('My equipment'!$D$4:$D$503,(_calc!$E$701-500)))=0,"",INDEX('My equipment'!$D$4:$D$503,(_calc!$E$701-500))))=0,"","Serial: "&amp;IF(LEN(INDEX('My equipment'!$D$4:$D$503,(_calc!$E$701-500)))=0,"",INDEX('My equipment'!$D$4:$D$503,(_calc!$E$701-500)))&amp;". ")&amp;IF(LEN(IF(ISNUMBER(INDEX('My equipment'!$J$4:$J$503,(_calc!$E$701-500))),TEXT(INDEX('My equipment'!$J$4:$J$503,(_calc!$E$701-500)),"yyyy-mm-dd"),""))=0,"","Parts end: "&amp;IF(ISNUMBER(INDEX('My equipment'!$J$4:$J$503,(_calc!$E$701-500))),TEXT(INDEX('My equipment'!$J$4:$J$503,(_calc!$E$701-500)),"yyyy-mm-dd"),"")&amp;". ")&amp;IF(LEN(IF(ISNUMBER(INDEX('My equipment'!$L$4:$L$503,(_calc!$E$701-500))),TEXT(INDEX('My equipment'!$L$4:$L$503,(_calc!$E$701-500)),"yyyy-mm-dd"),""))=0,"","Labor end: "&amp;IF(ISNUMBER(INDEX('My equipment'!$L$4:$L$503,(_calc!$E$701-500))),TEXT(INDEX('My equipment'!$L$4:$L$503,(_calc!$E$701-500)),"yyyy-mm-dd"),"")&amp;". ")&amp;IF(LEN(IF(ISNUMBER(INDEX('My equipment'!$P$4:$P$503,(_calc!$E$701-500))),TEXT(INDEX('My equipment'!$P$4:$P$503,(_calc!$E$701-500)),"yyyy-mm-dd"),""))=0,"","Check by: "&amp;IF(ISNUMBER(INDEX('My equipment'!$P$4:$P$503,(_calc!$E$701-500))),TEXT(INDEX('My equipment'!$P$4:$P$503,(_calc!$E$701-500)),"yyyy-mm-dd"),"")&amp;". ")&amp;IF(LEN(IF(LEN(INDEX('My equipment'!$Q$4:$Q$503,(_calc!$E$701-500)))=0,"",INDEX('My equipment'!$Q$4:$Q$503,(_calc!$E$701-500))))=0,"","Claim status: "&amp;IF(LEN(INDEX('My equipment'!$Q$4:$Q$503,(_calc!$E$701-500)))=0,"",INDEX('My equipment'!$Q$4:$Q$503,(_calc!$E$701-500)))&amp;". ")&amp;IF(LEN(IF(LEN(INDEX('My equipment'!$R$4:$R$503,(_calc!$E$701-500)))=0,"",INDEX('My equipment'!$R$4:$R$503,(_calc!$E$701-500))))=0,"","Claims contact: "&amp;IF(LEN(INDEX('My equipment'!$R$4:$R$503,(_calc!$E$701-500)))=0,"",INDEX('My equipment'!$R$4:$R$503,(_calc!$E$701-500)))&amp;". ")&amp;IF(LEN(IF(LEN(INDEX('My equipment'!$S$4:$S$503,(_calc!$E$701-500)))=0,"",INDEX('My equipment'!$S$4:$S$503,(_calc!$E$701-500))))=0,"","Claims email: "&amp;IF(LEN(INDEX('My equipment'!$S$4:$S$503,(_calc!$E$701-500)))=0,"",INDEX('My equipment'!$S$4:$S$503,(_calc!$E$701-500)))&amp;". ")&amp;IF(LEN(IF(LEN(INDEX('My equipment'!$U$4:$U$503,(_calc!$E$701-500)))=0,"",INDEX('My equipment'!$U$4:$U$503,(_calc!$E$701-500))))=0,"","Registered: "&amp;IF(LEN(INDEX('My equipment'!$U$4:$U$503,(_calc!$E$701-500)))=0,"",INDEX('My equipment'!$U$4:$U$503,(_calc!$E$701-500)))&amp;". ")&amp;IF(LEN(IF(LEN(INDEX('My equipment'!$V$4:$V$503,(_calc!$E$701-500)))=0,"",INDEX('My equipment'!$V$4:$V$503,(_calc!$E$701-500))))=0,"","Proof on file: "&amp;IF(LEN(INDEX('My equipment'!$V$4:$V$503,(_calc!$E$701-500)))=0,"",INDEX('My equipment'!$V$4:$V$503,(_calc!$E$701-500)))&amp;". ")&amp;IF(LEN(IF(LEN(INDEX('My equipment'!$W$4:$W$503,(_calc!$E$701-500)))=0,"",INDEX('My equipment'!$W$4:$W$503,(_calc!$E$701-500))))=0,"","Claim ref: "&amp;IF(LEN(INDEX('My equipment'!$W$4:$W$503,(_calc!$E$701-500)))=0,"",INDEX('My equipment'!$W$4:$W$503,(_calc!$E$701-500)))&amp;". ")&amp;IF(LEN(IF(LEN(INDEX('My equipment'!$Y$4:$Y$503,(_calc!$E$701-500)))=0,"",INDEX('My equipment'!$Y$4:$Y$503,(_calc!$E$701-500))))=0,"",IF(LEN(INDEX('My equipment'!$Y$4:$Y$503,(_calc!$E$701-500)))=0,"",INDEX('My equipment'!$Y$4:$Y$503,(_calc!$E$701-500)))))))</f>
        <v/>
      </c>
      <c r="G699" s="54">
        <f>IF(_calc!$E$701="","",IF(_calc!$E$701&lt;=500,"",IF(LEN(INDEX('My equipment'!$X$4:$X$503,(_calc!$E$701-500)))=0,"",INDEX('My equipment'!$X$4:$X$503,(_calc!$E$701-500)))))</f>
        <v/>
      </c>
      <c r="K699" s="54">
        <f>IF(_calc!$E$701="","",IF(_calc!$E$701&lt;=500,"",IF(LEN(INDEX('My equipment'!$T$4:$T$503,(_calc!$E$701-500)))=0,"",INDEX('My equipment'!$T$4:$T$503,(_calc!$E$701-500)))))</f>
        <v/>
      </c>
    </row>
    <row r="700">
      <c r="A700" s="54">
        <f>IF(_calc!$E$702="","",IF(_calc!$E$702&lt;=500,"Warranty – "&amp;IF(LEN(INDEX('Dealer pipeline'!$C$4:$C$503,_calc!$E$702))=0,"",INDEX('Dealer pipeline'!$C$4:$C$503,_calc!$E$702))&amp;" – "&amp;IF(LEN(INDEX('Dealer pipeline'!$D$4:$D$503,_calc!$E$702))=0,"",INDEX('Dealer pipeline'!$D$4:$D$503,_calc!$E$702))&amp;" – "&amp;IF(LEN(INDEX('Dealer pipeline'!$A$4:$A$503,_calc!$E$702))=0,"",INDEX('Dealer pipeline'!$A$4:$A$503,_calc!$E$702)),"Warranty – "&amp;IF(LEN(INDEX('My equipment'!$A$4:$A$503,(_calc!$E$702-500)))=0,"",INDEX('My equipment'!$A$4:$A$503,(_calc!$E$702-500)))&amp;" – "&amp;IF(LEN(INDEX('My equipment'!$D$4:$D$503,(_calc!$E$702-500)))=0,"",INDEX('My equipment'!$D$4:$D$503,(_calc!$E$702-500)))))</f>
        <v/>
      </c>
      <c r="B700" s="54">
        <f>IF(_calc!$E$702="","",IF(_calc!$E$702&lt;=500,IF(ISNUMBER(INDEX('Dealer pipeline'!$M$4:$M$503,_calc!$E$702)),TEXT(INDEX('Dealer pipeline'!$M$4:$M$503,_calc!$E$702),"yyyy-mm-dd"),""),IF(ISNUMBER(INDEX('My equipment'!$M$4:$M$503,(_calc!$E$702-500))),TEXT(INDEX('My equipment'!$M$4:$M$503,(_calc!$E$702-500)),"yyyy-mm-dd"),"")))</f>
        <v/>
      </c>
      <c r="C700" s="54">
        <f>IF(_calc!$E$702="","",IF(_calc!$E$702&lt;=500,"Warranty","Warranty"))</f>
        <v/>
      </c>
      <c r="D700" s="54">
        <f>IF(_calc!$E$702="","",IF(_calc!$E$702&lt;=500,IF(ISNUMBER(INDEX('Dealer pipeline'!$H$4:$H$503,_calc!$E$702)),TEXT(INDEX('Dealer pipeline'!$H$4:$H$503,_calc!$E$702),"yyyy-mm-dd"),""),IF(ISNUMBER(INDEX('My equipment'!$H$4:$H$503,(_calc!$E$702-500))),TEXT(INDEX('My equipment'!$H$4:$H$503,(_calc!$E$702-500)),"yyyy-mm-dd"),"")))</f>
        <v/>
      </c>
      <c r="F700" s="54">
        <f>IF(_calc!$E$702="","",IF(_calc!$E$702&lt;=500,TRIM(IF(LEN(IF(LEN(INDEX('Dealer pipeline'!$A$4:$A$503,_calc!$E$702))=0,"",INDEX('Dealer pipeline'!$A$4:$A$503,_calc!$E$702)))=0,"","Customer: "&amp;IF(LEN(INDEX('Dealer pipeline'!$A$4:$A$503,_calc!$E$702))=0,"",INDEX('Dealer pipeline'!$A$4:$A$503,_calc!$E$702))&amp;". ")&amp;IF(LEN(IF(LEN(INDEX('Dealer pipeline'!$B$4:$B$503,_calc!$E$702))=0,"",INDEX('Dealer pipeline'!$B$4:$B$503,_calc!$E$702)))=0,"","Contact: "&amp;IF(LEN(INDEX('Dealer pipeline'!$B$4:$B$503,_calc!$E$702))=0,"",INDEX('Dealer pipeline'!$B$4:$B$503,_calc!$E$702))&amp;". ")&amp;IF(LEN(IF(LEN(INDEX('Dealer pipeline'!$D$4:$D$503,_calc!$E$702))=0,"",INDEX('Dealer pipeline'!$D$4:$D$503,_calc!$E$702)))=0,"","Serial: "&amp;IF(LEN(INDEX('Dealer pipeline'!$D$4:$D$503,_calc!$E$702))=0,"",INDEX('Dealer pipeline'!$D$4:$D$503,_calc!$E$702))&amp;". ")&amp;IF(LEN(IF(ISNUMBER(INDEX('Dealer pipeline'!$J$4:$J$503,_calc!$E$702)),TEXT(INDEX('Dealer pipeline'!$J$4:$J$503,_calc!$E$702),"yyyy-mm-dd"),""))=0,"","Parts end: "&amp;IF(ISNUMBER(INDEX('Dealer pipeline'!$J$4:$J$503,_calc!$E$702)),TEXT(INDEX('Dealer pipeline'!$J$4:$J$503,_calc!$E$702),"yyyy-mm-dd"),"")&amp;". ")&amp;IF(LEN(IF(ISNUMBER(INDEX('Dealer pipeline'!$L$4:$L$503,_calc!$E$702)),TEXT(INDEX('Dealer pipeline'!$L$4:$L$503,_calc!$E$702),"yyyy-mm-dd"),""))=0,"","Labor end: "&amp;IF(ISNUMBER(INDEX('Dealer pipeline'!$L$4:$L$503,_calc!$E$702)),TEXT(INDEX('Dealer pipeline'!$L$4:$L$503,_calc!$E$702),"yyyy-mm-dd"),"")&amp;". ")&amp;IF(LEN(IF(LEN(INDEX('Dealer pipeline'!$Q$4:$Q$503,_calc!$E$702))=0,"",INDEX('Dealer pipeline'!$Q$4:$Q$503,_calc!$E$702)))=0,"","Status: "&amp;IF(LEN(INDEX('Dealer pipeline'!$Q$4:$Q$503,_calc!$E$702))=0,"",INDEX('Dealer pipeline'!$Q$4:$Q$503,_calc!$E$702))&amp;". ")&amp;IF(LEN(IF(LEN(INDEX('Dealer pipeline'!$P$4:$P$503,_calc!$E$702))=0,"",INDEX('Dealer pipeline'!$P$4:$P$503,_calc!$E$702)))=0,"","Last touch: "&amp;IF(LEN(INDEX('Dealer pipeline'!$P$4:$P$503,_calc!$E$702))=0,"",INDEX('Dealer pipeline'!$P$4:$P$503,_calc!$E$702))&amp;". ")&amp;IF(LEN(IF(LEN(INDEX('Dealer pipeline'!$R$4:$R$503,_calc!$E$702))=0,"",INDEX('Dealer pipeline'!$R$4:$R$503,_calc!$E$702)))=0,"","Owner: "&amp;IF(LEN(INDEX('Dealer pipeline'!$R$4:$R$503,_calc!$E$702))=0,"",INDEX('Dealer pipeline'!$R$4:$R$503,_calc!$E$702))&amp;". ")&amp;IF(LEN(IF(LEN(INDEX('Dealer pipeline'!$S$4:$S$503,_calc!$E$702))=0,"",INDEX('Dealer pipeline'!$S$4:$S$503,_calc!$E$702)))=0,"","Backup: "&amp;IF(LEN(INDEX('Dealer pipeline'!$S$4:$S$503,_calc!$E$702))=0,"",INDEX('Dealer pipeline'!$S$4:$S$503,_calc!$E$702))&amp;". ")&amp;IF(LEN(IF(LEN(INDEX('Dealer pipeline'!$T$4:$T$503,_calc!$E$702))=0,"",INDEX('Dealer pipeline'!$T$4:$T$503,_calc!$E$702)))=0,"",IF(LEN(INDEX('Dealer pipeline'!$T$4:$T$503,_calc!$E$702))=0,"",INDEX('Dealer pipeline'!$T$4:$T$503,_calc!$E$702)))),TRIM(IF(LEN(IF(LEN(INDEX('My equipment'!$C$4:$C$503,(_calc!$E$702-500)))=0,"",INDEX('My equipment'!$C$4:$C$503,(_calc!$E$702-500))))=0,"","Model: "&amp;IF(LEN(INDEX('My equipment'!$C$4:$C$503,(_calc!$E$702-500)))=0,"",INDEX('My equipment'!$C$4:$C$503,(_calc!$E$702-500)))&amp;". ")&amp;IF(LEN(IF(LEN(INDEX('My equipment'!$D$4:$D$503,(_calc!$E$702-500)))=0,"",INDEX('My equipment'!$D$4:$D$503,(_calc!$E$702-500))))=0,"","Serial: "&amp;IF(LEN(INDEX('My equipment'!$D$4:$D$503,(_calc!$E$702-500)))=0,"",INDEX('My equipment'!$D$4:$D$503,(_calc!$E$702-500)))&amp;". ")&amp;IF(LEN(IF(ISNUMBER(INDEX('My equipment'!$J$4:$J$503,(_calc!$E$702-500))),TEXT(INDEX('My equipment'!$J$4:$J$503,(_calc!$E$702-500)),"yyyy-mm-dd"),""))=0,"","Parts end: "&amp;IF(ISNUMBER(INDEX('My equipment'!$J$4:$J$503,(_calc!$E$702-500))),TEXT(INDEX('My equipment'!$J$4:$J$503,(_calc!$E$702-500)),"yyyy-mm-dd"),"")&amp;". ")&amp;IF(LEN(IF(ISNUMBER(INDEX('My equipment'!$L$4:$L$503,(_calc!$E$702-500))),TEXT(INDEX('My equipment'!$L$4:$L$503,(_calc!$E$702-500)),"yyyy-mm-dd"),""))=0,"","Labor end: "&amp;IF(ISNUMBER(INDEX('My equipment'!$L$4:$L$503,(_calc!$E$702-500))),TEXT(INDEX('My equipment'!$L$4:$L$503,(_calc!$E$702-500)),"yyyy-mm-dd"),"")&amp;". ")&amp;IF(LEN(IF(ISNUMBER(INDEX('My equipment'!$P$4:$P$503,(_calc!$E$702-500))),TEXT(INDEX('My equipment'!$P$4:$P$503,(_calc!$E$702-500)),"yyyy-mm-dd"),""))=0,"","Check by: "&amp;IF(ISNUMBER(INDEX('My equipment'!$P$4:$P$503,(_calc!$E$702-500))),TEXT(INDEX('My equipment'!$P$4:$P$503,(_calc!$E$702-500)),"yyyy-mm-dd"),"")&amp;". ")&amp;IF(LEN(IF(LEN(INDEX('My equipment'!$Q$4:$Q$503,(_calc!$E$702-500)))=0,"",INDEX('My equipment'!$Q$4:$Q$503,(_calc!$E$702-500))))=0,"","Claim status: "&amp;IF(LEN(INDEX('My equipment'!$Q$4:$Q$503,(_calc!$E$702-500)))=0,"",INDEX('My equipment'!$Q$4:$Q$503,(_calc!$E$702-500)))&amp;". ")&amp;IF(LEN(IF(LEN(INDEX('My equipment'!$R$4:$R$503,(_calc!$E$702-500)))=0,"",INDEX('My equipment'!$R$4:$R$503,(_calc!$E$702-500))))=0,"","Claims contact: "&amp;IF(LEN(INDEX('My equipment'!$R$4:$R$503,(_calc!$E$702-500)))=0,"",INDEX('My equipment'!$R$4:$R$503,(_calc!$E$702-500)))&amp;". ")&amp;IF(LEN(IF(LEN(INDEX('My equipment'!$S$4:$S$503,(_calc!$E$702-500)))=0,"",INDEX('My equipment'!$S$4:$S$503,(_calc!$E$702-500))))=0,"","Claims email: "&amp;IF(LEN(INDEX('My equipment'!$S$4:$S$503,(_calc!$E$702-500)))=0,"",INDEX('My equipment'!$S$4:$S$503,(_calc!$E$702-500)))&amp;". ")&amp;IF(LEN(IF(LEN(INDEX('My equipment'!$U$4:$U$503,(_calc!$E$702-500)))=0,"",INDEX('My equipment'!$U$4:$U$503,(_calc!$E$702-500))))=0,"","Registered: "&amp;IF(LEN(INDEX('My equipment'!$U$4:$U$503,(_calc!$E$702-500)))=0,"",INDEX('My equipment'!$U$4:$U$503,(_calc!$E$702-500)))&amp;". ")&amp;IF(LEN(IF(LEN(INDEX('My equipment'!$V$4:$V$503,(_calc!$E$702-500)))=0,"",INDEX('My equipment'!$V$4:$V$503,(_calc!$E$702-500))))=0,"","Proof on file: "&amp;IF(LEN(INDEX('My equipment'!$V$4:$V$503,(_calc!$E$702-500)))=0,"",INDEX('My equipment'!$V$4:$V$503,(_calc!$E$702-500)))&amp;". ")&amp;IF(LEN(IF(LEN(INDEX('My equipment'!$W$4:$W$503,(_calc!$E$702-500)))=0,"",INDEX('My equipment'!$W$4:$W$503,(_calc!$E$702-500))))=0,"","Claim ref: "&amp;IF(LEN(INDEX('My equipment'!$W$4:$W$503,(_calc!$E$702-500)))=0,"",INDEX('My equipment'!$W$4:$W$503,(_calc!$E$702-500)))&amp;". ")&amp;IF(LEN(IF(LEN(INDEX('My equipment'!$Y$4:$Y$503,(_calc!$E$702-500)))=0,"",INDEX('My equipment'!$Y$4:$Y$503,(_calc!$E$702-500))))=0,"",IF(LEN(INDEX('My equipment'!$Y$4:$Y$503,(_calc!$E$702-500)))=0,"",INDEX('My equipment'!$Y$4:$Y$503,(_calc!$E$702-500)))))))</f>
        <v/>
      </c>
      <c r="G700" s="54">
        <f>IF(_calc!$E$702="","",IF(_calc!$E$702&lt;=500,"",IF(LEN(INDEX('My equipment'!$X$4:$X$503,(_calc!$E$702-500)))=0,"",INDEX('My equipment'!$X$4:$X$503,(_calc!$E$702-500)))))</f>
        <v/>
      </c>
      <c r="K700" s="54">
        <f>IF(_calc!$E$702="","",IF(_calc!$E$702&lt;=500,"",IF(LEN(INDEX('My equipment'!$T$4:$T$503,(_calc!$E$702-500)))=0,"",INDEX('My equipment'!$T$4:$T$503,(_calc!$E$702-500)))))</f>
        <v/>
      </c>
    </row>
    <row r="701">
      <c r="A701" s="54">
        <f>IF(_calc!$E$703="","",IF(_calc!$E$703&lt;=500,"Warranty – "&amp;IF(LEN(INDEX('Dealer pipeline'!$C$4:$C$503,_calc!$E$703))=0,"",INDEX('Dealer pipeline'!$C$4:$C$503,_calc!$E$703))&amp;" – "&amp;IF(LEN(INDEX('Dealer pipeline'!$D$4:$D$503,_calc!$E$703))=0,"",INDEX('Dealer pipeline'!$D$4:$D$503,_calc!$E$703))&amp;" – "&amp;IF(LEN(INDEX('Dealer pipeline'!$A$4:$A$503,_calc!$E$703))=0,"",INDEX('Dealer pipeline'!$A$4:$A$503,_calc!$E$703)),"Warranty – "&amp;IF(LEN(INDEX('My equipment'!$A$4:$A$503,(_calc!$E$703-500)))=0,"",INDEX('My equipment'!$A$4:$A$503,(_calc!$E$703-500)))&amp;" – "&amp;IF(LEN(INDEX('My equipment'!$D$4:$D$503,(_calc!$E$703-500)))=0,"",INDEX('My equipment'!$D$4:$D$503,(_calc!$E$703-500)))))</f>
        <v/>
      </c>
      <c r="B701" s="54">
        <f>IF(_calc!$E$703="","",IF(_calc!$E$703&lt;=500,IF(ISNUMBER(INDEX('Dealer pipeline'!$M$4:$M$503,_calc!$E$703)),TEXT(INDEX('Dealer pipeline'!$M$4:$M$503,_calc!$E$703),"yyyy-mm-dd"),""),IF(ISNUMBER(INDEX('My equipment'!$M$4:$M$503,(_calc!$E$703-500))),TEXT(INDEX('My equipment'!$M$4:$M$503,(_calc!$E$703-500)),"yyyy-mm-dd"),"")))</f>
        <v/>
      </c>
      <c r="C701" s="54">
        <f>IF(_calc!$E$703="","",IF(_calc!$E$703&lt;=500,"Warranty","Warranty"))</f>
        <v/>
      </c>
      <c r="D701" s="54">
        <f>IF(_calc!$E$703="","",IF(_calc!$E$703&lt;=500,IF(ISNUMBER(INDEX('Dealer pipeline'!$H$4:$H$503,_calc!$E$703)),TEXT(INDEX('Dealer pipeline'!$H$4:$H$503,_calc!$E$703),"yyyy-mm-dd"),""),IF(ISNUMBER(INDEX('My equipment'!$H$4:$H$503,(_calc!$E$703-500))),TEXT(INDEX('My equipment'!$H$4:$H$503,(_calc!$E$703-500)),"yyyy-mm-dd"),"")))</f>
        <v/>
      </c>
      <c r="F701" s="54">
        <f>IF(_calc!$E$703="","",IF(_calc!$E$703&lt;=500,TRIM(IF(LEN(IF(LEN(INDEX('Dealer pipeline'!$A$4:$A$503,_calc!$E$703))=0,"",INDEX('Dealer pipeline'!$A$4:$A$503,_calc!$E$703)))=0,"","Customer: "&amp;IF(LEN(INDEX('Dealer pipeline'!$A$4:$A$503,_calc!$E$703))=0,"",INDEX('Dealer pipeline'!$A$4:$A$503,_calc!$E$703))&amp;". ")&amp;IF(LEN(IF(LEN(INDEX('Dealer pipeline'!$B$4:$B$503,_calc!$E$703))=0,"",INDEX('Dealer pipeline'!$B$4:$B$503,_calc!$E$703)))=0,"","Contact: "&amp;IF(LEN(INDEX('Dealer pipeline'!$B$4:$B$503,_calc!$E$703))=0,"",INDEX('Dealer pipeline'!$B$4:$B$503,_calc!$E$703))&amp;". ")&amp;IF(LEN(IF(LEN(INDEX('Dealer pipeline'!$D$4:$D$503,_calc!$E$703))=0,"",INDEX('Dealer pipeline'!$D$4:$D$503,_calc!$E$703)))=0,"","Serial: "&amp;IF(LEN(INDEX('Dealer pipeline'!$D$4:$D$503,_calc!$E$703))=0,"",INDEX('Dealer pipeline'!$D$4:$D$503,_calc!$E$703))&amp;". ")&amp;IF(LEN(IF(ISNUMBER(INDEX('Dealer pipeline'!$J$4:$J$503,_calc!$E$703)),TEXT(INDEX('Dealer pipeline'!$J$4:$J$503,_calc!$E$703),"yyyy-mm-dd"),""))=0,"","Parts end: "&amp;IF(ISNUMBER(INDEX('Dealer pipeline'!$J$4:$J$503,_calc!$E$703)),TEXT(INDEX('Dealer pipeline'!$J$4:$J$503,_calc!$E$703),"yyyy-mm-dd"),"")&amp;". ")&amp;IF(LEN(IF(ISNUMBER(INDEX('Dealer pipeline'!$L$4:$L$503,_calc!$E$703)),TEXT(INDEX('Dealer pipeline'!$L$4:$L$503,_calc!$E$703),"yyyy-mm-dd"),""))=0,"","Labor end: "&amp;IF(ISNUMBER(INDEX('Dealer pipeline'!$L$4:$L$503,_calc!$E$703)),TEXT(INDEX('Dealer pipeline'!$L$4:$L$503,_calc!$E$703),"yyyy-mm-dd"),"")&amp;". ")&amp;IF(LEN(IF(LEN(INDEX('Dealer pipeline'!$Q$4:$Q$503,_calc!$E$703))=0,"",INDEX('Dealer pipeline'!$Q$4:$Q$503,_calc!$E$703)))=0,"","Status: "&amp;IF(LEN(INDEX('Dealer pipeline'!$Q$4:$Q$503,_calc!$E$703))=0,"",INDEX('Dealer pipeline'!$Q$4:$Q$503,_calc!$E$703))&amp;". ")&amp;IF(LEN(IF(LEN(INDEX('Dealer pipeline'!$P$4:$P$503,_calc!$E$703))=0,"",INDEX('Dealer pipeline'!$P$4:$P$503,_calc!$E$703)))=0,"","Last touch: "&amp;IF(LEN(INDEX('Dealer pipeline'!$P$4:$P$503,_calc!$E$703))=0,"",INDEX('Dealer pipeline'!$P$4:$P$503,_calc!$E$703))&amp;". ")&amp;IF(LEN(IF(LEN(INDEX('Dealer pipeline'!$R$4:$R$503,_calc!$E$703))=0,"",INDEX('Dealer pipeline'!$R$4:$R$503,_calc!$E$703)))=0,"","Owner: "&amp;IF(LEN(INDEX('Dealer pipeline'!$R$4:$R$503,_calc!$E$703))=0,"",INDEX('Dealer pipeline'!$R$4:$R$503,_calc!$E$703))&amp;". ")&amp;IF(LEN(IF(LEN(INDEX('Dealer pipeline'!$S$4:$S$503,_calc!$E$703))=0,"",INDEX('Dealer pipeline'!$S$4:$S$503,_calc!$E$703)))=0,"","Backup: "&amp;IF(LEN(INDEX('Dealer pipeline'!$S$4:$S$503,_calc!$E$703))=0,"",INDEX('Dealer pipeline'!$S$4:$S$503,_calc!$E$703))&amp;". ")&amp;IF(LEN(IF(LEN(INDEX('Dealer pipeline'!$T$4:$T$503,_calc!$E$703))=0,"",INDEX('Dealer pipeline'!$T$4:$T$503,_calc!$E$703)))=0,"",IF(LEN(INDEX('Dealer pipeline'!$T$4:$T$503,_calc!$E$703))=0,"",INDEX('Dealer pipeline'!$T$4:$T$503,_calc!$E$703)))),TRIM(IF(LEN(IF(LEN(INDEX('My equipment'!$C$4:$C$503,(_calc!$E$703-500)))=0,"",INDEX('My equipment'!$C$4:$C$503,(_calc!$E$703-500))))=0,"","Model: "&amp;IF(LEN(INDEX('My equipment'!$C$4:$C$503,(_calc!$E$703-500)))=0,"",INDEX('My equipment'!$C$4:$C$503,(_calc!$E$703-500)))&amp;". ")&amp;IF(LEN(IF(LEN(INDEX('My equipment'!$D$4:$D$503,(_calc!$E$703-500)))=0,"",INDEX('My equipment'!$D$4:$D$503,(_calc!$E$703-500))))=0,"","Serial: "&amp;IF(LEN(INDEX('My equipment'!$D$4:$D$503,(_calc!$E$703-500)))=0,"",INDEX('My equipment'!$D$4:$D$503,(_calc!$E$703-500)))&amp;". ")&amp;IF(LEN(IF(ISNUMBER(INDEX('My equipment'!$J$4:$J$503,(_calc!$E$703-500))),TEXT(INDEX('My equipment'!$J$4:$J$503,(_calc!$E$703-500)),"yyyy-mm-dd"),""))=0,"","Parts end: "&amp;IF(ISNUMBER(INDEX('My equipment'!$J$4:$J$503,(_calc!$E$703-500))),TEXT(INDEX('My equipment'!$J$4:$J$503,(_calc!$E$703-500)),"yyyy-mm-dd"),"")&amp;". ")&amp;IF(LEN(IF(ISNUMBER(INDEX('My equipment'!$L$4:$L$503,(_calc!$E$703-500))),TEXT(INDEX('My equipment'!$L$4:$L$503,(_calc!$E$703-500)),"yyyy-mm-dd"),""))=0,"","Labor end: "&amp;IF(ISNUMBER(INDEX('My equipment'!$L$4:$L$503,(_calc!$E$703-500))),TEXT(INDEX('My equipment'!$L$4:$L$503,(_calc!$E$703-500)),"yyyy-mm-dd"),"")&amp;". ")&amp;IF(LEN(IF(ISNUMBER(INDEX('My equipment'!$P$4:$P$503,(_calc!$E$703-500))),TEXT(INDEX('My equipment'!$P$4:$P$503,(_calc!$E$703-500)),"yyyy-mm-dd"),""))=0,"","Check by: "&amp;IF(ISNUMBER(INDEX('My equipment'!$P$4:$P$503,(_calc!$E$703-500))),TEXT(INDEX('My equipment'!$P$4:$P$503,(_calc!$E$703-500)),"yyyy-mm-dd"),"")&amp;". ")&amp;IF(LEN(IF(LEN(INDEX('My equipment'!$Q$4:$Q$503,(_calc!$E$703-500)))=0,"",INDEX('My equipment'!$Q$4:$Q$503,(_calc!$E$703-500))))=0,"","Claim status: "&amp;IF(LEN(INDEX('My equipment'!$Q$4:$Q$503,(_calc!$E$703-500)))=0,"",INDEX('My equipment'!$Q$4:$Q$503,(_calc!$E$703-500)))&amp;". ")&amp;IF(LEN(IF(LEN(INDEX('My equipment'!$R$4:$R$503,(_calc!$E$703-500)))=0,"",INDEX('My equipment'!$R$4:$R$503,(_calc!$E$703-500))))=0,"","Claims contact: "&amp;IF(LEN(INDEX('My equipment'!$R$4:$R$503,(_calc!$E$703-500)))=0,"",INDEX('My equipment'!$R$4:$R$503,(_calc!$E$703-500)))&amp;". ")&amp;IF(LEN(IF(LEN(INDEX('My equipment'!$S$4:$S$503,(_calc!$E$703-500)))=0,"",INDEX('My equipment'!$S$4:$S$503,(_calc!$E$703-500))))=0,"","Claims email: "&amp;IF(LEN(INDEX('My equipment'!$S$4:$S$503,(_calc!$E$703-500)))=0,"",INDEX('My equipment'!$S$4:$S$503,(_calc!$E$703-500)))&amp;". ")&amp;IF(LEN(IF(LEN(INDEX('My equipment'!$U$4:$U$503,(_calc!$E$703-500)))=0,"",INDEX('My equipment'!$U$4:$U$503,(_calc!$E$703-500))))=0,"","Registered: "&amp;IF(LEN(INDEX('My equipment'!$U$4:$U$503,(_calc!$E$703-500)))=0,"",INDEX('My equipment'!$U$4:$U$503,(_calc!$E$703-500)))&amp;". ")&amp;IF(LEN(IF(LEN(INDEX('My equipment'!$V$4:$V$503,(_calc!$E$703-500)))=0,"",INDEX('My equipment'!$V$4:$V$503,(_calc!$E$703-500))))=0,"","Proof on file: "&amp;IF(LEN(INDEX('My equipment'!$V$4:$V$503,(_calc!$E$703-500)))=0,"",INDEX('My equipment'!$V$4:$V$503,(_calc!$E$703-500)))&amp;". ")&amp;IF(LEN(IF(LEN(INDEX('My equipment'!$W$4:$W$503,(_calc!$E$703-500)))=0,"",INDEX('My equipment'!$W$4:$W$503,(_calc!$E$703-500))))=0,"","Claim ref: "&amp;IF(LEN(INDEX('My equipment'!$W$4:$W$503,(_calc!$E$703-500)))=0,"",INDEX('My equipment'!$W$4:$W$503,(_calc!$E$703-500)))&amp;". ")&amp;IF(LEN(IF(LEN(INDEX('My equipment'!$Y$4:$Y$503,(_calc!$E$703-500)))=0,"",INDEX('My equipment'!$Y$4:$Y$503,(_calc!$E$703-500))))=0,"",IF(LEN(INDEX('My equipment'!$Y$4:$Y$503,(_calc!$E$703-500)))=0,"",INDEX('My equipment'!$Y$4:$Y$503,(_calc!$E$703-500)))))))</f>
        <v/>
      </c>
      <c r="G701" s="54">
        <f>IF(_calc!$E$703="","",IF(_calc!$E$703&lt;=500,"",IF(LEN(INDEX('My equipment'!$X$4:$X$503,(_calc!$E$703-500)))=0,"",INDEX('My equipment'!$X$4:$X$503,(_calc!$E$703-500)))))</f>
        <v/>
      </c>
      <c r="K701" s="54">
        <f>IF(_calc!$E$703="","",IF(_calc!$E$703&lt;=500,"",IF(LEN(INDEX('My equipment'!$T$4:$T$503,(_calc!$E$703-500)))=0,"",INDEX('My equipment'!$T$4:$T$503,(_calc!$E$703-500)))))</f>
        <v/>
      </c>
    </row>
    <row r="702">
      <c r="A702" s="54">
        <f>IF(_calc!$E$704="","",IF(_calc!$E$704&lt;=500,"Warranty – "&amp;IF(LEN(INDEX('Dealer pipeline'!$C$4:$C$503,_calc!$E$704))=0,"",INDEX('Dealer pipeline'!$C$4:$C$503,_calc!$E$704))&amp;" – "&amp;IF(LEN(INDEX('Dealer pipeline'!$D$4:$D$503,_calc!$E$704))=0,"",INDEX('Dealer pipeline'!$D$4:$D$503,_calc!$E$704))&amp;" – "&amp;IF(LEN(INDEX('Dealer pipeline'!$A$4:$A$503,_calc!$E$704))=0,"",INDEX('Dealer pipeline'!$A$4:$A$503,_calc!$E$704)),"Warranty – "&amp;IF(LEN(INDEX('My equipment'!$A$4:$A$503,(_calc!$E$704-500)))=0,"",INDEX('My equipment'!$A$4:$A$503,(_calc!$E$704-500)))&amp;" – "&amp;IF(LEN(INDEX('My equipment'!$D$4:$D$503,(_calc!$E$704-500)))=0,"",INDEX('My equipment'!$D$4:$D$503,(_calc!$E$704-500)))))</f>
        <v/>
      </c>
      <c r="B702" s="54">
        <f>IF(_calc!$E$704="","",IF(_calc!$E$704&lt;=500,IF(ISNUMBER(INDEX('Dealer pipeline'!$M$4:$M$503,_calc!$E$704)),TEXT(INDEX('Dealer pipeline'!$M$4:$M$503,_calc!$E$704),"yyyy-mm-dd"),""),IF(ISNUMBER(INDEX('My equipment'!$M$4:$M$503,(_calc!$E$704-500))),TEXT(INDEX('My equipment'!$M$4:$M$503,(_calc!$E$704-500)),"yyyy-mm-dd"),"")))</f>
        <v/>
      </c>
      <c r="C702" s="54">
        <f>IF(_calc!$E$704="","",IF(_calc!$E$704&lt;=500,"Warranty","Warranty"))</f>
        <v/>
      </c>
      <c r="D702" s="54">
        <f>IF(_calc!$E$704="","",IF(_calc!$E$704&lt;=500,IF(ISNUMBER(INDEX('Dealer pipeline'!$H$4:$H$503,_calc!$E$704)),TEXT(INDEX('Dealer pipeline'!$H$4:$H$503,_calc!$E$704),"yyyy-mm-dd"),""),IF(ISNUMBER(INDEX('My equipment'!$H$4:$H$503,(_calc!$E$704-500))),TEXT(INDEX('My equipment'!$H$4:$H$503,(_calc!$E$704-500)),"yyyy-mm-dd"),"")))</f>
        <v/>
      </c>
      <c r="F702" s="54">
        <f>IF(_calc!$E$704="","",IF(_calc!$E$704&lt;=500,TRIM(IF(LEN(IF(LEN(INDEX('Dealer pipeline'!$A$4:$A$503,_calc!$E$704))=0,"",INDEX('Dealer pipeline'!$A$4:$A$503,_calc!$E$704)))=0,"","Customer: "&amp;IF(LEN(INDEX('Dealer pipeline'!$A$4:$A$503,_calc!$E$704))=0,"",INDEX('Dealer pipeline'!$A$4:$A$503,_calc!$E$704))&amp;". ")&amp;IF(LEN(IF(LEN(INDEX('Dealer pipeline'!$B$4:$B$503,_calc!$E$704))=0,"",INDEX('Dealer pipeline'!$B$4:$B$503,_calc!$E$704)))=0,"","Contact: "&amp;IF(LEN(INDEX('Dealer pipeline'!$B$4:$B$503,_calc!$E$704))=0,"",INDEX('Dealer pipeline'!$B$4:$B$503,_calc!$E$704))&amp;". ")&amp;IF(LEN(IF(LEN(INDEX('Dealer pipeline'!$D$4:$D$503,_calc!$E$704))=0,"",INDEX('Dealer pipeline'!$D$4:$D$503,_calc!$E$704)))=0,"","Serial: "&amp;IF(LEN(INDEX('Dealer pipeline'!$D$4:$D$503,_calc!$E$704))=0,"",INDEX('Dealer pipeline'!$D$4:$D$503,_calc!$E$704))&amp;". ")&amp;IF(LEN(IF(ISNUMBER(INDEX('Dealer pipeline'!$J$4:$J$503,_calc!$E$704)),TEXT(INDEX('Dealer pipeline'!$J$4:$J$503,_calc!$E$704),"yyyy-mm-dd"),""))=0,"","Parts end: "&amp;IF(ISNUMBER(INDEX('Dealer pipeline'!$J$4:$J$503,_calc!$E$704)),TEXT(INDEX('Dealer pipeline'!$J$4:$J$503,_calc!$E$704),"yyyy-mm-dd"),"")&amp;". ")&amp;IF(LEN(IF(ISNUMBER(INDEX('Dealer pipeline'!$L$4:$L$503,_calc!$E$704)),TEXT(INDEX('Dealer pipeline'!$L$4:$L$503,_calc!$E$704),"yyyy-mm-dd"),""))=0,"","Labor end: "&amp;IF(ISNUMBER(INDEX('Dealer pipeline'!$L$4:$L$503,_calc!$E$704)),TEXT(INDEX('Dealer pipeline'!$L$4:$L$503,_calc!$E$704),"yyyy-mm-dd"),"")&amp;". ")&amp;IF(LEN(IF(LEN(INDEX('Dealer pipeline'!$Q$4:$Q$503,_calc!$E$704))=0,"",INDEX('Dealer pipeline'!$Q$4:$Q$503,_calc!$E$704)))=0,"","Status: "&amp;IF(LEN(INDEX('Dealer pipeline'!$Q$4:$Q$503,_calc!$E$704))=0,"",INDEX('Dealer pipeline'!$Q$4:$Q$503,_calc!$E$704))&amp;". ")&amp;IF(LEN(IF(LEN(INDEX('Dealer pipeline'!$P$4:$P$503,_calc!$E$704))=0,"",INDEX('Dealer pipeline'!$P$4:$P$503,_calc!$E$704)))=0,"","Last touch: "&amp;IF(LEN(INDEX('Dealer pipeline'!$P$4:$P$503,_calc!$E$704))=0,"",INDEX('Dealer pipeline'!$P$4:$P$503,_calc!$E$704))&amp;". ")&amp;IF(LEN(IF(LEN(INDEX('Dealer pipeline'!$R$4:$R$503,_calc!$E$704))=0,"",INDEX('Dealer pipeline'!$R$4:$R$503,_calc!$E$704)))=0,"","Owner: "&amp;IF(LEN(INDEX('Dealer pipeline'!$R$4:$R$503,_calc!$E$704))=0,"",INDEX('Dealer pipeline'!$R$4:$R$503,_calc!$E$704))&amp;". ")&amp;IF(LEN(IF(LEN(INDEX('Dealer pipeline'!$S$4:$S$503,_calc!$E$704))=0,"",INDEX('Dealer pipeline'!$S$4:$S$503,_calc!$E$704)))=0,"","Backup: "&amp;IF(LEN(INDEX('Dealer pipeline'!$S$4:$S$503,_calc!$E$704))=0,"",INDEX('Dealer pipeline'!$S$4:$S$503,_calc!$E$704))&amp;". ")&amp;IF(LEN(IF(LEN(INDEX('Dealer pipeline'!$T$4:$T$503,_calc!$E$704))=0,"",INDEX('Dealer pipeline'!$T$4:$T$503,_calc!$E$704)))=0,"",IF(LEN(INDEX('Dealer pipeline'!$T$4:$T$503,_calc!$E$704))=0,"",INDEX('Dealer pipeline'!$T$4:$T$503,_calc!$E$704)))),TRIM(IF(LEN(IF(LEN(INDEX('My equipment'!$C$4:$C$503,(_calc!$E$704-500)))=0,"",INDEX('My equipment'!$C$4:$C$503,(_calc!$E$704-500))))=0,"","Model: "&amp;IF(LEN(INDEX('My equipment'!$C$4:$C$503,(_calc!$E$704-500)))=0,"",INDEX('My equipment'!$C$4:$C$503,(_calc!$E$704-500)))&amp;". ")&amp;IF(LEN(IF(LEN(INDEX('My equipment'!$D$4:$D$503,(_calc!$E$704-500)))=0,"",INDEX('My equipment'!$D$4:$D$503,(_calc!$E$704-500))))=0,"","Serial: "&amp;IF(LEN(INDEX('My equipment'!$D$4:$D$503,(_calc!$E$704-500)))=0,"",INDEX('My equipment'!$D$4:$D$503,(_calc!$E$704-500)))&amp;". ")&amp;IF(LEN(IF(ISNUMBER(INDEX('My equipment'!$J$4:$J$503,(_calc!$E$704-500))),TEXT(INDEX('My equipment'!$J$4:$J$503,(_calc!$E$704-500)),"yyyy-mm-dd"),""))=0,"","Parts end: "&amp;IF(ISNUMBER(INDEX('My equipment'!$J$4:$J$503,(_calc!$E$704-500))),TEXT(INDEX('My equipment'!$J$4:$J$503,(_calc!$E$704-500)),"yyyy-mm-dd"),"")&amp;". ")&amp;IF(LEN(IF(ISNUMBER(INDEX('My equipment'!$L$4:$L$503,(_calc!$E$704-500))),TEXT(INDEX('My equipment'!$L$4:$L$503,(_calc!$E$704-500)),"yyyy-mm-dd"),""))=0,"","Labor end: "&amp;IF(ISNUMBER(INDEX('My equipment'!$L$4:$L$503,(_calc!$E$704-500))),TEXT(INDEX('My equipment'!$L$4:$L$503,(_calc!$E$704-500)),"yyyy-mm-dd"),"")&amp;". ")&amp;IF(LEN(IF(ISNUMBER(INDEX('My equipment'!$P$4:$P$503,(_calc!$E$704-500))),TEXT(INDEX('My equipment'!$P$4:$P$503,(_calc!$E$704-500)),"yyyy-mm-dd"),""))=0,"","Check by: "&amp;IF(ISNUMBER(INDEX('My equipment'!$P$4:$P$503,(_calc!$E$704-500))),TEXT(INDEX('My equipment'!$P$4:$P$503,(_calc!$E$704-500)),"yyyy-mm-dd"),"")&amp;". ")&amp;IF(LEN(IF(LEN(INDEX('My equipment'!$Q$4:$Q$503,(_calc!$E$704-500)))=0,"",INDEX('My equipment'!$Q$4:$Q$503,(_calc!$E$704-500))))=0,"","Claim status: "&amp;IF(LEN(INDEX('My equipment'!$Q$4:$Q$503,(_calc!$E$704-500)))=0,"",INDEX('My equipment'!$Q$4:$Q$503,(_calc!$E$704-500)))&amp;". ")&amp;IF(LEN(IF(LEN(INDEX('My equipment'!$R$4:$R$503,(_calc!$E$704-500)))=0,"",INDEX('My equipment'!$R$4:$R$503,(_calc!$E$704-500))))=0,"","Claims contact: "&amp;IF(LEN(INDEX('My equipment'!$R$4:$R$503,(_calc!$E$704-500)))=0,"",INDEX('My equipment'!$R$4:$R$503,(_calc!$E$704-500)))&amp;". ")&amp;IF(LEN(IF(LEN(INDEX('My equipment'!$S$4:$S$503,(_calc!$E$704-500)))=0,"",INDEX('My equipment'!$S$4:$S$503,(_calc!$E$704-500))))=0,"","Claims email: "&amp;IF(LEN(INDEX('My equipment'!$S$4:$S$503,(_calc!$E$704-500)))=0,"",INDEX('My equipment'!$S$4:$S$503,(_calc!$E$704-500)))&amp;". ")&amp;IF(LEN(IF(LEN(INDEX('My equipment'!$U$4:$U$503,(_calc!$E$704-500)))=0,"",INDEX('My equipment'!$U$4:$U$503,(_calc!$E$704-500))))=0,"","Registered: "&amp;IF(LEN(INDEX('My equipment'!$U$4:$U$503,(_calc!$E$704-500)))=0,"",INDEX('My equipment'!$U$4:$U$503,(_calc!$E$704-500)))&amp;". ")&amp;IF(LEN(IF(LEN(INDEX('My equipment'!$V$4:$V$503,(_calc!$E$704-500)))=0,"",INDEX('My equipment'!$V$4:$V$503,(_calc!$E$704-500))))=0,"","Proof on file: "&amp;IF(LEN(INDEX('My equipment'!$V$4:$V$503,(_calc!$E$704-500)))=0,"",INDEX('My equipment'!$V$4:$V$503,(_calc!$E$704-500)))&amp;". ")&amp;IF(LEN(IF(LEN(INDEX('My equipment'!$W$4:$W$503,(_calc!$E$704-500)))=0,"",INDEX('My equipment'!$W$4:$W$503,(_calc!$E$704-500))))=0,"","Claim ref: "&amp;IF(LEN(INDEX('My equipment'!$W$4:$W$503,(_calc!$E$704-500)))=0,"",INDEX('My equipment'!$W$4:$W$503,(_calc!$E$704-500)))&amp;". ")&amp;IF(LEN(IF(LEN(INDEX('My equipment'!$Y$4:$Y$503,(_calc!$E$704-500)))=0,"",INDEX('My equipment'!$Y$4:$Y$503,(_calc!$E$704-500))))=0,"",IF(LEN(INDEX('My equipment'!$Y$4:$Y$503,(_calc!$E$704-500)))=0,"",INDEX('My equipment'!$Y$4:$Y$503,(_calc!$E$704-500)))))))</f>
        <v/>
      </c>
      <c r="G702" s="54">
        <f>IF(_calc!$E$704="","",IF(_calc!$E$704&lt;=500,"",IF(LEN(INDEX('My equipment'!$X$4:$X$503,(_calc!$E$704-500)))=0,"",INDEX('My equipment'!$X$4:$X$503,(_calc!$E$704-500)))))</f>
        <v/>
      </c>
      <c r="K702" s="54">
        <f>IF(_calc!$E$704="","",IF(_calc!$E$704&lt;=500,"",IF(LEN(INDEX('My equipment'!$T$4:$T$503,(_calc!$E$704-500)))=0,"",INDEX('My equipment'!$T$4:$T$503,(_calc!$E$704-500)))))</f>
        <v/>
      </c>
    </row>
    <row r="703">
      <c r="A703" s="54">
        <f>IF(_calc!$E$705="","",IF(_calc!$E$705&lt;=500,"Warranty – "&amp;IF(LEN(INDEX('Dealer pipeline'!$C$4:$C$503,_calc!$E$705))=0,"",INDEX('Dealer pipeline'!$C$4:$C$503,_calc!$E$705))&amp;" – "&amp;IF(LEN(INDEX('Dealer pipeline'!$D$4:$D$503,_calc!$E$705))=0,"",INDEX('Dealer pipeline'!$D$4:$D$503,_calc!$E$705))&amp;" – "&amp;IF(LEN(INDEX('Dealer pipeline'!$A$4:$A$503,_calc!$E$705))=0,"",INDEX('Dealer pipeline'!$A$4:$A$503,_calc!$E$705)),"Warranty – "&amp;IF(LEN(INDEX('My equipment'!$A$4:$A$503,(_calc!$E$705-500)))=0,"",INDEX('My equipment'!$A$4:$A$503,(_calc!$E$705-500)))&amp;" – "&amp;IF(LEN(INDEX('My equipment'!$D$4:$D$503,(_calc!$E$705-500)))=0,"",INDEX('My equipment'!$D$4:$D$503,(_calc!$E$705-500)))))</f>
        <v/>
      </c>
      <c r="B703" s="54">
        <f>IF(_calc!$E$705="","",IF(_calc!$E$705&lt;=500,IF(ISNUMBER(INDEX('Dealer pipeline'!$M$4:$M$503,_calc!$E$705)),TEXT(INDEX('Dealer pipeline'!$M$4:$M$503,_calc!$E$705),"yyyy-mm-dd"),""),IF(ISNUMBER(INDEX('My equipment'!$M$4:$M$503,(_calc!$E$705-500))),TEXT(INDEX('My equipment'!$M$4:$M$503,(_calc!$E$705-500)),"yyyy-mm-dd"),"")))</f>
        <v/>
      </c>
      <c r="C703" s="54">
        <f>IF(_calc!$E$705="","",IF(_calc!$E$705&lt;=500,"Warranty","Warranty"))</f>
        <v/>
      </c>
      <c r="D703" s="54">
        <f>IF(_calc!$E$705="","",IF(_calc!$E$705&lt;=500,IF(ISNUMBER(INDEX('Dealer pipeline'!$H$4:$H$503,_calc!$E$705)),TEXT(INDEX('Dealer pipeline'!$H$4:$H$503,_calc!$E$705),"yyyy-mm-dd"),""),IF(ISNUMBER(INDEX('My equipment'!$H$4:$H$503,(_calc!$E$705-500))),TEXT(INDEX('My equipment'!$H$4:$H$503,(_calc!$E$705-500)),"yyyy-mm-dd"),"")))</f>
        <v/>
      </c>
      <c r="F703" s="54">
        <f>IF(_calc!$E$705="","",IF(_calc!$E$705&lt;=500,TRIM(IF(LEN(IF(LEN(INDEX('Dealer pipeline'!$A$4:$A$503,_calc!$E$705))=0,"",INDEX('Dealer pipeline'!$A$4:$A$503,_calc!$E$705)))=0,"","Customer: "&amp;IF(LEN(INDEX('Dealer pipeline'!$A$4:$A$503,_calc!$E$705))=0,"",INDEX('Dealer pipeline'!$A$4:$A$503,_calc!$E$705))&amp;". ")&amp;IF(LEN(IF(LEN(INDEX('Dealer pipeline'!$B$4:$B$503,_calc!$E$705))=0,"",INDEX('Dealer pipeline'!$B$4:$B$503,_calc!$E$705)))=0,"","Contact: "&amp;IF(LEN(INDEX('Dealer pipeline'!$B$4:$B$503,_calc!$E$705))=0,"",INDEX('Dealer pipeline'!$B$4:$B$503,_calc!$E$705))&amp;". ")&amp;IF(LEN(IF(LEN(INDEX('Dealer pipeline'!$D$4:$D$503,_calc!$E$705))=0,"",INDEX('Dealer pipeline'!$D$4:$D$503,_calc!$E$705)))=0,"","Serial: "&amp;IF(LEN(INDEX('Dealer pipeline'!$D$4:$D$503,_calc!$E$705))=0,"",INDEX('Dealer pipeline'!$D$4:$D$503,_calc!$E$705))&amp;". ")&amp;IF(LEN(IF(ISNUMBER(INDEX('Dealer pipeline'!$J$4:$J$503,_calc!$E$705)),TEXT(INDEX('Dealer pipeline'!$J$4:$J$503,_calc!$E$705),"yyyy-mm-dd"),""))=0,"","Parts end: "&amp;IF(ISNUMBER(INDEX('Dealer pipeline'!$J$4:$J$503,_calc!$E$705)),TEXT(INDEX('Dealer pipeline'!$J$4:$J$503,_calc!$E$705),"yyyy-mm-dd"),"")&amp;". ")&amp;IF(LEN(IF(ISNUMBER(INDEX('Dealer pipeline'!$L$4:$L$503,_calc!$E$705)),TEXT(INDEX('Dealer pipeline'!$L$4:$L$503,_calc!$E$705),"yyyy-mm-dd"),""))=0,"","Labor end: "&amp;IF(ISNUMBER(INDEX('Dealer pipeline'!$L$4:$L$503,_calc!$E$705)),TEXT(INDEX('Dealer pipeline'!$L$4:$L$503,_calc!$E$705),"yyyy-mm-dd"),"")&amp;". ")&amp;IF(LEN(IF(LEN(INDEX('Dealer pipeline'!$Q$4:$Q$503,_calc!$E$705))=0,"",INDEX('Dealer pipeline'!$Q$4:$Q$503,_calc!$E$705)))=0,"","Status: "&amp;IF(LEN(INDEX('Dealer pipeline'!$Q$4:$Q$503,_calc!$E$705))=0,"",INDEX('Dealer pipeline'!$Q$4:$Q$503,_calc!$E$705))&amp;". ")&amp;IF(LEN(IF(LEN(INDEX('Dealer pipeline'!$P$4:$P$503,_calc!$E$705))=0,"",INDEX('Dealer pipeline'!$P$4:$P$503,_calc!$E$705)))=0,"","Last touch: "&amp;IF(LEN(INDEX('Dealer pipeline'!$P$4:$P$503,_calc!$E$705))=0,"",INDEX('Dealer pipeline'!$P$4:$P$503,_calc!$E$705))&amp;". ")&amp;IF(LEN(IF(LEN(INDEX('Dealer pipeline'!$R$4:$R$503,_calc!$E$705))=0,"",INDEX('Dealer pipeline'!$R$4:$R$503,_calc!$E$705)))=0,"","Owner: "&amp;IF(LEN(INDEX('Dealer pipeline'!$R$4:$R$503,_calc!$E$705))=0,"",INDEX('Dealer pipeline'!$R$4:$R$503,_calc!$E$705))&amp;". ")&amp;IF(LEN(IF(LEN(INDEX('Dealer pipeline'!$S$4:$S$503,_calc!$E$705))=0,"",INDEX('Dealer pipeline'!$S$4:$S$503,_calc!$E$705)))=0,"","Backup: "&amp;IF(LEN(INDEX('Dealer pipeline'!$S$4:$S$503,_calc!$E$705))=0,"",INDEX('Dealer pipeline'!$S$4:$S$503,_calc!$E$705))&amp;". ")&amp;IF(LEN(IF(LEN(INDEX('Dealer pipeline'!$T$4:$T$503,_calc!$E$705))=0,"",INDEX('Dealer pipeline'!$T$4:$T$503,_calc!$E$705)))=0,"",IF(LEN(INDEX('Dealer pipeline'!$T$4:$T$503,_calc!$E$705))=0,"",INDEX('Dealer pipeline'!$T$4:$T$503,_calc!$E$705)))),TRIM(IF(LEN(IF(LEN(INDEX('My equipment'!$C$4:$C$503,(_calc!$E$705-500)))=0,"",INDEX('My equipment'!$C$4:$C$503,(_calc!$E$705-500))))=0,"","Model: "&amp;IF(LEN(INDEX('My equipment'!$C$4:$C$503,(_calc!$E$705-500)))=0,"",INDEX('My equipment'!$C$4:$C$503,(_calc!$E$705-500)))&amp;". ")&amp;IF(LEN(IF(LEN(INDEX('My equipment'!$D$4:$D$503,(_calc!$E$705-500)))=0,"",INDEX('My equipment'!$D$4:$D$503,(_calc!$E$705-500))))=0,"","Serial: "&amp;IF(LEN(INDEX('My equipment'!$D$4:$D$503,(_calc!$E$705-500)))=0,"",INDEX('My equipment'!$D$4:$D$503,(_calc!$E$705-500)))&amp;". ")&amp;IF(LEN(IF(ISNUMBER(INDEX('My equipment'!$J$4:$J$503,(_calc!$E$705-500))),TEXT(INDEX('My equipment'!$J$4:$J$503,(_calc!$E$705-500)),"yyyy-mm-dd"),""))=0,"","Parts end: "&amp;IF(ISNUMBER(INDEX('My equipment'!$J$4:$J$503,(_calc!$E$705-500))),TEXT(INDEX('My equipment'!$J$4:$J$503,(_calc!$E$705-500)),"yyyy-mm-dd"),"")&amp;". ")&amp;IF(LEN(IF(ISNUMBER(INDEX('My equipment'!$L$4:$L$503,(_calc!$E$705-500))),TEXT(INDEX('My equipment'!$L$4:$L$503,(_calc!$E$705-500)),"yyyy-mm-dd"),""))=0,"","Labor end: "&amp;IF(ISNUMBER(INDEX('My equipment'!$L$4:$L$503,(_calc!$E$705-500))),TEXT(INDEX('My equipment'!$L$4:$L$503,(_calc!$E$705-500)),"yyyy-mm-dd"),"")&amp;". ")&amp;IF(LEN(IF(ISNUMBER(INDEX('My equipment'!$P$4:$P$503,(_calc!$E$705-500))),TEXT(INDEX('My equipment'!$P$4:$P$503,(_calc!$E$705-500)),"yyyy-mm-dd"),""))=0,"","Check by: "&amp;IF(ISNUMBER(INDEX('My equipment'!$P$4:$P$503,(_calc!$E$705-500))),TEXT(INDEX('My equipment'!$P$4:$P$503,(_calc!$E$705-500)),"yyyy-mm-dd"),"")&amp;". ")&amp;IF(LEN(IF(LEN(INDEX('My equipment'!$Q$4:$Q$503,(_calc!$E$705-500)))=0,"",INDEX('My equipment'!$Q$4:$Q$503,(_calc!$E$705-500))))=0,"","Claim status: "&amp;IF(LEN(INDEX('My equipment'!$Q$4:$Q$503,(_calc!$E$705-500)))=0,"",INDEX('My equipment'!$Q$4:$Q$503,(_calc!$E$705-500)))&amp;". ")&amp;IF(LEN(IF(LEN(INDEX('My equipment'!$R$4:$R$503,(_calc!$E$705-500)))=0,"",INDEX('My equipment'!$R$4:$R$503,(_calc!$E$705-500))))=0,"","Claims contact: "&amp;IF(LEN(INDEX('My equipment'!$R$4:$R$503,(_calc!$E$705-500)))=0,"",INDEX('My equipment'!$R$4:$R$503,(_calc!$E$705-500)))&amp;". ")&amp;IF(LEN(IF(LEN(INDEX('My equipment'!$S$4:$S$503,(_calc!$E$705-500)))=0,"",INDEX('My equipment'!$S$4:$S$503,(_calc!$E$705-500))))=0,"","Claims email: "&amp;IF(LEN(INDEX('My equipment'!$S$4:$S$503,(_calc!$E$705-500)))=0,"",INDEX('My equipment'!$S$4:$S$503,(_calc!$E$705-500)))&amp;". ")&amp;IF(LEN(IF(LEN(INDEX('My equipment'!$U$4:$U$503,(_calc!$E$705-500)))=0,"",INDEX('My equipment'!$U$4:$U$503,(_calc!$E$705-500))))=0,"","Registered: "&amp;IF(LEN(INDEX('My equipment'!$U$4:$U$503,(_calc!$E$705-500)))=0,"",INDEX('My equipment'!$U$4:$U$503,(_calc!$E$705-500)))&amp;". ")&amp;IF(LEN(IF(LEN(INDEX('My equipment'!$V$4:$V$503,(_calc!$E$705-500)))=0,"",INDEX('My equipment'!$V$4:$V$503,(_calc!$E$705-500))))=0,"","Proof on file: "&amp;IF(LEN(INDEX('My equipment'!$V$4:$V$503,(_calc!$E$705-500)))=0,"",INDEX('My equipment'!$V$4:$V$503,(_calc!$E$705-500)))&amp;". ")&amp;IF(LEN(IF(LEN(INDEX('My equipment'!$W$4:$W$503,(_calc!$E$705-500)))=0,"",INDEX('My equipment'!$W$4:$W$503,(_calc!$E$705-500))))=0,"","Claim ref: "&amp;IF(LEN(INDEX('My equipment'!$W$4:$W$503,(_calc!$E$705-500)))=0,"",INDEX('My equipment'!$W$4:$W$503,(_calc!$E$705-500)))&amp;". ")&amp;IF(LEN(IF(LEN(INDEX('My equipment'!$Y$4:$Y$503,(_calc!$E$705-500)))=0,"",INDEX('My equipment'!$Y$4:$Y$503,(_calc!$E$705-500))))=0,"",IF(LEN(INDEX('My equipment'!$Y$4:$Y$503,(_calc!$E$705-500)))=0,"",INDEX('My equipment'!$Y$4:$Y$503,(_calc!$E$705-500)))))))</f>
        <v/>
      </c>
      <c r="G703" s="54">
        <f>IF(_calc!$E$705="","",IF(_calc!$E$705&lt;=500,"",IF(LEN(INDEX('My equipment'!$X$4:$X$503,(_calc!$E$705-500)))=0,"",INDEX('My equipment'!$X$4:$X$503,(_calc!$E$705-500)))))</f>
        <v/>
      </c>
      <c r="K703" s="54">
        <f>IF(_calc!$E$705="","",IF(_calc!$E$705&lt;=500,"",IF(LEN(INDEX('My equipment'!$T$4:$T$503,(_calc!$E$705-500)))=0,"",INDEX('My equipment'!$T$4:$T$503,(_calc!$E$705-500)))))</f>
        <v/>
      </c>
    </row>
    <row r="704">
      <c r="A704" s="54">
        <f>IF(_calc!$E$706="","",IF(_calc!$E$706&lt;=500,"Warranty – "&amp;IF(LEN(INDEX('Dealer pipeline'!$C$4:$C$503,_calc!$E$706))=0,"",INDEX('Dealer pipeline'!$C$4:$C$503,_calc!$E$706))&amp;" – "&amp;IF(LEN(INDEX('Dealer pipeline'!$D$4:$D$503,_calc!$E$706))=0,"",INDEX('Dealer pipeline'!$D$4:$D$503,_calc!$E$706))&amp;" – "&amp;IF(LEN(INDEX('Dealer pipeline'!$A$4:$A$503,_calc!$E$706))=0,"",INDEX('Dealer pipeline'!$A$4:$A$503,_calc!$E$706)),"Warranty – "&amp;IF(LEN(INDEX('My equipment'!$A$4:$A$503,(_calc!$E$706-500)))=0,"",INDEX('My equipment'!$A$4:$A$503,(_calc!$E$706-500)))&amp;" – "&amp;IF(LEN(INDEX('My equipment'!$D$4:$D$503,(_calc!$E$706-500)))=0,"",INDEX('My equipment'!$D$4:$D$503,(_calc!$E$706-500)))))</f>
        <v/>
      </c>
      <c r="B704" s="54">
        <f>IF(_calc!$E$706="","",IF(_calc!$E$706&lt;=500,IF(ISNUMBER(INDEX('Dealer pipeline'!$M$4:$M$503,_calc!$E$706)),TEXT(INDEX('Dealer pipeline'!$M$4:$M$503,_calc!$E$706),"yyyy-mm-dd"),""),IF(ISNUMBER(INDEX('My equipment'!$M$4:$M$503,(_calc!$E$706-500))),TEXT(INDEX('My equipment'!$M$4:$M$503,(_calc!$E$706-500)),"yyyy-mm-dd"),"")))</f>
        <v/>
      </c>
      <c r="C704" s="54">
        <f>IF(_calc!$E$706="","",IF(_calc!$E$706&lt;=500,"Warranty","Warranty"))</f>
        <v/>
      </c>
      <c r="D704" s="54">
        <f>IF(_calc!$E$706="","",IF(_calc!$E$706&lt;=500,IF(ISNUMBER(INDEX('Dealer pipeline'!$H$4:$H$503,_calc!$E$706)),TEXT(INDEX('Dealer pipeline'!$H$4:$H$503,_calc!$E$706),"yyyy-mm-dd"),""),IF(ISNUMBER(INDEX('My equipment'!$H$4:$H$503,(_calc!$E$706-500))),TEXT(INDEX('My equipment'!$H$4:$H$503,(_calc!$E$706-500)),"yyyy-mm-dd"),"")))</f>
        <v/>
      </c>
      <c r="F704" s="54">
        <f>IF(_calc!$E$706="","",IF(_calc!$E$706&lt;=500,TRIM(IF(LEN(IF(LEN(INDEX('Dealer pipeline'!$A$4:$A$503,_calc!$E$706))=0,"",INDEX('Dealer pipeline'!$A$4:$A$503,_calc!$E$706)))=0,"","Customer: "&amp;IF(LEN(INDEX('Dealer pipeline'!$A$4:$A$503,_calc!$E$706))=0,"",INDEX('Dealer pipeline'!$A$4:$A$503,_calc!$E$706))&amp;". ")&amp;IF(LEN(IF(LEN(INDEX('Dealer pipeline'!$B$4:$B$503,_calc!$E$706))=0,"",INDEX('Dealer pipeline'!$B$4:$B$503,_calc!$E$706)))=0,"","Contact: "&amp;IF(LEN(INDEX('Dealer pipeline'!$B$4:$B$503,_calc!$E$706))=0,"",INDEX('Dealer pipeline'!$B$4:$B$503,_calc!$E$706))&amp;". ")&amp;IF(LEN(IF(LEN(INDEX('Dealer pipeline'!$D$4:$D$503,_calc!$E$706))=0,"",INDEX('Dealer pipeline'!$D$4:$D$503,_calc!$E$706)))=0,"","Serial: "&amp;IF(LEN(INDEX('Dealer pipeline'!$D$4:$D$503,_calc!$E$706))=0,"",INDEX('Dealer pipeline'!$D$4:$D$503,_calc!$E$706))&amp;". ")&amp;IF(LEN(IF(ISNUMBER(INDEX('Dealer pipeline'!$J$4:$J$503,_calc!$E$706)),TEXT(INDEX('Dealer pipeline'!$J$4:$J$503,_calc!$E$706),"yyyy-mm-dd"),""))=0,"","Parts end: "&amp;IF(ISNUMBER(INDEX('Dealer pipeline'!$J$4:$J$503,_calc!$E$706)),TEXT(INDEX('Dealer pipeline'!$J$4:$J$503,_calc!$E$706),"yyyy-mm-dd"),"")&amp;". ")&amp;IF(LEN(IF(ISNUMBER(INDEX('Dealer pipeline'!$L$4:$L$503,_calc!$E$706)),TEXT(INDEX('Dealer pipeline'!$L$4:$L$503,_calc!$E$706),"yyyy-mm-dd"),""))=0,"","Labor end: "&amp;IF(ISNUMBER(INDEX('Dealer pipeline'!$L$4:$L$503,_calc!$E$706)),TEXT(INDEX('Dealer pipeline'!$L$4:$L$503,_calc!$E$706),"yyyy-mm-dd"),"")&amp;". ")&amp;IF(LEN(IF(LEN(INDEX('Dealer pipeline'!$Q$4:$Q$503,_calc!$E$706))=0,"",INDEX('Dealer pipeline'!$Q$4:$Q$503,_calc!$E$706)))=0,"","Status: "&amp;IF(LEN(INDEX('Dealer pipeline'!$Q$4:$Q$503,_calc!$E$706))=0,"",INDEX('Dealer pipeline'!$Q$4:$Q$503,_calc!$E$706))&amp;". ")&amp;IF(LEN(IF(LEN(INDEX('Dealer pipeline'!$P$4:$P$503,_calc!$E$706))=0,"",INDEX('Dealer pipeline'!$P$4:$P$503,_calc!$E$706)))=0,"","Last touch: "&amp;IF(LEN(INDEX('Dealer pipeline'!$P$4:$P$503,_calc!$E$706))=0,"",INDEX('Dealer pipeline'!$P$4:$P$503,_calc!$E$706))&amp;". ")&amp;IF(LEN(IF(LEN(INDEX('Dealer pipeline'!$R$4:$R$503,_calc!$E$706))=0,"",INDEX('Dealer pipeline'!$R$4:$R$503,_calc!$E$706)))=0,"","Owner: "&amp;IF(LEN(INDEX('Dealer pipeline'!$R$4:$R$503,_calc!$E$706))=0,"",INDEX('Dealer pipeline'!$R$4:$R$503,_calc!$E$706))&amp;". ")&amp;IF(LEN(IF(LEN(INDEX('Dealer pipeline'!$S$4:$S$503,_calc!$E$706))=0,"",INDEX('Dealer pipeline'!$S$4:$S$503,_calc!$E$706)))=0,"","Backup: "&amp;IF(LEN(INDEX('Dealer pipeline'!$S$4:$S$503,_calc!$E$706))=0,"",INDEX('Dealer pipeline'!$S$4:$S$503,_calc!$E$706))&amp;". ")&amp;IF(LEN(IF(LEN(INDEX('Dealer pipeline'!$T$4:$T$503,_calc!$E$706))=0,"",INDEX('Dealer pipeline'!$T$4:$T$503,_calc!$E$706)))=0,"",IF(LEN(INDEX('Dealer pipeline'!$T$4:$T$503,_calc!$E$706))=0,"",INDEX('Dealer pipeline'!$T$4:$T$503,_calc!$E$706)))),TRIM(IF(LEN(IF(LEN(INDEX('My equipment'!$C$4:$C$503,(_calc!$E$706-500)))=0,"",INDEX('My equipment'!$C$4:$C$503,(_calc!$E$706-500))))=0,"","Model: "&amp;IF(LEN(INDEX('My equipment'!$C$4:$C$503,(_calc!$E$706-500)))=0,"",INDEX('My equipment'!$C$4:$C$503,(_calc!$E$706-500)))&amp;". ")&amp;IF(LEN(IF(LEN(INDEX('My equipment'!$D$4:$D$503,(_calc!$E$706-500)))=0,"",INDEX('My equipment'!$D$4:$D$503,(_calc!$E$706-500))))=0,"","Serial: "&amp;IF(LEN(INDEX('My equipment'!$D$4:$D$503,(_calc!$E$706-500)))=0,"",INDEX('My equipment'!$D$4:$D$503,(_calc!$E$706-500)))&amp;". ")&amp;IF(LEN(IF(ISNUMBER(INDEX('My equipment'!$J$4:$J$503,(_calc!$E$706-500))),TEXT(INDEX('My equipment'!$J$4:$J$503,(_calc!$E$706-500)),"yyyy-mm-dd"),""))=0,"","Parts end: "&amp;IF(ISNUMBER(INDEX('My equipment'!$J$4:$J$503,(_calc!$E$706-500))),TEXT(INDEX('My equipment'!$J$4:$J$503,(_calc!$E$706-500)),"yyyy-mm-dd"),"")&amp;". ")&amp;IF(LEN(IF(ISNUMBER(INDEX('My equipment'!$L$4:$L$503,(_calc!$E$706-500))),TEXT(INDEX('My equipment'!$L$4:$L$503,(_calc!$E$706-500)),"yyyy-mm-dd"),""))=0,"","Labor end: "&amp;IF(ISNUMBER(INDEX('My equipment'!$L$4:$L$503,(_calc!$E$706-500))),TEXT(INDEX('My equipment'!$L$4:$L$503,(_calc!$E$706-500)),"yyyy-mm-dd"),"")&amp;". ")&amp;IF(LEN(IF(ISNUMBER(INDEX('My equipment'!$P$4:$P$503,(_calc!$E$706-500))),TEXT(INDEX('My equipment'!$P$4:$P$503,(_calc!$E$706-500)),"yyyy-mm-dd"),""))=0,"","Check by: "&amp;IF(ISNUMBER(INDEX('My equipment'!$P$4:$P$503,(_calc!$E$706-500))),TEXT(INDEX('My equipment'!$P$4:$P$503,(_calc!$E$706-500)),"yyyy-mm-dd"),"")&amp;". ")&amp;IF(LEN(IF(LEN(INDEX('My equipment'!$Q$4:$Q$503,(_calc!$E$706-500)))=0,"",INDEX('My equipment'!$Q$4:$Q$503,(_calc!$E$706-500))))=0,"","Claim status: "&amp;IF(LEN(INDEX('My equipment'!$Q$4:$Q$503,(_calc!$E$706-500)))=0,"",INDEX('My equipment'!$Q$4:$Q$503,(_calc!$E$706-500)))&amp;". ")&amp;IF(LEN(IF(LEN(INDEX('My equipment'!$R$4:$R$503,(_calc!$E$706-500)))=0,"",INDEX('My equipment'!$R$4:$R$503,(_calc!$E$706-500))))=0,"","Claims contact: "&amp;IF(LEN(INDEX('My equipment'!$R$4:$R$503,(_calc!$E$706-500)))=0,"",INDEX('My equipment'!$R$4:$R$503,(_calc!$E$706-500)))&amp;". ")&amp;IF(LEN(IF(LEN(INDEX('My equipment'!$S$4:$S$503,(_calc!$E$706-500)))=0,"",INDEX('My equipment'!$S$4:$S$503,(_calc!$E$706-500))))=0,"","Claims email: "&amp;IF(LEN(INDEX('My equipment'!$S$4:$S$503,(_calc!$E$706-500)))=0,"",INDEX('My equipment'!$S$4:$S$503,(_calc!$E$706-500)))&amp;". ")&amp;IF(LEN(IF(LEN(INDEX('My equipment'!$U$4:$U$503,(_calc!$E$706-500)))=0,"",INDEX('My equipment'!$U$4:$U$503,(_calc!$E$706-500))))=0,"","Registered: "&amp;IF(LEN(INDEX('My equipment'!$U$4:$U$503,(_calc!$E$706-500)))=0,"",INDEX('My equipment'!$U$4:$U$503,(_calc!$E$706-500)))&amp;". ")&amp;IF(LEN(IF(LEN(INDEX('My equipment'!$V$4:$V$503,(_calc!$E$706-500)))=0,"",INDEX('My equipment'!$V$4:$V$503,(_calc!$E$706-500))))=0,"","Proof on file: "&amp;IF(LEN(INDEX('My equipment'!$V$4:$V$503,(_calc!$E$706-500)))=0,"",INDEX('My equipment'!$V$4:$V$503,(_calc!$E$706-500)))&amp;". ")&amp;IF(LEN(IF(LEN(INDEX('My equipment'!$W$4:$W$503,(_calc!$E$706-500)))=0,"",INDEX('My equipment'!$W$4:$W$503,(_calc!$E$706-500))))=0,"","Claim ref: "&amp;IF(LEN(INDEX('My equipment'!$W$4:$W$503,(_calc!$E$706-500)))=0,"",INDEX('My equipment'!$W$4:$W$503,(_calc!$E$706-500)))&amp;". ")&amp;IF(LEN(IF(LEN(INDEX('My equipment'!$Y$4:$Y$503,(_calc!$E$706-500)))=0,"",INDEX('My equipment'!$Y$4:$Y$503,(_calc!$E$706-500))))=0,"",IF(LEN(INDEX('My equipment'!$Y$4:$Y$503,(_calc!$E$706-500)))=0,"",INDEX('My equipment'!$Y$4:$Y$503,(_calc!$E$706-500)))))))</f>
        <v/>
      </c>
      <c r="G704" s="54">
        <f>IF(_calc!$E$706="","",IF(_calc!$E$706&lt;=500,"",IF(LEN(INDEX('My equipment'!$X$4:$X$503,(_calc!$E$706-500)))=0,"",INDEX('My equipment'!$X$4:$X$503,(_calc!$E$706-500)))))</f>
        <v/>
      </c>
      <c r="K704" s="54">
        <f>IF(_calc!$E$706="","",IF(_calc!$E$706&lt;=500,"",IF(LEN(INDEX('My equipment'!$T$4:$T$503,(_calc!$E$706-500)))=0,"",INDEX('My equipment'!$T$4:$T$503,(_calc!$E$706-500)))))</f>
        <v/>
      </c>
    </row>
    <row r="705">
      <c r="A705" s="54">
        <f>IF(_calc!$E$707="","",IF(_calc!$E$707&lt;=500,"Warranty – "&amp;IF(LEN(INDEX('Dealer pipeline'!$C$4:$C$503,_calc!$E$707))=0,"",INDEX('Dealer pipeline'!$C$4:$C$503,_calc!$E$707))&amp;" – "&amp;IF(LEN(INDEX('Dealer pipeline'!$D$4:$D$503,_calc!$E$707))=0,"",INDEX('Dealer pipeline'!$D$4:$D$503,_calc!$E$707))&amp;" – "&amp;IF(LEN(INDEX('Dealer pipeline'!$A$4:$A$503,_calc!$E$707))=0,"",INDEX('Dealer pipeline'!$A$4:$A$503,_calc!$E$707)),"Warranty – "&amp;IF(LEN(INDEX('My equipment'!$A$4:$A$503,(_calc!$E$707-500)))=0,"",INDEX('My equipment'!$A$4:$A$503,(_calc!$E$707-500)))&amp;" – "&amp;IF(LEN(INDEX('My equipment'!$D$4:$D$503,(_calc!$E$707-500)))=0,"",INDEX('My equipment'!$D$4:$D$503,(_calc!$E$707-500)))))</f>
        <v/>
      </c>
      <c r="B705" s="54">
        <f>IF(_calc!$E$707="","",IF(_calc!$E$707&lt;=500,IF(ISNUMBER(INDEX('Dealer pipeline'!$M$4:$M$503,_calc!$E$707)),TEXT(INDEX('Dealer pipeline'!$M$4:$M$503,_calc!$E$707),"yyyy-mm-dd"),""),IF(ISNUMBER(INDEX('My equipment'!$M$4:$M$503,(_calc!$E$707-500))),TEXT(INDEX('My equipment'!$M$4:$M$503,(_calc!$E$707-500)),"yyyy-mm-dd"),"")))</f>
        <v/>
      </c>
      <c r="C705" s="54">
        <f>IF(_calc!$E$707="","",IF(_calc!$E$707&lt;=500,"Warranty","Warranty"))</f>
        <v/>
      </c>
      <c r="D705" s="54">
        <f>IF(_calc!$E$707="","",IF(_calc!$E$707&lt;=500,IF(ISNUMBER(INDEX('Dealer pipeline'!$H$4:$H$503,_calc!$E$707)),TEXT(INDEX('Dealer pipeline'!$H$4:$H$503,_calc!$E$707),"yyyy-mm-dd"),""),IF(ISNUMBER(INDEX('My equipment'!$H$4:$H$503,(_calc!$E$707-500))),TEXT(INDEX('My equipment'!$H$4:$H$503,(_calc!$E$707-500)),"yyyy-mm-dd"),"")))</f>
        <v/>
      </c>
      <c r="F705" s="54">
        <f>IF(_calc!$E$707="","",IF(_calc!$E$707&lt;=500,TRIM(IF(LEN(IF(LEN(INDEX('Dealer pipeline'!$A$4:$A$503,_calc!$E$707))=0,"",INDEX('Dealer pipeline'!$A$4:$A$503,_calc!$E$707)))=0,"","Customer: "&amp;IF(LEN(INDEX('Dealer pipeline'!$A$4:$A$503,_calc!$E$707))=0,"",INDEX('Dealer pipeline'!$A$4:$A$503,_calc!$E$707))&amp;". ")&amp;IF(LEN(IF(LEN(INDEX('Dealer pipeline'!$B$4:$B$503,_calc!$E$707))=0,"",INDEX('Dealer pipeline'!$B$4:$B$503,_calc!$E$707)))=0,"","Contact: "&amp;IF(LEN(INDEX('Dealer pipeline'!$B$4:$B$503,_calc!$E$707))=0,"",INDEX('Dealer pipeline'!$B$4:$B$503,_calc!$E$707))&amp;". ")&amp;IF(LEN(IF(LEN(INDEX('Dealer pipeline'!$D$4:$D$503,_calc!$E$707))=0,"",INDEX('Dealer pipeline'!$D$4:$D$503,_calc!$E$707)))=0,"","Serial: "&amp;IF(LEN(INDEX('Dealer pipeline'!$D$4:$D$503,_calc!$E$707))=0,"",INDEX('Dealer pipeline'!$D$4:$D$503,_calc!$E$707))&amp;". ")&amp;IF(LEN(IF(ISNUMBER(INDEX('Dealer pipeline'!$J$4:$J$503,_calc!$E$707)),TEXT(INDEX('Dealer pipeline'!$J$4:$J$503,_calc!$E$707),"yyyy-mm-dd"),""))=0,"","Parts end: "&amp;IF(ISNUMBER(INDEX('Dealer pipeline'!$J$4:$J$503,_calc!$E$707)),TEXT(INDEX('Dealer pipeline'!$J$4:$J$503,_calc!$E$707),"yyyy-mm-dd"),"")&amp;". ")&amp;IF(LEN(IF(ISNUMBER(INDEX('Dealer pipeline'!$L$4:$L$503,_calc!$E$707)),TEXT(INDEX('Dealer pipeline'!$L$4:$L$503,_calc!$E$707),"yyyy-mm-dd"),""))=0,"","Labor end: "&amp;IF(ISNUMBER(INDEX('Dealer pipeline'!$L$4:$L$503,_calc!$E$707)),TEXT(INDEX('Dealer pipeline'!$L$4:$L$503,_calc!$E$707),"yyyy-mm-dd"),"")&amp;". ")&amp;IF(LEN(IF(LEN(INDEX('Dealer pipeline'!$Q$4:$Q$503,_calc!$E$707))=0,"",INDEX('Dealer pipeline'!$Q$4:$Q$503,_calc!$E$707)))=0,"","Status: "&amp;IF(LEN(INDEX('Dealer pipeline'!$Q$4:$Q$503,_calc!$E$707))=0,"",INDEX('Dealer pipeline'!$Q$4:$Q$503,_calc!$E$707))&amp;". ")&amp;IF(LEN(IF(LEN(INDEX('Dealer pipeline'!$P$4:$P$503,_calc!$E$707))=0,"",INDEX('Dealer pipeline'!$P$4:$P$503,_calc!$E$707)))=0,"","Last touch: "&amp;IF(LEN(INDEX('Dealer pipeline'!$P$4:$P$503,_calc!$E$707))=0,"",INDEX('Dealer pipeline'!$P$4:$P$503,_calc!$E$707))&amp;". ")&amp;IF(LEN(IF(LEN(INDEX('Dealer pipeline'!$R$4:$R$503,_calc!$E$707))=0,"",INDEX('Dealer pipeline'!$R$4:$R$503,_calc!$E$707)))=0,"","Owner: "&amp;IF(LEN(INDEX('Dealer pipeline'!$R$4:$R$503,_calc!$E$707))=0,"",INDEX('Dealer pipeline'!$R$4:$R$503,_calc!$E$707))&amp;". ")&amp;IF(LEN(IF(LEN(INDEX('Dealer pipeline'!$S$4:$S$503,_calc!$E$707))=0,"",INDEX('Dealer pipeline'!$S$4:$S$503,_calc!$E$707)))=0,"","Backup: "&amp;IF(LEN(INDEX('Dealer pipeline'!$S$4:$S$503,_calc!$E$707))=0,"",INDEX('Dealer pipeline'!$S$4:$S$503,_calc!$E$707))&amp;". ")&amp;IF(LEN(IF(LEN(INDEX('Dealer pipeline'!$T$4:$T$503,_calc!$E$707))=0,"",INDEX('Dealer pipeline'!$T$4:$T$503,_calc!$E$707)))=0,"",IF(LEN(INDEX('Dealer pipeline'!$T$4:$T$503,_calc!$E$707))=0,"",INDEX('Dealer pipeline'!$T$4:$T$503,_calc!$E$707)))),TRIM(IF(LEN(IF(LEN(INDEX('My equipment'!$C$4:$C$503,(_calc!$E$707-500)))=0,"",INDEX('My equipment'!$C$4:$C$503,(_calc!$E$707-500))))=0,"","Model: "&amp;IF(LEN(INDEX('My equipment'!$C$4:$C$503,(_calc!$E$707-500)))=0,"",INDEX('My equipment'!$C$4:$C$503,(_calc!$E$707-500)))&amp;". ")&amp;IF(LEN(IF(LEN(INDEX('My equipment'!$D$4:$D$503,(_calc!$E$707-500)))=0,"",INDEX('My equipment'!$D$4:$D$503,(_calc!$E$707-500))))=0,"","Serial: "&amp;IF(LEN(INDEX('My equipment'!$D$4:$D$503,(_calc!$E$707-500)))=0,"",INDEX('My equipment'!$D$4:$D$503,(_calc!$E$707-500)))&amp;". ")&amp;IF(LEN(IF(ISNUMBER(INDEX('My equipment'!$J$4:$J$503,(_calc!$E$707-500))),TEXT(INDEX('My equipment'!$J$4:$J$503,(_calc!$E$707-500)),"yyyy-mm-dd"),""))=0,"","Parts end: "&amp;IF(ISNUMBER(INDEX('My equipment'!$J$4:$J$503,(_calc!$E$707-500))),TEXT(INDEX('My equipment'!$J$4:$J$503,(_calc!$E$707-500)),"yyyy-mm-dd"),"")&amp;". ")&amp;IF(LEN(IF(ISNUMBER(INDEX('My equipment'!$L$4:$L$503,(_calc!$E$707-500))),TEXT(INDEX('My equipment'!$L$4:$L$503,(_calc!$E$707-500)),"yyyy-mm-dd"),""))=0,"","Labor end: "&amp;IF(ISNUMBER(INDEX('My equipment'!$L$4:$L$503,(_calc!$E$707-500))),TEXT(INDEX('My equipment'!$L$4:$L$503,(_calc!$E$707-500)),"yyyy-mm-dd"),"")&amp;". ")&amp;IF(LEN(IF(ISNUMBER(INDEX('My equipment'!$P$4:$P$503,(_calc!$E$707-500))),TEXT(INDEX('My equipment'!$P$4:$P$503,(_calc!$E$707-500)),"yyyy-mm-dd"),""))=0,"","Check by: "&amp;IF(ISNUMBER(INDEX('My equipment'!$P$4:$P$503,(_calc!$E$707-500))),TEXT(INDEX('My equipment'!$P$4:$P$503,(_calc!$E$707-500)),"yyyy-mm-dd"),"")&amp;". ")&amp;IF(LEN(IF(LEN(INDEX('My equipment'!$Q$4:$Q$503,(_calc!$E$707-500)))=0,"",INDEX('My equipment'!$Q$4:$Q$503,(_calc!$E$707-500))))=0,"","Claim status: "&amp;IF(LEN(INDEX('My equipment'!$Q$4:$Q$503,(_calc!$E$707-500)))=0,"",INDEX('My equipment'!$Q$4:$Q$503,(_calc!$E$707-500)))&amp;". ")&amp;IF(LEN(IF(LEN(INDEX('My equipment'!$R$4:$R$503,(_calc!$E$707-500)))=0,"",INDEX('My equipment'!$R$4:$R$503,(_calc!$E$707-500))))=0,"","Claims contact: "&amp;IF(LEN(INDEX('My equipment'!$R$4:$R$503,(_calc!$E$707-500)))=0,"",INDEX('My equipment'!$R$4:$R$503,(_calc!$E$707-500)))&amp;". ")&amp;IF(LEN(IF(LEN(INDEX('My equipment'!$S$4:$S$503,(_calc!$E$707-500)))=0,"",INDEX('My equipment'!$S$4:$S$503,(_calc!$E$707-500))))=0,"","Claims email: "&amp;IF(LEN(INDEX('My equipment'!$S$4:$S$503,(_calc!$E$707-500)))=0,"",INDEX('My equipment'!$S$4:$S$503,(_calc!$E$707-500)))&amp;". ")&amp;IF(LEN(IF(LEN(INDEX('My equipment'!$U$4:$U$503,(_calc!$E$707-500)))=0,"",INDEX('My equipment'!$U$4:$U$503,(_calc!$E$707-500))))=0,"","Registered: "&amp;IF(LEN(INDEX('My equipment'!$U$4:$U$503,(_calc!$E$707-500)))=0,"",INDEX('My equipment'!$U$4:$U$503,(_calc!$E$707-500)))&amp;". ")&amp;IF(LEN(IF(LEN(INDEX('My equipment'!$V$4:$V$503,(_calc!$E$707-500)))=0,"",INDEX('My equipment'!$V$4:$V$503,(_calc!$E$707-500))))=0,"","Proof on file: "&amp;IF(LEN(INDEX('My equipment'!$V$4:$V$503,(_calc!$E$707-500)))=0,"",INDEX('My equipment'!$V$4:$V$503,(_calc!$E$707-500)))&amp;". ")&amp;IF(LEN(IF(LEN(INDEX('My equipment'!$W$4:$W$503,(_calc!$E$707-500)))=0,"",INDEX('My equipment'!$W$4:$W$503,(_calc!$E$707-500))))=0,"","Claim ref: "&amp;IF(LEN(INDEX('My equipment'!$W$4:$W$503,(_calc!$E$707-500)))=0,"",INDEX('My equipment'!$W$4:$W$503,(_calc!$E$707-500)))&amp;". ")&amp;IF(LEN(IF(LEN(INDEX('My equipment'!$Y$4:$Y$503,(_calc!$E$707-500)))=0,"",INDEX('My equipment'!$Y$4:$Y$503,(_calc!$E$707-500))))=0,"",IF(LEN(INDEX('My equipment'!$Y$4:$Y$503,(_calc!$E$707-500)))=0,"",INDEX('My equipment'!$Y$4:$Y$503,(_calc!$E$707-500)))))))</f>
        <v/>
      </c>
      <c r="G705" s="54">
        <f>IF(_calc!$E$707="","",IF(_calc!$E$707&lt;=500,"",IF(LEN(INDEX('My equipment'!$X$4:$X$503,(_calc!$E$707-500)))=0,"",INDEX('My equipment'!$X$4:$X$503,(_calc!$E$707-500)))))</f>
        <v/>
      </c>
      <c r="K705" s="54">
        <f>IF(_calc!$E$707="","",IF(_calc!$E$707&lt;=500,"",IF(LEN(INDEX('My equipment'!$T$4:$T$503,(_calc!$E$707-500)))=0,"",INDEX('My equipment'!$T$4:$T$503,(_calc!$E$707-500)))))</f>
        <v/>
      </c>
    </row>
    <row r="706">
      <c r="A706" s="54">
        <f>IF(_calc!$E$708="","",IF(_calc!$E$708&lt;=500,"Warranty – "&amp;IF(LEN(INDEX('Dealer pipeline'!$C$4:$C$503,_calc!$E$708))=0,"",INDEX('Dealer pipeline'!$C$4:$C$503,_calc!$E$708))&amp;" – "&amp;IF(LEN(INDEX('Dealer pipeline'!$D$4:$D$503,_calc!$E$708))=0,"",INDEX('Dealer pipeline'!$D$4:$D$503,_calc!$E$708))&amp;" – "&amp;IF(LEN(INDEX('Dealer pipeline'!$A$4:$A$503,_calc!$E$708))=0,"",INDEX('Dealer pipeline'!$A$4:$A$503,_calc!$E$708)),"Warranty – "&amp;IF(LEN(INDEX('My equipment'!$A$4:$A$503,(_calc!$E$708-500)))=0,"",INDEX('My equipment'!$A$4:$A$503,(_calc!$E$708-500)))&amp;" – "&amp;IF(LEN(INDEX('My equipment'!$D$4:$D$503,(_calc!$E$708-500)))=0,"",INDEX('My equipment'!$D$4:$D$503,(_calc!$E$708-500)))))</f>
        <v/>
      </c>
      <c r="B706" s="54">
        <f>IF(_calc!$E$708="","",IF(_calc!$E$708&lt;=500,IF(ISNUMBER(INDEX('Dealer pipeline'!$M$4:$M$503,_calc!$E$708)),TEXT(INDEX('Dealer pipeline'!$M$4:$M$503,_calc!$E$708),"yyyy-mm-dd"),""),IF(ISNUMBER(INDEX('My equipment'!$M$4:$M$503,(_calc!$E$708-500))),TEXT(INDEX('My equipment'!$M$4:$M$503,(_calc!$E$708-500)),"yyyy-mm-dd"),"")))</f>
        <v/>
      </c>
      <c r="C706" s="54">
        <f>IF(_calc!$E$708="","",IF(_calc!$E$708&lt;=500,"Warranty","Warranty"))</f>
        <v/>
      </c>
      <c r="D706" s="54">
        <f>IF(_calc!$E$708="","",IF(_calc!$E$708&lt;=500,IF(ISNUMBER(INDEX('Dealer pipeline'!$H$4:$H$503,_calc!$E$708)),TEXT(INDEX('Dealer pipeline'!$H$4:$H$503,_calc!$E$708),"yyyy-mm-dd"),""),IF(ISNUMBER(INDEX('My equipment'!$H$4:$H$503,(_calc!$E$708-500))),TEXT(INDEX('My equipment'!$H$4:$H$503,(_calc!$E$708-500)),"yyyy-mm-dd"),"")))</f>
        <v/>
      </c>
      <c r="F706" s="54">
        <f>IF(_calc!$E$708="","",IF(_calc!$E$708&lt;=500,TRIM(IF(LEN(IF(LEN(INDEX('Dealer pipeline'!$A$4:$A$503,_calc!$E$708))=0,"",INDEX('Dealer pipeline'!$A$4:$A$503,_calc!$E$708)))=0,"","Customer: "&amp;IF(LEN(INDEX('Dealer pipeline'!$A$4:$A$503,_calc!$E$708))=0,"",INDEX('Dealer pipeline'!$A$4:$A$503,_calc!$E$708))&amp;". ")&amp;IF(LEN(IF(LEN(INDEX('Dealer pipeline'!$B$4:$B$503,_calc!$E$708))=0,"",INDEX('Dealer pipeline'!$B$4:$B$503,_calc!$E$708)))=0,"","Contact: "&amp;IF(LEN(INDEX('Dealer pipeline'!$B$4:$B$503,_calc!$E$708))=0,"",INDEX('Dealer pipeline'!$B$4:$B$503,_calc!$E$708))&amp;". ")&amp;IF(LEN(IF(LEN(INDEX('Dealer pipeline'!$D$4:$D$503,_calc!$E$708))=0,"",INDEX('Dealer pipeline'!$D$4:$D$503,_calc!$E$708)))=0,"","Serial: "&amp;IF(LEN(INDEX('Dealer pipeline'!$D$4:$D$503,_calc!$E$708))=0,"",INDEX('Dealer pipeline'!$D$4:$D$503,_calc!$E$708))&amp;". ")&amp;IF(LEN(IF(ISNUMBER(INDEX('Dealer pipeline'!$J$4:$J$503,_calc!$E$708)),TEXT(INDEX('Dealer pipeline'!$J$4:$J$503,_calc!$E$708),"yyyy-mm-dd"),""))=0,"","Parts end: "&amp;IF(ISNUMBER(INDEX('Dealer pipeline'!$J$4:$J$503,_calc!$E$708)),TEXT(INDEX('Dealer pipeline'!$J$4:$J$503,_calc!$E$708),"yyyy-mm-dd"),"")&amp;". ")&amp;IF(LEN(IF(ISNUMBER(INDEX('Dealer pipeline'!$L$4:$L$503,_calc!$E$708)),TEXT(INDEX('Dealer pipeline'!$L$4:$L$503,_calc!$E$708),"yyyy-mm-dd"),""))=0,"","Labor end: "&amp;IF(ISNUMBER(INDEX('Dealer pipeline'!$L$4:$L$503,_calc!$E$708)),TEXT(INDEX('Dealer pipeline'!$L$4:$L$503,_calc!$E$708),"yyyy-mm-dd"),"")&amp;". ")&amp;IF(LEN(IF(LEN(INDEX('Dealer pipeline'!$Q$4:$Q$503,_calc!$E$708))=0,"",INDEX('Dealer pipeline'!$Q$4:$Q$503,_calc!$E$708)))=0,"","Status: "&amp;IF(LEN(INDEX('Dealer pipeline'!$Q$4:$Q$503,_calc!$E$708))=0,"",INDEX('Dealer pipeline'!$Q$4:$Q$503,_calc!$E$708))&amp;". ")&amp;IF(LEN(IF(LEN(INDEX('Dealer pipeline'!$P$4:$P$503,_calc!$E$708))=0,"",INDEX('Dealer pipeline'!$P$4:$P$503,_calc!$E$708)))=0,"","Last touch: "&amp;IF(LEN(INDEX('Dealer pipeline'!$P$4:$P$503,_calc!$E$708))=0,"",INDEX('Dealer pipeline'!$P$4:$P$503,_calc!$E$708))&amp;". ")&amp;IF(LEN(IF(LEN(INDEX('Dealer pipeline'!$R$4:$R$503,_calc!$E$708))=0,"",INDEX('Dealer pipeline'!$R$4:$R$503,_calc!$E$708)))=0,"","Owner: "&amp;IF(LEN(INDEX('Dealer pipeline'!$R$4:$R$503,_calc!$E$708))=0,"",INDEX('Dealer pipeline'!$R$4:$R$503,_calc!$E$708))&amp;". ")&amp;IF(LEN(IF(LEN(INDEX('Dealer pipeline'!$S$4:$S$503,_calc!$E$708))=0,"",INDEX('Dealer pipeline'!$S$4:$S$503,_calc!$E$708)))=0,"","Backup: "&amp;IF(LEN(INDEX('Dealer pipeline'!$S$4:$S$503,_calc!$E$708))=0,"",INDEX('Dealer pipeline'!$S$4:$S$503,_calc!$E$708))&amp;". ")&amp;IF(LEN(IF(LEN(INDEX('Dealer pipeline'!$T$4:$T$503,_calc!$E$708))=0,"",INDEX('Dealer pipeline'!$T$4:$T$503,_calc!$E$708)))=0,"",IF(LEN(INDEX('Dealer pipeline'!$T$4:$T$503,_calc!$E$708))=0,"",INDEX('Dealer pipeline'!$T$4:$T$503,_calc!$E$708)))),TRIM(IF(LEN(IF(LEN(INDEX('My equipment'!$C$4:$C$503,(_calc!$E$708-500)))=0,"",INDEX('My equipment'!$C$4:$C$503,(_calc!$E$708-500))))=0,"","Model: "&amp;IF(LEN(INDEX('My equipment'!$C$4:$C$503,(_calc!$E$708-500)))=0,"",INDEX('My equipment'!$C$4:$C$503,(_calc!$E$708-500)))&amp;". ")&amp;IF(LEN(IF(LEN(INDEX('My equipment'!$D$4:$D$503,(_calc!$E$708-500)))=0,"",INDEX('My equipment'!$D$4:$D$503,(_calc!$E$708-500))))=0,"","Serial: "&amp;IF(LEN(INDEX('My equipment'!$D$4:$D$503,(_calc!$E$708-500)))=0,"",INDEX('My equipment'!$D$4:$D$503,(_calc!$E$708-500)))&amp;". ")&amp;IF(LEN(IF(ISNUMBER(INDEX('My equipment'!$J$4:$J$503,(_calc!$E$708-500))),TEXT(INDEX('My equipment'!$J$4:$J$503,(_calc!$E$708-500)),"yyyy-mm-dd"),""))=0,"","Parts end: "&amp;IF(ISNUMBER(INDEX('My equipment'!$J$4:$J$503,(_calc!$E$708-500))),TEXT(INDEX('My equipment'!$J$4:$J$503,(_calc!$E$708-500)),"yyyy-mm-dd"),"")&amp;". ")&amp;IF(LEN(IF(ISNUMBER(INDEX('My equipment'!$L$4:$L$503,(_calc!$E$708-500))),TEXT(INDEX('My equipment'!$L$4:$L$503,(_calc!$E$708-500)),"yyyy-mm-dd"),""))=0,"","Labor end: "&amp;IF(ISNUMBER(INDEX('My equipment'!$L$4:$L$503,(_calc!$E$708-500))),TEXT(INDEX('My equipment'!$L$4:$L$503,(_calc!$E$708-500)),"yyyy-mm-dd"),"")&amp;". ")&amp;IF(LEN(IF(ISNUMBER(INDEX('My equipment'!$P$4:$P$503,(_calc!$E$708-500))),TEXT(INDEX('My equipment'!$P$4:$P$503,(_calc!$E$708-500)),"yyyy-mm-dd"),""))=0,"","Check by: "&amp;IF(ISNUMBER(INDEX('My equipment'!$P$4:$P$503,(_calc!$E$708-500))),TEXT(INDEX('My equipment'!$P$4:$P$503,(_calc!$E$708-500)),"yyyy-mm-dd"),"")&amp;". ")&amp;IF(LEN(IF(LEN(INDEX('My equipment'!$Q$4:$Q$503,(_calc!$E$708-500)))=0,"",INDEX('My equipment'!$Q$4:$Q$503,(_calc!$E$708-500))))=0,"","Claim status: "&amp;IF(LEN(INDEX('My equipment'!$Q$4:$Q$503,(_calc!$E$708-500)))=0,"",INDEX('My equipment'!$Q$4:$Q$503,(_calc!$E$708-500)))&amp;". ")&amp;IF(LEN(IF(LEN(INDEX('My equipment'!$R$4:$R$503,(_calc!$E$708-500)))=0,"",INDEX('My equipment'!$R$4:$R$503,(_calc!$E$708-500))))=0,"","Claims contact: "&amp;IF(LEN(INDEX('My equipment'!$R$4:$R$503,(_calc!$E$708-500)))=0,"",INDEX('My equipment'!$R$4:$R$503,(_calc!$E$708-500)))&amp;". ")&amp;IF(LEN(IF(LEN(INDEX('My equipment'!$S$4:$S$503,(_calc!$E$708-500)))=0,"",INDEX('My equipment'!$S$4:$S$503,(_calc!$E$708-500))))=0,"","Claims email: "&amp;IF(LEN(INDEX('My equipment'!$S$4:$S$503,(_calc!$E$708-500)))=0,"",INDEX('My equipment'!$S$4:$S$503,(_calc!$E$708-500)))&amp;". ")&amp;IF(LEN(IF(LEN(INDEX('My equipment'!$U$4:$U$503,(_calc!$E$708-500)))=0,"",INDEX('My equipment'!$U$4:$U$503,(_calc!$E$708-500))))=0,"","Registered: "&amp;IF(LEN(INDEX('My equipment'!$U$4:$U$503,(_calc!$E$708-500)))=0,"",INDEX('My equipment'!$U$4:$U$503,(_calc!$E$708-500)))&amp;". ")&amp;IF(LEN(IF(LEN(INDEX('My equipment'!$V$4:$V$503,(_calc!$E$708-500)))=0,"",INDEX('My equipment'!$V$4:$V$503,(_calc!$E$708-500))))=0,"","Proof on file: "&amp;IF(LEN(INDEX('My equipment'!$V$4:$V$503,(_calc!$E$708-500)))=0,"",INDEX('My equipment'!$V$4:$V$503,(_calc!$E$708-500)))&amp;". ")&amp;IF(LEN(IF(LEN(INDEX('My equipment'!$W$4:$W$503,(_calc!$E$708-500)))=0,"",INDEX('My equipment'!$W$4:$W$503,(_calc!$E$708-500))))=0,"","Claim ref: "&amp;IF(LEN(INDEX('My equipment'!$W$4:$W$503,(_calc!$E$708-500)))=0,"",INDEX('My equipment'!$W$4:$W$503,(_calc!$E$708-500)))&amp;". ")&amp;IF(LEN(IF(LEN(INDEX('My equipment'!$Y$4:$Y$503,(_calc!$E$708-500)))=0,"",INDEX('My equipment'!$Y$4:$Y$503,(_calc!$E$708-500))))=0,"",IF(LEN(INDEX('My equipment'!$Y$4:$Y$503,(_calc!$E$708-500)))=0,"",INDEX('My equipment'!$Y$4:$Y$503,(_calc!$E$708-500)))))))</f>
        <v/>
      </c>
      <c r="G706" s="54">
        <f>IF(_calc!$E$708="","",IF(_calc!$E$708&lt;=500,"",IF(LEN(INDEX('My equipment'!$X$4:$X$503,(_calc!$E$708-500)))=0,"",INDEX('My equipment'!$X$4:$X$503,(_calc!$E$708-500)))))</f>
        <v/>
      </c>
      <c r="K706" s="54">
        <f>IF(_calc!$E$708="","",IF(_calc!$E$708&lt;=500,"",IF(LEN(INDEX('My equipment'!$T$4:$T$503,(_calc!$E$708-500)))=0,"",INDEX('My equipment'!$T$4:$T$503,(_calc!$E$708-500)))))</f>
        <v/>
      </c>
    </row>
    <row r="707">
      <c r="A707" s="54">
        <f>IF(_calc!$E$709="","",IF(_calc!$E$709&lt;=500,"Warranty – "&amp;IF(LEN(INDEX('Dealer pipeline'!$C$4:$C$503,_calc!$E$709))=0,"",INDEX('Dealer pipeline'!$C$4:$C$503,_calc!$E$709))&amp;" – "&amp;IF(LEN(INDEX('Dealer pipeline'!$D$4:$D$503,_calc!$E$709))=0,"",INDEX('Dealer pipeline'!$D$4:$D$503,_calc!$E$709))&amp;" – "&amp;IF(LEN(INDEX('Dealer pipeline'!$A$4:$A$503,_calc!$E$709))=0,"",INDEX('Dealer pipeline'!$A$4:$A$503,_calc!$E$709)),"Warranty – "&amp;IF(LEN(INDEX('My equipment'!$A$4:$A$503,(_calc!$E$709-500)))=0,"",INDEX('My equipment'!$A$4:$A$503,(_calc!$E$709-500)))&amp;" – "&amp;IF(LEN(INDEX('My equipment'!$D$4:$D$503,(_calc!$E$709-500)))=0,"",INDEX('My equipment'!$D$4:$D$503,(_calc!$E$709-500)))))</f>
        <v/>
      </c>
      <c r="B707" s="54">
        <f>IF(_calc!$E$709="","",IF(_calc!$E$709&lt;=500,IF(ISNUMBER(INDEX('Dealer pipeline'!$M$4:$M$503,_calc!$E$709)),TEXT(INDEX('Dealer pipeline'!$M$4:$M$503,_calc!$E$709),"yyyy-mm-dd"),""),IF(ISNUMBER(INDEX('My equipment'!$M$4:$M$503,(_calc!$E$709-500))),TEXT(INDEX('My equipment'!$M$4:$M$503,(_calc!$E$709-500)),"yyyy-mm-dd"),"")))</f>
        <v/>
      </c>
      <c r="C707" s="54">
        <f>IF(_calc!$E$709="","",IF(_calc!$E$709&lt;=500,"Warranty","Warranty"))</f>
        <v/>
      </c>
      <c r="D707" s="54">
        <f>IF(_calc!$E$709="","",IF(_calc!$E$709&lt;=500,IF(ISNUMBER(INDEX('Dealer pipeline'!$H$4:$H$503,_calc!$E$709)),TEXT(INDEX('Dealer pipeline'!$H$4:$H$503,_calc!$E$709),"yyyy-mm-dd"),""),IF(ISNUMBER(INDEX('My equipment'!$H$4:$H$503,(_calc!$E$709-500))),TEXT(INDEX('My equipment'!$H$4:$H$503,(_calc!$E$709-500)),"yyyy-mm-dd"),"")))</f>
        <v/>
      </c>
      <c r="F707" s="54">
        <f>IF(_calc!$E$709="","",IF(_calc!$E$709&lt;=500,TRIM(IF(LEN(IF(LEN(INDEX('Dealer pipeline'!$A$4:$A$503,_calc!$E$709))=0,"",INDEX('Dealer pipeline'!$A$4:$A$503,_calc!$E$709)))=0,"","Customer: "&amp;IF(LEN(INDEX('Dealer pipeline'!$A$4:$A$503,_calc!$E$709))=0,"",INDEX('Dealer pipeline'!$A$4:$A$503,_calc!$E$709))&amp;". ")&amp;IF(LEN(IF(LEN(INDEX('Dealer pipeline'!$B$4:$B$503,_calc!$E$709))=0,"",INDEX('Dealer pipeline'!$B$4:$B$503,_calc!$E$709)))=0,"","Contact: "&amp;IF(LEN(INDEX('Dealer pipeline'!$B$4:$B$503,_calc!$E$709))=0,"",INDEX('Dealer pipeline'!$B$4:$B$503,_calc!$E$709))&amp;". ")&amp;IF(LEN(IF(LEN(INDEX('Dealer pipeline'!$D$4:$D$503,_calc!$E$709))=0,"",INDEX('Dealer pipeline'!$D$4:$D$503,_calc!$E$709)))=0,"","Serial: "&amp;IF(LEN(INDEX('Dealer pipeline'!$D$4:$D$503,_calc!$E$709))=0,"",INDEX('Dealer pipeline'!$D$4:$D$503,_calc!$E$709))&amp;". ")&amp;IF(LEN(IF(ISNUMBER(INDEX('Dealer pipeline'!$J$4:$J$503,_calc!$E$709)),TEXT(INDEX('Dealer pipeline'!$J$4:$J$503,_calc!$E$709),"yyyy-mm-dd"),""))=0,"","Parts end: "&amp;IF(ISNUMBER(INDEX('Dealer pipeline'!$J$4:$J$503,_calc!$E$709)),TEXT(INDEX('Dealer pipeline'!$J$4:$J$503,_calc!$E$709),"yyyy-mm-dd"),"")&amp;". ")&amp;IF(LEN(IF(ISNUMBER(INDEX('Dealer pipeline'!$L$4:$L$503,_calc!$E$709)),TEXT(INDEX('Dealer pipeline'!$L$4:$L$503,_calc!$E$709),"yyyy-mm-dd"),""))=0,"","Labor end: "&amp;IF(ISNUMBER(INDEX('Dealer pipeline'!$L$4:$L$503,_calc!$E$709)),TEXT(INDEX('Dealer pipeline'!$L$4:$L$503,_calc!$E$709),"yyyy-mm-dd"),"")&amp;". ")&amp;IF(LEN(IF(LEN(INDEX('Dealer pipeline'!$Q$4:$Q$503,_calc!$E$709))=0,"",INDEX('Dealer pipeline'!$Q$4:$Q$503,_calc!$E$709)))=0,"","Status: "&amp;IF(LEN(INDEX('Dealer pipeline'!$Q$4:$Q$503,_calc!$E$709))=0,"",INDEX('Dealer pipeline'!$Q$4:$Q$503,_calc!$E$709))&amp;". ")&amp;IF(LEN(IF(LEN(INDEX('Dealer pipeline'!$P$4:$P$503,_calc!$E$709))=0,"",INDEX('Dealer pipeline'!$P$4:$P$503,_calc!$E$709)))=0,"","Last touch: "&amp;IF(LEN(INDEX('Dealer pipeline'!$P$4:$P$503,_calc!$E$709))=0,"",INDEX('Dealer pipeline'!$P$4:$P$503,_calc!$E$709))&amp;". ")&amp;IF(LEN(IF(LEN(INDEX('Dealer pipeline'!$R$4:$R$503,_calc!$E$709))=0,"",INDEX('Dealer pipeline'!$R$4:$R$503,_calc!$E$709)))=0,"","Owner: "&amp;IF(LEN(INDEX('Dealer pipeline'!$R$4:$R$503,_calc!$E$709))=0,"",INDEX('Dealer pipeline'!$R$4:$R$503,_calc!$E$709))&amp;". ")&amp;IF(LEN(IF(LEN(INDEX('Dealer pipeline'!$S$4:$S$503,_calc!$E$709))=0,"",INDEX('Dealer pipeline'!$S$4:$S$503,_calc!$E$709)))=0,"","Backup: "&amp;IF(LEN(INDEX('Dealer pipeline'!$S$4:$S$503,_calc!$E$709))=0,"",INDEX('Dealer pipeline'!$S$4:$S$503,_calc!$E$709))&amp;". ")&amp;IF(LEN(IF(LEN(INDEX('Dealer pipeline'!$T$4:$T$503,_calc!$E$709))=0,"",INDEX('Dealer pipeline'!$T$4:$T$503,_calc!$E$709)))=0,"",IF(LEN(INDEX('Dealer pipeline'!$T$4:$T$503,_calc!$E$709))=0,"",INDEX('Dealer pipeline'!$T$4:$T$503,_calc!$E$709)))),TRIM(IF(LEN(IF(LEN(INDEX('My equipment'!$C$4:$C$503,(_calc!$E$709-500)))=0,"",INDEX('My equipment'!$C$4:$C$503,(_calc!$E$709-500))))=0,"","Model: "&amp;IF(LEN(INDEX('My equipment'!$C$4:$C$503,(_calc!$E$709-500)))=0,"",INDEX('My equipment'!$C$4:$C$503,(_calc!$E$709-500)))&amp;". ")&amp;IF(LEN(IF(LEN(INDEX('My equipment'!$D$4:$D$503,(_calc!$E$709-500)))=0,"",INDEX('My equipment'!$D$4:$D$503,(_calc!$E$709-500))))=0,"","Serial: "&amp;IF(LEN(INDEX('My equipment'!$D$4:$D$503,(_calc!$E$709-500)))=0,"",INDEX('My equipment'!$D$4:$D$503,(_calc!$E$709-500)))&amp;". ")&amp;IF(LEN(IF(ISNUMBER(INDEX('My equipment'!$J$4:$J$503,(_calc!$E$709-500))),TEXT(INDEX('My equipment'!$J$4:$J$503,(_calc!$E$709-500)),"yyyy-mm-dd"),""))=0,"","Parts end: "&amp;IF(ISNUMBER(INDEX('My equipment'!$J$4:$J$503,(_calc!$E$709-500))),TEXT(INDEX('My equipment'!$J$4:$J$503,(_calc!$E$709-500)),"yyyy-mm-dd"),"")&amp;". ")&amp;IF(LEN(IF(ISNUMBER(INDEX('My equipment'!$L$4:$L$503,(_calc!$E$709-500))),TEXT(INDEX('My equipment'!$L$4:$L$503,(_calc!$E$709-500)),"yyyy-mm-dd"),""))=0,"","Labor end: "&amp;IF(ISNUMBER(INDEX('My equipment'!$L$4:$L$503,(_calc!$E$709-500))),TEXT(INDEX('My equipment'!$L$4:$L$503,(_calc!$E$709-500)),"yyyy-mm-dd"),"")&amp;". ")&amp;IF(LEN(IF(ISNUMBER(INDEX('My equipment'!$P$4:$P$503,(_calc!$E$709-500))),TEXT(INDEX('My equipment'!$P$4:$P$503,(_calc!$E$709-500)),"yyyy-mm-dd"),""))=0,"","Check by: "&amp;IF(ISNUMBER(INDEX('My equipment'!$P$4:$P$503,(_calc!$E$709-500))),TEXT(INDEX('My equipment'!$P$4:$P$503,(_calc!$E$709-500)),"yyyy-mm-dd"),"")&amp;". ")&amp;IF(LEN(IF(LEN(INDEX('My equipment'!$Q$4:$Q$503,(_calc!$E$709-500)))=0,"",INDEX('My equipment'!$Q$4:$Q$503,(_calc!$E$709-500))))=0,"","Claim status: "&amp;IF(LEN(INDEX('My equipment'!$Q$4:$Q$503,(_calc!$E$709-500)))=0,"",INDEX('My equipment'!$Q$4:$Q$503,(_calc!$E$709-500)))&amp;". ")&amp;IF(LEN(IF(LEN(INDEX('My equipment'!$R$4:$R$503,(_calc!$E$709-500)))=0,"",INDEX('My equipment'!$R$4:$R$503,(_calc!$E$709-500))))=0,"","Claims contact: "&amp;IF(LEN(INDEX('My equipment'!$R$4:$R$503,(_calc!$E$709-500)))=0,"",INDEX('My equipment'!$R$4:$R$503,(_calc!$E$709-500)))&amp;". ")&amp;IF(LEN(IF(LEN(INDEX('My equipment'!$S$4:$S$503,(_calc!$E$709-500)))=0,"",INDEX('My equipment'!$S$4:$S$503,(_calc!$E$709-500))))=0,"","Claims email: "&amp;IF(LEN(INDEX('My equipment'!$S$4:$S$503,(_calc!$E$709-500)))=0,"",INDEX('My equipment'!$S$4:$S$503,(_calc!$E$709-500)))&amp;". ")&amp;IF(LEN(IF(LEN(INDEX('My equipment'!$U$4:$U$503,(_calc!$E$709-500)))=0,"",INDEX('My equipment'!$U$4:$U$503,(_calc!$E$709-500))))=0,"","Registered: "&amp;IF(LEN(INDEX('My equipment'!$U$4:$U$503,(_calc!$E$709-500)))=0,"",INDEX('My equipment'!$U$4:$U$503,(_calc!$E$709-500)))&amp;". ")&amp;IF(LEN(IF(LEN(INDEX('My equipment'!$V$4:$V$503,(_calc!$E$709-500)))=0,"",INDEX('My equipment'!$V$4:$V$503,(_calc!$E$709-500))))=0,"","Proof on file: "&amp;IF(LEN(INDEX('My equipment'!$V$4:$V$503,(_calc!$E$709-500)))=0,"",INDEX('My equipment'!$V$4:$V$503,(_calc!$E$709-500)))&amp;". ")&amp;IF(LEN(IF(LEN(INDEX('My equipment'!$W$4:$W$503,(_calc!$E$709-500)))=0,"",INDEX('My equipment'!$W$4:$W$503,(_calc!$E$709-500))))=0,"","Claim ref: "&amp;IF(LEN(INDEX('My equipment'!$W$4:$W$503,(_calc!$E$709-500)))=0,"",INDEX('My equipment'!$W$4:$W$503,(_calc!$E$709-500)))&amp;". ")&amp;IF(LEN(IF(LEN(INDEX('My equipment'!$Y$4:$Y$503,(_calc!$E$709-500)))=0,"",INDEX('My equipment'!$Y$4:$Y$503,(_calc!$E$709-500))))=0,"",IF(LEN(INDEX('My equipment'!$Y$4:$Y$503,(_calc!$E$709-500)))=0,"",INDEX('My equipment'!$Y$4:$Y$503,(_calc!$E$709-500)))))))</f>
        <v/>
      </c>
      <c r="G707" s="54">
        <f>IF(_calc!$E$709="","",IF(_calc!$E$709&lt;=500,"",IF(LEN(INDEX('My equipment'!$X$4:$X$503,(_calc!$E$709-500)))=0,"",INDEX('My equipment'!$X$4:$X$503,(_calc!$E$709-500)))))</f>
        <v/>
      </c>
      <c r="K707" s="54">
        <f>IF(_calc!$E$709="","",IF(_calc!$E$709&lt;=500,"",IF(LEN(INDEX('My equipment'!$T$4:$T$503,(_calc!$E$709-500)))=0,"",INDEX('My equipment'!$T$4:$T$503,(_calc!$E$709-500)))))</f>
        <v/>
      </c>
    </row>
    <row r="708">
      <c r="A708" s="54">
        <f>IF(_calc!$E$710="","",IF(_calc!$E$710&lt;=500,"Warranty – "&amp;IF(LEN(INDEX('Dealer pipeline'!$C$4:$C$503,_calc!$E$710))=0,"",INDEX('Dealer pipeline'!$C$4:$C$503,_calc!$E$710))&amp;" – "&amp;IF(LEN(INDEX('Dealer pipeline'!$D$4:$D$503,_calc!$E$710))=0,"",INDEX('Dealer pipeline'!$D$4:$D$503,_calc!$E$710))&amp;" – "&amp;IF(LEN(INDEX('Dealer pipeline'!$A$4:$A$503,_calc!$E$710))=0,"",INDEX('Dealer pipeline'!$A$4:$A$503,_calc!$E$710)),"Warranty – "&amp;IF(LEN(INDEX('My equipment'!$A$4:$A$503,(_calc!$E$710-500)))=0,"",INDEX('My equipment'!$A$4:$A$503,(_calc!$E$710-500)))&amp;" – "&amp;IF(LEN(INDEX('My equipment'!$D$4:$D$503,(_calc!$E$710-500)))=0,"",INDEX('My equipment'!$D$4:$D$503,(_calc!$E$710-500)))))</f>
        <v/>
      </c>
      <c r="B708" s="54">
        <f>IF(_calc!$E$710="","",IF(_calc!$E$710&lt;=500,IF(ISNUMBER(INDEX('Dealer pipeline'!$M$4:$M$503,_calc!$E$710)),TEXT(INDEX('Dealer pipeline'!$M$4:$M$503,_calc!$E$710),"yyyy-mm-dd"),""),IF(ISNUMBER(INDEX('My equipment'!$M$4:$M$503,(_calc!$E$710-500))),TEXT(INDEX('My equipment'!$M$4:$M$503,(_calc!$E$710-500)),"yyyy-mm-dd"),"")))</f>
        <v/>
      </c>
      <c r="C708" s="54">
        <f>IF(_calc!$E$710="","",IF(_calc!$E$710&lt;=500,"Warranty","Warranty"))</f>
        <v/>
      </c>
      <c r="D708" s="54">
        <f>IF(_calc!$E$710="","",IF(_calc!$E$710&lt;=500,IF(ISNUMBER(INDEX('Dealer pipeline'!$H$4:$H$503,_calc!$E$710)),TEXT(INDEX('Dealer pipeline'!$H$4:$H$503,_calc!$E$710),"yyyy-mm-dd"),""),IF(ISNUMBER(INDEX('My equipment'!$H$4:$H$503,(_calc!$E$710-500))),TEXT(INDEX('My equipment'!$H$4:$H$503,(_calc!$E$710-500)),"yyyy-mm-dd"),"")))</f>
        <v/>
      </c>
      <c r="F708" s="54">
        <f>IF(_calc!$E$710="","",IF(_calc!$E$710&lt;=500,TRIM(IF(LEN(IF(LEN(INDEX('Dealer pipeline'!$A$4:$A$503,_calc!$E$710))=0,"",INDEX('Dealer pipeline'!$A$4:$A$503,_calc!$E$710)))=0,"","Customer: "&amp;IF(LEN(INDEX('Dealer pipeline'!$A$4:$A$503,_calc!$E$710))=0,"",INDEX('Dealer pipeline'!$A$4:$A$503,_calc!$E$710))&amp;". ")&amp;IF(LEN(IF(LEN(INDEX('Dealer pipeline'!$B$4:$B$503,_calc!$E$710))=0,"",INDEX('Dealer pipeline'!$B$4:$B$503,_calc!$E$710)))=0,"","Contact: "&amp;IF(LEN(INDEX('Dealer pipeline'!$B$4:$B$503,_calc!$E$710))=0,"",INDEX('Dealer pipeline'!$B$4:$B$503,_calc!$E$710))&amp;". ")&amp;IF(LEN(IF(LEN(INDEX('Dealer pipeline'!$D$4:$D$503,_calc!$E$710))=0,"",INDEX('Dealer pipeline'!$D$4:$D$503,_calc!$E$710)))=0,"","Serial: "&amp;IF(LEN(INDEX('Dealer pipeline'!$D$4:$D$503,_calc!$E$710))=0,"",INDEX('Dealer pipeline'!$D$4:$D$503,_calc!$E$710))&amp;". ")&amp;IF(LEN(IF(ISNUMBER(INDEX('Dealer pipeline'!$J$4:$J$503,_calc!$E$710)),TEXT(INDEX('Dealer pipeline'!$J$4:$J$503,_calc!$E$710),"yyyy-mm-dd"),""))=0,"","Parts end: "&amp;IF(ISNUMBER(INDEX('Dealer pipeline'!$J$4:$J$503,_calc!$E$710)),TEXT(INDEX('Dealer pipeline'!$J$4:$J$503,_calc!$E$710),"yyyy-mm-dd"),"")&amp;". ")&amp;IF(LEN(IF(ISNUMBER(INDEX('Dealer pipeline'!$L$4:$L$503,_calc!$E$710)),TEXT(INDEX('Dealer pipeline'!$L$4:$L$503,_calc!$E$710),"yyyy-mm-dd"),""))=0,"","Labor end: "&amp;IF(ISNUMBER(INDEX('Dealer pipeline'!$L$4:$L$503,_calc!$E$710)),TEXT(INDEX('Dealer pipeline'!$L$4:$L$503,_calc!$E$710),"yyyy-mm-dd"),"")&amp;". ")&amp;IF(LEN(IF(LEN(INDEX('Dealer pipeline'!$Q$4:$Q$503,_calc!$E$710))=0,"",INDEX('Dealer pipeline'!$Q$4:$Q$503,_calc!$E$710)))=0,"","Status: "&amp;IF(LEN(INDEX('Dealer pipeline'!$Q$4:$Q$503,_calc!$E$710))=0,"",INDEX('Dealer pipeline'!$Q$4:$Q$503,_calc!$E$710))&amp;". ")&amp;IF(LEN(IF(LEN(INDEX('Dealer pipeline'!$P$4:$P$503,_calc!$E$710))=0,"",INDEX('Dealer pipeline'!$P$4:$P$503,_calc!$E$710)))=0,"","Last touch: "&amp;IF(LEN(INDEX('Dealer pipeline'!$P$4:$P$503,_calc!$E$710))=0,"",INDEX('Dealer pipeline'!$P$4:$P$503,_calc!$E$710))&amp;". ")&amp;IF(LEN(IF(LEN(INDEX('Dealer pipeline'!$R$4:$R$503,_calc!$E$710))=0,"",INDEX('Dealer pipeline'!$R$4:$R$503,_calc!$E$710)))=0,"","Owner: "&amp;IF(LEN(INDEX('Dealer pipeline'!$R$4:$R$503,_calc!$E$710))=0,"",INDEX('Dealer pipeline'!$R$4:$R$503,_calc!$E$710))&amp;". ")&amp;IF(LEN(IF(LEN(INDEX('Dealer pipeline'!$S$4:$S$503,_calc!$E$710))=0,"",INDEX('Dealer pipeline'!$S$4:$S$503,_calc!$E$710)))=0,"","Backup: "&amp;IF(LEN(INDEX('Dealer pipeline'!$S$4:$S$503,_calc!$E$710))=0,"",INDEX('Dealer pipeline'!$S$4:$S$503,_calc!$E$710))&amp;". ")&amp;IF(LEN(IF(LEN(INDEX('Dealer pipeline'!$T$4:$T$503,_calc!$E$710))=0,"",INDEX('Dealer pipeline'!$T$4:$T$503,_calc!$E$710)))=0,"",IF(LEN(INDEX('Dealer pipeline'!$T$4:$T$503,_calc!$E$710))=0,"",INDEX('Dealer pipeline'!$T$4:$T$503,_calc!$E$710)))),TRIM(IF(LEN(IF(LEN(INDEX('My equipment'!$C$4:$C$503,(_calc!$E$710-500)))=0,"",INDEX('My equipment'!$C$4:$C$503,(_calc!$E$710-500))))=0,"","Model: "&amp;IF(LEN(INDEX('My equipment'!$C$4:$C$503,(_calc!$E$710-500)))=0,"",INDEX('My equipment'!$C$4:$C$503,(_calc!$E$710-500)))&amp;". ")&amp;IF(LEN(IF(LEN(INDEX('My equipment'!$D$4:$D$503,(_calc!$E$710-500)))=0,"",INDEX('My equipment'!$D$4:$D$503,(_calc!$E$710-500))))=0,"","Serial: "&amp;IF(LEN(INDEX('My equipment'!$D$4:$D$503,(_calc!$E$710-500)))=0,"",INDEX('My equipment'!$D$4:$D$503,(_calc!$E$710-500)))&amp;". ")&amp;IF(LEN(IF(ISNUMBER(INDEX('My equipment'!$J$4:$J$503,(_calc!$E$710-500))),TEXT(INDEX('My equipment'!$J$4:$J$503,(_calc!$E$710-500)),"yyyy-mm-dd"),""))=0,"","Parts end: "&amp;IF(ISNUMBER(INDEX('My equipment'!$J$4:$J$503,(_calc!$E$710-500))),TEXT(INDEX('My equipment'!$J$4:$J$503,(_calc!$E$710-500)),"yyyy-mm-dd"),"")&amp;". ")&amp;IF(LEN(IF(ISNUMBER(INDEX('My equipment'!$L$4:$L$503,(_calc!$E$710-500))),TEXT(INDEX('My equipment'!$L$4:$L$503,(_calc!$E$710-500)),"yyyy-mm-dd"),""))=0,"","Labor end: "&amp;IF(ISNUMBER(INDEX('My equipment'!$L$4:$L$503,(_calc!$E$710-500))),TEXT(INDEX('My equipment'!$L$4:$L$503,(_calc!$E$710-500)),"yyyy-mm-dd"),"")&amp;". ")&amp;IF(LEN(IF(ISNUMBER(INDEX('My equipment'!$P$4:$P$503,(_calc!$E$710-500))),TEXT(INDEX('My equipment'!$P$4:$P$503,(_calc!$E$710-500)),"yyyy-mm-dd"),""))=0,"","Check by: "&amp;IF(ISNUMBER(INDEX('My equipment'!$P$4:$P$503,(_calc!$E$710-500))),TEXT(INDEX('My equipment'!$P$4:$P$503,(_calc!$E$710-500)),"yyyy-mm-dd"),"")&amp;". ")&amp;IF(LEN(IF(LEN(INDEX('My equipment'!$Q$4:$Q$503,(_calc!$E$710-500)))=0,"",INDEX('My equipment'!$Q$4:$Q$503,(_calc!$E$710-500))))=0,"","Claim status: "&amp;IF(LEN(INDEX('My equipment'!$Q$4:$Q$503,(_calc!$E$710-500)))=0,"",INDEX('My equipment'!$Q$4:$Q$503,(_calc!$E$710-500)))&amp;". ")&amp;IF(LEN(IF(LEN(INDEX('My equipment'!$R$4:$R$503,(_calc!$E$710-500)))=0,"",INDEX('My equipment'!$R$4:$R$503,(_calc!$E$710-500))))=0,"","Claims contact: "&amp;IF(LEN(INDEX('My equipment'!$R$4:$R$503,(_calc!$E$710-500)))=0,"",INDEX('My equipment'!$R$4:$R$503,(_calc!$E$710-500)))&amp;". ")&amp;IF(LEN(IF(LEN(INDEX('My equipment'!$S$4:$S$503,(_calc!$E$710-500)))=0,"",INDEX('My equipment'!$S$4:$S$503,(_calc!$E$710-500))))=0,"","Claims email: "&amp;IF(LEN(INDEX('My equipment'!$S$4:$S$503,(_calc!$E$710-500)))=0,"",INDEX('My equipment'!$S$4:$S$503,(_calc!$E$710-500)))&amp;". ")&amp;IF(LEN(IF(LEN(INDEX('My equipment'!$U$4:$U$503,(_calc!$E$710-500)))=0,"",INDEX('My equipment'!$U$4:$U$503,(_calc!$E$710-500))))=0,"","Registered: "&amp;IF(LEN(INDEX('My equipment'!$U$4:$U$503,(_calc!$E$710-500)))=0,"",INDEX('My equipment'!$U$4:$U$503,(_calc!$E$710-500)))&amp;". ")&amp;IF(LEN(IF(LEN(INDEX('My equipment'!$V$4:$V$503,(_calc!$E$710-500)))=0,"",INDEX('My equipment'!$V$4:$V$503,(_calc!$E$710-500))))=0,"","Proof on file: "&amp;IF(LEN(INDEX('My equipment'!$V$4:$V$503,(_calc!$E$710-500)))=0,"",INDEX('My equipment'!$V$4:$V$503,(_calc!$E$710-500)))&amp;". ")&amp;IF(LEN(IF(LEN(INDEX('My equipment'!$W$4:$W$503,(_calc!$E$710-500)))=0,"",INDEX('My equipment'!$W$4:$W$503,(_calc!$E$710-500))))=0,"","Claim ref: "&amp;IF(LEN(INDEX('My equipment'!$W$4:$W$503,(_calc!$E$710-500)))=0,"",INDEX('My equipment'!$W$4:$W$503,(_calc!$E$710-500)))&amp;". ")&amp;IF(LEN(IF(LEN(INDEX('My equipment'!$Y$4:$Y$503,(_calc!$E$710-500)))=0,"",INDEX('My equipment'!$Y$4:$Y$503,(_calc!$E$710-500))))=0,"",IF(LEN(INDEX('My equipment'!$Y$4:$Y$503,(_calc!$E$710-500)))=0,"",INDEX('My equipment'!$Y$4:$Y$503,(_calc!$E$710-500)))))))</f>
        <v/>
      </c>
      <c r="G708" s="54">
        <f>IF(_calc!$E$710="","",IF(_calc!$E$710&lt;=500,"",IF(LEN(INDEX('My equipment'!$X$4:$X$503,(_calc!$E$710-500)))=0,"",INDEX('My equipment'!$X$4:$X$503,(_calc!$E$710-500)))))</f>
        <v/>
      </c>
      <c r="K708" s="54">
        <f>IF(_calc!$E$710="","",IF(_calc!$E$710&lt;=500,"",IF(LEN(INDEX('My equipment'!$T$4:$T$503,(_calc!$E$710-500)))=0,"",INDEX('My equipment'!$T$4:$T$503,(_calc!$E$710-500)))))</f>
        <v/>
      </c>
    </row>
    <row r="709">
      <c r="A709" s="54">
        <f>IF(_calc!$E$711="","",IF(_calc!$E$711&lt;=500,"Warranty – "&amp;IF(LEN(INDEX('Dealer pipeline'!$C$4:$C$503,_calc!$E$711))=0,"",INDEX('Dealer pipeline'!$C$4:$C$503,_calc!$E$711))&amp;" – "&amp;IF(LEN(INDEX('Dealer pipeline'!$D$4:$D$503,_calc!$E$711))=0,"",INDEX('Dealer pipeline'!$D$4:$D$503,_calc!$E$711))&amp;" – "&amp;IF(LEN(INDEX('Dealer pipeline'!$A$4:$A$503,_calc!$E$711))=0,"",INDEX('Dealer pipeline'!$A$4:$A$503,_calc!$E$711)),"Warranty – "&amp;IF(LEN(INDEX('My equipment'!$A$4:$A$503,(_calc!$E$711-500)))=0,"",INDEX('My equipment'!$A$4:$A$503,(_calc!$E$711-500)))&amp;" – "&amp;IF(LEN(INDEX('My equipment'!$D$4:$D$503,(_calc!$E$711-500)))=0,"",INDEX('My equipment'!$D$4:$D$503,(_calc!$E$711-500)))))</f>
        <v/>
      </c>
      <c r="B709" s="54">
        <f>IF(_calc!$E$711="","",IF(_calc!$E$711&lt;=500,IF(ISNUMBER(INDEX('Dealer pipeline'!$M$4:$M$503,_calc!$E$711)),TEXT(INDEX('Dealer pipeline'!$M$4:$M$503,_calc!$E$711),"yyyy-mm-dd"),""),IF(ISNUMBER(INDEX('My equipment'!$M$4:$M$503,(_calc!$E$711-500))),TEXT(INDEX('My equipment'!$M$4:$M$503,(_calc!$E$711-500)),"yyyy-mm-dd"),"")))</f>
        <v/>
      </c>
      <c r="C709" s="54">
        <f>IF(_calc!$E$711="","",IF(_calc!$E$711&lt;=500,"Warranty","Warranty"))</f>
        <v/>
      </c>
      <c r="D709" s="54">
        <f>IF(_calc!$E$711="","",IF(_calc!$E$711&lt;=500,IF(ISNUMBER(INDEX('Dealer pipeline'!$H$4:$H$503,_calc!$E$711)),TEXT(INDEX('Dealer pipeline'!$H$4:$H$503,_calc!$E$711),"yyyy-mm-dd"),""),IF(ISNUMBER(INDEX('My equipment'!$H$4:$H$503,(_calc!$E$711-500))),TEXT(INDEX('My equipment'!$H$4:$H$503,(_calc!$E$711-500)),"yyyy-mm-dd"),"")))</f>
        <v/>
      </c>
      <c r="F709" s="54">
        <f>IF(_calc!$E$711="","",IF(_calc!$E$711&lt;=500,TRIM(IF(LEN(IF(LEN(INDEX('Dealer pipeline'!$A$4:$A$503,_calc!$E$711))=0,"",INDEX('Dealer pipeline'!$A$4:$A$503,_calc!$E$711)))=0,"","Customer: "&amp;IF(LEN(INDEX('Dealer pipeline'!$A$4:$A$503,_calc!$E$711))=0,"",INDEX('Dealer pipeline'!$A$4:$A$503,_calc!$E$711))&amp;". ")&amp;IF(LEN(IF(LEN(INDEX('Dealer pipeline'!$B$4:$B$503,_calc!$E$711))=0,"",INDEX('Dealer pipeline'!$B$4:$B$503,_calc!$E$711)))=0,"","Contact: "&amp;IF(LEN(INDEX('Dealer pipeline'!$B$4:$B$503,_calc!$E$711))=0,"",INDEX('Dealer pipeline'!$B$4:$B$503,_calc!$E$711))&amp;". ")&amp;IF(LEN(IF(LEN(INDEX('Dealer pipeline'!$D$4:$D$503,_calc!$E$711))=0,"",INDEX('Dealer pipeline'!$D$4:$D$503,_calc!$E$711)))=0,"","Serial: "&amp;IF(LEN(INDEX('Dealer pipeline'!$D$4:$D$503,_calc!$E$711))=0,"",INDEX('Dealer pipeline'!$D$4:$D$503,_calc!$E$711))&amp;". ")&amp;IF(LEN(IF(ISNUMBER(INDEX('Dealer pipeline'!$J$4:$J$503,_calc!$E$711)),TEXT(INDEX('Dealer pipeline'!$J$4:$J$503,_calc!$E$711),"yyyy-mm-dd"),""))=0,"","Parts end: "&amp;IF(ISNUMBER(INDEX('Dealer pipeline'!$J$4:$J$503,_calc!$E$711)),TEXT(INDEX('Dealer pipeline'!$J$4:$J$503,_calc!$E$711),"yyyy-mm-dd"),"")&amp;". ")&amp;IF(LEN(IF(ISNUMBER(INDEX('Dealer pipeline'!$L$4:$L$503,_calc!$E$711)),TEXT(INDEX('Dealer pipeline'!$L$4:$L$503,_calc!$E$711),"yyyy-mm-dd"),""))=0,"","Labor end: "&amp;IF(ISNUMBER(INDEX('Dealer pipeline'!$L$4:$L$503,_calc!$E$711)),TEXT(INDEX('Dealer pipeline'!$L$4:$L$503,_calc!$E$711),"yyyy-mm-dd"),"")&amp;". ")&amp;IF(LEN(IF(LEN(INDEX('Dealer pipeline'!$Q$4:$Q$503,_calc!$E$711))=0,"",INDEX('Dealer pipeline'!$Q$4:$Q$503,_calc!$E$711)))=0,"","Status: "&amp;IF(LEN(INDEX('Dealer pipeline'!$Q$4:$Q$503,_calc!$E$711))=0,"",INDEX('Dealer pipeline'!$Q$4:$Q$503,_calc!$E$711))&amp;". ")&amp;IF(LEN(IF(LEN(INDEX('Dealer pipeline'!$P$4:$P$503,_calc!$E$711))=0,"",INDEX('Dealer pipeline'!$P$4:$P$503,_calc!$E$711)))=0,"","Last touch: "&amp;IF(LEN(INDEX('Dealer pipeline'!$P$4:$P$503,_calc!$E$711))=0,"",INDEX('Dealer pipeline'!$P$4:$P$503,_calc!$E$711))&amp;". ")&amp;IF(LEN(IF(LEN(INDEX('Dealer pipeline'!$R$4:$R$503,_calc!$E$711))=0,"",INDEX('Dealer pipeline'!$R$4:$R$503,_calc!$E$711)))=0,"","Owner: "&amp;IF(LEN(INDEX('Dealer pipeline'!$R$4:$R$503,_calc!$E$711))=0,"",INDEX('Dealer pipeline'!$R$4:$R$503,_calc!$E$711))&amp;". ")&amp;IF(LEN(IF(LEN(INDEX('Dealer pipeline'!$S$4:$S$503,_calc!$E$711))=0,"",INDEX('Dealer pipeline'!$S$4:$S$503,_calc!$E$711)))=0,"","Backup: "&amp;IF(LEN(INDEX('Dealer pipeline'!$S$4:$S$503,_calc!$E$711))=0,"",INDEX('Dealer pipeline'!$S$4:$S$503,_calc!$E$711))&amp;". ")&amp;IF(LEN(IF(LEN(INDEX('Dealer pipeline'!$T$4:$T$503,_calc!$E$711))=0,"",INDEX('Dealer pipeline'!$T$4:$T$503,_calc!$E$711)))=0,"",IF(LEN(INDEX('Dealer pipeline'!$T$4:$T$503,_calc!$E$711))=0,"",INDEX('Dealer pipeline'!$T$4:$T$503,_calc!$E$711)))),TRIM(IF(LEN(IF(LEN(INDEX('My equipment'!$C$4:$C$503,(_calc!$E$711-500)))=0,"",INDEX('My equipment'!$C$4:$C$503,(_calc!$E$711-500))))=0,"","Model: "&amp;IF(LEN(INDEX('My equipment'!$C$4:$C$503,(_calc!$E$711-500)))=0,"",INDEX('My equipment'!$C$4:$C$503,(_calc!$E$711-500)))&amp;". ")&amp;IF(LEN(IF(LEN(INDEX('My equipment'!$D$4:$D$503,(_calc!$E$711-500)))=0,"",INDEX('My equipment'!$D$4:$D$503,(_calc!$E$711-500))))=0,"","Serial: "&amp;IF(LEN(INDEX('My equipment'!$D$4:$D$503,(_calc!$E$711-500)))=0,"",INDEX('My equipment'!$D$4:$D$503,(_calc!$E$711-500)))&amp;". ")&amp;IF(LEN(IF(ISNUMBER(INDEX('My equipment'!$J$4:$J$503,(_calc!$E$711-500))),TEXT(INDEX('My equipment'!$J$4:$J$503,(_calc!$E$711-500)),"yyyy-mm-dd"),""))=0,"","Parts end: "&amp;IF(ISNUMBER(INDEX('My equipment'!$J$4:$J$503,(_calc!$E$711-500))),TEXT(INDEX('My equipment'!$J$4:$J$503,(_calc!$E$711-500)),"yyyy-mm-dd"),"")&amp;". ")&amp;IF(LEN(IF(ISNUMBER(INDEX('My equipment'!$L$4:$L$503,(_calc!$E$711-500))),TEXT(INDEX('My equipment'!$L$4:$L$503,(_calc!$E$711-500)),"yyyy-mm-dd"),""))=0,"","Labor end: "&amp;IF(ISNUMBER(INDEX('My equipment'!$L$4:$L$503,(_calc!$E$711-500))),TEXT(INDEX('My equipment'!$L$4:$L$503,(_calc!$E$711-500)),"yyyy-mm-dd"),"")&amp;". ")&amp;IF(LEN(IF(ISNUMBER(INDEX('My equipment'!$P$4:$P$503,(_calc!$E$711-500))),TEXT(INDEX('My equipment'!$P$4:$P$503,(_calc!$E$711-500)),"yyyy-mm-dd"),""))=0,"","Check by: "&amp;IF(ISNUMBER(INDEX('My equipment'!$P$4:$P$503,(_calc!$E$711-500))),TEXT(INDEX('My equipment'!$P$4:$P$503,(_calc!$E$711-500)),"yyyy-mm-dd"),"")&amp;". ")&amp;IF(LEN(IF(LEN(INDEX('My equipment'!$Q$4:$Q$503,(_calc!$E$711-500)))=0,"",INDEX('My equipment'!$Q$4:$Q$503,(_calc!$E$711-500))))=0,"","Claim status: "&amp;IF(LEN(INDEX('My equipment'!$Q$4:$Q$503,(_calc!$E$711-500)))=0,"",INDEX('My equipment'!$Q$4:$Q$503,(_calc!$E$711-500)))&amp;". ")&amp;IF(LEN(IF(LEN(INDEX('My equipment'!$R$4:$R$503,(_calc!$E$711-500)))=0,"",INDEX('My equipment'!$R$4:$R$503,(_calc!$E$711-500))))=0,"","Claims contact: "&amp;IF(LEN(INDEX('My equipment'!$R$4:$R$503,(_calc!$E$711-500)))=0,"",INDEX('My equipment'!$R$4:$R$503,(_calc!$E$711-500)))&amp;". ")&amp;IF(LEN(IF(LEN(INDEX('My equipment'!$S$4:$S$503,(_calc!$E$711-500)))=0,"",INDEX('My equipment'!$S$4:$S$503,(_calc!$E$711-500))))=0,"","Claims email: "&amp;IF(LEN(INDEX('My equipment'!$S$4:$S$503,(_calc!$E$711-500)))=0,"",INDEX('My equipment'!$S$4:$S$503,(_calc!$E$711-500)))&amp;". ")&amp;IF(LEN(IF(LEN(INDEX('My equipment'!$U$4:$U$503,(_calc!$E$711-500)))=0,"",INDEX('My equipment'!$U$4:$U$503,(_calc!$E$711-500))))=0,"","Registered: "&amp;IF(LEN(INDEX('My equipment'!$U$4:$U$503,(_calc!$E$711-500)))=0,"",INDEX('My equipment'!$U$4:$U$503,(_calc!$E$711-500)))&amp;". ")&amp;IF(LEN(IF(LEN(INDEX('My equipment'!$V$4:$V$503,(_calc!$E$711-500)))=0,"",INDEX('My equipment'!$V$4:$V$503,(_calc!$E$711-500))))=0,"","Proof on file: "&amp;IF(LEN(INDEX('My equipment'!$V$4:$V$503,(_calc!$E$711-500)))=0,"",INDEX('My equipment'!$V$4:$V$503,(_calc!$E$711-500)))&amp;". ")&amp;IF(LEN(IF(LEN(INDEX('My equipment'!$W$4:$W$503,(_calc!$E$711-500)))=0,"",INDEX('My equipment'!$W$4:$W$503,(_calc!$E$711-500))))=0,"","Claim ref: "&amp;IF(LEN(INDEX('My equipment'!$W$4:$W$503,(_calc!$E$711-500)))=0,"",INDEX('My equipment'!$W$4:$W$503,(_calc!$E$711-500)))&amp;". ")&amp;IF(LEN(IF(LEN(INDEX('My equipment'!$Y$4:$Y$503,(_calc!$E$711-500)))=0,"",INDEX('My equipment'!$Y$4:$Y$503,(_calc!$E$711-500))))=0,"",IF(LEN(INDEX('My equipment'!$Y$4:$Y$503,(_calc!$E$711-500)))=0,"",INDEX('My equipment'!$Y$4:$Y$503,(_calc!$E$711-500)))))))</f>
        <v/>
      </c>
      <c r="G709" s="54">
        <f>IF(_calc!$E$711="","",IF(_calc!$E$711&lt;=500,"",IF(LEN(INDEX('My equipment'!$X$4:$X$503,(_calc!$E$711-500)))=0,"",INDEX('My equipment'!$X$4:$X$503,(_calc!$E$711-500)))))</f>
        <v/>
      </c>
      <c r="K709" s="54">
        <f>IF(_calc!$E$711="","",IF(_calc!$E$711&lt;=500,"",IF(LEN(INDEX('My equipment'!$T$4:$T$503,(_calc!$E$711-500)))=0,"",INDEX('My equipment'!$T$4:$T$503,(_calc!$E$711-500)))))</f>
        <v/>
      </c>
    </row>
    <row r="710">
      <c r="A710" s="54">
        <f>IF(_calc!$E$712="","",IF(_calc!$E$712&lt;=500,"Warranty – "&amp;IF(LEN(INDEX('Dealer pipeline'!$C$4:$C$503,_calc!$E$712))=0,"",INDEX('Dealer pipeline'!$C$4:$C$503,_calc!$E$712))&amp;" – "&amp;IF(LEN(INDEX('Dealer pipeline'!$D$4:$D$503,_calc!$E$712))=0,"",INDEX('Dealer pipeline'!$D$4:$D$503,_calc!$E$712))&amp;" – "&amp;IF(LEN(INDEX('Dealer pipeline'!$A$4:$A$503,_calc!$E$712))=0,"",INDEX('Dealer pipeline'!$A$4:$A$503,_calc!$E$712)),"Warranty – "&amp;IF(LEN(INDEX('My equipment'!$A$4:$A$503,(_calc!$E$712-500)))=0,"",INDEX('My equipment'!$A$4:$A$503,(_calc!$E$712-500)))&amp;" – "&amp;IF(LEN(INDEX('My equipment'!$D$4:$D$503,(_calc!$E$712-500)))=0,"",INDEX('My equipment'!$D$4:$D$503,(_calc!$E$712-500)))))</f>
        <v/>
      </c>
      <c r="B710" s="54">
        <f>IF(_calc!$E$712="","",IF(_calc!$E$712&lt;=500,IF(ISNUMBER(INDEX('Dealer pipeline'!$M$4:$M$503,_calc!$E$712)),TEXT(INDEX('Dealer pipeline'!$M$4:$M$503,_calc!$E$712),"yyyy-mm-dd"),""),IF(ISNUMBER(INDEX('My equipment'!$M$4:$M$503,(_calc!$E$712-500))),TEXT(INDEX('My equipment'!$M$4:$M$503,(_calc!$E$712-500)),"yyyy-mm-dd"),"")))</f>
        <v/>
      </c>
      <c r="C710" s="54">
        <f>IF(_calc!$E$712="","",IF(_calc!$E$712&lt;=500,"Warranty","Warranty"))</f>
        <v/>
      </c>
      <c r="D710" s="54">
        <f>IF(_calc!$E$712="","",IF(_calc!$E$712&lt;=500,IF(ISNUMBER(INDEX('Dealer pipeline'!$H$4:$H$503,_calc!$E$712)),TEXT(INDEX('Dealer pipeline'!$H$4:$H$503,_calc!$E$712),"yyyy-mm-dd"),""),IF(ISNUMBER(INDEX('My equipment'!$H$4:$H$503,(_calc!$E$712-500))),TEXT(INDEX('My equipment'!$H$4:$H$503,(_calc!$E$712-500)),"yyyy-mm-dd"),"")))</f>
        <v/>
      </c>
      <c r="F710" s="54">
        <f>IF(_calc!$E$712="","",IF(_calc!$E$712&lt;=500,TRIM(IF(LEN(IF(LEN(INDEX('Dealer pipeline'!$A$4:$A$503,_calc!$E$712))=0,"",INDEX('Dealer pipeline'!$A$4:$A$503,_calc!$E$712)))=0,"","Customer: "&amp;IF(LEN(INDEX('Dealer pipeline'!$A$4:$A$503,_calc!$E$712))=0,"",INDEX('Dealer pipeline'!$A$4:$A$503,_calc!$E$712))&amp;". ")&amp;IF(LEN(IF(LEN(INDEX('Dealer pipeline'!$B$4:$B$503,_calc!$E$712))=0,"",INDEX('Dealer pipeline'!$B$4:$B$503,_calc!$E$712)))=0,"","Contact: "&amp;IF(LEN(INDEX('Dealer pipeline'!$B$4:$B$503,_calc!$E$712))=0,"",INDEX('Dealer pipeline'!$B$4:$B$503,_calc!$E$712))&amp;". ")&amp;IF(LEN(IF(LEN(INDEX('Dealer pipeline'!$D$4:$D$503,_calc!$E$712))=0,"",INDEX('Dealer pipeline'!$D$4:$D$503,_calc!$E$712)))=0,"","Serial: "&amp;IF(LEN(INDEX('Dealer pipeline'!$D$4:$D$503,_calc!$E$712))=0,"",INDEX('Dealer pipeline'!$D$4:$D$503,_calc!$E$712))&amp;". ")&amp;IF(LEN(IF(ISNUMBER(INDEX('Dealer pipeline'!$J$4:$J$503,_calc!$E$712)),TEXT(INDEX('Dealer pipeline'!$J$4:$J$503,_calc!$E$712),"yyyy-mm-dd"),""))=0,"","Parts end: "&amp;IF(ISNUMBER(INDEX('Dealer pipeline'!$J$4:$J$503,_calc!$E$712)),TEXT(INDEX('Dealer pipeline'!$J$4:$J$503,_calc!$E$712),"yyyy-mm-dd"),"")&amp;". ")&amp;IF(LEN(IF(ISNUMBER(INDEX('Dealer pipeline'!$L$4:$L$503,_calc!$E$712)),TEXT(INDEX('Dealer pipeline'!$L$4:$L$503,_calc!$E$712),"yyyy-mm-dd"),""))=0,"","Labor end: "&amp;IF(ISNUMBER(INDEX('Dealer pipeline'!$L$4:$L$503,_calc!$E$712)),TEXT(INDEX('Dealer pipeline'!$L$4:$L$503,_calc!$E$712),"yyyy-mm-dd"),"")&amp;". ")&amp;IF(LEN(IF(LEN(INDEX('Dealer pipeline'!$Q$4:$Q$503,_calc!$E$712))=0,"",INDEX('Dealer pipeline'!$Q$4:$Q$503,_calc!$E$712)))=0,"","Status: "&amp;IF(LEN(INDEX('Dealer pipeline'!$Q$4:$Q$503,_calc!$E$712))=0,"",INDEX('Dealer pipeline'!$Q$4:$Q$503,_calc!$E$712))&amp;". ")&amp;IF(LEN(IF(LEN(INDEX('Dealer pipeline'!$P$4:$P$503,_calc!$E$712))=0,"",INDEX('Dealer pipeline'!$P$4:$P$503,_calc!$E$712)))=0,"","Last touch: "&amp;IF(LEN(INDEX('Dealer pipeline'!$P$4:$P$503,_calc!$E$712))=0,"",INDEX('Dealer pipeline'!$P$4:$P$503,_calc!$E$712))&amp;". ")&amp;IF(LEN(IF(LEN(INDEX('Dealer pipeline'!$R$4:$R$503,_calc!$E$712))=0,"",INDEX('Dealer pipeline'!$R$4:$R$503,_calc!$E$712)))=0,"","Owner: "&amp;IF(LEN(INDEX('Dealer pipeline'!$R$4:$R$503,_calc!$E$712))=0,"",INDEX('Dealer pipeline'!$R$4:$R$503,_calc!$E$712))&amp;". ")&amp;IF(LEN(IF(LEN(INDEX('Dealer pipeline'!$S$4:$S$503,_calc!$E$712))=0,"",INDEX('Dealer pipeline'!$S$4:$S$503,_calc!$E$712)))=0,"","Backup: "&amp;IF(LEN(INDEX('Dealer pipeline'!$S$4:$S$503,_calc!$E$712))=0,"",INDEX('Dealer pipeline'!$S$4:$S$503,_calc!$E$712))&amp;". ")&amp;IF(LEN(IF(LEN(INDEX('Dealer pipeline'!$T$4:$T$503,_calc!$E$712))=0,"",INDEX('Dealer pipeline'!$T$4:$T$503,_calc!$E$712)))=0,"",IF(LEN(INDEX('Dealer pipeline'!$T$4:$T$503,_calc!$E$712))=0,"",INDEX('Dealer pipeline'!$T$4:$T$503,_calc!$E$712)))),TRIM(IF(LEN(IF(LEN(INDEX('My equipment'!$C$4:$C$503,(_calc!$E$712-500)))=0,"",INDEX('My equipment'!$C$4:$C$503,(_calc!$E$712-500))))=0,"","Model: "&amp;IF(LEN(INDEX('My equipment'!$C$4:$C$503,(_calc!$E$712-500)))=0,"",INDEX('My equipment'!$C$4:$C$503,(_calc!$E$712-500)))&amp;". ")&amp;IF(LEN(IF(LEN(INDEX('My equipment'!$D$4:$D$503,(_calc!$E$712-500)))=0,"",INDEX('My equipment'!$D$4:$D$503,(_calc!$E$712-500))))=0,"","Serial: "&amp;IF(LEN(INDEX('My equipment'!$D$4:$D$503,(_calc!$E$712-500)))=0,"",INDEX('My equipment'!$D$4:$D$503,(_calc!$E$712-500)))&amp;". ")&amp;IF(LEN(IF(ISNUMBER(INDEX('My equipment'!$J$4:$J$503,(_calc!$E$712-500))),TEXT(INDEX('My equipment'!$J$4:$J$503,(_calc!$E$712-500)),"yyyy-mm-dd"),""))=0,"","Parts end: "&amp;IF(ISNUMBER(INDEX('My equipment'!$J$4:$J$503,(_calc!$E$712-500))),TEXT(INDEX('My equipment'!$J$4:$J$503,(_calc!$E$712-500)),"yyyy-mm-dd"),"")&amp;". ")&amp;IF(LEN(IF(ISNUMBER(INDEX('My equipment'!$L$4:$L$503,(_calc!$E$712-500))),TEXT(INDEX('My equipment'!$L$4:$L$503,(_calc!$E$712-500)),"yyyy-mm-dd"),""))=0,"","Labor end: "&amp;IF(ISNUMBER(INDEX('My equipment'!$L$4:$L$503,(_calc!$E$712-500))),TEXT(INDEX('My equipment'!$L$4:$L$503,(_calc!$E$712-500)),"yyyy-mm-dd"),"")&amp;". ")&amp;IF(LEN(IF(ISNUMBER(INDEX('My equipment'!$P$4:$P$503,(_calc!$E$712-500))),TEXT(INDEX('My equipment'!$P$4:$P$503,(_calc!$E$712-500)),"yyyy-mm-dd"),""))=0,"","Check by: "&amp;IF(ISNUMBER(INDEX('My equipment'!$P$4:$P$503,(_calc!$E$712-500))),TEXT(INDEX('My equipment'!$P$4:$P$503,(_calc!$E$712-500)),"yyyy-mm-dd"),"")&amp;". ")&amp;IF(LEN(IF(LEN(INDEX('My equipment'!$Q$4:$Q$503,(_calc!$E$712-500)))=0,"",INDEX('My equipment'!$Q$4:$Q$503,(_calc!$E$712-500))))=0,"","Claim status: "&amp;IF(LEN(INDEX('My equipment'!$Q$4:$Q$503,(_calc!$E$712-500)))=0,"",INDEX('My equipment'!$Q$4:$Q$503,(_calc!$E$712-500)))&amp;". ")&amp;IF(LEN(IF(LEN(INDEX('My equipment'!$R$4:$R$503,(_calc!$E$712-500)))=0,"",INDEX('My equipment'!$R$4:$R$503,(_calc!$E$712-500))))=0,"","Claims contact: "&amp;IF(LEN(INDEX('My equipment'!$R$4:$R$503,(_calc!$E$712-500)))=0,"",INDEX('My equipment'!$R$4:$R$503,(_calc!$E$712-500)))&amp;". ")&amp;IF(LEN(IF(LEN(INDEX('My equipment'!$S$4:$S$503,(_calc!$E$712-500)))=0,"",INDEX('My equipment'!$S$4:$S$503,(_calc!$E$712-500))))=0,"","Claims email: "&amp;IF(LEN(INDEX('My equipment'!$S$4:$S$503,(_calc!$E$712-500)))=0,"",INDEX('My equipment'!$S$4:$S$503,(_calc!$E$712-500)))&amp;". ")&amp;IF(LEN(IF(LEN(INDEX('My equipment'!$U$4:$U$503,(_calc!$E$712-500)))=0,"",INDEX('My equipment'!$U$4:$U$503,(_calc!$E$712-500))))=0,"","Registered: "&amp;IF(LEN(INDEX('My equipment'!$U$4:$U$503,(_calc!$E$712-500)))=0,"",INDEX('My equipment'!$U$4:$U$503,(_calc!$E$712-500)))&amp;". ")&amp;IF(LEN(IF(LEN(INDEX('My equipment'!$V$4:$V$503,(_calc!$E$712-500)))=0,"",INDEX('My equipment'!$V$4:$V$503,(_calc!$E$712-500))))=0,"","Proof on file: "&amp;IF(LEN(INDEX('My equipment'!$V$4:$V$503,(_calc!$E$712-500)))=0,"",INDEX('My equipment'!$V$4:$V$503,(_calc!$E$712-500)))&amp;". ")&amp;IF(LEN(IF(LEN(INDEX('My equipment'!$W$4:$W$503,(_calc!$E$712-500)))=0,"",INDEX('My equipment'!$W$4:$W$503,(_calc!$E$712-500))))=0,"","Claim ref: "&amp;IF(LEN(INDEX('My equipment'!$W$4:$W$503,(_calc!$E$712-500)))=0,"",INDEX('My equipment'!$W$4:$W$503,(_calc!$E$712-500)))&amp;". ")&amp;IF(LEN(IF(LEN(INDEX('My equipment'!$Y$4:$Y$503,(_calc!$E$712-500)))=0,"",INDEX('My equipment'!$Y$4:$Y$503,(_calc!$E$712-500))))=0,"",IF(LEN(INDEX('My equipment'!$Y$4:$Y$503,(_calc!$E$712-500)))=0,"",INDEX('My equipment'!$Y$4:$Y$503,(_calc!$E$712-500)))))))</f>
        <v/>
      </c>
      <c r="G710" s="54">
        <f>IF(_calc!$E$712="","",IF(_calc!$E$712&lt;=500,"",IF(LEN(INDEX('My equipment'!$X$4:$X$503,(_calc!$E$712-500)))=0,"",INDEX('My equipment'!$X$4:$X$503,(_calc!$E$712-500)))))</f>
        <v/>
      </c>
      <c r="K710" s="54">
        <f>IF(_calc!$E$712="","",IF(_calc!$E$712&lt;=500,"",IF(LEN(INDEX('My equipment'!$T$4:$T$503,(_calc!$E$712-500)))=0,"",INDEX('My equipment'!$T$4:$T$503,(_calc!$E$712-500)))))</f>
        <v/>
      </c>
    </row>
    <row r="711">
      <c r="A711" s="54">
        <f>IF(_calc!$E$713="","",IF(_calc!$E$713&lt;=500,"Warranty – "&amp;IF(LEN(INDEX('Dealer pipeline'!$C$4:$C$503,_calc!$E$713))=0,"",INDEX('Dealer pipeline'!$C$4:$C$503,_calc!$E$713))&amp;" – "&amp;IF(LEN(INDEX('Dealer pipeline'!$D$4:$D$503,_calc!$E$713))=0,"",INDEX('Dealer pipeline'!$D$4:$D$503,_calc!$E$713))&amp;" – "&amp;IF(LEN(INDEX('Dealer pipeline'!$A$4:$A$503,_calc!$E$713))=0,"",INDEX('Dealer pipeline'!$A$4:$A$503,_calc!$E$713)),"Warranty – "&amp;IF(LEN(INDEX('My equipment'!$A$4:$A$503,(_calc!$E$713-500)))=0,"",INDEX('My equipment'!$A$4:$A$503,(_calc!$E$713-500)))&amp;" – "&amp;IF(LEN(INDEX('My equipment'!$D$4:$D$503,(_calc!$E$713-500)))=0,"",INDEX('My equipment'!$D$4:$D$503,(_calc!$E$713-500)))))</f>
        <v/>
      </c>
      <c r="B711" s="54">
        <f>IF(_calc!$E$713="","",IF(_calc!$E$713&lt;=500,IF(ISNUMBER(INDEX('Dealer pipeline'!$M$4:$M$503,_calc!$E$713)),TEXT(INDEX('Dealer pipeline'!$M$4:$M$503,_calc!$E$713),"yyyy-mm-dd"),""),IF(ISNUMBER(INDEX('My equipment'!$M$4:$M$503,(_calc!$E$713-500))),TEXT(INDEX('My equipment'!$M$4:$M$503,(_calc!$E$713-500)),"yyyy-mm-dd"),"")))</f>
        <v/>
      </c>
      <c r="C711" s="54">
        <f>IF(_calc!$E$713="","",IF(_calc!$E$713&lt;=500,"Warranty","Warranty"))</f>
        <v/>
      </c>
      <c r="D711" s="54">
        <f>IF(_calc!$E$713="","",IF(_calc!$E$713&lt;=500,IF(ISNUMBER(INDEX('Dealer pipeline'!$H$4:$H$503,_calc!$E$713)),TEXT(INDEX('Dealer pipeline'!$H$4:$H$503,_calc!$E$713),"yyyy-mm-dd"),""),IF(ISNUMBER(INDEX('My equipment'!$H$4:$H$503,(_calc!$E$713-500))),TEXT(INDEX('My equipment'!$H$4:$H$503,(_calc!$E$713-500)),"yyyy-mm-dd"),"")))</f>
        <v/>
      </c>
      <c r="F711" s="54">
        <f>IF(_calc!$E$713="","",IF(_calc!$E$713&lt;=500,TRIM(IF(LEN(IF(LEN(INDEX('Dealer pipeline'!$A$4:$A$503,_calc!$E$713))=0,"",INDEX('Dealer pipeline'!$A$4:$A$503,_calc!$E$713)))=0,"","Customer: "&amp;IF(LEN(INDEX('Dealer pipeline'!$A$4:$A$503,_calc!$E$713))=0,"",INDEX('Dealer pipeline'!$A$4:$A$503,_calc!$E$713))&amp;". ")&amp;IF(LEN(IF(LEN(INDEX('Dealer pipeline'!$B$4:$B$503,_calc!$E$713))=0,"",INDEX('Dealer pipeline'!$B$4:$B$503,_calc!$E$713)))=0,"","Contact: "&amp;IF(LEN(INDEX('Dealer pipeline'!$B$4:$B$503,_calc!$E$713))=0,"",INDEX('Dealer pipeline'!$B$4:$B$503,_calc!$E$713))&amp;". ")&amp;IF(LEN(IF(LEN(INDEX('Dealer pipeline'!$D$4:$D$503,_calc!$E$713))=0,"",INDEX('Dealer pipeline'!$D$4:$D$503,_calc!$E$713)))=0,"","Serial: "&amp;IF(LEN(INDEX('Dealer pipeline'!$D$4:$D$503,_calc!$E$713))=0,"",INDEX('Dealer pipeline'!$D$4:$D$503,_calc!$E$713))&amp;". ")&amp;IF(LEN(IF(ISNUMBER(INDEX('Dealer pipeline'!$J$4:$J$503,_calc!$E$713)),TEXT(INDEX('Dealer pipeline'!$J$4:$J$503,_calc!$E$713),"yyyy-mm-dd"),""))=0,"","Parts end: "&amp;IF(ISNUMBER(INDEX('Dealer pipeline'!$J$4:$J$503,_calc!$E$713)),TEXT(INDEX('Dealer pipeline'!$J$4:$J$503,_calc!$E$713),"yyyy-mm-dd"),"")&amp;". ")&amp;IF(LEN(IF(ISNUMBER(INDEX('Dealer pipeline'!$L$4:$L$503,_calc!$E$713)),TEXT(INDEX('Dealer pipeline'!$L$4:$L$503,_calc!$E$713),"yyyy-mm-dd"),""))=0,"","Labor end: "&amp;IF(ISNUMBER(INDEX('Dealer pipeline'!$L$4:$L$503,_calc!$E$713)),TEXT(INDEX('Dealer pipeline'!$L$4:$L$503,_calc!$E$713),"yyyy-mm-dd"),"")&amp;". ")&amp;IF(LEN(IF(LEN(INDEX('Dealer pipeline'!$Q$4:$Q$503,_calc!$E$713))=0,"",INDEX('Dealer pipeline'!$Q$4:$Q$503,_calc!$E$713)))=0,"","Status: "&amp;IF(LEN(INDEX('Dealer pipeline'!$Q$4:$Q$503,_calc!$E$713))=0,"",INDEX('Dealer pipeline'!$Q$4:$Q$503,_calc!$E$713))&amp;". ")&amp;IF(LEN(IF(LEN(INDEX('Dealer pipeline'!$P$4:$P$503,_calc!$E$713))=0,"",INDEX('Dealer pipeline'!$P$4:$P$503,_calc!$E$713)))=0,"","Last touch: "&amp;IF(LEN(INDEX('Dealer pipeline'!$P$4:$P$503,_calc!$E$713))=0,"",INDEX('Dealer pipeline'!$P$4:$P$503,_calc!$E$713))&amp;". ")&amp;IF(LEN(IF(LEN(INDEX('Dealer pipeline'!$R$4:$R$503,_calc!$E$713))=0,"",INDEX('Dealer pipeline'!$R$4:$R$503,_calc!$E$713)))=0,"","Owner: "&amp;IF(LEN(INDEX('Dealer pipeline'!$R$4:$R$503,_calc!$E$713))=0,"",INDEX('Dealer pipeline'!$R$4:$R$503,_calc!$E$713))&amp;". ")&amp;IF(LEN(IF(LEN(INDEX('Dealer pipeline'!$S$4:$S$503,_calc!$E$713))=0,"",INDEX('Dealer pipeline'!$S$4:$S$503,_calc!$E$713)))=0,"","Backup: "&amp;IF(LEN(INDEX('Dealer pipeline'!$S$4:$S$503,_calc!$E$713))=0,"",INDEX('Dealer pipeline'!$S$4:$S$503,_calc!$E$713))&amp;". ")&amp;IF(LEN(IF(LEN(INDEX('Dealer pipeline'!$T$4:$T$503,_calc!$E$713))=0,"",INDEX('Dealer pipeline'!$T$4:$T$503,_calc!$E$713)))=0,"",IF(LEN(INDEX('Dealer pipeline'!$T$4:$T$503,_calc!$E$713))=0,"",INDEX('Dealer pipeline'!$T$4:$T$503,_calc!$E$713)))),TRIM(IF(LEN(IF(LEN(INDEX('My equipment'!$C$4:$C$503,(_calc!$E$713-500)))=0,"",INDEX('My equipment'!$C$4:$C$503,(_calc!$E$713-500))))=0,"","Model: "&amp;IF(LEN(INDEX('My equipment'!$C$4:$C$503,(_calc!$E$713-500)))=0,"",INDEX('My equipment'!$C$4:$C$503,(_calc!$E$713-500)))&amp;". ")&amp;IF(LEN(IF(LEN(INDEX('My equipment'!$D$4:$D$503,(_calc!$E$713-500)))=0,"",INDEX('My equipment'!$D$4:$D$503,(_calc!$E$713-500))))=0,"","Serial: "&amp;IF(LEN(INDEX('My equipment'!$D$4:$D$503,(_calc!$E$713-500)))=0,"",INDEX('My equipment'!$D$4:$D$503,(_calc!$E$713-500)))&amp;". ")&amp;IF(LEN(IF(ISNUMBER(INDEX('My equipment'!$J$4:$J$503,(_calc!$E$713-500))),TEXT(INDEX('My equipment'!$J$4:$J$503,(_calc!$E$713-500)),"yyyy-mm-dd"),""))=0,"","Parts end: "&amp;IF(ISNUMBER(INDEX('My equipment'!$J$4:$J$503,(_calc!$E$713-500))),TEXT(INDEX('My equipment'!$J$4:$J$503,(_calc!$E$713-500)),"yyyy-mm-dd"),"")&amp;". ")&amp;IF(LEN(IF(ISNUMBER(INDEX('My equipment'!$L$4:$L$503,(_calc!$E$713-500))),TEXT(INDEX('My equipment'!$L$4:$L$503,(_calc!$E$713-500)),"yyyy-mm-dd"),""))=0,"","Labor end: "&amp;IF(ISNUMBER(INDEX('My equipment'!$L$4:$L$503,(_calc!$E$713-500))),TEXT(INDEX('My equipment'!$L$4:$L$503,(_calc!$E$713-500)),"yyyy-mm-dd"),"")&amp;". ")&amp;IF(LEN(IF(ISNUMBER(INDEX('My equipment'!$P$4:$P$503,(_calc!$E$713-500))),TEXT(INDEX('My equipment'!$P$4:$P$503,(_calc!$E$713-500)),"yyyy-mm-dd"),""))=0,"","Check by: "&amp;IF(ISNUMBER(INDEX('My equipment'!$P$4:$P$503,(_calc!$E$713-500))),TEXT(INDEX('My equipment'!$P$4:$P$503,(_calc!$E$713-500)),"yyyy-mm-dd"),"")&amp;". ")&amp;IF(LEN(IF(LEN(INDEX('My equipment'!$Q$4:$Q$503,(_calc!$E$713-500)))=0,"",INDEX('My equipment'!$Q$4:$Q$503,(_calc!$E$713-500))))=0,"","Claim status: "&amp;IF(LEN(INDEX('My equipment'!$Q$4:$Q$503,(_calc!$E$713-500)))=0,"",INDEX('My equipment'!$Q$4:$Q$503,(_calc!$E$713-500)))&amp;". ")&amp;IF(LEN(IF(LEN(INDEX('My equipment'!$R$4:$R$503,(_calc!$E$713-500)))=0,"",INDEX('My equipment'!$R$4:$R$503,(_calc!$E$713-500))))=0,"","Claims contact: "&amp;IF(LEN(INDEX('My equipment'!$R$4:$R$503,(_calc!$E$713-500)))=0,"",INDEX('My equipment'!$R$4:$R$503,(_calc!$E$713-500)))&amp;". ")&amp;IF(LEN(IF(LEN(INDEX('My equipment'!$S$4:$S$503,(_calc!$E$713-500)))=0,"",INDEX('My equipment'!$S$4:$S$503,(_calc!$E$713-500))))=0,"","Claims email: "&amp;IF(LEN(INDEX('My equipment'!$S$4:$S$503,(_calc!$E$713-500)))=0,"",INDEX('My equipment'!$S$4:$S$503,(_calc!$E$713-500)))&amp;". ")&amp;IF(LEN(IF(LEN(INDEX('My equipment'!$U$4:$U$503,(_calc!$E$713-500)))=0,"",INDEX('My equipment'!$U$4:$U$503,(_calc!$E$713-500))))=0,"","Registered: "&amp;IF(LEN(INDEX('My equipment'!$U$4:$U$503,(_calc!$E$713-500)))=0,"",INDEX('My equipment'!$U$4:$U$503,(_calc!$E$713-500)))&amp;". ")&amp;IF(LEN(IF(LEN(INDEX('My equipment'!$V$4:$V$503,(_calc!$E$713-500)))=0,"",INDEX('My equipment'!$V$4:$V$503,(_calc!$E$713-500))))=0,"","Proof on file: "&amp;IF(LEN(INDEX('My equipment'!$V$4:$V$503,(_calc!$E$713-500)))=0,"",INDEX('My equipment'!$V$4:$V$503,(_calc!$E$713-500)))&amp;". ")&amp;IF(LEN(IF(LEN(INDEX('My equipment'!$W$4:$W$503,(_calc!$E$713-500)))=0,"",INDEX('My equipment'!$W$4:$W$503,(_calc!$E$713-500))))=0,"","Claim ref: "&amp;IF(LEN(INDEX('My equipment'!$W$4:$W$503,(_calc!$E$713-500)))=0,"",INDEX('My equipment'!$W$4:$W$503,(_calc!$E$713-500)))&amp;". ")&amp;IF(LEN(IF(LEN(INDEX('My equipment'!$Y$4:$Y$503,(_calc!$E$713-500)))=0,"",INDEX('My equipment'!$Y$4:$Y$503,(_calc!$E$713-500))))=0,"",IF(LEN(INDEX('My equipment'!$Y$4:$Y$503,(_calc!$E$713-500)))=0,"",INDEX('My equipment'!$Y$4:$Y$503,(_calc!$E$713-500)))))))</f>
        <v/>
      </c>
      <c r="G711" s="54">
        <f>IF(_calc!$E$713="","",IF(_calc!$E$713&lt;=500,"",IF(LEN(INDEX('My equipment'!$X$4:$X$503,(_calc!$E$713-500)))=0,"",INDEX('My equipment'!$X$4:$X$503,(_calc!$E$713-500)))))</f>
        <v/>
      </c>
      <c r="K711" s="54">
        <f>IF(_calc!$E$713="","",IF(_calc!$E$713&lt;=500,"",IF(LEN(INDEX('My equipment'!$T$4:$T$503,(_calc!$E$713-500)))=0,"",INDEX('My equipment'!$T$4:$T$503,(_calc!$E$713-500)))))</f>
        <v/>
      </c>
    </row>
    <row r="712">
      <c r="A712" s="54">
        <f>IF(_calc!$E$714="","",IF(_calc!$E$714&lt;=500,"Warranty – "&amp;IF(LEN(INDEX('Dealer pipeline'!$C$4:$C$503,_calc!$E$714))=0,"",INDEX('Dealer pipeline'!$C$4:$C$503,_calc!$E$714))&amp;" – "&amp;IF(LEN(INDEX('Dealer pipeline'!$D$4:$D$503,_calc!$E$714))=0,"",INDEX('Dealer pipeline'!$D$4:$D$503,_calc!$E$714))&amp;" – "&amp;IF(LEN(INDEX('Dealer pipeline'!$A$4:$A$503,_calc!$E$714))=0,"",INDEX('Dealer pipeline'!$A$4:$A$503,_calc!$E$714)),"Warranty – "&amp;IF(LEN(INDEX('My equipment'!$A$4:$A$503,(_calc!$E$714-500)))=0,"",INDEX('My equipment'!$A$4:$A$503,(_calc!$E$714-500)))&amp;" – "&amp;IF(LEN(INDEX('My equipment'!$D$4:$D$503,(_calc!$E$714-500)))=0,"",INDEX('My equipment'!$D$4:$D$503,(_calc!$E$714-500)))))</f>
        <v/>
      </c>
      <c r="B712" s="54">
        <f>IF(_calc!$E$714="","",IF(_calc!$E$714&lt;=500,IF(ISNUMBER(INDEX('Dealer pipeline'!$M$4:$M$503,_calc!$E$714)),TEXT(INDEX('Dealer pipeline'!$M$4:$M$503,_calc!$E$714),"yyyy-mm-dd"),""),IF(ISNUMBER(INDEX('My equipment'!$M$4:$M$503,(_calc!$E$714-500))),TEXT(INDEX('My equipment'!$M$4:$M$503,(_calc!$E$714-500)),"yyyy-mm-dd"),"")))</f>
        <v/>
      </c>
      <c r="C712" s="54">
        <f>IF(_calc!$E$714="","",IF(_calc!$E$714&lt;=500,"Warranty","Warranty"))</f>
        <v/>
      </c>
      <c r="D712" s="54">
        <f>IF(_calc!$E$714="","",IF(_calc!$E$714&lt;=500,IF(ISNUMBER(INDEX('Dealer pipeline'!$H$4:$H$503,_calc!$E$714)),TEXT(INDEX('Dealer pipeline'!$H$4:$H$503,_calc!$E$714),"yyyy-mm-dd"),""),IF(ISNUMBER(INDEX('My equipment'!$H$4:$H$503,(_calc!$E$714-500))),TEXT(INDEX('My equipment'!$H$4:$H$503,(_calc!$E$714-500)),"yyyy-mm-dd"),"")))</f>
        <v/>
      </c>
      <c r="F712" s="54">
        <f>IF(_calc!$E$714="","",IF(_calc!$E$714&lt;=500,TRIM(IF(LEN(IF(LEN(INDEX('Dealer pipeline'!$A$4:$A$503,_calc!$E$714))=0,"",INDEX('Dealer pipeline'!$A$4:$A$503,_calc!$E$714)))=0,"","Customer: "&amp;IF(LEN(INDEX('Dealer pipeline'!$A$4:$A$503,_calc!$E$714))=0,"",INDEX('Dealer pipeline'!$A$4:$A$503,_calc!$E$714))&amp;". ")&amp;IF(LEN(IF(LEN(INDEX('Dealer pipeline'!$B$4:$B$503,_calc!$E$714))=0,"",INDEX('Dealer pipeline'!$B$4:$B$503,_calc!$E$714)))=0,"","Contact: "&amp;IF(LEN(INDEX('Dealer pipeline'!$B$4:$B$503,_calc!$E$714))=0,"",INDEX('Dealer pipeline'!$B$4:$B$503,_calc!$E$714))&amp;". ")&amp;IF(LEN(IF(LEN(INDEX('Dealer pipeline'!$D$4:$D$503,_calc!$E$714))=0,"",INDEX('Dealer pipeline'!$D$4:$D$503,_calc!$E$714)))=0,"","Serial: "&amp;IF(LEN(INDEX('Dealer pipeline'!$D$4:$D$503,_calc!$E$714))=0,"",INDEX('Dealer pipeline'!$D$4:$D$503,_calc!$E$714))&amp;". ")&amp;IF(LEN(IF(ISNUMBER(INDEX('Dealer pipeline'!$J$4:$J$503,_calc!$E$714)),TEXT(INDEX('Dealer pipeline'!$J$4:$J$503,_calc!$E$714),"yyyy-mm-dd"),""))=0,"","Parts end: "&amp;IF(ISNUMBER(INDEX('Dealer pipeline'!$J$4:$J$503,_calc!$E$714)),TEXT(INDEX('Dealer pipeline'!$J$4:$J$503,_calc!$E$714),"yyyy-mm-dd"),"")&amp;". ")&amp;IF(LEN(IF(ISNUMBER(INDEX('Dealer pipeline'!$L$4:$L$503,_calc!$E$714)),TEXT(INDEX('Dealer pipeline'!$L$4:$L$503,_calc!$E$714),"yyyy-mm-dd"),""))=0,"","Labor end: "&amp;IF(ISNUMBER(INDEX('Dealer pipeline'!$L$4:$L$503,_calc!$E$714)),TEXT(INDEX('Dealer pipeline'!$L$4:$L$503,_calc!$E$714),"yyyy-mm-dd"),"")&amp;". ")&amp;IF(LEN(IF(LEN(INDEX('Dealer pipeline'!$Q$4:$Q$503,_calc!$E$714))=0,"",INDEX('Dealer pipeline'!$Q$4:$Q$503,_calc!$E$714)))=0,"","Status: "&amp;IF(LEN(INDEX('Dealer pipeline'!$Q$4:$Q$503,_calc!$E$714))=0,"",INDEX('Dealer pipeline'!$Q$4:$Q$503,_calc!$E$714))&amp;". ")&amp;IF(LEN(IF(LEN(INDEX('Dealer pipeline'!$P$4:$P$503,_calc!$E$714))=0,"",INDEX('Dealer pipeline'!$P$4:$P$503,_calc!$E$714)))=0,"","Last touch: "&amp;IF(LEN(INDEX('Dealer pipeline'!$P$4:$P$503,_calc!$E$714))=0,"",INDEX('Dealer pipeline'!$P$4:$P$503,_calc!$E$714))&amp;". ")&amp;IF(LEN(IF(LEN(INDEX('Dealer pipeline'!$R$4:$R$503,_calc!$E$714))=0,"",INDEX('Dealer pipeline'!$R$4:$R$503,_calc!$E$714)))=0,"","Owner: "&amp;IF(LEN(INDEX('Dealer pipeline'!$R$4:$R$503,_calc!$E$714))=0,"",INDEX('Dealer pipeline'!$R$4:$R$503,_calc!$E$714))&amp;". ")&amp;IF(LEN(IF(LEN(INDEX('Dealer pipeline'!$S$4:$S$503,_calc!$E$714))=0,"",INDEX('Dealer pipeline'!$S$4:$S$503,_calc!$E$714)))=0,"","Backup: "&amp;IF(LEN(INDEX('Dealer pipeline'!$S$4:$S$503,_calc!$E$714))=0,"",INDEX('Dealer pipeline'!$S$4:$S$503,_calc!$E$714))&amp;". ")&amp;IF(LEN(IF(LEN(INDEX('Dealer pipeline'!$T$4:$T$503,_calc!$E$714))=0,"",INDEX('Dealer pipeline'!$T$4:$T$503,_calc!$E$714)))=0,"",IF(LEN(INDEX('Dealer pipeline'!$T$4:$T$503,_calc!$E$714))=0,"",INDEX('Dealer pipeline'!$T$4:$T$503,_calc!$E$714)))),TRIM(IF(LEN(IF(LEN(INDEX('My equipment'!$C$4:$C$503,(_calc!$E$714-500)))=0,"",INDEX('My equipment'!$C$4:$C$503,(_calc!$E$714-500))))=0,"","Model: "&amp;IF(LEN(INDEX('My equipment'!$C$4:$C$503,(_calc!$E$714-500)))=0,"",INDEX('My equipment'!$C$4:$C$503,(_calc!$E$714-500)))&amp;". ")&amp;IF(LEN(IF(LEN(INDEX('My equipment'!$D$4:$D$503,(_calc!$E$714-500)))=0,"",INDEX('My equipment'!$D$4:$D$503,(_calc!$E$714-500))))=0,"","Serial: "&amp;IF(LEN(INDEX('My equipment'!$D$4:$D$503,(_calc!$E$714-500)))=0,"",INDEX('My equipment'!$D$4:$D$503,(_calc!$E$714-500)))&amp;". ")&amp;IF(LEN(IF(ISNUMBER(INDEX('My equipment'!$J$4:$J$503,(_calc!$E$714-500))),TEXT(INDEX('My equipment'!$J$4:$J$503,(_calc!$E$714-500)),"yyyy-mm-dd"),""))=0,"","Parts end: "&amp;IF(ISNUMBER(INDEX('My equipment'!$J$4:$J$503,(_calc!$E$714-500))),TEXT(INDEX('My equipment'!$J$4:$J$503,(_calc!$E$714-500)),"yyyy-mm-dd"),"")&amp;". ")&amp;IF(LEN(IF(ISNUMBER(INDEX('My equipment'!$L$4:$L$503,(_calc!$E$714-500))),TEXT(INDEX('My equipment'!$L$4:$L$503,(_calc!$E$714-500)),"yyyy-mm-dd"),""))=0,"","Labor end: "&amp;IF(ISNUMBER(INDEX('My equipment'!$L$4:$L$503,(_calc!$E$714-500))),TEXT(INDEX('My equipment'!$L$4:$L$503,(_calc!$E$714-500)),"yyyy-mm-dd"),"")&amp;". ")&amp;IF(LEN(IF(ISNUMBER(INDEX('My equipment'!$P$4:$P$503,(_calc!$E$714-500))),TEXT(INDEX('My equipment'!$P$4:$P$503,(_calc!$E$714-500)),"yyyy-mm-dd"),""))=0,"","Check by: "&amp;IF(ISNUMBER(INDEX('My equipment'!$P$4:$P$503,(_calc!$E$714-500))),TEXT(INDEX('My equipment'!$P$4:$P$503,(_calc!$E$714-500)),"yyyy-mm-dd"),"")&amp;". ")&amp;IF(LEN(IF(LEN(INDEX('My equipment'!$Q$4:$Q$503,(_calc!$E$714-500)))=0,"",INDEX('My equipment'!$Q$4:$Q$503,(_calc!$E$714-500))))=0,"","Claim status: "&amp;IF(LEN(INDEX('My equipment'!$Q$4:$Q$503,(_calc!$E$714-500)))=0,"",INDEX('My equipment'!$Q$4:$Q$503,(_calc!$E$714-500)))&amp;". ")&amp;IF(LEN(IF(LEN(INDEX('My equipment'!$R$4:$R$503,(_calc!$E$714-500)))=0,"",INDEX('My equipment'!$R$4:$R$503,(_calc!$E$714-500))))=0,"","Claims contact: "&amp;IF(LEN(INDEX('My equipment'!$R$4:$R$503,(_calc!$E$714-500)))=0,"",INDEX('My equipment'!$R$4:$R$503,(_calc!$E$714-500)))&amp;". ")&amp;IF(LEN(IF(LEN(INDEX('My equipment'!$S$4:$S$503,(_calc!$E$714-500)))=0,"",INDEX('My equipment'!$S$4:$S$503,(_calc!$E$714-500))))=0,"","Claims email: "&amp;IF(LEN(INDEX('My equipment'!$S$4:$S$503,(_calc!$E$714-500)))=0,"",INDEX('My equipment'!$S$4:$S$503,(_calc!$E$714-500)))&amp;". ")&amp;IF(LEN(IF(LEN(INDEX('My equipment'!$U$4:$U$503,(_calc!$E$714-500)))=0,"",INDEX('My equipment'!$U$4:$U$503,(_calc!$E$714-500))))=0,"","Registered: "&amp;IF(LEN(INDEX('My equipment'!$U$4:$U$503,(_calc!$E$714-500)))=0,"",INDEX('My equipment'!$U$4:$U$503,(_calc!$E$714-500)))&amp;". ")&amp;IF(LEN(IF(LEN(INDEX('My equipment'!$V$4:$V$503,(_calc!$E$714-500)))=0,"",INDEX('My equipment'!$V$4:$V$503,(_calc!$E$714-500))))=0,"","Proof on file: "&amp;IF(LEN(INDEX('My equipment'!$V$4:$V$503,(_calc!$E$714-500)))=0,"",INDEX('My equipment'!$V$4:$V$503,(_calc!$E$714-500)))&amp;". ")&amp;IF(LEN(IF(LEN(INDEX('My equipment'!$W$4:$W$503,(_calc!$E$714-500)))=0,"",INDEX('My equipment'!$W$4:$W$503,(_calc!$E$714-500))))=0,"","Claim ref: "&amp;IF(LEN(INDEX('My equipment'!$W$4:$W$503,(_calc!$E$714-500)))=0,"",INDEX('My equipment'!$W$4:$W$503,(_calc!$E$714-500)))&amp;". ")&amp;IF(LEN(IF(LEN(INDEX('My equipment'!$Y$4:$Y$503,(_calc!$E$714-500)))=0,"",INDEX('My equipment'!$Y$4:$Y$503,(_calc!$E$714-500))))=0,"",IF(LEN(INDEX('My equipment'!$Y$4:$Y$503,(_calc!$E$714-500)))=0,"",INDEX('My equipment'!$Y$4:$Y$503,(_calc!$E$714-500)))))))</f>
        <v/>
      </c>
      <c r="G712" s="54">
        <f>IF(_calc!$E$714="","",IF(_calc!$E$714&lt;=500,"",IF(LEN(INDEX('My equipment'!$X$4:$X$503,(_calc!$E$714-500)))=0,"",INDEX('My equipment'!$X$4:$X$503,(_calc!$E$714-500)))))</f>
        <v/>
      </c>
      <c r="K712" s="54">
        <f>IF(_calc!$E$714="","",IF(_calc!$E$714&lt;=500,"",IF(LEN(INDEX('My equipment'!$T$4:$T$503,(_calc!$E$714-500)))=0,"",INDEX('My equipment'!$T$4:$T$503,(_calc!$E$714-500)))))</f>
        <v/>
      </c>
    </row>
    <row r="713">
      <c r="A713" s="54">
        <f>IF(_calc!$E$715="","",IF(_calc!$E$715&lt;=500,"Warranty – "&amp;IF(LEN(INDEX('Dealer pipeline'!$C$4:$C$503,_calc!$E$715))=0,"",INDEX('Dealer pipeline'!$C$4:$C$503,_calc!$E$715))&amp;" – "&amp;IF(LEN(INDEX('Dealer pipeline'!$D$4:$D$503,_calc!$E$715))=0,"",INDEX('Dealer pipeline'!$D$4:$D$503,_calc!$E$715))&amp;" – "&amp;IF(LEN(INDEX('Dealer pipeline'!$A$4:$A$503,_calc!$E$715))=0,"",INDEX('Dealer pipeline'!$A$4:$A$503,_calc!$E$715)),"Warranty – "&amp;IF(LEN(INDEX('My equipment'!$A$4:$A$503,(_calc!$E$715-500)))=0,"",INDEX('My equipment'!$A$4:$A$503,(_calc!$E$715-500)))&amp;" – "&amp;IF(LEN(INDEX('My equipment'!$D$4:$D$503,(_calc!$E$715-500)))=0,"",INDEX('My equipment'!$D$4:$D$503,(_calc!$E$715-500)))))</f>
        <v/>
      </c>
      <c r="B713" s="54">
        <f>IF(_calc!$E$715="","",IF(_calc!$E$715&lt;=500,IF(ISNUMBER(INDEX('Dealer pipeline'!$M$4:$M$503,_calc!$E$715)),TEXT(INDEX('Dealer pipeline'!$M$4:$M$503,_calc!$E$715),"yyyy-mm-dd"),""),IF(ISNUMBER(INDEX('My equipment'!$M$4:$M$503,(_calc!$E$715-500))),TEXT(INDEX('My equipment'!$M$4:$M$503,(_calc!$E$715-500)),"yyyy-mm-dd"),"")))</f>
        <v/>
      </c>
      <c r="C713" s="54">
        <f>IF(_calc!$E$715="","",IF(_calc!$E$715&lt;=500,"Warranty","Warranty"))</f>
        <v/>
      </c>
      <c r="D713" s="54">
        <f>IF(_calc!$E$715="","",IF(_calc!$E$715&lt;=500,IF(ISNUMBER(INDEX('Dealer pipeline'!$H$4:$H$503,_calc!$E$715)),TEXT(INDEX('Dealer pipeline'!$H$4:$H$503,_calc!$E$715),"yyyy-mm-dd"),""),IF(ISNUMBER(INDEX('My equipment'!$H$4:$H$503,(_calc!$E$715-500))),TEXT(INDEX('My equipment'!$H$4:$H$503,(_calc!$E$715-500)),"yyyy-mm-dd"),"")))</f>
        <v/>
      </c>
      <c r="F713" s="54">
        <f>IF(_calc!$E$715="","",IF(_calc!$E$715&lt;=500,TRIM(IF(LEN(IF(LEN(INDEX('Dealer pipeline'!$A$4:$A$503,_calc!$E$715))=0,"",INDEX('Dealer pipeline'!$A$4:$A$503,_calc!$E$715)))=0,"","Customer: "&amp;IF(LEN(INDEX('Dealer pipeline'!$A$4:$A$503,_calc!$E$715))=0,"",INDEX('Dealer pipeline'!$A$4:$A$503,_calc!$E$715))&amp;". ")&amp;IF(LEN(IF(LEN(INDEX('Dealer pipeline'!$B$4:$B$503,_calc!$E$715))=0,"",INDEX('Dealer pipeline'!$B$4:$B$503,_calc!$E$715)))=0,"","Contact: "&amp;IF(LEN(INDEX('Dealer pipeline'!$B$4:$B$503,_calc!$E$715))=0,"",INDEX('Dealer pipeline'!$B$4:$B$503,_calc!$E$715))&amp;". ")&amp;IF(LEN(IF(LEN(INDEX('Dealer pipeline'!$D$4:$D$503,_calc!$E$715))=0,"",INDEX('Dealer pipeline'!$D$4:$D$503,_calc!$E$715)))=0,"","Serial: "&amp;IF(LEN(INDEX('Dealer pipeline'!$D$4:$D$503,_calc!$E$715))=0,"",INDEX('Dealer pipeline'!$D$4:$D$503,_calc!$E$715))&amp;". ")&amp;IF(LEN(IF(ISNUMBER(INDEX('Dealer pipeline'!$J$4:$J$503,_calc!$E$715)),TEXT(INDEX('Dealer pipeline'!$J$4:$J$503,_calc!$E$715),"yyyy-mm-dd"),""))=0,"","Parts end: "&amp;IF(ISNUMBER(INDEX('Dealer pipeline'!$J$4:$J$503,_calc!$E$715)),TEXT(INDEX('Dealer pipeline'!$J$4:$J$503,_calc!$E$715),"yyyy-mm-dd"),"")&amp;". ")&amp;IF(LEN(IF(ISNUMBER(INDEX('Dealer pipeline'!$L$4:$L$503,_calc!$E$715)),TEXT(INDEX('Dealer pipeline'!$L$4:$L$503,_calc!$E$715),"yyyy-mm-dd"),""))=0,"","Labor end: "&amp;IF(ISNUMBER(INDEX('Dealer pipeline'!$L$4:$L$503,_calc!$E$715)),TEXT(INDEX('Dealer pipeline'!$L$4:$L$503,_calc!$E$715),"yyyy-mm-dd"),"")&amp;". ")&amp;IF(LEN(IF(LEN(INDEX('Dealer pipeline'!$Q$4:$Q$503,_calc!$E$715))=0,"",INDEX('Dealer pipeline'!$Q$4:$Q$503,_calc!$E$715)))=0,"","Status: "&amp;IF(LEN(INDEX('Dealer pipeline'!$Q$4:$Q$503,_calc!$E$715))=0,"",INDEX('Dealer pipeline'!$Q$4:$Q$503,_calc!$E$715))&amp;". ")&amp;IF(LEN(IF(LEN(INDEX('Dealer pipeline'!$P$4:$P$503,_calc!$E$715))=0,"",INDEX('Dealer pipeline'!$P$4:$P$503,_calc!$E$715)))=0,"","Last touch: "&amp;IF(LEN(INDEX('Dealer pipeline'!$P$4:$P$503,_calc!$E$715))=0,"",INDEX('Dealer pipeline'!$P$4:$P$503,_calc!$E$715))&amp;". ")&amp;IF(LEN(IF(LEN(INDEX('Dealer pipeline'!$R$4:$R$503,_calc!$E$715))=0,"",INDEX('Dealer pipeline'!$R$4:$R$503,_calc!$E$715)))=0,"","Owner: "&amp;IF(LEN(INDEX('Dealer pipeline'!$R$4:$R$503,_calc!$E$715))=0,"",INDEX('Dealer pipeline'!$R$4:$R$503,_calc!$E$715))&amp;". ")&amp;IF(LEN(IF(LEN(INDEX('Dealer pipeline'!$S$4:$S$503,_calc!$E$715))=0,"",INDEX('Dealer pipeline'!$S$4:$S$503,_calc!$E$715)))=0,"","Backup: "&amp;IF(LEN(INDEX('Dealer pipeline'!$S$4:$S$503,_calc!$E$715))=0,"",INDEX('Dealer pipeline'!$S$4:$S$503,_calc!$E$715))&amp;". ")&amp;IF(LEN(IF(LEN(INDEX('Dealer pipeline'!$T$4:$T$503,_calc!$E$715))=0,"",INDEX('Dealer pipeline'!$T$4:$T$503,_calc!$E$715)))=0,"",IF(LEN(INDEX('Dealer pipeline'!$T$4:$T$503,_calc!$E$715))=0,"",INDEX('Dealer pipeline'!$T$4:$T$503,_calc!$E$715)))),TRIM(IF(LEN(IF(LEN(INDEX('My equipment'!$C$4:$C$503,(_calc!$E$715-500)))=0,"",INDEX('My equipment'!$C$4:$C$503,(_calc!$E$715-500))))=0,"","Model: "&amp;IF(LEN(INDEX('My equipment'!$C$4:$C$503,(_calc!$E$715-500)))=0,"",INDEX('My equipment'!$C$4:$C$503,(_calc!$E$715-500)))&amp;". ")&amp;IF(LEN(IF(LEN(INDEX('My equipment'!$D$4:$D$503,(_calc!$E$715-500)))=0,"",INDEX('My equipment'!$D$4:$D$503,(_calc!$E$715-500))))=0,"","Serial: "&amp;IF(LEN(INDEX('My equipment'!$D$4:$D$503,(_calc!$E$715-500)))=0,"",INDEX('My equipment'!$D$4:$D$503,(_calc!$E$715-500)))&amp;". ")&amp;IF(LEN(IF(ISNUMBER(INDEX('My equipment'!$J$4:$J$503,(_calc!$E$715-500))),TEXT(INDEX('My equipment'!$J$4:$J$503,(_calc!$E$715-500)),"yyyy-mm-dd"),""))=0,"","Parts end: "&amp;IF(ISNUMBER(INDEX('My equipment'!$J$4:$J$503,(_calc!$E$715-500))),TEXT(INDEX('My equipment'!$J$4:$J$503,(_calc!$E$715-500)),"yyyy-mm-dd"),"")&amp;". ")&amp;IF(LEN(IF(ISNUMBER(INDEX('My equipment'!$L$4:$L$503,(_calc!$E$715-500))),TEXT(INDEX('My equipment'!$L$4:$L$503,(_calc!$E$715-500)),"yyyy-mm-dd"),""))=0,"","Labor end: "&amp;IF(ISNUMBER(INDEX('My equipment'!$L$4:$L$503,(_calc!$E$715-500))),TEXT(INDEX('My equipment'!$L$4:$L$503,(_calc!$E$715-500)),"yyyy-mm-dd"),"")&amp;". ")&amp;IF(LEN(IF(ISNUMBER(INDEX('My equipment'!$P$4:$P$503,(_calc!$E$715-500))),TEXT(INDEX('My equipment'!$P$4:$P$503,(_calc!$E$715-500)),"yyyy-mm-dd"),""))=0,"","Check by: "&amp;IF(ISNUMBER(INDEX('My equipment'!$P$4:$P$503,(_calc!$E$715-500))),TEXT(INDEX('My equipment'!$P$4:$P$503,(_calc!$E$715-500)),"yyyy-mm-dd"),"")&amp;". ")&amp;IF(LEN(IF(LEN(INDEX('My equipment'!$Q$4:$Q$503,(_calc!$E$715-500)))=0,"",INDEX('My equipment'!$Q$4:$Q$503,(_calc!$E$715-500))))=0,"","Claim status: "&amp;IF(LEN(INDEX('My equipment'!$Q$4:$Q$503,(_calc!$E$715-500)))=0,"",INDEX('My equipment'!$Q$4:$Q$503,(_calc!$E$715-500)))&amp;". ")&amp;IF(LEN(IF(LEN(INDEX('My equipment'!$R$4:$R$503,(_calc!$E$715-500)))=0,"",INDEX('My equipment'!$R$4:$R$503,(_calc!$E$715-500))))=0,"","Claims contact: "&amp;IF(LEN(INDEX('My equipment'!$R$4:$R$503,(_calc!$E$715-500)))=0,"",INDEX('My equipment'!$R$4:$R$503,(_calc!$E$715-500)))&amp;". ")&amp;IF(LEN(IF(LEN(INDEX('My equipment'!$S$4:$S$503,(_calc!$E$715-500)))=0,"",INDEX('My equipment'!$S$4:$S$503,(_calc!$E$715-500))))=0,"","Claims email: "&amp;IF(LEN(INDEX('My equipment'!$S$4:$S$503,(_calc!$E$715-500)))=0,"",INDEX('My equipment'!$S$4:$S$503,(_calc!$E$715-500)))&amp;". ")&amp;IF(LEN(IF(LEN(INDEX('My equipment'!$U$4:$U$503,(_calc!$E$715-500)))=0,"",INDEX('My equipment'!$U$4:$U$503,(_calc!$E$715-500))))=0,"","Registered: "&amp;IF(LEN(INDEX('My equipment'!$U$4:$U$503,(_calc!$E$715-500)))=0,"",INDEX('My equipment'!$U$4:$U$503,(_calc!$E$715-500)))&amp;". ")&amp;IF(LEN(IF(LEN(INDEX('My equipment'!$V$4:$V$503,(_calc!$E$715-500)))=0,"",INDEX('My equipment'!$V$4:$V$503,(_calc!$E$715-500))))=0,"","Proof on file: "&amp;IF(LEN(INDEX('My equipment'!$V$4:$V$503,(_calc!$E$715-500)))=0,"",INDEX('My equipment'!$V$4:$V$503,(_calc!$E$715-500)))&amp;". ")&amp;IF(LEN(IF(LEN(INDEX('My equipment'!$W$4:$W$503,(_calc!$E$715-500)))=0,"",INDEX('My equipment'!$W$4:$W$503,(_calc!$E$715-500))))=0,"","Claim ref: "&amp;IF(LEN(INDEX('My equipment'!$W$4:$W$503,(_calc!$E$715-500)))=0,"",INDEX('My equipment'!$W$4:$W$503,(_calc!$E$715-500)))&amp;". ")&amp;IF(LEN(IF(LEN(INDEX('My equipment'!$Y$4:$Y$503,(_calc!$E$715-500)))=0,"",INDEX('My equipment'!$Y$4:$Y$503,(_calc!$E$715-500))))=0,"",IF(LEN(INDEX('My equipment'!$Y$4:$Y$503,(_calc!$E$715-500)))=0,"",INDEX('My equipment'!$Y$4:$Y$503,(_calc!$E$715-500)))))))</f>
        <v/>
      </c>
      <c r="G713" s="54">
        <f>IF(_calc!$E$715="","",IF(_calc!$E$715&lt;=500,"",IF(LEN(INDEX('My equipment'!$X$4:$X$503,(_calc!$E$715-500)))=0,"",INDEX('My equipment'!$X$4:$X$503,(_calc!$E$715-500)))))</f>
        <v/>
      </c>
      <c r="K713" s="54">
        <f>IF(_calc!$E$715="","",IF(_calc!$E$715&lt;=500,"",IF(LEN(INDEX('My equipment'!$T$4:$T$503,(_calc!$E$715-500)))=0,"",INDEX('My equipment'!$T$4:$T$503,(_calc!$E$715-500)))))</f>
        <v/>
      </c>
    </row>
    <row r="714">
      <c r="A714" s="54">
        <f>IF(_calc!$E$716="","",IF(_calc!$E$716&lt;=500,"Warranty – "&amp;IF(LEN(INDEX('Dealer pipeline'!$C$4:$C$503,_calc!$E$716))=0,"",INDEX('Dealer pipeline'!$C$4:$C$503,_calc!$E$716))&amp;" – "&amp;IF(LEN(INDEX('Dealer pipeline'!$D$4:$D$503,_calc!$E$716))=0,"",INDEX('Dealer pipeline'!$D$4:$D$503,_calc!$E$716))&amp;" – "&amp;IF(LEN(INDEX('Dealer pipeline'!$A$4:$A$503,_calc!$E$716))=0,"",INDEX('Dealer pipeline'!$A$4:$A$503,_calc!$E$716)),"Warranty – "&amp;IF(LEN(INDEX('My equipment'!$A$4:$A$503,(_calc!$E$716-500)))=0,"",INDEX('My equipment'!$A$4:$A$503,(_calc!$E$716-500)))&amp;" – "&amp;IF(LEN(INDEX('My equipment'!$D$4:$D$503,(_calc!$E$716-500)))=0,"",INDEX('My equipment'!$D$4:$D$503,(_calc!$E$716-500)))))</f>
        <v/>
      </c>
      <c r="B714" s="54">
        <f>IF(_calc!$E$716="","",IF(_calc!$E$716&lt;=500,IF(ISNUMBER(INDEX('Dealer pipeline'!$M$4:$M$503,_calc!$E$716)),TEXT(INDEX('Dealer pipeline'!$M$4:$M$503,_calc!$E$716),"yyyy-mm-dd"),""),IF(ISNUMBER(INDEX('My equipment'!$M$4:$M$503,(_calc!$E$716-500))),TEXT(INDEX('My equipment'!$M$4:$M$503,(_calc!$E$716-500)),"yyyy-mm-dd"),"")))</f>
        <v/>
      </c>
      <c r="C714" s="54">
        <f>IF(_calc!$E$716="","",IF(_calc!$E$716&lt;=500,"Warranty","Warranty"))</f>
        <v/>
      </c>
      <c r="D714" s="54">
        <f>IF(_calc!$E$716="","",IF(_calc!$E$716&lt;=500,IF(ISNUMBER(INDEX('Dealer pipeline'!$H$4:$H$503,_calc!$E$716)),TEXT(INDEX('Dealer pipeline'!$H$4:$H$503,_calc!$E$716),"yyyy-mm-dd"),""),IF(ISNUMBER(INDEX('My equipment'!$H$4:$H$503,(_calc!$E$716-500))),TEXT(INDEX('My equipment'!$H$4:$H$503,(_calc!$E$716-500)),"yyyy-mm-dd"),"")))</f>
        <v/>
      </c>
      <c r="F714" s="54">
        <f>IF(_calc!$E$716="","",IF(_calc!$E$716&lt;=500,TRIM(IF(LEN(IF(LEN(INDEX('Dealer pipeline'!$A$4:$A$503,_calc!$E$716))=0,"",INDEX('Dealer pipeline'!$A$4:$A$503,_calc!$E$716)))=0,"","Customer: "&amp;IF(LEN(INDEX('Dealer pipeline'!$A$4:$A$503,_calc!$E$716))=0,"",INDEX('Dealer pipeline'!$A$4:$A$503,_calc!$E$716))&amp;". ")&amp;IF(LEN(IF(LEN(INDEX('Dealer pipeline'!$B$4:$B$503,_calc!$E$716))=0,"",INDEX('Dealer pipeline'!$B$4:$B$503,_calc!$E$716)))=0,"","Contact: "&amp;IF(LEN(INDEX('Dealer pipeline'!$B$4:$B$503,_calc!$E$716))=0,"",INDEX('Dealer pipeline'!$B$4:$B$503,_calc!$E$716))&amp;". ")&amp;IF(LEN(IF(LEN(INDEX('Dealer pipeline'!$D$4:$D$503,_calc!$E$716))=0,"",INDEX('Dealer pipeline'!$D$4:$D$503,_calc!$E$716)))=0,"","Serial: "&amp;IF(LEN(INDEX('Dealer pipeline'!$D$4:$D$503,_calc!$E$716))=0,"",INDEX('Dealer pipeline'!$D$4:$D$503,_calc!$E$716))&amp;". ")&amp;IF(LEN(IF(ISNUMBER(INDEX('Dealer pipeline'!$J$4:$J$503,_calc!$E$716)),TEXT(INDEX('Dealer pipeline'!$J$4:$J$503,_calc!$E$716),"yyyy-mm-dd"),""))=0,"","Parts end: "&amp;IF(ISNUMBER(INDEX('Dealer pipeline'!$J$4:$J$503,_calc!$E$716)),TEXT(INDEX('Dealer pipeline'!$J$4:$J$503,_calc!$E$716),"yyyy-mm-dd"),"")&amp;". ")&amp;IF(LEN(IF(ISNUMBER(INDEX('Dealer pipeline'!$L$4:$L$503,_calc!$E$716)),TEXT(INDEX('Dealer pipeline'!$L$4:$L$503,_calc!$E$716),"yyyy-mm-dd"),""))=0,"","Labor end: "&amp;IF(ISNUMBER(INDEX('Dealer pipeline'!$L$4:$L$503,_calc!$E$716)),TEXT(INDEX('Dealer pipeline'!$L$4:$L$503,_calc!$E$716),"yyyy-mm-dd"),"")&amp;". ")&amp;IF(LEN(IF(LEN(INDEX('Dealer pipeline'!$Q$4:$Q$503,_calc!$E$716))=0,"",INDEX('Dealer pipeline'!$Q$4:$Q$503,_calc!$E$716)))=0,"","Status: "&amp;IF(LEN(INDEX('Dealer pipeline'!$Q$4:$Q$503,_calc!$E$716))=0,"",INDEX('Dealer pipeline'!$Q$4:$Q$503,_calc!$E$716))&amp;". ")&amp;IF(LEN(IF(LEN(INDEX('Dealer pipeline'!$P$4:$P$503,_calc!$E$716))=0,"",INDEX('Dealer pipeline'!$P$4:$P$503,_calc!$E$716)))=0,"","Last touch: "&amp;IF(LEN(INDEX('Dealer pipeline'!$P$4:$P$503,_calc!$E$716))=0,"",INDEX('Dealer pipeline'!$P$4:$P$503,_calc!$E$716))&amp;". ")&amp;IF(LEN(IF(LEN(INDEX('Dealer pipeline'!$R$4:$R$503,_calc!$E$716))=0,"",INDEX('Dealer pipeline'!$R$4:$R$503,_calc!$E$716)))=0,"","Owner: "&amp;IF(LEN(INDEX('Dealer pipeline'!$R$4:$R$503,_calc!$E$716))=0,"",INDEX('Dealer pipeline'!$R$4:$R$503,_calc!$E$716))&amp;". ")&amp;IF(LEN(IF(LEN(INDEX('Dealer pipeline'!$S$4:$S$503,_calc!$E$716))=0,"",INDEX('Dealer pipeline'!$S$4:$S$503,_calc!$E$716)))=0,"","Backup: "&amp;IF(LEN(INDEX('Dealer pipeline'!$S$4:$S$503,_calc!$E$716))=0,"",INDEX('Dealer pipeline'!$S$4:$S$503,_calc!$E$716))&amp;". ")&amp;IF(LEN(IF(LEN(INDEX('Dealer pipeline'!$T$4:$T$503,_calc!$E$716))=0,"",INDEX('Dealer pipeline'!$T$4:$T$503,_calc!$E$716)))=0,"",IF(LEN(INDEX('Dealer pipeline'!$T$4:$T$503,_calc!$E$716))=0,"",INDEX('Dealer pipeline'!$T$4:$T$503,_calc!$E$716)))),TRIM(IF(LEN(IF(LEN(INDEX('My equipment'!$C$4:$C$503,(_calc!$E$716-500)))=0,"",INDEX('My equipment'!$C$4:$C$503,(_calc!$E$716-500))))=0,"","Model: "&amp;IF(LEN(INDEX('My equipment'!$C$4:$C$503,(_calc!$E$716-500)))=0,"",INDEX('My equipment'!$C$4:$C$503,(_calc!$E$716-500)))&amp;". ")&amp;IF(LEN(IF(LEN(INDEX('My equipment'!$D$4:$D$503,(_calc!$E$716-500)))=0,"",INDEX('My equipment'!$D$4:$D$503,(_calc!$E$716-500))))=0,"","Serial: "&amp;IF(LEN(INDEX('My equipment'!$D$4:$D$503,(_calc!$E$716-500)))=0,"",INDEX('My equipment'!$D$4:$D$503,(_calc!$E$716-500)))&amp;". ")&amp;IF(LEN(IF(ISNUMBER(INDEX('My equipment'!$J$4:$J$503,(_calc!$E$716-500))),TEXT(INDEX('My equipment'!$J$4:$J$503,(_calc!$E$716-500)),"yyyy-mm-dd"),""))=0,"","Parts end: "&amp;IF(ISNUMBER(INDEX('My equipment'!$J$4:$J$503,(_calc!$E$716-500))),TEXT(INDEX('My equipment'!$J$4:$J$503,(_calc!$E$716-500)),"yyyy-mm-dd"),"")&amp;". ")&amp;IF(LEN(IF(ISNUMBER(INDEX('My equipment'!$L$4:$L$503,(_calc!$E$716-500))),TEXT(INDEX('My equipment'!$L$4:$L$503,(_calc!$E$716-500)),"yyyy-mm-dd"),""))=0,"","Labor end: "&amp;IF(ISNUMBER(INDEX('My equipment'!$L$4:$L$503,(_calc!$E$716-500))),TEXT(INDEX('My equipment'!$L$4:$L$503,(_calc!$E$716-500)),"yyyy-mm-dd"),"")&amp;". ")&amp;IF(LEN(IF(ISNUMBER(INDEX('My equipment'!$P$4:$P$503,(_calc!$E$716-500))),TEXT(INDEX('My equipment'!$P$4:$P$503,(_calc!$E$716-500)),"yyyy-mm-dd"),""))=0,"","Check by: "&amp;IF(ISNUMBER(INDEX('My equipment'!$P$4:$P$503,(_calc!$E$716-500))),TEXT(INDEX('My equipment'!$P$4:$P$503,(_calc!$E$716-500)),"yyyy-mm-dd"),"")&amp;". ")&amp;IF(LEN(IF(LEN(INDEX('My equipment'!$Q$4:$Q$503,(_calc!$E$716-500)))=0,"",INDEX('My equipment'!$Q$4:$Q$503,(_calc!$E$716-500))))=0,"","Claim status: "&amp;IF(LEN(INDEX('My equipment'!$Q$4:$Q$503,(_calc!$E$716-500)))=0,"",INDEX('My equipment'!$Q$4:$Q$503,(_calc!$E$716-500)))&amp;". ")&amp;IF(LEN(IF(LEN(INDEX('My equipment'!$R$4:$R$503,(_calc!$E$716-500)))=0,"",INDEX('My equipment'!$R$4:$R$503,(_calc!$E$716-500))))=0,"","Claims contact: "&amp;IF(LEN(INDEX('My equipment'!$R$4:$R$503,(_calc!$E$716-500)))=0,"",INDEX('My equipment'!$R$4:$R$503,(_calc!$E$716-500)))&amp;". ")&amp;IF(LEN(IF(LEN(INDEX('My equipment'!$S$4:$S$503,(_calc!$E$716-500)))=0,"",INDEX('My equipment'!$S$4:$S$503,(_calc!$E$716-500))))=0,"","Claims email: "&amp;IF(LEN(INDEX('My equipment'!$S$4:$S$503,(_calc!$E$716-500)))=0,"",INDEX('My equipment'!$S$4:$S$503,(_calc!$E$716-500)))&amp;". ")&amp;IF(LEN(IF(LEN(INDEX('My equipment'!$U$4:$U$503,(_calc!$E$716-500)))=0,"",INDEX('My equipment'!$U$4:$U$503,(_calc!$E$716-500))))=0,"","Registered: "&amp;IF(LEN(INDEX('My equipment'!$U$4:$U$503,(_calc!$E$716-500)))=0,"",INDEX('My equipment'!$U$4:$U$503,(_calc!$E$716-500)))&amp;". ")&amp;IF(LEN(IF(LEN(INDEX('My equipment'!$V$4:$V$503,(_calc!$E$716-500)))=0,"",INDEX('My equipment'!$V$4:$V$503,(_calc!$E$716-500))))=0,"","Proof on file: "&amp;IF(LEN(INDEX('My equipment'!$V$4:$V$503,(_calc!$E$716-500)))=0,"",INDEX('My equipment'!$V$4:$V$503,(_calc!$E$716-500)))&amp;". ")&amp;IF(LEN(IF(LEN(INDEX('My equipment'!$W$4:$W$503,(_calc!$E$716-500)))=0,"",INDEX('My equipment'!$W$4:$W$503,(_calc!$E$716-500))))=0,"","Claim ref: "&amp;IF(LEN(INDEX('My equipment'!$W$4:$W$503,(_calc!$E$716-500)))=0,"",INDEX('My equipment'!$W$4:$W$503,(_calc!$E$716-500)))&amp;". ")&amp;IF(LEN(IF(LEN(INDEX('My equipment'!$Y$4:$Y$503,(_calc!$E$716-500)))=0,"",INDEX('My equipment'!$Y$4:$Y$503,(_calc!$E$716-500))))=0,"",IF(LEN(INDEX('My equipment'!$Y$4:$Y$503,(_calc!$E$716-500)))=0,"",INDEX('My equipment'!$Y$4:$Y$503,(_calc!$E$716-500)))))))</f>
        <v/>
      </c>
      <c r="G714" s="54">
        <f>IF(_calc!$E$716="","",IF(_calc!$E$716&lt;=500,"",IF(LEN(INDEX('My equipment'!$X$4:$X$503,(_calc!$E$716-500)))=0,"",INDEX('My equipment'!$X$4:$X$503,(_calc!$E$716-500)))))</f>
        <v/>
      </c>
      <c r="K714" s="54">
        <f>IF(_calc!$E$716="","",IF(_calc!$E$716&lt;=500,"",IF(LEN(INDEX('My equipment'!$T$4:$T$503,(_calc!$E$716-500)))=0,"",INDEX('My equipment'!$T$4:$T$503,(_calc!$E$716-500)))))</f>
        <v/>
      </c>
    </row>
    <row r="715">
      <c r="A715" s="54">
        <f>IF(_calc!$E$717="","",IF(_calc!$E$717&lt;=500,"Warranty – "&amp;IF(LEN(INDEX('Dealer pipeline'!$C$4:$C$503,_calc!$E$717))=0,"",INDEX('Dealer pipeline'!$C$4:$C$503,_calc!$E$717))&amp;" – "&amp;IF(LEN(INDEX('Dealer pipeline'!$D$4:$D$503,_calc!$E$717))=0,"",INDEX('Dealer pipeline'!$D$4:$D$503,_calc!$E$717))&amp;" – "&amp;IF(LEN(INDEX('Dealer pipeline'!$A$4:$A$503,_calc!$E$717))=0,"",INDEX('Dealer pipeline'!$A$4:$A$503,_calc!$E$717)),"Warranty – "&amp;IF(LEN(INDEX('My equipment'!$A$4:$A$503,(_calc!$E$717-500)))=0,"",INDEX('My equipment'!$A$4:$A$503,(_calc!$E$717-500)))&amp;" – "&amp;IF(LEN(INDEX('My equipment'!$D$4:$D$503,(_calc!$E$717-500)))=0,"",INDEX('My equipment'!$D$4:$D$503,(_calc!$E$717-500)))))</f>
        <v/>
      </c>
      <c r="B715" s="54">
        <f>IF(_calc!$E$717="","",IF(_calc!$E$717&lt;=500,IF(ISNUMBER(INDEX('Dealer pipeline'!$M$4:$M$503,_calc!$E$717)),TEXT(INDEX('Dealer pipeline'!$M$4:$M$503,_calc!$E$717),"yyyy-mm-dd"),""),IF(ISNUMBER(INDEX('My equipment'!$M$4:$M$503,(_calc!$E$717-500))),TEXT(INDEX('My equipment'!$M$4:$M$503,(_calc!$E$717-500)),"yyyy-mm-dd"),"")))</f>
        <v/>
      </c>
      <c r="C715" s="54">
        <f>IF(_calc!$E$717="","",IF(_calc!$E$717&lt;=500,"Warranty","Warranty"))</f>
        <v/>
      </c>
      <c r="D715" s="54">
        <f>IF(_calc!$E$717="","",IF(_calc!$E$717&lt;=500,IF(ISNUMBER(INDEX('Dealer pipeline'!$H$4:$H$503,_calc!$E$717)),TEXT(INDEX('Dealer pipeline'!$H$4:$H$503,_calc!$E$717),"yyyy-mm-dd"),""),IF(ISNUMBER(INDEX('My equipment'!$H$4:$H$503,(_calc!$E$717-500))),TEXT(INDEX('My equipment'!$H$4:$H$503,(_calc!$E$717-500)),"yyyy-mm-dd"),"")))</f>
        <v/>
      </c>
      <c r="F715" s="54">
        <f>IF(_calc!$E$717="","",IF(_calc!$E$717&lt;=500,TRIM(IF(LEN(IF(LEN(INDEX('Dealer pipeline'!$A$4:$A$503,_calc!$E$717))=0,"",INDEX('Dealer pipeline'!$A$4:$A$503,_calc!$E$717)))=0,"","Customer: "&amp;IF(LEN(INDEX('Dealer pipeline'!$A$4:$A$503,_calc!$E$717))=0,"",INDEX('Dealer pipeline'!$A$4:$A$503,_calc!$E$717))&amp;". ")&amp;IF(LEN(IF(LEN(INDEX('Dealer pipeline'!$B$4:$B$503,_calc!$E$717))=0,"",INDEX('Dealer pipeline'!$B$4:$B$503,_calc!$E$717)))=0,"","Contact: "&amp;IF(LEN(INDEX('Dealer pipeline'!$B$4:$B$503,_calc!$E$717))=0,"",INDEX('Dealer pipeline'!$B$4:$B$503,_calc!$E$717))&amp;". ")&amp;IF(LEN(IF(LEN(INDEX('Dealer pipeline'!$D$4:$D$503,_calc!$E$717))=0,"",INDEX('Dealer pipeline'!$D$4:$D$503,_calc!$E$717)))=0,"","Serial: "&amp;IF(LEN(INDEX('Dealer pipeline'!$D$4:$D$503,_calc!$E$717))=0,"",INDEX('Dealer pipeline'!$D$4:$D$503,_calc!$E$717))&amp;". ")&amp;IF(LEN(IF(ISNUMBER(INDEX('Dealer pipeline'!$J$4:$J$503,_calc!$E$717)),TEXT(INDEX('Dealer pipeline'!$J$4:$J$503,_calc!$E$717),"yyyy-mm-dd"),""))=0,"","Parts end: "&amp;IF(ISNUMBER(INDEX('Dealer pipeline'!$J$4:$J$503,_calc!$E$717)),TEXT(INDEX('Dealer pipeline'!$J$4:$J$503,_calc!$E$717),"yyyy-mm-dd"),"")&amp;". ")&amp;IF(LEN(IF(ISNUMBER(INDEX('Dealer pipeline'!$L$4:$L$503,_calc!$E$717)),TEXT(INDEX('Dealer pipeline'!$L$4:$L$503,_calc!$E$717),"yyyy-mm-dd"),""))=0,"","Labor end: "&amp;IF(ISNUMBER(INDEX('Dealer pipeline'!$L$4:$L$503,_calc!$E$717)),TEXT(INDEX('Dealer pipeline'!$L$4:$L$503,_calc!$E$717),"yyyy-mm-dd"),"")&amp;". ")&amp;IF(LEN(IF(LEN(INDEX('Dealer pipeline'!$Q$4:$Q$503,_calc!$E$717))=0,"",INDEX('Dealer pipeline'!$Q$4:$Q$503,_calc!$E$717)))=0,"","Status: "&amp;IF(LEN(INDEX('Dealer pipeline'!$Q$4:$Q$503,_calc!$E$717))=0,"",INDEX('Dealer pipeline'!$Q$4:$Q$503,_calc!$E$717))&amp;". ")&amp;IF(LEN(IF(LEN(INDEX('Dealer pipeline'!$P$4:$P$503,_calc!$E$717))=0,"",INDEX('Dealer pipeline'!$P$4:$P$503,_calc!$E$717)))=0,"","Last touch: "&amp;IF(LEN(INDEX('Dealer pipeline'!$P$4:$P$503,_calc!$E$717))=0,"",INDEX('Dealer pipeline'!$P$4:$P$503,_calc!$E$717))&amp;". ")&amp;IF(LEN(IF(LEN(INDEX('Dealer pipeline'!$R$4:$R$503,_calc!$E$717))=0,"",INDEX('Dealer pipeline'!$R$4:$R$503,_calc!$E$717)))=0,"","Owner: "&amp;IF(LEN(INDEX('Dealer pipeline'!$R$4:$R$503,_calc!$E$717))=0,"",INDEX('Dealer pipeline'!$R$4:$R$503,_calc!$E$717))&amp;". ")&amp;IF(LEN(IF(LEN(INDEX('Dealer pipeline'!$S$4:$S$503,_calc!$E$717))=0,"",INDEX('Dealer pipeline'!$S$4:$S$503,_calc!$E$717)))=0,"","Backup: "&amp;IF(LEN(INDEX('Dealer pipeline'!$S$4:$S$503,_calc!$E$717))=0,"",INDEX('Dealer pipeline'!$S$4:$S$503,_calc!$E$717))&amp;". ")&amp;IF(LEN(IF(LEN(INDEX('Dealer pipeline'!$T$4:$T$503,_calc!$E$717))=0,"",INDEX('Dealer pipeline'!$T$4:$T$503,_calc!$E$717)))=0,"",IF(LEN(INDEX('Dealer pipeline'!$T$4:$T$503,_calc!$E$717))=0,"",INDEX('Dealer pipeline'!$T$4:$T$503,_calc!$E$717)))),TRIM(IF(LEN(IF(LEN(INDEX('My equipment'!$C$4:$C$503,(_calc!$E$717-500)))=0,"",INDEX('My equipment'!$C$4:$C$503,(_calc!$E$717-500))))=0,"","Model: "&amp;IF(LEN(INDEX('My equipment'!$C$4:$C$503,(_calc!$E$717-500)))=0,"",INDEX('My equipment'!$C$4:$C$503,(_calc!$E$717-500)))&amp;". ")&amp;IF(LEN(IF(LEN(INDEX('My equipment'!$D$4:$D$503,(_calc!$E$717-500)))=0,"",INDEX('My equipment'!$D$4:$D$503,(_calc!$E$717-500))))=0,"","Serial: "&amp;IF(LEN(INDEX('My equipment'!$D$4:$D$503,(_calc!$E$717-500)))=0,"",INDEX('My equipment'!$D$4:$D$503,(_calc!$E$717-500)))&amp;". ")&amp;IF(LEN(IF(ISNUMBER(INDEX('My equipment'!$J$4:$J$503,(_calc!$E$717-500))),TEXT(INDEX('My equipment'!$J$4:$J$503,(_calc!$E$717-500)),"yyyy-mm-dd"),""))=0,"","Parts end: "&amp;IF(ISNUMBER(INDEX('My equipment'!$J$4:$J$503,(_calc!$E$717-500))),TEXT(INDEX('My equipment'!$J$4:$J$503,(_calc!$E$717-500)),"yyyy-mm-dd"),"")&amp;". ")&amp;IF(LEN(IF(ISNUMBER(INDEX('My equipment'!$L$4:$L$503,(_calc!$E$717-500))),TEXT(INDEX('My equipment'!$L$4:$L$503,(_calc!$E$717-500)),"yyyy-mm-dd"),""))=0,"","Labor end: "&amp;IF(ISNUMBER(INDEX('My equipment'!$L$4:$L$503,(_calc!$E$717-500))),TEXT(INDEX('My equipment'!$L$4:$L$503,(_calc!$E$717-500)),"yyyy-mm-dd"),"")&amp;". ")&amp;IF(LEN(IF(ISNUMBER(INDEX('My equipment'!$P$4:$P$503,(_calc!$E$717-500))),TEXT(INDEX('My equipment'!$P$4:$P$503,(_calc!$E$717-500)),"yyyy-mm-dd"),""))=0,"","Check by: "&amp;IF(ISNUMBER(INDEX('My equipment'!$P$4:$P$503,(_calc!$E$717-500))),TEXT(INDEX('My equipment'!$P$4:$P$503,(_calc!$E$717-500)),"yyyy-mm-dd"),"")&amp;". ")&amp;IF(LEN(IF(LEN(INDEX('My equipment'!$Q$4:$Q$503,(_calc!$E$717-500)))=0,"",INDEX('My equipment'!$Q$4:$Q$503,(_calc!$E$717-500))))=0,"","Claim status: "&amp;IF(LEN(INDEX('My equipment'!$Q$4:$Q$503,(_calc!$E$717-500)))=0,"",INDEX('My equipment'!$Q$4:$Q$503,(_calc!$E$717-500)))&amp;". ")&amp;IF(LEN(IF(LEN(INDEX('My equipment'!$R$4:$R$503,(_calc!$E$717-500)))=0,"",INDEX('My equipment'!$R$4:$R$503,(_calc!$E$717-500))))=0,"","Claims contact: "&amp;IF(LEN(INDEX('My equipment'!$R$4:$R$503,(_calc!$E$717-500)))=0,"",INDEX('My equipment'!$R$4:$R$503,(_calc!$E$717-500)))&amp;". ")&amp;IF(LEN(IF(LEN(INDEX('My equipment'!$S$4:$S$503,(_calc!$E$717-500)))=0,"",INDEX('My equipment'!$S$4:$S$503,(_calc!$E$717-500))))=0,"","Claims email: "&amp;IF(LEN(INDEX('My equipment'!$S$4:$S$503,(_calc!$E$717-500)))=0,"",INDEX('My equipment'!$S$4:$S$503,(_calc!$E$717-500)))&amp;". ")&amp;IF(LEN(IF(LEN(INDEX('My equipment'!$U$4:$U$503,(_calc!$E$717-500)))=0,"",INDEX('My equipment'!$U$4:$U$503,(_calc!$E$717-500))))=0,"","Registered: "&amp;IF(LEN(INDEX('My equipment'!$U$4:$U$503,(_calc!$E$717-500)))=0,"",INDEX('My equipment'!$U$4:$U$503,(_calc!$E$717-500)))&amp;". ")&amp;IF(LEN(IF(LEN(INDEX('My equipment'!$V$4:$V$503,(_calc!$E$717-500)))=0,"",INDEX('My equipment'!$V$4:$V$503,(_calc!$E$717-500))))=0,"","Proof on file: "&amp;IF(LEN(INDEX('My equipment'!$V$4:$V$503,(_calc!$E$717-500)))=0,"",INDEX('My equipment'!$V$4:$V$503,(_calc!$E$717-500)))&amp;". ")&amp;IF(LEN(IF(LEN(INDEX('My equipment'!$W$4:$W$503,(_calc!$E$717-500)))=0,"",INDEX('My equipment'!$W$4:$W$503,(_calc!$E$717-500))))=0,"","Claim ref: "&amp;IF(LEN(INDEX('My equipment'!$W$4:$W$503,(_calc!$E$717-500)))=0,"",INDEX('My equipment'!$W$4:$W$503,(_calc!$E$717-500)))&amp;". ")&amp;IF(LEN(IF(LEN(INDEX('My equipment'!$Y$4:$Y$503,(_calc!$E$717-500)))=0,"",INDEX('My equipment'!$Y$4:$Y$503,(_calc!$E$717-500))))=0,"",IF(LEN(INDEX('My equipment'!$Y$4:$Y$503,(_calc!$E$717-500)))=0,"",INDEX('My equipment'!$Y$4:$Y$503,(_calc!$E$717-500)))))))</f>
        <v/>
      </c>
      <c r="G715" s="54">
        <f>IF(_calc!$E$717="","",IF(_calc!$E$717&lt;=500,"",IF(LEN(INDEX('My equipment'!$X$4:$X$503,(_calc!$E$717-500)))=0,"",INDEX('My equipment'!$X$4:$X$503,(_calc!$E$717-500)))))</f>
        <v/>
      </c>
      <c r="K715" s="54">
        <f>IF(_calc!$E$717="","",IF(_calc!$E$717&lt;=500,"",IF(LEN(INDEX('My equipment'!$T$4:$T$503,(_calc!$E$717-500)))=0,"",INDEX('My equipment'!$T$4:$T$503,(_calc!$E$717-500)))))</f>
        <v/>
      </c>
    </row>
    <row r="716">
      <c r="A716" s="54">
        <f>IF(_calc!$E$718="","",IF(_calc!$E$718&lt;=500,"Warranty – "&amp;IF(LEN(INDEX('Dealer pipeline'!$C$4:$C$503,_calc!$E$718))=0,"",INDEX('Dealer pipeline'!$C$4:$C$503,_calc!$E$718))&amp;" – "&amp;IF(LEN(INDEX('Dealer pipeline'!$D$4:$D$503,_calc!$E$718))=0,"",INDEX('Dealer pipeline'!$D$4:$D$503,_calc!$E$718))&amp;" – "&amp;IF(LEN(INDEX('Dealer pipeline'!$A$4:$A$503,_calc!$E$718))=0,"",INDEX('Dealer pipeline'!$A$4:$A$503,_calc!$E$718)),"Warranty – "&amp;IF(LEN(INDEX('My equipment'!$A$4:$A$503,(_calc!$E$718-500)))=0,"",INDEX('My equipment'!$A$4:$A$503,(_calc!$E$718-500)))&amp;" – "&amp;IF(LEN(INDEX('My equipment'!$D$4:$D$503,(_calc!$E$718-500)))=0,"",INDEX('My equipment'!$D$4:$D$503,(_calc!$E$718-500)))))</f>
        <v/>
      </c>
      <c r="B716" s="54">
        <f>IF(_calc!$E$718="","",IF(_calc!$E$718&lt;=500,IF(ISNUMBER(INDEX('Dealer pipeline'!$M$4:$M$503,_calc!$E$718)),TEXT(INDEX('Dealer pipeline'!$M$4:$M$503,_calc!$E$718),"yyyy-mm-dd"),""),IF(ISNUMBER(INDEX('My equipment'!$M$4:$M$503,(_calc!$E$718-500))),TEXT(INDEX('My equipment'!$M$4:$M$503,(_calc!$E$718-500)),"yyyy-mm-dd"),"")))</f>
        <v/>
      </c>
      <c r="C716" s="54">
        <f>IF(_calc!$E$718="","",IF(_calc!$E$718&lt;=500,"Warranty","Warranty"))</f>
        <v/>
      </c>
      <c r="D716" s="54">
        <f>IF(_calc!$E$718="","",IF(_calc!$E$718&lt;=500,IF(ISNUMBER(INDEX('Dealer pipeline'!$H$4:$H$503,_calc!$E$718)),TEXT(INDEX('Dealer pipeline'!$H$4:$H$503,_calc!$E$718),"yyyy-mm-dd"),""),IF(ISNUMBER(INDEX('My equipment'!$H$4:$H$503,(_calc!$E$718-500))),TEXT(INDEX('My equipment'!$H$4:$H$503,(_calc!$E$718-500)),"yyyy-mm-dd"),"")))</f>
        <v/>
      </c>
      <c r="F716" s="54">
        <f>IF(_calc!$E$718="","",IF(_calc!$E$718&lt;=500,TRIM(IF(LEN(IF(LEN(INDEX('Dealer pipeline'!$A$4:$A$503,_calc!$E$718))=0,"",INDEX('Dealer pipeline'!$A$4:$A$503,_calc!$E$718)))=0,"","Customer: "&amp;IF(LEN(INDEX('Dealer pipeline'!$A$4:$A$503,_calc!$E$718))=0,"",INDEX('Dealer pipeline'!$A$4:$A$503,_calc!$E$718))&amp;". ")&amp;IF(LEN(IF(LEN(INDEX('Dealer pipeline'!$B$4:$B$503,_calc!$E$718))=0,"",INDEX('Dealer pipeline'!$B$4:$B$503,_calc!$E$718)))=0,"","Contact: "&amp;IF(LEN(INDEX('Dealer pipeline'!$B$4:$B$503,_calc!$E$718))=0,"",INDEX('Dealer pipeline'!$B$4:$B$503,_calc!$E$718))&amp;". ")&amp;IF(LEN(IF(LEN(INDEX('Dealer pipeline'!$D$4:$D$503,_calc!$E$718))=0,"",INDEX('Dealer pipeline'!$D$4:$D$503,_calc!$E$718)))=0,"","Serial: "&amp;IF(LEN(INDEX('Dealer pipeline'!$D$4:$D$503,_calc!$E$718))=0,"",INDEX('Dealer pipeline'!$D$4:$D$503,_calc!$E$718))&amp;". ")&amp;IF(LEN(IF(ISNUMBER(INDEX('Dealer pipeline'!$J$4:$J$503,_calc!$E$718)),TEXT(INDEX('Dealer pipeline'!$J$4:$J$503,_calc!$E$718),"yyyy-mm-dd"),""))=0,"","Parts end: "&amp;IF(ISNUMBER(INDEX('Dealer pipeline'!$J$4:$J$503,_calc!$E$718)),TEXT(INDEX('Dealer pipeline'!$J$4:$J$503,_calc!$E$718),"yyyy-mm-dd"),"")&amp;". ")&amp;IF(LEN(IF(ISNUMBER(INDEX('Dealer pipeline'!$L$4:$L$503,_calc!$E$718)),TEXT(INDEX('Dealer pipeline'!$L$4:$L$503,_calc!$E$718),"yyyy-mm-dd"),""))=0,"","Labor end: "&amp;IF(ISNUMBER(INDEX('Dealer pipeline'!$L$4:$L$503,_calc!$E$718)),TEXT(INDEX('Dealer pipeline'!$L$4:$L$503,_calc!$E$718),"yyyy-mm-dd"),"")&amp;". ")&amp;IF(LEN(IF(LEN(INDEX('Dealer pipeline'!$Q$4:$Q$503,_calc!$E$718))=0,"",INDEX('Dealer pipeline'!$Q$4:$Q$503,_calc!$E$718)))=0,"","Status: "&amp;IF(LEN(INDEX('Dealer pipeline'!$Q$4:$Q$503,_calc!$E$718))=0,"",INDEX('Dealer pipeline'!$Q$4:$Q$503,_calc!$E$718))&amp;". ")&amp;IF(LEN(IF(LEN(INDEX('Dealer pipeline'!$P$4:$P$503,_calc!$E$718))=0,"",INDEX('Dealer pipeline'!$P$4:$P$503,_calc!$E$718)))=0,"","Last touch: "&amp;IF(LEN(INDEX('Dealer pipeline'!$P$4:$P$503,_calc!$E$718))=0,"",INDEX('Dealer pipeline'!$P$4:$P$503,_calc!$E$718))&amp;". ")&amp;IF(LEN(IF(LEN(INDEX('Dealer pipeline'!$R$4:$R$503,_calc!$E$718))=0,"",INDEX('Dealer pipeline'!$R$4:$R$503,_calc!$E$718)))=0,"","Owner: "&amp;IF(LEN(INDEX('Dealer pipeline'!$R$4:$R$503,_calc!$E$718))=0,"",INDEX('Dealer pipeline'!$R$4:$R$503,_calc!$E$718))&amp;". ")&amp;IF(LEN(IF(LEN(INDEX('Dealer pipeline'!$S$4:$S$503,_calc!$E$718))=0,"",INDEX('Dealer pipeline'!$S$4:$S$503,_calc!$E$718)))=0,"","Backup: "&amp;IF(LEN(INDEX('Dealer pipeline'!$S$4:$S$503,_calc!$E$718))=0,"",INDEX('Dealer pipeline'!$S$4:$S$503,_calc!$E$718))&amp;". ")&amp;IF(LEN(IF(LEN(INDEX('Dealer pipeline'!$T$4:$T$503,_calc!$E$718))=0,"",INDEX('Dealer pipeline'!$T$4:$T$503,_calc!$E$718)))=0,"",IF(LEN(INDEX('Dealer pipeline'!$T$4:$T$503,_calc!$E$718))=0,"",INDEX('Dealer pipeline'!$T$4:$T$503,_calc!$E$718)))),TRIM(IF(LEN(IF(LEN(INDEX('My equipment'!$C$4:$C$503,(_calc!$E$718-500)))=0,"",INDEX('My equipment'!$C$4:$C$503,(_calc!$E$718-500))))=0,"","Model: "&amp;IF(LEN(INDEX('My equipment'!$C$4:$C$503,(_calc!$E$718-500)))=0,"",INDEX('My equipment'!$C$4:$C$503,(_calc!$E$718-500)))&amp;". ")&amp;IF(LEN(IF(LEN(INDEX('My equipment'!$D$4:$D$503,(_calc!$E$718-500)))=0,"",INDEX('My equipment'!$D$4:$D$503,(_calc!$E$718-500))))=0,"","Serial: "&amp;IF(LEN(INDEX('My equipment'!$D$4:$D$503,(_calc!$E$718-500)))=0,"",INDEX('My equipment'!$D$4:$D$503,(_calc!$E$718-500)))&amp;". ")&amp;IF(LEN(IF(ISNUMBER(INDEX('My equipment'!$J$4:$J$503,(_calc!$E$718-500))),TEXT(INDEX('My equipment'!$J$4:$J$503,(_calc!$E$718-500)),"yyyy-mm-dd"),""))=0,"","Parts end: "&amp;IF(ISNUMBER(INDEX('My equipment'!$J$4:$J$503,(_calc!$E$718-500))),TEXT(INDEX('My equipment'!$J$4:$J$503,(_calc!$E$718-500)),"yyyy-mm-dd"),"")&amp;". ")&amp;IF(LEN(IF(ISNUMBER(INDEX('My equipment'!$L$4:$L$503,(_calc!$E$718-500))),TEXT(INDEX('My equipment'!$L$4:$L$503,(_calc!$E$718-500)),"yyyy-mm-dd"),""))=0,"","Labor end: "&amp;IF(ISNUMBER(INDEX('My equipment'!$L$4:$L$503,(_calc!$E$718-500))),TEXT(INDEX('My equipment'!$L$4:$L$503,(_calc!$E$718-500)),"yyyy-mm-dd"),"")&amp;". ")&amp;IF(LEN(IF(ISNUMBER(INDEX('My equipment'!$P$4:$P$503,(_calc!$E$718-500))),TEXT(INDEX('My equipment'!$P$4:$P$503,(_calc!$E$718-500)),"yyyy-mm-dd"),""))=0,"","Check by: "&amp;IF(ISNUMBER(INDEX('My equipment'!$P$4:$P$503,(_calc!$E$718-500))),TEXT(INDEX('My equipment'!$P$4:$P$503,(_calc!$E$718-500)),"yyyy-mm-dd"),"")&amp;". ")&amp;IF(LEN(IF(LEN(INDEX('My equipment'!$Q$4:$Q$503,(_calc!$E$718-500)))=0,"",INDEX('My equipment'!$Q$4:$Q$503,(_calc!$E$718-500))))=0,"","Claim status: "&amp;IF(LEN(INDEX('My equipment'!$Q$4:$Q$503,(_calc!$E$718-500)))=0,"",INDEX('My equipment'!$Q$4:$Q$503,(_calc!$E$718-500)))&amp;". ")&amp;IF(LEN(IF(LEN(INDEX('My equipment'!$R$4:$R$503,(_calc!$E$718-500)))=0,"",INDEX('My equipment'!$R$4:$R$503,(_calc!$E$718-500))))=0,"","Claims contact: "&amp;IF(LEN(INDEX('My equipment'!$R$4:$R$503,(_calc!$E$718-500)))=0,"",INDEX('My equipment'!$R$4:$R$503,(_calc!$E$718-500)))&amp;". ")&amp;IF(LEN(IF(LEN(INDEX('My equipment'!$S$4:$S$503,(_calc!$E$718-500)))=0,"",INDEX('My equipment'!$S$4:$S$503,(_calc!$E$718-500))))=0,"","Claims email: "&amp;IF(LEN(INDEX('My equipment'!$S$4:$S$503,(_calc!$E$718-500)))=0,"",INDEX('My equipment'!$S$4:$S$503,(_calc!$E$718-500)))&amp;". ")&amp;IF(LEN(IF(LEN(INDEX('My equipment'!$U$4:$U$503,(_calc!$E$718-500)))=0,"",INDEX('My equipment'!$U$4:$U$503,(_calc!$E$718-500))))=0,"","Registered: "&amp;IF(LEN(INDEX('My equipment'!$U$4:$U$503,(_calc!$E$718-500)))=0,"",INDEX('My equipment'!$U$4:$U$503,(_calc!$E$718-500)))&amp;". ")&amp;IF(LEN(IF(LEN(INDEX('My equipment'!$V$4:$V$503,(_calc!$E$718-500)))=0,"",INDEX('My equipment'!$V$4:$V$503,(_calc!$E$718-500))))=0,"","Proof on file: "&amp;IF(LEN(INDEX('My equipment'!$V$4:$V$503,(_calc!$E$718-500)))=0,"",INDEX('My equipment'!$V$4:$V$503,(_calc!$E$718-500)))&amp;". ")&amp;IF(LEN(IF(LEN(INDEX('My equipment'!$W$4:$W$503,(_calc!$E$718-500)))=0,"",INDEX('My equipment'!$W$4:$W$503,(_calc!$E$718-500))))=0,"","Claim ref: "&amp;IF(LEN(INDEX('My equipment'!$W$4:$W$503,(_calc!$E$718-500)))=0,"",INDEX('My equipment'!$W$4:$W$503,(_calc!$E$718-500)))&amp;". ")&amp;IF(LEN(IF(LEN(INDEX('My equipment'!$Y$4:$Y$503,(_calc!$E$718-500)))=0,"",INDEX('My equipment'!$Y$4:$Y$503,(_calc!$E$718-500))))=0,"",IF(LEN(INDEX('My equipment'!$Y$4:$Y$503,(_calc!$E$718-500)))=0,"",INDEX('My equipment'!$Y$4:$Y$503,(_calc!$E$718-500)))))))</f>
        <v/>
      </c>
      <c r="G716" s="54">
        <f>IF(_calc!$E$718="","",IF(_calc!$E$718&lt;=500,"",IF(LEN(INDEX('My equipment'!$X$4:$X$503,(_calc!$E$718-500)))=0,"",INDEX('My equipment'!$X$4:$X$503,(_calc!$E$718-500)))))</f>
        <v/>
      </c>
      <c r="K716" s="54">
        <f>IF(_calc!$E$718="","",IF(_calc!$E$718&lt;=500,"",IF(LEN(INDEX('My equipment'!$T$4:$T$503,(_calc!$E$718-500)))=0,"",INDEX('My equipment'!$T$4:$T$503,(_calc!$E$718-500)))))</f>
        <v/>
      </c>
    </row>
    <row r="717">
      <c r="A717" s="54">
        <f>IF(_calc!$E$719="","",IF(_calc!$E$719&lt;=500,"Warranty – "&amp;IF(LEN(INDEX('Dealer pipeline'!$C$4:$C$503,_calc!$E$719))=0,"",INDEX('Dealer pipeline'!$C$4:$C$503,_calc!$E$719))&amp;" – "&amp;IF(LEN(INDEX('Dealer pipeline'!$D$4:$D$503,_calc!$E$719))=0,"",INDEX('Dealer pipeline'!$D$4:$D$503,_calc!$E$719))&amp;" – "&amp;IF(LEN(INDEX('Dealer pipeline'!$A$4:$A$503,_calc!$E$719))=0,"",INDEX('Dealer pipeline'!$A$4:$A$503,_calc!$E$719)),"Warranty – "&amp;IF(LEN(INDEX('My equipment'!$A$4:$A$503,(_calc!$E$719-500)))=0,"",INDEX('My equipment'!$A$4:$A$503,(_calc!$E$719-500)))&amp;" – "&amp;IF(LEN(INDEX('My equipment'!$D$4:$D$503,(_calc!$E$719-500)))=0,"",INDEX('My equipment'!$D$4:$D$503,(_calc!$E$719-500)))))</f>
        <v/>
      </c>
      <c r="B717" s="54">
        <f>IF(_calc!$E$719="","",IF(_calc!$E$719&lt;=500,IF(ISNUMBER(INDEX('Dealer pipeline'!$M$4:$M$503,_calc!$E$719)),TEXT(INDEX('Dealer pipeline'!$M$4:$M$503,_calc!$E$719),"yyyy-mm-dd"),""),IF(ISNUMBER(INDEX('My equipment'!$M$4:$M$503,(_calc!$E$719-500))),TEXT(INDEX('My equipment'!$M$4:$M$503,(_calc!$E$719-500)),"yyyy-mm-dd"),"")))</f>
        <v/>
      </c>
      <c r="C717" s="54">
        <f>IF(_calc!$E$719="","",IF(_calc!$E$719&lt;=500,"Warranty","Warranty"))</f>
        <v/>
      </c>
      <c r="D717" s="54">
        <f>IF(_calc!$E$719="","",IF(_calc!$E$719&lt;=500,IF(ISNUMBER(INDEX('Dealer pipeline'!$H$4:$H$503,_calc!$E$719)),TEXT(INDEX('Dealer pipeline'!$H$4:$H$503,_calc!$E$719),"yyyy-mm-dd"),""),IF(ISNUMBER(INDEX('My equipment'!$H$4:$H$503,(_calc!$E$719-500))),TEXT(INDEX('My equipment'!$H$4:$H$503,(_calc!$E$719-500)),"yyyy-mm-dd"),"")))</f>
        <v/>
      </c>
      <c r="F717" s="54">
        <f>IF(_calc!$E$719="","",IF(_calc!$E$719&lt;=500,TRIM(IF(LEN(IF(LEN(INDEX('Dealer pipeline'!$A$4:$A$503,_calc!$E$719))=0,"",INDEX('Dealer pipeline'!$A$4:$A$503,_calc!$E$719)))=0,"","Customer: "&amp;IF(LEN(INDEX('Dealer pipeline'!$A$4:$A$503,_calc!$E$719))=0,"",INDEX('Dealer pipeline'!$A$4:$A$503,_calc!$E$719))&amp;". ")&amp;IF(LEN(IF(LEN(INDEX('Dealer pipeline'!$B$4:$B$503,_calc!$E$719))=0,"",INDEX('Dealer pipeline'!$B$4:$B$503,_calc!$E$719)))=0,"","Contact: "&amp;IF(LEN(INDEX('Dealer pipeline'!$B$4:$B$503,_calc!$E$719))=0,"",INDEX('Dealer pipeline'!$B$4:$B$503,_calc!$E$719))&amp;". ")&amp;IF(LEN(IF(LEN(INDEX('Dealer pipeline'!$D$4:$D$503,_calc!$E$719))=0,"",INDEX('Dealer pipeline'!$D$4:$D$503,_calc!$E$719)))=0,"","Serial: "&amp;IF(LEN(INDEX('Dealer pipeline'!$D$4:$D$503,_calc!$E$719))=0,"",INDEX('Dealer pipeline'!$D$4:$D$503,_calc!$E$719))&amp;". ")&amp;IF(LEN(IF(ISNUMBER(INDEX('Dealer pipeline'!$J$4:$J$503,_calc!$E$719)),TEXT(INDEX('Dealer pipeline'!$J$4:$J$503,_calc!$E$719),"yyyy-mm-dd"),""))=0,"","Parts end: "&amp;IF(ISNUMBER(INDEX('Dealer pipeline'!$J$4:$J$503,_calc!$E$719)),TEXT(INDEX('Dealer pipeline'!$J$4:$J$503,_calc!$E$719),"yyyy-mm-dd"),"")&amp;". ")&amp;IF(LEN(IF(ISNUMBER(INDEX('Dealer pipeline'!$L$4:$L$503,_calc!$E$719)),TEXT(INDEX('Dealer pipeline'!$L$4:$L$503,_calc!$E$719),"yyyy-mm-dd"),""))=0,"","Labor end: "&amp;IF(ISNUMBER(INDEX('Dealer pipeline'!$L$4:$L$503,_calc!$E$719)),TEXT(INDEX('Dealer pipeline'!$L$4:$L$503,_calc!$E$719),"yyyy-mm-dd"),"")&amp;". ")&amp;IF(LEN(IF(LEN(INDEX('Dealer pipeline'!$Q$4:$Q$503,_calc!$E$719))=0,"",INDEX('Dealer pipeline'!$Q$4:$Q$503,_calc!$E$719)))=0,"","Status: "&amp;IF(LEN(INDEX('Dealer pipeline'!$Q$4:$Q$503,_calc!$E$719))=0,"",INDEX('Dealer pipeline'!$Q$4:$Q$503,_calc!$E$719))&amp;". ")&amp;IF(LEN(IF(LEN(INDEX('Dealer pipeline'!$P$4:$P$503,_calc!$E$719))=0,"",INDEX('Dealer pipeline'!$P$4:$P$503,_calc!$E$719)))=0,"","Last touch: "&amp;IF(LEN(INDEX('Dealer pipeline'!$P$4:$P$503,_calc!$E$719))=0,"",INDEX('Dealer pipeline'!$P$4:$P$503,_calc!$E$719))&amp;". ")&amp;IF(LEN(IF(LEN(INDEX('Dealer pipeline'!$R$4:$R$503,_calc!$E$719))=0,"",INDEX('Dealer pipeline'!$R$4:$R$503,_calc!$E$719)))=0,"","Owner: "&amp;IF(LEN(INDEX('Dealer pipeline'!$R$4:$R$503,_calc!$E$719))=0,"",INDEX('Dealer pipeline'!$R$4:$R$503,_calc!$E$719))&amp;". ")&amp;IF(LEN(IF(LEN(INDEX('Dealer pipeline'!$S$4:$S$503,_calc!$E$719))=0,"",INDEX('Dealer pipeline'!$S$4:$S$503,_calc!$E$719)))=0,"","Backup: "&amp;IF(LEN(INDEX('Dealer pipeline'!$S$4:$S$503,_calc!$E$719))=0,"",INDEX('Dealer pipeline'!$S$4:$S$503,_calc!$E$719))&amp;". ")&amp;IF(LEN(IF(LEN(INDEX('Dealer pipeline'!$T$4:$T$503,_calc!$E$719))=0,"",INDEX('Dealer pipeline'!$T$4:$T$503,_calc!$E$719)))=0,"",IF(LEN(INDEX('Dealer pipeline'!$T$4:$T$503,_calc!$E$719))=0,"",INDEX('Dealer pipeline'!$T$4:$T$503,_calc!$E$719)))),TRIM(IF(LEN(IF(LEN(INDEX('My equipment'!$C$4:$C$503,(_calc!$E$719-500)))=0,"",INDEX('My equipment'!$C$4:$C$503,(_calc!$E$719-500))))=0,"","Model: "&amp;IF(LEN(INDEX('My equipment'!$C$4:$C$503,(_calc!$E$719-500)))=0,"",INDEX('My equipment'!$C$4:$C$503,(_calc!$E$719-500)))&amp;". ")&amp;IF(LEN(IF(LEN(INDEX('My equipment'!$D$4:$D$503,(_calc!$E$719-500)))=0,"",INDEX('My equipment'!$D$4:$D$503,(_calc!$E$719-500))))=0,"","Serial: "&amp;IF(LEN(INDEX('My equipment'!$D$4:$D$503,(_calc!$E$719-500)))=0,"",INDEX('My equipment'!$D$4:$D$503,(_calc!$E$719-500)))&amp;". ")&amp;IF(LEN(IF(ISNUMBER(INDEX('My equipment'!$J$4:$J$503,(_calc!$E$719-500))),TEXT(INDEX('My equipment'!$J$4:$J$503,(_calc!$E$719-500)),"yyyy-mm-dd"),""))=0,"","Parts end: "&amp;IF(ISNUMBER(INDEX('My equipment'!$J$4:$J$503,(_calc!$E$719-500))),TEXT(INDEX('My equipment'!$J$4:$J$503,(_calc!$E$719-500)),"yyyy-mm-dd"),"")&amp;". ")&amp;IF(LEN(IF(ISNUMBER(INDEX('My equipment'!$L$4:$L$503,(_calc!$E$719-500))),TEXT(INDEX('My equipment'!$L$4:$L$503,(_calc!$E$719-500)),"yyyy-mm-dd"),""))=0,"","Labor end: "&amp;IF(ISNUMBER(INDEX('My equipment'!$L$4:$L$503,(_calc!$E$719-500))),TEXT(INDEX('My equipment'!$L$4:$L$503,(_calc!$E$719-500)),"yyyy-mm-dd"),"")&amp;". ")&amp;IF(LEN(IF(ISNUMBER(INDEX('My equipment'!$P$4:$P$503,(_calc!$E$719-500))),TEXT(INDEX('My equipment'!$P$4:$P$503,(_calc!$E$719-500)),"yyyy-mm-dd"),""))=0,"","Check by: "&amp;IF(ISNUMBER(INDEX('My equipment'!$P$4:$P$503,(_calc!$E$719-500))),TEXT(INDEX('My equipment'!$P$4:$P$503,(_calc!$E$719-500)),"yyyy-mm-dd"),"")&amp;". ")&amp;IF(LEN(IF(LEN(INDEX('My equipment'!$Q$4:$Q$503,(_calc!$E$719-500)))=0,"",INDEX('My equipment'!$Q$4:$Q$503,(_calc!$E$719-500))))=0,"","Claim status: "&amp;IF(LEN(INDEX('My equipment'!$Q$4:$Q$503,(_calc!$E$719-500)))=0,"",INDEX('My equipment'!$Q$4:$Q$503,(_calc!$E$719-500)))&amp;". ")&amp;IF(LEN(IF(LEN(INDEX('My equipment'!$R$4:$R$503,(_calc!$E$719-500)))=0,"",INDEX('My equipment'!$R$4:$R$503,(_calc!$E$719-500))))=0,"","Claims contact: "&amp;IF(LEN(INDEX('My equipment'!$R$4:$R$503,(_calc!$E$719-500)))=0,"",INDEX('My equipment'!$R$4:$R$503,(_calc!$E$719-500)))&amp;". ")&amp;IF(LEN(IF(LEN(INDEX('My equipment'!$S$4:$S$503,(_calc!$E$719-500)))=0,"",INDEX('My equipment'!$S$4:$S$503,(_calc!$E$719-500))))=0,"","Claims email: "&amp;IF(LEN(INDEX('My equipment'!$S$4:$S$503,(_calc!$E$719-500)))=0,"",INDEX('My equipment'!$S$4:$S$503,(_calc!$E$719-500)))&amp;". ")&amp;IF(LEN(IF(LEN(INDEX('My equipment'!$U$4:$U$503,(_calc!$E$719-500)))=0,"",INDEX('My equipment'!$U$4:$U$503,(_calc!$E$719-500))))=0,"","Registered: "&amp;IF(LEN(INDEX('My equipment'!$U$4:$U$503,(_calc!$E$719-500)))=0,"",INDEX('My equipment'!$U$4:$U$503,(_calc!$E$719-500)))&amp;". ")&amp;IF(LEN(IF(LEN(INDEX('My equipment'!$V$4:$V$503,(_calc!$E$719-500)))=0,"",INDEX('My equipment'!$V$4:$V$503,(_calc!$E$719-500))))=0,"","Proof on file: "&amp;IF(LEN(INDEX('My equipment'!$V$4:$V$503,(_calc!$E$719-500)))=0,"",INDEX('My equipment'!$V$4:$V$503,(_calc!$E$719-500)))&amp;". ")&amp;IF(LEN(IF(LEN(INDEX('My equipment'!$W$4:$W$503,(_calc!$E$719-500)))=0,"",INDEX('My equipment'!$W$4:$W$503,(_calc!$E$719-500))))=0,"","Claim ref: "&amp;IF(LEN(INDEX('My equipment'!$W$4:$W$503,(_calc!$E$719-500)))=0,"",INDEX('My equipment'!$W$4:$W$503,(_calc!$E$719-500)))&amp;". ")&amp;IF(LEN(IF(LEN(INDEX('My equipment'!$Y$4:$Y$503,(_calc!$E$719-500)))=0,"",INDEX('My equipment'!$Y$4:$Y$503,(_calc!$E$719-500))))=0,"",IF(LEN(INDEX('My equipment'!$Y$4:$Y$503,(_calc!$E$719-500)))=0,"",INDEX('My equipment'!$Y$4:$Y$503,(_calc!$E$719-500)))))))</f>
        <v/>
      </c>
      <c r="G717" s="54">
        <f>IF(_calc!$E$719="","",IF(_calc!$E$719&lt;=500,"",IF(LEN(INDEX('My equipment'!$X$4:$X$503,(_calc!$E$719-500)))=0,"",INDEX('My equipment'!$X$4:$X$503,(_calc!$E$719-500)))))</f>
        <v/>
      </c>
      <c r="K717" s="54">
        <f>IF(_calc!$E$719="","",IF(_calc!$E$719&lt;=500,"",IF(LEN(INDEX('My equipment'!$T$4:$T$503,(_calc!$E$719-500)))=0,"",INDEX('My equipment'!$T$4:$T$503,(_calc!$E$719-500)))))</f>
        <v/>
      </c>
    </row>
    <row r="718">
      <c r="A718" s="54">
        <f>IF(_calc!$E$720="","",IF(_calc!$E$720&lt;=500,"Warranty – "&amp;IF(LEN(INDEX('Dealer pipeline'!$C$4:$C$503,_calc!$E$720))=0,"",INDEX('Dealer pipeline'!$C$4:$C$503,_calc!$E$720))&amp;" – "&amp;IF(LEN(INDEX('Dealer pipeline'!$D$4:$D$503,_calc!$E$720))=0,"",INDEX('Dealer pipeline'!$D$4:$D$503,_calc!$E$720))&amp;" – "&amp;IF(LEN(INDEX('Dealer pipeline'!$A$4:$A$503,_calc!$E$720))=0,"",INDEX('Dealer pipeline'!$A$4:$A$503,_calc!$E$720)),"Warranty – "&amp;IF(LEN(INDEX('My equipment'!$A$4:$A$503,(_calc!$E$720-500)))=0,"",INDEX('My equipment'!$A$4:$A$503,(_calc!$E$720-500)))&amp;" – "&amp;IF(LEN(INDEX('My equipment'!$D$4:$D$503,(_calc!$E$720-500)))=0,"",INDEX('My equipment'!$D$4:$D$503,(_calc!$E$720-500)))))</f>
        <v/>
      </c>
      <c r="B718" s="54">
        <f>IF(_calc!$E$720="","",IF(_calc!$E$720&lt;=500,IF(ISNUMBER(INDEX('Dealer pipeline'!$M$4:$M$503,_calc!$E$720)),TEXT(INDEX('Dealer pipeline'!$M$4:$M$503,_calc!$E$720),"yyyy-mm-dd"),""),IF(ISNUMBER(INDEX('My equipment'!$M$4:$M$503,(_calc!$E$720-500))),TEXT(INDEX('My equipment'!$M$4:$M$503,(_calc!$E$720-500)),"yyyy-mm-dd"),"")))</f>
        <v/>
      </c>
      <c r="C718" s="54">
        <f>IF(_calc!$E$720="","",IF(_calc!$E$720&lt;=500,"Warranty","Warranty"))</f>
        <v/>
      </c>
      <c r="D718" s="54">
        <f>IF(_calc!$E$720="","",IF(_calc!$E$720&lt;=500,IF(ISNUMBER(INDEX('Dealer pipeline'!$H$4:$H$503,_calc!$E$720)),TEXT(INDEX('Dealer pipeline'!$H$4:$H$503,_calc!$E$720),"yyyy-mm-dd"),""),IF(ISNUMBER(INDEX('My equipment'!$H$4:$H$503,(_calc!$E$720-500))),TEXT(INDEX('My equipment'!$H$4:$H$503,(_calc!$E$720-500)),"yyyy-mm-dd"),"")))</f>
        <v/>
      </c>
      <c r="F718" s="54">
        <f>IF(_calc!$E$720="","",IF(_calc!$E$720&lt;=500,TRIM(IF(LEN(IF(LEN(INDEX('Dealer pipeline'!$A$4:$A$503,_calc!$E$720))=0,"",INDEX('Dealer pipeline'!$A$4:$A$503,_calc!$E$720)))=0,"","Customer: "&amp;IF(LEN(INDEX('Dealer pipeline'!$A$4:$A$503,_calc!$E$720))=0,"",INDEX('Dealer pipeline'!$A$4:$A$503,_calc!$E$720))&amp;". ")&amp;IF(LEN(IF(LEN(INDEX('Dealer pipeline'!$B$4:$B$503,_calc!$E$720))=0,"",INDEX('Dealer pipeline'!$B$4:$B$503,_calc!$E$720)))=0,"","Contact: "&amp;IF(LEN(INDEX('Dealer pipeline'!$B$4:$B$503,_calc!$E$720))=0,"",INDEX('Dealer pipeline'!$B$4:$B$503,_calc!$E$720))&amp;". ")&amp;IF(LEN(IF(LEN(INDEX('Dealer pipeline'!$D$4:$D$503,_calc!$E$720))=0,"",INDEX('Dealer pipeline'!$D$4:$D$503,_calc!$E$720)))=0,"","Serial: "&amp;IF(LEN(INDEX('Dealer pipeline'!$D$4:$D$503,_calc!$E$720))=0,"",INDEX('Dealer pipeline'!$D$4:$D$503,_calc!$E$720))&amp;". ")&amp;IF(LEN(IF(ISNUMBER(INDEX('Dealer pipeline'!$J$4:$J$503,_calc!$E$720)),TEXT(INDEX('Dealer pipeline'!$J$4:$J$503,_calc!$E$720),"yyyy-mm-dd"),""))=0,"","Parts end: "&amp;IF(ISNUMBER(INDEX('Dealer pipeline'!$J$4:$J$503,_calc!$E$720)),TEXT(INDEX('Dealer pipeline'!$J$4:$J$503,_calc!$E$720),"yyyy-mm-dd"),"")&amp;". ")&amp;IF(LEN(IF(ISNUMBER(INDEX('Dealer pipeline'!$L$4:$L$503,_calc!$E$720)),TEXT(INDEX('Dealer pipeline'!$L$4:$L$503,_calc!$E$720),"yyyy-mm-dd"),""))=0,"","Labor end: "&amp;IF(ISNUMBER(INDEX('Dealer pipeline'!$L$4:$L$503,_calc!$E$720)),TEXT(INDEX('Dealer pipeline'!$L$4:$L$503,_calc!$E$720),"yyyy-mm-dd"),"")&amp;". ")&amp;IF(LEN(IF(LEN(INDEX('Dealer pipeline'!$Q$4:$Q$503,_calc!$E$720))=0,"",INDEX('Dealer pipeline'!$Q$4:$Q$503,_calc!$E$720)))=0,"","Status: "&amp;IF(LEN(INDEX('Dealer pipeline'!$Q$4:$Q$503,_calc!$E$720))=0,"",INDEX('Dealer pipeline'!$Q$4:$Q$503,_calc!$E$720))&amp;". ")&amp;IF(LEN(IF(LEN(INDEX('Dealer pipeline'!$P$4:$P$503,_calc!$E$720))=0,"",INDEX('Dealer pipeline'!$P$4:$P$503,_calc!$E$720)))=0,"","Last touch: "&amp;IF(LEN(INDEX('Dealer pipeline'!$P$4:$P$503,_calc!$E$720))=0,"",INDEX('Dealer pipeline'!$P$4:$P$503,_calc!$E$720))&amp;". ")&amp;IF(LEN(IF(LEN(INDEX('Dealer pipeline'!$R$4:$R$503,_calc!$E$720))=0,"",INDEX('Dealer pipeline'!$R$4:$R$503,_calc!$E$720)))=0,"","Owner: "&amp;IF(LEN(INDEX('Dealer pipeline'!$R$4:$R$503,_calc!$E$720))=0,"",INDEX('Dealer pipeline'!$R$4:$R$503,_calc!$E$720))&amp;". ")&amp;IF(LEN(IF(LEN(INDEX('Dealer pipeline'!$S$4:$S$503,_calc!$E$720))=0,"",INDEX('Dealer pipeline'!$S$4:$S$503,_calc!$E$720)))=0,"","Backup: "&amp;IF(LEN(INDEX('Dealer pipeline'!$S$4:$S$503,_calc!$E$720))=0,"",INDEX('Dealer pipeline'!$S$4:$S$503,_calc!$E$720))&amp;". ")&amp;IF(LEN(IF(LEN(INDEX('Dealer pipeline'!$T$4:$T$503,_calc!$E$720))=0,"",INDEX('Dealer pipeline'!$T$4:$T$503,_calc!$E$720)))=0,"",IF(LEN(INDEX('Dealer pipeline'!$T$4:$T$503,_calc!$E$720))=0,"",INDEX('Dealer pipeline'!$T$4:$T$503,_calc!$E$720)))),TRIM(IF(LEN(IF(LEN(INDEX('My equipment'!$C$4:$C$503,(_calc!$E$720-500)))=0,"",INDEX('My equipment'!$C$4:$C$503,(_calc!$E$720-500))))=0,"","Model: "&amp;IF(LEN(INDEX('My equipment'!$C$4:$C$503,(_calc!$E$720-500)))=0,"",INDEX('My equipment'!$C$4:$C$503,(_calc!$E$720-500)))&amp;". ")&amp;IF(LEN(IF(LEN(INDEX('My equipment'!$D$4:$D$503,(_calc!$E$720-500)))=0,"",INDEX('My equipment'!$D$4:$D$503,(_calc!$E$720-500))))=0,"","Serial: "&amp;IF(LEN(INDEX('My equipment'!$D$4:$D$503,(_calc!$E$720-500)))=0,"",INDEX('My equipment'!$D$4:$D$503,(_calc!$E$720-500)))&amp;". ")&amp;IF(LEN(IF(ISNUMBER(INDEX('My equipment'!$J$4:$J$503,(_calc!$E$720-500))),TEXT(INDEX('My equipment'!$J$4:$J$503,(_calc!$E$720-500)),"yyyy-mm-dd"),""))=0,"","Parts end: "&amp;IF(ISNUMBER(INDEX('My equipment'!$J$4:$J$503,(_calc!$E$720-500))),TEXT(INDEX('My equipment'!$J$4:$J$503,(_calc!$E$720-500)),"yyyy-mm-dd"),"")&amp;". ")&amp;IF(LEN(IF(ISNUMBER(INDEX('My equipment'!$L$4:$L$503,(_calc!$E$720-500))),TEXT(INDEX('My equipment'!$L$4:$L$503,(_calc!$E$720-500)),"yyyy-mm-dd"),""))=0,"","Labor end: "&amp;IF(ISNUMBER(INDEX('My equipment'!$L$4:$L$503,(_calc!$E$720-500))),TEXT(INDEX('My equipment'!$L$4:$L$503,(_calc!$E$720-500)),"yyyy-mm-dd"),"")&amp;". ")&amp;IF(LEN(IF(ISNUMBER(INDEX('My equipment'!$P$4:$P$503,(_calc!$E$720-500))),TEXT(INDEX('My equipment'!$P$4:$P$503,(_calc!$E$720-500)),"yyyy-mm-dd"),""))=0,"","Check by: "&amp;IF(ISNUMBER(INDEX('My equipment'!$P$4:$P$503,(_calc!$E$720-500))),TEXT(INDEX('My equipment'!$P$4:$P$503,(_calc!$E$720-500)),"yyyy-mm-dd"),"")&amp;". ")&amp;IF(LEN(IF(LEN(INDEX('My equipment'!$Q$4:$Q$503,(_calc!$E$720-500)))=0,"",INDEX('My equipment'!$Q$4:$Q$503,(_calc!$E$720-500))))=0,"","Claim status: "&amp;IF(LEN(INDEX('My equipment'!$Q$4:$Q$503,(_calc!$E$720-500)))=0,"",INDEX('My equipment'!$Q$4:$Q$503,(_calc!$E$720-500)))&amp;". ")&amp;IF(LEN(IF(LEN(INDEX('My equipment'!$R$4:$R$503,(_calc!$E$720-500)))=0,"",INDEX('My equipment'!$R$4:$R$503,(_calc!$E$720-500))))=0,"","Claims contact: "&amp;IF(LEN(INDEX('My equipment'!$R$4:$R$503,(_calc!$E$720-500)))=0,"",INDEX('My equipment'!$R$4:$R$503,(_calc!$E$720-500)))&amp;". ")&amp;IF(LEN(IF(LEN(INDEX('My equipment'!$S$4:$S$503,(_calc!$E$720-500)))=0,"",INDEX('My equipment'!$S$4:$S$503,(_calc!$E$720-500))))=0,"","Claims email: "&amp;IF(LEN(INDEX('My equipment'!$S$4:$S$503,(_calc!$E$720-500)))=0,"",INDEX('My equipment'!$S$4:$S$503,(_calc!$E$720-500)))&amp;". ")&amp;IF(LEN(IF(LEN(INDEX('My equipment'!$U$4:$U$503,(_calc!$E$720-500)))=0,"",INDEX('My equipment'!$U$4:$U$503,(_calc!$E$720-500))))=0,"","Registered: "&amp;IF(LEN(INDEX('My equipment'!$U$4:$U$503,(_calc!$E$720-500)))=0,"",INDEX('My equipment'!$U$4:$U$503,(_calc!$E$720-500)))&amp;". ")&amp;IF(LEN(IF(LEN(INDEX('My equipment'!$V$4:$V$503,(_calc!$E$720-500)))=0,"",INDEX('My equipment'!$V$4:$V$503,(_calc!$E$720-500))))=0,"","Proof on file: "&amp;IF(LEN(INDEX('My equipment'!$V$4:$V$503,(_calc!$E$720-500)))=0,"",INDEX('My equipment'!$V$4:$V$503,(_calc!$E$720-500)))&amp;". ")&amp;IF(LEN(IF(LEN(INDEX('My equipment'!$W$4:$W$503,(_calc!$E$720-500)))=0,"",INDEX('My equipment'!$W$4:$W$503,(_calc!$E$720-500))))=0,"","Claim ref: "&amp;IF(LEN(INDEX('My equipment'!$W$4:$W$503,(_calc!$E$720-500)))=0,"",INDEX('My equipment'!$W$4:$W$503,(_calc!$E$720-500)))&amp;". ")&amp;IF(LEN(IF(LEN(INDEX('My equipment'!$Y$4:$Y$503,(_calc!$E$720-500)))=0,"",INDEX('My equipment'!$Y$4:$Y$503,(_calc!$E$720-500))))=0,"",IF(LEN(INDEX('My equipment'!$Y$4:$Y$503,(_calc!$E$720-500)))=0,"",INDEX('My equipment'!$Y$4:$Y$503,(_calc!$E$720-500)))))))</f>
        <v/>
      </c>
      <c r="G718" s="54">
        <f>IF(_calc!$E$720="","",IF(_calc!$E$720&lt;=500,"",IF(LEN(INDEX('My equipment'!$X$4:$X$503,(_calc!$E$720-500)))=0,"",INDEX('My equipment'!$X$4:$X$503,(_calc!$E$720-500)))))</f>
        <v/>
      </c>
      <c r="K718" s="54">
        <f>IF(_calc!$E$720="","",IF(_calc!$E$720&lt;=500,"",IF(LEN(INDEX('My equipment'!$T$4:$T$503,(_calc!$E$720-500)))=0,"",INDEX('My equipment'!$T$4:$T$503,(_calc!$E$720-500)))))</f>
        <v/>
      </c>
    </row>
    <row r="719">
      <c r="A719" s="54">
        <f>IF(_calc!$E$721="","",IF(_calc!$E$721&lt;=500,"Warranty – "&amp;IF(LEN(INDEX('Dealer pipeline'!$C$4:$C$503,_calc!$E$721))=0,"",INDEX('Dealer pipeline'!$C$4:$C$503,_calc!$E$721))&amp;" – "&amp;IF(LEN(INDEX('Dealer pipeline'!$D$4:$D$503,_calc!$E$721))=0,"",INDEX('Dealer pipeline'!$D$4:$D$503,_calc!$E$721))&amp;" – "&amp;IF(LEN(INDEX('Dealer pipeline'!$A$4:$A$503,_calc!$E$721))=0,"",INDEX('Dealer pipeline'!$A$4:$A$503,_calc!$E$721)),"Warranty – "&amp;IF(LEN(INDEX('My equipment'!$A$4:$A$503,(_calc!$E$721-500)))=0,"",INDEX('My equipment'!$A$4:$A$503,(_calc!$E$721-500)))&amp;" – "&amp;IF(LEN(INDEX('My equipment'!$D$4:$D$503,(_calc!$E$721-500)))=0,"",INDEX('My equipment'!$D$4:$D$503,(_calc!$E$721-500)))))</f>
        <v/>
      </c>
      <c r="B719" s="54">
        <f>IF(_calc!$E$721="","",IF(_calc!$E$721&lt;=500,IF(ISNUMBER(INDEX('Dealer pipeline'!$M$4:$M$503,_calc!$E$721)),TEXT(INDEX('Dealer pipeline'!$M$4:$M$503,_calc!$E$721),"yyyy-mm-dd"),""),IF(ISNUMBER(INDEX('My equipment'!$M$4:$M$503,(_calc!$E$721-500))),TEXT(INDEX('My equipment'!$M$4:$M$503,(_calc!$E$721-500)),"yyyy-mm-dd"),"")))</f>
        <v/>
      </c>
      <c r="C719" s="54">
        <f>IF(_calc!$E$721="","",IF(_calc!$E$721&lt;=500,"Warranty","Warranty"))</f>
        <v/>
      </c>
      <c r="D719" s="54">
        <f>IF(_calc!$E$721="","",IF(_calc!$E$721&lt;=500,IF(ISNUMBER(INDEX('Dealer pipeline'!$H$4:$H$503,_calc!$E$721)),TEXT(INDEX('Dealer pipeline'!$H$4:$H$503,_calc!$E$721),"yyyy-mm-dd"),""),IF(ISNUMBER(INDEX('My equipment'!$H$4:$H$503,(_calc!$E$721-500))),TEXT(INDEX('My equipment'!$H$4:$H$503,(_calc!$E$721-500)),"yyyy-mm-dd"),"")))</f>
        <v/>
      </c>
      <c r="F719" s="54">
        <f>IF(_calc!$E$721="","",IF(_calc!$E$721&lt;=500,TRIM(IF(LEN(IF(LEN(INDEX('Dealer pipeline'!$A$4:$A$503,_calc!$E$721))=0,"",INDEX('Dealer pipeline'!$A$4:$A$503,_calc!$E$721)))=0,"","Customer: "&amp;IF(LEN(INDEX('Dealer pipeline'!$A$4:$A$503,_calc!$E$721))=0,"",INDEX('Dealer pipeline'!$A$4:$A$503,_calc!$E$721))&amp;". ")&amp;IF(LEN(IF(LEN(INDEX('Dealer pipeline'!$B$4:$B$503,_calc!$E$721))=0,"",INDEX('Dealer pipeline'!$B$4:$B$503,_calc!$E$721)))=0,"","Contact: "&amp;IF(LEN(INDEX('Dealer pipeline'!$B$4:$B$503,_calc!$E$721))=0,"",INDEX('Dealer pipeline'!$B$4:$B$503,_calc!$E$721))&amp;". ")&amp;IF(LEN(IF(LEN(INDEX('Dealer pipeline'!$D$4:$D$503,_calc!$E$721))=0,"",INDEX('Dealer pipeline'!$D$4:$D$503,_calc!$E$721)))=0,"","Serial: "&amp;IF(LEN(INDEX('Dealer pipeline'!$D$4:$D$503,_calc!$E$721))=0,"",INDEX('Dealer pipeline'!$D$4:$D$503,_calc!$E$721))&amp;". ")&amp;IF(LEN(IF(ISNUMBER(INDEX('Dealer pipeline'!$J$4:$J$503,_calc!$E$721)),TEXT(INDEX('Dealer pipeline'!$J$4:$J$503,_calc!$E$721),"yyyy-mm-dd"),""))=0,"","Parts end: "&amp;IF(ISNUMBER(INDEX('Dealer pipeline'!$J$4:$J$503,_calc!$E$721)),TEXT(INDEX('Dealer pipeline'!$J$4:$J$503,_calc!$E$721),"yyyy-mm-dd"),"")&amp;". ")&amp;IF(LEN(IF(ISNUMBER(INDEX('Dealer pipeline'!$L$4:$L$503,_calc!$E$721)),TEXT(INDEX('Dealer pipeline'!$L$4:$L$503,_calc!$E$721),"yyyy-mm-dd"),""))=0,"","Labor end: "&amp;IF(ISNUMBER(INDEX('Dealer pipeline'!$L$4:$L$503,_calc!$E$721)),TEXT(INDEX('Dealer pipeline'!$L$4:$L$503,_calc!$E$721),"yyyy-mm-dd"),"")&amp;". ")&amp;IF(LEN(IF(LEN(INDEX('Dealer pipeline'!$Q$4:$Q$503,_calc!$E$721))=0,"",INDEX('Dealer pipeline'!$Q$4:$Q$503,_calc!$E$721)))=0,"","Status: "&amp;IF(LEN(INDEX('Dealer pipeline'!$Q$4:$Q$503,_calc!$E$721))=0,"",INDEX('Dealer pipeline'!$Q$4:$Q$503,_calc!$E$721))&amp;". ")&amp;IF(LEN(IF(LEN(INDEX('Dealer pipeline'!$P$4:$P$503,_calc!$E$721))=0,"",INDEX('Dealer pipeline'!$P$4:$P$503,_calc!$E$721)))=0,"","Last touch: "&amp;IF(LEN(INDEX('Dealer pipeline'!$P$4:$P$503,_calc!$E$721))=0,"",INDEX('Dealer pipeline'!$P$4:$P$503,_calc!$E$721))&amp;". ")&amp;IF(LEN(IF(LEN(INDEX('Dealer pipeline'!$R$4:$R$503,_calc!$E$721))=0,"",INDEX('Dealer pipeline'!$R$4:$R$503,_calc!$E$721)))=0,"","Owner: "&amp;IF(LEN(INDEX('Dealer pipeline'!$R$4:$R$503,_calc!$E$721))=0,"",INDEX('Dealer pipeline'!$R$4:$R$503,_calc!$E$721))&amp;". ")&amp;IF(LEN(IF(LEN(INDEX('Dealer pipeline'!$S$4:$S$503,_calc!$E$721))=0,"",INDEX('Dealer pipeline'!$S$4:$S$503,_calc!$E$721)))=0,"","Backup: "&amp;IF(LEN(INDEX('Dealer pipeline'!$S$4:$S$503,_calc!$E$721))=0,"",INDEX('Dealer pipeline'!$S$4:$S$503,_calc!$E$721))&amp;". ")&amp;IF(LEN(IF(LEN(INDEX('Dealer pipeline'!$T$4:$T$503,_calc!$E$721))=0,"",INDEX('Dealer pipeline'!$T$4:$T$503,_calc!$E$721)))=0,"",IF(LEN(INDEX('Dealer pipeline'!$T$4:$T$503,_calc!$E$721))=0,"",INDEX('Dealer pipeline'!$T$4:$T$503,_calc!$E$721)))),TRIM(IF(LEN(IF(LEN(INDEX('My equipment'!$C$4:$C$503,(_calc!$E$721-500)))=0,"",INDEX('My equipment'!$C$4:$C$503,(_calc!$E$721-500))))=0,"","Model: "&amp;IF(LEN(INDEX('My equipment'!$C$4:$C$503,(_calc!$E$721-500)))=0,"",INDEX('My equipment'!$C$4:$C$503,(_calc!$E$721-500)))&amp;". ")&amp;IF(LEN(IF(LEN(INDEX('My equipment'!$D$4:$D$503,(_calc!$E$721-500)))=0,"",INDEX('My equipment'!$D$4:$D$503,(_calc!$E$721-500))))=0,"","Serial: "&amp;IF(LEN(INDEX('My equipment'!$D$4:$D$503,(_calc!$E$721-500)))=0,"",INDEX('My equipment'!$D$4:$D$503,(_calc!$E$721-500)))&amp;". ")&amp;IF(LEN(IF(ISNUMBER(INDEX('My equipment'!$J$4:$J$503,(_calc!$E$721-500))),TEXT(INDEX('My equipment'!$J$4:$J$503,(_calc!$E$721-500)),"yyyy-mm-dd"),""))=0,"","Parts end: "&amp;IF(ISNUMBER(INDEX('My equipment'!$J$4:$J$503,(_calc!$E$721-500))),TEXT(INDEX('My equipment'!$J$4:$J$503,(_calc!$E$721-500)),"yyyy-mm-dd"),"")&amp;". ")&amp;IF(LEN(IF(ISNUMBER(INDEX('My equipment'!$L$4:$L$503,(_calc!$E$721-500))),TEXT(INDEX('My equipment'!$L$4:$L$503,(_calc!$E$721-500)),"yyyy-mm-dd"),""))=0,"","Labor end: "&amp;IF(ISNUMBER(INDEX('My equipment'!$L$4:$L$503,(_calc!$E$721-500))),TEXT(INDEX('My equipment'!$L$4:$L$503,(_calc!$E$721-500)),"yyyy-mm-dd"),"")&amp;". ")&amp;IF(LEN(IF(ISNUMBER(INDEX('My equipment'!$P$4:$P$503,(_calc!$E$721-500))),TEXT(INDEX('My equipment'!$P$4:$P$503,(_calc!$E$721-500)),"yyyy-mm-dd"),""))=0,"","Check by: "&amp;IF(ISNUMBER(INDEX('My equipment'!$P$4:$P$503,(_calc!$E$721-500))),TEXT(INDEX('My equipment'!$P$4:$P$503,(_calc!$E$721-500)),"yyyy-mm-dd"),"")&amp;". ")&amp;IF(LEN(IF(LEN(INDEX('My equipment'!$Q$4:$Q$503,(_calc!$E$721-500)))=0,"",INDEX('My equipment'!$Q$4:$Q$503,(_calc!$E$721-500))))=0,"","Claim status: "&amp;IF(LEN(INDEX('My equipment'!$Q$4:$Q$503,(_calc!$E$721-500)))=0,"",INDEX('My equipment'!$Q$4:$Q$503,(_calc!$E$721-500)))&amp;". ")&amp;IF(LEN(IF(LEN(INDEX('My equipment'!$R$4:$R$503,(_calc!$E$721-500)))=0,"",INDEX('My equipment'!$R$4:$R$503,(_calc!$E$721-500))))=0,"","Claims contact: "&amp;IF(LEN(INDEX('My equipment'!$R$4:$R$503,(_calc!$E$721-500)))=0,"",INDEX('My equipment'!$R$4:$R$503,(_calc!$E$721-500)))&amp;". ")&amp;IF(LEN(IF(LEN(INDEX('My equipment'!$S$4:$S$503,(_calc!$E$721-500)))=0,"",INDEX('My equipment'!$S$4:$S$503,(_calc!$E$721-500))))=0,"","Claims email: "&amp;IF(LEN(INDEX('My equipment'!$S$4:$S$503,(_calc!$E$721-500)))=0,"",INDEX('My equipment'!$S$4:$S$503,(_calc!$E$721-500)))&amp;". ")&amp;IF(LEN(IF(LEN(INDEX('My equipment'!$U$4:$U$503,(_calc!$E$721-500)))=0,"",INDEX('My equipment'!$U$4:$U$503,(_calc!$E$721-500))))=0,"","Registered: "&amp;IF(LEN(INDEX('My equipment'!$U$4:$U$503,(_calc!$E$721-500)))=0,"",INDEX('My equipment'!$U$4:$U$503,(_calc!$E$721-500)))&amp;". ")&amp;IF(LEN(IF(LEN(INDEX('My equipment'!$V$4:$V$503,(_calc!$E$721-500)))=0,"",INDEX('My equipment'!$V$4:$V$503,(_calc!$E$721-500))))=0,"","Proof on file: "&amp;IF(LEN(INDEX('My equipment'!$V$4:$V$503,(_calc!$E$721-500)))=0,"",INDEX('My equipment'!$V$4:$V$503,(_calc!$E$721-500)))&amp;". ")&amp;IF(LEN(IF(LEN(INDEX('My equipment'!$W$4:$W$503,(_calc!$E$721-500)))=0,"",INDEX('My equipment'!$W$4:$W$503,(_calc!$E$721-500))))=0,"","Claim ref: "&amp;IF(LEN(INDEX('My equipment'!$W$4:$W$503,(_calc!$E$721-500)))=0,"",INDEX('My equipment'!$W$4:$W$503,(_calc!$E$721-500)))&amp;". ")&amp;IF(LEN(IF(LEN(INDEX('My equipment'!$Y$4:$Y$503,(_calc!$E$721-500)))=0,"",INDEX('My equipment'!$Y$4:$Y$503,(_calc!$E$721-500))))=0,"",IF(LEN(INDEX('My equipment'!$Y$4:$Y$503,(_calc!$E$721-500)))=0,"",INDEX('My equipment'!$Y$4:$Y$503,(_calc!$E$721-500)))))))</f>
        <v/>
      </c>
      <c r="G719" s="54">
        <f>IF(_calc!$E$721="","",IF(_calc!$E$721&lt;=500,"",IF(LEN(INDEX('My equipment'!$X$4:$X$503,(_calc!$E$721-500)))=0,"",INDEX('My equipment'!$X$4:$X$503,(_calc!$E$721-500)))))</f>
        <v/>
      </c>
      <c r="K719" s="54">
        <f>IF(_calc!$E$721="","",IF(_calc!$E$721&lt;=500,"",IF(LEN(INDEX('My equipment'!$T$4:$T$503,(_calc!$E$721-500)))=0,"",INDEX('My equipment'!$T$4:$T$503,(_calc!$E$721-500)))))</f>
        <v/>
      </c>
    </row>
    <row r="720">
      <c r="A720" s="54">
        <f>IF(_calc!$E$722="","",IF(_calc!$E$722&lt;=500,"Warranty – "&amp;IF(LEN(INDEX('Dealer pipeline'!$C$4:$C$503,_calc!$E$722))=0,"",INDEX('Dealer pipeline'!$C$4:$C$503,_calc!$E$722))&amp;" – "&amp;IF(LEN(INDEX('Dealer pipeline'!$D$4:$D$503,_calc!$E$722))=0,"",INDEX('Dealer pipeline'!$D$4:$D$503,_calc!$E$722))&amp;" – "&amp;IF(LEN(INDEX('Dealer pipeline'!$A$4:$A$503,_calc!$E$722))=0,"",INDEX('Dealer pipeline'!$A$4:$A$503,_calc!$E$722)),"Warranty – "&amp;IF(LEN(INDEX('My equipment'!$A$4:$A$503,(_calc!$E$722-500)))=0,"",INDEX('My equipment'!$A$4:$A$503,(_calc!$E$722-500)))&amp;" – "&amp;IF(LEN(INDEX('My equipment'!$D$4:$D$503,(_calc!$E$722-500)))=0,"",INDEX('My equipment'!$D$4:$D$503,(_calc!$E$722-500)))))</f>
        <v/>
      </c>
      <c r="B720" s="54">
        <f>IF(_calc!$E$722="","",IF(_calc!$E$722&lt;=500,IF(ISNUMBER(INDEX('Dealer pipeline'!$M$4:$M$503,_calc!$E$722)),TEXT(INDEX('Dealer pipeline'!$M$4:$M$503,_calc!$E$722),"yyyy-mm-dd"),""),IF(ISNUMBER(INDEX('My equipment'!$M$4:$M$503,(_calc!$E$722-500))),TEXT(INDEX('My equipment'!$M$4:$M$503,(_calc!$E$722-500)),"yyyy-mm-dd"),"")))</f>
        <v/>
      </c>
      <c r="C720" s="54">
        <f>IF(_calc!$E$722="","",IF(_calc!$E$722&lt;=500,"Warranty","Warranty"))</f>
        <v/>
      </c>
      <c r="D720" s="54">
        <f>IF(_calc!$E$722="","",IF(_calc!$E$722&lt;=500,IF(ISNUMBER(INDEX('Dealer pipeline'!$H$4:$H$503,_calc!$E$722)),TEXT(INDEX('Dealer pipeline'!$H$4:$H$503,_calc!$E$722),"yyyy-mm-dd"),""),IF(ISNUMBER(INDEX('My equipment'!$H$4:$H$503,(_calc!$E$722-500))),TEXT(INDEX('My equipment'!$H$4:$H$503,(_calc!$E$722-500)),"yyyy-mm-dd"),"")))</f>
        <v/>
      </c>
      <c r="F720" s="54">
        <f>IF(_calc!$E$722="","",IF(_calc!$E$722&lt;=500,TRIM(IF(LEN(IF(LEN(INDEX('Dealer pipeline'!$A$4:$A$503,_calc!$E$722))=0,"",INDEX('Dealer pipeline'!$A$4:$A$503,_calc!$E$722)))=0,"","Customer: "&amp;IF(LEN(INDEX('Dealer pipeline'!$A$4:$A$503,_calc!$E$722))=0,"",INDEX('Dealer pipeline'!$A$4:$A$503,_calc!$E$722))&amp;". ")&amp;IF(LEN(IF(LEN(INDEX('Dealer pipeline'!$B$4:$B$503,_calc!$E$722))=0,"",INDEX('Dealer pipeline'!$B$4:$B$503,_calc!$E$722)))=0,"","Contact: "&amp;IF(LEN(INDEX('Dealer pipeline'!$B$4:$B$503,_calc!$E$722))=0,"",INDEX('Dealer pipeline'!$B$4:$B$503,_calc!$E$722))&amp;". ")&amp;IF(LEN(IF(LEN(INDEX('Dealer pipeline'!$D$4:$D$503,_calc!$E$722))=0,"",INDEX('Dealer pipeline'!$D$4:$D$503,_calc!$E$722)))=0,"","Serial: "&amp;IF(LEN(INDEX('Dealer pipeline'!$D$4:$D$503,_calc!$E$722))=0,"",INDEX('Dealer pipeline'!$D$4:$D$503,_calc!$E$722))&amp;". ")&amp;IF(LEN(IF(ISNUMBER(INDEX('Dealer pipeline'!$J$4:$J$503,_calc!$E$722)),TEXT(INDEX('Dealer pipeline'!$J$4:$J$503,_calc!$E$722),"yyyy-mm-dd"),""))=0,"","Parts end: "&amp;IF(ISNUMBER(INDEX('Dealer pipeline'!$J$4:$J$503,_calc!$E$722)),TEXT(INDEX('Dealer pipeline'!$J$4:$J$503,_calc!$E$722),"yyyy-mm-dd"),"")&amp;". ")&amp;IF(LEN(IF(ISNUMBER(INDEX('Dealer pipeline'!$L$4:$L$503,_calc!$E$722)),TEXT(INDEX('Dealer pipeline'!$L$4:$L$503,_calc!$E$722),"yyyy-mm-dd"),""))=0,"","Labor end: "&amp;IF(ISNUMBER(INDEX('Dealer pipeline'!$L$4:$L$503,_calc!$E$722)),TEXT(INDEX('Dealer pipeline'!$L$4:$L$503,_calc!$E$722),"yyyy-mm-dd"),"")&amp;". ")&amp;IF(LEN(IF(LEN(INDEX('Dealer pipeline'!$Q$4:$Q$503,_calc!$E$722))=0,"",INDEX('Dealer pipeline'!$Q$4:$Q$503,_calc!$E$722)))=0,"","Status: "&amp;IF(LEN(INDEX('Dealer pipeline'!$Q$4:$Q$503,_calc!$E$722))=0,"",INDEX('Dealer pipeline'!$Q$4:$Q$503,_calc!$E$722))&amp;". ")&amp;IF(LEN(IF(LEN(INDEX('Dealer pipeline'!$P$4:$P$503,_calc!$E$722))=0,"",INDEX('Dealer pipeline'!$P$4:$P$503,_calc!$E$722)))=0,"","Last touch: "&amp;IF(LEN(INDEX('Dealer pipeline'!$P$4:$P$503,_calc!$E$722))=0,"",INDEX('Dealer pipeline'!$P$4:$P$503,_calc!$E$722))&amp;". ")&amp;IF(LEN(IF(LEN(INDEX('Dealer pipeline'!$R$4:$R$503,_calc!$E$722))=0,"",INDEX('Dealer pipeline'!$R$4:$R$503,_calc!$E$722)))=0,"","Owner: "&amp;IF(LEN(INDEX('Dealer pipeline'!$R$4:$R$503,_calc!$E$722))=0,"",INDEX('Dealer pipeline'!$R$4:$R$503,_calc!$E$722))&amp;". ")&amp;IF(LEN(IF(LEN(INDEX('Dealer pipeline'!$S$4:$S$503,_calc!$E$722))=0,"",INDEX('Dealer pipeline'!$S$4:$S$503,_calc!$E$722)))=0,"","Backup: "&amp;IF(LEN(INDEX('Dealer pipeline'!$S$4:$S$503,_calc!$E$722))=0,"",INDEX('Dealer pipeline'!$S$4:$S$503,_calc!$E$722))&amp;". ")&amp;IF(LEN(IF(LEN(INDEX('Dealer pipeline'!$T$4:$T$503,_calc!$E$722))=0,"",INDEX('Dealer pipeline'!$T$4:$T$503,_calc!$E$722)))=0,"",IF(LEN(INDEX('Dealer pipeline'!$T$4:$T$503,_calc!$E$722))=0,"",INDEX('Dealer pipeline'!$T$4:$T$503,_calc!$E$722)))),TRIM(IF(LEN(IF(LEN(INDEX('My equipment'!$C$4:$C$503,(_calc!$E$722-500)))=0,"",INDEX('My equipment'!$C$4:$C$503,(_calc!$E$722-500))))=0,"","Model: "&amp;IF(LEN(INDEX('My equipment'!$C$4:$C$503,(_calc!$E$722-500)))=0,"",INDEX('My equipment'!$C$4:$C$503,(_calc!$E$722-500)))&amp;". ")&amp;IF(LEN(IF(LEN(INDEX('My equipment'!$D$4:$D$503,(_calc!$E$722-500)))=0,"",INDEX('My equipment'!$D$4:$D$503,(_calc!$E$722-500))))=0,"","Serial: "&amp;IF(LEN(INDEX('My equipment'!$D$4:$D$503,(_calc!$E$722-500)))=0,"",INDEX('My equipment'!$D$4:$D$503,(_calc!$E$722-500)))&amp;". ")&amp;IF(LEN(IF(ISNUMBER(INDEX('My equipment'!$J$4:$J$503,(_calc!$E$722-500))),TEXT(INDEX('My equipment'!$J$4:$J$503,(_calc!$E$722-500)),"yyyy-mm-dd"),""))=0,"","Parts end: "&amp;IF(ISNUMBER(INDEX('My equipment'!$J$4:$J$503,(_calc!$E$722-500))),TEXT(INDEX('My equipment'!$J$4:$J$503,(_calc!$E$722-500)),"yyyy-mm-dd"),"")&amp;". ")&amp;IF(LEN(IF(ISNUMBER(INDEX('My equipment'!$L$4:$L$503,(_calc!$E$722-500))),TEXT(INDEX('My equipment'!$L$4:$L$503,(_calc!$E$722-500)),"yyyy-mm-dd"),""))=0,"","Labor end: "&amp;IF(ISNUMBER(INDEX('My equipment'!$L$4:$L$503,(_calc!$E$722-500))),TEXT(INDEX('My equipment'!$L$4:$L$503,(_calc!$E$722-500)),"yyyy-mm-dd"),"")&amp;". ")&amp;IF(LEN(IF(ISNUMBER(INDEX('My equipment'!$P$4:$P$503,(_calc!$E$722-500))),TEXT(INDEX('My equipment'!$P$4:$P$503,(_calc!$E$722-500)),"yyyy-mm-dd"),""))=0,"","Check by: "&amp;IF(ISNUMBER(INDEX('My equipment'!$P$4:$P$503,(_calc!$E$722-500))),TEXT(INDEX('My equipment'!$P$4:$P$503,(_calc!$E$722-500)),"yyyy-mm-dd"),"")&amp;". ")&amp;IF(LEN(IF(LEN(INDEX('My equipment'!$Q$4:$Q$503,(_calc!$E$722-500)))=0,"",INDEX('My equipment'!$Q$4:$Q$503,(_calc!$E$722-500))))=0,"","Claim status: "&amp;IF(LEN(INDEX('My equipment'!$Q$4:$Q$503,(_calc!$E$722-500)))=0,"",INDEX('My equipment'!$Q$4:$Q$503,(_calc!$E$722-500)))&amp;". ")&amp;IF(LEN(IF(LEN(INDEX('My equipment'!$R$4:$R$503,(_calc!$E$722-500)))=0,"",INDEX('My equipment'!$R$4:$R$503,(_calc!$E$722-500))))=0,"","Claims contact: "&amp;IF(LEN(INDEX('My equipment'!$R$4:$R$503,(_calc!$E$722-500)))=0,"",INDEX('My equipment'!$R$4:$R$503,(_calc!$E$722-500)))&amp;". ")&amp;IF(LEN(IF(LEN(INDEX('My equipment'!$S$4:$S$503,(_calc!$E$722-500)))=0,"",INDEX('My equipment'!$S$4:$S$503,(_calc!$E$722-500))))=0,"","Claims email: "&amp;IF(LEN(INDEX('My equipment'!$S$4:$S$503,(_calc!$E$722-500)))=0,"",INDEX('My equipment'!$S$4:$S$503,(_calc!$E$722-500)))&amp;". ")&amp;IF(LEN(IF(LEN(INDEX('My equipment'!$U$4:$U$503,(_calc!$E$722-500)))=0,"",INDEX('My equipment'!$U$4:$U$503,(_calc!$E$722-500))))=0,"","Registered: "&amp;IF(LEN(INDEX('My equipment'!$U$4:$U$503,(_calc!$E$722-500)))=0,"",INDEX('My equipment'!$U$4:$U$503,(_calc!$E$722-500)))&amp;". ")&amp;IF(LEN(IF(LEN(INDEX('My equipment'!$V$4:$V$503,(_calc!$E$722-500)))=0,"",INDEX('My equipment'!$V$4:$V$503,(_calc!$E$722-500))))=0,"","Proof on file: "&amp;IF(LEN(INDEX('My equipment'!$V$4:$V$503,(_calc!$E$722-500)))=0,"",INDEX('My equipment'!$V$4:$V$503,(_calc!$E$722-500)))&amp;". ")&amp;IF(LEN(IF(LEN(INDEX('My equipment'!$W$4:$W$503,(_calc!$E$722-500)))=0,"",INDEX('My equipment'!$W$4:$W$503,(_calc!$E$722-500))))=0,"","Claim ref: "&amp;IF(LEN(INDEX('My equipment'!$W$4:$W$503,(_calc!$E$722-500)))=0,"",INDEX('My equipment'!$W$4:$W$503,(_calc!$E$722-500)))&amp;". ")&amp;IF(LEN(IF(LEN(INDEX('My equipment'!$Y$4:$Y$503,(_calc!$E$722-500)))=0,"",INDEX('My equipment'!$Y$4:$Y$503,(_calc!$E$722-500))))=0,"",IF(LEN(INDEX('My equipment'!$Y$4:$Y$503,(_calc!$E$722-500)))=0,"",INDEX('My equipment'!$Y$4:$Y$503,(_calc!$E$722-500)))))))</f>
        <v/>
      </c>
      <c r="G720" s="54">
        <f>IF(_calc!$E$722="","",IF(_calc!$E$722&lt;=500,"",IF(LEN(INDEX('My equipment'!$X$4:$X$503,(_calc!$E$722-500)))=0,"",INDEX('My equipment'!$X$4:$X$503,(_calc!$E$722-500)))))</f>
        <v/>
      </c>
      <c r="K720" s="54">
        <f>IF(_calc!$E$722="","",IF(_calc!$E$722&lt;=500,"",IF(LEN(INDEX('My equipment'!$T$4:$T$503,(_calc!$E$722-500)))=0,"",INDEX('My equipment'!$T$4:$T$503,(_calc!$E$722-500)))))</f>
        <v/>
      </c>
    </row>
    <row r="721">
      <c r="A721" s="54">
        <f>IF(_calc!$E$723="","",IF(_calc!$E$723&lt;=500,"Warranty – "&amp;IF(LEN(INDEX('Dealer pipeline'!$C$4:$C$503,_calc!$E$723))=0,"",INDEX('Dealer pipeline'!$C$4:$C$503,_calc!$E$723))&amp;" – "&amp;IF(LEN(INDEX('Dealer pipeline'!$D$4:$D$503,_calc!$E$723))=0,"",INDEX('Dealer pipeline'!$D$4:$D$503,_calc!$E$723))&amp;" – "&amp;IF(LEN(INDEX('Dealer pipeline'!$A$4:$A$503,_calc!$E$723))=0,"",INDEX('Dealer pipeline'!$A$4:$A$503,_calc!$E$723)),"Warranty – "&amp;IF(LEN(INDEX('My equipment'!$A$4:$A$503,(_calc!$E$723-500)))=0,"",INDEX('My equipment'!$A$4:$A$503,(_calc!$E$723-500)))&amp;" – "&amp;IF(LEN(INDEX('My equipment'!$D$4:$D$503,(_calc!$E$723-500)))=0,"",INDEX('My equipment'!$D$4:$D$503,(_calc!$E$723-500)))))</f>
        <v/>
      </c>
      <c r="B721" s="54">
        <f>IF(_calc!$E$723="","",IF(_calc!$E$723&lt;=500,IF(ISNUMBER(INDEX('Dealer pipeline'!$M$4:$M$503,_calc!$E$723)),TEXT(INDEX('Dealer pipeline'!$M$4:$M$503,_calc!$E$723),"yyyy-mm-dd"),""),IF(ISNUMBER(INDEX('My equipment'!$M$4:$M$503,(_calc!$E$723-500))),TEXT(INDEX('My equipment'!$M$4:$M$503,(_calc!$E$723-500)),"yyyy-mm-dd"),"")))</f>
        <v/>
      </c>
      <c r="C721" s="54">
        <f>IF(_calc!$E$723="","",IF(_calc!$E$723&lt;=500,"Warranty","Warranty"))</f>
        <v/>
      </c>
      <c r="D721" s="54">
        <f>IF(_calc!$E$723="","",IF(_calc!$E$723&lt;=500,IF(ISNUMBER(INDEX('Dealer pipeline'!$H$4:$H$503,_calc!$E$723)),TEXT(INDEX('Dealer pipeline'!$H$4:$H$503,_calc!$E$723),"yyyy-mm-dd"),""),IF(ISNUMBER(INDEX('My equipment'!$H$4:$H$503,(_calc!$E$723-500))),TEXT(INDEX('My equipment'!$H$4:$H$503,(_calc!$E$723-500)),"yyyy-mm-dd"),"")))</f>
        <v/>
      </c>
      <c r="F721" s="54">
        <f>IF(_calc!$E$723="","",IF(_calc!$E$723&lt;=500,TRIM(IF(LEN(IF(LEN(INDEX('Dealer pipeline'!$A$4:$A$503,_calc!$E$723))=0,"",INDEX('Dealer pipeline'!$A$4:$A$503,_calc!$E$723)))=0,"","Customer: "&amp;IF(LEN(INDEX('Dealer pipeline'!$A$4:$A$503,_calc!$E$723))=0,"",INDEX('Dealer pipeline'!$A$4:$A$503,_calc!$E$723))&amp;". ")&amp;IF(LEN(IF(LEN(INDEX('Dealer pipeline'!$B$4:$B$503,_calc!$E$723))=0,"",INDEX('Dealer pipeline'!$B$4:$B$503,_calc!$E$723)))=0,"","Contact: "&amp;IF(LEN(INDEX('Dealer pipeline'!$B$4:$B$503,_calc!$E$723))=0,"",INDEX('Dealer pipeline'!$B$4:$B$503,_calc!$E$723))&amp;". ")&amp;IF(LEN(IF(LEN(INDEX('Dealer pipeline'!$D$4:$D$503,_calc!$E$723))=0,"",INDEX('Dealer pipeline'!$D$4:$D$503,_calc!$E$723)))=0,"","Serial: "&amp;IF(LEN(INDEX('Dealer pipeline'!$D$4:$D$503,_calc!$E$723))=0,"",INDEX('Dealer pipeline'!$D$4:$D$503,_calc!$E$723))&amp;". ")&amp;IF(LEN(IF(ISNUMBER(INDEX('Dealer pipeline'!$J$4:$J$503,_calc!$E$723)),TEXT(INDEX('Dealer pipeline'!$J$4:$J$503,_calc!$E$723),"yyyy-mm-dd"),""))=0,"","Parts end: "&amp;IF(ISNUMBER(INDEX('Dealer pipeline'!$J$4:$J$503,_calc!$E$723)),TEXT(INDEX('Dealer pipeline'!$J$4:$J$503,_calc!$E$723),"yyyy-mm-dd"),"")&amp;". ")&amp;IF(LEN(IF(ISNUMBER(INDEX('Dealer pipeline'!$L$4:$L$503,_calc!$E$723)),TEXT(INDEX('Dealer pipeline'!$L$4:$L$503,_calc!$E$723),"yyyy-mm-dd"),""))=0,"","Labor end: "&amp;IF(ISNUMBER(INDEX('Dealer pipeline'!$L$4:$L$503,_calc!$E$723)),TEXT(INDEX('Dealer pipeline'!$L$4:$L$503,_calc!$E$723),"yyyy-mm-dd"),"")&amp;". ")&amp;IF(LEN(IF(LEN(INDEX('Dealer pipeline'!$Q$4:$Q$503,_calc!$E$723))=0,"",INDEX('Dealer pipeline'!$Q$4:$Q$503,_calc!$E$723)))=0,"","Status: "&amp;IF(LEN(INDEX('Dealer pipeline'!$Q$4:$Q$503,_calc!$E$723))=0,"",INDEX('Dealer pipeline'!$Q$4:$Q$503,_calc!$E$723))&amp;". ")&amp;IF(LEN(IF(LEN(INDEX('Dealer pipeline'!$P$4:$P$503,_calc!$E$723))=0,"",INDEX('Dealer pipeline'!$P$4:$P$503,_calc!$E$723)))=0,"","Last touch: "&amp;IF(LEN(INDEX('Dealer pipeline'!$P$4:$P$503,_calc!$E$723))=0,"",INDEX('Dealer pipeline'!$P$4:$P$503,_calc!$E$723))&amp;". ")&amp;IF(LEN(IF(LEN(INDEX('Dealer pipeline'!$R$4:$R$503,_calc!$E$723))=0,"",INDEX('Dealer pipeline'!$R$4:$R$503,_calc!$E$723)))=0,"","Owner: "&amp;IF(LEN(INDEX('Dealer pipeline'!$R$4:$R$503,_calc!$E$723))=0,"",INDEX('Dealer pipeline'!$R$4:$R$503,_calc!$E$723))&amp;". ")&amp;IF(LEN(IF(LEN(INDEX('Dealer pipeline'!$S$4:$S$503,_calc!$E$723))=0,"",INDEX('Dealer pipeline'!$S$4:$S$503,_calc!$E$723)))=0,"","Backup: "&amp;IF(LEN(INDEX('Dealer pipeline'!$S$4:$S$503,_calc!$E$723))=0,"",INDEX('Dealer pipeline'!$S$4:$S$503,_calc!$E$723))&amp;". ")&amp;IF(LEN(IF(LEN(INDEX('Dealer pipeline'!$T$4:$T$503,_calc!$E$723))=0,"",INDEX('Dealer pipeline'!$T$4:$T$503,_calc!$E$723)))=0,"",IF(LEN(INDEX('Dealer pipeline'!$T$4:$T$503,_calc!$E$723))=0,"",INDEX('Dealer pipeline'!$T$4:$T$503,_calc!$E$723)))),TRIM(IF(LEN(IF(LEN(INDEX('My equipment'!$C$4:$C$503,(_calc!$E$723-500)))=0,"",INDEX('My equipment'!$C$4:$C$503,(_calc!$E$723-500))))=0,"","Model: "&amp;IF(LEN(INDEX('My equipment'!$C$4:$C$503,(_calc!$E$723-500)))=0,"",INDEX('My equipment'!$C$4:$C$503,(_calc!$E$723-500)))&amp;". ")&amp;IF(LEN(IF(LEN(INDEX('My equipment'!$D$4:$D$503,(_calc!$E$723-500)))=0,"",INDEX('My equipment'!$D$4:$D$503,(_calc!$E$723-500))))=0,"","Serial: "&amp;IF(LEN(INDEX('My equipment'!$D$4:$D$503,(_calc!$E$723-500)))=0,"",INDEX('My equipment'!$D$4:$D$503,(_calc!$E$723-500)))&amp;". ")&amp;IF(LEN(IF(ISNUMBER(INDEX('My equipment'!$J$4:$J$503,(_calc!$E$723-500))),TEXT(INDEX('My equipment'!$J$4:$J$503,(_calc!$E$723-500)),"yyyy-mm-dd"),""))=0,"","Parts end: "&amp;IF(ISNUMBER(INDEX('My equipment'!$J$4:$J$503,(_calc!$E$723-500))),TEXT(INDEX('My equipment'!$J$4:$J$503,(_calc!$E$723-500)),"yyyy-mm-dd"),"")&amp;". ")&amp;IF(LEN(IF(ISNUMBER(INDEX('My equipment'!$L$4:$L$503,(_calc!$E$723-500))),TEXT(INDEX('My equipment'!$L$4:$L$503,(_calc!$E$723-500)),"yyyy-mm-dd"),""))=0,"","Labor end: "&amp;IF(ISNUMBER(INDEX('My equipment'!$L$4:$L$503,(_calc!$E$723-500))),TEXT(INDEX('My equipment'!$L$4:$L$503,(_calc!$E$723-500)),"yyyy-mm-dd"),"")&amp;". ")&amp;IF(LEN(IF(ISNUMBER(INDEX('My equipment'!$P$4:$P$503,(_calc!$E$723-500))),TEXT(INDEX('My equipment'!$P$4:$P$503,(_calc!$E$723-500)),"yyyy-mm-dd"),""))=0,"","Check by: "&amp;IF(ISNUMBER(INDEX('My equipment'!$P$4:$P$503,(_calc!$E$723-500))),TEXT(INDEX('My equipment'!$P$4:$P$503,(_calc!$E$723-500)),"yyyy-mm-dd"),"")&amp;". ")&amp;IF(LEN(IF(LEN(INDEX('My equipment'!$Q$4:$Q$503,(_calc!$E$723-500)))=0,"",INDEX('My equipment'!$Q$4:$Q$503,(_calc!$E$723-500))))=0,"","Claim status: "&amp;IF(LEN(INDEX('My equipment'!$Q$4:$Q$503,(_calc!$E$723-500)))=0,"",INDEX('My equipment'!$Q$4:$Q$503,(_calc!$E$723-500)))&amp;". ")&amp;IF(LEN(IF(LEN(INDEX('My equipment'!$R$4:$R$503,(_calc!$E$723-500)))=0,"",INDEX('My equipment'!$R$4:$R$503,(_calc!$E$723-500))))=0,"","Claims contact: "&amp;IF(LEN(INDEX('My equipment'!$R$4:$R$503,(_calc!$E$723-500)))=0,"",INDEX('My equipment'!$R$4:$R$503,(_calc!$E$723-500)))&amp;". ")&amp;IF(LEN(IF(LEN(INDEX('My equipment'!$S$4:$S$503,(_calc!$E$723-500)))=0,"",INDEX('My equipment'!$S$4:$S$503,(_calc!$E$723-500))))=0,"","Claims email: "&amp;IF(LEN(INDEX('My equipment'!$S$4:$S$503,(_calc!$E$723-500)))=0,"",INDEX('My equipment'!$S$4:$S$503,(_calc!$E$723-500)))&amp;". ")&amp;IF(LEN(IF(LEN(INDEX('My equipment'!$U$4:$U$503,(_calc!$E$723-500)))=0,"",INDEX('My equipment'!$U$4:$U$503,(_calc!$E$723-500))))=0,"","Registered: "&amp;IF(LEN(INDEX('My equipment'!$U$4:$U$503,(_calc!$E$723-500)))=0,"",INDEX('My equipment'!$U$4:$U$503,(_calc!$E$723-500)))&amp;". ")&amp;IF(LEN(IF(LEN(INDEX('My equipment'!$V$4:$V$503,(_calc!$E$723-500)))=0,"",INDEX('My equipment'!$V$4:$V$503,(_calc!$E$723-500))))=0,"","Proof on file: "&amp;IF(LEN(INDEX('My equipment'!$V$4:$V$503,(_calc!$E$723-500)))=0,"",INDEX('My equipment'!$V$4:$V$503,(_calc!$E$723-500)))&amp;". ")&amp;IF(LEN(IF(LEN(INDEX('My equipment'!$W$4:$W$503,(_calc!$E$723-500)))=0,"",INDEX('My equipment'!$W$4:$W$503,(_calc!$E$723-500))))=0,"","Claim ref: "&amp;IF(LEN(INDEX('My equipment'!$W$4:$W$503,(_calc!$E$723-500)))=0,"",INDEX('My equipment'!$W$4:$W$503,(_calc!$E$723-500)))&amp;". ")&amp;IF(LEN(IF(LEN(INDEX('My equipment'!$Y$4:$Y$503,(_calc!$E$723-500)))=0,"",INDEX('My equipment'!$Y$4:$Y$503,(_calc!$E$723-500))))=0,"",IF(LEN(INDEX('My equipment'!$Y$4:$Y$503,(_calc!$E$723-500)))=0,"",INDEX('My equipment'!$Y$4:$Y$503,(_calc!$E$723-500)))))))</f>
        <v/>
      </c>
      <c r="G721" s="54">
        <f>IF(_calc!$E$723="","",IF(_calc!$E$723&lt;=500,"",IF(LEN(INDEX('My equipment'!$X$4:$X$503,(_calc!$E$723-500)))=0,"",INDEX('My equipment'!$X$4:$X$503,(_calc!$E$723-500)))))</f>
        <v/>
      </c>
      <c r="K721" s="54">
        <f>IF(_calc!$E$723="","",IF(_calc!$E$723&lt;=500,"",IF(LEN(INDEX('My equipment'!$T$4:$T$503,(_calc!$E$723-500)))=0,"",INDEX('My equipment'!$T$4:$T$503,(_calc!$E$723-500)))))</f>
        <v/>
      </c>
    </row>
    <row r="722">
      <c r="A722" s="54">
        <f>IF(_calc!$E$724="","",IF(_calc!$E$724&lt;=500,"Warranty – "&amp;IF(LEN(INDEX('Dealer pipeline'!$C$4:$C$503,_calc!$E$724))=0,"",INDEX('Dealer pipeline'!$C$4:$C$503,_calc!$E$724))&amp;" – "&amp;IF(LEN(INDEX('Dealer pipeline'!$D$4:$D$503,_calc!$E$724))=0,"",INDEX('Dealer pipeline'!$D$4:$D$503,_calc!$E$724))&amp;" – "&amp;IF(LEN(INDEX('Dealer pipeline'!$A$4:$A$503,_calc!$E$724))=0,"",INDEX('Dealer pipeline'!$A$4:$A$503,_calc!$E$724)),"Warranty – "&amp;IF(LEN(INDEX('My equipment'!$A$4:$A$503,(_calc!$E$724-500)))=0,"",INDEX('My equipment'!$A$4:$A$503,(_calc!$E$724-500)))&amp;" – "&amp;IF(LEN(INDEX('My equipment'!$D$4:$D$503,(_calc!$E$724-500)))=0,"",INDEX('My equipment'!$D$4:$D$503,(_calc!$E$724-500)))))</f>
        <v/>
      </c>
      <c r="B722" s="54">
        <f>IF(_calc!$E$724="","",IF(_calc!$E$724&lt;=500,IF(ISNUMBER(INDEX('Dealer pipeline'!$M$4:$M$503,_calc!$E$724)),TEXT(INDEX('Dealer pipeline'!$M$4:$M$503,_calc!$E$724),"yyyy-mm-dd"),""),IF(ISNUMBER(INDEX('My equipment'!$M$4:$M$503,(_calc!$E$724-500))),TEXT(INDEX('My equipment'!$M$4:$M$503,(_calc!$E$724-500)),"yyyy-mm-dd"),"")))</f>
        <v/>
      </c>
      <c r="C722" s="54">
        <f>IF(_calc!$E$724="","",IF(_calc!$E$724&lt;=500,"Warranty","Warranty"))</f>
        <v/>
      </c>
      <c r="D722" s="54">
        <f>IF(_calc!$E$724="","",IF(_calc!$E$724&lt;=500,IF(ISNUMBER(INDEX('Dealer pipeline'!$H$4:$H$503,_calc!$E$724)),TEXT(INDEX('Dealer pipeline'!$H$4:$H$503,_calc!$E$724),"yyyy-mm-dd"),""),IF(ISNUMBER(INDEX('My equipment'!$H$4:$H$503,(_calc!$E$724-500))),TEXT(INDEX('My equipment'!$H$4:$H$503,(_calc!$E$724-500)),"yyyy-mm-dd"),"")))</f>
        <v/>
      </c>
      <c r="F722" s="54">
        <f>IF(_calc!$E$724="","",IF(_calc!$E$724&lt;=500,TRIM(IF(LEN(IF(LEN(INDEX('Dealer pipeline'!$A$4:$A$503,_calc!$E$724))=0,"",INDEX('Dealer pipeline'!$A$4:$A$503,_calc!$E$724)))=0,"","Customer: "&amp;IF(LEN(INDEX('Dealer pipeline'!$A$4:$A$503,_calc!$E$724))=0,"",INDEX('Dealer pipeline'!$A$4:$A$503,_calc!$E$724))&amp;". ")&amp;IF(LEN(IF(LEN(INDEX('Dealer pipeline'!$B$4:$B$503,_calc!$E$724))=0,"",INDEX('Dealer pipeline'!$B$4:$B$503,_calc!$E$724)))=0,"","Contact: "&amp;IF(LEN(INDEX('Dealer pipeline'!$B$4:$B$503,_calc!$E$724))=0,"",INDEX('Dealer pipeline'!$B$4:$B$503,_calc!$E$724))&amp;". ")&amp;IF(LEN(IF(LEN(INDEX('Dealer pipeline'!$D$4:$D$503,_calc!$E$724))=0,"",INDEX('Dealer pipeline'!$D$4:$D$503,_calc!$E$724)))=0,"","Serial: "&amp;IF(LEN(INDEX('Dealer pipeline'!$D$4:$D$503,_calc!$E$724))=0,"",INDEX('Dealer pipeline'!$D$4:$D$503,_calc!$E$724))&amp;". ")&amp;IF(LEN(IF(ISNUMBER(INDEX('Dealer pipeline'!$J$4:$J$503,_calc!$E$724)),TEXT(INDEX('Dealer pipeline'!$J$4:$J$503,_calc!$E$724),"yyyy-mm-dd"),""))=0,"","Parts end: "&amp;IF(ISNUMBER(INDEX('Dealer pipeline'!$J$4:$J$503,_calc!$E$724)),TEXT(INDEX('Dealer pipeline'!$J$4:$J$503,_calc!$E$724),"yyyy-mm-dd"),"")&amp;". ")&amp;IF(LEN(IF(ISNUMBER(INDEX('Dealer pipeline'!$L$4:$L$503,_calc!$E$724)),TEXT(INDEX('Dealer pipeline'!$L$4:$L$503,_calc!$E$724),"yyyy-mm-dd"),""))=0,"","Labor end: "&amp;IF(ISNUMBER(INDEX('Dealer pipeline'!$L$4:$L$503,_calc!$E$724)),TEXT(INDEX('Dealer pipeline'!$L$4:$L$503,_calc!$E$724),"yyyy-mm-dd"),"")&amp;". ")&amp;IF(LEN(IF(LEN(INDEX('Dealer pipeline'!$Q$4:$Q$503,_calc!$E$724))=0,"",INDEX('Dealer pipeline'!$Q$4:$Q$503,_calc!$E$724)))=0,"","Status: "&amp;IF(LEN(INDEX('Dealer pipeline'!$Q$4:$Q$503,_calc!$E$724))=0,"",INDEX('Dealer pipeline'!$Q$4:$Q$503,_calc!$E$724))&amp;". ")&amp;IF(LEN(IF(LEN(INDEX('Dealer pipeline'!$P$4:$P$503,_calc!$E$724))=0,"",INDEX('Dealer pipeline'!$P$4:$P$503,_calc!$E$724)))=0,"","Last touch: "&amp;IF(LEN(INDEX('Dealer pipeline'!$P$4:$P$503,_calc!$E$724))=0,"",INDEX('Dealer pipeline'!$P$4:$P$503,_calc!$E$724))&amp;". ")&amp;IF(LEN(IF(LEN(INDEX('Dealer pipeline'!$R$4:$R$503,_calc!$E$724))=0,"",INDEX('Dealer pipeline'!$R$4:$R$503,_calc!$E$724)))=0,"","Owner: "&amp;IF(LEN(INDEX('Dealer pipeline'!$R$4:$R$503,_calc!$E$724))=0,"",INDEX('Dealer pipeline'!$R$4:$R$503,_calc!$E$724))&amp;". ")&amp;IF(LEN(IF(LEN(INDEX('Dealer pipeline'!$S$4:$S$503,_calc!$E$724))=0,"",INDEX('Dealer pipeline'!$S$4:$S$503,_calc!$E$724)))=0,"","Backup: "&amp;IF(LEN(INDEX('Dealer pipeline'!$S$4:$S$503,_calc!$E$724))=0,"",INDEX('Dealer pipeline'!$S$4:$S$503,_calc!$E$724))&amp;". ")&amp;IF(LEN(IF(LEN(INDEX('Dealer pipeline'!$T$4:$T$503,_calc!$E$724))=0,"",INDEX('Dealer pipeline'!$T$4:$T$503,_calc!$E$724)))=0,"",IF(LEN(INDEX('Dealer pipeline'!$T$4:$T$503,_calc!$E$724))=0,"",INDEX('Dealer pipeline'!$T$4:$T$503,_calc!$E$724)))),TRIM(IF(LEN(IF(LEN(INDEX('My equipment'!$C$4:$C$503,(_calc!$E$724-500)))=0,"",INDEX('My equipment'!$C$4:$C$503,(_calc!$E$724-500))))=0,"","Model: "&amp;IF(LEN(INDEX('My equipment'!$C$4:$C$503,(_calc!$E$724-500)))=0,"",INDEX('My equipment'!$C$4:$C$503,(_calc!$E$724-500)))&amp;". ")&amp;IF(LEN(IF(LEN(INDEX('My equipment'!$D$4:$D$503,(_calc!$E$724-500)))=0,"",INDEX('My equipment'!$D$4:$D$503,(_calc!$E$724-500))))=0,"","Serial: "&amp;IF(LEN(INDEX('My equipment'!$D$4:$D$503,(_calc!$E$724-500)))=0,"",INDEX('My equipment'!$D$4:$D$503,(_calc!$E$724-500)))&amp;". ")&amp;IF(LEN(IF(ISNUMBER(INDEX('My equipment'!$J$4:$J$503,(_calc!$E$724-500))),TEXT(INDEX('My equipment'!$J$4:$J$503,(_calc!$E$724-500)),"yyyy-mm-dd"),""))=0,"","Parts end: "&amp;IF(ISNUMBER(INDEX('My equipment'!$J$4:$J$503,(_calc!$E$724-500))),TEXT(INDEX('My equipment'!$J$4:$J$503,(_calc!$E$724-500)),"yyyy-mm-dd"),"")&amp;". ")&amp;IF(LEN(IF(ISNUMBER(INDEX('My equipment'!$L$4:$L$503,(_calc!$E$724-500))),TEXT(INDEX('My equipment'!$L$4:$L$503,(_calc!$E$724-500)),"yyyy-mm-dd"),""))=0,"","Labor end: "&amp;IF(ISNUMBER(INDEX('My equipment'!$L$4:$L$503,(_calc!$E$724-500))),TEXT(INDEX('My equipment'!$L$4:$L$503,(_calc!$E$724-500)),"yyyy-mm-dd"),"")&amp;". ")&amp;IF(LEN(IF(ISNUMBER(INDEX('My equipment'!$P$4:$P$503,(_calc!$E$724-500))),TEXT(INDEX('My equipment'!$P$4:$P$503,(_calc!$E$724-500)),"yyyy-mm-dd"),""))=0,"","Check by: "&amp;IF(ISNUMBER(INDEX('My equipment'!$P$4:$P$503,(_calc!$E$724-500))),TEXT(INDEX('My equipment'!$P$4:$P$503,(_calc!$E$724-500)),"yyyy-mm-dd"),"")&amp;". ")&amp;IF(LEN(IF(LEN(INDEX('My equipment'!$Q$4:$Q$503,(_calc!$E$724-500)))=0,"",INDEX('My equipment'!$Q$4:$Q$503,(_calc!$E$724-500))))=0,"","Claim status: "&amp;IF(LEN(INDEX('My equipment'!$Q$4:$Q$503,(_calc!$E$724-500)))=0,"",INDEX('My equipment'!$Q$4:$Q$503,(_calc!$E$724-500)))&amp;". ")&amp;IF(LEN(IF(LEN(INDEX('My equipment'!$R$4:$R$503,(_calc!$E$724-500)))=0,"",INDEX('My equipment'!$R$4:$R$503,(_calc!$E$724-500))))=0,"","Claims contact: "&amp;IF(LEN(INDEX('My equipment'!$R$4:$R$503,(_calc!$E$724-500)))=0,"",INDEX('My equipment'!$R$4:$R$503,(_calc!$E$724-500)))&amp;". ")&amp;IF(LEN(IF(LEN(INDEX('My equipment'!$S$4:$S$503,(_calc!$E$724-500)))=0,"",INDEX('My equipment'!$S$4:$S$503,(_calc!$E$724-500))))=0,"","Claims email: "&amp;IF(LEN(INDEX('My equipment'!$S$4:$S$503,(_calc!$E$724-500)))=0,"",INDEX('My equipment'!$S$4:$S$503,(_calc!$E$724-500)))&amp;". ")&amp;IF(LEN(IF(LEN(INDEX('My equipment'!$U$4:$U$503,(_calc!$E$724-500)))=0,"",INDEX('My equipment'!$U$4:$U$503,(_calc!$E$724-500))))=0,"","Registered: "&amp;IF(LEN(INDEX('My equipment'!$U$4:$U$503,(_calc!$E$724-500)))=0,"",INDEX('My equipment'!$U$4:$U$503,(_calc!$E$724-500)))&amp;". ")&amp;IF(LEN(IF(LEN(INDEX('My equipment'!$V$4:$V$503,(_calc!$E$724-500)))=0,"",INDEX('My equipment'!$V$4:$V$503,(_calc!$E$724-500))))=0,"","Proof on file: "&amp;IF(LEN(INDEX('My equipment'!$V$4:$V$503,(_calc!$E$724-500)))=0,"",INDEX('My equipment'!$V$4:$V$503,(_calc!$E$724-500)))&amp;". ")&amp;IF(LEN(IF(LEN(INDEX('My equipment'!$W$4:$W$503,(_calc!$E$724-500)))=0,"",INDEX('My equipment'!$W$4:$W$503,(_calc!$E$724-500))))=0,"","Claim ref: "&amp;IF(LEN(INDEX('My equipment'!$W$4:$W$503,(_calc!$E$724-500)))=0,"",INDEX('My equipment'!$W$4:$W$503,(_calc!$E$724-500)))&amp;". ")&amp;IF(LEN(IF(LEN(INDEX('My equipment'!$Y$4:$Y$503,(_calc!$E$724-500)))=0,"",INDEX('My equipment'!$Y$4:$Y$503,(_calc!$E$724-500))))=0,"",IF(LEN(INDEX('My equipment'!$Y$4:$Y$503,(_calc!$E$724-500)))=0,"",INDEX('My equipment'!$Y$4:$Y$503,(_calc!$E$724-500)))))))</f>
        <v/>
      </c>
      <c r="G722" s="54">
        <f>IF(_calc!$E$724="","",IF(_calc!$E$724&lt;=500,"",IF(LEN(INDEX('My equipment'!$X$4:$X$503,(_calc!$E$724-500)))=0,"",INDEX('My equipment'!$X$4:$X$503,(_calc!$E$724-500)))))</f>
        <v/>
      </c>
      <c r="K722" s="54">
        <f>IF(_calc!$E$724="","",IF(_calc!$E$724&lt;=500,"",IF(LEN(INDEX('My equipment'!$T$4:$T$503,(_calc!$E$724-500)))=0,"",INDEX('My equipment'!$T$4:$T$503,(_calc!$E$724-500)))))</f>
        <v/>
      </c>
    </row>
    <row r="723">
      <c r="A723" s="54">
        <f>IF(_calc!$E$725="","",IF(_calc!$E$725&lt;=500,"Warranty – "&amp;IF(LEN(INDEX('Dealer pipeline'!$C$4:$C$503,_calc!$E$725))=0,"",INDEX('Dealer pipeline'!$C$4:$C$503,_calc!$E$725))&amp;" – "&amp;IF(LEN(INDEX('Dealer pipeline'!$D$4:$D$503,_calc!$E$725))=0,"",INDEX('Dealer pipeline'!$D$4:$D$503,_calc!$E$725))&amp;" – "&amp;IF(LEN(INDEX('Dealer pipeline'!$A$4:$A$503,_calc!$E$725))=0,"",INDEX('Dealer pipeline'!$A$4:$A$503,_calc!$E$725)),"Warranty – "&amp;IF(LEN(INDEX('My equipment'!$A$4:$A$503,(_calc!$E$725-500)))=0,"",INDEX('My equipment'!$A$4:$A$503,(_calc!$E$725-500)))&amp;" – "&amp;IF(LEN(INDEX('My equipment'!$D$4:$D$503,(_calc!$E$725-500)))=0,"",INDEX('My equipment'!$D$4:$D$503,(_calc!$E$725-500)))))</f>
        <v/>
      </c>
      <c r="B723" s="54">
        <f>IF(_calc!$E$725="","",IF(_calc!$E$725&lt;=500,IF(ISNUMBER(INDEX('Dealer pipeline'!$M$4:$M$503,_calc!$E$725)),TEXT(INDEX('Dealer pipeline'!$M$4:$M$503,_calc!$E$725),"yyyy-mm-dd"),""),IF(ISNUMBER(INDEX('My equipment'!$M$4:$M$503,(_calc!$E$725-500))),TEXT(INDEX('My equipment'!$M$4:$M$503,(_calc!$E$725-500)),"yyyy-mm-dd"),"")))</f>
        <v/>
      </c>
      <c r="C723" s="54">
        <f>IF(_calc!$E$725="","",IF(_calc!$E$725&lt;=500,"Warranty","Warranty"))</f>
        <v/>
      </c>
      <c r="D723" s="54">
        <f>IF(_calc!$E$725="","",IF(_calc!$E$725&lt;=500,IF(ISNUMBER(INDEX('Dealer pipeline'!$H$4:$H$503,_calc!$E$725)),TEXT(INDEX('Dealer pipeline'!$H$4:$H$503,_calc!$E$725),"yyyy-mm-dd"),""),IF(ISNUMBER(INDEX('My equipment'!$H$4:$H$503,(_calc!$E$725-500))),TEXT(INDEX('My equipment'!$H$4:$H$503,(_calc!$E$725-500)),"yyyy-mm-dd"),"")))</f>
        <v/>
      </c>
      <c r="F723" s="54">
        <f>IF(_calc!$E$725="","",IF(_calc!$E$725&lt;=500,TRIM(IF(LEN(IF(LEN(INDEX('Dealer pipeline'!$A$4:$A$503,_calc!$E$725))=0,"",INDEX('Dealer pipeline'!$A$4:$A$503,_calc!$E$725)))=0,"","Customer: "&amp;IF(LEN(INDEX('Dealer pipeline'!$A$4:$A$503,_calc!$E$725))=0,"",INDEX('Dealer pipeline'!$A$4:$A$503,_calc!$E$725))&amp;". ")&amp;IF(LEN(IF(LEN(INDEX('Dealer pipeline'!$B$4:$B$503,_calc!$E$725))=0,"",INDEX('Dealer pipeline'!$B$4:$B$503,_calc!$E$725)))=0,"","Contact: "&amp;IF(LEN(INDEX('Dealer pipeline'!$B$4:$B$503,_calc!$E$725))=0,"",INDEX('Dealer pipeline'!$B$4:$B$503,_calc!$E$725))&amp;". ")&amp;IF(LEN(IF(LEN(INDEX('Dealer pipeline'!$D$4:$D$503,_calc!$E$725))=0,"",INDEX('Dealer pipeline'!$D$4:$D$503,_calc!$E$725)))=0,"","Serial: "&amp;IF(LEN(INDEX('Dealer pipeline'!$D$4:$D$503,_calc!$E$725))=0,"",INDEX('Dealer pipeline'!$D$4:$D$503,_calc!$E$725))&amp;". ")&amp;IF(LEN(IF(ISNUMBER(INDEX('Dealer pipeline'!$J$4:$J$503,_calc!$E$725)),TEXT(INDEX('Dealer pipeline'!$J$4:$J$503,_calc!$E$725),"yyyy-mm-dd"),""))=0,"","Parts end: "&amp;IF(ISNUMBER(INDEX('Dealer pipeline'!$J$4:$J$503,_calc!$E$725)),TEXT(INDEX('Dealer pipeline'!$J$4:$J$503,_calc!$E$725),"yyyy-mm-dd"),"")&amp;". ")&amp;IF(LEN(IF(ISNUMBER(INDEX('Dealer pipeline'!$L$4:$L$503,_calc!$E$725)),TEXT(INDEX('Dealer pipeline'!$L$4:$L$503,_calc!$E$725),"yyyy-mm-dd"),""))=0,"","Labor end: "&amp;IF(ISNUMBER(INDEX('Dealer pipeline'!$L$4:$L$503,_calc!$E$725)),TEXT(INDEX('Dealer pipeline'!$L$4:$L$503,_calc!$E$725),"yyyy-mm-dd"),"")&amp;". ")&amp;IF(LEN(IF(LEN(INDEX('Dealer pipeline'!$Q$4:$Q$503,_calc!$E$725))=0,"",INDEX('Dealer pipeline'!$Q$4:$Q$503,_calc!$E$725)))=0,"","Status: "&amp;IF(LEN(INDEX('Dealer pipeline'!$Q$4:$Q$503,_calc!$E$725))=0,"",INDEX('Dealer pipeline'!$Q$4:$Q$503,_calc!$E$725))&amp;". ")&amp;IF(LEN(IF(LEN(INDEX('Dealer pipeline'!$P$4:$P$503,_calc!$E$725))=0,"",INDEX('Dealer pipeline'!$P$4:$P$503,_calc!$E$725)))=0,"","Last touch: "&amp;IF(LEN(INDEX('Dealer pipeline'!$P$4:$P$503,_calc!$E$725))=0,"",INDEX('Dealer pipeline'!$P$4:$P$503,_calc!$E$725))&amp;". ")&amp;IF(LEN(IF(LEN(INDEX('Dealer pipeline'!$R$4:$R$503,_calc!$E$725))=0,"",INDEX('Dealer pipeline'!$R$4:$R$503,_calc!$E$725)))=0,"","Owner: "&amp;IF(LEN(INDEX('Dealer pipeline'!$R$4:$R$503,_calc!$E$725))=0,"",INDEX('Dealer pipeline'!$R$4:$R$503,_calc!$E$725))&amp;". ")&amp;IF(LEN(IF(LEN(INDEX('Dealer pipeline'!$S$4:$S$503,_calc!$E$725))=0,"",INDEX('Dealer pipeline'!$S$4:$S$503,_calc!$E$725)))=0,"","Backup: "&amp;IF(LEN(INDEX('Dealer pipeline'!$S$4:$S$503,_calc!$E$725))=0,"",INDEX('Dealer pipeline'!$S$4:$S$503,_calc!$E$725))&amp;". ")&amp;IF(LEN(IF(LEN(INDEX('Dealer pipeline'!$T$4:$T$503,_calc!$E$725))=0,"",INDEX('Dealer pipeline'!$T$4:$T$503,_calc!$E$725)))=0,"",IF(LEN(INDEX('Dealer pipeline'!$T$4:$T$503,_calc!$E$725))=0,"",INDEX('Dealer pipeline'!$T$4:$T$503,_calc!$E$725)))),TRIM(IF(LEN(IF(LEN(INDEX('My equipment'!$C$4:$C$503,(_calc!$E$725-500)))=0,"",INDEX('My equipment'!$C$4:$C$503,(_calc!$E$725-500))))=0,"","Model: "&amp;IF(LEN(INDEX('My equipment'!$C$4:$C$503,(_calc!$E$725-500)))=0,"",INDEX('My equipment'!$C$4:$C$503,(_calc!$E$725-500)))&amp;". ")&amp;IF(LEN(IF(LEN(INDEX('My equipment'!$D$4:$D$503,(_calc!$E$725-500)))=0,"",INDEX('My equipment'!$D$4:$D$503,(_calc!$E$725-500))))=0,"","Serial: "&amp;IF(LEN(INDEX('My equipment'!$D$4:$D$503,(_calc!$E$725-500)))=0,"",INDEX('My equipment'!$D$4:$D$503,(_calc!$E$725-500)))&amp;". ")&amp;IF(LEN(IF(ISNUMBER(INDEX('My equipment'!$J$4:$J$503,(_calc!$E$725-500))),TEXT(INDEX('My equipment'!$J$4:$J$503,(_calc!$E$725-500)),"yyyy-mm-dd"),""))=0,"","Parts end: "&amp;IF(ISNUMBER(INDEX('My equipment'!$J$4:$J$503,(_calc!$E$725-500))),TEXT(INDEX('My equipment'!$J$4:$J$503,(_calc!$E$725-500)),"yyyy-mm-dd"),"")&amp;". ")&amp;IF(LEN(IF(ISNUMBER(INDEX('My equipment'!$L$4:$L$503,(_calc!$E$725-500))),TEXT(INDEX('My equipment'!$L$4:$L$503,(_calc!$E$725-500)),"yyyy-mm-dd"),""))=0,"","Labor end: "&amp;IF(ISNUMBER(INDEX('My equipment'!$L$4:$L$503,(_calc!$E$725-500))),TEXT(INDEX('My equipment'!$L$4:$L$503,(_calc!$E$725-500)),"yyyy-mm-dd"),"")&amp;". ")&amp;IF(LEN(IF(ISNUMBER(INDEX('My equipment'!$P$4:$P$503,(_calc!$E$725-500))),TEXT(INDEX('My equipment'!$P$4:$P$503,(_calc!$E$725-500)),"yyyy-mm-dd"),""))=0,"","Check by: "&amp;IF(ISNUMBER(INDEX('My equipment'!$P$4:$P$503,(_calc!$E$725-500))),TEXT(INDEX('My equipment'!$P$4:$P$503,(_calc!$E$725-500)),"yyyy-mm-dd"),"")&amp;". ")&amp;IF(LEN(IF(LEN(INDEX('My equipment'!$Q$4:$Q$503,(_calc!$E$725-500)))=0,"",INDEX('My equipment'!$Q$4:$Q$503,(_calc!$E$725-500))))=0,"","Claim status: "&amp;IF(LEN(INDEX('My equipment'!$Q$4:$Q$503,(_calc!$E$725-500)))=0,"",INDEX('My equipment'!$Q$4:$Q$503,(_calc!$E$725-500)))&amp;". ")&amp;IF(LEN(IF(LEN(INDEX('My equipment'!$R$4:$R$503,(_calc!$E$725-500)))=0,"",INDEX('My equipment'!$R$4:$R$503,(_calc!$E$725-500))))=0,"","Claims contact: "&amp;IF(LEN(INDEX('My equipment'!$R$4:$R$503,(_calc!$E$725-500)))=0,"",INDEX('My equipment'!$R$4:$R$503,(_calc!$E$725-500)))&amp;". ")&amp;IF(LEN(IF(LEN(INDEX('My equipment'!$S$4:$S$503,(_calc!$E$725-500)))=0,"",INDEX('My equipment'!$S$4:$S$503,(_calc!$E$725-500))))=0,"","Claims email: "&amp;IF(LEN(INDEX('My equipment'!$S$4:$S$503,(_calc!$E$725-500)))=0,"",INDEX('My equipment'!$S$4:$S$503,(_calc!$E$725-500)))&amp;". ")&amp;IF(LEN(IF(LEN(INDEX('My equipment'!$U$4:$U$503,(_calc!$E$725-500)))=0,"",INDEX('My equipment'!$U$4:$U$503,(_calc!$E$725-500))))=0,"","Registered: "&amp;IF(LEN(INDEX('My equipment'!$U$4:$U$503,(_calc!$E$725-500)))=0,"",INDEX('My equipment'!$U$4:$U$503,(_calc!$E$725-500)))&amp;". ")&amp;IF(LEN(IF(LEN(INDEX('My equipment'!$V$4:$V$503,(_calc!$E$725-500)))=0,"",INDEX('My equipment'!$V$4:$V$503,(_calc!$E$725-500))))=0,"","Proof on file: "&amp;IF(LEN(INDEX('My equipment'!$V$4:$V$503,(_calc!$E$725-500)))=0,"",INDEX('My equipment'!$V$4:$V$503,(_calc!$E$725-500)))&amp;". ")&amp;IF(LEN(IF(LEN(INDEX('My equipment'!$W$4:$W$503,(_calc!$E$725-500)))=0,"",INDEX('My equipment'!$W$4:$W$503,(_calc!$E$725-500))))=0,"","Claim ref: "&amp;IF(LEN(INDEX('My equipment'!$W$4:$W$503,(_calc!$E$725-500)))=0,"",INDEX('My equipment'!$W$4:$W$503,(_calc!$E$725-500)))&amp;". ")&amp;IF(LEN(IF(LEN(INDEX('My equipment'!$Y$4:$Y$503,(_calc!$E$725-500)))=0,"",INDEX('My equipment'!$Y$4:$Y$503,(_calc!$E$725-500))))=0,"",IF(LEN(INDEX('My equipment'!$Y$4:$Y$503,(_calc!$E$725-500)))=0,"",INDEX('My equipment'!$Y$4:$Y$503,(_calc!$E$725-500)))))))</f>
        <v/>
      </c>
      <c r="G723" s="54">
        <f>IF(_calc!$E$725="","",IF(_calc!$E$725&lt;=500,"",IF(LEN(INDEX('My equipment'!$X$4:$X$503,(_calc!$E$725-500)))=0,"",INDEX('My equipment'!$X$4:$X$503,(_calc!$E$725-500)))))</f>
        <v/>
      </c>
      <c r="K723" s="54">
        <f>IF(_calc!$E$725="","",IF(_calc!$E$725&lt;=500,"",IF(LEN(INDEX('My equipment'!$T$4:$T$503,(_calc!$E$725-500)))=0,"",INDEX('My equipment'!$T$4:$T$503,(_calc!$E$725-500)))))</f>
        <v/>
      </c>
    </row>
    <row r="724">
      <c r="A724" s="54">
        <f>IF(_calc!$E$726="","",IF(_calc!$E$726&lt;=500,"Warranty – "&amp;IF(LEN(INDEX('Dealer pipeline'!$C$4:$C$503,_calc!$E$726))=0,"",INDEX('Dealer pipeline'!$C$4:$C$503,_calc!$E$726))&amp;" – "&amp;IF(LEN(INDEX('Dealer pipeline'!$D$4:$D$503,_calc!$E$726))=0,"",INDEX('Dealer pipeline'!$D$4:$D$503,_calc!$E$726))&amp;" – "&amp;IF(LEN(INDEX('Dealer pipeline'!$A$4:$A$503,_calc!$E$726))=0,"",INDEX('Dealer pipeline'!$A$4:$A$503,_calc!$E$726)),"Warranty – "&amp;IF(LEN(INDEX('My equipment'!$A$4:$A$503,(_calc!$E$726-500)))=0,"",INDEX('My equipment'!$A$4:$A$503,(_calc!$E$726-500)))&amp;" – "&amp;IF(LEN(INDEX('My equipment'!$D$4:$D$503,(_calc!$E$726-500)))=0,"",INDEX('My equipment'!$D$4:$D$503,(_calc!$E$726-500)))))</f>
        <v/>
      </c>
      <c r="B724" s="54">
        <f>IF(_calc!$E$726="","",IF(_calc!$E$726&lt;=500,IF(ISNUMBER(INDEX('Dealer pipeline'!$M$4:$M$503,_calc!$E$726)),TEXT(INDEX('Dealer pipeline'!$M$4:$M$503,_calc!$E$726),"yyyy-mm-dd"),""),IF(ISNUMBER(INDEX('My equipment'!$M$4:$M$503,(_calc!$E$726-500))),TEXT(INDEX('My equipment'!$M$4:$M$503,(_calc!$E$726-500)),"yyyy-mm-dd"),"")))</f>
        <v/>
      </c>
      <c r="C724" s="54">
        <f>IF(_calc!$E$726="","",IF(_calc!$E$726&lt;=500,"Warranty","Warranty"))</f>
        <v/>
      </c>
      <c r="D724" s="54">
        <f>IF(_calc!$E$726="","",IF(_calc!$E$726&lt;=500,IF(ISNUMBER(INDEX('Dealer pipeline'!$H$4:$H$503,_calc!$E$726)),TEXT(INDEX('Dealer pipeline'!$H$4:$H$503,_calc!$E$726),"yyyy-mm-dd"),""),IF(ISNUMBER(INDEX('My equipment'!$H$4:$H$503,(_calc!$E$726-500))),TEXT(INDEX('My equipment'!$H$4:$H$503,(_calc!$E$726-500)),"yyyy-mm-dd"),"")))</f>
        <v/>
      </c>
      <c r="F724" s="54">
        <f>IF(_calc!$E$726="","",IF(_calc!$E$726&lt;=500,TRIM(IF(LEN(IF(LEN(INDEX('Dealer pipeline'!$A$4:$A$503,_calc!$E$726))=0,"",INDEX('Dealer pipeline'!$A$4:$A$503,_calc!$E$726)))=0,"","Customer: "&amp;IF(LEN(INDEX('Dealer pipeline'!$A$4:$A$503,_calc!$E$726))=0,"",INDEX('Dealer pipeline'!$A$4:$A$503,_calc!$E$726))&amp;". ")&amp;IF(LEN(IF(LEN(INDEX('Dealer pipeline'!$B$4:$B$503,_calc!$E$726))=0,"",INDEX('Dealer pipeline'!$B$4:$B$503,_calc!$E$726)))=0,"","Contact: "&amp;IF(LEN(INDEX('Dealer pipeline'!$B$4:$B$503,_calc!$E$726))=0,"",INDEX('Dealer pipeline'!$B$4:$B$503,_calc!$E$726))&amp;". ")&amp;IF(LEN(IF(LEN(INDEX('Dealer pipeline'!$D$4:$D$503,_calc!$E$726))=0,"",INDEX('Dealer pipeline'!$D$4:$D$503,_calc!$E$726)))=0,"","Serial: "&amp;IF(LEN(INDEX('Dealer pipeline'!$D$4:$D$503,_calc!$E$726))=0,"",INDEX('Dealer pipeline'!$D$4:$D$503,_calc!$E$726))&amp;". ")&amp;IF(LEN(IF(ISNUMBER(INDEX('Dealer pipeline'!$J$4:$J$503,_calc!$E$726)),TEXT(INDEX('Dealer pipeline'!$J$4:$J$503,_calc!$E$726),"yyyy-mm-dd"),""))=0,"","Parts end: "&amp;IF(ISNUMBER(INDEX('Dealer pipeline'!$J$4:$J$503,_calc!$E$726)),TEXT(INDEX('Dealer pipeline'!$J$4:$J$503,_calc!$E$726),"yyyy-mm-dd"),"")&amp;". ")&amp;IF(LEN(IF(ISNUMBER(INDEX('Dealer pipeline'!$L$4:$L$503,_calc!$E$726)),TEXT(INDEX('Dealer pipeline'!$L$4:$L$503,_calc!$E$726),"yyyy-mm-dd"),""))=0,"","Labor end: "&amp;IF(ISNUMBER(INDEX('Dealer pipeline'!$L$4:$L$503,_calc!$E$726)),TEXT(INDEX('Dealer pipeline'!$L$4:$L$503,_calc!$E$726),"yyyy-mm-dd"),"")&amp;". ")&amp;IF(LEN(IF(LEN(INDEX('Dealer pipeline'!$Q$4:$Q$503,_calc!$E$726))=0,"",INDEX('Dealer pipeline'!$Q$4:$Q$503,_calc!$E$726)))=0,"","Status: "&amp;IF(LEN(INDEX('Dealer pipeline'!$Q$4:$Q$503,_calc!$E$726))=0,"",INDEX('Dealer pipeline'!$Q$4:$Q$503,_calc!$E$726))&amp;". ")&amp;IF(LEN(IF(LEN(INDEX('Dealer pipeline'!$P$4:$P$503,_calc!$E$726))=0,"",INDEX('Dealer pipeline'!$P$4:$P$503,_calc!$E$726)))=0,"","Last touch: "&amp;IF(LEN(INDEX('Dealer pipeline'!$P$4:$P$503,_calc!$E$726))=0,"",INDEX('Dealer pipeline'!$P$4:$P$503,_calc!$E$726))&amp;". ")&amp;IF(LEN(IF(LEN(INDEX('Dealer pipeline'!$R$4:$R$503,_calc!$E$726))=0,"",INDEX('Dealer pipeline'!$R$4:$R$503,_calc!$E$726)))=0,"","Owner: "&amp;IF(LEN(INDEX('Dealer pipeline'!$R$4:$R$503,_calc!$E$726))=0,"",INDEX('Dealer pipeline'!$R$4:$R$503,_calc!$E$726))&amp;". ")&amp;IF(LEN(IF(LEN(INDEX('Dealer pipeline'!$S$4:$S$503,_calc!$E$726))=0,"",INDEX('Dealer pipeline'!$S$4:$S$503,_calc!$E$726)))=0,"","Backup: "&amp;IF(LEN(INDEX('Dealer pipeline'!$S$4:$S$503,_calc!$E$726))=0,"",INDEX('Dealer pipeline'!$S$4:$S$503,_calc!$E$726))&amp;". ")&amp;IF(LEN(IF(LEN(INDEX('Dealer pipeline'!$T$4:$T$503,_calc!$E$726))=0,"",INDEX('Dealer pipeline'!$T$4:$T$503,_calc!$E$726)))=0,"",IF(LEN(INDEX('Dealer pipeline'!$T$4:$T$503,_calc!$E$726))=0,"",INDEX('Dealer pipeline'!$T$4:$T$503,_calc!$E$726)))),TRIM(IF(LEN(IF(LEN(INDEX('My equipment'!$C$4:$C$503,(_calc!$E$726-500)))=0,"",INDEX('My equipment'!$C$4:$C$503,(_calc!$E$726-500))))=0,"","Model: "&amp;IF(LEN(INDEX('My equipment'!$C$4:$C$503,(_calc!$E$726-500)))=0,"",INDEX('My equipment'!$C$4:$C$503,(_calc!$E$726-500)))&amp;". ")&amp;IF(LEN(IF(LEN(INDEX('My equipment'!$D$4:$D$503,(_calc!$E$726-500)))=0,"",INDEX('My equipment'!$D$4:$D$503,(_calc!$E$726-500))))=0,"","Serial: "&amp;IF(LEN(INDEX('My equipment'!$D$4:$D$503,(_calc!$E$726-500)))=0,"",INDEX('My equipment'!$D$4:$D$503,(_calc!$E$726-500)))&amp;". ")&amp;IF(LEN(IF(ISNUMBER(INDEX('My equipment'!$J$4:$J$503,(_calc!$E$726-500))),TEXT(INDEX('My equipment'!$J$4:$J$503,(_calc!$E$726-500)),"yyyy-mm-dd"),""))=0,"","Parts end: "&amp;IF(ISNUMBER(INDEX('My equipment'!$J$4:$J$503,(_calc!$E$726-500))),TEXT(INDEX('My equipment'!$J$4:$J$503,(_calc!$E$726-500)),"yyyy-mm-dd"),"")&amp;". ")&amp;IF(LEN(IF(ISNUMBER(INDEX('My equipment'!$L$4:$L$503,(_calc!$E$726-500))),TEXT(INDEX('My equipment'!$L$4:$L$503,(_calc!$E$726-500)),"yyyy-mm-dd"),""))=0,"","Labor end: "&amp;IF(ISNUMBER(INDEX('My equipment'!$L$4:$L$503,(_calc!$E$726-500))),TEXT(INDEX('My equipment'!$L$4:$L$503,(_calc!$E$726-500)),"yyyy-mm-dd"),"")&amp;". ")&amp;IF(LEN(IF(ISNUMBER(INDEX('My equipment'!$P$4:$P$503,(_calc!$E$726-500))),TEXT(INDEX('My equipment'!$P$4:$P$503,(_calc!$E$726-500)),"yyyy-mm-dd"),""))=0,"","Check by: "&amp;IF(ISNUMBER(INDEX('My equipment'!$P$4:$P$503,(_calc!$E$726-500))),TEXT(INDEX('My equipment'!$P$4:$P$503,(_calc!$E$726-500)),"yyyy-mm-dd"),"")&amp;". ")&amp;IF(LEN(IF(LEN(INDEX('My equipment'!$Q$4:$Q$503,(_calc!$E$726-500)))=0,"",INDEX('My equipment'!$Q$4:$Q$503,(_calc!$E$726-500))))=0,"","Claim status: "&amp;IF(LEN(INDEX('My equipment'!$Q$4:$Q$503,(_calc!$E$726-500)))=0,"",INDEX('My equipment'!$Q$4:$Q$503,(_calc!$E$726-500)))&amp;". ")&amp;IF(LEN(IF(LEN(INDEX('My equipment'!$R$4:$R$503,(_calc!$E$726-500)))=0,"",INDEX('My equipment'!$R$4:$R$503,(_calc!$E$726-500))))=0,"","Claims contact: "&amp;IF(LEN(INDEX('My equipment'!$R$4:$R$503,(_calc!$E$726-500)))=0,"",INDEX('My equipment'!$R$4:$R$503,(_calc!$E$726-500)))&amp;". ")&amp;IF(LEN(IF(LEN(INDEX('My equipment'!$S$4:$S$503,(_calc!$E$726-500)))=0,"",INDEX('My equipment'!$S$4:$S$503,(_calc!$E$726-500))))=0,"","Claims email: "&amp;IF(LEN(INDEX('My equipment'!$S$4:$S$503,(_calc!$E$726-500)))=0,"",INDEX('My equipment'!$S$4:$S$503,(_calc!$E$726-500)))&amp;". ")&amp;IF(LEN(IF(LEN(INDEX('My equipment'!$U$4:$U$503,(_calc!$E$726-500)))=0,"",INDEX('My equipment'!$U$4:$U$503,(_calc!$E$726-500))))=0,"","Registered: "&amp;IF(LEN(INDEX('My equipment'!$U$4:$U$503,(_calc!$E$726-500)))=0,"",INDEX('My equipment'!$U$4:$U$503,(_calc!$E$726-500)))&amp;". ")&amp;IF(LEN(IF(LEN(INDEX('My equipment'!$V$4:$V$503,(_calc!$E$726-500)))=0,"",INDEX('My equipment'!$V$4:$V$503,(_calc!$E$726-500))))=0,"","Proof on file: "&amp;IF(LEN(INDEX('My equipment'!$V$4:$V$503,(_calc!$E$726-500)))=0,"",INDEX('My equipment'!$V$4:$V$503,(_calc!$E$726-500)))&amp;". ")&amp;IF(LEN(IF(LEN(INDEX('My equipment'!$W$4:$W$503,(_calc!$E$726-500)))=0,"",INDEX('My equipment'!$W$4:$W$503,(_calc!$E$726-500))))=0,"","Claim ref: "&amp;IF(LEN(INDEX('My equipment'!$W$4:$W$503,(_calc!$E$726-500)))=0,"",INDEX('My equipment'!$W$4:$W$503,(_calc!$E$726-500)))&amp;". ")&amp;IF(LEN(IF(LEN(INDEX('My equipment'!$Y$4:$Y$503,(_calc!$E$726-500)))=0,"",INDEX('My equipment'!$Y$4:$Y$503,(_calc!$E$726-500))))=0,"",IF(LEN(INDEX('My equipment'!$Y$4:$Y$503,(_calc!$E$726-500)))=0,"",INDEX('My equipment'!$Y$4:$Y$503,(_calc!$E$726-500)))))))</f>
        <v/>
      </c>
      <c r="G724" s="54">
        <f>IF(_calc!$E$726="","",IF(_calc!$E$726&lt;=500,"",IF(LEN(INDEX('My equipment'!$X$4:$X$503,(_calc!$E$726-500)))=0,"",INDEX('My equipment'!$X$4:$X$503,(_calc!$E$726-500)))))</f>
        <v/>
      </c>
      <c r="K724" s="54">
        <f>IF(_calc!$E$726="","",IF(_calc!$E$726&lt;=500,"",IF(LEN(INDEX('My equipment'!$T$4:$T$503,(_calc!$E$726-500)))=0,"",INDEX('My equipment'!$T$4:$T$503,(_calc!$E$726-500)))))</f>
        <v/>
      </c>
    </row>
    <row r="725">
      <c r="A725" s="54">
        <f>IF(_calc!$E$727="","",IF(_calc!$E$727&lt;=500,"Warranty – "&amp;IF(LEN(INDEX('Dealer pipeline'!$C$4:$C$503,_calc!$E$727))=0,"",INDEX('Dealer pipeline'!$C$4:$C$503,_calc!$E$727))&amp;" – "&amp;IF(LEN(INDEX('Dealer pipeline'!$D$4:$D$503,_calc!$E$727))=0,"",INDEX('Dealer pipeline'!$D$4:$D$503,_calc!$E$727))&amp;" – "&amp;IF(LEN(INDEX('Dealer pipeline'!$A$4:$A$503,_calc!$E$727))=0,"",INDEX('Dealer pipeline'!$A$4:$A$503,_calc!$E$727)),"Warranty – "&amp;IF(LEN(INDEX('My equipment'!$A$4:$A$503,(_calc!$E$727-500)))=0,"",INDEX('My equipment'!$A$4:$A$503,(_calc!$E$727-500)))&amp;" – "&amp;IF(LEN(INDEX('My equipment'!$D$4:$D$503,(_calc!$E$727-500)))=0,"",INDEX('My equipment'!$D$4:$D$503,(_calc!$E$727-500)))))</f>
        <v/>
      </c>
      <c r="B725" s="54">
        <f>IF(_calc!$E$727="","",IF(_calc!$E$727&lt;=500,IF(ISNUMBER(INDEX('Dealer pipeline'!$M$4:$M$503,_calc!$E$727)),TEXT(INDEX('Dealer pipeline'!$M$4:$M$503,_calc!$E$727),"yyyy-mm-dd"),""),IF(ISNUMBER(INDEX('My equipment'!$M$4:$M$503,(_calc!$E$727-500))),TEXT(INDEX('My equipment'!$M$4:$M$503,(_calc!$E$727-500)),"yyyy-mm-dd"),"")))</f>
        <v/>
      </c>
      <c r="C725" s="54">
        <f>IF(_calc!$E$727="","",IF(_calc!$E$727&lt;=500,"Warranty","Warranty"))</f>
        <v/>
      </c>
      <c r="D725" s="54">
        <f>IF(_calc!$E$727="","",IF(_calc!$E$727&lt;=500,IF(ISNUMBER(INDEX('Dealer pipeline'!$H$4:$H$503,_calc!$E$727)),TEXT(INDEX('Dealer pipeline'!$H$4:$H$503,_calc!$E$727),"yyyy-mm-dd"),""),IF(ISNUMBER(INDEX('My equipment'!$H$4:$H$503,(_calc!$E$727-500))),TEXT(INDEX('My equipment'!$H$4:$H$503,(_calc!$E$727-500)),"yyyy-mm-dd"),"")))</f>
        <v/>
      </c>
      <c r="F725" s="54">
        <f>IF(_calc!$E$727="","",IF(_calc!$E$727&lt;=500,TRIM(IF(LEN(IF(LEN(INDEX('Dealer pipeline'!$A$4:$A$503,_calc!$E$727))=0,"",INDEX('Dealer pipeline'!$A$4:$A$503,_calc!$E$727)))=0,"","Customer: "&amp;IF(LEN(INDEX('Dealer pipeline'!$A$4:$A$503,_calc!$E$727))=0,"",INDEX('Dealer pipeline'!$A$4:$A$503,_calc!$E$727))&amp;". ")&amp;IF(LEN(IF(LEN(INDEX('Dealer pipeline'!$B$4:$B$503,_calc!$E$727))=0,"",INDEX('Dealer pipeline'!$B$4:$B$503,_calc!$E$727)))=0,"","Contact: "&amp;IF(LEN(INDEX('Dealer pipeline'!$B$4:$B$503,_calc!$E$727))=0,"",INDEX('Dealer pipeline'!$B$4:$B$503,_calc!$E$727))&amp;". ")&amp;IF(LEN(IF(LEN(INDEX('Dealer pipeline'!$D$4:$D$503,_calc!$E$727))=0,"",INDEX('Dealer pipeline'!$D$4:$D$503,_calc!$E$727)))=0,"","Serial: "&amp;IF(LEN(INDEX('Dealer pipeline'!$D$4:$D$503,_calc!$E$727))=0,"",INDEX('Dealer pipeline'!$D$4:$D$503,_calc!$E$727))&amp;". ")&amp;IF(LEN(IF(ISNUMBER(INDEX('Dealer pipeline'!$J$4:$J$503,_calc!$E$727)),TEXT(INDEX('Dealer pipeline'!$J$4:$J$503,_calc!$E$727),"yyyy-mm-dd"),""))=0,"","Parts end: "&amp;IF(ISNUMBER(INDEX('Dealer pipeline'!$J$4:$J$503,_calc!$E$727)),TEXT(INDEX('Dealer pipeline'!$J$4:$J$503,_calc!$E$727),"yyyy-mm-dd"),"")&amp;". ")&amp;IF(LEN(IF(ISNUMBER(INDEX('Dealer pipeline'!$L$4:$L$503,_calc!$E$727)),TEXT(INDEX('Dealer pipeline'!$L$4:$L$503,_calc!$E$727),"yyyy-mm-dd"),""))=0,"","Labor end: "&amp;IF(ISNUMBER(INDEX('Dealer pipeline'!$L$4:$L$503,_calc!$E$727)),TEXT(INDEX('Dealer pipeline'!$L$4:$L$503,_calc!$E$727),"yyyy-mm-dd"),"")&amp;". ")&amp;IF(LEN(IF(LEN(INDEX('Dealer pipeline'!$Q$4:$Q$503,_calc!$E$727))=0,"",INDEX('Dealer pipeline'!$Q$4:$Q$503,_calc!$E$727)))=0,"","Status: "&amp;IF(LEN(INDEX('Dealer pipeline'!$Q$4:$Q$503,_calc!$E$727))=0,"",INDEX('Dealer pipeline'!$Q$4:$Q$503,_calc!$E$727))&amp;". ")&amp;IF(LEN(IF(LEN(INDEX('Dealer pipeline'!$P$4:$P$503,_calc!$E$727))=0,"",INDEX('Dealer pipeline'!$P$4:$P$503,_calc!$E$727)))=0,"","Last touch: "&amp;IF(LEN(INDEX('Dealer pipeline'!$P$4:$P$503,_calc!$E$727))=0,"",INDEX('Dealer pipeline'!$P$4:$P$503,_calc!$E$727))&amp;". ")&amp;IF(LEN(IF(LEN(INDEX('Dealer pipeline'!$R$4:$R$503,_calc!$E$727))=0,"",INDEX('Dealer pipeline'!$R$4:$R$503,_calc!$E$727)))=0,"","Owner: "&amp;IF(LEN(INDEX('Dealer pipeline'!$R$4:$R$503,_calc!$E$727))=0,"",INDEX('Dealer pipeline'!$R$4:$R$503,_calc!$E$727))&amp;". ")&amp;IF(LEN(IF(LEN(INDEX('Dealer pipeline'!$S$4:$S$503,_calc!$E$727))=0,"",INDEX('Dealer pipeline'!$S$4:$S$503,_calc!$E$727)))=0,"","Backup: "&amp;IF(LEN(INDEX('Dealer pipeline'!$S$4:$S$503,_calc!$E$727))=0,"",INDEX('Dealer pipeline'!$S$4:$S$503,_calc!$E$727))&amp;". ")&amp;IF(LEN(IF(LEN(INDEX('Dealer pipeline'!$T$4:$T$503,_calc!$E$727))=0,"",INDEX('Dealer pipeline'!$T$4:$T$503,_calc!$E$727)))=0,"",IF(LEN(INDEX('Dealer pipeline'!$T$4:$T$503,_calc!$E$727))=0,"",INDEX('Dealer pipeline'!$T$4:$T$503,_calc!$E$727)))),TRIM(IF(LEN(IF(LEN(INDEX('My equipment'!$C$4:$C$503,(_calc!$E$727-500)))=0,"",INDEX('My equipment'!$C$4:$C$503,(_calc!$E$727-500))))=0,"","Model: "&amp;IF(LEN(INDEX('My equipment'!$C$4:$C$503,(_calc!$E$727-500)))=0,"",INDEX('My equipment'!$C$4:$C$503,(_calc!$E$727-500)))&amp;". ")&amp;IF(LEN(IF(LEN(INDEX('My equipment'!$D$4:$D$503,(_calc!$E$727-500)))=0,"",INDEX('My equipment'!$D$4:$D$503,(_calc!$E$727-500))))=0,"","Serial: "&amp;IF(LEN(INDEX('My equipment'!$D$4:$D$503,(_calc!$E$727-500)))=0,"",INDEX('My equipment'!$D$4:$D$503,(_calc!$E$727-500)))&amp;". ")&amp;IF(LEN(IF(ISNUMBER(INDEX('My equipment'!$J$4:$J$503,(_calc!$E$727-500))),TEXT(INDEX('My equipment'!$J$4:$J$503,(_calc!$E$727-500)),"yyyy-mm-dd"),""))=0,"","Parts end: "&amp;IF(ISNUMBER(INDEX('My equipment'!$J$4:$J$503,(_calc!$E$727-500))),TEXT(INDEX('My equipment'!$J$4:$J$503,(_calc!$E$727-500)),"yyyy-mm-dd"),"")&amp;". ")&amp;IF(LEN(IF(ISNUMBER(INDEX('My equipment'!$L$4:$L$503,(_calc!$E$727-500))),TEXT(INDEX('My equipment'!$L$4:$L$503,(_calc!$E$727-500)),"yyyy-mm-dd"),""))=0,"","Labor end: "&amp;IF(ISNUMBER(INDEX('My equipment'!$L$4:$L$503,(_calc!$E$727-500))),TEXT(INDEX('My equipment'!$L$4:$L$503,(_calc!$E$727-500)),"yyyy-mm-dd"),"")&amp;". ")&amp;IF(LEN(IF(ISNUMBER(INDEX('My equipment'!$P$4:$P$503,(_calc!$E$727-500))),TEXT(INDEX('My equipment'!$P$4:$P$503,(_calc!$E$727-500)),"yyyy-mm-dd"),""))=0,"","Check by: "&amp;IF(ISNUMBER(INDEX('My equipment'!$P$4:$P$503,(_calc!$E$727-500))),TEXT(INDEX('My equipment'!$P$4:$P$503,(_calc!$E$727-500)),"yyyy-mm-dd"),"")&amp;". ")&amp;IF(LEN(IF(LEN(INDEX('My equipment'!$Q$4:$Q$503,(_calc!$E$727-500)))=0,"",INDEX('My equipment'!$Q$4:$Q$503,(_calc!$E$727-500))))=0,"","Claim status: "&amp;IF(LEN(INDEX('My equipment'!$Q$4:$Q$503,(_calc!$E$727-500)))=0,"",INDEX('My equipment'!$Q$4:$Q$503,(_calc!$E$727-500)))&amp;". ")&amp;IF(LEN(IF(LEN(INDEX('My equipment'!$R$4:$R$503,(_calc!$E$727-500)))=0,"",INDEX('My equipment'!$R$4:$R$503,(_calc!$E$727-500))))=0,"","Claims contact: "&amp;IF(LEN(INDEX('My equipment'!$R$4:$R$503,(_calc!$E$727-500)))=0,"",INDEX('My equipment'!$R$4:$R$503,(_calc!$E$727-500)))&amp;". ")&amp;IF(LEN(IF(LEN(INDEX('My equipment'!$S$4:$S$503,(_calc!$E$727-500)))=0,"",INDEX('My equipment'!$S$4:$S$503,(_calc!$E$727-500))))=0,"","Claims email: "&amp;IF(LEN(INDEX('My equipment'!$S$4:$S$503,(_calc!$E$727-500)))=0,"",INDEX('My equipment'!$S$4:$S$503,(_calc!$E$727-500)))&amp;". ")&amp;IF(LEN(IF(LEN(INDEX('My equipment'!$U$4:$U$503,(_calc!$E$727-500)))=0,"",INDEX('My equipment'!$U$4:$U$503,(_calc!$E$727-500))))=0,"","Registered: "&amp;IF(LEN(INDEX('My equipment'!$U$4:$U$503,(_calc!$E$727-500)))=0,"",INDEX('My equipment'!$U$4:$U$503,(_calc!$E$727-500)))&amp;". ")&amp;IF(LEN(IF(LEN(INDEX('My equipment'!$V$4:$V$503,(_calc!$E$727-500)))=0,"",INDEX('My equipment'!$V$4:$V$503,(_calc!$E$727-500))))=0,"","Proof on file: "&amp;IF(LEN(INDEX('My equipment'!$V$4:$V$503,(_calc!$E$727-500)))=0,"",INDEX('My equipment'!$V$4:$V$503,(_calc!$E$727-500)))&amp;". ")&amp;IF(LEN(IF(LEN(INDEX('My equipment'!$W$4:$W$503,(_calc!$E$727-500)))=0,"",INDEX('My equipment'!$W$4:$W$503,(_calc!$E$727-500))))=0,"","Claim ref: "&amp;IF(LEN(INDEX('My equipment'!$W$4:$W$503,(_calc!$E$727-500)))=0,"",INDEX('My equipment'!$W$4:$W$503,(_calc!$E$727-500)))&amp;". ")&amp;IF(LEN(IF(LEN(INDEX('My equipment'!$Y$4:$Y$503,(_calc!$E$727-500)))=0,"",INDEX('My equipment'!$Y$4:$Y$503,(_calc!$E$727-500))))=0,"",IF(LEN(INDEX('My equipment'!$Y$4:$Y$503,(_calc!$E$727-500)))=0,"",INDEX('My equipment'!$Y$4:$Y$503,(_calc!$E$727-500)))))))</f>
        <v/>
      </c>
      <c r="G725" s="54">
        <f>IF(_calc!$E$727="","",IF(_calc!$E$727&lt;=500,"",IF(LEN(INDEX('My equipment'!$X$4:$X$503,(_calc!$E$727-500)))=0,"",INDEX('My equipment'!$X$4:$X$503,(_calc!$E$727-500)))))</f>
        <v/>
      </c>
      <c r="K725" s="54">
        <f>IF(_calc!$E$727="","",IF(_calc!$E$727&lt;=500,"",IF(LEN(INDEX('My equipment'!$T$4:$T$503,(_calc!$E$727-500)))=0,"",INDEX('My equipment'!$T$4:$T$503,(_calc!$E$727-500)))))</f>
        <v/>
      </c>
    </row>
    <row r="726">
      <c r="A726" s="54">
        <f>IF(_calc!$E$728="","",IF(_calc!$E$728&lt;=500,"Warranty – "&amp;IF(LEN(INDEX('Dealer pipeline'!$C$4:$C$503,_calc!$E$728))=0,"",INDEX('Dealer pipeline'!$C$4:$C$503,_calc!$E$728))&amp;" – "&amp;IF(LEN(INDEX('Dealer pipeline'!$D$4:$D$503,_calc!$E$728))=0,"",INDEX('Dealer pipeline'!$D$4:$D$503,_calc!$E$728))&amp;" – "&amp;IF(LEN(INDEX('Dealer pipeline'!$A$4:$A$503,_calc!$E$728))=0,"",INDEX('Dealer pipeline'!$A$4:$A$503,_calc!$E$728)),"Warranty – "&amp;IF(LEN(INDEX('My equipment'!$A$4:$A$503,(_calc!$E$728-500)))=0,"",INDEX('My equipment'!$A$4:$A$503,(_calc!$E$728-500)))&amp;" – "&amp;IF(LEN(INDEX('My equipment'!$D$4:$D$503,(_calc!$E$728-500)))=0,"",INDEX('My equipment'!$D$4:$D$503,(_calc!$E$728-500)))))</f>
        <v/>
      </c>
      <c r="B726" s="54">
        <f>IF(_calc!$E$728="","",IF(_calc!$E$728&lt;=500,IF(ISNUMBER(INDEX('Dealer pipeline'!$M$4:$M$503,_calc!$E$728)),TEXT(INDEX('Dealer pipeline'!$M$4:$M$503,_calc!$E$728),"yyyy-mm-dd"),""),IF(ISNUMBER(INDEX('My equipment'!$M$4:$M$503,(_calc!$E$728-500))),TEXT(INDEX('My equipment'!$M$4:$M$503,(_calc!$E$728-500)),"yyyy-mm-dd"),"")))</f>
        <v/>
      </c>
      <c r="C726" s="54">
        <f>IF(_calc!$E$728="","",IF(_calc!$E$728&lt;=500,"Warranty","Warranty"))</f>
        <v/>
      </c>
      <c r="D726" s="54">
        <f>IF(_calc!$E$728="","",IF(_calc!$E$728&lt;=500,IF(ISNUMBER(INDEX('Dealer pipeline'!$H$4:$H$503,_calc!$E$728)),TEXT(INDEX('Dealer pipeline'!$H$4:$H$503,_calc!$E$728),"yyyy-mm-dd"),""),IF(ISNUMBER(INDEX('My equipment'!$H$4:$H$503,(_calc!$E$728-500))),TEXT(INDEX('My equipment'!$H$4:$H$503,(_calc!$E$728-500)),"yyyy-mm-dd"),"")))</f>
        <v/>
      </c>
      <c r="F726" s="54">
        <f>IF(_calc!$E$728="","",IF(_calc!$E$728&lt;=500,TRIM(IF(LEN(IF(LEN(INDEX('Dealer pipeline'!$A$4:$A$503,_calc!$E$728))=0,"",INDEX('Dealer pipeline'!$A$4:$A$503,_calc!$E$728)))=0,"","Customer: "&amp;IF(LEN(INDEX('Dealer pipeline'!$A$4:$A$503,_calc!$E$728))=0,"",INDEX('Dealer pipeline'!$A$4:$A$503,_calc!$E$728))&amp;". ")&amp;IF(LEN(IF(LEN(INDEX('Dealer pipeline'!$B$4:$B$503,_calc!$E$728))=0,"",INDEX('Dealer pipeline'!$B$4:$B$503,_calc!$E$728)))=0,"","Contact: "&amp;IF(LEN(INDEX('Dealer pipeline'!$B$4:$B$503,_calc!$E$728))=0,"",INDEX('Dealer pipeline'!$B$4:$B$503,_calc!$E$728))&amp;". ")&amp;IF(LEN(IF(LEN(INDEX('Dealer pipeline'!$D$4:$D$503,_calc!$E$728))=0,"",INDEX('Dealer pipeline'!$D$4:$D$503,_calc!$E$728)))=0,"","Serial: "&amp;IF(LEN(INDEX('Dealer pipeline'!$D$4:$D$503,_calc!$E$728))=0,"",INDEX('Dealer pipeline'!$D$4:$D$503,_calc!$E$728))&amp;". ")&amp;IF(LEN(IF(ISNUMBER(INDEX('Dealer pipeline'!$J$4:$J$503,_calc!$E$728)),TEXT(INDEX('Dealer pipeline'!$J$4:$J$503,_calc!$E$728),"yyyy-mm-dd"),""))=0,"","Parts end: "&amp;IF(ISNUMBER(INDEX('Dealer pipeline'!$J$4:$J$503,_calc!$E$728)),TEXT(INDEX('Dealer pipeline'!$J$4:$J$503,_calc!$E$728),"yyyy-mm-dd"),"")&amp;". ")&amp;IF(LEN(IF(ISNUMBER(INDEX('Dealer pipeline'!$L$4:$L$503,_calc!$E$728)),TEXT(INDEX('Dealer pipeline'!$L$4:$L$503,_calc!$E$728),"yyyy-mm-dd"),""))=0,"","Labor end: "&amp;IF(ISNUMBER(INDEX('Dealer pipeline'!$L$4:$L$503,_calc!$E$728)),TEXT(INDEX('Dealer pipeline'!$L$4:$L$503,_calc!$E$728),"yyyy-mm-dd"),"")&amp;". ")&amp;IF(LEN(IF(LEN(INDEX('Dealer pipeline'!$Q$4:$Q$503,_calc!$E$728))=0,"",INDEX('Dealer pipeline'!$Q$4:$Q$503,_calc!$E$728)))=0,"","Status: "&amp;IF(LEN(INDEX('Dealer pipeline'!$Q$4:$Q$503,_calc!$E$728))=0,"",INDEX('Dealer pipeline'!$Q$4:$Q$503,_calc!$E$728))&amp;". ")&amp;IF(LEN(IF(LEN(INDEX('Dealer pipeline'!$P$4:$P$503,_calc!$E$728))=0,"",INDEX('Dealer pipeline'!$P$4:$P$503,_calc!$E$728)))=0,"","Last touch: "&amp;IF(LEN(INDEX('Dealer pipeline'!$P$4:$P$503,_calc!$E$728))=0,"",INDEX('Dealer pipeline'!$P$4:$P$503,_calc!$E$728))&amp;". ")&amp;IF(LEN(IF(LEN(INDEX('Dealer pipeline'!$R$4:$R$503,_calc!$E$728))=0,"",INDEX('Dealer pipeline'!$R$4:$R$503,_calc!$E$728)))=0,"","Owner: "&amp;IF(LEN(INDEX('Dealer pipeline'!$R$4:$R$503,_calc!$E$728))=0,"",INDEX('Dealer pipeline'!$R$4:$R$503,_calc!$E$728))&amp;". ")&amp;IF(LEN(IF(LEN(INDEX('Dealer pipeline'!$S$4:$S$503,_calc!$E$728))=0,"",INDEX('Dealer pipeline'!$S$4:$S$503,_calc!$E$728)))=0,"","Backup: "&amp;IF(LEN(INDEX('Dealer pipeline'!$S$4:$S$503,_calc!$E$728))=0,"",INDEX('Dealer pipeline'!$S$4:$S$503,_calc!$E$728))&amp;". ")&amp;IF(LEN(IF(LEN(INDEX('Dealer pipeline'!$T$4:$T$503,_calc!$E$728))=0,"",INDEX('Dealer pipeline'!$T$4:$T$503,_calc!$E$728)))=0,"",IF(LEN(INDEX('Dealer pipeline'!$T$4:$T$503,_calc!$E$728))=0,"",INDEX('Dealer pipeline'!$T$4:$T$503,_calc!$E$728)))),TRIM(IF(LEN(IF(LEN(INDEX('My equipment'!$C$4:$C$503,(_calc!$E$728-500)))=0,"",INDEX('My equipment'!$C$4:$C$503,(_calc!$E$728-500))))=0,"","Model: "&amp;IF(LEN(INDEX('My equipment'!$C$4:$C$503,(_calc!$E$728-500)))=0,"",INDEX('My equipment'!$C$4:$C$503,(_calc!$E$728-500)))&amp;". ")&amp;IF(LEN(IF(LEN(INDEX('My equipment'!$D$4:$D$503,(_calc!$E$728-500)))=0,"",INDEX('My equipment'!$D$4:$D$503,(_calc!$E$728-500))))=0,"","Serial: "&amp;IF(LEN(INDEX('My equipment'!$D$4:$D$503,(_calc!$E$728-500)))=0,"",INDEX('My equipment'!$D$4:$D$503,(_calc!$E$728-500)))&amp;". ")&amp;IF(LEN(IF(ISNUMBER(INDEX('My equipment'!$J$4:$J$503,(_calc!$E$728-500))),TEXT(INDEX('My equipment'!$J$4:$J$503,(_calc!$E$728-500)),"yyyy-mm-dd"),""))=0,"","Parts end: "&amp;IF(ISNUMBER(INDEX('My equipment'!$J$4:$J$503,(_calc!$E$728-500))),TEXT(INDEX('My equipment'!$J$4:$J$503,(_calc!$E$728-500)),"yyyy-mm-dd"),"")&amp;". ")&amp;IF(LEN(IF(ISNUMBER(INDEX('My equipment'!$L$4:$L$503,(_calc!$E$728-500))),TEXT(INDEX('My equipment'!$L$4:$L$503,(_calc!$E$728-500)),"yyyy-mm-dd"),""))=0,"","Labor end: "&amp;IF(ISNUMBER(INDEX('My equipment'!$L$4:$L$503,(_calc!$E$728-500))),TEXT(INDEX('My equipment'!$L$4:$L$503,(_calc!$E$728-500)),"yyyy-mm-dd"),"")&amp;". ")&amp;IF(LEN(IF(ISNUMBER(INDEX('My equipment'!$P$4:$P$503,(_calc!$E$728-500))),TEXT(INDEX('My equipment'!$P$4:$P$503,(_calc!$E$728-500)),"yyyy-mm-dd"),""))=0,"","Check by: "&amp;IF(ISNUMBER(INDEX('My equipment'!$P$4:$P$503,(_calc!$E$728-500))),TEXT(INDEX('My equipment'!$P$4:$P$503,(_calc!$E$728-500)),"yyyy-mm-dd"),"")&amp;". ")&amp;IF(LEN(IF(LEN(INDEX('My equipment'!$Q$4:$Q$503,(_calc!$E$728-500)))=0,"",INDEX('My equipment'!$Q$4:$Q$503,(_calc!$E$728-500))))=0,"","Claim status: "&amp;IF(LEN(INDEX('My equipment'!$Q$4:$Q$503,(_calc!$E$728-500)))=0,"",INDEX('My equipment'!$Q$4:$Q$503,(_calc!$E$728-500)))&amp;". ")&amp;IF(LEN(IF(LEN(INDEX('My equipment'!$R$4:$R$503,(_calc!$E$728-500)))=0,"",INDEX('My equipment'!$R$4:$R$503,(_calc!$E$728-500))))=0,"","Claims contact: "&amp;IF(LEN(INDEX('My equipment'!$R$4:$R$503,(_calc!$E$728-500)))=0,"",INDEX('My equipment'!$R$4:$R$503,(_calc!$E$728-500)))&amp;". ")&amp;IF(LEN(IF(LEN(INDEX('My equipment'!$S$4:$S$503,(_calc!$E$728-500)))=0,"",INDEX('My equipment'!$S$4:$S$503,(_calc!$E$728-500))))=0,"","Claims email: "&amp;IF(LEN(INDEX('My equipment'!$S$4:$S$503,(_calc!$E$728-500)))=0,"",INDEX('My equipment'!$S$4:$S$503,(_calc!$E$728-500)))&amp;". ")&amp;IF(LEN(IF(LEN(INDEX('My equipment'!$U$4:$U$503,(_calc!$E$728-500)))=0,"",INDEX('My equipment'!$U$4:$U$503,(_calc!$E$728-500))))=0,"","Registered: "&amp;IF(LEN(INDEX('My equipment'!$U$4:$U$503,(_calc!$E$728-500)))=0,"",INDEX('My equipment'!$U$4:$U$503,(_calc!$E$728-500)))&amp;". ")&amp;IF(LEN(IF(LEN(INDEX('My equipment'!$V$4:$V$503,(_calc!$E$728-500)))=0,"",INDEX('My equipment'!$V$4:$V$503,(_calc!$E$728-500))))=0,"","Proof on file: "&amp;IF(LEN(INDEX('My equipment'!$V$4:$V$503,(_calc!$E$728-500)))=0,"",INDEX('My equipment'!$V$4:$V$503,(_calc!$E$728-500)))&amp;". ")&amp;IF(LEN(IF(LEN(INDEX('My equipment'!$W$4:$W$503,(_calc!$E$728-500)))=0,"",INDEX('My equipment'!$W$4:$W$503,(_calc!$E$728-500))))=0,"","Claim ref: "&amp;IF(LEN(INDEX('My equipment'!$W$4:$W$503,(_calc!$E$728-500)))=0,"",INDEX('My equipment'!$W$4:$W$503,(_calc!$E$728-500)))&amp;". ")&amp;IF(LEN(IF(LEN(INDEX('My equipment'!$Y$4:$Y$503,(_calc!$E$728-500)))=0,"",INDEX('My equipment'!$Y$4:$Y$503,(_calc!$E$728-500))))=0,"",IF(LEN(INDEX('My equipment'!$Y$4:$Y$503,(_calc!$E$728-500)))=0,"",INDEX('My equipment'!$Y$4:$Y$503,(_calc!$E$728-500)))))))</f>
        <v/>
      </c>
      <c r="G726" s="54">
        <f>IF(_calc!$E$728="","",IF(_calc!$E$728&lt;=500,"",IF(LEN(INDEX('My equipment'!$X$4:$X$503,(_calc!$E$728-500)))=0,"",INDEX('My equipment'!$X$4:$X$503,(_calc!$E$728-500)))))</f>
        <v/>
      </c>
      <c r="K726" s="54">
        <f>IF(_calc!$E$728="","",IF(_calc!$E$728&lt;=500,"",IF(LEN(INDEX('My equipment'!$T$4:$T$503,(_calc!$E$728-500)))=0,"",INDEX('My equipment'!$T$4:$T$503,(_calc!$E$728-500)))))</f>
        <v/>
      </c>
    </row>
    <row r="727">
      <c r="A727" s="54">
        <f>IF(_calc!$E$729="","",IF(_calc!$E$729&lt;=500,"Warranty – "&amp;IF(LEN(INDEX('Dealer pipeline'!$C$4:$C$503,_calc!$E$729))=0,"",INDEX('Dealer pipeline'!$C$4:$C$503,_calc!$E$729))&amp;" – "&amp;IF(LEN(INDEX('Dealer pipeline'!$D$4:$D$503,_calc!$E$729))=0,"",INDEX('Dealer pipeline'!$D$4:$D$503,_calc!$E$729))&amp;" – "&amp;IF(LEN(INDEX('Dealer pipeline'!$A$4:$A$503,_calc!$E$729))=0,"",INDEX('Dealer pipeline'!$A$4:$A$503,_calc!$E$729)),"Warranty – "&amp;IF(LEN(INDEX('My equipment'!$A$4:$A$503,(_calc!$E$729-500)))=0,"",INDEX('My equipment'!$A$4:$A$503,(_calc!$E$729-500)))&amp;" – "&amp;IF(LEN(INDEX('My equipment'!$D$4:$D$503,(_calc!$E$729-500)))=0,"",INDEX('My equipment'!$D$4:$D$503,(_calc!$E$729-500)))))</f>
        <v/>
      </c>
      <c r="B727" s="54">
        <f>IF(_calc!$E$729="","",IF(_calc!$E$729&lt;=500,IF(ISNUMBER(INDEX('Dealer pipeline'!$M$4:$M$503,_calc!$E$729)),TEXT(INDEX('Dealer pipeline'!$M$4:$M$503,_calc!$E$729),"yyyy-mm-dd"),""),IF(ISNUMBER(INDEX('My equipment'!$M$4:$M$503,(_calc!$E$729-500))),TEXT(INDEX('My equipment'!$M$4:$M$503,(_calc!$E$729-500)),"yyyy-mm-dd"),"")))</f>
        <v/>
      </c>
      <c r="C727" s="54">
        <f>IF(_calc!$E$729="","",IF(_calc!$E$729&lt;=500,"Warranty","Warranty"))</f>
        <v/>
      </c>
      <c r="D727" s="54">
        <f>IF(_calc!$E$729="","",IF(_calc!$E$729&lt;=500,IF(ISNUMBER(INDEX('Dealer pipeline'!$H$4:$H$503,_calc!$E$729)),TEXT(INDEX('Dealer pipeline'!$H$4:$H$503,_calc!$E$729),"yyyy-mm-dd"),""),IF(ISNUMBER(INDEX('My equipment'!$H$4:$H$503,(_calc!$E$729-500))),TEXT(INDEX('My equipment'!$H$4:$H$503,(_calc!$E$729-500)),"yyyy-mm-dd"),"")))</f>
        <v/>
      </c>
      <c r="F727" s="54">
        <f>IF(_calc!$E$729="","",IF(_calc!$E$729&lt;=500,TRIM(IF(LEN(IF(LEN(INDEX('Dealer pipeline'!$A$4:$A$503,_calc!$E$729))=0,"",INDEX('Dealer pipeline'!$A$4:$A$503,_calc!$E$729)))=0,"","Customer: "&amp;IF(LEN(INDEX('Dealer pipeline'!$A$4:$A$503,_calc!$E$729))=0,"",INDEX('Dealer pipeline'!$A$4:$A$503,_calc!$E$729))&amp;". ")&amp;IF(LEN(IF(LEN(INDEX('Dealer pipeline'!$B$4:$B$503,_calc!$E$729))=0,"",INDEX('Dealer pipeline'!$B$4:$B$503,_calc!$E$729)))=0,"","Contact: "&amp;IF(LEN(INDEX('Dealer pipeline'!$B$4:$B$503,_calc!$E$729))=0,"",INDEX('Dealer pipeline'!$B$4:$B$503,_calc!$E$729))&amp;". ")&amp;IF(LEN(IF(LEN(INDEX('Dealer pipeline'!$D$4:$D$503,_calc!$E$729))=0,"",INDEX('Dealer pipeline'!$D$4:$D$503,_calc!$E$729)))=0,"","Serial: "&amp;IF(LEN(INDEX('Dealer pipeline'!$D$4:$D$503,_calc!$E$729))=0,"",INDEX('Dealer pipeline'!$D$4:$D$503,_calc!$E$729))&amp;". ")&amp;IF(LEN(IF(ISNUMBER(INDEX('Dealer pipeline'!$J$4:$J$503,_calc!$E$729)),TEXT(INDEX('Dealer pipeline'!$J$4:$J$503,_calc!$E$729),"yyyy-mm-dd"),""))=0,"","Parts end: "&amp;IF(ISNUMBER(INDEX('Dealer pipeline'!$J$4:$J$503,_calc!$E$729)),TEXT(INDEX('Dealer pipeline'!$J$4:$J$503,_calc!$E$729),"yyyy-mm-dd"),"")&amp;". ")&amp;IF(LEN(IF(ISNUMBER(INDEX('Dealer pipeline'!$L$4:$L$503,_calc!$E$729)),TEXT(INDEX('Dealer pipeline'!$L$4:$L$503,_calc!$E$729),"yyyy-mm-dd"),""))=0,"","Labor end: "&amp;IF(ISNUMBER(INDEX('Dealer pipeline'!$L$4:$L$503,_calc!$E$729)),TEXT(INDEX('Dealer pipeline'!$L$4:$L$503,_calc!$E$729),"yyyy-mm-dd"),"")&amp;". ")&amp;IF(LEN(IF(LEN(INDEX('Dealer pipeline'!$Q$4:$Q$503,_calc!$E$729))=0,"",INDEX('Dealer pipeline'!$Q$4:$Q$503,_calc!$E$729)))=0,"","Status: "&amp;IF(LEN(INDEX('Dealer pipeline'!$Q$4:$Q$503,_calc!$E$729))=0,"",INDEX('Dealer pipeline'!$Q$4:$Q$503,_calc!$E$729))&amp;". ")&amp;IF(LEN(IF(LEN(INDEX('Dealer pipeline'!$P$4:$P$503,_calc!$E$729))=0,"",INDEX('Dealer pipeline'!$P$4:$P$503,_calc!$E$729)))=0,"","Last touch: "&amp;IF(LEN(INDEX('Dealer pipeline'!$P$4:$P$503,_calc!$E$729))=0,"",INDEX('Dealer pipeline'!$P$4:$P$503,_calc!$E$729))&amp;". ")&amp;IF(LEN(IF(LEN(INDEX('Dealer pipeline'!$R$4:$R$503,_calc!$E$729))=0,"",INDEX('Dealer pipeline'!$R$4:$R$503,_calc!$E$729)))=0,"","Owner: "&amp;IF(LEN(INDEX('Dealer pipeline'!$R$4:$R$503,_calc!$E$729))=0,"",INDEX('Dealer pipeline'!$R$4:$R$503,_calc!$E$729))&amp;". ")&amp;IF(LEN(IF(LEN(INDEX('Dealer pipeline'!$S$4:$S$503,_calc!$E$729))=0,"",INDEX('Dealer pipeline'!$S$4:$S$503,_calc!$E$729)))=0,"","Backup: "&amp;IF(LEN(INDEX('Dealer pipeline'!$S$4:$S$503,_calc!$E$729))=0,"",INDEX('Dealer pipeline'!$S$4:$S$503,_calc!$E$729))&amp;". ")&amp;IF(LEN(IF(LEN(INDEX('Dealer pipeline'!$T$4:$T$503,_calc!$E$729))=0,"",INDEX('Dealer pipeline'!$T$4:$T$503,_calc!$E$729)))=0,"",IF(LEN(INDEX('Dealer pipeline'!$T$4:$T$503,_calc!$E$729))=0,"",INDEX('Dealer pipeline'!$T$4:$T$503,_calc!$E$729)))),TRIM(IF(LEN(IF(LEN(INDEX('My equipment'!$C$4:$C$503,(_calc!$E$729-500)))=0,"",INDEX('My equipment'!$C$4:$C$503,(_calc!$E$729-500))))=0,"","Model: "&amp;IF(LEN(INDEX('My equipment'!$C$4:$C$503,(_calc!$E$729-500)))=0,"",INDEX('My equipment'!$C$4:$C$503,(_calc!$E$729-500)))&amp;". ")&amp;IF(LEN(IF(LEN(INDEX('My equipment'!$D$4:$D$503,(_calc!$E$729-500)))=0,"",INDEX('My equipment'!$D$4:$D$503,(_calc!$E$729-500))))=0,"","Serial: "&amp;IF(LEN(INDEX('My equipment'!$D$4:$D$503,(_calc!$E$729-500)))=0,"",INDEX('My equipment'!$D$4:$D$503,(_calc!$E$729-500)))&amp;". ")&amp;IF(LEN(IF(ISNUMBER(INDEX('My equipment'!$J$4:$J$503,(_calc!$E$729-500))),TEXT(INDEX('My equipment'!$J$4:$J$503,(_calc!$E$729-500)),"yyyy-mm-dd"),""))=0,"","Parts end: "&amp;IF(ISNUMBER(INDEX('My equipment'!$J$4:$J$503,(_calc!$E$729-500))),TEXT(INDEX('My equipment'!$J$4:$J$503,(_calc!$E$729-500)),"yyyy-mm-dd"),"")&amp;". ")&amp;IF(LEN(IF(ISNUMBER(INDEX('My equipment'!$L$4:$L$503,(_calc!$E$729-500))),TEXT(INDEX('My equipment'!$L$4:$L$503,(_calc!$E$729-500)),"yyyy-mm-dd"),""))=0,"","Labor end: "&amp;IF(ISNUMBER(INDEX('My equipment'!$L$4:$L$503,(_calc!$E$729-500))),TEXT(INDEX('My equipment'!$L$4:$L$503,(_calc!$E$729-500)),"yyyy-mm-dd"),"")&amp;". ")&amp;IF(LEN(IF(ISNUMBER(INDEX('My equipment'!$P$4:$P$503,(_calc!$E$729-500))),TEXT(INDEX('My equipment'!$P$4:$P$503,(_calc!$E$729-500)),"yyyy-mm-dd"),""))=0,"","Check by: "&amp;IF(ISNUMBER(INDEX('My equipment'!$P$4:$P$503,(_calc!$E$729-500))),TEXT(INDEX('My equipment'!$P$4:$P$503,(_calc!$E$729-500)),"yyyy-mm-dd"),"")&amp;". ")&amp;IF(LEN(IF(LEN(INDEX('My equipment'!$Q$4:$Q$503,(_calc!$E$729-500)))=0,"",INDEX('My equipment'!$Q$4:$Q$503,(_calc!$E$729-500))))=0,"","Claim status: "&amp;IF(LEN(INDEX('My equipment'!$Q$4:$Q$503,(_calc!$E$729-500)))=0,"",INDEX('My equipment'!$Q$4:$Q$503,(_calc!$E$729-500)))&amp;". ")&amp;IF(LEN(IF(LEN(INDEX('My equipment'!$R$4:$R$503,(_calc!$E$729-500)))=0,"",INDEX('My equipment'!$R$4:$R$503,(_calc!$E$729-500))))=0,"","Claims contact: "&amp;IF(LEN(INDEX('My equipment'!$R$4:$R$503,(_calc!$E$729-500)))=0,"",INDEX('My equipment'!$R$4:$R$503,(_calc!$E$729-500)))&amp;". ")&amp;IF(LEN(IF(LEN(INDEX('My equipment'!$S$4:$S$503,(_calc!$E$729-500)))=0,"",INDEX('My equipment'!$S$4:$S$503,(_calc!$E$729-500))))=0,"","Claims email: "&amp;IF(LEN(INDEX('My equipment'!$S$4:$S$503,(_calc!$E$729-500)))=0,"",INDEX('My equipment'!$S$4:$S$503,(_calc!$E$729-500)))&amp;". ")&amp;IF(LEN(IF(LEN(INDEX('My equipment'!$U$4:$U$503,(_calc!$E$729-500)))=0,"",INDEX('My equipment'!$U$4:$U$503,(_calc!$E$729-500))))=0,"","Registered: "&amp;IF(LEN(INDEX('My equipment'!$U$4:$U$503,(_calc!$E$729-500)))=0,"",INDEX('My equipment'!$U$4:$U$503,(_calc!$E$729-500)))&amp;". ")&amp;IF(LEN(IF(LEN(INDEX('My equipment'!$V$4:$V$503,(_calc!$E$729-500)))=0,"",INDEX('My equipment'!$V$4:$V$503,(_calc!$E$729-500))))=0,"","Proof on file: "&amp;IF(LEN(INDEX('My equipment'!$V$4:$V$503,(_calc!$E$729-500)))=0,"",INDEX('My equipment'!$V$4:$V$503,(_calc!$E$729-500)))&amp;". ")&amp;IF(LEN(IF(LEN(INDEX('My equipment'!$W$4:$W$503,(_calc!$E$729-500)))=0,"",INDEX('My equipment'!$W$4:$W$503,(_calc!$E$729-500))))=0,"","Claim ref: "&amp;IF(LEN(INDEX('My equipment'!$W$4:$W$503,(_calc!$E$729-500)))=0,"",INDEX('My equipment'!$W$4:$W$503,(_calc!$E$729-500)))&amp;". ")&amp;IF(LEN(IF(LEN(INDEX('My equipment'!$Y$4:$Y$503,(_calc!$E$729-500)))=0,"",INDEX('My equipment'!$Y$4:$Y$503,(_calc!$E$729-500))))=0,"",IF(LEN(INDEX('My equipment'!$Y$4:$Y$503,(_calc!$E$729-500)))=0,"",INDEX('My equipment'!$Y$4:$Y$503,(_calc!$E$729-500)))))))</f>
        <v/>
      </c>
      <c r="G727" s="54">
        <f>IF(_calc!$E$729="","",IF(_calc!$E$729&lt;=500,"",IF(LEN(INDEX('My equipment'!$X$4:$X$503,(_calc!$E$729-500)))=0,"",INDEX('My equipment'!$X$4:$X$503,(_calc!$E$729-500)))))</f>
        <v/>
      </c>
      <c r="K727" s="54">
        <f>IF(_calc!$E$729="","",IF(_calc!$E$729&lt;=500,"",IF(LEN(INDEX('My equipment'!$T$4:$T$503,(_calc!$E$729-500)))=0,"",INDEX('My equipment'!$T$4:$T$503,(_calc!$E$729-500)))))</f>
        <v/>
      </c>
    </row>
    <row r="728">
      <c r="A728" s="54">
        <f>IF(_calc!$E$730="","",IF(_calc!$E$730&lt;=500,"Warranty – "&amp;IF(LEN(INDEX('Dealer pipeline'!$C$4:$C$503,_calc!$E$730))=0,"",INDEX('Dealer pipeline'!$C$4:$C$503,_calc!$E$730))&amp;" – "&amp;IF(LEN(INDEX('Dealer pipeline'!$D$4:$D$503,_calc!$E$730))=0,"",INDEX('Dealer pipeline'!$D$4:$D$503,_calc!$E$730))&amp;" – "&amp;IF(LEN(INDEX('Dealer pipeline'!$A$4:$A$503,_calc!$E$730))=0,"",INDEX('Dealer pipeline'!$A$4:$A$503,_calc!$E$730)),"Warranty – "&amp;IF(LEN(INDEX('My equipment'!$A$4:$A$503,(_calc!$E$730-500)))=0,"",INDEX('My equipment'!$A$4:$A$503,(_calc!$E$730-500)))&amp;" – "&amp;IF(LEN(INDEX('My equipment'!$D$4:$D$503,(_calc!$E$730-500)))=0,"",INDEX('My equipment'!$D$4:$D$503,(_calc!$E$730-500)))))</f>
        <v/>
      </c>
      <c r="B728" s="54">
        <f>IF(_calc!$E$730="","",IF(_calc!$E$730&lt;=500,IF(ISNUMBER(INDEX('Dealer pipeline'!$M$4:$M$503,_calc!$E$730)),TEXT(INDEX('Dealer pipeline'!$M$4:$M$503,_calc!$E$730),"yyyy-mm-dd"),""),IF(ISNUMBER(INDEX('My equipment'!$M$4:$M$503,(_calc!$E$730-500))),TEXT(INDEX('My equipment'!$M$4:$M$503,(_calc!$E$730-500)),"yyyy-mm-dd"),"")))</f>
        <v/>
      </c>
      <c r="C728" s="54">
        <f>IF(_calc!$E$730="","",IF(_calc!$E$730&lt;=500,"Warranty","Warranty"))</f>
        <v/>
      </c>
      <c r="D728" s="54">
        <f>IF(_calc!$E$730="","",IF(_calc!$E$730&lt;=500,IF(ISNUMBER(INDEX('Dealer pipeline'!$H$4:$H$503,_calc!$E$730)),TEXT(INDEX('Dealer pipeline'!$H$4:$H$503,_calc!$E$730),"yyyy-mm-dd"),""),IF(ISNUMBER(INDEX('My equipment'!$H$4:$H$503,(_calc!$E$730-500))),TEXT(INDEX('My equipment'!$H$4:$H$503,(_calc!$E$730-500)),"yyyy-mm-dd"),"")))</f>
        <v/>
      </c>
      <c r="F728" s="54">
        <f>IF(_calc!$E$730="","",IF(_calc!$E$730&lt;=500,TRIM(IF(LEN(IF(LEN(INDEX('Dealer pipeline'!$A$4:$A$503,_calc!$E$730))=0,"",INDEX('Dealer pipeline'!$A$4:$A$503,_calc!$E$730)))=0,"","Customer: "&amp;IF(LEN(INDEX('Dealer pipeline'!$A$4:$A$503,_calc!$E$730))=0,"",INDEX('Dealer pipeline'!$A$4:$A$503,_calc!$E$730))&amp;". ")&amp;IF(LEN(IF(LEN(INDEX('Dealer pipeline'!$B$4:$B$503,_calc!$E$730))=0,"",INDEX('Dealer pipeline'!$B$4:$B$503,_calc!$E$730)))=0,"","Contact: "&amp;IF(LEN(INDEX('Dealer pipeline'!$B$4:$B$503,_calc!$E$730))=0,"",INDEX('Dealer pipeline'!$B$4:$B$503,_calc!$E$730))&amp;". ")&amp;IF(LEN(IF(LEN(INDEX('Dealer pipeline'!$D$4:$D$503,_calc!$E$730))=0,"",INDEX('Dealer pipeline'!$D$4:$D$503,_calc!$E$730)))=0,"","Serial: "&amp;IF(LEN(INDEX('Dealer pipeline'!$D$4:$D$503,_calc!$E$730))=0,"",INDEX('Dealer pipeline'!$D$4:$D$503,_calc!$E$730))&amp;". ")&amp;IF(LEN(IF(ISNUMBER(INDEX('Dealer pipeline'!$J$4:$J$503,_calc!$E$730)),TEXT(INDEX('Dealer pipeline'!$J$4:$J$503,_calc!$E$730),"yyyy-mm-dd"),""))=0,"","Parts end: "&amp;IF(ISNUMBER(INDEX('Dealer pipeline'!$J$4:$J$503,_calc!$E$730)),TEXT(INDEX('Dealer pipeline'!$J$4:$J$503,_calc!$E$730),"yyyy-mm-dd"),"")&amp;". ")&amp;IF(LEN(IF(ISNUMBER(INDEX('Dealer pipeline'!$L$4:$L$503,_calc!$E$730)),TEXT(INDEX('Dealer pipeline'!$L$4:$L$503,_calc!$E$730),"yyyy-mm-dd"),""))=0,"","Labor end: "&amp;IF(ISNUMBER(INDEX('Dealer pipeline'!$L$4:$L$503,_calc!$E$730)),TEXT(INDEX('Dealer pipeline'!$L$4:$L$503,_calc!$E$730),"yyyy-mm-dd"),"")&amp;". ")&amp;IF(LEN(IF(LEN(INDEX('Dealer pipeline'!$Q$4:$Q$503,_calc!$E$730))=0,"",INDEX('Dealer pipeline'!$Q$4:$Q$503,_calc!$E$730)))=0,"","Status: "&amp;IF(LEN(INDEX('Dealer pipeline'!$Q$4:$Q$503,_calc!$E$730))=0,"",INDEX('Dealer pipeline'!$Q$4:$Q$503,_calc!$E$730))&amp;". ")&amp;IF(LEN(IF(LEN(INDEX('Dealer pipeline'!$P$4:$P$503,_calc!$E$730))=0,"",INDEX('Dealer pipeline'!$P$4:$P$503,_calc!$E$730)))=0,"","Last touch: "&amp;IF(LEN(INDEX('Dealer pipeline'!$P$4:$P$503,_calc!$E$730))=0,"",INDEX('Dealer pipeline'!$P$4:$P$503,_calc!$E$730))&amp;". ")&amp;IF(LEN(IF(LEN(INDEX('Dealer pipeline'!$R$4:$R$503,_calc!$E$730))=0,"",INDEX('Dealer pipeline'!$R$4:$R$503,_calc!$E$730)))=0,"","Owner: "&amp;IF(LEN(INDEX('Dealer pipeline'!$R$4:$R$503,_calc!$E$730))=0,"",INDEX('Dealer pipeline'!$R$4:$R$503,_calc!$E$730))&amp;". ")&amp;IF(LEN(IF(LEN(INDEX('Dealer pipeline'!$S$4:$S$503,_calc!$E$730))=0,"",INDEX('Dealer pipeline'!$S$4:$S$503,_calc!$E$730)))=0,"","Backup: "&amp;IF(LEN(INDEX('Dealer pipeline'!$S$4:$S$503,_calc!$E$730))=0,"",INDEX('Dealer pipeline'!$S$4:$S$503,_calc!$E$730))&amp;". ")&amp;IF(LEN(IF(LEN(INDEX('Dealer pipeline'!$T$4:$T$503,_calc!$E$730))=0,"",INDEX('Dealer pipeline'!$T$4:$T$503,_calc!$E$730)))=0,"",IF(LEN(INDEX('Dealer pipeline'!$T$4:$T$503,_calc!$E$730))=0,"",INDEX('Dealer pipeline'!$T$4:$T$503,_calc!$E$730)))),TRIM(IF(LEN(IF(LEN(INDEX('My equipment'!$C$4:$C$503,(_calc!$E$730-500)))=0,"",INDEX('My equipment'!$C$4:$C$503,(_calc!$E$730-500))))=0,"","Model: "&amp;IF(LEN(INDEX('My equipment'!$C$4:$C$503,(_calc!$E$730-500)))=0,"",INDEX('My equipment'!$C$4:$C$503,(_calc!$E$730-500)))&amp;". ")&amp;IF(LEN(IF(LEN(INDEX('My equipment'!$D$4:$D$503,(_calc!$E$730-500)))=0,"",INDEX('My equipment'!$D$4:$D$503,(_calc!$E$730-500))))=0,"","Serial: "&amp;IF(LEN(INDEX('My equipment'!$D$4:$D$503,(_calc!$E$730-500)))=0,"",INDEX('My equipment'!$D$4:$D$503,(_calc!$E$730-500)))&amp;". ")&amp;IF(LEN(IF(ISNUMBER(INDEX('My equipment'!$J$4:$J$503,(_calc!$E$730-500))),TEXT(INDEX('My equipment'!$J$4:$J$503,(_calc!$E$730-500)),"yyyy-mm-dd"),""))=0,"","Parts end: "&amp;IF(ISNUMBER(INDEX('My equipment'!$J$4:$J$503,(_calc!$E$730-500))),TEXT(INDEX('My equipment'!$J$4:$J$503,(_calc!$E$730-500)),"yyyy-mm-dd"),"")&amp;". ")&amp;IF(LEN(IF(ISNUMBER(INDEX('My equipment'!$L$4:$L$503,(_calc!$E$730-500))),TEXT(INDEX('My equipment'!$L$4:$L$503,(_calc!$E$730-500)),"yyyy-mm-dd"),""))=0,"","Labor end: "&amp;IF(ISNUMBER(INDEX('My equipment'!$L$4:$L$503,(_calc!$E$730-500))),TEXT(INDEX('My equipment'!$L$4:$L$503,(_calc!$E$730-500)),"yyyy-mm-dd"),"")&amp;". ")&amp;IF(LEN(IF(ISNUMBER(INDEX('My equipment'!$P$4:$P$503,(_calc!$E$730-500))),TEXT(INDEX('My equipment'!$P$4:$P$503,(_calc!$E$730-500)),"yyyy-mm-dd"),""))=0,"","Check by: "&amp;IF(ISNUMBER(INDEX('My equipment'!$P$4:$P$503,(_calc!$E$730-500))),TEXT(INDEX('My equipment'!$P$4:$P$503,(_calc!$E$730-500)),"yyyy-mm-dd"),"")&amp;". ")&amp;IF(LEN(IF(LEN(INDEX('My equipment'!$Q$4:$Q$503,(_calc!$E$730-500)))=0,"",INDEX('My equipment'!$Q$4:$Q$503,(_calc!$E$730-500))))=0,"","Claim status: "&amp;IF(LEN(INDEX('My equipment'!$Q$4:$Q$503,(_calc!$E$730-500)))=0,"",INDEX('My equipment'!$Q$4:$Q$503,(_calc!$E$730-500)))&amp;". ")&amp;IF(LEN(IF(LEN(INDEX('My equipment'!$R$4:$R$503,(_calc!$E$730-500)))=0,"",INDEX('My equipment'!$R$4:$R$503,(_calc!$E$730-500))))=0,"","Claims contact: "&amp;IF(LEN(INDEX('My equipment'!$R$4:$R$503,(_calc!$E$730-500)))=0,"",INDEX('My equipment'!$R$4:$R$503,(_calc!$E$730-500)))&amp;". ")&amp;IF(LEN(IF(LEN(INDEX('My equipment'!$S$4:$S$503,(_calc!$E$730-500)))=0,"",INDEX('My equipment'!$S$4:$S$503,(_calc!$E$730-500))))=0,"","Claims email: "&amp;IF(LEN(INDEX('My equipment'!$S$4:$S$503,(_calc!$E$730-500)))=0,"",INDEX('My equipment'!$S$4:$S$503,(_calc!$E$730-500)))&amp;". ")&amp;IF(LEN(IF(LEN(INDEX('My equipment'!$U$4:$U$503,(_calc!$E$730-500)))=0,"",INDEX('My equipment'!$U$4:$U$503,(_calc!$E$730-500))))=0,"","Registered: "&amp;IF(LEN(INDEX('My equipment'!$U$4:$U$503,(_calc!$E$730-500)))=0,"",INDEX('My equipment'!$U$4:$U$503,(_calc!$E$730-500)))&amp;". ")&amp;IF(LEN(IF(LEN(INDEX('My equipment'!$V$4:$V$503,(_calc!$E$730-500)))=0,"",INDEX('My equipment'!$V$4:$V$503,(_calc!$E$730-500))))=0,"","Proof on file: "&amp;IF(LEN(INDEX('My equipment'!$V$4:$V$503,(_calc!$E$730-500)))=0,"",INDEX('My equipment'!$V$4:$V$503,(_calc!$E$730-500)))&amp;". ")&amp;IF(LEN(IF(LEN(INDEX('My equipment'!$W$4:$W$503,(_calc!$E$730-500)))=0,"",INDEX('My equipment'!$W$4:$W$503,(_calc!$E$730-500))))=0,"","Claim ref: "&amp;IF(LEN(INDEX('My equipment'!$W$4:$W$503,(_calc!$E$730-500)))=0,"",INDEX('My equipment'!$W$4:$W$503,(_calc!$E$730-500)))&amp;". ")&amp;IF(LEN(IF(LEN(INDEX('My equipment'!$Y$4:$Y$503,(_calc!$E$730-500)))=0,"",INDEX('My equipment'!$Y$4:$Y$503,(_calc!$E$730-500))))=0,"",IF(LEN(INDEX('My equipment'!$Y$4:$Y$503,(_calc!$E$730-500)))=0,"",INDEX('My equipment'!$Y$4:$Y$503,(_calc!$E$730-500)))))))</f>
        <v/>
      </c>
      <c r="G728" s="54">
        <f>IF(_calc!$E$730="","",IF(_calc!$E$730&lt;=500,"",IF(LEN(INDEX('My equipment'!$X$4:$X$503,(_calc!$E$730-500)))=0,"",INDEX('My equipment'!$X$4:$X$503,(_calc!$E$730-500)))))</f>
        <v/>
      </c>
      <c r="K728" s="54">
        <f>IF(_calc!$E$730="","",IF(_calc!$E$730&lt;=500,"",IF(LEN(INDEX('My equipment'!$T$4:$T$503,(_calc!$E$730-500)))=0,"",INDEX('My equipment'!$T$4:$T$503,(_calc!$E$730-500)))))</f>
        <v/>
      </c>
    </row>
    <row r="729">
      <c r="A729" s="54">
        <f>IF(_calc!$E$731="","",IF(_calc!$E$731&lt;=500,"Warranty – "&amp;IF(LEN(INDEX('Dealer pipeline'!$C$4:$C$503,_calc!$E$731))=0,"",INDEX('Dealer pipeline'!$C$4:$C$503,_calc!$E$731))&amp;" – "&amp;IF(LEN(INDEX('Dealer pipeline'!$D$4:$D$503,_calc!$E$731))=0,"",INDEX('Dealer pipeline'!$D$4:$D$503,_calc!$E$731))&amp;" – "&amp;IF(LEN(INDEX('Dealer pipeline'!$A$4:$A$503,_calc!$E$731))=0,"",INDEX('Dealer pipeline'!$A$4:$A$503,_calc!$E$731)),"Warranty – "&amp;IF(LEN(INDEX('My equipment'!$A$4:$A$503,(_calc!$E$731-500)))=0,"",INDEX('My equipment'!$A$4:$A$503,(_calc!$E$731-500)))&amp;" – "&amp;IF(LEN(INDEX('My equipment'!$D$4:$D$503,(_calc!$E$731-500)))=0,"",INDEX('My equipment'!$D$4:$D$503,(_calc!$E$731-500)))))</f>
        <v/>
      </c>
      <c r="B729" s="54">
        <f>IF(_calc!$E$731="","",IF(_calc!$E$731&lt;=500,IF(ISNUMBER(INDEX('Dealer pipeline'!$M$4:$M$503,_calc!$E$731)),TEXT(INDEX('Dealer pipeline'!$M$4:$M$503,_calc!$E$731),"yyyy-mm-dd"),""),IF(ISNUMBER(INDEX('My equipment'!$M$4:$M$503,(_calc!$E$731-500))),TEXT(INDEX('My equipment'!$M$4:$M$503,(_calc!$E$731-500)),"yyyy-mm-dd"),"")))</f>
        <v/>
      </c>
      <c r="C729" s="54">
        <f>IF(_calc!$E$731="","",IF(_calc!$E$731&lt;=500,"Warranty","Warranty"))</f>
        <v/>
      </c>
      <c r="D729" s="54">
        <f>IF(_calc!$E$731="","",IF(_calc!$E$731&lt;=500,IF(ISNUMBER(INDEX('Dealer pipeline'!$H$4:$H$503,_calc!$E$731)),TEXT(INDEX('Dealer pipeline'!$H$4:$H$503,_calc!$E$731),"yyyy-mm-dd"),""),IF(ISNUMBER(INDEX('My equipment'!$H$4:$H$503,(_calc!$E$731-500))),TEXT(INDEX('My equipment'!$H$4:$H$503,(_calc!$E$731-500)),"yyyy-mm-dd"),"")))</f>
        <v/>
      </c>
      <c r="F729" s="54">
        <f>IF(_calc!$E$731="","",IF(_calc!$E$731&lt;=500,TRIM(IF(LEN(IF(LEN(INDEX('Dealer pipeline'!$A$4:$A$503,_calc!$E$731))=0,"",INDEX('Dealer pipeline'!$A$4:$A$503,_calc!$E$731)))=0,"","Customer: "&amp;IF(LEN(INDEX('Dealer pipeline'!$A$4:$A$503,_calc!$E$731))=0,"",INDEX('Dealer pipeline'!$A$4:$A$503,_calc!$E$731))&amp;". ")&amp;IF(LEN(IF(LEN(INDEX('Dealer pipeline'!$B$4:$B$503,_calc!$E$731))=0,"",INDEX('Dealer pipeline'!$B$4:$B$503,_calc!$E$731)))=0,"","Contact: "&amp;IF(LEN(INDEX('Dealer pipeline'!$B$4:$B$503,_calc!$E$731))=0,"",INDEX('Dealer pipeline'!$B$4:$B$503,_calc!$E$731))&amp;". ")&amp;IF(LEN(IF(LEN(INDEX('Dealer pipeline'!$D$4:$D$503,_calc!$E$731))=0,"",INDEX('Dealer pipeline'!$D$4:$D$503,_calc!$E$731)))=0,"","Serial: "&amp;IF(LEN(INDEX('Dealer pipeline'!$D$4:$D$503,_calc!$E$731))=0,"",INDEX('Dealer pipeline'!$D$4:$D$503,_calc!$E$731))&amp;". ")&amp;IF(LEN(IF(ISNUMBER(INDEX('Dealer pipeline'!$J$4:$J$503,_calc!$E$731)),TEXT(INDEX('Dealer pipeline'!$J$4:$J$503,_calc!$E$731),"yyyy-mm-dd"),""))=0,"","Parts end: "&amp;IF(ISNUMBER(INDEX('Dealer pipeline'!$J$4:$J$503,_calc!$E$731)),TEXT(INDEX('Dealer pipeline'!$J$4:$J$503,_calc!$E$731),"yyyy-mm-dd"),"")&amp;". ")&amp;IF(LEN(IF(ISNUMBER(INDEX('Dealer pipeline'!$L$4:$L$503,_calc!$E$731)),TEXT(INDEX('Dealer pipeline'!$L$4:$L$503,_calc!$E$731),"yyyy-mm-dd"),""))=0,"","Labor end: "&amp;IF(ISNUMBER(INDEX('Dealer pipeline'!$L$4:$L$503,_calc!$E$731)),TEXT(INDEX('Dealer pipeline'!$L$4:$L$503,_calc!$E$731),"yyyy-mm-dd"),"")&amp;". ")&amp;IF(LEN(IF(LEN(INDEX('Dealer pipeline'!$Q$4:$Q$503,_calc!$E$731))=0,"",INDEX('Dealer pipeline'!$Q$4:$Q$503,_calc!$E$731)))=0,"","Status: "&amp;IF(LEN(INDEX('Dealer pipeline'!$Q$4:$Q$503,_calc!$E$731))=0,"",INDEX('Dealer pipeline'!$Q$4:$Q$503,_calc!$E$731))&amp;". ")&amp;IF(LEN(IF(LEN(INDEX('Dealer pipeline'!$P$4:$P$503,_calc!$E$731))=0,"",INDEX('Dealer pipeline'!$P$4:$P$503,_calc!$E$731)))=0,"","Last touch: "&amp;IF(LEN(INDEX('Dealer pipeline'!$P$4:$P$503,_calc!$E$731))=0,"",INDEX('Dealer pipeline'!$P$4:$P$503,_calc!$E$731))&amp;". ")&amp;IF(LEN(IF(LEN(INDEX('Dealer pipeline'!$R$4:$R$503,_calc!$E$731))=0,"",INDEX('Dealer pipeline'!$R$4:$R$503,_calc!$E$731)))=0,"","Owner: "&amp;IF(LEN(INDEX('Dealer pipeline'!$R$4:$R$503,_calc!$E$731))=0,"",INDEX('Dealer pipeline'!$R$4:$R$503,_calc!$E$731))&amp;". ")&amp;IF(LEN(IF(LEN(INDEX('Dealer pipeline'!$S$4:$S$503,_calc!$E$731))=0,"",INDEX('Dealer pipeline'!$S$4:$S$503,_calc!$E$731)))=0,"","Backup: "&amp;IF(LEN(INDEX('Dealer pipeline'!$S$4:$S$503,_calc!$E$731))=0,"",INDEX('Dealer pipeline'!$S$4:$S$503,_calc!$E$731))&amp;". ")&amp;IF(LEN(IF(LEN(INDEX('Dealer pipeline'!$T$4:$T$503,_calc!$E$731))=0,"",INDEX('Dealer pipeline'!$T$4:$T$503,_calc!$E$731)))=0,"",IF(LEN(INDEX('Dealer pipeline'!$T$4:$T$503,_calc!$E$731))=0,"",INDEX('Dealer pipeline'!$T$4:$T$503,_calc!$E$731)))),TRIM(IF(LEN(IF(LEN(INDEX('My equipment'!$C$4:$C$503,(_calc!$E$731-500)))=0,"",INDEX('My equipment'!$C$4:$C$503,(_calc!$E$731-500))))=0,"","Model: "&amp;IF(LEN(INDEX('My equipment'!$C$4:$C$503,(_calc!$E$731-500)))=0,"",INDEX('My equipment'!$C$4:$C$503,(_calc!$E$731-500)))&amp;". ")&amp;IF(LEN(IF(LEN(INDEX('My equipment'!$D$4:$D$503,(_calc!$E$731-500)))=0,"",INDEX('My equipment'!$D$4:$D$503,(_calc!$E$731-500))))=0,"","Serial: "&amp;IF(LEN(INDEX('My equipment'!$D$4:$D$503,(_calc!$E$731-500)))=0,"",INDEX('My equipment'!$D$4:$D$503,(_calc!$E$731-500)))&amp;". ")&amp;IF(LEN(IF(ISNUMBER(INDEX('My equipment'!$J$4:$J$503,(_calc!$E$731-500))),TEXT(INDEX('My equipment'!$J$4:$J$503,(_calc!$E$731-500)),"yyyy-mm-dd"),""))=0,"","Parts end: "&amp;IF(ISNUMBER(INDEX('My equipment'!$J$4:$J$503,(_calc!$E$731-500))),TEXT(INDEX('My equipment'!$J$4:$J$503,(_calc!$E$731-500)),"yyyy-mm-dd"),"")&amp;". ")&amp;IF(LEN(IF(ISNUMBER(INDEX('My equipment'!$L$4:$L$503,(_calc!$E$731-500))),TEXT(INDEX('My equipment'!$L$4:$L$503,(_calc!$E$731-500)),"yyyy-mm-dd"),""))=0,"","Labor end: "&amp;IF(ISNUMBER(INDEX('My equipment'!$L$4:$L$503,(_calc!$E$731-500))),TEXT(INDEX('My equipment'!$L$4:$L$503,(_calc!$E$731-500)),"yyyy-mm-dd"),"")&amp;". ")&amp;IF(LEN(IF(ISNUMBER(INDEX('My equipment'!$P$4:$P$503,(_calc!$E$731-500))),TEXT(INDEX('My equipment'!$P$4:$P$503,(_calc!$E$731-500)),"yyyy-mm-dd"),""))=0,"","Check by: "&amp;IF(ISNUMBER(INDEX('My equipment'!$P$4:$P$503,(_calc!$E$731-500))),TEXT(INDEX('My equipment'!$P$4:$P$503,(_calc!$E$731-500)),"yyyy-mm-dd"),"")&amp;". ")&amp;IF(LEN(IF(LEN(INDEX('My equipment'!$Q$4:$Q$503,(_calc!$E$731-500)))=0,"",INDEX('My equipment'!$Q$4:$Q$503,(_calc!$E$731-500))))=0,"","Claim status: "&amp;IF(LEN(INDEX('My equipment'!$Q$4:$Q$503,(_calc!$E$731-500)))=0,"",INDEX('My equipment'!$Q$4:$Q$503,(_calc!$E$731-500)))&amp;". ")&amp;IF(LEN(IF(LEN(INDEX('My equipment'!$R$4:$R$503,(_calc!$E$731-500)))=0,"",INDEX('My equipment'!$R$4:$R$503,(_calc!$E$731-500))))=0,"","Claims contact: "&amp;IF(LEN(INDEX('My equipment'!$R$4:$R$503,(_calc!$E$731-500)))=0,"",INDEX('My equipment'!$R$4:$R$503,(_calc!$E$731-500)))&amp;". ")&amp;IF(LEN(IF(LEN(INDEX('My equipment'!$S$4:$S$503,(_calc!$E$731-500)))=0,"",INDEX('My equipment'!$S$4:$S$503,(_calc!$E$731-500))))=0,"","Claims email: "&amp;IF(LEN(INDEX('My equipment'!$S$4:$S$503,(_calc!$E$731-500)))=0,"",INDEX('My equipment'!$S$4:$S$503,(_calc!$E$731-500)))&amp;". ")&amp;IF(LEN(IF(LEN(INDEX('My equipment'!$U$4:$U$503,(_calc!$E$731-500)))=0,"",INDEX('My equipment'!$U$4:$U$503,(_calc!$E$731-500))))=0,"","Registered: "&amp;IF(LEN(INDEX('My equipment'!$U$4:$U$503,(_calc!$E$731-500)))=0,"",INDEX('My equipment'!$U$4:$U$503,(_calc!$E$731-500)))&amp;". ")&amp;IF(LEN(IF(LEN(INDEX('My equipment'!$V$4:$V$503,(_calc!$E$731-500)))=0,"",INDEX('My equipment'!$V$4:$V$503,(_calc!$E$731-500))))=0,"","Proof on file: "&amp;IF(LEN(INDEX('My equipment'!$V$4:$V$503,(_calc!$E$731-500)))=0,"",INDEX('My equipment'!$V$4:$V$503,(_calc!$E$731-500)))&amp;". ")&amp;IF(LEN(IF(LEN(INDEX('My equipment'!$W$4:$W$503,(_calc!$E$731-500)))=0,"",INDEX('My equipment'!$W$4:$W$503,(_calc!$E$731-500))))=0,"","Claim ref: "&amp;IF(LEN(INDEX('My equipment'!$W$4:$W$503,(_calc!$E$731-500)))=0,"",INDEX('My equipment'!$W$4:$W$503,(_calc!$E$731-500)))&amp;". ")&amp;IF(LEN(IF(LEN(INDEX('My equipment'!$Y$4:$Y$503,(_calc!$E$731-500)))=0,"",INDEX('My equipment'!$Y$4:$Y$503,(_calc!$E$731-500))))=0,"",IF(LEN(INDEX('My equipment'!$Y$4:$Y$503,(_calc!$E$731-500)))=0,"",INDEX('My equipment'!$Y$4:$Y$503,(_calc!$E$731-500)))))))</f>
        <v/>
      </c>
      <c r="G729" s="54">
        <f>IF(_calc!$E$731="","",IF(_calc!$E$731&lt;=500,"",IF(LEN(INDEX('My equipment'!$X$4:$X$503,(_calc!$E$731-500)))=0,"",INDEX('My equipment'!$X$4:$X$503,(_calc!$E$731-500)))))</f>
        <v/>
      </c>
      <c r="K729" s="54">
        <f>IF(_calc!$E$731="","",IF(_calc!$E$731&lt;=500,"",IF(LEN(INDEX('My equipment'!$T$4:$T$503,(_calc!$E$731-500)))=0,"",INDEX('My equipment'!$T$4:$T$503,(_calc!$E$731-500)))))</f>
        <v/>
      </c>
    </row>
    <row r="730">
      <c r="A730" s="54">
        <f>IF(_calc!$E$732="","",IF(_calc!$E$732&lt;=500,"Warranty – "&amp;IF(LEN(INDEX('Dealer pipeline'!$C$4:$C$503,_calc!$E$732))=0,"",INDEX('Dealer pipeline'!$C$4:$C$503,_calc!$E$732))&amp;" – "&amp;IF(LEN(INDEX('Dealer pipeline'!$D$4:$D$503,_calc!$E$732))=0,"",INDEX('Dealer pipeline'!$D$4:$D$503,_calc!$E$732))&amp;" – "&amp;IF(LEN(INDEX('Dealer pipeline'!$A$4:$A$503,_calc!$E$732))=0,"",INDEX('Dealer pipeline'!$A$4:$A$503,_calc!$E$732)),"Warranty – "&amp;IF(LEN(INDEX('My equipment'!$A$4:$A$503,(_calc!$E$732-500)))=0,"",INDEX('My equipment'!$A$4:$A$503,(_calc!$E$732-500)))&amp;" – "&amp;IF(LEN(INDEX('My equipment'!$D$4:$D$503,(_calc!$E$732-500)))=0,"",INDEX('My equipment'!$D$4:$D$503,(_calc!$E$732-500)))))</f>
        <v/>
      </c>
      <c r="B730" s="54">
        <f>IF(_calc!$E$732="","",IF(_calc!$E$732&lt;=500,IF(ISNUMBER(INDEX('Dealer pipeline'!$M$4:$M$503,_calc!$E$732)),TEXT(INDEX('Dealer pipeline'!$M$4:$M$503,_calc!$E$732),"yyyy-mm-dd"),""),IF(ISNUMBER(INDEX('My equipment'!$M$4:$M$503,(_calc!$E$732-500))),TEXT(INDEX('My equipment'!$M$4:$M$503,(_calc!$E$732-500)),"yyyy-mm-dd"),"")))</f>
        <v/>
      </c>
      <c r="C730" s="54">
        <f>IF(_calc!$E$732="","",IF(_calc!$E$732&lt;=500,"Warranty","Warranty"))</f>
        <v/>
      </c>
      <c r="D730" s="54">
        <f>IF(_calc!$E$732="","",IF(_calc!$E$732&lt;=500,IF(ISNUMBER(INDEX('Dealer pipeline'!$H$4:$H$503,_calc!$E$732)),TEXT(INDEX('Dealer pipeline'!$H$4:$H$503,_calc!$E$732),"yyyy-mm-dd"),""),IF(ISNUMBER(INDEX('My equipment'!$H$4:$H$503,(_calc!$E$732-500))),TEXT(INDEX('My equipment'!$H$4:$H$503,(_calc!$E$732-500)),"yyyy-mm-dd"),"")))</f>
        <v/>
      </c>
      <c r="F730" s="54">
        <f>IF(_calc!$E$732="","",IF(_calc!$E$732&lt;=500,TRIM(IF(LEN(IF(LEN(INDEX('Dealer pipeline'!$A$4:$A$503,_calc!$E$732))=0,"",INDEX('Dealer pipeline'!$A$4:$A$503,_calc!$E$732)))=0,"","Customer: "&amp;IF(LEN(INDEX('Dealer pipeline'!$A$4:$A$503,_calc!$E$732))=0,"",INDEX('Dealer pipeline'!$A$4:$A$503,_calc!$E$732))&amp;". ")&amp;IF(LEN(IF(LEN(INDEX('Dealer pipeline'!$B$4:$B$503,_calc!$E$732))=0,"",INDEX('Dealer pipeline'!$B$4:$B$503,_calc!$E$732)))=0,"","Contact: "&amp;IF(LEN(INDEX('Dealer pipeline'!$B$4:$B$503,_calc!$E$732))=0,"",INDEX('Dealer pipeline'!$B$4:$B$503,_calc!$E$732))&amp;". ")&amp;IF(LEN(IF(LEN(INDEX('Dealer pipeline'!$D$4:$D$503,_calc!$E$732))=0,"",INDEX('Dealer pipeline'!$D$4:$D$503,_calc!$E$732)))=0,"","Serial: "&amp;IF(LEN(INDEX('Dealer pipeline'!$D$4:$D$503,_calc!$E$732))=0,"",INDEX('Dealer pipeline'!$D$4:$D$503,_calc!$E$732))&amp;". ")&amp;IF(LEN(IF(ISNUMBER(INDEX('Dealer pipeline'!$J$4:$J$503,_calc!$E$732)),TEXT(INDEX('Dealer pipeline'!$J$4:$J$503,_calc!$E$732),"yyyy-mm-dd"),""))=0,"","Parts end: "&amp;IF(ISNUMBER(INDEX('Dealer pipeline'!$J$4:$J$503,_calc!$E$732)),TEXT(INDEX('Dealer pipeline'!$J$4:$J$503,_calc!$E$732),"yyyy-mm-dd"),"")&amp;". ")&amp;IF(LEN(IF(ISNUMBER(INDEX('Dealer pipeline'!$L$4:$L$503,_calc!$E$732)),TEXT(INDEX('Dealer pipeline'!$L$4:$L$503,_calc!$E$732),"yyyy-mm-dd"),""))=0,"","Labor end: "&amp;IF(ISNUMBER(INDEX('Dealer pipeline'!$L$4:$L$503,_calc!$E$732)),TEXT(INDEX('Dealer pipeline'!$L$4:$L$503,_calc!$E$732),"yyyy-mm-dd"),"")&amp;". ")&amp;IF(LEN(IF(LEN(INDEX('Dealer pipeline'!$Q$4:$Q$503,_calc!$E$732))=0,"",INDEX('Dealer pipeline'!$Q$4:$Q$503,_calc!$E$732)))=0,"","Status: "&amp;IF(LEN(INDEX('Dealer pipeline'!$Q$4:$Q$503,_calc!$E$732))=0,"",INDEX('Dealer pipeline'!$Q$4:$Q$503,_calc!$E$732))&amp;". ")&amp;IF(LEN(IF(LEN(INDEX('Dealer pipeline'!$P$4:$P$503,_calc!$E$732))=0,"",INDEX('Dealer pipeline'!$P$4:$P$503,_calc!$E$732)))=0,"","Last touch: "&amp;IF(LEN(INDEX('Dealer pipeline'!$P$4:$P$503,_calc!$E$732))=0,"",INDEX('Dealer pipeline'!$P$4:$P$503,_calc!$E$732))&amp;". ")&amp;IF(LEN(IF(LEN(INDEX('Dealer pipeline'!$R$4:$R$503,_calc!$E$732))=0,"",INDEX('Dealer pipeline'!$R$4:$R$503,_calc!$E$732)))=0,"","Owner: "&amp;IF(LEN(INDEX('Dealer pipeline'!$R$4:$R$503,_calc!$E$732))=0,"",INDEX('Dealer pipeline'!$R$4:$R$503,_calc!$E$732))&amp;". ")&amp;IF(LEN(IF(LEN(INDEX('Dealer pipeline'!$S$4:$S$503,_calc!$E$732))=0,"",INDEX('Dealer pipeline'!$S$4:$S$503,_calc!$E$732)))=0,"","Backup: "&amp;IF(LEN(INDEX('Dealer pipeline'!$S$4:$S$503,_calc!$E$732))=0,"",INDEX('Dealer pipeline'!$S$4:$S$503,_calc!$E$732))&amp;". ")&amp;IF(LEN(IF(LEN(INDEX('Dealer pipeline'!$T$4:$T$503,_calc!$E$732))=0,"",INDEX('Dealer pipeline'!$T$4:$T$503,_calc!$E$732)))=0,"",IF(LEN(INDEX('Dealer pipeline'!$T$4:$T$503,_calc!$E$732))=0,"",INDEX('Dealer pipeline'!$T$4:$T$503,_calc!$E$732)))),TRIM(IF(LEN(IF(LEN(INDEX('My equipment'!$C$4:$C$503,(_calc!$E$732-500)))=0,"",INDEX('My equipment'!$C$4:$C$503,(_calc!$E$732-500))))=0,"","Model: "&amp;IF(LEN(INDEX('My equipment'!$C$4:$C$503,(_calc!$E$732-500)))=0,"",INDEX('My equipment'!$C$4:$C$503,(_calc!$E$732-500)))&amp;". ")&amp;IF(LEN(IF(LEN(INDEX('My equipment'!$D$4:$D$503,(_calc!$E$732-500)))=0,"",INDEX('My equipment'!$D$4:$D$503,(_calc!$E$732-500))))=0,"","Serial: "&amp;IF(LEN(INDEX('My equipment'!$D$4:$D$503,(_calc!$E$732-500)))=0,"",INDEX('My equipment'!$D$4:$D$503,(_calc!$E$732-500)))&amp;". ")&amp;IF(LEN(IF(ISNUMBER(INDEX('My equipment'!$J$4:$J$503,(_calc!$E$732-500))),TEXT(INDEX('My equipment'!$J$4:$J$503,(_calc!$E$732-500)),"yyyy-mm-dd"),""))=0,"","Parts end: "&amp;IF(ISNUMBER(INDEX('My equipment'!$J$4:$J$503,(_calc!$E$732-500))),TEXT(INDEX('My equipment'!$J$4:$J$503,(_calc!$E$732-500)),"yyyy-mm-dd"),"")&amp;". ")&amp;IF(LEN(IF(ISNUMBER(INDEX('My equipment'!$L$4:$L$503,(_calc!$E$732-500))),TEXT(INDEX('My equipment'!$L$4:$L$503,(_calc!$E$732-500)),"yyyy-mm-dd"),""))=0,"","Labor end: "&amp;IF(ISNUMBER(INDEX('My equipment'!$L$4:$L$503,(_calc!$E$732-500))),TEXT(INDEX('My equipment'!$L$4:$L$503,(_calc!$E$732-500)),"yyyy-mm-dd"),"")&amp;". ")&amp;IF(LEN(IF(ISNUMBER(INDEX('My equipment'!$P$4:$P$503,(_calc!$E$732-500))),TEXT(INDEX('My equipment'!$P$4:$P$503,(_calc!$E$732-500)),"yyyy-mm-dd"),""))=0,"","Check by: "&amp;IF(ISNUMBER(INDEX('My equipment'!$P$4:$P$503,(_calc!$E$732-500))),TEXT(INDEX('My equipment'!$P$4:$P$503,(_calc!$E$732-500)),"yyyy-mm-dd"),"")&amp;". ")&amp;IF(LEN(IF(LEN(INDEX('My equipment'!$Q$4:$Q$503,(_calc!$E$732-500)))=0,"",INDEX('My equipment'!$Q$4:$Q$503,(_calc!$E$732-500))))=0,"","Claim status: "&amp;IF(LEN(INDEX('My equipment'!$Q$4:$Q$503,(_calc!$E$732-500)))=0,"",INDEX('My equipment'!$Q$4:$Q$503,(_calc!$E$732-500)))&amp;". ")&amp;IF(LEN(IF(LEN(INDEX('My equipment'!$R$4:$R$503,(_calc!$E$732-500)))=0,"",INDEX('My equipment'!$R$4:$R$503,(_calc!$E$732-500))))=0,"","Claims contact: "&amp;IF(LEN(INDEX('My equipment'!$R$4:$R$503,(_calc!$E$732-500)))=0,"",INDEX('My equipment'!$R$4:$R$503,(_calc!$E$732-500)))&amp;". ")&amp;IF(LEN(IF(LEN(INDEX('My equipment'!$S$4:$S$503,(_calc!$E$732-500)))=0,"",INDEX('My equipment'!$S$4:$S$503,(_calc!$E$732-500))))=0,"","Claims email: "&amp;IF(LEN(INDEX('My equipment'!$S$4:$S$503,(_calc!$E$732-500)))=0,"",INDEX('My equipment'!$S$4:$S$503,(_calc!$E$732-500)))&amp;". ")&amp;IF(LEN(IF(LEN(INDEX('My equipment'!$U$4:$U$503,(_calc!$E$732-500)))=0,"",INDEX('My equipment'!$U$4:$U$503,(_calc!$E$732-500))))=0,"","Registered: "&amp;IF(LEN(INDEX('My equipment'!$U$4:$U$503,(_calc!$E$732-500)))=0,"",INDEX('My equipment'!$U$4:$U$503,(_calc!$E$732-500)))&amp;". ")&amp;IF(LEN(IF(LEN(INDEX('My equipment'!$V$4:$V$503,(_calc!$E$732-500)))=0,"",INDEX('My equipment'!$V$4:$V$503,(_calc!$E$732-500))))=0,"","Proof on file: "&amp;IF(LEN(INDEX('My equipment'!$V$4:$V$503,(_calc!$E$732-500)))=0,"",INDEX('My equipment'!$V$4:$V$503,(_calc!$E$732-500)))&amp;". ")&amp;IF(LEN(IF(LEN(INDEX('My equipment'!$W$4:$W$503,(_calc!$E$732-500)))=0,"",INDEX('My equipment'!$W$4:$W$503,(_calc!$E$732-500))))=0,"","Claim ref: "&amp;IF(LEN(INDEX('My equipment'!$W$4:$W$503,(_calc!$E$732-500)))=0,"",INDEX('My equipment'!$W$4:$W$503,(_calc!$E$732-500)))&amp;". ")&amp;IF(LEN(IF(LEN(INDEX('My equipment'!$Y$4:$Y$503,(_calc!$E$732-500)))=0,"",INDEX('My equipment'!$Y$4:$Y$503,(_calc!$E$732-500))))=0,"",IF(LEN(INDEX('My equipment'!$Y$4:$Y$503,(_calc!$E$732-500)))=0,"",INDEX('My equipment'!$Y$4:$Y$503,(_calc!$E$732-500)))))))</f>
        <v/>
      </c>
      <c r="G730" s="54">
        <f>IF(_calc!$E$732="","",IF(_calc!$E$732&lt;=500,"",IF(LEN(INDEX('My equipment'!$X$4:$X$503,(_calc!$E$732-500)))=0,"",INDEX('My equipment'!$X$4:$X$503,(_calc!$E$732-500)))))</f>
        <v/>
      </c>
      <c r="K730" s="54">
        <f>IF(_calc!$E$732="","",IF(_calc!$E$732&lt;=500,"",IF(LEN(INDEX('My equipment'!$T$4:$T$503,(_calc!$E$732-500)))=0,"",INDEX('My equipment'!$T$4:$T$503,(_calc!$E$732-500)))))</f>
        <v/>
      </c>
    </row>
    <row r="731">
      <c r="A731" s="54">
        <f>IF(_calc!$E$733="","",IF(_calc!$E$733&lt;=500,"Warranty – "&amp;IF(LEN(INDEX('Dealer pipeline'!$C$4:$C$503,_calc!$E$733))=0,"",INDEX('Dealer pipeline'!$C$4:$C$503,_calc!$E$733))&amp;" – "&amp;IF(LEN(INDEX('Dealer pipeline'!$D$4:$D$503,_calc!$E$733))=0,"",INDEX('Dealer pipeline'!$D$4:$D$503,_calc!$E$733))&amp;" – "&amp;IF(LEN(INDEX('Dealer pipeline'!$A$4:$A$503,_calc!$E$733))=0,"",INDEX('Dealer pipeline'!$A$4:$A$503,_calc!$E$733)),"Warranty – "&amp;IF(LEN(INDEX('My equipment'!$A$4:$A$503,(_calc!$E$733-500)))=0,"",INDEX('My equipment'!$A$4:$A$503,(_calc!$E$733-500)))&amp;" – "&amp;IF(LEN(INDEX('My equipment'!$D$4:$D$503,(_calc!$E$733-500)))=0,"",INDEX('My equipment'!$D$4:$D$503,(_calc!$E$733-500)))))</f>
        <v/>
      </c>
      <c r="B731" s="54">
        <f>IF(_calc!$E$733="","",IF(_calc!$E$733&lt;=500,IF(ISNUMBER(INDEX('Dealer pipeline'!$M$4:$M$503,_calc!$E$733)),TEXT(INDEX('Dealer pipeline'!$M$4:$M$503,_calc!$E$733),"yyyy-mm-dd"),""),IF(ISNUMBER(INDEX('My equipment'!$M$4:$M$503,(_calc!$E$733-500))),TEXT(INDEX('My equipment'!$M$4:$M$503,(_calc!$E$733-500)),"yyyy-mm-dd"),"")))</f>
        <v/>
      </c>
      <c r="C731" s="54">
        <f>IF(_calc!$E$733="","",IF(_calc!$E$733&lt;=500,"Warranty","Warranty"))</f>
        <v/>
      </c>
      <c r="D731" s="54">
        <f>IF(_calc!$E$733="","",IF(_calc!$E$733&lt;=500,IF(ISNUMBER(INDEX('Dealer pipeline'!$H$4:$H$503,_calc!$E$733)),TEXT(INDEX('Dealer pipeline'!$H$4:$H$503,_calc!$E$733),"yyyy-mm-dd"),""),IF(ISNUMBER(INDEX('My equipment'!$H$4:$H$503,(_calc!$E$733-500))),TEXT(INDEX('My equipment'!$H$4:$H$503,(_calc!$E$733-500)),"yyyy-mm-dd"),"")))</f>
        <v/>
      </c>
      <c r="F731" s="54">
        <f>IF(_calc!$E$733="","",IF(_calc!$E$733&lt;=500,TRIM(IF(LEN(IF(LEN(INDEX('Dealer pipeline'!$A$4:$A$503,_calc!$E$733))=0,"",INDEX('Dealer pipeline'!$A$4:$A$503,_calc!$E$733)))=0,"","Customer: "&amp;IF(LEN(INDEX('Dealer pipeline'!$A$4:$A$503,_calc!$E$733))=0,"",INDEX('Dealer pipeline'!$A$4:$A$503,_calc!$E$733))&amp;". ")&amp;IF(LEN(IF(LEN(INDEX('Dealer pipeline'!$B$4:$B$503,_calc!$E$733))=0,"",INDEX('Dealer pipeline'!$B$4:$B$503,_calc!$E$733)))=0,"","Contact: "&amp;IF(LEN(INDEX('Dealer pipeline'!$B$4:$B$503,_calc!$E$733))=0,"",INDEX('Dealer pipeline'!$B$4:$B$503,_calc!$E$733))&amp;". ")&amp;IF(LEN(IF(LEN(INDEX('Dealer pipeline'!$D$4:$D$503,_calc!$E$733))=0,"",INDEX('Dealer pipeline'!$D$4:$D$503,_calc!$E$733)))=0,"","Serial: "&amp;IF(LEN(INDEX('Dealer pipeline'!$D$4:$D$503,_calc!$E$733))=0,"",INDEX('Dealer pipeline'!$D$4:$D$503,_calc!$E$733))&amp;". ")&amp;IF(LEN(IF(ISNUMBER(INDEX('Dealer pipeline'!$J$4:$J$503,_calc!$E$733)),TEXT(INDEX('Dealer pipeline'!$J$4:$J$503,_calc!$E$733),"yyyy-mm-dd"),""))=0,"","Parts end: "&amp;IF(ISNUMBER(INDEX('Dealer pipeline'!$J$4:$J$503,_calc!$E$733)),TEXT(INDEX('Dealer pipeline'!$J$4:$J$503,_calc!$E$733),"yyyy-mm-dd"),"")&amp;". ")&amp;IF(LEN(IF(ISNUMBER(INDEX('Dealer pipeline'!$L$4:$L$503,_calc!$E$733)),TEXT(INDEX('Dealer pipeline'!$L$4:$L$503,_calc!$E$733),"yyyy-mm-dd"),""))=0,"","Labor end: "&amp;IF(ISNUMBER(INDEX('Dealer pipeline'!$L$4:$L$503,_calc!$E$733)),TEXT(INDEX('Dealer pipeline'!$L$4:$L$503,_calc!$E$733),"yyyy-mm-dd"),"")&amp;". ")&amp;IF(LEN(IF(LEN(INDEX('Dealer pipeline'!$Q$4:$Q$503,_calc!$E$733))=0,"",INDEX('Dealer pipeline'!$Q$4:$Q$503,_calc!$E$733)))=0,"","Status: "&amp;IF(LEN(INDEX('Dealer pipeline'!$Q$4:$Q$503,_calc!$E$733))=0,"",INDEX('Dealer pipeline'!$Q$4:$Q$503,_calc!$E$733))&amp;". ")&amp;IF(LEN(IF(LEN(INDEX('Dealer pipeline'!$P$4:$P$503,_calc!$E$733))=0,"",INDEX('Dealer pipeline'!$P$4:$P$503,_calc!$E$733)))=0,"","Last touch: "&amp;IF(LEN(INDEX('Dealer pipeline'!$P$4:$P$503,_calc!$E$733))=0,"",INDEX('Dealer pipeline'!$P$4:$P$503,_calc!$E$733))&amp;". ")&amp;IF(LEN(IF(LEN(INDEX('Dealer pipeline'!$R$4:$R$503,_calc!$E$733))=0,"",INDEX('Dealer pipeline'!$R$4:$R$503,_calc!$E$733)))=0,"","Owner: "&amp;IF(LEN(INDEX('Dealer pipeline'!$R$4:$R$503,_calc!$E$733))=0,"",INDEX('Dealer pipeline'!$R$4:$R$503,_calc!$E$733))&amp;". ")&amp;IF(LEN(IF(LEN(INDEX('Dealer pipeline'!$S$4:$S$503,_calc!$E$733))=0,"",INDEX('Dealer pipeline'!$S$4:$S$503,_calc!$E$733)))=0,"","Backup: "&amp;IF(LEN(INDEX('Dealer pipeline'!$S$4:$S$503,_calc!$E$733))=0,"",INDEX('Dealer pipeline'!$S$4:$S$503,_calc!$E$733))&amp;". ")&amp;IF(LEN(IF(LEN(INDEX('Dealer pipeline'!$T$4:$T$503,_calc!$E$733))=0,"",INDEX('Dealer pipeline'!$T$4:$T$503,_calc!$E$733)))=0,"",IF(LEN(INDEX('Dealer pipeline'!$T$4:$T$503,_calc!$E$733))=0,"",INDEX('Dealer pipeline'!$T$4:$T$503,_calc!$E$733)))),TRIM(IF(LEN(IF(LEN(INDEX('My equipment'!$C$4:$C$503,(_calc!$E$733-500)))=0,"",INDEX('My equipment'!$C$4:$C$503,(_calc!$E$733-500))))=0,"","Model: "&amp;IF(LEN(INDEX('My equipment'!$C$4:$C$503,(_calc!$E$733-500)))=0,"",INDEX('My equipment'!$C$4:$C$503,(_calc!$E$733-500)))&amp;". ")&amp;IF(LEN(IF(LEN(INDEX('My equipment'!$D$4:$D$503,(_calc!$E$733-500)))=0,"",INDEX('My equipment'!$D$4:$D$503,(_calc!$E$733-500))))=0,"","Serial: "&amp;IF(LEN(INDEX('My equipment'!$D$4:$D$503,(_calc!$E$733-500)))=0,"",INDEX('My equipment'!$D$4:$D$503,(_calc!$E$733-500)))&amp;". ")&amp;IF(LEN(IF(ISNUMBER(INDEX('My equipment'!$J$4:$J$503,(_calc!$E$733-500))),TEXT(INDEX('My equipment'!$J$4:$J$503,(_calc!$E$733-500)),"yyyy-mm-dd"),""))=0,"","Parts end: "&amp;IF(ISNUMBER(INDEX('My equipment'!$J$4:$J$503,(_calc!$E$733-500))),TEXT(INDEX('My equipment'!$J$4:$J$503,(_calc!$E$733-500)),"yyyy-mm-dd"),"")&amp;". ")&amp;IF(LEN(IF(ISNUMBER(INDEX('My equipment'!$L$4:$L$503,(_calc!$E$733-500))),TEXT(INDEX('My equipment'!$L$4:$L$503,(_calc!$E$733-500)),"yyyy-mm-dd"),""))=0,"","Labor end: "&amp;IF(ISNUMBER(INDEX('My equipment'!$L$4:$L$503,(_calc!$E$733-500))),TEXT(INDEX('My equipment'!$L$4:$L$503,(_calc!$E$733-500)),"yyyy-mm-dd"),"")&amp;". ")&amp;IF(LEN(IF(ISNUMBER(INDEX('My equipment'!$P$4:$P$503,(_calc!$E$733-500))),TEXT(INDEX('My equipment'!$P$4:$P$503,(_calc!$E$733-500)),"yyyy-mm-dd"),""))=0,"","Check by: "&amp;IF(ISNUMBER(INDEX('My equipment'!$P$4:$P$503,(_calc!$E$733-500))),TEXT(INDEX('My equipment'!$P$4:$P$503,(_calc!$E$733-500)),"yyyy-mm-dd"),"")&amp;". ")&amp;IF(LEN(IF(LEN(INDEX('My equipment'!$Q$4:$Q$503,(_calc!$E$733-500)))=0,"",INDEX('My equipment'!$Q$4:$Q$503,(_calc!$E$733-500))))=0,"","Claim status: "&amp;IF(LEN(INDEX('My equipment'!$Q$4:$Q$503,(_calc!$E$733-500)))=0,"",INDEX('My equipment'!$Q$4:$Q$503,(_calc!$E$733-500)))&amp;". ")&amp;IF(LEN(IF(LEN(INDEX('My equipment'!$R$4:$R$503,(_calc!$E$733-500)))=0,"",INDEX('My equipment'!$R$4:$R$503,(_calc!$E$733-500))))=0,"","Claims contact: "&amp;IF(LEN(INDEX('My equipment'!$R$4:$R$503,(_calc!$E$733-500)))=0,"",INDEX('My equipment'!$R$4:$R$503,(_calc!$E$733-500)))&amp;". ")&amp;IF(LEN(IF(LEN(INDEX('My equipment'!$S$4:$S$503,(_calc!$E$733-500)))=0,"",INDEX('My equipment'!$S$4:$S$503,(_calc!$E$733-500))))=0,"","Claims email: "&amp;IF(LEN(INDEX('My equipment'!$S$4:$S$503,(_calc!$E$733-500)))=0,"",INDEX('My equipment'!$S$4:$S$503,(_calc!$E$733-500)))&amp;". ")&amp;IF(LEN(IF(LEN(INDEX('My equipment'!$U$4:$U$503,(_calc!$E$733-500)))=0,"",INDEX('My equipment'!$U$4:$U$503,(_calc!$E$733-500))))=0,"","Registered: "&amp;IF(LEN(INDEX('My equipment'!$U$4:$U$503,(_calc!$E$733-500)))=0,"",INDEX('My equipment'!$U$4:$U$503,(_calc!$E$733-500)))&amp;". ")&amp;IF(LEN(IF(LEN(INDEX('My equipment'!$V$4:$V$503,(_calc!$E$733-500)))=0,"",INDEX('My equipment'!$V$4:$V$503,(_calc!$E$733-500))))=0,"","Proof on file: "&amp;IF(LEN(INDEX('My equipment'!$V$4:$V$503,(_calc!$E$733-500)))=0,"",INDEX('My equipment'!$V$4:$V$503,(_calc!$E$733-500)))&amp;". ")&amp;IF(LEN(IF(LEN(INDEX('My equipment'!$W$4:$W$503,(_calc!$E$733-500)))=0,"",INDEX('My equipment'!$W$4:$W$503,(_calc!$E$733-500))))=0,"","Claim ref: "&amp;IF(LEN(INDEX('My equipment'!$W$4:$W$503,(_calc!$E$733-500)))=0,"",INDEX('My equipment'!$W$4:$W$503,(_calc!$E$733-500)))&amp;". ")&amp;IF(LEN(IF(LEN(INDEX('My equipment'!$Y$4:$Y$503,(_calc!$E$733-500)))=0,"",INDEX('My equipment'!$Y$4:$Y$503,(_calc!$E$733-500))))=0,"",IF(LEN(INDEX('My equipment'!$Y$4:$Y$503,(_calc!$E$733-500)))=0,"",INDEX('My equipment'!$Y$4:$Y$503,(_calc!$E$733-500)))))))</f>
        <v/>
      </c>
      <c r="G731" s="54">
        <f>IF(_calc!$E$733="","",IF(_calc!$E$733&lt;=500,"",IF(LEN(INDEX('My equipment'!$X$4:$X$503,(_calc!$E$733-500)))=0,"",INDEX('My equipment'!$X$4:$X$503,(_calc!$E$733-500)))))</f>
        <v/>
      </c>
      <c r="K731" s="54">
        <f>IF(_calc!$E$733="","",IF(_calc!$E$733&lt;=500,"",IF(LEN(INDEX('My equipment'!$T$4:$T$503,(_calc!$E$733-500)))=0,"",INDEX('My equipment'!$T$4:$T$503,(_calc!$E$733-500)))))</f>
        <v/>
      </c>
    </row>
    <row r="732">
      <c r="A732" s="54">
        <f>IF(_calc!$E$734="","",IF(_calc!$E$734&lt;=500,"Warranty – "&amp;IF(LEN(INDEX('Dealer pipeline'!$C$4:$C$503,_calc!$E$734))=0,"",INDEX('Dealer pipeline'!$C$4:$C$503,_calc!$E$734))&amp;" – "&amp;IF(LEN(INDEX('Dealer pipeline'!$D$4:$D$503,_calc!$E$734))=0,"",INDEX('Dealer pipeline'!$D$4:$D$503,_calc!$E$734))&amp;" – "&amp;IF(LEN(INDEX('Dealer pipeline'!$A$4:$A$503,_calc!$E$734))=0,"",INDEX('Dealer pipeline'!$A$4:$A$503,_calc!$E$734)),"Warranty – "&amp;IF(LEN(INDEX('My equipment'!$A$4:$A$503,(_calc!$E$734-500)))=0,"",INDEX('My equipment'!$A$4:$A$503,(_calc!$E$734-500)))&amp;" – "&amp;IF(LEN(INDEX('My equipment'!$D$4:$D$503,(_calc!$E$734-500)))=0,"",INDEX('My equipment'!$D$4:$D$503,(_calc!$E$734-500)))))</f>
        <v/>
      </c>
      <c r="B732" s="54">
        <f>IF(_calc!$E$734="","",IF(_calc!$E$734&lt;=500,IF(ISNUMBER(INDEX('Dealer pipeline'!$M$4:$M$503,_calc!$E$734)),TEXT(INDEX('Dealer pipeline'!$M$4:$M$503,_calc!$E$734),"yyyy-mm-dd"),""),IF(ISNUMBER(INDEX('My equipment'!$M$4:$M$503,(_calc!$E$734-500))),TEXT(INDEX('My equipment'!$M$4:$M$503,(_calc!$E$734-500)),"yyyy-mm-dd"),"")))</f>
        <v/>
      </c>
      <c r="C732" s="54">
        <f>IF(_calc!$E$734="","",IF(_calc!$E$734&lt;=500,"Warranty","Warranty"))</f>
        <v/>
      </c>
      <c r="D732" s="54">
        <f>IF(_calc!$E$734="","",IF(_calc!$E$734&lt;=500,IF(ISNUMBER(INDEX('Dealer pipeline'!$H$4:$H$503,_calc!$E$734)),TEXT(INDEX('Dealer pipeline'!$H$4:$H$503,_calc!$E$734),"yyyy-mm-dd"),""),IF(ISNUMBER(INDEX('My equipment'!$H$4:$H$503,(_calc!$E$734-500))),TEXT(INDEX('My equipment'!$H$4:$H$503,(_calc!$E$734-500)),"yyyy-mm-dd"),"")))</f>
        <v/>
      </c>
      <c r="F732" s="54">
        <f>IF(_calc!$E$734="","",IF(_calc!$E$734&lt;=500,TRIM(IF(LEN(IF(LEN(INDEX('Dealer pipeline'!$A$4:$A$503,_calc!$E$734))=0,"",INDEX('Dealer pipeline'!$A$4:$A$503,_calc!$E$734)))=0,"","Customer: "&amp;IF(LEN(INDEX('Dealer pipeline'!$A$4:$A$503,_calc!$E$734))=0,"",INDEX('Dealer pipeline'!$A$4:$A$503,_calc!$E$734))&amp;". ")&amp;IF(LEN(IF(LEN(INDEX('Dealer pipeline'!$B$4:$B$503,_calc!$E$734))=0,"",INDEX('Dealer pipeline'!$B$4:$B$503,_calc!$E$734)))=0,"","Contact: "&amp;IF(LEN(INDEX('Dealer pipeline'!$B$4:$B$503,_calc!$E$734))=0,"",INDEX('Dealer pipeline'!$B$4:$B$503,_calc!$E$734))&amp;". ")&amp;IF(LEN(IF(LEN(INDEX('Dealer pipeline'!$D$4:$D$503,_calc!$E$734))=0,"",INDEX('Dealer pipeline'!$D$4:$D$503,_calc!$E$734)))=0,"","Serial: "&amp;IF(LEN(INDEX('Dealer pipeline'!$D$4:$D$503,_calc!$E$734))=0,"",INDEX('Dealer pipeline'!$D$4:$D$503,_calc!$E$734))&amp;". ")&amp;IF(LEN(IF(ISNUMBER(INDEX('Dealer pipeline'!$J$4:$J$503,_calc!$E$734)),TEXT(INDEX('Dealer pipeline'!$J$4:$J$503,_calc!$E$734),"yyyy-mm-dd"),""))=0,"","Parts end: "&amp;IF(ISNUMBER(INDEX('Dealer pipeline'!$J$4:$J$503,_calc!$E$734)),TEXT(INDEX('Dealer pipeline'!$J$4:$J$503,_calc!$E$734),"yyyy-mm-dd"),"")&amp;". ")&amp;IF(LEN(IF(ISNUMBER(INDEX('Dealer pipeline'!$L$4:$L$503,_calc!$E$734)),TEXT(INDEX('Dealer pipeline'!$L$4:$L$503,_calc!$E$734),"yyyy-mm-dd"),""))=0,"","Labor end: "&amp;IF(ISNUMBER(INDEX('Dealer pipeline'!$L$4:$L$503,_calc!$E$734)),TEXT(INDEX('Dealer pipeline'!$L$4:$L$503,_calc!$E$734),"yyyy-mm-dd"),"")&amp;". ")&amp;IF(LEN(IF(LEN(INDEX('Dealer pipeline'!$Q$4:$Q$503,_calc!$E$734))=0,"",INDEX('Dealer pipeline'!$Q$4:$Q$503,_calc!$E$734)))=0,"","Status: "&amp;IF(LEN(INDEX('Dealer pipeline'!$Q$4:$Q$503,_calc!$E$734))=0,"",INDEX('Dealer pipeline'!$Q$4:$Q$503,_calc!$E$734))&amp;". ")&amp;IF(LEN(IF(LEN(INDEX('Dealer pipeline'!$P$4:$P$503,_calc!$E$734))=0,"",INDEX('Dealer pipeline'!$P$4:$P$503,_calc!$E$734)))=0,"","Last touch: "&amp;IF(LEN(INDEX('Dealer pipeline'!$P$4:$P$503,_calc!$E$734))=0,"",INDEX('Dealer pipeline'!$P$4:$P$503,_calc!$E$734))&amp;". ")&amp;IF(LEN(IF(LEN(INDEX('Dealer pipeline'!$R$4:$R$503,_calc!$E$734))=0,"",INDEX('Dealer pipeline'!$R$4:$R$503,_calc!$E$734)))=0,"","Owner: "&amp;IF(LEN(INDEX('Dealer pipeline'!$R$4:$R$503,_calc!$E$734))=0,"",INDEX('Dealer pipeline'!$R$4:$R$503,_calc!$E$734))&amp;". ")&amp;IF(LEN(IF(LEN(INDEX('Dealer pipeline'!$S$4:$S$503,_calc!$E$734))=0,"",INDEX('Dealer pipeline'!$S$4:$S$503,_calc!$E$734)))=0,"","Backup: "&amp;IF(LEN(INDEX('Dealer pipeline'!$S$4:$S$503,_calc!$E$734))=0,"",INDEX('Dealer pipeline'!$S$4:$S$503,_calc!$E$734))&amp;". ")&amp;IF(LEN(IF(LEN(INDEX('Dealer pipeline'!$T$4:$T$503,_calc!$E$734))=0,"",INDEX('Dealer pipeline'!$T$4:$T$503,_calc!$E$734)))=0,"",IF(LEN(INDEX('Dealer pipeline'!$T$4:$T$503,_calc!$E$734))=0,"",INDEX('Dealer pipeline'!$T$4:$T$503,_calc!$E$734)))),TRIM(IF(LEN(IF(LEN(INDEX('My equipment'!$C$4:$C$503,(_calc!$E$734-500)))=0,"",INDEX('My equipment'!$C$4:$C$503,(_calc!$E$734-500))))=0,"","Model: "&amp;IF(LEN(INDEX('My equipment'!$C$4:$C$503,(_calc!$E$734-500)))=0,"",INDEX('My equipment'!$C$4:$C$503,(_calc!$E$734-500)))&amp;". ")&amp;IF(LEN(IF(LEN(INDEX('My equipment'!$D$4:$D$503,(_calc!$E$734-500)))=0,"",INDEX('My equipment'!$D$4:$D$503,(_calc!$E$734-500))))=0,"","Serial: "&amp;IF(LEN(INDEX('My equipment'!$D$4:$D$503,(_calc!$E$734-500)))=0,"",INDEX('My equipment'!$D$4:$D$503,(_calc!$E$734-500)))&amp;". ")&amp;IF(LEN(IF(ISNUMBER(INDEX('My equipment'!$J$4:$J$503,(_calc!$E$734-500))),TEXT(INDEX('My equipment'!$J$4:$J$503,(_calc!$E$734-500)),"yyyy-mm-dd"),""))=0,"","Parts end: "&amp;IF(ISNUMBER(INDEX('My equipment'!$J$4:$J$503,(_calc!$E$734-500))),TEXT(INDEX('My equipment'!$J$4:$J$503,(_calc!$E$734-500)),"yyyy-mm-dd"),"")&amp;". ")&amp;IF(LEN(IF(ISNUMBER(INDEX('My equipment'!$L$4:$L$503,(_calc!$E$734-500))),TEXT(INDEX('My equipment'!$L$4:$L$503,(_calc!$E$734-500)),"yyyy-mm-dd"),""))=0,"","Labor end: "&amp;IF(ISNUMBER(INDEX('My equipment'!$L$4:$L$503,(_calc!$E$734-500))),TEXT(INDEX('My equipment'!$L$4:$L$503,(_calc!$E$734-500)),"yyyy-mm-dd"),"")&amp;". ")&amp;IF(LEN(IF(ISNUMBER(INDEX('My equipment'!$P$4:$P$503,(_calc!$E$734-500))),TEXT(INDEX('My equipment'!$P$4:$P$503,(_calc!$E$734-500)),"yyyy-mm-dd"),""))=0,"","Check by: "&amp;IF(ISNUMBER(INDEX('My equipment'!$P$4:$P$503,(_calc!$E$734-500))),TEXT(INDEX('My equipment'!$P$4:$P$503,(_calc!$E$734-500)),"yyyy-mm-dd"),"")&amp;". ")&amp;IF(LEN(IF(LEN(INDEX('My equipment'!$Q$4:$Q$503,(_calc!$E$734-500)))=0,"",INDEX('My equipment'!$Q$4:$Q$503,(_calc!$E$734-500))))=0,"","Claim status: "&amp;IF(LEN(INDEX('My equipment'!$Q$4:$Q$503,(_calc!$E$734-500)))=0,"",INDEX('My equipment'!$Q$4:$Q$503,(_calc!$E$734-500)))&amp;". ")&amp;IF(LEN(IF(LEN(INDEX('My equipment'!$R$4:$R$503,(_calc!$E$734-500)))=0,"",INDEX('My equipment'!$R$4:$R$503,(_calc!$E$734-500))))=0,"","Claims contact: "&amp;IF(LEN(INDEX('My equipment'!$R$4:$R$503,(_calc!$E$734-500)))=0,"",INDEX('My equipment'!$R$4:$R$503,(_calc!$E$734-500)))&amp;". ")&amp;IF(LEN(IF(LEN(INDEX('My equipment'!$S$4:$S$503,(_calc!$E$734-500)))=0,"",INDEX('My equipment'!$S$4:$S$503,(_calc!$E$734-500))))=0,"","Claims email: "&amp;IF(LEN(INDEX('My equipment'!$S$4:$S$503,(_calc!$E$734-500)))=0,"",INDEX('My equipment'!$S$4:$S$503,(_calc!$E$734-500)))&amp;". ")&amp;IF(LEN(IF(LEN(INDEX('My equipment'!$U$4:$U$503,(_calc!$E$734-500)))=0,"",INDEX('My equipment'!$U$4:$U$503,(_calc!$E$734-500))))=0,"","Registered: "&amp;IF(LEN(INDEX('My equipment'!$U$4:$U$503,(_calc!$E$734-500)))=0,"",INDEX('My equipment'!$U$4:$U$503,(_calc!$E$734-500)))&amp;". ")&amp;IF(LEN(IF(LEN(INDEX('My equipment'!$V$4:$V$503,(_calc!$E$734-500)))=0,"",INDEX('My equipment'!$V$4:$V$503,(_calc!$E$734-500))))=0,"","Proof on file: "&amp;IF(LEN(INDEX('My equipment'!$V$4:$V$503,(_calc!$E$734-500)))=0,"",INDEX('My equipment'!$V$4:$V$503,(_calc!$E$734-500)))&amp;". ")&amp;IF(LEN(IF(LEN(INDEX('My equipment'!$W$4:$W$503,(_calc!$E$734-500)))=0,"",INDEX('My equipment'!$W$4:$W$503,(_calc!$E$734-500))))=0,"","Claim ref: "&amp;IF(LEN(INDEX('My equipment'!$W$4:$W$503,(_calc!$E$734-500)))=0,"",INDEX('My equipment'!$W$4:$W$503,(_calc!$E$734-500)))&amp;". ")&amp;IF(LEN(IF(LEN(INDEX('My equipment'!$Y$4:$Y$503,(_calc!$E$734-500)))=0,"",INDEX('My equipment'!$Y$4:$Y$503,(_calc!$E$734-500))))=0,"",IF(LEN(INDEX('My equipment'!$Y$4:$Y$503,(_calc!$E$734-500)))=0,"",INDEX('My equipment'!$Y$4:$Y$503,(_calc!$E$734-500)))))))</f>
        <v/>
      </c>
      <c r="G732" s="54">
        <f>IF(_calc!$E$734="","",IF(_calc!$E$734&lt;=500,"",IF(LEN(INDEX('My equipment'!$X$4:$X$503,(_calc!$E$734-500)))=0,"",INDEX('My equipment'!$X$4:$X$503,(_calc!$E$734-500)))))</f>
        <v/>
      </c>
      <c r="K732" s="54">
        <f>IF(_calc!$E$734="","",IF(_calc!$E$734&lt;=500,"",IF(LEN(INDEX('My equipment'!$T$4:$T$503,(_calc!$E$734-500)))=0,"",INDEX('My equipment'!$T$4:$T$503,(_calc!$E$734-500)))))</f>
        <v/>
      </c>
    </row>
    <row r="733">
      <c r="A733" s="54">
        <f>IF(_calc!$E$735="","",IF(_calc!$E$735&lt;=500,"Warranty – "&amp;IF(LEN(INDEX('Dealer pipeline'!$C$4:$C$503,_calc!$E$735))=0,"",INDEX('Dealer pipeline'!$C$4:$C$503,_calc!$E$735))&amp;" – "&amp;IF(LEN(INDEX('Dealer pipeline'!$D$4:$D$503,_calc!$E$735))=0,"",INDEX('Dealer pipeline'!$D$4:$D$503,_calc!$E$735))&amp;" – "&amp;IF(LEN(INDEX('Dealer pipeline'!$A$4:$A$503,_calc!$E$735))=0,"",INDEX('Dealer pipeline'!$A$4:$A$503,_calc!$E$735)),"Warranty – "&amp;IF(LEN(INDEX('My equipment'!$A$4:$A$503,(_calc!$E$735-500)))=0,"",INDEX('My equipment'!$A$4:$A$503,(_calc!$E$735-500)))&amp;" – "&amp;IF(LEN(INDEX('My equipment'!$D$4:$D$503,(_calc!$E$735-500)))=0,"",INDEX('My equipment'!$D$4:$D$503,(_calc!$E$735-500)))))</f>
        <v/>
      </c>
      <c r="B733" s="54">
        <f>IF(_calc!$E$735="","",IF(_calc!$E$735&lt;=500,IF(ISNUMBER(INDEX('Dealer pipeline'!$M$4:$M$503,_calc!$E$735)),TEXT(INDEX('Dealer pipeline'!$M$4:$M$503,_calc!$E$735),"yyyy-mm-dd"),""),IF(ISNUMBER(INDEX('My equipment'!$M$4:$M$503,(_calc!$E$735-500))),TEXT(INDEX('My equipment'!$M$4:$M$503,(_calc!$E$735-500)),"yyyy-mm-dd"),"")))</f>
        <v/>
      </c>
      <c r="C733" s="54">
        <f>IF(_calc!$E$735="","",IF(_calc!$E$735&lt;=500,"Warranty","Warranty"))</f>
        <v/>
      </c>
      <c r="D733" s="54">
        <f>IF(_calc!$E$735="","",IF(_calc!$E$735&lt;=500,IF(ISNUMBER(INDEX('Dealer pipeline'!$H$4:$H$503,_calc!$E$735)),TEXT(INDEX('Dealer pipeline'!$H$4:$H$503,_calc!$E$735),"yyyy-mm-dd"),""),IF(ISNUMBER(INDEX('My equipment'!$H$4:$H$503,(_calc!$E$735-500))),TEXT(INDEX('My equipment'!$H$4:$H$503,(_calc!$E$735-500)),"yyyy-mm-dd"),"")))</f>
        <v/>
      </c>
      <c r="F733" s="54">
        <f>IF(_calc!$E$735="","",IF(_calc!$E$735&lt;=500,TRIM(IF(LEN(IF(LEN(INDEX('Dealer pipeline'!$A$4:$A$503,_calc!$E$735))=0,"",INDEX('Dealer pipeline'!$A$4:$A$503,_calc!$E$735)))=0,"","Customer: "&amp;IF(LEN(INDEX('Dealer pipeline'!$A$4:$A$503,_calc!$E$735))=0,"",INDEX('Dealer pipeline'!$A$4:$A$503,_calc!$E$735))&amp;". ")&amp;IF(LEN(IF(LEN(INDEX('Dealer pipeline'!$B$4:$B$503,_calc!$E$735))=0,"",INDEX('Dealer pipeline'!$B$4:$B$503,_calc!$E$735)))=0,"","Contact: "&amp;IF(LEN(INDEX('Dealer pipeline'!$B$4:$B$503,_calc!$E$735))=0,"",INDEX('Dealer pipeline'!$B$4:$B$503,_calc!$E$735))&amp;". ")&amp;IF(LEN(IF(LEN(INDEX('Dealer pipeline'!$D$4:$D$503,_calc!$E$735))=0,"",INDEX('Dealer pipeline'!$D$4:$D$503,_calc!$E$735)))=0,"","Serial: "&amp;IF(LEN(INDEX('Dealer pipeline'!$D$4:$D$503,_calc!$E$735))=0,"",INDEX('Dealer pipeline'!$D$4:$D$503,_calc!$E$735))&amp;". ")&amp;IF(LEN(IF(ISNUMBER(INDEX('Dealer pipeline'!$J$4:$J$503,_calc!$E$735)),TEXT(INDEX('Dealer pipeline'!$J$4:$J$503,_calc!$E$735),"yyyy-mm-dd"),""))=0,"","Parts end: "&amp;IF(ISNUMBER(INDEX('Dealer pipeline'!$J$4:$J$503,_calc!$E$735)),TEXT(INDEX('Dealer pipeline'!$J$4:$J$503,_calc!$E$735),"yyyy-mm-dd"),"")&amp;". ")&amp;IF(LEN(IF(ISNUMBER(INDEX('Dealer pipeline'!$L$4:$L$503,_calc!$E$735)),TEXT(INDEX('Dealer pipeline'!$L$4:$L$503,_calc!$E$735),"yyyy-mm-dd"),""))=0,"","Labor end: "&amp;IF(ISNUMBER(INDEX('Dealer pipeline'!$L$4:$L$503,_calc!$E$735)),TEXT(INDEX('Dealer pipeline'!$L$4:$L$503,_calc!$E$735),"yyyy-mm-dd"),"")&amp;". ")&amp;IF(LEN(IF(LEN(INDEX('Dealer pipeline'!$Q$4:$Q$503,_calc!$E$735))=0,"",INDEX('Dealer pipeline'!$Q$4:$Q$503,_calc!$E$735)))=0,"","Status: "&amp;IF(LEN(INDEX('Dealer pipeline'!$Q$4:$Q$503,_calc!$E$735))=0,"",INDEX('Dealer pipeline'!$Q$4:$Q$503,_calc!$E$735))&amp;". ")&amp;IF(LEN(IF(LEN(INDEX('Dealer pipeline'!$P$4:$P$503,_calc!$E$735))=0,"",INDEX('Dealer pipeline'!$P$4:$P$503,_calc!$E$735)))=0,"","Last touch: "&amp;IF(LEN(INDEX('Dealer pipeline'!$P$4:$P$503,_calc!$E$735))=0,"",INDEX('Dealer pipeline'!$P$4:$P$503,_calc!$E$735))&amp;". ")&amp;IF(LEN(IF(LEN(INDEX('Dealer pipeline'!$R$4:$R$503,_calc!$E$735))=0,"",INDEX('Dealer pipeline'!$R$4:$R$503,_calc!$E$735)))=0,"","Owner: "&amp;IF(LEN(INDEX('Dealer pipeline'!$R$4:$R$503,_calc!$E$735))=0,"",INDEX('Dealer pipeline'!$R$4:$R$503,_calc!$E$735))&amp;". ")&amp;IF(LEN(IF(LEN(INDEX('Dealer pipeline'!$S$4:$S$503,_calc!$E$735))=0,"",INDEX('Dealer pipeline'!$S$4:$S$503,_calc!$E$735)))=0,"","Backup: "&amp;IF(LEN(INDEX('Dealer pipeline'!$S$4:$S$503,_calc!$E$735))=0,"",INDEX('Dealer pipeline'!$S$4:$S$503,_calc!$E$735))&amp;". ")&amp;IF(LEN(IF(LEN(INDEX('Dealer pipeline'!$T$4:$T$503,_calc!$E$735))=0,"",INDEX('Dealer pipeline'!$T$4:$T$503,_calc!$E$735)))=0,"",IF(LEN(INDEX('Dealer pipeline'!$T$4:$T$503,_calc!$E$735))=0,"",INDEX('Dealer pipeline'!$T$4:$T$503,_calc!$E$735)))),TRIM(IF(LEN(IF(LEN(INDEX('My equipment'!$C$4:$C$503,(_calc!$E$735-500)))=0,"",INDEX('My equipment'!$C$4:$C$503,(_calc!$E$735-500))))=0,"","Model: "&amp;IF(LEN(INDEX('My equipment'!$C$4:$C$503,(_calc!$E$735-500)))=0,"",INDEX('My equipment'!$C$4:$C$503,(_calc!$E$735-500)))&amp;". ")&amp;IF(LEN(IF(LEN(INDEX('My equipment'!$D$4:$D$503,(_calc!$E$735-500)))=0,"",INDEX('My equipment'!$D$4:$D$503,(_calc!$E$735-500))))=0,"","Serial: "&amp;IF(LEN(INDEX('My equipment'!$D$4:$D$503,(_calc!$E$735-500)))=0,"",INDEX('My equipment'!$D$4:$D$503,(_calc!$E$735-500)))&amp;". ")&amp;IF(LEN(IF(ISNUMBER(INDEX('My equipment'!$J$4:$J$503,(_calc!$E$735-500))),TEXT(INDEX('My equipment'!$J$4:$J$503,(_calc!$E$735-500)),"yyyy-mm-dd"),""))=0,"","Parts end: "&amp;IF(ISNUMBER(INDEX('My equipment'!$J$4:$J$503,(_calc!$E$735-500))),TEXT(INDEX('My equipment'!$J$4:$J$503,(_calc!$E$735-500)),"yyyy-mm-dd"),"")&amp;". ")&amp;IF(LEN(IF(ISNUMBER(INDEX('My equipment'!$L$4:$L$503,(_calc!$E$735-500))),TEXT(INDEX('My equipment'!$L$4:$L$503,(_calc!$E$735-500)),"yyyy-mm-dd"),""))=0,"","Labor end: "&amp;IF(ISNUMBER(INDEX('My equipment'!$L$4:$L$503,(_calc!$E$735-500))),TEXT(INDEX('My equipment'!$L$4:$L$503,(_calc!$E$735-500)),"yyyy-mm-dd"),"")&amp;". ")&amp;IF(LEN(IF(ISNUMBER(INDEX('My equipment'!$P$4:$P$503,(_calc!$E$735-500))),TEXT(INDEX('My equipment'!$P$4:$P$503,(_calc!$E$735-500)),"yyyy-mm-dd"),""))=0,"","Check by: "&amp;IF(ISNUMBER(INDEX('My equipment'!$P$4:$P$503,(_calc!$E$735-500))),TEXT(INDEX('My equipment'!$P$4:$P$503,(_calc!$E$735-500)),"yyyy-mm-dd"),"")&amp;". ")&amp;IF(LEN(IF(LEN(INDEX('My equipment'!$Q$4:$Q$503,(_calc!$E$735-500)))=0,"",INDEX('My equipment'!$Q$4:$Q$503,(_calc!$E$735-500))))=0,"","Claim status: "&amp;IF(LEN(INDEX('My equipment'!$Q$4:$Q$503,(_calc!$E$735-500)))=0,"",INDEX('My equipment'!$Q$4:$Q$503,(_calc!$E$735-500)))&amp;". ")&amp;IF(LEN(IF(LEN(INDEX('My equipment'!$R$4:$R$503,(_calc!$E$735-500)))=0,"",INDEX('My equipment'!$R$4:$R$503,(_calc!$E$735-500))))=0,"","Claims contact: "&amp;IF(LEN(INDEX('My equipment'!$R$4:$R$503,(_calc!$E$735-500)))=0,"",INDEX('My equipment'!$R$4:$R$503,(_calc!$E$735-500)))&amp;". ")&amp;IF(LEN(IF(LEN(INDEX('My equipment'!$S$4:$S$503,(_calc!$E$735-500)))=0,"",INDEX('My equipment'!$S$4:$S$503,(_calc!$E$735-500))))=0,"","Claims email: "&amp;IF(LEN(INDEX('My equipment'!$S$4:$S$503,(_calc!$E$735-500)))=0,"",INDEX('My equipment'!$S$4:$S$503,(_calc!$E$735-500)))&amp;". ")&amp;IF(LEN(IF(LEN(INDEX('My equipment'!$U$4:$U$503,(_calc!$E$735-500)))=0,"",INDEX('My equipment'!$U$4:$U$503,(_calc!$E$735-500))))=0,"","Registered: "&amp;IF(LEN(INDEX('My equipment'!$U$4:$U$503,(_calc!$E$735-500)))=0,"",INDEX('My equipment'!$U$4:$U$503,(_calc!$E$735-500)))&amp;". ")&amp;IF(LEN(IF(LEN(INDEX('My equipment'!$V$4:$V$503,(_calc!$E$735-500)))=0,"",INDEX('My equipment'!$V$4:$V$503,(_calc!$E$735-500))))=0,"","Proof on file: "&amp;IF(LEN(INDEX('My equipment'!$V$4:$V$503,(_calc!$E$735-500)))=0,"",INDEX('My equipment'!$V$4:$V$503,(_calc!$E$735-500)))&amp;". ")&amp;IF(LEN(IF(LEN(INDEX('My equipment'!$W$4:$W$503,(_calc!$E$735-500)))=0,"",INDEX('My equipment'!$W$4:$W$503,(_calc!$E$735-500))))=0,"","Claim ref: "&amp;IF(LEN(INDEX('My equipment'!$W$4:$W$503,(_calc!$E$735-500)))=0,"",INDEX('My equipment'!$W$4:$W$503,(_calc!$E$735-500)))&amp;". ")&amp;IF(LEN(IF(LEN(INDEX('My equipment'!$Y$4:$Y$503,(_calc!$E$735-500)))=0,"",INDEX('My equipment'!$Y$4:$Y$503,(_calc!$E$735-500))))=0,"",IF(LEN(INDEX('My equipment'!$Y$4:$Y$503,(_calc!$E$735-500)))=0,"",INDEX('My equipment'!$Y$4:$Y$503,(_calc!$E$735-500)))))))</f>
        <v/>
      </c>
      <c r="G733" s="54">
        <f>IF(_calc!$E$735="","",IF(_calc!$E$735&lt;=500,"",IF(LEN(INDEX('My equipment'!$X$4:$X$503,(_calc!$E$735-500)))=0,"",INDEX('My equipment'!$X$4:$X$503,(_calc!$E$735-500)))))</f>
        <v/>
      </c>
      <c r="K733" s="54">
        <f>IF(_calc!$E$735="","",IF(_calc!$E$735&lt;=500,"",IF(LEN(INDEX('My equipment'!$T$4:$T$503,(_calc!$E$735-500)))=0,"",INDEX('My equipment'!$T$4:$T$503,(_calc!$E$735-500)))))</f>
        <v/>
      </c>
    </row>
    <row r="734">
      <c r="A734" s="54">
        <f>IF(_calc!$E$736="","",IF(_calc!$E$736&lt;=500,"Warranty – "&amp;IF(LEN(INDEX('Dealer pipeline'!$C$4:$C$503,_calc!$E$736))=0,"",INDEX('Dealer pipeline'!$C$4:$C$503,_calc!$E$736))&amp;" – "&amp;IF(LEN(INDEX('Dealer pipeline'!$D$4:$D$503,_calc!$E$736))=0,"",INDEX('Dealer pipeline'!$D$4:$D$503,_calc!$E$736))&amp;" – "&amp;IF(LEN(INDEX('Dealer pipeline'!$A$4:$A$503,_calc!$E$736))=0,"",INDEX('Dealer pipeline'!$A$4:$A$503,_calc!$E$736)),"Warranty – "&amp;IF(LEN(INDEX('My equipment'!$A$4:$A$503,(_calc!$E$736-500)))=0,"",INDEX('My equipment'!$A$4:$A$503,(_calc!$E$736-500)))&amp;" – "&amp;IF(LEN(INDEX('My equipment'!$D$4:$D$503,(_calc!$E$736-500)))=0,"",INDEX('My equipment'!$D$4:$D$503,(_calc!$E$736-500)))))</f>
        <v/>
      </c>
      <c r="B734" s="54">
        <f>IF(_calc!$E$736="","",IF(_calc!$E$736&lt;=500,IF(ISNUMBER(INDEX('Dealer pipeline'!$M$4:$M$503,_calc!$E$736)),TEXT(INDEX('Dealer pipeline'!$M$4:$M$503,_calc!$E$736),"yyyy-mm-dd"),""),IF(ISNUMBER(INDEX('My equipment'!$M$4:$M$503,(_calc!$E$736-500))),TEXT(INDEX('My equipment'!$M$4:$M$503,(_calc!$E$736-500)),"yyyy-mm-dd"),"")))</f>
        <v/>
      </c>
      <c r="C734" s="54">
        <f>IF(_calc!$E$736="","",IF(_calc!$E$736&lt;=500,"Warranty","Warranty"))</f>
        <v/>
      </c>
      <c r="D734" s="54">
        <f>IF(_calc!$E$736="","",IF(_calc!$E$736&lt;=500,IF(ISNUMBER(INDEX('Dealer pipeline'!$H$4:$H$503,_calc!$E$736)),TEXT(INDEX('Dealer pipeline'!$H$4:$H$503,_calc!$E$736),"yyyy-mm-dd"),""),IF(ISNUMBER(INDEX('My equipment'!$H$4:$H$503,(_calc!$E$736-500))),TEXT(INDEX('My equipment'!$H$4:$H$503,(_calc!$E$736-500)),"yyyy-mm-dd"),"")))</f>
        <v/>
      </c>
      <c r="F734" s="54">
        <f>IF(_calc!$E$736="","",IF(_calc!$E$736&lt;=500,TRIM(IF(LEN(IF(LEN(INDEX('Dealer pipeline'!$A$4:$A$503,_calc!$E$736))=0,"",INDEX('Dealer pipeline'!$A$4:$A$503,_calc!$E$736)))=0,"","Customer: "&amp;IF(LEN(INDEX('Dealer pipeline'!$A$4:$A$503,_calc!$E$736))=0,"",INDEX('Dealer pipeline'!$A$4:$A$503,_calc!$E$736))&amp;". ")&amp;IF(LEN(IF(LEN(INDEX('Dealer pipeline'!$B$4:$B$503,_calc!$E$736))=0,"",INDEX('Dealer pipeline'!$B$4:$B$503,_calc!$E$736)))=0,"","Contact: "&amp;IF(LEN(INDEX('Dealer pipeline'!$B$4:$B$503,_calc!$E$736))=0,"",INDEX('Dealer pipeline'!$B$4:$B$503,_calc!$E$736))&amp;". ")&amp;IF(LEN(IF(LEN(INDEX('Dealer pipeline'!$D$4:$D$503,_calc!$E$736))=0,"",INDEX('Dealer pipeline'!$D$4:$D$503,_calc!$E$736)))=0,"","Serial: "&amp;IF(LEN(INDEX('Dealer pipeline'!$D$4:$D$503,_calc!$E$736))=0,"",INDEX('Dealer pipeline'!$D$4:$D$503,_calc!$E$736))&amp;". ")&amp;IF(LEN(IF(ISNUMBER(INDEX('Dealer pipeline'!$J$4:$J$503,_calc!$E$736)),TEXT(INDEX('Dealer pipeline'!$J$4:$J$503,_calc!$E$736),"yyyy-mm-dd"),""))=0,"","Parts end: "&amp;IF(ISNUMBER(INDEX('Dealer pipeline'!$J$4:$J$503,_calc!$E$736)),TEXT(INDEX('Dealer pipeline'!$J$4:$J$503,_calc!$E$736),"yyyy-mm-dd"),"")&amp;". ")&amp;IF(LEN(IF(ISNUMBER(INDEX('Dealer pipeline'!$L$4:$L$503,_calc!$E$736)),TEXT(INDEX('Dealer pipeline'!$L$4:$L$503,_calc!$E$736),"yyyy-mm-dd"),""))=0,"","Labor end: "&amp;IF(ISNUMBER(INDEX('Dealer pipeline'!$L$4:$L$503,_calc!$E$736)),TEXT(INDEX('Dealer pipeline'!$L$4:$L$503,_calc!$E$736),"yyyy-mm-dd"),"")&amp;". ")&amp;IF(LEN(IF(LEN(INDEX('Dealer pipeline'!$Q$4:$Q$503,_calc!$E$736))=0,"",INDEX('Dealer pipeline'!$Q$4:$Q$503,_calc!$E$736)))=0,"","Status: "&amp;IF(LEN(INDEX('Dealer pipeline'!$Q$4:$Q$503,_calc!$E$736))=0,"",INDEX('Dealer pipeline'!$Q$4:$Q$503,_calc!$E$736))&amp;". ")&amp;IF(LEN(IF(LEN(INDEX('Dealer pipeline'!$P$4:$P$503,_calc!$E$736))=0,"",INDEX('Dealer pipeline'!$P$4:$P$503,_calc!$E$736)))=0,"","Last touch: "&amp;IF(LEN(INDEX('Dealer pipeline'!$P$4:$P$503,_calc!$E$736))=0,"",INDEX('Dealer pipeline'!$P$4:$P$503,_calc!$E$736))&amp;". ")&amp;IF(LEN(IF(LEN(INDEX('Dealer pipeline'!$R$4:$R$503,_calc!$E$736))=0,"",INDEX('Dealer pipeline'!$R$4:$R$503,_calc!$E$736)))=0,"","Owner: "&amp;IF(LEN(INDEX('Dealer pipeline'!$R$4:$R$503,_calc!$E$736))=0,"",INDEX('Dealer pipeline'!$R$4:$R$503,_calc!$E$736))&amp;". ")&amp;IF(LEN(IF(LEN(INDEX('Dealer pipeline'!$S$4:$S$503,_calc!$E$736))=0,"",INDEX('Dealer pipeline'!$S$4:$S$503,_calc!$E$736)))=0,"","Backup: "&amp;IF(LEN(INDEX('Dealer pipeline'!$S$4:$S$503,_calc!$E$736))=0,"",INDEX('Dealer pipeline'!$S$4:$S$503,_calc!$E$736))&amp;". ")&amp;IF(LEN(IF(LEN(INDEX('Dealer pipeline'!$T$4:$T$503,_calc!$E$736))=0,"",INDEX('Dealer pipeline'!$T$4:$T$503,_calc!$E$736)))=0,"",IF(LEN(INDEX('Dealer pipeline'!$T$4:$T$503,_calc!$E$736))=0,"",INDEX('Dealer pipeline'!$T$4:$T$503,_calc!$E$736)))),TRIM(IF(LEN(IF(LEN(INDEX('My equipment'!$C$4:$C$503,(_calc!$E$736-500)))=0,"",INDEX('My equipment'!$C$4:$C$503,(_calc!$E$736-500))))=0,"","Model: "&amp;IF(LEN(INDEX('My equipment'!$C$4:$C$503,(_calc!$E$736-500)))=0,"",INDEX('My equipment'!$C$4:$C$503,(_calc!$E$736-500)))&amp;". ")&amp;IF(LEN(IF(LEN(INDEX('My equipment'!$D$4:$D$503,(_calc!$E$736-500)))=0,"",INDEX('My equipment'!$D$4:$D$503,(_calc!$E$736-500))))=0,"","Serial: "&amp;IF(LEN(INDEX('My equipment'!$D$4:$D$503,(_calc!$E$736-500)))=0,"",INDEX('My equipment'!$D$4:$D$503,(_calc!$E$736-500)))&amp;". ")&amp;IF(LEN(IF(ISNUMBER(INDEX('My equipment'!$J$4:$J$503,(_calc!$E$736-500))),TEXT(INDEX('My equipment'!$J$4:$J$503,(_calc!$E$736-500)),"yyyy-mm-dd"),""))=0,"","Parts end: "&amp;IF(ISNUMBER(INDEX('My equipment'!$J$4:$J$503,(_calc!$E$736-500))),TEXT(INDEX('My equipment'!$J$4:$J$503,(_calc!$E$736-500)),"yyyy-mm-dd"),"")&amp;". ")&amp;IF(LEN(IF(ISNUMBER(INDEX('My equipment'!$L$4:$L$503,(_calc!$E$736-500))),TEXT(INDEX('My equipment'!$L$4:$L$503,(_calc!$E$736-500)),"yyyy-mm-dd"),""))=0,"","Labor end: "&amp;IF(ISNUMBER(INDEX('My equipment'!$L$4:$L$503,(_calc!$E$736-500))),TEXT(INDEX('My equipment'!$L$4:$L$503,(_calc!$E$736-500)),"yyyy-mm-dd"),"")&amp;". ")&amp;IF(LEN(IF(ISNUMBER(INDEX('My equipment'!$P$4:$P$503,(_calc!$E$736-500))),TEXT(INDEX('My equipment'!$P$4:$P$503,(_calc!$E$736-500)),"yyyy-mm-dd"),""))=0,"","Check by: "&amp;IF(ISNUMBER(INDEX('My equipment'!$P$4:$P$503,(_calc!$E$736-500))),TEXT(INDEX('My equipment'!$P$4:$P$503,(_calc!$E$736-500)),"yyyy-mm-dd"),"")&amp;". ")&amp;IF(LEN(IF(LEN(INDEX('My equipment'!$Q$4:$Q$503,(_calc!$E$736-500)))=0,"",INDEX('My equipment'!$Q$4:$Q$503,(_calc!$E$736-500))))=0,"","Claim status: "&amp;IF(LEN(INDEX('My equipment'!$Q$4:$Q$503,(_calc!$E$736-500)))=0,"",INDEX('My equipment'!$Q$4:$Q$503,(_calc!$E$736-500)))&amp;". ")&amp;IF(LEN(IF(LEN(INDEX('My equipment'!$R$4:$R$503,(_calc!$E$736-500)))=0,"",INDEX('My equipment'!$R$4:$R$503,(_calc!$E$736-500))))=0,"","Claims contact: "&amp;IF(LEN(INDEX('My equipment'!$R$4:$R$503,(_calc!$E$736-500)))=0,"",INDEX('My equipment'!$R$4:$R$503,(_calc!$E$736-500)))&amp;". ")&amp;IF(LEN(IF(LEN(INDEX('My equipment'!$S$4:$S$503,(_calc!$E$736-500)))=0,"",INDEX('My equipment'!$S$4:$S$503,(_calc!$E$736-500))))=0,"","Claims email: "&amp;IF(LEN(INDEX('My equipment'!$S$4:$S$503,(_calc!$E$736-500)))=0,"",INDEX('My equipment'!$S$4:$S$503,(_calc!$E$736-500)))&amp;". ")&amp;IF(LEN(IF(LEN(INDEX('My equipment'!$U$4:$U$503,(_calc!$E$736-500)))=0,"",INDEX('My equipment'!$U$4:$U$503,(_calc!$E$736-500))))=0,"","Registered: "&amp;IF(LEN(INDEX('My equipment'!$U$4:$U$503,(_calc!$E$736-500)))=0,"",INDEX('My equipment'!$U$4:$U$503,(_calc!$E$736-500)))&amp;". ")&amp;IF(LEN(IF(LEN(INDEX('My equipment'!$V$4:$V$503,(_calc!$E$736-500)))=0,"",INDEX('My equipment'!$V$4:$V$503,(_calc!$E$736-500))))=0,"","Proof on file: "&amp;IF(LEN(INDEX('My equipment'!$V$4:$V$503,(_calc!$E$736-500)))=0,"",INDEX('My equipment'!$V$4:$V$503,(_calc!$E$736-500)))&amp;". ")&amp;IF(LEN(IF(LEN(INDEX('My equipment'!$W$4:$W$503,(_calc!$E$736-500)))=0,"",INDEX('My equipment'!$W$4:$W$503,(_calc!$E$736-500))))=0,"","Claim ref: "&amp;IF(LEN(INDEX('My equipment'!$W$4:$W$503,(_calc!$E$736-500)))=0,"",INDEX('My equipment'!$W$4:$W$503,(_calc!$E$736-500)))&amp;". ")&amp;IF(LEN(IF(LEN(INDEX('My equipment'!$Y$4:$Y$503,(_calc!$E$736-500)))=0,"",INDEX('My equipment'!$Y$4:$Y$503,(_calc!$E$736-500))))=0,"",IF(LEN(INDEX('My equipment'!$Y$4:$Y$503,(_calc!$E$736-500)))=0,"",INDEX('My equipment'!$Y$4:$Y$503,(_calc!$E$736-500)))))))</f>
        <v/>
      </c>
      <c r="G734" s="54">
        <f>IF(_calc!$E$736="","",IF(_calc!$E$736&lt;=500,"",IF(LEN(INDEX('My equipment'!$X$4:$X$503,(_calc!$E$736-500)))=0,"",INDEX('My equipment'!$X$4:$X$503,(_calc!$E$736-500)))))</f>
        <v/>
      </c>
      <c r="K734" s="54">
        <f>IF(_calc!$E$736="","",IF(_calc!$E$736&lt;=500,"",IF(LEN(INDEX('My equipment'!$T$4:$T$503,(_calc!$E$736-500)))=0,"",INDEX('My equipment'!$T$4:$T$503,(_calc!$E$736-500)))))</f>
        <v/>
      </c>
    </row>
    <row r="735">
      <c r="A735" s="54">
        <f>IF(_calc!$E$737="","",IF(_calc!$E$737&lt;=500,"Warranty – "&amp;IF(LEN(INDEX('Dealer pipeline'!$C$4:$C$503,_calc!$E$737))=0,"",INDEX('Dealer pipeline'!$C$4:$C$503,_calc!$E$737))&amp;" – "&amp;IF(LEN(INDEX('Dealer pipeline'!$D$4:$D$503,_calc!$E$737))=0,"",INDEX('Dealer pipeline'!$D$4:$D$503,_calc!$E$737))&amp;" – "&amp;IF(LEN(INDEX('Dealer pipeline'!$A$4:$A$503,_calc!$E$737))=0,"",INDEX('Dealer pipeline'!$A$4:$A$503,_calc!$E$737)),"Warranty – "&amp;IF(LEN(INDEX('My equipment'!$A$4:$A$503,(_calc!$E$737-500)))=0,"",INDEX('My equipment'!$A$4:$A$503,(_calc!$E$737-500)))&amp;" – "&amp;IF(LEN(INDEX('My equipment'!$D$4:$D$503,(_calc!$E$737-500)))=0,"",INDEX('My equipment'!$D$4:$D$503,(_calc!$E$737-500)))))</f>
        <v/>
      </c>
      <c r="B735" s="54">
        <f>IF(_calc!$E$737="","",IF(_calc!$E$737&lt;=500,IF(ISNUMBER(INDEX('Dealer pipeline'!$M$4:$M$503,_calc!$E$737)),TEXT(INDEX('Dealer pipeline'!$M$4:$M$503,_calc!$E$737),"yyyy-mm-dd"),""),IF(ISNUMBER(INDEX('My equipment'!$M$4:$M$503,(_calc!$E$737-500))),TEXT(INDEX('My equipment'!$M$4:$M$503,(_calc!$E$737-500)),"yyyy-mm-dd"),"")))</f>
        <v/>
      </c>
      <c r="C735" s="54">
        <f>IF(_calc!$E$737="","",IF(_calc!$E$737&lt;=500,"Warranty","Warranty"))</f>
        <v/>
      </c>
      <c r="D735" s="54">
        <f>IF(_calc!$E$737="","",IF(_calc!$E$737&lt;=500,IF(ISNUMBER(INDEX('Dealer pipeline'!$H$4:$H$503,_calc!$E$737)),TEXT(INDEX('Dealer pipeline'!$H$4:$H$503,_calc!$E$737),"yyyy-mm-dd"),""),IF(ISNUMBER(INDEX('My equipment'!$H$4:$H$503,(_calc!$E$737-500))),TEXT(INDEX('My equipment'!$H$4:$H$503,(_calc!$E$737-500)),"yyyy-mm-dd"),"")))</f>
        <v/>
      </c>
      <c r="F735" s="54">
        <f>IF(_calc!$E$737="","",IF(_calc!$E$737&lt;=500,TRIM(IF(LEN(IF(LEN(INDEX('Dealer pipeline'!$A$4:$A$503,_calc!$E$737))=0,"",INDEX('Dealer pipeline'!$A$4:$A$503,_calc!$E$737)))=0,"","Customer: "&amp;IF(LEN(INDEX('Dealer pipeline'!$A$4:$A$503,_calc!$E$737))=0,"",INDEX('Dealer pipeline'!$A$4:$A$503,_calc!$E$737))&amp;". ")&amp;IF(LEN(IF(LEN(INDEX('Dealer pipeline'!$B$4:$B$503,_calc!$E$737))=0,"",INDEX('Dealer pipeline'!$B$4:$B$503,_calc!$E$737)))=0,"","Contact: "&amp;IF(LEN(INDEX('Dealer pipeline'!$B$4:$B$503,_calc!$E$737))=0,"",INDEX('Dealer pipeline'!$B$4:$B$503,_calc!$E$737))&amp;". ")&amp;IF(LEN(IF(LEN(INDEX('Dealer pipeline'!$D$4:$D$503,_calc!$E$737))=0,"",INDEX('Dealer pipeline'!$D$4:$D$503,_calc!$E$737)))=0,"","Serial: "&amp;IF(LEN(INDEX('Dealer pipeline'!$D$4:$D$503,_calc!$E$737))=0,"",INDEX('Dealer pipeline'!$D$4:$D$503,_calc!$E$737))&amp;". ")&amp;IF(LEN(IF(ISNUMBER(INDEX('Dealer pipeline'!$J$4:$J$503,_calc!$E$737)),TEXT(INDEX('Dealer pipeline'!$J$4:$J$503,_calc!$E$737),"yyyy-mm-dd"),""))=0,"","Parts end: "&amp;IF(ISNUMBER(INDEX('Dealer pipeline'!$J$4:$J$503,_calc!$E$737)),TEXT(INDEX('Dealer pipeline'!$J$4:$J$503,_calc!$E$737),"yyyy-mm-dd"),"")&amp;". ")&amp;IF(LEN(IF(ISNUMBER(INDEX('Dealer pipeline'!$L$4:$L$503,_calc!$E$737)),TEXT(INDEX('Dealer pipeline'!$L$4:$L$503,_calc!$E$737),"yyyy-mm-dd"),""))=0,"","Labor end: "&amp;IF(ISNUMBER(INDEX('Dealer pipeline'!$L$4:$L$503,_calc!$E$737)),TEXT(INDEX('Dealer pipeline'!$L$4:$L$503,_calc!$E$737),"yyyy-mm-dd"),"")&amp;". ")&amp;IF(LEN(IF(LEN(INDEX('Dealer pipeline'!$Q$4:$Q$503,_calc!$E$737))=0,"",INDEX('Dealer pipeline'!$Q$4:$Q$503,_calc!$E$737)))=0,"","Status: "&amp;IF(LEN(INDEX('Dealer pipeline'!$Q$4:$Q$503,_calc!$E$737))=0,"",INDEX('Dealer pipeline'!$Q$4:$Q$503,_calc!$E$737))&amp;". ")&amp;IF(LEN(IF(LEN(INDEX('Dealer pipeline'!$P$4:$P$503,_calc!$E$737))=0,"",INDEX('Dealer pipeline'!$P$4:$P$503,_calc!$E$737)))=0,"","Last touch: "&amp;IF(LEN(INDEX('Dealer pipeline'!$P$4:$P$503,_calc!$E$737))=0,"",INDEX('Dealer pipeline'!$P$4:$P$503,_calc!$E$737))&amp;". ")&amp;IF(LEN(IF(LEN(INDEX('Dealer pipeline'!$R$4:$R$503,_calc!$E$737))=0,"",INDEX('Dealer pipeline'!$R$4:$R$503,_calc!$E$737)))=0,"","Owner: "&amp;IF(LEN(INDEX('Dealer pipeline'!$R$4:$R$503,_calc!$E$737))=0,"",INDEX('Dealer pipeline'!$R$4:$R$503,_calc!$E$737))&amp;". ")&amp;IF(LEN(IF(LEN(INDEX('Dealer pipeline'!$S$4:$S$503,_calc!$E$737))=0,"",INDEX('Dealer pipeline'!$S$4:$S$503,_calc!$E$737)))=0,"","Backup: "&amp;IF(LEN(INDEX('Dealer pipeline'!$S$4:$S$503,_calc!$E$737))=0,"",INDEX('Dealer pipeline'!$S$4:$S$503,_calc!$E$737))&amp;". ")&amp;IF(LEN(IF(LEN(INDEX('Dealer pipeline'!$T$4:$T$503,_calc!$E$737))=0,"",INDEX('Dealer pipeline'!$T$4:$T$503,_calc!$E$737)))=0,"",IF(LEN(INDEX('Dealer pipeline'!$T$4:$T$503,_calc!$E$737))=0,"",INDEX('Dealer pipeline'!$T$4:$T$503,_calc!$E$737)))),TRIM(IF(LEN(IF(LEN(INDEX('My equipment'!$C$4:$C$503,(_calc!$E$737-500)))=0,"",INDEX('My equipment'!$C$4:$C$503,(_calc!$E$737-500))))=0,"","Model: "&amp;IF(LEN(INDEX('My equipment'!$C$4:$C$503,(_calc!$E$737-500)))=0,"",INDEX('My equipment'!$C$4:$C$503,(_calc!$E$737-500)))&amp;". ")&amp;IF(LEN(IF(LEN(INDEX('My equipment'!$D$4:$D$503,(_calc!$E$737-500)))=0,"",INDEX('My equipment'!$D$4:$D$503,(_calc!$E$737-500))))=0,"","Serial: "&amp;IF(LEN(INDEX('My equipment'!$D$4:$D$503,(_calc!$E$737-500)))=0,"",INDEX('My equipment'!$D$4:$D$503,(_calc!$E$737-500)))&amp;". ")&amp;IF(LEN(IF(ISNUMBER(INDEX('My equipment'!$J$4:$J$503,(_calc!$E$737-500))),TEXT(INDEX('My equipment'!$J$4:$J$503,(_calc!$E$737-500)),"yyyy-mm-dd"),""))=0,"","Parts end: "&amp;IF(ISNUMBER(INDEX('My equipment'!$J$4:$J$503,(_calc!$E$737-500))),TEXT(INDEX('My equipment'!$J$4:$J$503,(_calc!$E$737-500)),"yyyy-mm-dd"),"")&amp;". ")&amp;IF(LEN(IF(ISNUMBER(INDEX('My equipment'!$L$4:$L$503,(_calc!$E$737-500))),TEXT(INDEX('My equipment'!$L$4:$L$503,(_calc!$E$737-500)),"yyyy-mm-dd"),""))=0,"","Labor end: "&amp;IF(ISNUMBER(INDEX('My equipment'!$L$4:$L$503,(_calc!$E$737-500))),TEXT(INDEX('My equipment'!$L$4:$L$503,(_calc!$E$737-500)),"yyyy-mm-dd"),"")&amp;". ")&amp;IF(LEN(IF(ISNUMBER(INDEX('My equipment'!$P$4:$P$503,(_calc!$E$737-500))),TEXT(INDEX('My equipment'!$P$4:$P$503,(_calc!$E$737-500)),"yyyy-mm-dd"),""))=0,"","Check by: "&amp;IF(ISNUMBER(INDEX('My equipment'!$P$4:$P$503,(_calc!$E$737-500))),TEXT(INDEX('My equipment'!$P$4:$P$503,(_calc!$E$737-500)),"yyyy-mm-dd"),"")&amp;". ")&amp;IF(LEN(IF(LEN(INDEX('My equipment'!$Q$4:$Q$503,(_calc!$E$737-500)))=0,"",INDEX('My equipment'!$Q$4:$Q$503,(_calc!$E$737-500))))=0,"","Claim status: "&amp;IF(LEN(INDEX('My equipment'!$Q$4:$Q$503,(_calc!$E$737-500)))=0,"",INDEX('My equipment'!$Q$4:$Q$503,(_calc!$E$737-500)))&amp;". ")&amp;IF(LEN(IF(LEN(INDEX('My equipment'!$R$4:$R$503,(_calc!$E$737-500)))=0,"",INDEX('My equipment'!$R$4:$R$503,(_calc!$E$737-500))))=0,"","Claims contact: "&amp;IF(LEN(INDEX('My equipment'!$R$4:$R$503,(_calc!$E$737-500)))=0,"",INDEX('My equipment'!$R$4:$R$503,(_calc!$E$737-500)))&amp;". ")&amp;IF(LEN(IF(LEN(INDEX('My equipment'!$S$4:$S$503,(_calc!$E$737-500)))=0,"",INDEX('My equipment'!$S$4:$S$503,(_calc!$E$737-500))))=0,"","Claims email: "&amp;IF(LEN(INDEX('My equipment'!$S$4:$S$503,(_calc!$E$737-500)))=0,"",INDEX('My equipment'!$S$4:$S$503,(_calc!$E$737-500)))&amp;". ")&amp;IF(LEN(IF(LEN(INDEX('My equipment'!$U$4:$U$503,(_calc!$E$737-500)))=0,"",INDEX('My equipment'!$U$4:$U$503,(_calc!$E$737-500))))=0,"","Registered: "&amp;IF(LEN(INDEX('My equipment'!$U$4:$U$503,(_calc!$E$737-500)))=0,"",INDEX('My equipment'!$U$4:$U$503,(_calc!$E$737-500)))&amp;". ")&amp;IF(LEN(IF(LEN(INDEX('My equipment'!$V$4:$V$503,(_calc!$E$737-500)))=0,"",INDEX('My equipment'!$V$4:$V$503,(_calc!$E$737-500))))=0,"","Proof on file: "&amp;IF(LEN(INDEX('My equipment'!$V$4:$V$503,(_calc!$E$737-500)))=0,"",INDEX('My equipment'!$V$4:$V$503,(_calc!$E$737-500)))&amp;". ")&amp;IF(LEN(IF(LEN(INDEX('My equipment'!$W$4:$W$503,(_calc!$E$737-500)))=0,"",INDEX('My equipment'!$W$4:$W$503,(_calc!$E$737-500))))=0,"","Claim ref: "&amp;IF(LEN(INDEX('My equipment'!$W$4:$W$503,(_calc!$E$737-500)))=0,"",INDEX('My equipment'!$W$4:$W$503,(_calc!$E$737-500)))&amp;". ")&amp;IF(LEN(IF(LEN(INDEX('My equipment'!$Y$4:$Y$503,(_calc!$E$737-500)))=0,"",INDEX('My equipment'!$Y$4:$Y$503,(_calc!$E$737-500))))=0,"",IF(LEN(INDEX('My equipment'!$Y$4:$Y$503,(_calc!$E$737-500)))=0,"",INDEX('My equipment'!$Y$4:$Y$503,(_calc!$E$737-500)))))))</f>
        <v/>
      </c>
      <c r="G735" s="54">
        <f>IF(_calc!$E$737="","",IF(_calc!$E$737&lt;=500,"",IF(LEN(INDEX('My equipment'!$X$4:$X$503,(_calc!$E$737-500)))=0,"",INDEX('My equipment'!$X$4:$X$503,(_calc!$E$737-500)))))</f>
        <v/>
      </c>
      <c r="K735" s="54">
        <f>IF(_calc!$E$737="","",IF(_calc!$E$737&lt;=500,"",IF(LEN(INDEX('My equipment'!$T$4:$T$503,(_calc!$E$737-500)))=0,"",INDEX('My equipment'!$T$4:$T$503,(_calc!$E$737-500)))))</f>
        <v/>
      </c>
    </row>
    <row r="736">
      <c r="A736" s="54">
        <f>IF(_calc!$E$738="","",IF(_calc!$E$738&lt;=500,"Warranty – "&amp;IF(LEN(INDEX('Dealer pipeline'!$C$4:$C$503,_calc!$E$738))=0,"",INDEX('Dealer pipeline'!$C$4:$C$503,_calc!$E$738))&amp;" – "&amp;IF(LEN(INDEX('Dealer pipeline'!$D$4:$D$503,_calc!$E$738))=0,"",INDEX('Dealer pipeline'!$D$4:$D$503,_calc!$E$738))&amp;" – "&amp;IF(LEN(INDEX('Dealer pipeline'!$A$4:$A$503,_calc!$E$738))=0,"",INDEX('Dealer pipeline'!$A$4:$A$503,_calc!$E$738)),"Warranty – "&amp;IF(LEN(INDEX('My equipment'!$A$4:$A$503,(_calc!$E$738-500)))=0,"",INDEX('My equipment'!$A$4:$A$503,(_calc!$E$738-500)))&amp;" – "&amp;IF(LEN(INDEX('My equipment'!$D$4:$D$503,(_calc!$E$738-500)))=0,"",INDEX('My equipment'!$D$4:$D$503,(_calc!$E$738-500)))))</f>
        <v/>
      </c>
      <c r="B736" s="54">
        <f>IF(_calc!$E$738="","",IF(_calc!$E$738&lt;=500,IF(ISNUMBER(INDEX('Dealer pipeline'!$M$4:$M$503,_calc!$E$738)),TEXT(INDEX('Dealer pipeline'!$M$4:$M$503,_calc!$E$738),"yyyy-mm-dd"),""),IF(ISNUMBER(INDEX('My equipment'!$M$4:$M$503,(_calc!$E$738-500))),TEXT(INDEX('My equipment'!$M$4:$M$503,(_calc!$E$738-500)),"yyyy-mm-dd"),"")))</f>
        <v/>
      </c>
      <c r="C736" s="54">
        <f>IF(_calc!$E$738="","",IF(_calc!$E$738&lt;=500,"Warranty","Warranty"))</f>
        <v/>
      </c>
      <c r="D736" s="54">
        <f>IF(_calc!$E$738="","",IF(_calc!$E$738&lt;=500,IF(ISNUMBER(INDEX('Dealer pipeline'!$H$4:$H$503,_calc!$E$738)),TEXT(INDEX('Dealer pipeline'!$H$4:$H$503,_calc!$E$738),"yyyy-mm-dd"),""),IF(ISNUMBER(INDEX('My equipment'!$H$4:$H$503,(_calc!$E$738-500))),TEXT(INDEX('My equipment'!$H$4:$H$503,(_calc!$E$738-500)),"yyyy-mm-dd"),"")))</f>
        <v/>
      </c>
      <c r="F736" s="54">
        <f>IF(_calc!$E$738="","",IF(_calc!$E$738&lt;=500,TRIM(IF(LEN(IF(LEN(INDEX('Dealer pipeline'!$A$4:$A$503,_calc!$E$738))=0,"",INDEX('Dealer pipeline'!$A$4:$A$503,_calc!$E$738)))=0,"","Customer: "&amp;IF(LEN(INDEX('Dealer pipeline'!$A$4:$A$503,_calc!$E$738))=0,"",INDEX('Dealer pipeline'!$A$4:$A$503,_calc!$E$738))&amp;". ")&amp;IF(LEN(IF(LEN(INDEX('Dealer pipeline'!$B$4:$B$503,_calc!$E$738))=0,"",INDEX('Dealer pipeline'!$B$4:$B$503,_calc!$E$738)))=0,"","Contact: "&amp;IF(LEN(INDEX('Dealer pipeline'!$B$4:$B$503,_calc!$E$738))=0,"",INDEX('Dealer pipeline'!$B$4:$B$503,_calc!$E$738))&amp;". ")&amp;IF(LEN(IF(LEN(INDEX('Dealer pipeline'!$D$4:$D$503,_calc!$E$738))=0,"",INDEX('Dealer pipeline'!$D$4:$D$503,_calc!$E$738)))=0,"","Serial: "&amp;IF(LEN(INDEX('Dealer pipeline'!$D$4:$D$503,_calc!$E$738))=0,"",INDEX('Dealer pipeline'!$D$4:$D$503,_calc!$E$738))&amp;". ")&amp;IF(LEN(IF(ISNUMBER(INDEX('Dealer pipeline'!$J$4:$J$503,_calc!$E$738)),TEXT(INDEX('Dealer pipeline'!$J$4:$J$503,_calc!$E$738),"yyyy-mm-dd"),""))=0,"","Parts end: "&amp;IF(ISNUMBER(INDEX('Dealer pipeline'!$J$4:$J$503,_calc!$E$738)),TEXT(INDEX('Dealer pipeline'!$J$4:$J$503,_calc!$E$738),"yyyy-mm-dd"),"")&amp;". ")&amp;IF(LEN(IF(ISNUMBER(INDEX('Dealer pipeline'!$L$4:$L$503,_calc!$E$738)),TEXT(INDEX('Dealer pipeline'!$L$4:$L$503,_calc!$E$738),"yyyy-mm-dd"),""))=0,"","Labor end: "&amp;IF(ISNUMBER(INDEX('Dealer pipeline'!$L$4:$L$503,_calc!$E$738)),TEXT(INDEX('Dealer pipeline'!$L$4:$L$503,_calc!$E$738),"yyyy-mm-dd"),"")&amp;". ")&amp;IF(LEN(IF(LEN(INDEX('Dealer pipeline'!$Q$4:$Q$503,_calc!$E$738))=0,"",INDEX('Dealer pipeline'!$Q$4:$Q$503,_calc!$E$738)))=0,"","Status: "&amp;IF(LEN(INDEX('Dealer pipeline'!$Q$4:$Q$503,_calc!$E$738))=0,"",INDEX('Dealer pipeline'!$Q$4:$Q$503,_calc!$E$738))&amp;". ")&amp;IF(LEN(IF(LEN(INDEX('Dealer pipeline'!$P$4:$P$503,_calc!$E$738))=0,"",INDEX('Dealer pipeline'!$P$4:$P$503,_calc!$E$738)))=0,"","Last touch: "&amp;IF(LEN(INDEX('Dealer pipeline'!$P$4:$P$503,_calc!$E$738))=0,"",INDEX('Dealer pipeline'!$P$4:$P$503,_calc!$E$738))&amp;". ")&amp;IF(LEN(IF(LEN(INDEX('Dealer pipeline'!$R$4:$R$503,_calc!$E$738))=0,"",INDEX('Dealer pipeline'!$R$4:$R$503,_calc!$E$738)))=0,"","Owner: "&amp;IF(LEN(INDEX('Dealer pipeline'!$R$4:$R$503,_calc!$E$738))=0,"",INDEX('Dealer pipeline'!$R$4:$R$503,_calc!$E$738))&amp;". ")&amp;IF(LEN(IF(LEN(INDEX('Dealer pipeline'!$S$4:$S$503,_calc!$E$738))=0,"",INDEX('Dealer pipeline'!$S$4:$S$503,_calc!$E$738)))=0,"","Backup: "&amp;IF(LEN(INDEX('Dealer pipeline'!$S$4:$S$503,_calc!$E$738))=0,"",INDEX('Dealer pipeline'!$S$4:$S$503,_calc!$E$738))&amp;". ")&amp;IF(LEN(IF(LEN(INDEX('Dealer pipeline'!$T$4:$T$503,_calc!$E$738))=0,"",INDEX('Dealer pipeline'!$T$4:$T$503,_calc!$E$738)))=0,"",IF(LEN(INDEX('Dealer pipeline'!$T$4:$T$503,_calc!$E$738))=0,"",INDEX('Dealer pipeline'!$T$4:$T$503,_calc!$E$738)))),TRIM(IF(LEN(IF(LEN(INDEX('My equipment'!$C$4:$C$503,(_calc!$E$738-500)))=0,"",INDEX('My equipment'!$C$4:$C$503,(_calc!$E$738-500))))=0,"","Model: "&amp;IF(LEN(INDEX('My equipment'!$C$4:$C$503,(_calc!$E$738-500)))=0,"",INDEX('My equipment'!$C$4:$C$503,(_calc!$E$738-500)))&amp;". ")&amp;IF(LEN(IF(LEN(INDEX('My equipment'!$D$4:$D$503,(_calc!$E$738-500)))=0,"",INDEX('My equipment'!$D$4:$D$503,(_calc!$E$738-500))))=0,"","Serial: "&amp;IF(LEN(INDEX('My equipment'!$D$4:$D$503,(_calc!$E$738-500)))=0,"",INDEX('My equipment'!$D$4:$D$503,(_calc!$E$738-500)))&amp;". ")&amp;IF(LEN(IF(ISNUMBER(INDEX('My equipment'!$J$4:$J$503,(_calc!$E$738-500))),TEXT(INDEX('My equipment'!$J$4:$J$503,(_calc!$E$738-500)),"yyyy-mm-dd"),""))=0,"","Parts end: "&amp;IF(ISNUMBER(INDEX('My equipment'!$J$4:$J$503,(_calc!$E$738-500))),TEXT(INDEX('My equipment'!$J$4:$J$503,(_calc!$E$738-500)),"yyyy-mm-dd"),"")&amp;". ")&amp;IF(LEN(IF(ISNUMBER(INDEX('My equipment'!$L$4:$L$503,(_calc!$E$738-500))),TEXT(INDEX('My equipment'!$L$4:$L$503,(_calc!$E$738-500)),"yyyy-mm-dd"),""))=0,"","Labor end: "&amp;IF(ISNUMBER(INDEX('My equipment'!$L$4:$L$503,(_calc!$E$738-500))),TEXT(INDEX('My equipment'!$L$4:$L$503,(_calc!$E$738-500)),"yyyy-mm-dd"),"")&amp;". ")&amp;IF(LEN(IF(ISNUMBER(INDEX('My equipment'!$P$4:$P$503,(_calc!$E$738-500))),TEXT(INDEX('My equipment'!$P$4:$P$503,(_calc!$E$738-500)),"yyyy-mm-dd"),""))=0,"","Check by: "&amp;IF(ISNUMBER(INDEX('My equipment'!$P$4:$P$503,(_calc!$E$738-500))),TEXT(INDEX('My equipment'!$P$4:$P$503,(_calc!$E$738-500)),"yyyy-mm-dd"),"")&amp;". ")&amp;IF(LEN(IF(LEN(INDEX('My equipment'!$Q$4:$Q$503,(_calc!$E$738-500)))=0,"",INDEX('My equipment'!$Q$4:$Q$503,(_calc!$E$738-500))))=0,"","Claim status: "&amp;IF(LEN(INDEX('My equipment'!$Q$4:$Q$503,(_calc!$E$738-500)))=0,"",INDEX('My equipment'!$Q$4:$Q$503,(_calc!$E$738-500)))&amp;". ")&amp;IF(LEN(IF(LEN(INDEX('My equipment'!$R$4:$R$503,(_calc!$E$738-500)))=0,"",INDEX('My equipment'!$R$4:$R$503,(_calc!$E$738-500))))=0,"","Claims contact: "&amp;IF(LEN(INDEX('My equipment'!$R$4:$R$503,(_calc!$E$738-500)))=0,"",INDEX('My equipment'!$R$4:$R$503,(_calc!$E$738-500)))&amp;". ")&amp;IF(LEN(IF(LEN(INDEX('My equipment'!$S$4:$S$503,(_calc!$E$738-500)))=0,"",INDEX('My equipment'!$S$4:$S$503,(_calc!$E$738-500))))=0,"","Claims email: "&amp;IF(LEN(INDEX('My equipment'!$S$4:$S$503,(_calc!$E$738-500)))=0,"",INDEX('My equipment'!$S$4:$S$503,(_calc!$E$738-500)))&amp;". ")&amp;IF(LEN(IF(LEN(INDEX('My equipment'!$U$4:$U$503,(_calc!$E$738-500)))=0,"",INDEX('My equipment'!$U$4:$U$503,(_calc!$E$738-500))))=0,"","Registered: "&amp;IF(LEN(INDEX('My equipment'!$U$4:$U$503,(_calc!$E$738-500)))=0,"",INDEX('My equipment'!$U$4:$U$503,(_calc!$E$738-500)))&amp;". ")&amp;IF(LEN(IF(LEN(INDEX('My equipment'!$V$4:$V$503,(_calc!$E$738-500)))=0,"",INDEX('My equipment'!$V$4:$V$503,(_calc!$E$738-500))))=0,"","Proof on file: "&amp;IF(LEN(INDEX('My equipment'!$V$4:$V$503,(_calc!$E$738-500)))=0,"",INDEX('My equipment'!$V$4:$V$503,(_calc!$E$738-500)))&amp;". ")&amp;IF(LEN(IF(LEN(INDEX('My equipment'!$W$4:$W$503,(_calc!$E$738-500)))=0,"",INDEX('My equipment'!$W$4:$W$503,(_calc!$E$738-500))))=0,"","Claim ref: "&amp;IF(LEN(INDEX('My equipment'!$W$4:$W$503,(_calc!$E$738-500)))=0,"",INDEX('My equipment'!$W$4:$W$503,(_calc!$E$738-500)))&amp;". ")&amp;IF(LEN(IF(LEN(INDEX('My equipment'!$Y$4:$Y$503,(_calc!$E$738-500)))=0,"",INDEX('My equipment'!$Y$4:$Y$503,(_calc!$E$738-500))))=0,"",IF(LEN(INDEX('My equipment'!$Y$4:$Y$503,(_calc!$E$738-500)))=0,"",INDEX('My equipment'!$Y$4:$Y$503,(_calc!$E$738-500)))))))</f>
        <v/>
      </c>
      <c r="G736" s="54">
        <f>IF(_calc!$E$738="","",IF(_calc!$E$738&lt;=500,"",IF(LEN(INDEX('My equipment'!$X$4:$X$503,(_calc!$E$738-500)))=0,"",INDEX('My equipment'!$X$4:$X$503,(_calc!$E$738-500)))))</f>
        <v/>
      </c>
      <c r="K736" s="54">
        <f>IF(_calc!$E$738="","",IF(_calc!$E$738&lt;=500,"",IF(LEN(INDEX('My equipment'!$T$4:$T$503,(_calc!$E$738-500)))=0,"",INDEX('My equipment'!$T$4:$T$503,(_calc!$E$738-500)))))</f>
        <v/>
      </c>
    </row>
    <row r="737">
      <c r="A737" s="54">
        <f>IF(_calc!$E$739="","",IF(_calc!$E$739&lt;=500,"Warranty – "&amp;IF(LEN(INDEX('Dealer pipeline'!$C$4:$C$503,_calc!$E$739))=0,"",INDEX('Dealer pipeline'!$C$4:$C$503,_calc!$E$739))&amp;" – "&amp;IF(LEN(INDEX('Dealer pipeline'!$D$4:$D$503,_calc!$E$739))=0,"",INDEX('Dealer pipeline'!$D$4:$D$503,_calc!$E$739))&amp;" – "&amp;IF(LEN(INDEX('Dealer pipeline'!$A$4:$A$503,_calc!$E$739))=0,"",INDEX('Dealer pipeline'!$A$4:$A$503,_calc!$E$739)),"Warranty – "&amp;IF(LEN(INDEX('My equipment'!$A$4:$A$503,(_calc!$E$739-500)))=0,"",INDEX('My equipment'!$A$4:$A$503,(_calc!$E$739-500)))&amp;" – "&amp;IF(LEN(INDEX('My equipment'!$D$4:$D$503,(_calc!$E$739-500)))=0,"",INDEX('My equipment'!$D$4:$D$503,(_calc!$E$739-500)))))</f>
        <v/>
      </c>
      <c r="B737" s="54">
        <f>IF(_calc!$E$739="","",IF(_calc!$E$739&lt;=500,IF(ISNUMBER(INDEX('Dealer pipeline'!$M$4:$M$503,_calc!$E$739)),TEXT(INDEX('Dealer pipeline'!$M$4:$M$503,_calc!$E$739),"yyyy-mm-dd"),""),IF(ISNUMBER(INDEX('My equipment'!$M$4:$M$503,(_calc!$E$739-500))),TEXT(INDEX('My equipment'!$M$4:$M$503,(_calc!$E$739-500)),"yyyy-mm-dd"),"")))</f>
        <v/>
      </c>
      <c r="C737" s="54">
        <f>IF(_calc!$E$739="","",IF(_calc!$E$739&lt;=500,"Warranty","Warranty"))</f>
        <v/>
      </c>
      <c r="D737" s="54">
        <f>IF(_calc!$E$739="","",IF(_calc!$E$739&lt;=500,IF(ISNUMBER(INDEX('Dealer pipeline'!$H$4:$H$503,_calc!$E$739)),TEXT(INDEX('Dealer pipeline'!$H$4:$H$503,_calc!$E$739),"yyyy-mm-dd"),""),IF(ISNUMBER(INDEX('My equipment'!$H$4:$H$503,(_calc!$E$739-500))),TEXT(INDEX('My equipment'!$H$4:$H$503,(_calc!$E$739-500)),"yyyy-mm-dd"),"")))</f>
        <v/>
      </c>
      <c r="F737" s="54">
        <f>IF(_calc!$E$739="","",IF(_calc!$E$739&lt;=500,TRIM(IF(LEN(IF(LEN(INDEX('Dealer pipeline'!$A$4:$A$503,_calc!$E$739))=0,"",INDEX('Dealer pipeline'!$A$4:$A$503,_calc!$E$739)))=0,"","Customer: "&amp;IF(LEN(INDEX('Dealer pipeline'!$A$4:$A$503,_calc!$E$739))=0,"",INDEX('Dealer pipeline'!$A$4:$A$503,_calc!$E$739))&amp;". ")&amp;IF(LEN(IF(LEN(INDEX('Dealer pipeline'!$B$4:$B$503,_calc!$E$739))=0,"",INDEX('Dealer pipeline'!$B$4:$B$503,_calc!$E$739)))=0,"","Contact: "&amp;IF(LEN(INDEX('Dealer pipeline'!$B$4:$B$503,_calc!$E$739))=0,"",INDEX('Dealer pipeline'!$B$4:$B$503,_calc!$E$739))&amp;". ")&amp;IF(LEN(IF(LEN(INDEX('Dealer pipeline'!$D$4:$D$503,_calc!$E$739))=0,"",INDEX('Dealer pipeline'!$D$4:$D$503,_calc!$E$739)))=0,"","Serial: "&amp;IF(LEN(INDEX('Dealer pipeline'!$D$4:$D$503,_calc!$E$739))=0,"",INDEX('Dealer pipeline'!$D$4:$D$503,_calc!$E$739))&amp;". ")&amp;IF(LEN(IF(ISNUMBER(INDEX('Dealer pipeline'!$J$4:$J$503,_calc!$E$739)),TEXT(INDEX('Dealer pipeline'!$J$4:$J$503,_calc!$E$739),"yyyy-mm-dd"),""))=0,"","Parts end: "&amp;IF(ISNUMBER(INDEX('Dealer pipeline'!$J$4:$J$503,_calc!$E$739)),TEXT(INDEX('Dealer pipeline'!$J$4:$J$503,_calc!$E$739),"yyyy-mm-dd"),"")&amp;". ")&amp;IF(LEN(IF(ISNUMBER(INDEX('Dealer pipeline'!$L$4:$L$503,_calc!$E$739)),TEXT(INDEX('Dealer pipeline'!$L$4:$L$503,_calc!$E$739),"yyyy-mm-dd"),""))=0,"","Labor end: "&amp;IF(ISNUMBER(INDEX('Dealer pipeline'!$L$4:$L$503,_calc!$E$739)),TEXT(INDEX('Dealer pipeline'!$L$4:$L$503,_calc!$E$739),"yyyy-mm-dd"),"")&amp;". ")&amp;IF(LEN(IF(LEN(INDEX('Dealer pipeline'!$Q$4:$Q$503,_calc!$E$739))=0,"",INDEX('Dealer pipeline'!$Q$4:$Q$503,_calc!$E$739)))=0,"","Status: "&amp;IF(LEN(INDEX('Dealer pipeline'!$Q$4:$Q$503,_calc!$E$739))=0,"",INDEX('Dealer pipeline'!$Q$4:$Q$503,_calc!$E$739))&amp;". ")&amp;IF(LEN(IF(LEN(INDEX('Dealer pipeline'!$P$4:$P$503,_calc!$E$739))=0,"",INDEX('Dealer pipeline'!$P$4:$P$503,_calc!$E$739)))=0,"","Last touch: "&amp;IF(LEN(INDEX('Dealer pipeline'!$P$4:$P$503,_calc!$E$739))=0,"",INDEX('Dealer pipeline'!$P$4:$P$503,_calc!$E$739))&amp;". ")&amp;IF(LEN(IF(LEN(INDEX('Dealer pipeline'!$R$4:$R$503,_calc!$E$739))=0,"",INDEX('Dealer pipeline'!$R$4:$R$503,_calc!$E$739)))=0,"","Owner: "&amp;IF(LEN(INDEX('Dealer pipeline'!$R$4:$R$503,_calc!$E$739))=0,"",INDEX('Dealer pipeline'!$R$4:$R$503,_calc!$E$739))&amp;". ")&amp;IF(LEN(IF(LEN(INDEX('Dealer pipeline'!$S$4:$S$503,_calc!$E$739))=0,"",INDEX('Dealer pipeline'!$S$4:$S$503,_calc!$E$739)))=0,"","Backup: "&amp;IF(LEN(INDEX('Dealer pipeline'!$S$4:$S$503,_calc!$E$739))=0,"",INDEX('Dealer pipeline'!$S$4:$S$503,_calc!$E$739))&amp;". ")&amp;IF(LEN(IF(LEN(INDEX('Dealer pipeline'!$T$4:$T$503,_calc!$E$739))=0,"",INDEX('Dealer pipeline'!$T$4:$T$503,_calc!$E$739)))=0,"",IF(LEN(INDEX('Dealer pipeline'!$T$4:$T$503,_calc!$E$739))=0,"",INDEX('Dealer pipeline'!$T$4:$T$503,_calc!$E$739)))),TRIM(IF(LEN(IF(LEN(INDEX('My equipment'!$C$4:$C$503,(_calc!$E$739-500)))=0,"",INDEX('My equipment'!$C$4:$C$503,(_calc!$E$739-500))))=0,"","Model: "&amp;IF(LEN(INDEX('My equipment'!$C$4:$C$503,(_calc!$E$739-500)))=0,"",INDEX('My equipment'!$C$4:$C$503,(_calc!$E$739-500)))&amp;". ")&amp;IF(LEN(IF(LEN(INDEX('My equipment'!$D$4:$D$503,(_calc!$E$739-500)))=0,"",INDEX('My equipment'!$D$4:$D$503,(_calc!$E$739-500))))=0,"","Serial: "&amp;IF(LEN(INDEX('My equipment'!$D$4:$D$503,(_calc!$E$739-500)))=0,"",INDEX('My equipment'!$D$4:$D$503,(_calc!$E$739-500)))&amp;". ")&amp;IF(LEN(IF(ISNUMBER(INDEX('My equipment'!$J$4:$J$503,(_calc!$E$739-500))),TEXT(INDEX('My equipment'!$J$4:$J$503,(_calc!$E$739-500)),"yyyy-mm-dd"),""))=0,"","Parts end: "&amp;IF(ISNUMBER(INDEX('My equipment'!$J$4:$J$503,(_calc!$E$739-500))),TEXT(INDEX('My equipment'!$J$4:$J$503,(_calc!$E$739-500)),"yyyy-mm-dd"),"")&amp;". ")&amp;IF(LEN(IF(ISNUMBER(INDEX('My equipment'!$L$4:$L$503,(_calc!$E$739-500))),TEXT(INDEX('My equipment'!$L$4:$L$503,(_calc!$E$739-500)),"yyyy-mm-dd"),""))=0,"","Labor end: "&amp;IF(ISNUMBER(INDEX('My equipment'!$L$4:$L$503,(_calc!$E$739-500))),TEXT(INDEX('My equipment'!$L$4:$L$503,(_calc!$E$739-500)),"yyyy-mm-dd"),"")&amp;". ")&amp;IF(LEN(IF(ISNUMBER(INDEX('My equipment'!$P$4:$P$503,(_calc!$E$739-500))),TEXT(INDEX('My equipment'!$P$4:$P$503,(_calc!$E$739-500)),"yyyy-mm-dd"),""))=0,"","Check by: "&amp;IF(ISNUMBER(INDEX('My equipment'!$P$4:$P$503,(_calc!$E$739-500))),TEXT(INDEX('My equipment'!$P$4:$P$503,(_calc!$E$739-500)),"yyyy-mm-dd"),"")&amp;". ")&amp;IF(LEN(IF(LEN(INDEX('My equipment'!$Q$4:$Q$503,(_calc!$E$739-500)))=0,"",INDEX('My equipment'!$Q$4:$Q$503,(_calc!$E$739-500))))=0,"","Claim status: "&amp;IF(LEN(INDEX('My equipment'!$Q$4:$Q$503,(_calc!$E$739-500)))=0,"",INDEX('My equipment'!$Q$4:$Q$503,(_calc!$E$739-500)))&amp;". ")&amp;IF(LEN(IF(LEN(INDEX('My equipment'!$R$4:$R$503,(_calc!$E$739-500)))=0,"",INDEX('My equipment'!$R$4:$R$503,(_calc!$E$739-500))))=0,"","Claims contact: "&amp;IF(LEN(INDEX('My equipment'!$R$4:$R$503,(_calc!$E$739-500)))=0,"",INDEX('My equipment'!$R$4:$R$503,(_calc!$E$739-500)))&amp;". ")&amp;IF(LEN(IF(LEN(INDEX('My equipment'!$S$4:$S$503,(_calc!$E$739-500)))=0,"",INDEX('My equipment'!$S$4:$S$503,(_calc!$E$739-500))))=0,"","Claims email: "&amp;IF(LEN(INDEX('My equipment'!$S$4:$S$503,(_calc!$E$739-500)))=0,"",INDEX('My equipment'!$S$4:$S$503,(_calc!$E$739-500)))&amp;". ")&amp;IF(LEN(IF(LEN(INDEX('My equipment'!$U$4:$U$503,(_calc!$E$739-500)))=0,"",INDEX('My equipment'!$U$4:$U$503,(_calc!$E$739-500))))=0,"","Registered: "&amp;IF(LEN(INDEX('My equipment'!$U$4:$U$503,(_calc!$E$739-500)))=0,"",INDEX('My equipment'!$U$4:$U$503,(_calc!$E$739-500)))&amp;". ")&amp;IF(LEN(IF(LEN(INDEX('My equipment'!$V$4:$V$503,(_calc!$E$739-500)))=0,"",INDEX('My equipment'!$V$4:$V$503,(_calc!$E$739-500))))=0,"","Proof on file: "&amp;IF(LEN(INDEX('My equipment'!$V$4:$V$503,(_calc!$E$739-500)))=0,"",INDEX('My equipment'!$V$4:$V$503,(_calc!$E$739-500)))&amp;". ")&amp;IF(LEN(IF(LEN(INDEX('My equipment'!$W$4:$W$503,(_calc!$E$739-500)))=0,"",INDEX('My equipment'!$W$4:$W$503,(_calc!$E$739-500))))=0,"","Claim ref: "&amp;IF(LEN(INDEX('My equipment'!$W$4:$W$503,(_calc!$E$739-500)))=0,"",INDEX('My equipment'!$W$4:$W$503,(_calc!$E$739-500)))&amp;". ")&amp;IF(LEN(IF(LEN(INDEX('My equipment'!$Y$4:$Y$503,(_calc!$E$739-500)))=0,"",INDEX('My equipment'!$Y$4:$Y$503,(_calc!$E$739-500))))=0,"",IF(LEN(INDEX('My equipment'!$Y$4:$Y$503,(_calc!$E$739-500)))=0,"",INDEX('My equipment'!$Y$4:$Y$503,(_calc!$E$739-500)))))))</f>
        <v/>
      </c>
      <c r="G737" s="54">
        <f>IF(_calc!$E$739="","",IF(_calc!$E$739&lt;=500,"",IF(LEN(INDEX('My equipment'!$X$4:$X$503,(_calc!$E$739-500)))=0,"",INDEX('My equipment'!$X$4:$X$503,(_calc!$E$739-500)))))</f>
        <v/>
      </c>
      <c r="K737" s="54">
        <f>IF(_calc!$E$739="","",IF(_calc!$E$739&lt;=500,"",IF(LEN(INDEX('My equipment'!$T$4:$T$503,(_calc!$E$739-500)))=0,"",INDEX('My equipment'!$T$4:$T$503,(_calc!$E$739-500)))))</f>
        <v/>
      </c>
    </row>
    <row r="738">
      <c r="A738" s="54">
        <f>IF(_calc!$E$740="","",IF(_calc!$E$740&lt;=500,"Warranty – "&amp;IF(LEN(INDEX('Dealer pipeline'!$C$4:$C$503,_calc!$E$740))=0,"",INDEX('Dealer pipeline'!$C$4:$C$503,_calc!$E$740))&amp;" – "&amp;IF(LEN(INDEX('Dealer pipeline'!$D$4:$D$503,_calc!$E$740))=0,"",INDEX('Dealer pipeline'!$D$4:$D$503,_calc!$E$740))&amp;" – "&amp;IF(LEN(INDEX('Dealer pipeline'!$A$4:$A$503,_calc!$E$740))=0,"",INDEX('Dealer pipeline'!$A$4:$A$503,_calc!$E$740)),"Warranty – "&amp;IF(LEN(INDEX('My equipment'!$A$4:$A$503,(_calc!$E$740-500)))=0,"",INDEX('My equipment'!$A$4:$A$503,(_calc!$E$740-500)))&amp;" – "&amp;IF(LEN(INDEX('My equipment'!$D$4:$D$503,(_calc!$E$740-500)))=0,"",INDEX('My equipment'!$D$4:$D$503,(_calc!$E$740-500)))))</f>
        <v/>
      </c>
      <c r="B738" s="54">
        <f>IF(_calc!$E$740="","",IF(_calc!$E$740&lt;=500,IF(ISNUMBER(INDEX('Dealer pipeline'!$M$4:$M$503,_calc!$E$740)),TEXT(INDEX('Dealer pipeline'!$M$4:$M$503,_calc!$E$740),"yyyy-mm-dd"),""),IF(ISNUMBER(INDEX('My equipment'!$M$4:$M$503,(_calc!$E$740-500))),TEXT(INDEX('My equipment'!$M$4:$M$503,(_calc!$E$740-500)),"yyyy-mm-dd"),"")))</f>
        <v/>
      </c>
      <c r="C738" s="54">
        <f>IF(_calc!$E$740="","",IF(_calc!$E$740&lt;=500,"Warranty","Warranty"))</f>
        <v/>
      </c>
      <c r="D738" s="54">
        <f>IF(_calc!$E$740="","",IF(_calc!$E$740&lt;=500,IF(ISNUMBER(INDEX('Dealer pipeline'!$H$4:$H$503,_calc!$E$740)),TEXT(INDEX('Dealer pipeline'!$H$4:$H$503,_calc!$E$740),"yyyy-mm-dd"),""),IF(ISNUMBER(INDEX('My equipment'!$H$4:$H$503,(_calc!$E$740-500))),TEXT(INDEX('My equipment'!$H$4:$H$503,(_calc!$E$740-500)),"yyyy-mm-dd"),"")))</f>
        <v/>
      </c>
      <c r="F738" s="54">
        <f>IF(_calc!$E$740="","",IF(_calc!$E$740&lt;=500,TRIM(IF(LEN(IF(LEN(INDEX('Dealer pipeline'!$A$4:$A$503,_calc!$E$740))=0,"",INDEX('Dealer pipeline'!$A$4:$A$503,_calc!$E$740)))=0,"","Customer: "&amp;IF(LEN(INDEX('Dealer pipeline'!$A$4:$A$503,_calc!$E$740))=0,"",INDEX('Dealer pipeline'!$A$4:$A$503,_calc!$E$740))&amp;". ")&amp;IF(LEN(IF(LEN(INDEX('Dealer pipeline'!$B$4:$B$503,_calc!$E$740))=0,"",INDEX('Dealer pipeline'!$B$4:$B$503,_calc!$E$740)))=0,"","Contact: "&amp;IF(LEN(INDEX('Dealer pipeline'!$B$4:$B$503,_calc!$E$740))=0,"",INDEX('Dealer pipeline'!$B$4:$B$503,_calc!$E$740))&amp;". ")&amp;IF(LEN(IF(LEN(INDEX('Dealer pipeline'!$D$4:$D$503,_calc!$E$740))=0,"",INDEX('Dealer pipeline'!$D$4:$D$503,_calc!$E$740)))=0,"","Serial: "&amp;IF(LEN(INDEX('Dealer pipeline'!$D$4:$D$503,_calc!$E$740))=0,"",INDEX('Dealer pipeline'!$D$4:$D$503,_calc!$E$740))&amp;". ")&amp;IF(LEN(IF(ISNUMBER(INDEX('Dealer pipeline'!$J$4:$J$503,_calc!$E$740)),TEXT(INDEX('Dealer pipeline'!$J$4:$J$503,_calc!$E$740),"yyyy-mm-dd"),""))=0,"","Parts end: "&amp;IF(ISNUMBER(INDEX('Dealer pipeline'!$J$4:$J$503,_calc!$E$740)),TEXT(INDEX('Dealer pipeline'!$J$4:$J$503,_calc!$E$740),"yyyy-mm-dd"),"")&amp;". ")&amp;IF(LEN(IF(ISNUMBER(INDEX('Dealer pipeline'!$L$4:$L$503,_calc!$E$740)),TEXT(INDEX('Dealer pipeline'!$L$4:$L$503,_calc!$E$740),"yyyy-mm-dd"),""))=0,"","Labor end: "&amp;IF(ISNUMBER(INDEX('Dealer pipeline'!$L$4:$L$503,_calc!$E$740)),TEXT(INDEX('Dealer pipeline'!$L$4:$L$503,_calc!$E$740),"yyyy-mm-dd"),"")&amp;". ")&amp;IF(LEN(IF(LEN(INDEX('Dealer pipeline'!$Q$4:$Q$503,_calc!$E$740))=0,"",INDEX('Dealer pipeline'!$Q$4:$Q$503,_calc!$E$740)))=0,"","Status: "&amp;IF(LEN(INDEX('Dealer pipeline'!$Q$4:$Q$503,_calc!$E$740))=0,"",INDEX('Dealer pipeline'!$Q$4:$Q$503,_calc!$E$740))&amp;". ")&amp;IF(LEN(IF(LEN(INDEX('Dealer pipeline'!$P$4:$P$503,_calc!$E$740))=0,"",INDEX('Dealer pipeline'!$P$4:$P$503,_calc!$E$740)))=0,"","Last touch: "&amp;IF(LEN(INDEX('Dealer pipeline'!$P$4:$P$503,_calc!$E$740))=0,"",INDEX('Dealer pipeline'!$P$4:$P$503,_calc!$E$740))&amp;". ")&amp;IF(LEN(IF(LEN(INDEX('Dealer pipeline'!$R$4:$R$503,_calc!$E$740))=0,"",INDEX('Dealer pipeline'!$R$4:$R$503,_calc!$E$740)))=0,"","Owner: "&amp;IF(LEN(INDEX('Dealer pipeline'!$R$4:$R$503,_calc!$E$740))=0,"",INDEX('Dealer pipeline'!$R$4:$R$503,_calc!$E$740))&amp;". ")&amp;IF(LEN(IF(LEN(INDEX('Dealer pipeline'!$S$4:$S$503,_calc!$E$740))=0,"",INDEX('Dealer pipeline'!$S$4:$S$503,_calc!$E$740)))=0,"","Backup: "&amp;IF(LEN(INDEX('Dealer pipeline'!$S$4:$S$503,_calc!$E$740))=0,"",INDEX('Dealer pipeline'!$S$4:$S$503,_calc!$E$740))&amp;". ")&amp;IF(LEN(IF(LEN(INDEX('Dealer pipeline'!$T$4:$T$503,_calc!$E$740))=0,"",INDEX('Dealer pipeline'!$T$4:$T$503,_calc!$E$740)))=0,"",IF(LEN(INDEX('Dealer pipeline'!$T$4:$T$503,_calc!$E$740))=0,"",INDEX('Dealer pipeline'!$T$4:$T$503,_calc!$E$740)))),TRIM(IF(LEN(IF(LEN(INDEX('My equipment'!$C$4:$C$503,(_calc!$E$740-500)))=0,"",INDEX('My equipment'!$C$4:$C$503,(_calc!$E$740-500))))=0,"","Model: "&amp;IF(LEN(INDEX('My equipment'!$C$4:$C$503,(_calc!$E$740-500)))=0,"",INDEX('My equipment'!$C$4:$C$503,(_calc!$E$740-500)))&amp;". ")&amp;IF(LEN(IF(LEN(INDEX('My equipment'!$D$4:$D$503,(_calc!$E$740-500)))=0,"",INDEX('My equipment'!$D$4:$D$503,(_calc!$E$740-500))))=0,"","Serial: "&amp;IF(LEN(INDEX('My equipment'!$D$4:$D$503,(_calc!$E$740-500)))=0,"",INDEX('My equipment'!$D$4:$D$503,(_calc!$E$740-500)))&amp;". ")&amp;IF(LEN(IF(ISNUMBER(INDEX('My equipment'!$J$4:$J$503,(_calc!$E$740-500))),TEXT(INDEX('My equipment'!$J$4:$J$503,(_calc!$E$740-500)),"yyyy-mm-dd"),""))=0,"","Parts end: "&amp;IF(ISNUMBER(INDEX('My equipment'!$J$4:$J$503,(_calc!$E$740-500))),TEXT(INDEX('My equipment'!$J$4:$J$503,(_calc!$E$740-500)),"yyyy-mm-dd"),"")&amp;". ")&amp;IF(LEN(IF(ISNUMBER(INDEX('My equipment'!$L$4:$L$503,(_calc!$E$740-500))),TEXT(INDEX('My equipment'!$L$4:$L$503,(_calc!$E$740-500)),"yyyy-mm-dd"),""))=0,"","Labor end: "&amp;IF(ISNUMBER(INDEX('My equipment'!$L$4:$L$503,(_calc!$E$740-500))),TEXT(INDEX('My equipment'!$L$4:$L$503,(_calc!$E$740-500)),"yyyy-mm-dd"),"")&amp;". ")&amp;IF(LEN(IF(ISNUMBER(INDEX('My equipment'!$P$4:$P$503,(_calc!$E$740-500))),TEXT(INDEX('My equipment'!$P$4:$P$503,(_calc!$E$740-500)),"yyyy-mm-dd"),""))=0,"","Check by: "&amp;IF(ISNUMBER(INDEX('My equipment'!$P$4:$P$503,(_calc!$E$740-500))),TEXT(INDEX('My equipment'!$P$4:$P$503,(_calc!$E$740-500)),"yyyy-mm-dd"),"")&amp;". ")&amp;IF(LEN(IF(LEN(INDEX('My equipment'!$Q$4:$Q$503,(_calc!$E$740-500)))=0,"",INDEX('My equipment'!$Q$4:$Q$503,(_calc!$E$740-500))))=0,"","Claim status: "&amp;IF(LEN(INDEX('My equipment'!$Q$4:$Q$503,(_calc!$E$740-500)))=0,"",INDEX('My equipment'!$Q$4:$Q$503,(_calc!$E$740-500)))&amp;". ")&amp;IF(LEN(IF(LEN(INDEX('My equipment'!$R$4:$R$503,(_calc!$E$740-500)))=0,"",INDEX('My equipment'!$R$4:$R$503,(_calc!$E$740-500))))=0,"","Claims contact: "&amp;IF(LEN(INDEX('My equipment'!$R$4:$R$503,(_calc!$E$740-500)))=0,"",INDEX('My equipment'!$R$4:$R$503,(_calc!$E$740-500)))&amp;". ")&amp;IF(LEN(IF(LEN(INDEX('My equipment'!$S$4:$S$503,(_calc!$E$740-500)))=0,"",INDEX('My equipment'!$S$4:$S$503,(_calc!$E$740-500))))=0,"","Claims email: "&amp;IF(LEN(INDEX('My equipment'!$S$4:$S$503,(_calc!$E$740-500)))=0,"",INDEX('My equipment'!$S$4:$S$503,(_calc!$E$740-500)))&amp;". ")&amp;IF(LEN(IF(LEN(INDEX('My equipment'!$U$4:$U$503,(_calc!$E$740-500)))=0,"",INDEX('My equipment'!$U$4:$U$503,(_calc!$E$740-500))))=0,"","Registered: "&amp;IF(LEN(INDEX('My equipment'!$U$4:$U$503,(_calc!$E$740-500)))=0,"",INDEX('My equipment'!$U$4:$U$503,(_calc!$E$740-500)))&amp;". ")&amp;IF(LEN(IF(LEN(INDEX('My equipment'!$V$4:$V$503,(_calc!$E$740-500)))=0,"",INDEX('My equipment'!$V$4:$V$503,(_calc!$E$740-500))))=0,"","Proof on file: "&amp;IF(LEN(INDEX('My equipment'!$V$4:$V$503,(_calc!$E$740-500)))=0,"",INDEX('My equipment'!$V$4:$V$503,(_calc!$E$740-500)))&amp;". ")&amp;IF(LEN(IF(LEN(INDEX('My equipment'!$W$4:$W$503,(_calc!$E$740-500)))=0,"",INDEX('My equipment'!$W$4:$W$503,(_calc!$E$740-500))))=0,"","Claim ref: "&amp;IF(LEN(INDEX('My equipment'!$W$4:$W$503,(_calc!$E$740-500)))=0,"",INDEX('My equipment'!$W$4:$W$503,(_calc!$E$740-500)))&amp;". ")&amp;IF(LEN(IF(LEN(INDEX('My equipment'!$Y$4:$Y$503,(_calc!$E$740-500)))=0,"",INDEX('My equipment'!$Y$4:$Y$503,(_calc!$E$740-500))))=0,"",IF(LEN(INDEX('My equipment'!$Y$4:$Y$503,(_calc!$E$740-500)))=0,"",INDEX('My equipment'!$Y$4:$Y$503,(_calc!$E$740-500)))))))</f>
        <v/>
      </c>
      <c r="G738" s="54">
        <f>IF(_calc!$E$740="","",IF(_calc!$E$740&lt;=500,"",IF(LEN(INDEX('My equipment'!$X$4:$X$503,(_calc!$E$740-500)))=0,"",INDEX('My equipment'!$X$4:$X$503,(_calc!$E$740-500)))))</f>
        <v/>
      </c>
      <c r="K738" s="54">
        <f>IF(_calc!$E$740="","",IF(_calc!$E$740&lt;=500,"",IF(LEN(INDEX('My equipment'!$T$4:$T$503,(_calc!$E$740-500)))=0,"",INDEX('My equipment'!$T$4:$T$503,(_calc!$E$740-500)))))</f>
        <v/>
      </c>
    </row>
    <row r="739">
      <c r="A739" s="54">
        <f>IF(_calc!$E$741="","",IF(_calc!$E$741&lt;=500,"Warranty – "&amp;IF(LEN(INDEX('Dealer pipeline'!$C$4:$C$503,_calc!$E$741))=0,"",INDEX('Dealer pipeline'!$C$4:$C$503,_calc!$E$741))&amp;" – "&amp;IF(LEN(INDEX('Dealer pipeline'!$D$4:$D$503,_calc!$E$741))=0,"",INDEX('Dealer pipeline'!$D$4:$D$503,_calc!$E$741))&amp;" – "&amp;IF(LEN(INDEX('Dealer pipeline'!$A$4:$A$503,_calc!$E$741))=0,"",INDEX('Dealer pipeline'!$A$4:$A$503,_calc!$E$741)),"Warranty – "&amp;IF(LEN(INDEX('My equipment'!$A$4:$A$503,(_calc!$E$741-500)))=0,"",INDEX('My equipment'!$A$4:$A$503,(_calc!$E$741-500)))&amp;" – "&amp;IF(LEN(INDEX('My equipment'!$D$4:$D$503,(_calc!$E$741-500)))=0,"",INDEX('My equipment'!$D$4:$D$503,(_calc!$E$741-500)))))</f>
        <v/>
      </c>
      <c r="B739" s="54">
        <f>IF(_calc!$E$741="","",IF(_calc!$E$741&lt;=500,IF(ISNUMBER(INDEX('Dealer pipeline'!$M$4:$M$503,_calc!$E$741)),TEXT(INDEX('Dealer pipeline'!$M$4:$M$503,_calc!$E$741),"yyyy-mm-dd"),""),IF(ISNUMBER(INDEX('My equipment'!$M$4:$M$503,(_calc!$E$741-500))),TEXT(INDEX('My equipment'!$M$4:$M$503,(_calc!$E$741-500)),"yyyy-mm-dd"),"")))</f>
        <v/>
      </c>
      <c r="C739" s="54">
        <f>IF(_calc!$E$741="","",IF(_calc!$E$741&lt;=500,"Warranty","Warranty"))</f>
        <v/>
      </c>
      <c r="D739" s="54">
        <f>IF(_calc!$E$741="","",IF(_calc!$E$741&lt;=500,IF(ISNUMBER(INDEX('Dealer pipeline'!$H$4:$H$503,_calc!$E$741)),TEXT(INDEX('Dealer pipeline'!$H$4:$H$503,_calc!$E$741),"yyyy-mm-dd"),""),IF(ISNUMBER(INDEX('My equipment'!$H$4:$H$503,(_calc!$E$741-500))),TEXT(INDEX('My equipment'!$H$4:$H$503,(_calc!$E$741-500)),"yyyy-mm-dd"),"")))</f>
        <v/>
      </c>
      <c r="F739" s="54">
        <f>IF(_calc!$E$741="","",IF(_calc!$E$741&lt;=500,TRIM(IF(LEN(IF(LEN(INDEX('Dealer pipeline'!$A$4:$A$503,_calc!$E$741))=0,"",INDEX('Dealer pipeline'!$A$4:$A$503,_calc!$E$741)))=0,"","Customer: "&amp;IF(LEN(INDEX('Dealer pipeline'!$A$4:$A$503,_calc!$E$741))=0,"",INDEX('Dealer pipeline'!$A$4:$A$503,_calc!$E$741))&amp;". ")&amp;IF(LEN(IF(LEN(INDEX('Dealer pipeline'!$B$4:$B$503,_calc!$E$741))=0,"",INDEX('Dealer pipeline'!$B$4:$B$503,_calc!$E$741)))=0,"","Contact: "&amp;IF(LEN(INDEX('Dealer pipeline'!$B$4:$B$503,_calc!$E$741))=0,"",INDEX('Dealer pipeline'!$B$4:$B$503,_calc!$E$741))&amp;". ")&amp;IF(LEN(IF(LEN(INDEX('Dealer pipeline'!$D$4:$D$503,_calc!$E$741))=0,"",INDEX('Dealer pipeline'!$D$4:$D$503,_calc!$E$741)))=0,"","Serial: "&amp;IF(LEN(INDEX('Dealer pipeline'!$D$4:$D$503,_calc!$E$741))=0,"",INDEX('Dealer pipeline'!$D$4:$D$503,_calc!$E$741))&amp;". ")&amp;IF(LEN(IF(ISNUMBER(INDEX('Dealer pipeline'!$J$4:$J$503,_calc!$E$741)),TEXT(INDEX('Dealer pipeline'!$J$4:$J$503,_calc!$E$741),"yyyy-mm-dd"),""))=0,"","Parts end: "&amp;IF(ISNUMBER(INDEX('Dealer pipeline'!$J$4:$J$503,_calc!$E$741)),TEXT(INDEX('Dealer pipeline'!$J$4:$J$503,_calc!$E$741),"yyyy-mm-dd"),"")&amp;". ")&amp;IF(LEN(IF(ISNUMBER(INDEX('Dealer pipeline'!$L$4:$L$503,_calc!$E$741)),TEXT(INDEX('Dealer pipeline'!$L$4:$L$503,_calc!$E$741),"yyyy-mm-dd"),""))=0,"","Labor end: "&amp;IF(ISNUMBER(INDEX('Dealer pipeline'!$L$4:$L$503,_calc!$E$741)),TEXT(INDEX('Dealer pipeline'!$L$4:$L$503,_calc!$E$741),"yyyy-mm-dd"),"")&amp;". ")&amp;IF(LEN(IF(LEN(INDEX('Dealer pipeline'!$Q$4:$Q$503,_calc!$E$741))=0,"",INDEX('Dealer pipeline'!$Q$4:$Q$503,_calc!$E$741)))=0,"","Status: "&amp;IF(LEN(INDEX('Dealer pipeline'!$Q$4:$Q$503,_calc!$E$741))=0,"",INDEX('Dealer pipeline'!$Q$4:$Q$503,_calc!$E$741))&amp;". ")&amp;IF(LEN(IF(LEN(INDEX('Dealer pipeline'!$P$4:$P$503,_calc!$E$741))=0,"",INDEX('Dealer pipeline'!$P$4:$P$503,_calc!$E$741)))=0,"","Last touch: "&amp;IF(LEN(INDEX('Dealer pipeline'!$P$4:$P$503,_calc!$E$741))=0,"",INDEX('Dealer pipeline'!$P$4:$P$503,_calc!$E$741))&amp;". ")&amp;IF(LEN(IF(LEN(INDEX('Dealer pipeline'!$R$4:$R$503,_calc!$E$741))=0,"",INDEX('Dealer pipeline'!$R$4:$R$503,_calc!$E$741)))=0,"","Owner: "&amp;IF(LEN(INDEX('Dealer pipeline'!$R$4:$R$503,_calc!$E$741))=0,"",INDEX('Dealer pipeline'!$R$4:$R$503,_calc!$E$741))&amp;". ")&amp;IF(LEN(IF(LEN(INDEX('Dealer pipeline'!$S$4:$S$503,_calc!$E$741))=0,"",INDEX('Dealer pipeline'!$S$4:$S$503,_calc!$E$741)))=0,"","Backup: "&amp;IF(LEN(INDEX('Dealer pipeline'!$S$4:$S$503,_calc!$E$741))=0,"",INDEX('Dealer pipeline'!$S$4:$S$503,_calc!$E$741))&amp;". ")&amp;IF(LEN(IF(LEN(INDEX('Dealer pipeline'!$T$4:$T$503,_calc!$E$741))=0,"",INDEX('Dealer pipeline'!$T$4:$T$503,_calc!$E$741)))=0,"",IF(LEN(INDEX('Dealer pipeline'!$T$4:$T$503,_calc!$E$741))=0,"",INDEX('Dealer pipeline'!$T$4:$T$503,_calc!$E$741)))),TRIM(IF(LEN(IF(LEN(INDEX('My equipment'!$C$4:$C$503,(_calc!$E$741-500)))=0,"",INDEX('My equipment'!$C$4:$C$503,(_calc!$E$741-500))))=0,"","Model: "&amp;IF(LEN(INDEX('My equipment'!$C$4:$C$503,(_calc!$E$741-500)))=0,"",INDEX('My equipment'!$C$4:$C$503,(_calc!$E$741-500)))&amp;". ")&amp;IF(LEN(IF(LEN(INDEX('My equipment'!$D$4:$D$503,(_calc!$E$741-500)))=0,"",INDEX('My equipment'!$D$4:$D$503,(_calc!$E$741-500))))=0,"","Serial: "&amp;IF(LEN(INDEX('My equipment'!$D$4:$D$503,(_calc!$E$741-500)))=0,"",INDEX('My equipment'!$D$4:$D$503,(_calc!$E$741-500)))&amp;". ")&amp;IF(LEN(IF(ISNUMBER(INDEX('My equipment'!$J$4:$J$503,(_calc!$E$741-500))),TEXT(INDEX('My equipment'!$J$4:$J$503,(_calc!$E$741-500)),"yyyy-mm-dd"),""))=0,"","Parts end: "&amp;IF(ISNUMBER(INDEX('My equipment'!$J$4:$J$503,(_calc!$E$741-500))),TEXT(INDEX('My equipment'!$J$4:$J$503,(_calc!$E$741-500)),"yyyy-mm-dd"),"")&amp;". ")&amp;IF(LEN(IF(ISNUMBER(INDEX('My equipment'!$L$4:$L$503,(_calc!$E$741-500))),TEXT(INDEX('My equipment'!$L$4:$L$503,(_calc!$E$741-500)),"yyyy-mm-dd"),""))=0,"","Labor end: "&amp;IF(ISNUMBER(INDEX('My equipment'!$L$4:$L$503,(_calc!$E$741-500))),TEXT(INDEX('My equipment'!$L$4:$L$503,(_calc!$E$741-500)),"yyyy-mm-dd"),"")&amp;". ")&amp;IF(LEN(IF(ISNUMBER(INDEX('My equipment'!$P$4:$P$503,(_calc!$E$741-500))),TEXT(INDEX('My equipment'!$P$4:$P$503,(_calc!$E$741-500)),"yyyy-mm-dd"),""))=0,"","Check by: "&amp;IF(ISNUMBER(INDEX('My equipment'!$P$4:$P$503,(_calc!$E$741-500))),TEXT(INDEX('My equipment'!$P$4:$P$503,(_calc!$E$741-500)),"yyyy-mm-dd"),"")&amp;". ")&amp;IF(LEN(IF(LEN(INDEX('My equipment'!$Q$4:$Q$503,(_calc!$E$741-500)))=0,"",INDEX('My equipment'!$Q$4:$Q$503,(_calc!$E$741-500))))=0,"","Claim status: "&amp;IF(LEN(INDEX('My equipment'!$Q$4:$Q$503,(_calc!$E$741-500)))=0,"",INDEX('My equipment'!$Q$4:$Q$503,(_calc!$E$741-500)))&amp;". ")&amp;IF(LEN(IF(LEN(INDEX('My equipment'!$R$4:$R$503,(_calc!$E$741-500)))=0,"",INDEX('My equipment'!$R$4:$R$503,(_calc!$E$741-500))))=0,"","Claims contact: "&amp;IF(LEN(INDEX('My equipment'!$R$4:$R$503,(_calc!$E$741-500)))=0,"",INDEX('My equipment'!$R$4:$R$503,(_calc!$E$741-500)))&amp;". ")&amp;IF(LEN(IF(LEN(INDEX('My equipment'!$S$4:$S$503,(_calc!$E$741-500)))=0,"",INDEX('My equipment'!$S$4:$S$503,(_calc!$E$741-500))))=0,"","Claims email: "&amp;IF(LEN(INDEX('My equipment'!$S$4:$S$503,(_calc!$E$741-500)))=0,"",INDEX('My equipment'!$S$4:$S$503,(_calc!$E$741-500)))&amp;". ")&amp;IF(LEN(IF(LEN(INDEX('My equipment'!$U$4:$U$503,(_calc!$E$741-500)))=0,"",INDEX('My equipment'!$U$4:$U$503,(_calc!$E$741-500))))=0,"","Registered: "&amp;IF(LEN(INDEX('My equipment'!$U$4:$U$503,(_calc!$E$741-500)))=0,"",INDEX('My equipment'!$U$4:$U$503,(_calc!$E$741-500)))&amp;". ")&amp;IF(LEN(IF(LEN(INDEX('My equipment'!$V$4:$V$503,(_calc!$E$741-500)))=0,"",INDEX('My equipment'!$V$4:$V$503,(_calc!$E$741-500))))=0,"","Proof on file: "&amp;IF(LEN(INDEX('My equipment'!$V$4:$V$503,(_calc!$E$741-500)))=0,"",INDEX('My equipment'!$V$4:$V$503,(_calc!$E$741-500)))&amp;". ")&amp;IF(LEN(IF(LEN(INDEX('My equipment'!$W$4:$W$503,(_calc!$E$741-500)))=0,"",INDEX('My equipment'!$W$4:$W$503,(_calc!$E$741-500))))=0,"","Claim ref: "&amp;IF(LEN(INDEX('My equipment'!$W$4:$W$503,(_calc!$E$741-500)))=0,"",INDEX('My equipment'!$W$4:$W$503,(_calc!$E$741-500)))&amp;". ")&amp;IF(LEN(IF(LEN(INDEX('My equipment'!$Y$4:$Y$503,(_calc!$E$741-500)))=0,"",INDEX('My equipment'!$Y$4:$Y$503,(_calc!$E$741-500))))=0,"",IF(LEN(INDEX('My equipment'!$Y$4:$Y$503,(_calc!$E$741-500)))=0,"",INDEX('My equipment'!$Y$4:$Y$503,(_calc!$E$741-500)))))))</f>
        <v/>
      </c>
      <c r="G739" s="54">
        <f>IF(_calc!$E$741="","",IF(_calc!$E$741&lt;=500,"",IF(LEN(INDEX('My equipment'!$X$4:$X$503,(_calc!$E$741-500)))=0,"",INDEX('My equipment'!$X$4:$X$503,(_calc!$E$741-500)))))</f>
        <v/>
      </c>
      <c r="K739" s="54">
        <f>IF(_calc!$E$741="","",IF(_calc!$E$741&lt;=500,"",IF(LEN(INDEX('My equipment'!$T$4:$T$503,(_calc!$E$741-500)))=0,"",INDEX('My equipment'!$T$4:$T$503,(_calc!$E$741-500)))))</f>
        <v/>
      </c>
    </row>
    <row r="740">
      <c r="A740" s="54">
        <f>IF(_calc!$E$742="","",IF(_calc!$E$742&lt;=500,"Warranty – "&amp;IF(LEN(INDEX('Dealer pipeline'!$C$4:$C$503,_calc!$E$742))=0,"",INDEX('Dealer pipeline'!$C$4:$C$503,_calc!$E$742))&amp;" – "&amp;IF(LEN(INDEX('Dealer pipeline'!$D$4:$D$503,_calc!$E$742))=0,"",INDEX('Dealer pipeline'!$D$4:$D$503,_calc!$E$742))&amp;" – "&amp;IF(LEN(INDEX('Dealer pipeline'!$A$4:$A$503,_calc!$E$742))=0,"",INDEX('Dealer pipeline'!$A$4:$A$503,_calc!$E$742)),"Warranty – "&amp;IF(LEN(INDEX('My equipment'!$A$4:$A$503,(_calc!$E$742-500)))=0,"",INDEX('My equipment'!$A$4:$A$503,(_calc!$E$742-500)))&amp;" – "&amp;IF(LEN(INDEX('My equipment'!$D$4:$D$503,(_calc!$E$742-500)))=0,"",INDEX('My equipment'!$D$4:$D$503,(_calc!$E$742-500)))))</f>
        <v/>
      </c>
      <c r="B740" s="54">
        <f>IF(_calc!$E$742="","",IF(_calc!$E$742&lt;=500,IF(ISNUMBER(INDEX('Dealer pipeline'!$M$4:$M$503,_calc!$E$742)),TEXT(INDEX('Dealer pipeline'!$M$4:$M$503,_calc!$E$742),"yyyy-mm-dd"),""),IF(ISNUMBER(INDEX('My equipment'!$M$4:$M$503,(_calc!$E$742-500))),TEXT(INDEX('My equipment'!$M$4:$M$503,(_calc!$E$742-500)),"yyyy-mm-dd"),"")))</f>
        <v/>
      </c>
      <c r="C740" s="54">
        <f>IF(_calc!$E$742="","",IF(_calc!$E$742&lt;=500,"Warranty","Warranty"))</f>
        <v/>
      </c>
      <c r="D740" s="54">
        <f>IF(_calc!$E$742="","",IF(_calc!$E$742&lt;=500,IF(ISNUMBER(INDEX('Dealer pipeline'!$H$4:$H$503,_calc!$E$742)),TEXT(INDEX('Dealer pipeline'!$H$4:$H$503,_calc!$E$742),"yyyy-mm-dd"),""),IF(ISNUMBER(INDEX('My equipment'!$H$4:$H$503,(_calc!$E$742-500))),TEXT(INDEX('My equipment'!$H$4:$H$503,(_calc!$E$742-500)),"yyyy-mm-dd"),"")))</f>
        <v/>
      </c>
      <c r="F740" s="54">
        <f>IF(_calc!$E$742="","",IF(_calc!$E$742&lt;=500,TRIM(IF(LEN(IF(LEN(INDEX('Dealer pipeline'!$A$4:$A$503,_calc!$E$742))=0,"",INDEX('Dealer pipeline'!$A$4:$A$503,_calc!$E$742)))=0,"","Customer: "&amp;IF(LEN(INDEX('Dealer pipeline'!$A$4:$A$503,_calc!$E$742))=0,"",INDEX('Dealer pipeline'!$A$4:$A$503,_calc!$E$742))&amp;". ")&amp;IF(LEN(IF(LEN(INDEX('Dealer pipeline'!$B$4:$B$503,_calc!$E$742))=0,"",INDEX('Dealer pipeline'!$B$4:$B$503,_calc!$E$742)))=0,"","Contact: "&amp;IF(LEN(INDEX('Dealer pipeline'!$B$4:$B$503,_calc!$E$742))=0,"",INDEX('Dealer pipeline'!$B$4:$B$503,_calc!$E$742))&amp;". ")&amp;IF(LEN(IF(LEN(INDEX('Dealer pipeline'!$D$4:$D$503,_calc!$E$742))=0,"",INDEX('Dealer pipeline'!$D$4:$D$503,_calc!$E$742)))=0,"","Serial: "&amp;IF(LEN(INDEX('Dealer pipeline'!$D$4:$D$503,_calc!$E$742))=0,"",INDEX('Dealer pipeline'!$D$4:$D$503,_calc!$E$742))&amp;". ")&amp;IF(LEN(IF(ISNUMBER(INDEX('Dealer pipeline'!$J$4:$J$503,_calc!$E$742)),TEXT(INDEX('Dealer pipeline'!$J$4:$J$503,_calc!$E$742),"yyyy-mm-dd"),""))=0,"","Parts end: "&amp;IF(ISNUMBER(INDEX('Dealer pipeline'!$J$4:$J$503,_calc!$E$742)),TEXT(INDEX('Dealer pipeline'!$J$4:$J$503,_calc!$E$742),"yyyy-mm-dd"),"")&amp;". ")&amp;IF(LEN(IF(ISNUMBER(INDEX('Dealer pipeline'!$L$4:$L$503,_calc!$E$742)),TEXT(INDEX('Dealer pipeline'!$L$4:$L$503,_calc!$E$742),"yyyy-mm-dd"),""))=0,"","Labor end: "&amp;IF(ISNUMBER(INDEX('Dealer pipeline'!$L$4:$L$503,_calc!$E$742)),TEXT(INDEX('Dealer pipeline'!$L$4:$L$503,_calc!$E$742),"yyyy-mm-dd"),"")&amp;". ")&amp;IF(LEN(IF(LEN(INDEX('Dealer pipeline'!$Q$4:$Q$503,_calc!$E$742))=0,"",INDEX('Dealer pipeline'!$Q$4:$Q$503,_calc!$E$742)))=0,"","Status: "&amp;IF(LEN(INDEX('Dealer pipeline'!$Q$4:$Q$503,_calc!$E$742))=0,"",INDEX('Dealer pipeline'!$Q$4:$Q$503,_calc!$E$742))&amp;". ")&amp;IF(LEN(IF(LEN(INDEX('Dealer pipeline'!$P$4:$P$503,_calc!$E$742))=0,"",INDEX('Dealer pipeline'!$P$4:$P$503,_calc!$E$742)))=0,"","Last touch: "&amp;IF(LEN(INDEX('Dealer pipeline'!$P$4:$P$503,_calc!$E$742))=0,"",INDEX('Dealer pipeline'!$P$4:$P$503,_calc!$E$742))&amp;". ")&amp;IF(LEN(IF(LEN(INDEX('Dealer pipeline'!$R$4:$R$503,_calc!$E$742))=0,"",INDEX('Dealer pipeline'!$R$4:$R$503,_calc!$E$742)))=0,"","Owner: "&amp;IF(LEN(INDEX('Dealer pipeline'!$R$4:$R$503,_calc!$E$742))=0,"",INDEX('Dealer pipeline'!$R$4:$R$503,_calc!$E$742))&amp;". ")&amp;IF(LEN(IF(LEN(INDEX('Dealer pipeline'!$S$4:$S$503,_calc!$E$742))=0,"",INDEX('Dealer pipeline'!$S$4:$S$503,_calc!$E$742)))=0,"","Backup: "&amp;IF(LEN(INDEX('Dealer pipeline'!$S$4:$S$503,_calc!$E$742))=0,"",INDEX('Dealer pipeline'!$S$4:$S$503,_calc!$E$742))&amp;". ")&amp;IF(LEN(IF(LEN(INDEX('Dealer pipeline'!$T$4:$T$503,_calc!$E$742))=0,"",INDEX('Dealer pipeline'!$T$4:$T$503,_calc!$E$742)))=0,"",IF(LEN(INDEX('Dealer pipeline'!$T$4:$T$503,_calc!$E$742))=0,"",INDEX('Dealer pipeline'!$T$4:$T$503,_calc!$E$742)))),TRIM(IF(LEN(IF(LEN(INDEX('My equipment'!$C$4:$C$503,(_calc!$E$742-500)))=0,"",INDEX('My equipment'!$C$4:$C$503,(_calc!$E$742-500))))=0,"","Model: "&amp;IF(LEN(INDEX('My equipment'!$C$4:$C$503,(_calc!$E$742-500)))=0,"",INDEX('My equipment'!$C$4:$C$503,(_calc!$E$742-500)))&amp;". ")&amp;IF(LEN(IF(LEN(INDEX('My equipment'!$D$4:$D$503,(_calc!$E$742-500)))=0,"",INDEX('My equipment'!$D$4:$D$503,(_calc!$E$742-500))))=0,"","Serial: "&amp;IF(LEN(INDEX('My equipment'!$D$4:$D$503,(_calc!$E$742-500)))=0,"",INDEX('My equipment'!$D$4:$D$503,(_calc!$E$742-500)))&amp;". ")&amp;IF(LEN(IF(ISNUMBER(INDEX('My equipment'!$J$4:$J$503,(_calc!$E$742-500))),TEXT(INDEX('My equipment'!$J$4:$J$503,(_calc!$E$742-500)),"yyyy-mm-dd"),""))=0,"","Parts end: "&amp;IF(ISNUMBER(INDEX('My equipment'!$J$4:$J$503,(_calc!$E$742-500))),TEXT(INDEX('My equipment'!$J$4:$J$503,(_calc!$E$742-500)),"yyyy-mm-dd"),"")&amp;". ")&amp;IF(LEN(IF(ISNUMBER(INDEX('My equipment'!$L$4:$L$503,(_calc!$E$742-500))),TEXT(INDEX('My equipment'!$L$4:$L$503,(_calc!$E$742-500)),"yyyy-mm-dd"),""))=0,"","Labor end: "&amp;IF(ISNUMBER(INDEX('My equipment'!$L$4:$L$503,(_calc!$E$742-500))),TEXT(INDEX('My equipment'!$L$4:$L$503,(_calc!$E$742-500)),"yyyy-mm-dd"),"")&amp;". ")&amp;IF(LEN(IF(ISNUMBER(INDEX('My equipment'!$P$4:$P$503,(_calc!$E$742-500))),TEXT(INDEX('My equipment'!$P$4:$P$503,(_calc!$E$742-500)),"yyyy-mm-dd"),""))=0,"","Check by: "&amp;IF(ISNUMBER(INDEX('My equipment'!$P$4:$P$503,(_calc!$E$742-500))),TEXT(INDEX('My equipment'!$P$4:$P$503,(_calc!$E$742-500)),"yyyy-mm-dd"),"")&amp;". ")&amp;IF(LEN(IF(LEN(INDEX('My equipment'!$Q$4:$Q$503,(_calc!$E$742-500)))=0,"",INDEX('My equipment'!$Q$4:$Q$503,(_calc!$E$742-500))))=0,"","Claim status: "&amp;IF(LEN(INDEX('My equipment'!$Q$4:$Q$503,(_calc!$E$742-500)))=0,"",INDEX('My equipment'!$Q$4:$Q$503,(_calc!$E$742-500)))&amp;". ")&amp;IF(LEN(IF(LEN(INDEX('My equipment'!$R$4:$R$503,(_calc!$E$742-500)))=0,"",INDEX('My equipment'!$R$4:$R$503,(_calc!$E$742-500))))=0,"","Claims contact: "&amp;IF(LEN(INDEX('My equipment'!$R$4:$R$503,(_calc!$E$742-500)))=0,"",INDEX('My equipment'!$R$4:$R$503,(_calc!$E$742-500)))&amp;". ")&amp;IF(LEN(IF(LEN(INDEX('My equipment'!$S$4:$S$503,(_calc!$E$742-500)))=0,"",INDEX('My equipment'!$S$4:$S$503,(_calc!$E$742-500))))=0,"","Claims email: "&amp;IF(LEN(INDEX('My equipment'!$S$4:$S$503,(_calc!$E$742-500)))=0,"",INDEX('My equipment'!$S$4:$S$503,(_calc!$E$742-500)))&amp;". ")&amp;IF(LEN(IF(LEN(INDEX('My equipment'!$U$4:$U$503,(_calc!$E$742-500)))=0,"",INDEX('My equipment'!$U$4:$U$503,(_calc!$E$742-500))))=0,"","Registered: "&amp;IF(LEN(INDEX('My equipment'!$U$4:$U$503,(_calc!$E$742-500)))=0,"",INDEX('My equipment'!$U$4:$U$503,(_calc!$E$742-500)))&amp;". ")&amp;IF(LEN(IF(LEN(INDEX('My equipment'!$V$4:$V$503,(_calc!$E$742-500)))=0,"",INDEX('My equipment'!$V$4:$V$503,(_calc!$E$742-500))))=0,"","Proof on file: "&amp;IF(LEN(INDEX('My equipment'!$V$4:$V$503,(_calc!$E$742-500)))=0,"",INDEX('My equipment'!$V$4:$V$503,(_calc!$E$742-500)))&amp;". ")&amp;IF(LEN(IF(LEN(INDEX('My equipment'!$W$4:$W$503,(_calc!$E$742-500)))=0,"",INDEX('My equipment'!$W$4:$W$503,(_calc!$E$742-500))))=0,"","Claim ref: "&amp;IF(LEN(INDEX('My equipment'!$W$4:$W$503,(_calc!$E$742-500)))=0,"",INDEX('My equipment'!$W$4:$W$503,(_calc!$E$742-500)))&amp;". ")&amp;IF(LEN(IF(LEN(INDEX('My equipment'!$Y$4:$Y$503,(_calc!$E$742-500)))=0,"",INDEX('My equipment'!$Y$4:$Y$503,(_calc!$E$742-500))))=0,"",IF(LEN(INDEX('My equipment'!$Y$4:$Y$503,(_calc!$E$742-500)))=0,"",INDEX('My equipment'!$Y$4:$Y$503,(_calc!$E$742-500)))))))</f>
        <v/>
      </c>
      <c r="G740" s="54">
        <f>IF(_calc!$E$742="","",IF(_calc!$E$742&lt;=500,"",IF(LEN(INDEX('My equipment'!$X$4:$X$503,(_calc!$E$742-500)))=0,"",INDEX('My equipment'!$X$4:$X$503,(_calc!$E$742-500)))))</f>
        <v/>
      </c>
      <c r="K740" s="54">
        <f>IF(_calc!$E$742="","",IF(_calc!$E$742&lt;=500,"",IF(LEN(INDEX('My equipment'!$T$4:$T$503,(_calc!$E$742-500)))=0,"",INDEX('My equipment'!$T$4:$T$503,(_calc!$E$742-500)))))</f>
        <v/>
      </c>
    </row>
    <row r="741">
      <c r="A741" s="54">
        <f>IF(_calc!$E$743="","",IF(_calc!$E$743&lt;=500,"Warranty – "&amp;IF(LEN(INDEX('Dealer pipeline'!$C$4:$C$503,_calc!$E$743))=0,"",INDEX('Dealer pipeline'!$C$4:$C$503,_calc!$E$743))&amp;" – "&amp;IF(LEN(INDEX('Dealer pipeline'!$D$4:$D$503,_calc!$E$743))=0,"",INDEX('Dealer pipeline'!$D$4:$D$503,_calc!$E$743))&amp;" – "&amp;IF(LEN(INDEX('Dealer pipeline'!$A$4:$A$503,_calc!$E$743))=0,"",INDEX('Dealer pipeline'!$A$4:$A$503,_calc!$E$743)),"Warranty – "&amp;IF(LEN(INDEX('My equipment'!$A$4:$A$503,(_calc!$E$743-500)))=0,"",INDEX('My equipment'!$A$4:$A$503,(_calc!$E$743-500)))&amp;" – "&amp;IF(LEN(INDEX('My equipment'!$D$4:$D$503,(_calc!$E$743-500)))=0,"",INDEX('My equipment'!$D$4:$D$503,(_calc!$E$743-500)))))</f>
        <v/>
      </c>
      <c r="B741" s="54">
        <f>IF(_calc!$E$743="","",IF(_calc!$E$743&lt;=500,IF(ISNUMBER(INDEX('Dealer pipeline'!$M$4:$M$503,_calc!$E$743)),TEXT(INDEX('Dealer pipeline'!$M$4:$M$503,_calc!$E$743),"yyyy-mm-dd"),""),IF(ISNUMBER(INDEX('My equipment'!$M$4:$M$503,(_calc!$E$743-500))),TEXT(INDEX('My equipment'!$M$4:$M$503,(_calc!$E$743-500)),"yyyy-mm-dd"),"")))</f>
        <v/>
      </c>
      <c r="C741" s="54">
        <f>IF(_calc!$E$743="","",IF(_calc!$E$743&lt;=500,"Warranty","Warranty"))</f>
        <v/>
      </c>
      <c r="D741" s="54">
        <f>IF(_calc!$E$743="","",IF(_calc!$E$743&lt;=500,IF(ISNUMBER(INDEX('Dealer pipeline'!$H$4:$H$503,_calc!$E$743)),TEXT(INDEX('Dealer pipeline'!$H$4:$H$503,_calc!$E$743),"yyyy-mm-dd"),""),IF(ISNUMBER(INDEX('My equipment'!$H$4:$H$503,(_calc!$E$743-500))),TEXT(INDEX('My equipment'!$H$4:$H$503,(_calc!$E$743-500)),"yyyy-mm-dd"),"")))</f>
        <v/>
      </c>
      <c r="F741" s="54">
        <f>IF(_calc!$E$743="","",IF(_calc!$E$743&lt;=500,TRIM(IF(LEN(IF(LEN(INDEX('Dealer pipeline'!$A$4:$A$503,_calc!$E$743))=0,"",INDEX('Dealer pipeline'!$A$4:$A$503,_calc!$E$743)))=0,"","Customer: "&amp;IF(LEN(INDEX('Dealer pipeline'!$A$4:$A$503,_calc!$E$743))=0,"",INDEX('Dealer pipeline'!$A$4:$A$503,_calc!$E$743))&amp;". ")&amp;IF(LEN(IF(LEN(INDEX('Dealer pipeline'!$B$4:$B$503,_calc!$E$743))=0,"",INDEX('Dealer pipeline'!$B$4:$B$503,_calc!$E$743)))=0,"","Contact: "&amp;IF(LEN(INDEX('Dealer pipeline'!$B$4:$B$503,_calc!$E$743))=0,"",INDEX('Dealer pipeline'!$B$4:$B$503,_calc!$E$743))&amp;". ")&amp;IF(LEN(IF(LEN(INDEX('Dealer pipeline'!$D$4:$D$503,_calc!$E$743))=0,"",INDEX('Dealer pipeline'!$D$4:$D$503,_calc!$E$743)))=0,"","Serial: "&amp;IF(LEN(INDEX('Dealer pipeline'!$D$4:$D$503,_calc!$E$743))=0,"",INDEX('Dealer pipeline'!$D$4:$D$503,_calc!$E$743))&amp;". ")&amp;IF(LEN(IF(ISNUMBER(INDEX('Dealer pipeline'!$J$4:$J$503,_calc!$E$743)),TEXT(INDEX('Dealer pipeline'!$J$4:$J$503,_calc!$E$743),"yyyy-mm-dd"),""))=0,"","Parts end: "&amp;IF(ISNUMBER(INDEX('Dealer pipeline'!$J$4:$J$503,_calc!$E$743)),TEXT(INDEX('Dealer pipeline'!$J$4:$J$503,_calc!$E$743),"yyyy-mm-dd"),"")&amp;". ")&amp;IF(LEN(IF(ISNUMBER(INDEX('Dealer pipeline'!$L$4:$L$503,_calc!$E$743)),TEXT(INDEX('Dealer pipeline'!$L$4:$L$503,_calc!$E$743),"yyyy-mm-dd"),""))=0,"","Labor end: "&amp;IF(ISNUMBER(INDEX('Dealer pipeline'!$L$4:$L$503,_calc!$E$743)),TEXT(INDEX('Dealer pipeline'!$L$4:$L$503,_calc!$E$743),"yyyy-mm-dd"),"")&amp;". ")&amp;IF(LEN(IF(LEN(INDEX('Dealer pipeline'!$Q$4:$Q$503,_calc!$E$743))=0,"",INDEX('Dealer pipeline'!$Q$4:$Q$503,_calc!$E$743)))=0,"","Status: "&amp;IF(LEN(INDEX('Dealer pipeline'!$Q$4:$Q$503,_calc!$E$743))=0,"",INDEX('Dealer pipeline'!$Q$4:$Q$503,_calc!$E$743))&amp;". ")&amp;IF(LEN(IF(LEN(INDEX('Dealer pipeline'!$P$4:$P$503,_calc!$E$743))=0,"",INDEX('Dealer pipeline'!$P$4:$P$503,_calc!$E$743)))=0,"","Last touch: "&amp;IF(LEN(INDEX('Dealer pipeline'!$P$4:$P$503,_calc!$E$743))=0,"",INDEX('Dealer pipeline'!$P$4:$P$503,_calc!$E$743))&amp;". ")&amp;IF(LEN(IF(LEN(INDEX('Dealer pipeline'!$R$4:$R$503,_calc!$E$743))=0,"",INDEX('Dealer pipeline'!$R$4:$R$503,_calc!$E$743)))=0,"","Owner: "&amp;IF(LEN(INDEX('Dealer pipeline'!$R$4:$R$503,_calc!$E$743))=0,"",INDEX('Dealer pipeline'!$R$4:$R$503,_calc!$E$743))&amp;". ")&amp;IF(LEN(IF(LEN(INDEX('Dealer pipeline'!$S$4:$S$503,_calc!$E$743))=0,"",INDEX('Dealer pipeline'!$S$4:$S$503,_calc!$E$743)))=0,"","Backup: "&amp;IF(LEN(INDEX('Dealer pipeline'!$S$4:$S$503,_calc!$E$743))=0,"",INDEX('Dealer pipeline'!$S$4:$S$503,_calc!$E$743))&amp;". ")&amp;IF(LEN(IF(LEN(INDEX('Dealer pipeline'!$T$4:$T$503,_calc!$E$743))=0,"",INDEX('Dealer pipeline'!$T$4:$T$503,_calc!$E$743)))=0,"",IF(LEN(INDEX('Dealer pipeline'!$T$4:$T$503,_calc!$E$743))=0,"",INDEX('Dealer pipeline'!$T$4:$T$503,_calc!$E$743)))),TRIM(IF(LEN(IF(LEN(INDEX('My equipment'!$C$4:$C$503,(_calc!$E$743-500)))=0,"",INDEX('My equipment'!$C$4:$C$503,(_calc!$E$743-500))))=0,"","Model: "&amp;IF(LEN(INDEX('My equipment'!$C$4:$C$503,(_calc!$E$743-500)))=0,"",INDEX('My equipment'!$C$4:$C$503,(_calc!$E$743-500)))&amp;". ")&amp;IF(LEN(IF(LEN(INDEX('My equipment'!$D$4:$D$503,(_calc!$E$743-500)))=0,"",INDEX('My equipment'!$D$4:$D$503,(_calc!$E$743-500))))=0,"","Serial: "&amp;IF(LEN(INDEX('My equipment'!$D$4:$D$503,(_calc!$E$743-500)))=0,"",INDEX('My equipment'!$D$4:$D$503,(_calc!$E$743-500)))&amp;". ")&amp;IF(LEN(IF(ISNUMBER(INDEX('My equipment'!$J$4:$J$503,(_calc!$E$743-500))),TEXT(INDEX('My equipment'!$J$4:$J$503,(_calc!$E$743-500)),"yyyy-mm-dd"),""))=0,"","Parts end: "&amp;IF(ISNUMBER(INDEX('My equipment'!$J$4:$J$503,(_calc!$E$743-500))),TEXT(INDEX('My equipment'!$J$4:$J$503,(_calc!$E$743-500)),"yyyy-mm-dd"),"")&amp;". ")&amp;IF(LEN(IF(ISNUMBER(INDEX('My equipment'!$L$4:$L$503,(_calc!$E$743-500))),TEXT(INDEX('My equipment'!$L$4:$L$503,(_calc!$E$743-500)),"yyyy-mm-dd"),""))=0,"","Labor end: "&amp;IF(ISNUMBER(INDEX('My equipment'!$L$4:$L$503,(_calc!$E$743-500))),TEXT(INDEX('My equipment'!$L$4:$L$503,(_calc!$E$743-500)),"yyyy-mm-dd"),"")&amp;". ")&amp;IF(LEN(IF(ISNUMBER(INDEX('My equipment'!$P$4:$P$503,(_calc!$E$743-500))),TEXT(INDEX('My equipment'!$P$4:$P$503,(_calc!$E$743-500)),"yyyy-mm-dd"),""))=0,"","Check by: "&amp;IF(ISNUMBER(INDEX('My equipment'!$P$4:$P$503,(_calc!$E$743-500))),TEXT(INDEX('My equipment'!$P$4:$P$503,(_calc!$E$743-500)),"yyyy-mm-dd"),"")&amp;". ")&amp;IF(LEN(IF(LEN(INDEX('My equipment'!$Q$4:$Q$503,(_calc!$E$743-500)))=0,"",INDEX('My equipment'!$Q$4:$Q$503,(_calc!$E$743-500))))=0,"","Claim status: "&amp;IF(LEN(INDEX('My equipment'!$Q$4:$Q$503,(_calc!$E$743-500)))=0,"",INDEX('My equipment'!$Q$4:$Q$503,(_calc!$E$743-500)))&amp;". ")&amp;IF(LEN(IF(LEN(INDEX('My equipment'!$R$4:$R$503,(_calc!$E$743-500)))=0,"",INDEX('My equipment'!$R$4:$R$503,(_calc!$E$743-500))))=0,"","Claims contact: "&amp;IF(LEN(INDEX('My equipment'!$R$4:$R$503,(_calc!$E$743-500)))=0,"",INDEX('My equipment'!$R$4:$R$503,(_calc!$E$743-500)))&amp;". ")&amp;IF(LEN(IF(LEN(INDEX('My equipment'!$S$4:$S$503,(_calc!$E$743-500)))=0,"",INDEX('My equipment'!$S$4:$S$503,(_calc!$E$743-500))))=0,"","Claims email: "&amp;IF(LEN(INDEX('My equipment'!$S$4:$S$503,(_calc!$E$743-500)))=0,"",INDEX('My equipment'!$S$4:$S$503,(_calc!$E$743-500)))&amp;". ")&amp;IF(LEN(IF(LEN(INDEX('My equipment'!$U$4:$U$503,(_calc!$E$743-500)))=0,"",INDEX('My equipment'!$U$4:$U$503,(_calc!$E$743-500))))=0,"","Registered: "&amp;IF(LEN(INDEX('My equipment'!$U$4:$U$503,(_calc!$E$743-500)))=0,"",INDEX('My equipment'!$U$4:$U$503,(_calc!$E$743-500)))&amp;". ")&amp;IF(LEN(IF(LEN(INDEX('My equipment'!$V$4:$V$503,(_calc!$E$743-500)))=0,"",INDEX('My equipment'!$V$4:$V$503,(_calc!$E$743-500))))=0,"","Proof on file: "&amp;IF(LEN(INDEX('My equipment'!$V$4:$V$503,(_calc!$E$743-500)))=0,"",INDEX('My equipment'!$V$4:$V$503,(_calc!$E$743-500)))&amp;". ")&amp;IF(LEN(IF(LEN(INDEX('My equipment'!$W$4:$W$503,(_calc!$E$743-500)))=0,"",INDEX('My equipment'!$W$4:$W$503,(_calc!$E$743-500))))=0,"","Claim ref: "&amp;IF(LEN(INDEX('My equipment'!$W$4:$W$503,(_calc!$E$743-500)))=0,"",INDEX('My equipment'!$W$4:$W$503,(_calc!$E$743-500)))&amp;". ")&amp;IF(LEN(IF(LEN(INDEX('My equipment'!$Y$4:$Y$503,(_calc!$E$743-500)))=0,"",INDEX('My equipment'!$Y$4:$Y$503,(_calc!$E$743-500))))=0,"",IF(LEN(INDEX('My equipment'!$Y$4:$Y$503,(_calc!$E$743-500)))=0,"",INDEX('My equipment'!$Y$4:$Y$503,(_calc!$E$743-500)))))))</f>
        <v/>
      </c>
      <c r="G741" s="54">
        <f>IF(_calc!$E$743="","",IF(_calc!$E$743&lt;=500,"",IF(LEN(INDEX('My equipment'!$X$4:$X$503,(_calc!$E$743-500)))=0,"",INDEX('My equipment'!$X$4:$X$503,(_calc!$E$743-500)))))</f>
        <v/>
      </c>
      <c r="K741" s="54">
        <f>IF(_calc!$E$743="","",IF(_calc!$E$743&lt;=500,"",IF(LEN(INDEX('My equipment'!$T$4:$T$503,(_calc!$E$743-500)))=0,"",INDEX('My equipment'!$T$4:$T$503,(_calc!$E$743-500)))))</f>
        <v/>
      </c>
    </row>
    <row r="742">
      <c r="A742" s="54">
        <f>IF(_calc!$E$744="","",IF(_calc!$E$744&lt;=500,"Warranty – "&amp;IF(LEN(INDEX('Dealer pipeline'!$C$4:$C$503,_calc!$E$744))=0,"",INDEX('Dealer pipeline'!$C$4:$C$503,_calc!$E$744))&amp;" – "&amp;IF(LEN(INDEX('Dealer pipeline'!$D$4:$D$503,_calc!$E$744))=0,"",INDEX('Dealer pipeline'!$D$4:$D$503,_calc!$E$744))&amp;" – "&amp;IF(LEN(INDEX('Dealer pipeline'!$A$4:$A$503,_calc!$E$744))=0,"",INDEX('Dealer pipeline'!$A$4:$A$503,_calc!$E$744)),"Warranty – "&amp;IF(LEN(INDEX('My equipment'!$A$4:$A$503,(_calc!$E$744-500)))=0,"",INDEX('My equipment'!$A$4:$A$503,(_calc!$E$744-500)))&amp;" – "&amp;IF(LEN(INDEX('My equipment'!$D$4:$D$503,(_calc!$E$744-500)))=0,"",INDEX('My equipment'!$D$4:$D$503,(_calc!$E$744-500)))))</f>
        <v/>
      </c>
      <c r="B742" s="54">
        <f>IF(_calc!$E$744="","",IF(_calc!$E$744&lt;=500,IF(ISNUMBER(INDEX('Dealer pipeline'!$M$4:$M$503,_calc!$E$744)),TEXT(INDEX('Dealer pipeline'!$M$4:$M$503,_calc!$E$744),"yyyy-mm-dd"),""),IF(ISNUMBER(INDEX('My equipment'!$M$4:$M$503,(_calc!$E$744-500))),TEXT(INDEX('My equipment'!$M$4:$M$503,(_calc!$E$744-500)),"yyyy-mm-dd"),"")))</f>
        <v/>
      </c>
      <c r="C742" s="54">
        <f>IF(_calc!$E$744="","",IF(_calc!$E$744&lt;=500,"Warranty","Warranty"))</f>
        <v/>
      </c>
      <c r="D742" s="54">
        <f>IF(_calc!$E$744="","",IF(_calc!$E$744&lt;=500,IF(ISNUMBER(INDEX('Dealer pipeline'!$H$4:$H$503,_calc!$E$744)),TEXT(INDEX('Dealer pipeline'!$H$4:$H$503,_calc!$E$744),"yyyy-mm-dd"),""),IF(ISNUMBER(INDEX('My equipment'!$H$4:$H$503,(_calc!$E$744-500))),TEXT(INDEX('My equipment'!$H$4:$H$503,(_calc!$E$744-500)),"yyyy-mm-dd"),"")))</f>
        <v/>
      </c>
      <c r="F742" s="54">
        <f>IF(_calc!$E$744="","",IF(_calc!$E$744&lt;=500,TRIM(IF(LEN(IF(LEN(INDEX('Dealer pipeline'!$A$4:$A$503,_calc!$E$744))=0,"",INDEX('Dealer pipeline'!$A$4:$A$503,_calc!$E$744)))=0,"","Customer: "&amp;IF(LEN(INDEX('Dealer pipeline'!$A$4:$A$503,_calc!$E$744))=0,"",INDEX('Dealer pipeline'!$A$4:$A$503,_calc!$E$744))&amp;". ")&amp;IF(LEN(IF(LEN(INDEX('Dealer pipeline'!$B$4:$B$503,_calc!$E$744))=0,"",INDEX('Dealer pipeline'!$B$4:$B$503,_calc!$E$744)))=0,"","Contact: "&amp;IF(LEN(INDEX('Dealer pipeline'!$B$4:$B$503,_calc!$E$744))=0,"",INDEX('Dealer pipeline'!$B$4:$B$503,_calc!$E$744))&amp;". ")&amp;IF(LEN(IF(LEN(INDEX('Dealer pipeline'!$D$4:$D$503,_calc!$E$744))=0,"",INDEX('Dealer pipeline'!$D$4:$D$503,_calc!$E$744)))=0,"","Serial: "&amp;IF(LEN(INDEX('Dealer pipeline'!$D$4:$D$503,_calc!$E$744))=0,"",INDEX('Dealer pipeline'!$D$4:$D$503,_calc!$E$744))&amp;". ")&amp;IF(LEN(IF(ISNUMBER(INDEX('Dealer pipeline'!$J$4:$J$503,_calc!$E$744)),TEXT(INDEX('Dealer pipeline'!$J$4:$J$503,_calc!$E$744),"yyyy-mm-dd"),""))=0,"","Parts end: "&amp;IF(ISNUMBER(INDEX('Dealer pipeline'!$J$4:$J$503,_calc!$E$744)),TEXT(INDEX('Dealer pipeline'!$J$4:$J$503,_calc!$E$744),"yyyy-mm-dd"),"")&amp;". ")&amp;IF(LEN(IF(ISNUMBER(INDEX('Dealer pipeline'!$L$4:$L$503,_calc!$E$744)),TEXT(INDEX('Dealer pipeline'!$L$4:$L$503,_calc!$E$744),"yyyy-mm-dd"),""))=0,"","Labor end: "&amp;IF(ISNUMBER(INDEX('Dealer pipeline'!$L$4:$L$503,_calc!$E$744)),TEXT(INDEX('Dealer pipeline'!$L$4:$L$503,_calc!$E$744),"yyyy-mm-dd"),"")&amp;". ")&amp;IF(LEN(IF(LEN(INDEX('Dealer pipeline'!$Q$4:$Q$503,_calc!$E$744))=0,"",INDEX('Dealer pipeline'!$Q$4:$Q$503,_calc!$E$744)))=0,"","Status: "&amp;IF(LEN(INDEX('Dealer pipeline'!$Q$4:$Q$503,_calc!$E$744))=0,"",INDEX('Dealer pipeline'!$Q$4:$Q$503,_calc!$E$744))&amp;". ")&amp;IF(LEN(IF(LEN(INDEX('Dealer pipeline'!$P$4:$P$503,_calc!$E$744))=0,"",INDEX('Dealer pipeline'!$P$4:$P$503,_calc!$E$744)))=0,"","Last touch: "&amp;IF(LEN(INDEX('Dealer pipeline'!$P$4:$P$503,_calc!$E$744))=0,"",INDEX('Dealer pipeline'!$P$4:$P$503,_calc!$E$744))&amp;". ")&amp;IF(LEN(IF(LEN(INDEX('Dealer pipeline'!$R$4:$R$503,_calc!$E$744))=0,"",INDEX('Dealer pipeline'!$R$4:$R$503,_calc!$E$744)))=0,"","Owner: "&amp;IF(LEN(INDEX('Dealer pipeline'!$R$4:$R$503,_calc!$E$744))=0,"",INDEX('Dealer pipeline'!$R$4:$R$503,_calc!$E$744))&amp;". ")&amp;IF(LEN(IF(LEN(INDEX('Dealer pipeline'!$S$4:$S$503,_calc!$E$744))=0,"",INDEX('Dealer pipeline'!$S$4:$S$503,_calc!$E$744)))=0,"","Backup: "&amp;IF(LEN(INDEX('Dealer pipeline'!$S$4:$S$503,_calc!$E$744))=0,"",INDEX('Dealer pipeline'!$S$4:$S$503,_calc!$E$744))&amp;". ")&amp;IF(LEN(IF(LEN(INDEX('Dealer pipeline'!$T$4:$T$503,_calc!$E$744))=0,"",INDEX('Dealer pipeline'!$T$4:$T$503,_calc!$E$744)))=0,"",IF(LEN(INDEX('Dealer pipeline'!$T$4:$T$503,_calc!$E$744))=0,"",INDEX('Dealer pipeline'!$T$4:$T$503,_calc!$E$744)))),TRIM(IF(LEN(IF(LEN(INDEX('My equipment'!$C$4:$C$503,(_calc!$E$744-500)))=0,"",INDEX('My equipment'!$C$4:$C$503,(_calc!$E$744-500))))=0,"","Model: "&amp;IF(LEN(INDEX('My equipment'!$C$4:$C$503,(_calc!$E$744-500)))=0,"",INDEX('My equipment'!$C$4:$C$503,(_calc!$E$744-500)))&amp;". ")&amp;IF(LEN(IF(LEN(INDEX('My equipment'!$D$4:$D$503,(_calc!$E$744-500)))=0,"",INDEX('My equipment'!$D$4:$D$503,(_calc!$E$744-500))))=0,"","Serial: "&amp;IF(LEN(INDEX('My equipment'!$D$4:$D$503,(_calc!$E$744-500)))=0,"",INDEX('My equipment'!$D$4:$D$503,(_calc!$E$744-500)))&amp;". ")&amp;IF(LEN(IF(ISNUMBER(INDEX('My equipment'!$J$4:$J$503,(_calc!$E$744-500))),TEXT(INDEX('My equipment'!$J$4:$J$503,(_calc!$E$744-500)),"yyyy-mm-dd"),""))=0,"","Parts end: "&amp;IF(ISNUMBER(INDEX('My equipment'!$J$4:$J$503,(_calc!$E$744-500))),TEXT(INDEX('My equipment'!$J$4:$J$503,(_calc!$E$744-500)),"yyyy-mm-dd"),"")&amp;". ")&amp;IF(LEN(IF(ISNUMBER(INDEX('My equipment'!$L$4:$L$503,(_calc!$E$744-500))),TEXT(INDEX('My equipment'!$L$4:$L$503,(_calc!$E$744-500)),"yyyy-mm-dd"),""))=0,"","Labor end: "&amp;IF(ISNUMBER(INDEX('My equipment'!$L$4:$L$503,(_calc!$E$744-500))),TEXT(INDEX('My equipment'!$L$4:$L$503,(_calc!$E$744-500)),"yyyy-mm-dd"),"")&amp;". ")&amp;IF(LEN(IF(ISNUMBER(INDEX('My equipment'!$P$4:$P$503,(_calc!$E$744-500))),TEXT(INDEX('My equipment'!$P$4:$P$503,(_calc!$E$744-500)),"yyyy-mm-dd"),""))=0,"","Check by: "&amp;IF(ISNUMBER(INDEX('My equipment'!$P$4:$P$503,(_calc!$E$744-500))),TEXT(INDEX('My equipment'!$P$4:$P$503,(_calc!$E$744-500)),"yyyy-mm-dd"),"")&amp;". ")&amp;IF(LEN(IF(LEN(INDEX('My equipment'!$Q$4:$Q$503,(_calc!$E$744-500)))=0,"",INDEX('My equipment'!$Q$4:$Q$503,(_calc!$E$744-500))))=0,"","Claim status: "&amp;IF(LEN(INDEX('My equipment'!$Q$4:$Q$503,(_calc!$E$744-500)))=0,"",INDEX('My equipment'!$Q$4:$Q$503,(_calc!$E$744-500)))&amp;". ")&amp;IF(LEN(IF(LEN(INDEX('My equipment'!$R$4:$R$503,(_calc!$E$744-500)))=0,"",INDEX('My equipment'!$R$4:$R$503,(_calc!$E$744-500))))=0,"","Claims contact: "&amp;IF(LEN(INDEX('My equipment'!$R$4:$R$503,(_calc!$E$744-500)))=0,"",INDEX('My equipment'!$R$4:$R$503,(_calc!$E$744-500)))&amp;". ")&amp;IF(LEN(IF(LEN(INDEX('My equipment'!$S$4:$S$503,(_calc!$E$744-500)))=0,"",INDEX('My equipment'!$S$4:$S$503,(_calc!$E$744-500))))=0,"","Claims email: "&amp;IF(LEN(INDEX('My equipment'!$S$4:$S$503,(_calc!$E$744-500)))=0,"",INDEX('My equipment'!$S$4:$S$503,(_calc!$E$744-500)))&amp;". ")&amp;IF(LEN(IF(LEN(INDEX('My equipment'!$U$4:$U$503,(_calc!$E$744-500)))=0,"",INDEX('My equipment'!$U$4:$U$503,(_calc!$E$744-500))))=0,"","Registered: "&amp;IF(LEN(INDEX('My equipment'!$U$4:$U$503,(_calc!$E$744-500)))=0,"",INDEX('My equipment'!$U$4:$U$503,(_calc!$E$744-500)))&amp;". ")&amp;IF(LEN(IF(LEN(INDEX('My equipment'!$V$4:$V$503,(_calc!$E$744-500)))=0,"",INDEX('My equipment'!$V$4:$V$503,(_calc!$E$744-500))))=0,"","Proof on file: "&amp;IF(LEN(INDEX('My equipment'!$V$4:$V$503,(_calc!$E$744-500)))=0,"",INDEX('My equipment'!$V$4:$V$503,(_calc!$E$744-500)))&amp;". ")&amp;IF(LEN(IF(LEN(INDEX('My equipment'!$W$4:$W$503,(_calc!$E$744-500)))=0,"",INDEX('My equipment'!$W$4:$W$503,(_calc!$E$744-500))))=0,"","Claim ref: "&amp;IF(LEN(INDEX('My equipment'!$W$4:$W$503,(_calc!$E$744-500)))=0,"",INDEX('My equipment'!$W$4:$W$503,(_calc!$E$744-500)))&amp;". ")&amp;IF(LEN(IF(LEN(INDEX('My equipment'!$Y$4:$Y$503,(_calc!$E$744-500)))=0,"",INDEX('My equipment'!$Y$4:$Y$503,(_calc!$E$744-500))))=0,"",IF(LEN(INDEX('My equipment'!$Y$4:$Y$503,(_calc!$E$744-500)))=0,"",INDEX('My equipment'!$Y$4:$Y$503,(_calc!$E$744-500)))))))</f>
        <v/>
      </c>
      <c r="G742" s="54">
        <f>IF(_calc!$E$744="","",IF(_calc!$E$744&lt;=500,"",IF(LEN(INDEX('My equipment'!$X$4:$X$503,(_calc!$E$744-500)))=0,"",INDEX('My equipment'!$X$4:$X$503,(_calc!$E$744-500)))))</f>
        <v/>
      </c>
      <c r="K742" s="54">
        <f>IF(_calc!$E$744="","",IF(_calc!$E$744&lt;=500,"",IF(LEN(INDEX('My equipment'!$T$4:$T$503,(_calc!$E$744-500)))=0,"",INDEX('My equipment'!$T$4:$T$503,(_calc!$E$744-500)))))</f>
        <v/>
      </c>
    </row>
    <row r="743">
      <c r="A743" s="54">
        <f>IF(_calc!$E$745="","",IF(_calc!$E$745&lt;=500,"Warranty – "&amp;IF(LEN(INDEX('Dealer pipeline'!$C$4:$C$503,_calc!$E$745))=0,"",INDEX('Dealer pipeline'!$C$4:$C$503,_calc!$E$745))&amp;" – "&amp;IF(LEN(INDEX('Dealer pipeline'!$D$4:$D$503,_calc!$E$745))=0,"",INDEX('Dealer pipeline'!$D$4:$D$503,_calc!$E$745))&amp;" – "&amp;IF(LEN(INDEX('Dealer pipeline'!$A$4:$A$503,_calc!$E$745))=0,"",INDEX('Dealer pipeline'!$A$4:$A$503,_calc!$E$745)),"Warranty – "&amp;IF(LEN(INDEX('My equipment'!$A$4:$A$503,(_calc!$E$745-500)))=0,"",INDEX('My equipment'!$A$4:$A$503,(_calc!$E$745-500)))&amp;" – "&amp;IF(LEN(INDEX('My equipment'!$D$4:$D$503,(_calc!$E$745-500)))=0,"",INDEX('My equipment'!$D$4:$D$503,(_calc!$E$745-500)))))</f>
        <v/>
      </c>
      <c r="B743" s="54">
        <f>IF(_calc!$E$745="","",IF(_calc!$E$745&lt;=500,IF(ISNUMBER(INDEX('Dealer pipeline'!$M$4:$M$503,_calc!$E$745)),TEXT(INDEX('Dealer pipeline'!$M$4:$M$503,_calc!$E$745),"yyyy-mm-dd"),""),IF(ISNUMBER(INDEX('My equipment'!$M$4:$M$503,(_calc!$E$745-500))),TEXT(INDEX('My equipment'!$M$4:$M$503,(_calc!$E$745-500)),"yyyy-mm-dd"),"")))</f>
        <v/>
      </c>
      <c r="C743" s="54">
        <f>IF(_calc!$E$745="","",IF(_calc!$E$745&lt;=500,"Warranty","Warranty"))</f>
        <v/>
      </c>
      <c r="D743" s="54">
        <f>IF(_calc!$E$745="","",IF(_calc!$E$745&lt;=500,IF(ISNUMBER(INDEX('Dealer pipeline'!$H$4:$H$503,_calc!$E$745)),TEXT(INDEX('Dealer pipeline'!$H$4:$H$503,_calc!$E$745),"yyyy-mm-dd"),""),IF(ISNUMBER(INDEX('My equipment'!$H$4:$H$503,(_calc!$E$745-500))),TEXT(INDEX('My equipment'!$H$4:$H$503,(_calc!$E$745-500)),"yyyy-mm-dd"),"")))</f>
        <v/>
      </c>
      <c r="F743" s="54">
        <f>IF(_calc!$E$745="","",IF(_calc!$E$745&lt;=500,TRIM(IF(LEN(IF(LEN(INDEX('Dealer pipeline'!$A$4:$A$503,_calc!$E$745))=0,"",INDEX('Dealer pipeline'!$A$4:$A$503,_calc!$E$745)))=0,"","Customer: "&amp;IF(LEN(INDEX('Dealer pipeline'!$A$4:$A$503,_calc!$E$745))=0,"",INDEX('Dealer pipeline'!$A$4:$A$503,_calc!$E$745))&amp;". ")&amp;IF(LEN(IF(LEN(INDEX('Dealer pipeline'!$B$4:$B$503,_calc!$E$745))=0,"",INDEX('Dealer pipeline'!$B$4:$B$503,_calc!$E$745)))=0,"","Contact: "&amp;IF(LEN(INDEX('Dealer pipeline'!$B$4:$B$503,_calc!$E$745))=0,"",INDEX('Dealer pipeline'!$B$4:$B$503,_calc!$E$745))&amp;". ")&amp;IF(LEN(IF(LEN(INDEX('Dealer pipeline'!$D$4:$D$503,_calc!$E$745))=0,"",INDEX('Dealer pipeline'!$D$4:$D$503,_calc!$E$745)))=0,"","Serial: "&amp;IF(LEN(INDEX('Dealer pipeline'!$D$4:$D$503,_calc!$E$745))=0,"",INDEX('Dealer pipeline'!$D$4:$D$503,_calc!$E$745))&amp;". ")&amp;IF(LEN(IF(ISNUMBER(INDEX('Dealer pipeline'!$J$4:$J$503,_calc!$E$745)),TEXT(INDEX('Dealer pipeline'!$J$4:$J$503,_calc!$E$745),"yyyy-mm-dd"),""))=0,"","Parts end: "&amp;IF(ISNUMBER(INDEX('Dealer pipeline'!$J$4:$J$503,_calc!$E$745)),TEXT(INDEX('Dealer pipeline'!$J$4:$J$503,_calc!$E$745),"yyyy-mm-dd"),"")&amp;". ")&amp;IF(LEN(IF(ISNUMBER(INDEX('Dealer pipeline'!$L$4:$L$503,_calc!$E$745)),TEXT(INDEX('Dealer pipeline'!$L$4:$L$503,_calc!$E$745),"yyyy-mm-dd"),""))=0,"","Labor end: "&amp;IF(ISNUMBER(INDEX('Dealer pipeline'!$L$4:$L$503,_calc!$E$745)),TEXT(INDEX('Dealer pipeline'!$L$4:$L$503,_calc!$E$745),"yyyy-mm-dd"),"")&amp;". ")&amp;IF(LEN(IF(LEN(INDEX('Dealer pipeline'!$Q$4:$Q$503,_calc!$E$745))=0,"",INDEX('Dealer pipeline'!$Q$4:$Q$503,_calc!$E$745)))=0,"","Status: "&amp;IF(LEN(INDEX('Dealer pipeline'!$Q$4:$Q$503,_calc!$E$745))=0,"",INDEX('Dealer pipeline'!$Q$4:$Q$503,_calc!$E$745))&amp;". ")&amp;IF(LEN(IF(LEN(INDEX('Dealer pipeline'!$P$4:$P$503,_calc!$E$745))=0,"",INDEX('Dealer pipeline'!$P$4:$P$503,_calc!$E$745)))=0,"","Last touch: "&amp;IF(LEN(INDEX('Dealer pipeline'!$P$4:$P$503,_calc!$E$745))=0,"",INDEX('Dealer pipeline'!$P$4:$P$503,_calc!$E$745))&amp;". ")&amp;IF(LEN(IF(LEN(INDEX('Dealer pipeline'!$R$4:$R$503,_calc!$E$745))=0,"",INDEX('Dealer pipeline'!$R$4:$R$503,_calc!$E$745)))=0,"","Owner: "&amp;IF(LEN(INDEX('Dealer pipeline'!$R$4:$R$503,_calc!$E$745))=0,"",INDEX('Dealer pipeline'!$R$4:$R$503,_calc!$E$745))&amp;". ")&amp;IF(LEN(IF(LEN(INDEX('Dealer pipeline'!$S$4:$S$503,_calc!$E$745))=0,"",INDEX('Dealer pipeline'!$S$4:$S$503,_calc!$E$745)))=0,"","Backup: "&amp;IF(LEN(INDEX('Dealer pipeline'!$S$4:$S$503,_calc!$E$745))=0,"",INDEX('Dealer pipeline'!$S$4:$S$503,_calc!$E$745))&amp;". ")&amp;IF(LEN(IF(LEN(INDEX('Dealer pipeline'!$T$4:$T$503,_calc!$E$745))=0,"",INDEX('Dealer pipeline'!$T$4:$T$503,_calc!$E$745)))=0,"",IF(LEN(INDEX('Dealer pipeline'!$T$4:$T$503,_calc!$E$745))=0,"",INDEX('Dealer pipeline'!$T$4:$T$503,_calc!$E$745)))),TRIM(IF(LEN(IF(LEN(INDEX('My equipment'!$C$4:$C$503,(_calc!$E$745-500)))=0,"",INDEX('My equipment'!$C$4:$C$503,(_calc!$E$745-500))))=0,"","Model: "&amp;IF(LEN(INDEX('My equipment'!$C$4:$C$503,(_calc!$E$745-500)))=0,"",INDEX('My equipment'!$C$4:$C$503,(_calc!$E$745-500)))&amp;". ")&amp;IF(LEN(IF(LEN(INDEX('My equipment'!$D$4:$D$503,(_calc!$E$745-500)))=0,"",INDEX('My equipment'!$D$4:$D$503,(_calc!$E$745-500))))=0,"","Serial: "&amp;IF(LEN(INDEX('My equipment'!$D$4:$D$503,(_calc!$E$745-500)))=0,"",INDEX('My equipment'!$D$4:$D$503,(_calc!$E$745-500)))&amp;". ")&amp;IF(LEN(IF(ISNUMBER(INDEX('My equipment'!$J$4:$J$503,(_calc!$E$745-500))),TEXT(INDEX('My equipment'!$J$4:$J$503,(_calc!$E$745-500)),"yyyy-mm-dd"),""))=0,"","Parts end: "&amp;IF(ISNUMBER(INDEX('My equipment'!$J$4:$J$503,(_calc!$E$745-500))),TEXT(INDEX('My equipment'!$J$4:$J$503,(_calc!$E$745-500)),"yyyy-mm-dd"),"")&amp;". ")&amp;IF(LEN(IF(ISNUMBER(INDEX('My equipment'!$L$4:$L$503,(_calc!$E$745-500))),TEXT(INDEX('My equipment'!$L$4:$L$503,(_calc!$E$745-500)),"yyyy-mm-dd"),""))=0,"","Labor end: "&amp;IF(ISNUMBER(INDEX('My equipment'!$L$4:$L$503,(_calc!$E$745-500))),TEXT(INDEX('My equipment'!$L$4:$L$503,(_calc!$E$745-500)),"yyyy-mm-dd"),"")&amp;". ")&amp;IF(LEN(IF(ISNUMBER(INDEX('My equipment'!$P$4:$P$503,(_calc!$E$745-500))),TEXT(INDEX('My equipment'!$P$4:$P$503,(_calc!$E$745-500)),"yyyy-mm-dd"),""))=0,"","Check by: "&amp;IF(ISNUMBER(INDEX('My equipment'!$P$4:$P$503,(_calc!$E$745-500))),TEXT(INDEX('My equipment'!$P$4:$P$503,(_calc!$E$745-500)),"yyyy-mm-dd"),"")&amp;". ")&amp;IF(LEN(IF(LEN(INDEX('My equipment'!$Q$4:$Q$503,(_calc!$E$745-500)))=0,"",INDEX('My equipment'!$Q$4:$Q$503,(_calc!$E$745-500))))=0,"","Claim status: "&amp;IF(LEN(INDEX('My equipment'!$Q$4:$Q$503,(_calc!$E$745-500)))=0,"",INDEX('My equipment'!$Q$4:$Q$503,(_calc!$E$745-500)))&amp;". ")&amp;IF(LEN(IF(LEN(INDEX('My equipment'!$R$4:$R$503,(_calc!$E$745-500)))=0,"",INDEX('My equipment'!$R$4:$R$503,(_calc!$E$745-500))))=0,"","Claims contact: "&amp;IF(LEN(INDEX('My equipment'!$R$4:$R$503,(_calc!$E$745-500)))=0,"",INDEX('My equipment'!$R$4:$R$503,(_calc!$E$745-500)))&amp;". ")&amp;IF(LEN(IF(LEN(INDEX('My equipment'!$S$4:$S$503,(_calc!$E$745-500)))=0,"",INDEX('My equipment'!$S$4:$S$503,(_calc!$E$745-500))))=0,"","Claims email: "&amp;IF(LEN(INDEX('My equipment'!$S$4:$S$503,(_calc!$E$745-500)))=0,"",INDEX('My equipment'!$S$4:$S$503,(_calc!$E$745-500)))&amp;". ")&amp;IF(LEN(IF(LEN(INDEX('My equipment'!$U$4:$U$503,(_calc!$E$745-500)))=0,"",INDEX('My equipment'!$U$4:$U$503,(_calc!$E$745-500))))=0,"","Registered: "&amp;IF(LEN(INDEX('My equipment'!$U$4:$U$503,(_calc!$E$745-500)))=0,"",INDEX('My equipment'!$U$4:$U$503,(_calc!$E$745-500)))&amp;". ")&amp;IF(LEN(IF(LEN(INDEX('My equipment'!$V$4:$V$503,(_calc!$E$745-500)))=0,"",INDEX('My equipment'!$V$4:$V$503,(_calc!$E$745-500))))=0,"","Proof on file: "&amp;IF(LEN(INDEX('My equipment'!$V$4:$V$503,(_calc!$E$745-500)))=0,"",INDEX('My equipment'!$V$4:$V$503,(_calc!$E$745-500)))&amp;". ")&amp;IF(LEN(IF(LEN(INDEX('My equipment'!$W$4:$W$503,(_calc!$E$745-500)))=0,"",INDEX('My equipment'!$W$4:$W$503,(_calc!$E$745-500))))=0,"","Claim ref: "&amp;IF(LEN(INDEX('My equipment'!$W$4:$W$503,(_calc!$E$745-500)))=0,"",INDEX('My equipment'!$W$4:$W$503,(_calc!$E$745-500)))&amp;". ")&amp;IF(LEN(IF(LEN(INDEX('My equipment'!$Y$4:$Y$503,(_calc!$E$745-500)))=0,"",INDEX('My equipment'!$Y$4:$Y$503,(_calc!$E$745-500))))=0,"",IF(LEN(INDEX('My equipment'!$Y$4:$Y$503,(_calc!$E$745-500)))=0,"",INDEX('My equipment'!$Y$4:$Y$503,(_calc!$E$745-500)))))))</f>
        <v/>
      </c>
      <c r="G743" s="54">
        <f>IF(_calc!$E$745="","",IF(_calc!$E$745&lt;=500,"",IF(LEN(INDEX('My equipment'!$X$4:$X$503,(_calc!$E$745-500)))=0,"",INDEX('My equipment'!$X$4:$X$503,(_calc!$E$745-500)))))</f>
        <v/>
      </c>
      <c r="K743" s="54">
        <f>IF(_calc!$E$745="","",IF(_calc!$E$745&lt;=500,"",IF(LEN(INDEX('My equipment'!$T$4:$T$503,(_calc!$E$745-500)))=0,"",INDEX('My equipment'!$T$4:$T$503,(_calc!$E$745-500)))))</f>
        <v/>
      </c>
    </row>
    <row r="744">
      <c r="A744" s="54">
        <f>IF(_calc!$E$746="","",IF(_calc!$E$746&lt;=500,"Warranty – "&amp;IF(LEN(INDEX('Dealer pipeline'!$C$4:$C$503,_calc!$E$746))=0,"",INDEX('Dealer pipeline'!$C$4:$C$503,_calc!$E$746))&amp;" – "&amp;IF(LEN(INDEX('Dealer pipeline'!$D$4:$D$503,_calc!$E$746))=0,"",INDEX('Dealer pipeline'!$D$4:$D$503,_calc!$E$746))&amp;" – "&amp;IF(LEN(INDEX('Dealer pipeline'!$A$4:$A$503,_calc!$E$746))=0,"",INDEX('Dealer pipeline'!$A$4:$A$503,_calc!$E$746)),"Warranty – "&amp;IF(LEN(INDEX('My equipment'!$A$4:$A$503,(_calc!$E$746-500)))=0,"",INDEX('My equipment'!$A$4:$A$503,(_calc!$E$746-500)))&amp;" – "&amp;IF(LEN(INDEX('My equipment'!$D$4:$D$503,(_calc!$E$746-500)))=0,"",INDEX('My equipment'!$D$4:$D$503,(_calc!$E$746-500)))))</f>
        <v/>
      </c>
      <c r="B744" s="54">
        <f>IF(_calc!$E$746="","",IF(_calc!$E$746&lt;=500,IF(ISNUMBER(INDEX('Dealer pipeline'!$M$4:$M$503,_calc!$E$746)),TEXT(INDEX('Dealer pipeline'!$M$4:$M$503,_calc!$E$746),"yyyy-mm-dd"),""),IF(ISNUMBER(INDEX('My equipment'!$M$4:$M$503,(_calc!$E$746-500))),TEXT(INDEX('My equipment'!$M$4:$M$503,(_calc!$E$746-500)),"yyyy-mm-dd"),"")))</f>
        <v/>
      </c>
      <c r="C744" s="54">
        <f>IF(_calc!$E$746="","",IF(_calc!$E$746&lt;=500,"Warranty","Warranty"))</f>
        <v/>
      </c>
      <c r="D744" s="54">
        <f>IF(_calc!$E$746="","",IF(_calc!$E$746&lt;=500,IF(ISNUMBER(INDEX('Dealer pipeline'!$H$4:$H$503,_calc!$E$746)),TEXT(INDEX('Dealer pipeline'!$H$4:$H$503,_calc!$E$746),"yyyy-mm-dd"),""),IF(ISNUMBER(INDEX('My equipment'!$H$4:$H$503,(_calc!$E$746-500))),TEXT(INDEX('My equipment'!$H$4:$H$503,(_calc!$E$746-500)),"yyyy-mm-dd"),"")))</f>
        <v/>
      </c>
      <c r="F744" s="54">
        <f>IF(_calc!$E$746="","",IF(_calc!$E$746&lt;=500,TRIM(IF(LEN(IF(LEN(INDEX('Dealer pipeline'!$A$4:$A$503,_calc!$E$746))=0,"",INDEX('Dealer pipeline'!$A$4:$A$503,_calc!$E$746)))=0,"","Customer: "&amp;IF(LEN(INDEX('Dealer pipeline'!$A$4:$A$503,_calc!$E$746))=0,"",INDEX('Dealer pipeline'!$A$4:$A$503,_calc!$E$746))&amp;". ")&amp;IF(LEN(IF(LEN(INDEX('Dealer pipeline'!$B$4:$B$503,_calc!$E$746))=0,"",INDEX('Dealer pipeline'!$B$4:$B$503,_calc!$E$746)))=0,"","Contact: "&amp;IF(LEN(INDEX('Dealer pipeline'!$B$4:$B$503,_calc!$E$746))=0,"",INDEX('Dealer pipeline'!$B$4:$B$503,_calc!$E$746))&amp;". ")&amp;IF(LEN(IF(LEN(INDEX('Dealer pipeline'!$D$4:$D$503,_calc!$E$746))=0,"",INDEX('Dealer pipeline'!$D$4:$D$503,_calc!$E$746)))=0,"","Serial: "&amp;IF(LEN(INDEX('Dealer pipeline'!$D$4:$D$503,_calc!$E$746))=0,"",INDEX('Dealer pipeline'!$D$4:$D$503,_calc!$E$746))&amp;". ")&amp;IF(LEN(IF(ISNUMBER(INDEX('Dealer pipeline'!$J$4:$J$503,_calc!$E$746)),TEXT(INDEX('Dealer pipeline'!$J$4:$J$503,_calc!$E$746),"yyyy-mm-dd"),""))=0,"","Parts end: "&amp;IF(ISNUMBER(INDEX('Dealer pipeline'!$J$4:$J$503,_calc!$E$746)),TEXT(INDEX('Dealer pipeline'!$J$4:$J$503,_calc!$E$746),"yyyy-mm-dd"),"")&amp;". ")&amp;IF(LEN(IF(ISNUMBER(INDEX('Dealer pipeline'!$L$4:$L$503,_calc!$E$746)),TEXT(INDEX('Dealer pipeline'!$L$4:$L$503,_calc!$E$746),"yyyy-mm-dd"),""))=0,"","Labor end: "&amp;IF(ISNUMBER(INDEX('Dealer pipeline'!$L$4:$L$503,_calc!$E$746)),TEXT(INDEX('Dealer pipeline'!$L$4:$L$503,_calc!$E$746),"yyyy-mm-dd"),"")&amp;". ")&amp;IF(LEN(IF(LEN(INDEX('Dealer pipeline'!$Q$4:$Q$503,_calc!$E$746))=0,"",INDEX('Dealer pipeline'!$Q$4:$Q$503,_calc!$E$746)))=0,"","Status: "&amp;IF(LEN(INDEX('Dealer pipeline'!$Q$4:$Q$503,_calc!$E$746))=0,"",INDEX('Dealer pipeline'!$Q$4:$Q$503,_calc!$E$746))&amp;". ")&amp;IF(LEN(IF(LEN(INDEX('Dealer pipeline'!$P$4:$P$503,_calc!$E$746))=0,"",INDEX('Dealer pipeline'!$P$4:$P$503,_calc!$E$746)))=0,"","Last touch: "&amp;IF(LEN(INDEX('Dealer pipeline'!$P$4:$P$503,_calc!$E$746))=0,"",INDEX('Dealer pipeline'!$P$4:$P$503,_calc!$E$746))&amp;". ")&amp;IF(LEN(IF(LEN(INDEX('Dealer pipeline'!$R$4:$R$503,_calc!$E$746))=0,"",INDEX('Dealer pipeline'!$R$4:$R$503,_calc!$E$746)))=0,"","Owner: "&amp;IF(LEN(INDEX('Dealer pipeline'!$R$4:$R$503,_calc!$E$746))=0,"",INDEX('Dealer pipeline'!$R$4:$R$503,_calc!$E$746))&amp;". ")&amp;IF(LEN(IF(LEN(INDEX('Dealer pipeline'!$S$4:$S$503,_calc!$E$746))=0,"",INDEX('Dealer pipeline'!$S$4:$S$503,_calc!$E$746)))=0,"","Backup: "&amp;IF(LEN(INDEX('Dealer pipeline'!$S$4:$S$503,_calc!$E$746))=0,"",INDEX('Dealer pipeline'!$S$4:$S$503,_calc!$E$746))&amp;". ")&amp;IF(LEN(IF(LEN(INDEX('Dealer pipeline'!$T$4:$T$503,_calc!$E$746))=0,"",INDEX('Dealer pipeline'!$T$4:$T$503,_calc!$E$746)))=0,"",IF(LEN(INDEX('Dealer pipeline'!$T$4:$T$503,_calc!$E$746))=0,"",INDEX('Dealer pipeline'!$T$4:$T$503,_calc!$E$746)))),TRIM(IF(LEN(IF(LEN(INDEX('My equipment'!$C$4:$C$503,(_calc!$E$746-500)))=0,"",INDEX('My equipment'!$C$4:$C$503,(_calc!$E$746-500))))=0,"","Model: "&amp;IF(LEN(INDEX('My equipment'!$C$4:$C$503,(_calc!$E$746-500)))=0,"",INDEX('My equipment'!$C$4:$C$503,(_calc!$E$746-500)))&amp;". ")&amp;IF(LEN(IF(LEN(INDEX('My equipment'!$D$4:$D$503,(_calc!$E$746-500)))=0,"",INDEX('My equipment'!$D$4:$D$503,(_calc!$E$746-500))))=0,"","Serial: "&amp;IF(LEN(INDEX('My equipment'!$D$4:$D$503,(_calc!$E$746-500)))=0,"",INDEX('My equipment'!$D$4:$D$503,(_calc!$E$746-500)))&amp;". ")&amp;IF(LEN(IF(ISNUMBER(INDEX('My equipment'!$J$4:$J$503,(_calc!$E$746-500))),TEXT(INDEX('My equipment'!$J$4:$J$503,(_calc!$E$746-500)),"yyyy-mm-dd"),""))=0,"","Parts end: "&amp;IF(ISNUMBER(INDEX('My equipment'!$J$4:$J$503,(_calc!$E$746-500))),TEXT(INDEX('My equipment'!$J$4:$J$503,(_calc!$E$746-500)),"yyyy-mm-dd"),"")&amp;". ")&amp;IF(LEN(IF(ISNUMBER(INDEX('My equipment'!$L$4:$L$503,(_calc!$E$746-500))),TEXT(INDEX('My equipment'!$L$4:$L$503,(_calc!$E$746-500)),"yyyy-mm-dd"),""))=0,"","Labor end: "&amp;IF(ISNUMBER(INDEX('My equipment'!$L$4:$L$503,(_calc!$E$746-500))),TEXT(INDEX('My equipment'!$L$4:$L$503,(_calc!$E$746-500)),"yyyy-mm-dd"),"")&amp;". ")&amp;IF(LEN(IF(ISNUMBER(INDEX('My equipment'!$P$4:$P$503,(_calc!$E$746-500))),TEXT(INDEX('My equipment'!$P$4:$P$503,(_calc!$E$746-500)),"yyyy-mm-dd"),""))=0,"","Check by: "&amp;IF(ISNUMBER(INDEX('My equipment'!$P$4:$P$503,(_calc!$E$746-500))),TEXT(INDEX('My equipment'!$P$4:$P$503,(_calc!$E$746-500)),"yyyy-mm-dd"),"")&amp;". ")&amp;IF(LEN(IF(LEN(INDEX('My equipment'!$Q$4:$Q$503,(_calc!$E$746-500)))=0,"",INDEX('My equipment'!$Q$4:$Q$503,(_calc!$E$746-500))))=0,"","Claim status: "&amp;IF(LEN(INDEX('My equipment'!$Q$4:$Q$503,(_calc!$E$746-500)))=0,"",INDEX('My equipment'!$Q$4:$Q$503,(_calc!$E$746-500)))&amp;". ")&amp;IF(LEN(IF(LEN(INDEX('My equipment'!$R$4:$R$503,(_calc!$E$746-500)))=0,"",INDEX('My equipment'!$R$4:$R$503,(_calc!$E$746-500))))=0,"","Claims contact: "&amp;IF(LEN(INDEX('My equipment'!$R$4:$R$503,(_calc!$E$746-500)))=0,"",INDEX('My equipment'!$R$4:$R$503,(_calc!$E$746-500)))&amp;". ")&amp;IF(LEN(IF(LEN(INDEX('My equipment'!$S$4:$S$503,(_calc!$E$746-500)))=0,"",INDEX('My equipment'!$S$4:$S$503,(_calc!$E$746-500))))=0,"","Claims email: "&amp;IF(LEN(INDEX('My equipment'!$S$4:$S$503,(_calc!$E$746-500)))=0,"",INDEX('My equipment'!$S$4:$S$503,(_calc!$E$746-500)))&amp;". ")&amp;IF(LEN(IF(LEN(INDEX('My equipment'!$U$4:$U$503,(_calc!$E$746-500)))=0,"",INDEX('My equipment'!$U$4:$U$503,(_calc!$E$746-500))))=0,"","Registered: "&amp;IF(LEN(INDEX('My equipment'!$U$4:$U$503,(_calc!$E$746-500)))=0,"",INDEX('My equipment'!$U$4:$U$503,(_calc!$E$746-500)))&amp;". ")&amp;IF(LEN(IF(LEN(INDEX('My equipment'!$V$4:$V$503,(_calc!$E$746-500)))=0,"",INDEX('My equipment'!$V$4:$V$503,(_calc!$E$746-500))))=0,"","Proof on file: "&amp;IF(LEN(INDEX('My equipment'!$V$4:$V$503,(_calc!$E$746-500)))=0,"",INDEX('My equipment'!$V$4:$V$503,(_calc!$E$746-500)))&amp;". ")&amp;IF(LEN(IF(LEN(INDEX('My equipment'!$W$4:$W$503,(_calc!$E$746-500)))=0,"",INDEX('My equipment'!$W$4:$W$503,(_calc!$E$746-500))))=0,"","Claim ref: "&amp;IF(LEN(INDEX('My equipment'!$W$4:$W$503,(_calc!$E$746-500)))=0,"",INDEX('My equipment'!$W$4:$W$503,(_calc!$E$746-500)))&amp;". ")&amp;IF(LEN(IF(LEN(INDEX('My equipment'!$Y$4:$Y$503,(_calc!$E$746-500)))=0,"",INDEX('My equipment'!$Y$4:$Y$503,(_calc!$E$746-500))))=0,"",IF(LEN(INDEX('My equipment'!$Y$4:$Y$503,(_calc!$E$746-500)))=0,"",INDEX('My equipment'!$Y$4:$Y$503,(_calc!$E$746-500)))))))</f>
        <v/>
      </c>
      <c r="G744" s="54">
        <f>IF(_calc!$E$746="","",IF(_calc!$E$746&lt;=500,"",IF(LEN(INDEX('My equipment'!$X$4:$X$503,(_calc!$E$746-500)))=0,"",INDEX('My equipment'!$X$4:$X$503,(_calc!$E$746-500)))))</f>
        <v/>
      </c>
      <c r="K744" s="54">
        <f>IF(_calc!$E$746="","",IF(_calc!$E$746&lt;=500,"",IF(LEN(INDEX('My equipment'!$T$4:$T$503,(_calc!$E$746-500)))=0,"",INDEX('My equipment'!$T$4:$T$503,(_calc!$E$746-500)))))</f>
        <v/>
      </c>
    </row>
    <row r="745">
      <c r="A745" s="54">
        <f>IF(_calc!$E$747="","",IF(_calc!$E$747&lt;=500,"Warranty – "&amp;IF(LEN(INDEX('Dealer pipeline'!$C$4:$C$503,_calc!$E$747))=0,"",INDEX('Dealer pipeline'!$C$4:$C$503,_calc!$E$747))&amp;" – "&amp;IF(LEN(INDEX('Dealer pipeline'!$D$4:$D$503,_calc!$E$747))=0,"",INDEX('Dealer pipeline'!$D$4:$D$503,_calc!$E$747))&amp;" – "&amp;IF(LEN(INDEX('Dealer pipeline'!$A$4:$A$503,_calc!$E$747))=0,"",INDEX('Dealer pipeline'!$A$4:$A$503,_calc!$E$747)),"Warranty – "&amp;IF(LEN(INDEX('My equipment'!$A$4:$A$503,(_calc!$E$747-500)))=0,"",INDEX('My equipment'!$A$4:$A$503,(_calc!$E$747-500)))&amp;" – "&amp;IF(LEN(INDEX('My equipment'!$D$4:$D$503,(_calc!$E$747-500)))=0,"",INDEX('My equipment'!$D$4:$D$503,(_calc!$E$747-500)))))</f>
        <v/>
      </c>
      <c r="B745" s="54">
        <f>IF(_calc!$E$747="","",IF(_calc!$E$747&lt;=500,IF(ISNUMBER(INDEX('Dealer pipeline'!$M$4:$M$503,_calc!$E$747)),TEXT(INDEX('Dealer pipeline'!$M$4:$M$503,_calc!$E$747),"yyyy-mm-dd"),""),IF(ISNUMBER(INDEX('My equipment'!$M$4:$M$503,(_calc!$E$747-500))),TEXT(INDEX('My equipment'!$M$4:$M$503,(_calc!$E$747-500)),"yyyy-mm-dd"),"")))</f>
        <v/>
      </c>
      <c r="C745" s="54">
        <f>IF(_calc!$E$747="","",IF(_calc!$E$747&lt;=500,"Warranty","Warranty"))</f>
        <v/>
      </c>
      <c r="D745" s="54">
        <f>IF(_calc!$E$747="","",IF(_calc!$E$747&lt;=500,IF(ISNUMBER(INDEX('Dealer pipeline'!$H$4:$H$503,_calc!$E$747)),TEXT(INDEX('Dealer pipeline'!$H$4:$H$503,_calc!$E$747),"yyyy-mm-dd"),""),IF(ISNUMBER(INDEX('My equipment'!$H$4:$H$503,(_calc!$E$747-500))),TEXT(INDEX('My equipment'!$H$4:$H$503,(_calc!$E$747-500)),"yyyy-mm-dd"),"")))</f>
        <v/>
      </c>
      <c r="F745" s="54">
        <f>IF(_calc!$E$747="","",IF(_calc!$E$747&lt;=500,TRIM(IF(LEN(IF(LEN(INDEX('Dealer pipeline'!$A$4:$A$503,_calc!$E$747))=0,"",INDEX('Dealer pipeline'!$A$4:$A$503,_calc!$E$747)))=0,"","Customer: "&amp;IF(LEN(INDEX('Dealer pipeline'!$A$4:$A$503,_calc!$E$747))=0,"",INDEX('Dealer pipeline'!$A$4:$A$503,_calc!$E$747))&amp;". ")&amp;IF(LEN(IF(LEN(INDEX('Dealer pipeline'!$B$4:$B$503,_calc!$E$747))=0,"",INDEX('Dealer pipeline'!$B$4:$B$503,_calc!$E$747)))=0,"","Contact: "&amp;IF(LEN(INDEX('Dealer pipeline'!$B$4:$B$503,_calc!$E$747))=0,"",INDEX('Dealer pipeline'!$B$4:$B$503,_calc!$E$747))&amp;". ")&amp;IF(LEN(IF(LEN(INDEX('Dealer pipeline'!$D$4:$D$503,_calc!$E$747))=0,"",INDEX('Dealer pipeline'!$D$4:$D$503,_calc!$E$747)))=0,"","Serial: "&amp;IF(LEN(INDEX('Dealer pipeline'!$D$4:$D$503,_calc!$E$747))=0,"",INDEX('Dealer pipeline'!$D$4:$D$503,_calc!$E$747))&amp;". ")&amp;IF(LEN(IF(ISNUMBER(INDEX('Dealer pipeline'!$J$4:$J$503,_calc!$E$747)),TEXT(INDEX('Dealer pipeline'!$J$4:$J$503,_calc!$E$747),"yyyy-mm-dd"),""))=0,"","Parts end: "&amp;IF(ISNUMBER(INDEX('Dealer pipeline'!$J$4:$J$503,_calc!$E$747)),TEXT(INDEX('Dealer pipeline'!$J$4:$J$503,_calc!$E$747),"yyyy-mm-dd"),"")&amp;". ")&amp;IF(LEN(IF(ISNUMBER(INDEX('Dealer pipeline'!$L$4:$L$503,_calc!$E$747)),TEXT(INDEX('Dealer pipeline'!$L$4:$L$503,_calc!$E$747),"yyyy-mm-dd"),""))=0,"","Labor end: "&amp;IF(ISNUMBER(INDEX('Dealer pipeline'!$L$4:$L$503,_calc!$E$747)),TEXT(INDEX('Dealer pipeline'!$L$4:$L$503,_calc!$E$747),"yyyy-mm-dd"),"")&amp;". ")&amp;IF(LEN(IF(LEN(INDEX('Dealer pipeline'!$Q$4:$Q$503,_calc!$E$747))=0,"",INDEX('Dealer pipeline'!$Q$4:$Q$503,_calc!$E$747)))=0,"","Status: "&amp;IF(LEN(INDEX('Dealer pipeline'!$Q$4:$Q$503,_calc!$E$747))=0,"",INDEX('Dealer pipeline'!$Q$4:$Q$503,_calc!$E$747))&amp;". ")&amp;IF(LEN(IF(LEN(INDEX('Dealer pipeline'!$P$4:$P$503,_calc!$E$747))=0,"",INDEX('Dealer pipeline'!$P$4:$P$503,_calc!$E$747)))=0,"","Last touch: "&amp;IF(LEN(INDEX('Dealer pipeline'!$P$4:$P$503,_calc!$E$747))=0,"",INDEX('Dealer pipeline'!$P$4:$P$503,_calc!$E$747))&amp;". ")&amp;IF(LEN(IF(LEN(INDEX('Dealer pipeline'!$R$4:$R$503,_calc!$E$747))=0,"",INDEX('Dealer pipeline'!$R$4:$R$503,_calc!$E$747)))=0,"","Owner: "&amp;IF(LEN(INDEX('Dealer pipeline'!$R$4:$R$503,_calc!$E$747))=0,"",INDEX('Dealer pipeline'!$R$4:$R$503,_calc!$E$747))&amp;". ")&amp;IF(LEN(IF(LEN(INDEX('Dealer pipeline'!$S$4:$S$503,_calc!$E$747))=0,"",INDEX('Dealer pipeline'!$S$4:$S$503,_calc!$E$747)))=0,"","Backup: "&amp;IF(LEN(INDEX('Dealer pipeline'!$S$4:$S$503,_calc!$E$747))=0,"",INDEX('Dealer pipeline'!$S$4:$S$503,_calc!$E$747))&amp;". ")&amp;IF(LEN(IF(LEN(INDEX('Dealer pipeline'!$T$4:$T$503,_calc!$E$747))=0,"",INDEX('Dealer pipeline'!$T$4:$T$503,_calc!$E$747)))=0,"",IF(LEN(INDEX('Dealer pipeline'!$T$4:$T$503,_calc!$E$747))=0,"",INDEX('Dealer pipeline'!$T$4:$T$503,_calc!$E$747)))),TRIM(IF(LEN(IF(LEN(INDEX('My equipment'!$C$4:$C$503,(_calc!$E$747-500)))=0,"",INDEX('My equipment'!$C$4:$C$503,(_calc!$E$747-500))))=0,"","Model: "&amp;IF(LEN(INDEX('My equipment'!$C$4:$C$503,(_calc!$E$747-500)))=0,"",INDEX('My equipment'!$C$4:$C$503,(_calc!$E$747-500)))&amp;". ")&amp;IF(LEN(IF(LEN(INDEX('My equipment'!$D$4:$D$503,(_calc!$E$747-500)))=0,"",INDEX('My equipment'!$D$4:$D$503,(_calc!$E$747-500))))=0,"","Serial: "&amp;IF(LEN(INDEX('My equipment'!$D$4:$D$503,(_calc!$E$747-500)))=0,"",INDEX('My equipment'!$D$4:$D$503,(_calc!$E$747-500)))&amp;". ")&amp;IF(LEN(IF(ISNUMBER(INDEX('My equipment'!$J$4:$J$503,(_calc!$E$747-500))),TEXT(INDEX('My equipment'!$J$4:$J$503,(_calc!$E$747-500)),"yyyy-mm-dd"),""))=0,"","Parts end: "&amp;IF(ISNUMBER(INDEX('My equipment'!$J$4:$J$503,(_calc!$E$747-500))),TEXT(INDEX('My equipment'!$J$4:$J$503,(_calc!$E$747-500)),"yyyy-mm-dd"),"")&amp;". ")&amp;IF(LEN(IF(ISNUMBER(INDEX('My equipment'!$L$4:$L$503,(_calc!$E$747-500))),TEXT(INDEX('My equipment'!$L$4:$L$503,(_calc!$E$747-500)),"yyyy-mm-dd"),""))=0,"","Labor end: "&amp;IF(ISNUMBER(INDEX('My equipment'!$L$4:$L$503,(_calc!$E$747-500))),TEXT(INDEX('My equipment'!$L$4:$L$503,(_calc!$E$747-500)),"yyyy-mm-dd"),"")&amp;". ")&amp;IF(LEN(IF(ISNUMBER(INDEX('My equipment'!$P$4:$P$503,(_calc!$E$747-500))),TEXT(INDEX('My equipment'!$P$4:$P$503,(_calc!$E$747-500)),"yyyy-mm-dd"),""))=0,"","Check by: "&amp;IF(ISNUMBER(INDEX('My equipment'!$P$4:$P$503,(_calc!$E$747-500))),TEXT(INDEX('My equipment'!$P$4:$P$503,(_calc!$E$747-500)),"yyyy-mm-dd"),"")&amp;". ")&amp;IF(LEN(IF(LEN(INDEX('My equipment'!$Q$4:$Q$503,(_calc!$E$747-500)))=0,"",INDEX('My equipment'!$Q$4:$Q$503,(_calc!$E$747-500))))=0,"","Claim status: "&amp;IF(LEN(INDEX('My equipment'!$Q$4:$Q$503,(_calc!$E$747-500)))=0,"",INDEX('My equipment'!$Q$4:$Q$503,(_calc!$E$747-500)))&amp;". ")&amp;IF(LEN(IF(LEN(INDEX('My equipment'!$R$4:$R$503,(_calc!$E$747-500)))=0,"",INDEX('My equipment'!$R$4:$R$503,(_calc!$E$747-500))))=0,"","Claims contact: "&amp;IF(LEN(INDEX('My equipment'!$R$4:$R$503,(_calc!$E$747-500)))=0,"",INDEX('My equipment'!$R$4:$R$503,(_calc!$E$747-500)))&amp;". ")&amp;IF(LEN(IF(LEN(INDEX('My equipment'!$S$4:$S$503,(_calc!$E$747-500)))=0,"",INDEX('My equipment'!$S$4:$S$503,(_calc!$E$747-500))))=0,"","Claims email: "&amp;IF(LEN(INDEX('My equipment'!$S$4:$S$503,(_calc!$E$747-500)))=0,"",INDEX('My equipment'!$S$4:$S$503,(_calc!$E$747-500)))&amp;". ")&amp;IF(LEN(IF(LEN(INDEX('My equipment'!$U$4:$U$503,(_calc!$E$747-500)))=0,"",INDEX('My equipment'!$U$4:$U$503,(_calc!$E$747-500))))=0,"","Registered: "&amp;IF(LEN(INDEX('My equipment'!$U$4:$U$503,(_calc!$E$747-500)))=0,"",INDEX('My equipment'!$U$4:$U$503,(_calc!$E$747-500)))&amp;". ")&amp;IF(LEN(IF(LEN(INDEX('My equipment'!$V$4:$V$503,(_calc!$E$747-500)))=0,"",INDEX('My equipment'!$V$4:$V$503,(_calc!$E$747-500))))=0,"","Proof on file: "&amp;IF(LEN(INDEX('My equipment'!$V$4:$V$503,(_calc!$E$747-500)))=0,"",INDEX('My equipment'!$V$4:$V$503,(_calc!$E$747-500)))&amp;". ")&amp;IF(LEN(IF(LEN(INDEX('My equipment'!$W$4:$W$503,(_calc!$E$747-500)))=0,"",INDEX('My equipment'!$W$4:$W$503,(_calc!$E$747-500))))=0,"","Claim ref: "&amp;IF(LEN(INDEX('My equipment'!$W$4:$W$503,(_calc!$E$747-500)))=0,"",INDEX('My equipment'!$W$4:$W$503,(_calc!$E$747-500)))&amp;". ")&amp;IF(LEN(IF(LEN(INDEX('My equipment'!$Y$4:$Y$503,(_calc!$E$747-500)))=0,"",INDEX('My equipment'!$Y$4:$Y$503,(_calc!$E$747-500))))=0,"",IF(LEN(INDEX('My equipment'!$Y$4:$Y$503,(_calc!$E$747-500)))=0,"",INDEX('My equipment'!$Y$4:$Y$503,(_calc!$E$747-500)))))))</f>
        <v/>
      </c>
      <c r="G745" s="54">
        <f>IF(_calc!$E$747="","",IF(_calc!$E$747&lt;=500,"",IF(LEN(INDEX('My equipment'!$X$4:$X$503,(_calc!$E$747-500)))=0,"",INDEX('My equipment'!$X$4:$X$503,(_calc!$E$747-500)))))</f>
        <v/>
      </c>
      <c r="K745" s="54">
        <f>IF(_calc!$E$747="","",IF(_calc!$E$747&lt;=500,"",IF(LEN(INDEX('My equipment'!$T$4:$T$503,(_calc!$E$747-500)))=0,"",INDEX('My equipment'!$T$4:$T$503,(_calc!$E$747-500)))))</f>
        <v/>
      </c>
    </row>
    <row r="746">
      <c r="A746" s="54">
        <f>IF(_calc!$E$748="","",IF(_calc!$E$748&lt;=500,"Warranty – "&amp;IF(LEN(INDEX('Dealer pipeline'!$C$4:$C$503,_calc!$E$748))=0,"",INDEX('Dealer pipeline'!$C$4:$C$503,_calc!$E$748))&amp;" – "&amp;IF(LEN(INDEX('Dealer pipeline'!$D$4:$D$503,_calc!$E$748))=0,"",INDEX('Dealer pipeline'!$D$4:$D$503,_calc!$E$748))&amp;" – "&amp;IF(LEN(INDEX('Dealer pipeline'!$A$4:$A$503,_calc!$E$748))=0,"",INDEX('Dealer pipeline'!$A$4:$A$503,_calc!$E$748)),"Warranty – "&amp;IF(LEN(INDEX('My equipment'!$A$4:$A$503,(_calc!$E$748-500)))=0,"",INDEX('My equipment'!$A$4:$A$503,(_calc!$E$748-500)))&amp;" – "&amp;IF(LEN(INDEX('My equipment'!$D$4:$D$503,(_calc!$E$748-500)))=0,"",INDEX('My equipment'!$D$4:$D$503,(_calc!$E$748-500)))))</f>
        <v/>
      </c>
      <c r="B746" s="54">
        <f>IF(_calc!$E$748="","",IF(_calc!$E$748&lt;=500,IF(ISNUMBER(INDEX('Dealer pipeline'!$M$4:$M$503,_calc!$E$748)),TEXT(INDEX('Dealer pipeline'!$M$4:$M$503,_calc!$E$748),"yyyy-mm-dd"),""),IF(ISNUMBER(INDEX('My equipment'!$M$4:$M$503,(_calc!$E$748-500))),TEXT(INDEX('My equipment'!$M$4:$M$503,(_calc!$E$748-500)),"yyyy-mm-dd"),"")))</f>
        <v/>
      </c>
      <c r="C746" s="54">
        <f>IF(_calc!$E$748="","",IF(_calc!$E$748&lt;=500,"Warranty","Warranty"))</f>
        <v/>
      </c>
      <c r="D746" s="54">
        <f>IF(_calc!$E$748="","",IF(_calc!$E$748&lt;=500,IF(ISNUMBER(INDEX('Dealer pipeline'!$H$4:$H$503,_calc!$E$748)),TEXT(INDEX('Dealer pipeline'!$H$4:$H$503,_calc!$E$748),"yyyy-mm-dd"),""),IF(ISNUMBER(INDEX('My equipment'!$H$4:$H$503,(_calc!$E$748-500))),TEXT(INDEX('My equipment'!$H$4:$H$503,(_calc!$E$748-500)),"yyyy-mm-dd"),"")))</f>
        <v/>
      </c>
      <c r="F746" s="54">
        <f>IF(_calc!$E$748="","",IF(_calc!$E$748&lt;=500,TRIM(IF(LEN(IF(LEN(INDEX('Dealer pipeline'!$A$4:$A$503,_calc!$E$748))=0,"",INDEX('Dealer pipeline'!$A$4:$A$503,_calc!$E$748)))=0,"","Customer: "&amp;IF(LEN(INDEX('Dealer pipeline'!$A$4:$A$503,_calc!$E$748))=0,"",INDEX('Dealer pipeline'!$A$4:$A$503,_calc!$E$748))&amp;". ")&amp;IF(LEN(IF(LEN(INDEX('Dealer pipeline'!$B$4:$B$503,_calc!$E$748))=0,"",INDEX('Dealer pipeline'!$B$4:$B$503,_calc!$E$748)))=0,"","Contact: "&amp;IF(LEN(INDEX('Dealer pipeline'!$B$4:$B$503,_calc!$E$748))=0,"",INDEX('Dealer pipeline'!$B$4:$B$503,_calc!$E$748))&amp;". ")&amp;IF(LEN(IF(LEN(INDEX('Dealer pipeline'!$D$4:$D$503,_calc!$E$748))=0,"",INDEX('Dealer pipeline'!$D$4:$D$503,_calc!$E$748)))=0,"","Serial: "&amp;IF(LEN(INDEX('Dealer pipeline'!$D$4:$D$503,_calc!$E$748))=0,"",INDEX('Dealer pipeline'!$D$4:$D$503,_calc!$E$748))&amp;". ")&amp;IF(LEN(IF(ISNUMBER(INDEX('Dealer pipeline'!$J$4:$J$503,_calc!$E$748)),TEXT(INDEX('Dealer pipeline'!$J$4:$J$503,_calc!$E$748),"yyyy-mm-dd"),""))=0,"","Parts end: "&amp;IF(ISNUMBER(INDEX('Dealer pipeline'!$J$4:$J$503,_calc!$E$748)),TEXT(INDEX('Dealer pipeline'!$J$4:$J$503,_calc!$E$748),"yyyy-mm-dd"),"")&amp;". ")&amp;IF(LEN(IF(ISNUMBER(INDEX('Dealer pipeline'!$L$4:$L$503,_calc!$E$748)),TEXT(INDEX('Dealer pipeline'!$L$4:$L$503,_calc!$E$748),"yyyy-mm-dd"),""))=0,"","Labor end: "&amp;IF(ISNUMBER(INDEX('Dealer pipeline'!$L$4:$L$503,_calc!$E$748)),TEXT(INDEX('Dealer pipeline'!$L$4:$L$503,_calc!$E$748),"yyyy-mm-dd"),"")&amp;". ")&amp;IF(LEN(IF(LEN(INDEX('Dealer pipeline'!$Q$4:$Q$503,_calc!$E$748))=0,"",INDEX('Dealer pipeline'!$Q$4:$Q$503,_calc!$E$748)))=0,"","Status: "&amp;IF(LEN(INDEX('Dealer pipeline'!$Q$4:$Q$503,_calc!$E$748))=0,"",INDEX('Dealer pipeline'!$Q$4:$Q$503,_calc!$E$748))&amp;". ")&amp;IF(LEN(IF(LEN(INDEX('Dealer pipeline'!$P$4:$P$503,_calc!$E$748))=0,"",INDEX('Dealer pipeline'!$P$4:$P$503,_calc!$E$748)))=0,"","Last touch: "&amp;IF(LEN(INDEX('Dealer pipeline'!$P$4:$P$503,_calc!$E$748))=0,"",INDEX('Dealer pipeline'!$P$4:$P$503,_calc!$E$748))&amp;". ")&amp;IF(LEN(IF(LEN(INDEX('Dealer pipeline'!$R$4:$R$503,_calc!$E$748))=0,"",INDEX('Dealer pipeline'!$R$4:$R$503,_calc!$E$748)))=0,"","Owner: "&amp;IF(LEN(INDEX('Dealer pipeline'!$R$4:$R$503,_calc!$E$748))=0,"",INDEX('Dealer pipeline'!$R$4:$R$503,_calc!$E$748))&amp;". ")&amp;IF(LEN(IF(LEN(INDEX('Dealer pipeline'!$S$4:$S$503,_calc!$E$748))=0,"",INDEX('Dealer pipeline'!$S$4:$S$503,_calc!$E$748)))=0,"","Backup: "&amp;IF(LEN(INDEX('Dealer pipeline'!$S$4:$S$503,_calc!$E$748))=0,"",INDEX('Dealer pipeline'!$S$4:$S$503,_calc!$E$748))&amp;". ")&amp;IF(LEN(IF(LEN(INDEX('Dealer pipeline'!$T$4:$T$503,_calc!$E$748))=0,"",INDEX('Dealer pipeline'!$T$4:$T$503,_calc!$E$748)))=0,"",IF(LEN(INDEX('Dealer pipeline'!$T$4:$T$503,_calc!$E$748))=0,"",INDEX('Dealer pipeline'!$T$4:$T$503,_calc!$E$748)))),TRIM(IF(LEN(IF(LEN(INDEX('My equipment'!$C$4:$C$503,(_calc!$E$748-500)))=0,"",INDEX('My equipment'!$C$4:$C$503,(_calc!$E$748-500))))=0,"","Model: "&amp;IF(LEN(INDEX('My equipment'!$C$4:$C$503,(_calc!$E$748-500)))=0,"",INDEX('My equipment'!$C$4:$C$503,(_calc!$E$748-500)))&amp;". ")&amp;IF(LEN(IF(LEN(INDEX('My equipment'!$D$4:$D$503,(_calc!$E$748-500)))=0,"",INDEX('My equipment'!$D$4:$D$503,(_calc!$E$748-500))))=0,"","Serial: "&amp;IF(LEN(INDEX('My equipment'!$D$4:$D$503,(_calc!$E$748-500)))=0,"",INDEX('My equipment'!$D$4:$D$503,(_calc!$E$748-500)))&amp;". ")&amp;IF(LEN(IF(ISNUMBER(INDEX('My equipment'!$J$4:$J$503,(_calc!$E$748-500))),TEXT(INDEX('My equipment'!$J$4:$J$503,(_calc!$E$748-500)),"yyyy-mm-dd"),""))=0,"","Parts end: "&amp;IF(ISNUMBER(INDEX('My equipment'!$J$4:$J$503,(_calc!$E$748-500))),TEXT(INDEX('My equipment'!$J$4:$J$503,(_calc!$E$748-500)),"yyyy-mm-dd"),"")&amp;". ")&amp;IF(LEN(IF(ISNUMBER(INDEX('My equipment'!$L$4:$L$503,(_calc!$E$748-500))),TEXT(INDEX('My equipment'!$L$4:$L$503,(_calc!$E$748-500)),"yyyy-mm-dd"),""))=0,"","Labor end: "&amp;IF(ISNUMBER(INDEX('My equipment'!$L$4:$L$503,(_calc!$E$748-500))),TEXT(INDEX('My equipment'!$L$4:$L$503,(_calc!$E$748-500)),"yyyy-mm-dd"),"")&amp;". ")&amp;IF(LEN(IF(ISNUMBER(INDEX('My equipment'!$P$4:$P$503,(_calc!$E$748-500))),TEXT(INDEX('My equipment'!$P$4:$P$503,(_calc!$E$748-500)),"yyyy-mm-dd"),""))=0,"","Check by: "&amp;IF(ISNUMBER(INDEX('My equipment'!$P$4:$P$503,(_calc!$E$748-500))),TEXT(INDEX('My equipment'!$P$4:$P$503,(_calc!$E$748-500)),"yyyy-mm-dd"),"")&amp;". ")&amp;IF(LEN(IF(LEN(INDEX('My equipment'!$Q$4:$Q$503,(_calc!$E$748-500)))=0,"",INDEX('My equipment'!$Q$4:$Q$503,(_calc!$E$748-500))))=0,"","Claim status: "&amp;IF(LEN(INDEX('My equipment'!$Q$4:$Q$503,(_calc!$E$748-500)))=0,"",INDEX('My equipment'!$Q$4:$Q$503,(_calc!$E$748-500)))&amp;". ")&amp;IF(LEN(IF(LEN(INDEX('My equipment'!$R$4:$R$503,(_calc!$E$748-500)))=0,"",INDEX('My equipment'!$R$4:$R$503,(_calc!$E$748-500))))=0,"","Claims contact: "&amp;IF(LEN(INDEX('My equipment'!$R$4:$R$503,(_calc!$E$748-500)))=0,"",INDEX('My equipment'!$R$4:$R$503,(_calc!$E$748-500)))&amp;". ")&amp;IF(LEN(IF(LEN(INDEX('My equipment'!$S$4:$S$503,(_calc!$E$748-500)))=0,"",INDEX('My equipment'!$S$4:$S$503,(_calc!$E$748-500))))=0,"","Claims email: "&amp;IF(LEN(INDEX('My equipment'!$S$4:$S$503,(_calc!$E$748-500)))=0,"",INDEX('My equipment'!$S$4:$S$503,(_calc!$E$748-500)))&amp;". ")&amp;IF(LEN(IF(LEN(INDEX('My equipment'!$U$4:$U$503,(_calc!$E$748-500)))=0,"",INDEX('My equipment'!$U$4:$U$503,(_calc!$E$748-500))))=0,"","Registered: "&amp;IF(LEN(INDEX('My equipment'!$U$4:$U$503,(_calc!$E$748-500)))=0,"",INDEX('My equipment'!$U$4:$U$503,(_calc!$E$748-500)))&amp;". ")&amp;IF(LEN(IF(LEN(INDEX('My equipment'!$V$4:$V$503,(_calc!$E$748-500)))=0,"",INDEX('My equipment'!$V$4:$V$503,(_calc!$E$748-500))))=0,"","Proof on file: "&amp;IF(LEN(INDEX('My equipment'!$V$4:$V$503,(_calc!$E$748-500)))=0,"",INDEX('My equipment'!$V$4:$V$503,(_calc!$E$748-500)))&amp;". ")&amp;IF(LEN(IF(LEN(INDEX('My equipment'!$W$4:$W$503,(_calc!$E$748-500)))=0,"",INDEX('My equipment'!$W$4:$W$503,(_calc!$E$748-500))))=0,"","Claim ref: "&amp;IF(LEN(INDEX('My equipment'!$W$4:$W$503,(_calc!$E$748-500)))=0,"",INDEX('My equipment'!$W$4:$W$503,(_calc!$E$748-500)))&amp;". ")&amp;IF(LEN(IF(LEN(INDEX('My equipment'!$Y$4:$Y$503,(_calc!$E$748-500)))=0,"",INDEX('My equipment'!$Y$4:$Y$503,(_calc!$E$748-500))))=0,"",IF(LEN(INDEX('My equipment'!$Y$4:$Y$503,(_calc!$E$748-500)))=0,"",INDEX('My equipment'!$Y$4:$Y$503,(_calc!$E$748-500)))))))</f>
        <v/>
      </c>
      <c r="G746" s="54">
        <f>IF(_calc!$E$748="","",IF(_calc!$E$748&lt;=500,"",IF(LEN(INDEX('My equipment'!$X$4:$X$503,(_calc!$E$748-500)))=0,"",INDEX('My equipment'!$X$4:$X$503,(_calc!$E$748-500)))))</f>
        <v/>
      </c>
      <c r="K746" s="54">
        <f>IF(_calc!$E$748="","",IF(_calc!$E$748&lt;=500,"",IF(LEN(INDEX('My equipment'!$T$4:$T$503,(_calc!$E$748-500)))=0,"",INDEX('My equipment'!$T$4:$T$503,(_calc!$E$748-500)))))</f>
        <v/>
      </c>
    </row>
    <row r="747">
      <c r="A747" s="54">
        <f>IF(_calc!$E$749="","",IF(_calc!$E$749&lt;=500,"Warranty – "&amp;IF(LEN(INDEX('Dealer pipeline'!$C$4:$C$503,_calc!$E$749))=0,"",INDEX('Dealer pipeline'!$C$4:$C$503,_calc!$E$749))&amp;" – "&amp;IF(LEN(INDEX('Dealer pipeline'!$D$4:$D$503,_calc!$E$749))=0,"",INDEX('Dealer pipeline'!$D$4:$D$503,_calc!$E$749))&amp;" – "&amp;IF(LEN(INDEX('Dealer pipeline'!$A$4:$A$503,_calc!$E$749))=0,"",INDEX('Dealer pipeline'!$A$4:$A$503,_calc!$E$749)),"Warranty – "&amp;IF(LEN(INDEX('My equipment'!$A$4:$A$503,(_calc!$E$749-500)))=0,"",INDEX('My equipment'!$A$4:$A$503,(_calc!$E$749-500)))&amp;" – "&amp;IF(LEN(INDEX('My equipment'!$D$4:$D$503,(_calc!$E$749-500)))=0,"",INDEX('My equipment'!$D$4:$D$503,(_calc!$E$749-500)))))</f>
        <v/>
      </c>
      <c r="B747" s="54">
        <f>IF(_calc!$E$749="","",IF(_calc!$E$749&lt;=500,IF(ISNUMBER(INDEX('Dealer pipeline'!$M$4:$M$503,_calc!$E$749)),TEXT(INDEX('Dealer pipeline'!$M$4:$M$503,_calc!$E$749),"yyyy-mm-dd"),""),IF(ISNUMBER(INDEX('My equipment'!$M$4:$M$503,(_calc!$E$749-500))),TEXT(INDEX('My equipment'!$M$4:$M$503,(_calc!$E$749-500)),"yyyy-mm-dd"),"")))</f>
        <v/>
      </c>
      <c r="C747" s="54">
        <f>IF(_calc!$E$749="","",IF(_calc!$E$749&lt;=500,"Warranty","Warranty"))</f>
        <v/>
      </c>
      <c r="D747" s="54">
        <f>IF(_calc!$E$749="","",IF(_calc!$E$749&lt;=500,IF(ISNUMBER(INDEX('Dealer pipeline'!$H$4:$H$503,_calc!$E$749)),TEXT(INDEX('Dealer pipeline'!$H$4:$H$503,_calc!$E$749),"yyyy-mm-dd"),""),IF(ISNUMBER(INDEX('My equipment'!$H$4:$H$503,(_calc!$E$749-500))),TEXT(INDEX('My equipment'!$H$4:$H$503,(_calc!$E$749-500)),"yyyy-mm-dd"),"")))</f>
        <v/>
      </c>
      <c r="F747" s="54">
        <f>IF(_calc!$E$749="","",IF(_calc!$E$749&lt;=500,TRIM(IF(LEN(IF(LEN(INDEX('Dealer pipeline'!$A$4:$A$503,_calc!$E$749))=0,"",INDEX('Dealer pipeline'!$A$4:$A$503,_calc!$E$749)))=0,"","Customer: "&amp;IF(LEN(INDEX('Dealer pipeline'!$A$4:$A$503,_calc!$E$749))=0,"",INDEX('Dealer pipeline'!$A$4:$A$503,_calc!$E$749))&amp;". ")&amp;IF(LEN(IF(LEN(INDEX('Dealer pipeline'!$B$4:$B$503,_calc!$E$749))=0,"",INDEX('Dealer pipeline'!$B$4:$B$503,_calc!$E$749)))=0,"","Contact: "&amp;IF(LEN(INDEX('Dealer pipeline'!$B$4:$B$503,_calc!$E$749))=0,"",INDEX('Dealer pipeline'!$B$4:$B$503,_calc!$E$749))&amp;". ")&amp;IF(LEN(IF(LEN(INDEX('Dealer pipeline'!$D$4:$D$503,_calc!$E$749))=0,"",INDEX('Dealer pipeline'!$D$4:$D$503,_calc!$E$749)))=0,"","Serial: "&amp;IF(LEN(INDEX('Dealer pipeline'!$D$4:$D$503,_calc!$E$749))=0,"",INDEX('Dealer pipeline'!$D$4:$D$503,_calc!$E$749))&amp;". ")&amp;IF(LEN(IF(ISNUMBER(INDEX('Dealer pipeline'!$J$4:$J$503,_calc!$E$749)),TEXT(INDEX('Dealer pipeline'!$J$4:$J$503,_calc!$E$749),"yyyy-mm-dd"),""))=0,"","Parts end: "&amp;IF(ISNUMBER(INDEX('Dealer pipeline'!$J$4:$J$503,_calc!$E$749)),TEXT(INDEX('Dealer pipeline'!$J$4:$J$503,_calc!$E$749),"yyyy-mm-dd"),"")&amp;". ")&amp;IF(LEN(IF(ISNUMBER(INDEX('Dealer pipeline'!$L$4:$L$503,_calc!$E$749)),TEXT(INDEX('Dealer pipeline'!$L$4:$L$503,_calc!$E$749),"yyyy-mm-dd"),""))=0,"","Labor end: "&amp;IF(ISNUMBER(INDEX('Dealer pipeline'!$L$4:$L$503,_calc!$E$749)),TEXT(INDEX('Dealer pipeline'!$L$4:$L$503,_calc!$E$749),"yyyy-mm-dd"),"")&amp;". ")&amp;IF(LEN(IF(LEN(INDEX('Dealer pipeline'!$Q$4:$Q$503,_calc!$E$749))=0,"",INDEX('Dealer pipeline'!$Q$4:$Q$503,_calc!$E$749)))=0,"","Status: "&amp;IF(LEN(INDEX('Dealer pipeline'!$Q$4:$Q$503,_calc!$E$749))=0,"",INDEX('Dealer pipeline'!$Q$4:$Q$503,_calc!$E$749))&amp;". ")&amp;IF(LEN(IF(LEN(INDEX('Dealer pipeline'!$P$4:$P$503,_calc!$E$749))=0,"",INDEX('Dealer pipeline'!$P$4:$P$503,_calc!$E$749)))=0,"","Last touch: "&amp;IF(LEN(INDEX('Dealer pipeline'!$P$4:$P$503,_calc!$E$749))=0,"",INDEX('Dealer pipeline'!$P$4:$P$503,_calc!$E$749))&amp;". ")&amp;IF(LEN(IF(LEN(INDEX('Dealer pipeline'!$R$4:$R$503,_calc!$E$749))=0,"",INDEX('Dealer pipeline'!$R$4:$R$503,_calc!$E$749)))=0,"","Owner: "&amp;IF(LEN(INDEX('Dealer pipeline'!$R$4:$R$503,_calc!$E$749))=0,"",INDEX('Dealer pipeline'!$R$4:$R$503,_calc!$E$749))&amp;". ")&amp;IF(LEN(IF(LEN(INDEX('Dealer pipeline'!$S$4:$S$503,_calc!$E$749))=0,"",INDEX('Dealer pipeline'!$S$4:$S$503,_calc!$E$749)))=0,"","Backup: "&amp;IF(LEN(INDEX('Dealer pipeline'!$S$4:$S$503,_calc!$E$749))=0,"",INDEX('Dealer pipeline'!$S$4:$S$503,_calc!$E$749))&amp;". ")&amp;IF(LEN(IF(LEN(INDEX('Dealer pipeline'!$T$4:$T$503,_calc!$E$749))=0,"",INDEX('Dealer pipeline'!$T$4:$T$503,_calc!$E$749)))=0,"",IF(LEN(INDEX('Dealer pipeline'!$T$4:$T$503,_calc!$E$749))=0,"",INDEX('Dealer pipeline'!$T$4:$T$503,_calc!$E$749)))),TRIM(IF(LEN(IF(LEN(INDEX('My equipment'!$C$4:$C$503,(_calc!$E$749-500)))=0,"",INDEX('My equipment'!$C$4:$C$503,(_calc!$E$749-500))))=0,"","Model: "&amp;IF(LEN(INDEX('My equipment'!$C$4:$C$503,(_calc!$E$749-500)))=0,"",INDEX('My equipment'!$C$4:$C$503,(_calc!$E$749-500)))&amp;". ")&amp;IF(LEN(IF(LEN(INDEX('My equipment'!$D$4:$D$503,(_calc!$E$749-500)))=0,"",INDEX('My equipment'!$D$4:$D$503,(_calc!$E$749-500))))=0,"","Serial: "&amp;IF(LEN(INDEX('My equipment'!$D$4:$D$503,(_calc!$E$749-500)))=0,"",INDEX('My equipment'!$D$4:$D$503,(_calc!$E$749-500)))&amp;". ")&amp;IF(LEN(IF(ISNUMBER(INDEX('My equipment'!$J$4:$J$503,(_calc!$E$749-500))),TEXT(INDEX('My equipment'!$J$4:$J$503,(_calc!$E$749-500)),"yyyy-mm-dd"),""))=0,"","Parts end: "&amp;IF(ISNUMBER(INDEX('My equipment'!$J$4:$J$503,(_calc!$E$749-500))),TEXT(INDEX('My equipment'!$J$4:$J$503,(_calc!$E$749-500)),"yyyy-mm-dd"),"")&amp;". ")&amp;IF(LEN(IF(ISNUMBER(INDEX('My equipment'!$L$4:$L$503,(_calc!$E$749-500))),TEXT(INDEX('My equipment'!$L$4:$L$503,(_calc!$E$749-500)),"yyyy-mm-dd"),""))=0,"","Labor end: "&amp;IF(ISNUMBER(INDEX('My equipment'!$L$4:$L$503,(_calc!$E$749-500))),TEXT(INDEX('My equipment'!$L$4:$L$503,(_calc!$E$749-500)),"yyyy-mm-dd"),"")&amp;". ")&amp;IF(LEN(IF(ISNUMBER(INDEX('My equipment'!$P$4:$P$503,(_calc!$E$749-500))),TEXT(INDEX('My equipment'!$P$4:$P$503,(_calc!$E$749-500)),"yyyy-mm-dd"),""))=0,"","Check by: "&amp;IF(ISNUMBER(INDEX('My equipment'!$P$4:$P$503,(_calc!$E$749-500))),TEXT(INDEX('My equipment'!$P$4:$P$503,(_calc!$E$749-500)),"yyyy-mm-dd"),"")&amp;". ")&amp;IF(LEN(IF(LEN(INDEX('My equipment'!$Q$4:$Q$503,(_calc!$E$749-500)))=0,"",INDEX('My equipment'!$Q$4:$Q$503,(_calc!$E$749-500))))=0,"","Claim status: "&amp;IF(LEN(INDEX('My equipment'!$Q$4:$Q$503,(_calc!$E$749-500)))=0,"",INDEX('My equipment'!$Q$4:$Q$503,(_calc!$E$749-500)))&amp;". ")&amp;IF(LEN(IF(LEN(INDEX('My equipment'!$R$4:$R$503,(_calc!$E$749-500)))=0,"",INDEX('My equipment'!$R$4:$R$503,(_calc!$E$749-500))))=0,"","Claims contact: "&amp;IF(LEN(INDEX('My equipment'!$R$4:$R$503,(_calc!$E$749-500)))=0,"",INDEX('My equipment'!$R$4:$R$503,(_calc!$E$749-500)))&amp;". ")&amp;IF(LEN(IF(LEN(INDEX('My equipment'!$S$4:$S$503,(_calc!$E$749-500)))=0,"",INDEX('My equipment'!$S$4:$S$503,(_calc!$E$749-500))))=0,"","Claims email: "&amp;IF(LEN(INDEX('My equipment'!$S$4:$S$503,(_calc!$E$749-500)))=0,"",INDEX('My equipment'!$S$4:$S$503,(_calc!$E$749-500)))&amp;". ")&amp;IF(LEN(IF(LEN(INDEX('My equipment'!$U$4:$U$503,(_calc!$E$749-500)))=0,"",INDEX('My equipment'!$U$4:$U$503,(_calc!$E$749-500))))=0,"","Registered: "&amp;IF(LEN(INDEX('My equipment'!$U$4:$U$503,(_calc!$E$749-500)))=0,"",INDEX('My equipment'!$U$4:$U$503,(_calc!$E$749-500)))&amp;". ")&amp;IF(LEN(IF(LEN(INDEX('My equipment'!$V$4:$V$503,(_calc!$E$749-500)))=0,"",INDEX('My equipment'!$V$4:$V$503,(_calc!$E$749-500))))=0,"","Proof on file: "&amp;IF(LEN(INDEX('My equipment'!$V$4:$V$503,(_calc!$E$749-500)))=0,"",INDEX('My equipment'!$V$4:$V$503,(_calc!$E$749-500)))&amp;". ")&amp;IF(LEN(IF(LEN(INDEX('My equipment'!$W$4:$W$503,(_calc!$E$749-500)))=0,"",INDEX('My equipment'!$W$4:$W$503,(_calc!$E$749-500))))=0,"","Claim ref: "&amp;IF(LEN(INDEX('My equipment'!$W$4:$W$503,(_calc!$E$749-500)))=0,"",INDEX('My equipment'!$W$4:$W$503,(_calc!$E$749-500)))&amp;". ")&amp;IF(LEN(IF(LEN(INDEX('My equipment'!$Y$4:$Y$503,(_calc!$E$749-500)))=0,"",INDEX('My equipment'!$Y$4:$Y$503,(_calc!$E$749-500))))=0,"",IF(LEN(INDEX('My equipment'!$Y$4:$Y$503,(_calc!$E$749-500)))=0,"",INDEX('My equipment'!$Y$4:$Y$503,(_calc!$E$749-500)))))))</f>
        <v/>
      </c>
      <c r="G747" s="54">
        <f>IF(_calc!$E$749="","",IF(_calc!$E$749&lt;=500,"",IF(LEN(INDEX('My equipment'!$X$4:$X$503,(_calc!$E$749-500)))=0,"",INDEX('My equipment'!$X$4:$X$503,(_calc!$E$749-500)))))</f>
        <v/>
      </c>
      <c r="K747" s="54">
        <f>IF(_calc!$E$749="","",IF(_calc!$E$749&lt;=500,"",IF(LEN(INDEX('My equipment'!$T$4:$T$503,(_calc!$E$749-500)))=0,"",INDEX('My equipment'!$T$4:$T$503,(_calc!$E$749-500)))))</f>
        <v/>
      </c>
    </row>
    <row r="748">
      <c r="A748" s="54">
        <f>IF(_calc!$E$750="","",IF(_calc!$E$750&lt;=500,"Warranty – "&amp;IF(LEN(INDEX('Dealer pipeline'!$C$4:$C$503,_calc!$E$750))=0,"",INDEX('Dealer pipeline'!$C$4:$C$503,_calc!$E$750))&amp;" – "&amp;IF(LEN(INDEX('Dealer pipeline'!$D$4:$D$503,_calc!$E$750))=0,"",INDEX('Dealer pipeline'!$D$4:$D$503,_calc!$E$750))&amp;" – "&amp;IF(LEN(INDEX('Dealer pipeline'!$A$4:$A$503,_calc!$E$750))=0,"",INDEX('Dealer pipeline'!$A$4:$A$503,_calc!$E$750)),"Warranty – "&amp;IF(LEN(INDEX('My equipment'!$A$4:$A$503,(_calc!$E$750-500)))=0,"",INDEX('My equipment'!$A$4:$A$503,(_calc!$E$750-500)))&amp;" – "&amp;IF(LEN(INDEX('My equipment'!$D$4:$D$503,(_calc!$E$750-500)))=0,"",INDEX('My equipment'!$D$4:$D$503,(_calc!$E$750-500)))))</f>
        <v/>
      </c>
      <c r="B748" s="54">
        <f>IF(_calc!$E$750="","",IF(_calc!$E$750&lt;=500,IF(ISNUMBER(INDEX('Dealer pipeline'!$M$4:$M$503,_calc!$E$750)),TEXT(INDEX('Dealer pipeline'!$M$4:$M$503,_calc!$E$750),"yyyy-mm-dd"),""),IF(ISNUMBER(INDEX('My equipment'!$M$4:$M$503,(_calc!$E$750-500))),TEXT(INDEX('My equipment'!$M$4:$M$503,(_calc!$E$750-500)),"yyyy-mm-dd"),"")))</f>
        <v/>
      </c>
      <c r="C748" s="54">
        <f>IF(_calc!$E$750="","",IF(_calc!$E$750&lt;=500,"Warranty","Warranty"))</f>
        <v/>
      </c>
      <c r="D748" s="54">
        <f>IF(_calc!$E$750="","",IF(_calc!$E$750&lt;=500,IF(ISNUMBER(INDEX('Dealer pipeline'!$H$4:$H$503,_calc!$E$750)),TEXT(INDEX('Dealer pipeline'!$H$4:$H$503,_calc!$E$750),"yyyy-mm-dd"),""),IF(ISNUMBER(INDEX('My equipment'!$H$4:$H$503,(_calc!$E$750-500))),TEXT(INDEX('My equipment'!$H$4:$H$503,(_calc!$E$750-500)),"yyyy-mm-dd"),"")))</f>
        <v/>
      </c>
      <c r="F748" s="54">
        <f>IF(_calc!$E$750="","",IF(_calc!$E$750&lt;=500,TRIM(IF(LEN(IF(LEN(INDEX('Dealer pipeline'!$A$4:$A$503,_calc!$E$750))=0,"",INDEX('Dealer pipeline'!$A$4:$A$503,_calc!$E$750)))=0,"","Customer: "&amp;IF(LEN(INDEX('Dealer pipeline'!$A$4:$A$503,_calc!$E$750))=0,"",INDEX('Dealer pipeline'!$A$4:$A$503,_calc!$E$750))&amp;". ")&amp;IF(LEN(IF(LEN(INDEX('Dealer pipeline'!$B$4:$B$503,_calc!$E$750))=0,"",INDEX('Dealer pipeline'!$B$4:$B$503,_calc!$E$750)))=0,"","Contact: "&amp;IF(LEN(INDEX('Dealer pipeline'!$B$4:$B$503,_calc!$E$750))=0,"",INDEX('Dealer pipeline'!$B$4:$B$503,_calc!$E$750))&amp;". ")&amp;IF(LEN(IF(LEN(INDEX('Dealer pipeline'!$D$4:$D$503,_calc!$E$750))=0,"",INDEX('Dealer pipeline'!$D$4:$D$503,_calc!$E$750)))=0,"","Serial: "&amp;IF(LEN(INDEX('Dealer pipeline'!$D$4:$D$503,_calc!$E$750))=0,"",INDEX('Dealer pipeline'!$D$4:$D$503,_calc!$E$750))&amp;". ")&amp;IF(LEN(IF(ISNUMBER(INDEX('Dealer pipeline'!$J$4:$J$503,_calc!$E$750)),TEXT(INDEX('Dealer pipeline'!$J$4:$J$503,_calc!$E$750),"yyyy-mm-dd"),""))=0,"","Parts end: "&amp;IF(ISNUMBER(INDEX('Dealer pipeline'!$J$4:$J$503,_calc!$E$750)),TEXT(INDEX('Dealer pipeline'!$J$4:$J$503,_calc!$E$750),"yyyy-mm-dd"),"")&amp;". ")&amp;IF(LEN(IF(ISNUMBER(INDEX('Dealer pipeline'!$L$4:$L$503,_calc!$E$750)),TEXT(INDEX('Dealer pipeline'!$L$4:$L$503,_calc!$E$750),"yyyy-mm-dd"),""))=0,"","Labor end: "&amp;IF(ISNUMBER(INDEX('Dealer pipeline'!$L$4:$L$503,_calc!$E$750)),TEXT(INDEX('Dealer pipeline'!$L$4:$L$503,_calc!$E$750),"yyyy-mm-dd"),"")&amp;". ")&amp;IF(LEN(IF(LEN(INDEX('Dealer pipeline'!$Q$4:$Q$503,_calc!$E$750))=0,"",INDEX('Dealer pipeline'!$Q$4:$Q$503,_calc!$E$750)))=0,"","Status: "&amp;IF(LEN(INDEX('Dealer pipeline'!$Q$4:$Q$503,_calc!$E$750))=0,"",INDEX('Dealer pipeline'!$Q$4:$Q$503,_calc!$E$750))&amp;". ")&amp;IF(LEN(IF(LEN(INDEX('Dealer pipeline'!$P$4:$P$503,_calc!$E$750))=0,"",INDEX('Dealer pipeline'!$P$4:$P$503,_calc!$E$750)))=0,"","Last touch: "&amp;IF(LEN(INDEX('Dealer pipeline'!$P$4:$P$503,_calc!$E$750))=0,"",INDEX('Dealer pipeline'!$P$4:$P$503,_calc!$E$750))&amp;". ")&amp;IF(LEN(IF(LEN(INDEX('Dealer pipeline'!$R$4:$R$503,_calc!$E$750))=0,"",INDEX('Dealer pipeline'!$R$4:$R$503,_calc!$E$750)))=0,"","Owner: "&amp;IF(LEN(INDEX('Dealer pipeline'!$R$4:$R$503,_calc!$E$750))=0,"",INDEX('Dealer pipeline'!$R$4:$R$503,_calc!$E$750))&amp;". ")&amp;IF(LEN(IF(LEN(INDEX('Dealer pipeline'!$S$4:$S$503,_calc!$E$750))=0,"",INDEX('Dealer pipeline'!$S$4:$S$503,_calc!$E$750)))=0,"","Backup: "&amp;IF(LEN(INDEX('Dealer pipeline'!$S$4:$S$503,_calc!$E$750))=0,"",INDEX('Dealer pipeline'!$S$4:$S$503,_calc!$E$750))&amp;". ")&amp;IF(LEN(IF(LEN(INDEX('Dealer pipeline'!$T$4:$T$503,_calc!$E$750))=0,"",INDEX('Dealer pipeline'!$T$4:$T$503,_calc!$E$750)))=0,"",IF(LEN(INDEX('Dealer pipeline'!$T$4:$T$503,_calc!$E$750))=0,"",INDEX('Dealer pipeline'!$T$4:$T$503,_calc!$E$750)))),TRIM(IF(LEN(IF(LEN(INDEX('My equipment'!$C$4:$C$503,(_calc!$E$750-500)))=0,"",INDEX('My equipment'!$C$4:$C$503,(_calc!$E$750-500))))=0,"","Model: "&amp;IF(LEN(INDEX('My equipment'!$C$4:$C$503,(_calc!$E$750-500)))=0,"",INDEX('My equipment'!$C$4:$C$503,(_calc!$E$750-500)))&amp;". ")&amp;IF(LEN(IF(LEN(INDEX('My equipment'!$D$4:$D$503,(_calc!$E$750-500)))=0,"",INDEX('My equipment'!$D$4:$D$503,(_calc!$E$750-500))))=0,"","Serial: "&amp;IF(LEN(INDEX('My equipment'!$D$4:$D$503,(_calc!$E$750-500)))=0,"",INDEX('My equipment'!$D$4:$D$503,(_calc!$E$750-500)))&amp;". ")&amp;IF(LEN(IF(ISNUMBER(INDEX('My equipment'!$J$4:$J$503,(_calc!$E$750-500))),TEXT(INDEX('My equipment'!$J$4:$J$503,(_calc!$E$750-500)),"yyyy-mm-dd"),""))=0,"","Parts end: "&amp;IF(ISNUMBER(INDEX('My equipment'!$J$4:$J$503,(_calc!$E$750-500))),TEXT(INDEX('My equipment'!$J$4:$J$503,(_calc!$E$750-500)),"yyyy-mm-dd"),"")&amp;". ")&amp;IF(LEN(IF(ISNUMBER(INDEX('My equipment'!$L$4:$L$503,(_calc!$E$750-500))),TEXT(INDEX('My equipment'!$L$4:$L$503,(_calc!$E$750-500)),"yyyy-mm-dd"),""))=0,"","Labor end: "&amp;IF(ISNUMBER(INDEX('My equipment'!$L$4:$L$503,(_calc!$E$750-500))),TEXT(INDEX('My equipment'!$L$4:$L$503,(_calc!$E$750-500)),"yyyy-mm-dd"),"")&amp;". ")&amp;IF(LEN(IF(ISNUMBER(INDEX('My equipment'!$P$4:$P$503,(_calc!$E$750-500))),TEXT(INDEX('My equipment'!$P$4:$P$503,(_calc!$E$750-500)),"yyyy-mm-dd"),""))=0,"","Check by: "&amp;IF(ISNUMBER(INDEX('My equipment'!$P$4:$P$503,(_calc!$E$750-500))),TEXT(INDEX('My equipment'!$P$4:$P$503,(_calc!$E$750-500)),"yyyy-mm-dd"),"")&amp;". ")&amp;IF(LEN(IF(LEN(INDEX('My equipment'!$Q$4:$Q$503,(_calc!$E$750-500)))=0,"",INDEX('My equipment'!$Q$4:$Q$503,(_calc!$E$750-500))))=0,"","Claim status: "&amp;IF(LEN(INDEX('My equipment'!$Q$4:$Q$503,(_calc!$E$750-500)))=0,"",INDEX('My equipment'!$Q$4:$Q$503,(_calc!$E$750-500)))&amp;". ")&amp;IF(LEN(IF(LEN(INDEX('My equipment'!$R$4:$R$503,(_calc!$E$750-500)))=0,"",INDEX('My equipment'!$R$4:$R$503,(_calc!$E$750-500))))=0,"","Claims contact: "&amp;IF(LEN(INDEX('My equipment'!$R$4:$R$503,(_calc!$E$750-500)))=0,"",INDEX('My equipment'!$R$4:$R$503,(_calc!$E$750-500)))&amp;". ")&amp;IF(LEN(IF(LEN(INDEX('My equipment'!$S$4:$S$503,(_calc!$E$750-500)))=0,"",INDEX('My equipment'!$S$4:$S$503,(_calc!$E$750-500))))=0,"","Claims email: "&amp;IF(LEN(INDEX('My equipment'!$S$4:$S$503,(_calc!$E$750-500)))=0,"",INDEX('My equipment'!$S$4:$S$503,(_calc!$E$750-500)))&amp;". ")&amp;IF(LEN(IF(LEN(INDEX('My equipment'!$U$4:$U$503,(_calc!$E$750-500)))=0,"",INDEX('My equipment'!$U$4:$U$503,(_calc!$E$750-500))))=0,"","Registered: "&amp;IF(LEN(INDEX('My equipment'!$U$4:$U$503,(_calc!$E$750-500)))=0,"",INDEX('My equipment'!$U$4:$U$503,(_calc!$E$750-500)))&amp;". ")&amp;IF(LEN(IF(LEN(INDEX('My equipment'!$V$4:$V$503,(_calc!$E$750-500)))=0,"",INDEX('My equipment'!$V$4:$V$503,(_calc!$E$750-500))))=0,"","Proof on file: "&amp;IF(LEN(INDEX('My equipment'!$V$4:$V$503,(_calc!$E$750-500)))=0,"",INDEX('My equipment'!$V$4:$V$503,(_calc!$E$750-500)))&amp;". ")&amp;IF(LEN(IF(LEN(INDEX('My equipment'!$W$4:$W$503,(_calc!$E$750-500)))=0,"",INDEX('My equipment'!$W$4:$W$503,(_calc!$E$750-500))))=0,"","Claim ref: "&amp;IF(LEN(INDEX('My equipment'!$W$4:$W$503,(_calc!$E$750-500)))=0,"",INDEX('My equipment'!$W$4:$W$503,(_calc!$E$750-500)))&amp;". ")&amp;IF(LEN(IF(LEN(INDEX('My equipment'!$Y$4:$Y$503,(_calc!$E$750-500)))=0,"",INDEX('My equipment'!$Y$4:$Y$503,(_calc!$E$750-500))))=0,"",IF(LEN(INDEX('My equipment'!$Y$4:$Y$503,(_calc!$E$750-500)))=0,"",INDEX('My equipment'!$Y$4:$Y$503,(_calc!$E$750-500)))))))</f>
        <v/>
      </c>
      <c r="G748" s="54">
        <f>IF(_calc!$E$750="","",IF(_calc!$E$750&lt;=500,"",IF(LEN(INDEX('My equipment'!$X$4:$X$503,(_calc!$E$750-500)))=0,"",INDEX('My equipment'!$X$4:$X$503,(_calc!$E$750-500)))))</f>
        <v/>
      </c>
      <c r="K748" s="54">
        <f>IF(_calc!$E$750="","",IF(_calc!$E$750&lt;=500,"",IF(LEN(INDEX('My equipment'!$T$4:$T$503,(_calc!$E$750-500)))=0,"",INDEX('My equipment'!$T$4:$T$503,(_calc!$E$750-500)))))</f>
        <v/>
      </c>
    </row>
    <row r="749">
      <c r="A749" s="54">
        <f>IF(_calc!$E$751="","",IF(_calc!$E$751&lt;=500,"Warranty – "&amp;IF(LEN(INDEX('Dealer pipeline'!$C$4:$C$503,_calc!$E$751))=0,"",INDEX('Dealer pipeline'!$C$4:$C$503,_calc!$E$751))&amp;" – "&amp;IF(LEN(INDEX('Dealer pipeline'!$D$4:$D$503,_calc!$E$751))=0,"",INDEX('Dealer pipeline'!$D$4:$D$503,_calc!$E$751))&amp;" – "&amp;IF(LEN(INDEX('Dealer pipeline'!$A$4:$A$503,_calc!$E$751))=0,"",INDEX('Dealer pipeline'!$A$4:$A$503,_calc!$E$751)),"Warranty – "&amp;IF(LEN(INDEX('My equipment'!$A$4:$A$503,(_calc!$E$751-500)))=0,"",INDEX('My equipment'!$A$4:$A$503,(_calc!$E$751-500)))&amp;" – "&amp;IF(LEN(INDEX('My equipment'!$D$4:$D$503,(_calc!$E$751-500)))=0,"",INDEX('My equipment'!$D$4:$D$503,(_calc!$E$751-500)))))</f>
        <v/>
      </c>
      <c r="B749" s="54">
        <f>IF(_calc!$E$751="","",IF(_calc!$E$751&lt;=500,IF(ISNUMBER(INDEX('Dealer pipeline'!$M$4:$M$503,_calc!$E$751)),TEXT(INDEX('Dealer pipeline'!$M$4:$M$503,_calc!$E$751),"yyyy-mm-dd"),""),IF(ISNUMBER(INDEX('My equipment'!$M$4:$M$503,(_calc!$E$751-500))),TEXT(INDEX('My equipment'!$M$4:$M$503,(_calc!$E$751-500)),"yyyy-mm-dd"),"")))</f>
        <v/>
      </c>
      <c r="C749" s="54">
        <f>IF(_calc!$E$751="","",IF(_calc!$E$751&lt;=500,"Warranty","Warranty"))</f>
        <v/>
      </c>
      <c r="D749" s="54">
        <f>IF(_calc!$E$751="","",IF(_calc!$E$751&lt;=500,IF(ISNUMBER(INDEX('Dealer pipeline'!$H$4:$H$503,_calc!$E$751)),TEXT(INDEX('Dealer pipeline'!$H$4:$H$503,_calc!$E$751),"yyyy-mm-dd"),""),IF(ISNUMBER(INDEX('My equipment'!$H$4:$H$503,(_calc!$E$751-500))),TEXT(INDEX('My equipment'!$H$4:$H$503,(_calc!$E$751-500)),"yyyy-mm-dd"),"")))</f>
        <v/>
      </c>
      <c r="F749" s="54">
        <f>IF(_calc!$E$751="","",IF(_calc!$E$751&lt;=500,TRIM(IF(LEN(IF(LEN(INDEX('Dealer pipeline'!$A$4:$A$503,_calc!$E$751))=0,"",INDEX('Dealer pipeline'!$A$4:$A$503,_calc!$E$751)))=0,"","Customer: "&amp;IF(LEN(INDEX('Dealer pipeline'!$A$4:$A$503,_calc!$E$751))=0,"",INDEX('Dealer pipeline'!$A$4:$A$503,_calc!$E$751))&amp;". ")&amp;IF(LEN(IF(LEN(INDEX('Dealer pipeline'!$B$4:$B$503,_calc!$E$751))=0,"",INDEX('Dealer pipeline'!$B$4:$B$503,_calc!$E$751)))=0,"","Contact: "&amp;IF(LEN(INDEX('Dealer pipeline'!$B$4:$B$503,_calc!$E$751))=0,"",INDEX('Dealer pipeline'!$B$4:$B$503,_calc!$E$751))&amp;". ")&amp;IF(LEN(IF(LEN(INDEX('Dealer pipeline'!$D$4:$D$503,_calc!$E$751))=0,"",INDEX('Dealer pipeline'!$D$4:$D$503,_calc!$E$751)))=0,"","Serial: "&amp;IF(LEN(INDEX('Dealer pipeline'!$D$4:$D$503,_calc!$E$751))=0,"",INDEX('Dealer pipeline'!$D$4:$D$503,_calc!$E$751))&amp;". ")&amp;IF(LEN(IF(ISNUMBER(INDEX('Dealer pipeline'!$J$4:$J$503,_calc!$E$751)),TEXT(INDEX('Dealer pipeline'!$J$4:$J$503,_calc!$E$751),"yyyy-mm-dd"),""))=0,"","Parts end: "&amp;IF(ISNUMBER(INDEX('Dealer pipeline'!$J$4:$J$503,_calc!$E$751)),TEXT(INDEX('Dealer pipeline'!$J$4:$J$503,_calc!$E$751),"yyyy-mm-dd"),"")&amp;". ")&amp;IF(LEN(IF(ISNUMBER(INDEX('Dealer pipeline'!$L$4:$L$503,_calc!$E$751)),TEXT(INDEX('Dealer pipeline'!$L$4:$L$503,_calc!$E$751),"yyyy-mm-dd"),""))=0,"","Labor end: "&amp;IF(ISNUMBER(INDEX('Dealer pipeline'!$L$4:$L$503,_calc!$E$751)),TEXT(INDEX('Dealer pipeline'!$L$4:$L$503,_calc!$E$751),"yyyy-mm-dd"),"")&amp;". ")&amp;IF(LEN(IF(LEN(INDEX('Dealer pipeline'!$Q$4:$Q$503,_calc!$E$751))=0,"",INDEX('Dealer pipeline'!$Q$4:$Q$503,_calc!$E$751)))=0,"","Status: "&amp;IF(LEN(INDEX('Dealer pipeline'!$Q$4:$Q$503,_calc!$E$751))=0,"",INDEX('Dealer pipeline'!$Q$4:$Q$503,_calc!$E$751))&amp;". ")&amp;IF(LEN(IF(LEN(INDEX('Dealer pipeline'!$P$4:$P$503,_calc!$E$751))=0,"",INDEX('Dealer pipeline'!$P$4:$P$503,_calc!$E$751)))=0,"","Last touch: "&amp;IF(LEN(INDEX('Dealer pipeline'!$P$4:$P$503,_calc!$E$751))=0,"",INDEX('Dealer pipeline'!$P$4:$P$503,_calc!$E$751))&amp;". ")&amp;IF(LEN(IF(LEN(INDEX('Dealer pipeline'!$R$4:$R$503,_calc!$E$751))=0,"",INDEX('Dealer pipeline'!$R$4:$R$503,_calc!$E$751)))=0,"","Owner: "&amp;IF(LEN(INDEX('Dealer pipeline'!$R$4:$R$503,_calc!$E$751))=0,"",INDEX('Dealer pipeline'!$R$4:$R$503,_calc!$E$751))&amp;". ")&amp;IF(LEN(IF(LEN(INDEX('Dealer pipeline'!$S$4:$S$503,_calc!$E$751))=0,"",INDEX('Dealer pipeline'!$S$4:$S$503,_calc!$E$751)))=0,"","Backup: "&amp;IF(LEN(INDEX('Dealer pipeline'!$S$4:$S$503,_calc!$E$751))=0,"",INDEX('Dealer pipeline'!$S$4:$S$503,_calc!$E$751))&amp;". ")&amp;IF(LEN(IF(LEN(INDEX('Dealer pipeline'!$T$4:$T$503,_calc!$E$751))=0,"",INDEX('Dealer pipeline'!$T$4:$T$503,_calc!$E$751)))=0,"",IF(LEN(INDEX('Dealer pipeline'!$T$4:$T$503,_calc!$E$751))=0,"",INDEX('Dealer pipeline'!$T$4:$T$503,_calc!$E$751)))),TRIM(IF(LEN(IF(LEN(INDEX('My equipment'!$C$4:$C$503,(_calc!$E$751-500)))=0,"",INDEX('My equipment'!$C$4:$C$503,(_calc!$E$751-500))))=0,"","Model: "&amp;IF(LEN(INDEX('My equipment'!$C$4:$C$503,(_calc!$E$751-500)))=0,"",INDEX('My equipment'!$C$4:$C$503,(_calc!$E$751-500)))&amp;". ")&amp;IF(LEN(IF(LEN(INDEX('My equipment'!$D$4:$D$503,(_calc!$E$751-500)))=0,"",INDEX('My equipment'!$D$4:$D$503,(_calc!$E$751-500))))=0,"","Serial: "&amp;IF(LEN(INDEX('My equipment'!$D$4:$D$503,(_calc!$E$751-500)))=0,"",INDEX('My equipment'!$D$4:$D$503,(_calc!$E$751-500)))&amp;". ")&amp;IF(LEN(IF(ISNUMBER(INDEX('My equipment'!$J$4:$J$503,(_calc!$E$751-500))),TEXT(INDEX('My equipment'!$J$4:$J$503,(_calc!$E$751-500)),"yyyy-mm-dd"),""))=0,"","Parts end: "&amp;IF(ISNUMBER(INDEX('My equipment'!$J$4:$J$503,(_calc!$E$751-500))),TEXT(INDEX('My equipment'!$J$4:$J$503,(_calc!$E$751-500)),"yyyy-mm-dd"),"")&amp;". ")&amp;IF(LEN(IF(ISNUMBER(INDEX('My equipment'!$L$4:$L$503,(_calc!$E$751-500))),TEXT(INDEX('My equipment'!$L$4:$L$503,(_calc!$E$751-500)),"yyyy-mm-dd"),""))=0,"","Labor end: "&amp;IF(ISNUMBER(INDEX('My equipment'!$L$4:$L$503,(_calc!$E$751-500))),TEXT(INDEX('My equipment'!$L$4:$L$503,(_calc!$E$751-500)),"yyyy-mm-dd"),"")&amp;". ")&amp;IF(LEN(IF(ISNUMBER(INDEX('My equipment'!$P$4:$P$503,(_calc!$E$751-500))),TEXT(INDEX('My equipment'!$P$4:$P$503,(_calc!$E$751-500)),"yyyy-mm-dd"),""))=0,"","Check by: "&amp;IF(ISNUMBER(INDEX('My equipment'!$P$4:$P$503,(_calc!$E$751-500))),TEXT(INDEX('My equipment'!$P$4:$P$503,(_calc!$E$751-500)),"yyyy-mm-dd"),"")&amp;". ")&amp;IF(LEN(IF(LEN(INDEX('My equipment'!$Q$4:$Q$503,(_calc!$E$751-500)))=0,"",INDEX('My equipment'!$Q$4:$Q$503,(_calc!$E$751-500))))=0,"","Claim status: "&amp;IF(LEN(INDEX('My equipment'!$Q$4:$Q$503,(_calc!$E$751-500)))=0,"",INDEX('My equipment'!$Q$4:$Q$503,(_calc!$E$751-500)))&amp;". ")&amp;IF(LEN(IF(LEN(INDEX('My equipment'!$R$4:$R$503,(_calc!$E$751-500)))=0,"",INDEX('My equipment'!$R$4:$R$503,(_calc!$E$751-500))))=0,"","Claims contact: "&amp;IF(LEN(INDEX('My equipment'!$R$4:$R$503,(_calc!$E$751-500)))=0,"",INDEX('My equipment'!$R$4:$R$503,(_calc!$E$751-500)))&amp;". ")&amp;IF(LEN(IF(LEN(INDEX('My equipment'!$S$4:$S$503,(_calc!$E$751-500)))=0,"",INDEX('My equipment'!$S$4:$S$503,(_calc!$E$751-500))))=0,"","Claims email: "&amp;IF(LEN(INDEX('My equipment'!$S$4:$S$503,(_calc!$E$751-500)))=0,"",INDEX('My equipment'!$S$4:$S$503,(_calc!$E$751-500)))&amp;". ")&amp;IF(LEN(IF(LEN(INDEX('My equipment'!$U$4:$U$503,(_calc!$E$751-500)))=0,"",INDEX('My equipment'!$U$4:$U$503,(_calc!$E$751-500))))=0,"","Registered: "&amp;IF(LEN(INDEX('My equipment'!$U$4:$U$503,(_calc!$E$751-500)))=0,"",INDEX('My equipment'!$U$4:$U$503,(_calc!$E$751-500)))&amp;". ")&amp;IF(LEN(IF(LEN(INDEX('My equipment'!$V$4:$V$503,(_calc!$E$751-500)))=0,"",INDEX('My equipment'!$V$4:$V$503,(_calc!$E$751-500))))=0,"","Proof on file: "&amp;IF(LEN(INDEX('My equipment'!$V$4:$V$503,(_calc!$E$751-500)))=0,"",INDEX('My equipment'!$V$4:$V$503,(_calc!$E$751-500)))&amp;". ")&amp;IF(LEN(IF(LEN(INDEX('My equipment'!$W$4:$W$503,(_calc!$E$751-500)))=0,"",INDEX('My equipment'!$W$4:$W$503,(_calc!$E$751-500))))=0,"","Claim ref: "&amp;IF(LEN(INDEX('My equipment'!$W$4:$W$503,(_calc!$E$751-500)))=0,"",INDEX('My equipment'!$W$4:$W$503,(_calc!$E$751-500)))&amp;". ")&amp;IF(LEN(IF(LEN(INDEX('My equipment'!$Y$4:$Y$503,(_calc!$E$751-500)))=0,"",INDEX('My equipment'!$Y$4:$Y$503,(_calc!$E$751-500))))=0,"",IF(LEN(INDEX('My equipment'!$Y$4:$Y$503,(_calc!$E$751-500)))=0,"",INDEX('My equipment'!$Y$4:$Y$503,(_calc!$E$751-500)))))))</f>
        <v/>
      </c>
      <c r="G749" s="54">
        <f>IF(_calc!$E$751="","",IF(_calc!$E$751&lt;=500,"",IF(LEN(INDEX('My equipment'!$X$4:$X$503,(_calc!$E$751-500)))=0,"",INDEX('My equipment'!$X$4:$X$503,(_calc!$E$751-500)))))</f>
        <v/>
      </c>
      <c r="K749" s="54">
        <f>IF(_calc!$E$751="","",IF(_calc!$E$751&lt;=500,"",IF(LEN(INDEX('My equipment'!$T$4:$T$503,(_calc!$E$751-500)))=0,"",INDEX('My equipment'!$T$4:$T$503,(_calc!$E$751-500)))))</f>
        <v/>
      </c>
    </row>
    <row r="750">
      <c r="A750" s="54">
        <f>IF(_calc!$E$752="","",IF(_calc!$E$752&lt;=500,"Warranty – "&amp;IF(LEN(INDEX('Dealer pipeline'!$C$4:$C$503,_calc!$E$752))=0,"",INDEX('Dealer pipeline'!$C$4:$C$503,_calc!$E$752))&amp;" – "&amp;IF(LEN(INDEX('Dealer pipeline'!$D$4:$D$503,_calc!$E$752))=0,"",INDEX('Dealer pipeline'!$D$4:$D$503,_calc!$E$752))&amp;" – "&amp;IF(LEN(INDEX('Dealer pipeline'!$A$4:$A$503,_calc!$E$752))=0,"",INDEX('Dealer pipeline'!$A$4:$A$503,_calc!$E$752)),"Warranty – "&amp;IF(LEN(INDEX('My equipment'!$A$4:$A$503,(_calc!$E$752-500)))=0,"",INDEX('My equipment'!$A$4:$A$503,(_calc!$E$752-500)))&amp;" – "&amp;IF(LEN(INDEX('My equipment'!$D$4:$D$503,(_calc!$E$752-500)))=0,"",INDEX('My equipment'!$D$4:$D$503,(_calc!$E$752-500)))))</f>
        <v/>
      </c>
      <c r="B750" s="54">
        <f>IF(_calc!$E$752="","",IF(_calc!$E$752&lt;=500,IF(ISNUMBER(INDEX('Dealer pipeline'!$M$4:$M$503,_calc!$E$752)),TEXT(INDEX('Dealer pipeline'!$M$4:$M$503,_calc!$E$752),"yyyy-mm-dd"),""),IF(ISNUMBER(INDEX('My equipment'!$M$4:$M$503,(_calc!$E$752-500))),TEXT(INDEX('My equipment'!$M$4:$M$503,(_calc!$E$752-500)),"yyyy-mm-dd"),"")))</f>
        <v/>
      </c>
      <c r="C750" s="54">
        <f>IF(_calc!$E$752="","",IF(_calc!$E$752&lt;=500,"Warranty","Warranty"))</f>
        <v/>
      </c>
      <c r="D750" s="54">
        <f>IF(_calc!$E$752="","",IF(_calc!$E$752&lt;=500,IF(ISNUMBER(INDEX('Dealer pipeline'!$H$4:$H$503,_calc!$E$752)),TEXT(INDEX('Dealer pipeline'!$H$4:$H$503,_calc!$E$752),"yyyy-mm-dd"),""),IF(ISNUMBER(INDEX('My equipment'!$H$4:$H$503,(_calc!$E$752-500))),TEXT(INDEX('My equipment'!$H$4:$H$503,(_calc!$E$752-500)),"yyyy-mm-dd"),"")))</f>
        <v/>
      </c>
      <c r="F750" s="54">
        <f>IF(_calc!$E$752="","",IF(_calc!$E$752&lt;=500,TRIM(IF(LEN(IF(LEN(INDEX('Dealer pipeline'!$A$4:$A$503,_calc!$E$752))=0,"",INDEX('Dealer pipeline'!$A$4:$A$503,_calc!$E$752)))=0,"","Customer: "&amp;IF(LEN(INDEX('Dealer pipeline'!$A$4:$A$503,_calc!$E$752))=0,"",INDEX('Dealer pipeline'!$A$4:$A$503,_calc!$E$752))&amp;". ")&amp;IF(LEN(IF(LEN(INDEX('Dealer pipeline'!$B$4:$B$503,_calc!$E$752))=0,"",INDEX('Dealer pipeline'!$B$4:$B$503,_calc!$E$752)))=0,"","Contact: "&amp;IF(LEN(INDEX('Dealer pipeline'!$B$4:$B$503,_calc!$E$752))=0,"",INDEX('Dealer pipeline'!$B$4:$B$503,_calc!$E$752))&amp;". ")&amp;IF(LEN(IF(LEN(INDEX('Dealer pipeline'!$D$4:$D$503,_calc!$E$752))=0,"",INDEX('Dealer pipeline'!$D$4:$D$503,_calc!$E$752)))=0,"","Serial: "&amp;IF(LEN(INDEX('Dealer pipeline'!$D$4:$D$503,_calc!$E$752))=0,"",INDEX('Dealer pipeline'!$D$4:$D$503,_calc!$E$752))&amp;". ")&amp;IF(LEN(IF(ISNUMBER(INDEX('Dealer pipeline'!$J$4:$J$503,_calc!$E$752)),TEXT(INDEX('Dealer pipeline'!$J$4:$J$503,_calc!$E$752),"yyyy-mm-dd"),""))=0,"","Parts end: "&amp;IF(ISNUMBER(INDEX('Dealer pipeline'!$J$4:$J$503,_calc!$E$752)),TEXT(INDEX('Dealer pipeline'!$J$4:$J$503,_calc!$E$752),"yyyy-mm-dd"),"")&amp;". ")&amp;IF(LEN(IF(ISNUMBER(INDEX('Dealer pipeline'!$L$4:$L$503,_calc!$E$752)),TEXT(INDEX('Dealer pipeline'!$L$4:$L$503,_calc!$E$752),"yyyy-mm-dd"),""))=0,"","Labor end: "&amp;IF(ISNUMBER(INDEX('Dealer pipeline'!$L$4:$L$503,_calc!$E$752)),TEXT(INDEX('Dealer pipeline'!$L$4:$L$503,_calc!$E$752),"yyyy-mm-dd"),"")&amp;". ")&amp;IF(LEN(IF(LEN(INDEX('Dealer pipeline'!$Q$4:$Q$503,_calc!$E$752))=0,"",INDEX('Dealer pipeline'!$Q$4:$Q$503,_calc!$E$752)))=0,"","Status: "&amp;IF(LEN(INDEX('Dealer pipeline'!$Q$4:$Q$503,_calc!$E$752))=0,"",INDEX('Dealer pipeline'!$Q$4:$Q$503,_calc!$E$752))&amp;". ")&amp;IF(LEN(IF(LEN(INDEX('Dealer pipeline'!$P$4:$P$503,_calc!$E$752))=0,"",INDEX('Dealer pipeline'!$P$4:$P$503,_calc!$E$752)))=0,"","Last touch: "&amp;IF(LEN(INDEX('Dealer pipeline'!$P$4:$P$503,_calc!$E$752))=0,"",INDEX('Dealer pipeline'!$P$4:$P$503,_calc!$E$752))&amp;". ")&amp;IF(LEN(IF(LEN(INDEX('Dealer pipeline'!$R$4:$R$503,_calc!$E$752))=0,"",INDEX('Dealer pipeline'!$R$4:$R$503,_calc!$E$752)))=0,"","Owner: "&amp;IF(LEN(INDEX('Dealer pipeline'!$R$4:$R$503,_calc!$E$752))=0,"",INDEX('Dealer pipeline'!$R$4:$R$503,_calc!$E$752))&amp;". ")&amp;IF(LEN(IF(LEN(INDEX('Dealer pipeline'!$S$4:$S$503,_calc!$E$752))=0,"",INDEX('Dealer pipeline'!$S$4:$S$503,_calc!$E$752)))=0,"","Backup: "&amp;IF(LEN(INDEX('Dealer pipeline'!$S$4:$S$503,_calc!$E$752))=0,"",INDEX('Dealer pipeline'!$S$4:$S$503,_calc!$E$752))&amp;". ")&amp;IF(LEN(IF(LEN(INDEX('Dealer pipeline'!$T$4:$T$503,_calc!$E$752))=0,"",INDEX('Dealer pipeline'!$T$4:$T$503,_calc!$E$752)))=0,"",IF(LEN(INDEX('Dealer pipeline'!$T$4:$T$503,_calc!$E$752))=0,"",INDEX('Dealer pipeline'!$T$4:$T$503,_calc!$E$752)))),TRIM(IF(LEN(IF(LEN(INDEX('My equipment'!$C$4:$C$503,(_calc!$E$752-500)))=0,"",INDEX('My equipment'!$C$4:$C$503,(_calc!$E$752-500))))=0,"","Model: "&amp;IF(LEN(INDEX('My equipment'!$C$4:$C$503,(_calc!$E$752-500)))=0,"",INDEX('My equipment'!$C$4:$C$503,(_calc!$E$752-500)))&amp;". ")&amp;IF(LEN(IF(LEN(INDEX('My equipment'!$D$4:$D$503,(_calc!$E$752-500)))=0,"",INDEX('My equipment'!$D$4:$D$503,(_calc!$E$752-500))))=0,"","Serial: "&amp;IF(LEN(INDEX('My equipment'!$D$4:$D$503,(_calc!$E$752-500)))=0,"",INDEX('My equipment'!$D$4:$D$503,(_calc!$E$752-500)))&amp;". ")&amp;IF(LEN(IF(ISNUMBER(INDEX('My equipment'!$J$4:$J$503,(_calc!$E$752-500))),TEXT(INDEX('My equipment'!$J$4:$J$503,(_calc!$E$752-500)),"yyyy-mm-dd"),""))=0,"","Parts end: "&amp;IF(ISNUMBER(INDEX('My equipment'!$J$4:$J$503,(_calc!$E$752-500))),TEXT(INDEX('My equipment'!$J$4:$J$503,(_calc!$E$752-500)),"yyyy-mm-dd"),"")&amp;". ")&amp;IF(LEN(IF(ISNUMBER(INDEX('My equipment'!$L$4:$L$503,(_calc!$E$752-500))),TEXT(INDEX('My equipment'!$L$4:$L$503,(_calc!$E$752-500)),"yyyy-mm-dd"),""))=0,"","Labor end: "&amp;IF(ISNUMBER(INDEX('My equipment'!$L$4:$L$503,(_calc!$E$752-500))),TEXT(INDEX('My equipment'!$L$4:$L$503,(_calc!$E$752-500)),"yyyy-mm-dd"),"")&amp;". ")&amp;IF(LEN(IF(ISNUMBER(INDEX('My equipment'!$P$4:$P$503,(_calc!$E$752-500))),TEXT(INDEX('My equipment'!$P$4:$P$503,(_calc!$E$752-500)),"yyyy-mm-dd"),""))=0,"","Check by: "&amp;IF(ISNUMBER(INDEX('My equipment'!$P$4:$P$503,(_calc!$E$752-500))),TEXT(INDEX('My equipment'!$P$4:$P$503,(_calc!$E$752-500)),"yyyy-mm-dd"),"")&amp;". ")&amp;IF(LEN(IF(LEN(INDEX('My equipment'!$Q$4:$Q$503,(_calc!$E$752-500)))=0,"",INDEX('My equipment'!$Q$4:$Q$503,(_calc!$E$752-500))))=0,"","Claim status: "&amp;IF(LEN(INDEX('My equipment'!$Q$4:$Q$503,(_calc!$E$752-500)))=0,"",INDEX('My equipment'!$Q$4:$Q$503,(_calc!$E$752-500)))&amp;". ")&amp;IF(LEN(IF(LEN(INDEX('My equipment'!$R$4:$R$503,(_calc!$E$752-500)))=0,"",INDEX('My equipment'!$R$4:$R$503,(_calc!$E$752-500))))=0,"","Claims contact: "&amp;IF(LEN(INDEX('My equipment'!$R$4:$R$503,(_calc!$E$752-500)))=0,"",INDEX('My equipment'!$R$4:$R$503,(_calc!$E$752-500)))&amp;". ")&amp;IF(LEN(IF(LEN(INDEX('My equipment'!$S$4:$S$503,(_calc!$E$752-500)))=0,"",INDEX('My equipment'!$S$4:$S$503,(_calc!$E$752-500))))=0,"","Claims email: "&amp;IF(LEN(INDEX('My equipment'!$S$4:$S$503,(_calc!$E$752-500)))=0,"",INDEX('My equipment'!$S$4:$S$503,(_calc!$E$752-500)))&amp;". ")&amp;IF(LEN(IF(LEN(INDEX('My equipment'!$U$4:$U$503,(_calc!$E$752-500)))=0,"",INDEX('My equipment'!$U$4:$U$503,(_calc!$E$752-500))))=0,"","Registered: "&amp;IF(LEN(INDEX('My equipment'!$U$4:$U$503,(_calc!$E$752-500)))=0,"",INDEX('My equipment'!$U$4:$U$503,(_calc!$E$752-500)))&amp;". ")&amp;IF(LEN(IF(LEN(INDEX('My equipment'!$V$4:$V$503,(_calc!$E$752-500)))=0,"",INDEX('My equipment'!$V$4:$V$503,(_calc!$E$752-500))))=0,"","Proof on file: "&amp;IF(LEN(INDEX('My equipment'!$V$4:$V$503,(_calc!$E$752-500)))=0,"",INDEX('My equipment'!$V$4:$V$503,(_calc!$E$752-500)))&amp;". ")&amp;IF(LEN(IF(LEN(INDEX('My equipment'!$W$4:$W$503,(_calc!$E$752-500)))=0,"",INDEX('My equipment'!$W$4:$W$503,(_calc!$E$752-500))))=0,"","Claim ref: "&amp;IF(LEN(INDEX('My equipment'!$W$4:$W$503,(_calc!$E$752-500)))=0,"",INDEX('My equipment'!$W$4:$W$503,(_calc!$E$752-500)))&amp;". ")&amp;IF(LEN(IF(LEN(INDEX('My equipment'!$Y$4:$Y$503,(_calc!$E$752-500)))=0,"",INDEX('My equipment'!$Y$4:$Y$503,(_calc!$E$752-500))))=0,"",IF(LEN(INDEX('My equipment'!$Y$4:$Y$503,(_calc!$E$752-500)))=0,"",INDEX('My equipment'!$Y$4:$Y$503,(_calc!$E$752-500)))))))</f>
        <v/>
      </c>
      <c r="G750" s="54">
        <f>IF(_calc!$E$752="","",IF(_calc!$E$752&lt;=500,"",IF(LEN(INDEX('My equipment'!$X$4:$X$503,(_calc!$E$752-500)))=0,"",INDEX('My equipment'!$X$4:$X$503,(_calc!$E$752-500)))))</f>
        <v/>
      </c>
      <c r="K750" s="54">
        <f>IF(_calc!$E$752="","",IF(_calc!$E$752&lt;=500,"",IF(LEN(INDEX('My equipment'!$T$4:$T$503,(_calc!$E$752-500)))=0,"",INDEX('My equipment'!$T$4:$T$503,(_calc!$E$752-500)))))</f>
        <v/>
      </c>
    </row>
    <row r="751">
      <c r="A751" s="54">
        <f>IF(_calc!$E$753="","",IF(_calc!$E$753&lt;=500,"Warranty – "&amp;IF(LEN(INDEX('Dealer pipeline'!$C$4:$C$503,_calc!$E$753))=0,"",INDEX('Dealer pipeline'!$C$4:$C$503,_calc!$E$753))&amp;" – "&amp;IF(LEN(INDEX('Dealer pipeline'!$D$4:$D$503,_calc!$E$753))=0,"",INDEX('Dealer pipeline'!$D$4:$D$503,_calc!$E$753))&amp;" – "&amp;IF(LEN(INDEX('Dealer pipeline'!$A$4:$A$503,_calc!$E$753))=0,"",INDEX('Dealer pipeline'!$A$4:$A$503,_calc!$E$753)),"Warranty – "&amp;IF(LEN(INDEX('My equipment'!$A$4:$A$503,(_calc!$E$753-500)))=0,"",INDEX('My equipment'!$A$4:$A$503,(_calc!$E$753-500)))&amp;" – "&amp;IF(LEN(INDEX('My equipment'!$D$4:$D$503,(_calc!$E$753-500)))=0,"",INDEX('My equipment'!$D$4:$D$503,(_calc!$E$753-500)))))</f>
        <v/>
      </c>
      <c r="B751" s="54">
        <f>IF(_calc!$E$753="","",IF(_calc!$E$753&lt;=500,IF(ISNUMBER(INDEX('Dealer pipeline'!$M$4:$M$503,_calc!$E$753)),TEXT(INDEX('Dealer pipeline'!$M$4:$M$503,_calc!$E$753),"yyyy-mm-dd"),""),IF(ISNUMBER(INDEX('My equipment'!$M$4:$M$503,(_calc!$E$753-500))),TEXT(INDEX('My equipment'!$M$4:$M$503,(_calc!$E$753-500)),"yyyy-mm-dd"),"")))</f>
        <v/>
      </c>
      <c r="C751" s="54">
        <f>IF(_calc!$E$753="","",IF(_calc!$E$753&lt;=500,"Warranty","Warranty"))</f>
        <v/>
      </c>
      <c r="D751" s="54">
        <f>IF(_calc!$E$753="","",IF(_calc!$E$753&lt;=500,IF(ISNUMBER(INDEX('Dealer pipeline'!$H$4:$H$503,_calc!$E$753)),TEXT(INDEX('Dealer pipeline'!$H$4:$H$503,_calc!$E$753),"yyyy-mm-dd"),""),IF(ISNUMBER(INDEX('My equipment'!$H$4:$H$503,(_calc!$E$753-500))),TEXT(INDEX('My equipment'!$H$4:$H$503,(_calc!$E$753-500)),"yyyy-mm-dd"),"")))</f>
        <v/>
      </c>
      <c r="F751" s="54">
        <f>IF(_calc!$E$753="","",IF(_calc!$E$753&lt;=500,TRIM(IF(LEN(IF(LEN(INDEX('Dealer pipeline'!$A$4:$A$503,_calc!$E$753))=0,"",INDEX('Dealer pipeline'!$A$4:$A$503,_calc!$E$753)))=0,"","Customer: "&amp;IF(LEN(INDEX('Dealer pipeline'!$A$4:$A$503,_calc!$E$753))=0,"",INDEX('Dealer pipeline'!$A$4:$A$503,_calc!$E$753))&amp;". ")&amp;IF(LEN(IF(LEN(INDEX('Dealer pipeline'!$B$4:$B$503,_calc!$E$753))=0,"",INDEX('Dealer pipeline'!$B$4:$B$503,_calc!$E$753)))=0,"","Contact: "&amp;IF(LEN(INDEX('Dealer pipeline'!$B$4:$B$503,_calc!$E$753))=0,"",INDEX('Dealer pipeline'!$B$4:$B$503,_calc!$E$753))&amp;". ")&amp;IF(LEN(IF(LEN(INDEX('Dealer pipeline'!$D$4:$D$503,_calc!$E$753))=0,"",INDEX('Dealer pipeline'!$D$4:$D$503,_calc!$E$753)))=0,"","Serial: "&amp;IF(LEN(INDEX('Dealer pipeline'!$D$4:$D$503,_calc!$E$753))=0,"",INDEX('Dealer pipeline'!$D$4:$D$503,_calc!$E$753))&amp;". ")&amp;IF(LEN(IF(ISNUMBER(INDEX('Dealer pipeline'!$J$4:$J$503,_calc!$E$753)),TEXT(INDEX('Dealer pipeline'!$J$4:$J$503,_calc!$E$753),"yyyy-mm-dd"),""))=0,"","Parts end: "&amp;IF(ISNUMBER(INDEX('Dealer pipeline'!$J$4:$J$503,_calc!$E$753)),TEXT(INDEX('Dealer pipeline'!$J$4:$J$503,_calc!$E$753),"yyyy-mm-dd"),"")&amp;". ")&amp;IF(LEN(IF(ISNUMBER(INDEX('Dealer pipeline'!$L$4:$L$503,_calc!$E$753)),TEXT(INDEX('Dealer pipeline'!$L$4:$L$503,_calc!$E$753),"yyyy-mm-dd"),""))=0,"","Labor end: "&amp;IF(ISNUMBER(INDEX('Dealer pipeline'!$L$4:$L$503,_calc!$E$753)),TEXT(INDEX('Dealer pipeline'!$L$4:$L$503,_calc!$E$753),"yyyy-mm-dd"),"")&amp;". ")&amp;IF(LEN(IF(LEN(INDEX('Dealer pipeline'!$Q$4:$Q$503,_calc!$E$753))=0,"",INDEX('Dealer pipeline'!$Q$4:$Q$503,_calc!$E$753)))=0,"","Status: "&amp;IF(LEN(INDEX('Dealer pipeline'!$Q$4:$Q$503,_calc!$E$753))=0,"",INDEX('Dealer pipeline'!$Q$4:$Q$503,_calc!$E$753))&amp;". ")&amp;IF(LEN(IF(LEN(INDEX('Dealer pipeline'!$P$4:$P$503,_calc!$E$753))=0,"",INDEX('Dealer pipeline'!$P$4:$P$503,_calc!$E$753)))=0,"","Last touch: "&amp;IF(LEN(INDEX('Dealer pipeline'!$P$4:$P$503,_calc!$E$753))=0,"",INDEX('Dealer pipeline'!$P$4:$P$503,_calc!$E$753))&amp;". ")&amp;IF(LEN(IF(LEN(INDEX('Dealer pipeline'!$R$4:$R$503,_calc!$E$753))=0,"",INDEX('Dealer pipeline'!$R$4:$R$503,_calc!$E$753)))=0,"","Owner: "&amp;IF(LEN(INDEX('Dealer pipeline'!$R$4:$R$503,_calc!$E$753))=0,"",INDEX('Dealer pipeline'!$R$4:$R$503,_calc!$E$753))&amp;". ")&amp;IF(LEN(IF(LEN(INDEX('Dealer pipeline'!$S$4:$S$503,_calc!$E$753))=0,"",INDEX('Dealer pipeline'!$S$4:$S$503,_calc!$E$753)))=0,"","Backup: "&amp;IF(LEN(INDEX('Dealer pipeline'!$S$4:$S$503,_calc!$E$753))=0,"",INDEX('Dealer pipeline'!$S$4:$S$503,_calc!$E$753))&amp;". ")&amp;IF(LEN(IF(LEN(INDEX('Dealer pipeline'!$T$4:$T$503,_calc!$E$753))=0,"",INDEX('Dealer pipeline'!$T$4:$T$503,_calc!$E$753)))=0,"",IF(LEN(INDEX('Dealer pipeline'!$T$4:$T$503,_calc!$E$753))=0,"",INDEX('Dealer pipeline'!$T$4:$T$503,_calc!$E$753)))),TRIM(IF(LEN(IF(LEN(INDEX('My equipment'!$C$4:$C$503,(_calc!$E$753-500)))=0,"",INDEX('My equipment'!$C$4:$C$503,(_calc!$E$753-500))))=0,"","Model: "&amp;IF(LEN(INDEX('My equipment'!$C$4:$C$503,(_calc!$E$753-500)))=0,"",INDEX('My equipment'!$C$4:$C$503,(_calc!$E$753-500)))&amp;". ")&amp;IF(LEN(IF(LEN(INDEX('My equipment'!$D$4:$D$503,(_calc!$E$753-500)))=0,"",INDEX('My equipment'!$D$4:$D$503,(_calc!$E$753-500))))=0,"","Serial: "&amp;IF(LEN(INDEX('My equipment'!$D$4:$D$503,(_calc!$E$753-500)))=0,"",INDEX('My equipment'!$D$4:$D$503,(_calc!$E$753-500)))&amp;". ")&amp;IF(LEN(IF(ISNUMBER(INDEX('My equipment'!$J$4:$J$503,(_calc!$E$753-500))),TEXT(INDEX('My equipment'!$J$4:$J$503,(_calc!$E$753-500)),"yyyy-mm-dd"),""))=0,"","Parts end: "&amp;IF(ISNUMBER(INDEX('My equipment'!$J$4:$J$503,(_calc!$E$753-500))),TEXT(INDEX('My equipment'!$J$4:$J$503,(_calc!$E$753-500)),"yyyy-mm-dd"),"")&amp;". ")&amp;IF(LEN(IF(ISNUMBER(INDEX('My equipment'!$L$4:$L$503,(_calc!$E$753-500))),TEXT(INDEX('My equipment'!$L$4:$L$503,(_calc!$E$753-500)),"yyyy-mm-dd"),""))=0,"","Labor end: "&amp;IF(ISNUMBER(INDEX('My equipment'!$L$4:$L$503,(_calc!$E$753-500))),TEXT(INDEX('My equipment'!$L$4:$L$503,(_calc!$E$753-500)),"yyyy-mm-dd"),"")&amp;". ")&amp;IF(LEN(IF(ISNUMBER(INDEX('My equipment'!$P$4:$P$503,(_calc!$E$753-500))),TEXT(INDEX('My equipment'!$P$4:$P$503,(_calc!$E$753-500)),"yyyy-mm-dd"),""))=0,"","Check by: "&amp;IF(ISNUMBER(INDEX('My equipment'!$P$4:$P$503,(_calc!$E$753-500))),TEXT(INDEX('My equipment'!$P$4:$P$503,(_calc!$E$753-500)),"yyyy-mm-dd"),"")&amp;". ")&amp;IF(LEN(IF(LEN(INDEX('My equipment'!$Q$4:$Q$503,(_calc!$E$753-500)))=0,"",INDEX('My equipment'!$Q$4:$Q$503,(_calc!$E$753-500))))=0,"","Claim status: "&amp;IF(LEN(INDEX('My equipment'!$Q$4:$Q$503,(_calc!$E$753-500)))=0,"",INDEX('My equipment'!$Q$4:$Q$503,(_calc!$E$753-500)))&amp;". ")&amp;IF(LEN(IF(LEN(INDEX('My equipment'!$R$4:$R$503,(_calc!$E$753-500)))=0,"",INDEX('My equipment'!$R$4:$R$503,(_calc!$E$753-500))))=0,"","Claims contact: "&amp;IF(LEN(INDEX('My equipment'!$R$4:$R$503,(_calc!$E$753-500)))=0,"",INDEX('My equipment'!$R$4:$R$503,(_calc!$E$753-500)))&amp;". ")&amp;IF(LEN(IF(LEN(INDEX('My equipment'!$S$4:$S$503,(_calc!$E$753-500)))=0,"",INDEX('My equipment'!$S$4:$S$503,(_calc!$E$753-500))))=0,"","Claims email: "&amp;IF(LEN(INDEX('My equipment'!$S$4:$S$503,(_calc!$E$753-500)))=0,"",INDEX('My equipment'!$S$4:$S$503,(_calc!$E$753-500)))&amp;". ")&amp;IF(LEN(IF(LEN(INDEX('My equipment'!$U$4:$U$503,(_calc!$E$753-500)))=0,"",INDEX('My equipment'!$U$4:$U$503,(_calc!$E$753-500))))=0,"","Registered: "&amp;IF(LEN(INDEX('My equipment'!$U$4:$U$503,(_calc!$E$753-500)))=0,"",INDEX('My equipment'!$U$4:$U$503,(_calc!$E$753-500)))&amp;". ")&amp;IF(LEN(IF(LEN(INDEX('My equipment'!$V$4:$V$503,(_calc!$E$753-500)))=0,"",INDEX('My equipment'!$V$4:$V$503,(_calc!$E$753-500))))=0,"","Proof on file: "&amp;IF(LEN(INDEX('My equipment'!$V$4:$V$503,(_calc!$E$753-500)))=0,"",INDEX('My equipment'!$V$4:$V$503,(_calc!$E$753-500)))&amp;". ")&amp;IF(LEN(IF(LEN(INDEX('My equipment'!$W$4:$W$503,(_calc!$E$753-500)))=0,"",INDEX('My equipment'!$W$4:$W$503,(_calc!$E$753-500))))=0,"","Claim ref: "&amp;IF(LEN(INDEX('My equipment'!$W$4:$W$503,(_calc!$E$753-500)))=0,"",INDEX('My equipment'!$W$4:$W$503,(_calc!$E$753-500)))&amp;". ")&amp;IF(LEN(IF(LEN(INDEX('My equipment'!$Y$4:$Y$503,(_calc!$E$753-500)))=0,"",INDEX('My equipment'!$Y$4:$Y$503,(_calc!$E$753-500))))=0,"",IF(LEN(INDEX('My equipment'!$Y$4:$Y$503,(_calc!$E$753-500)))=0,"",INDEX('My equipment'!$Y$4:$Y$503,(_calc!$E$753-500)))))))</f>
        <v/>
      </c>
      <c r="G751" s="54">
        <f>IF(_calc!$E$753="","",IF(_calc!$E$753&lt;=500,"",IF(LEN(INDEX('My equipment'!$X$4:$X$503,(_calc!$E$753-500)))=0,"",INDEX('My equipment'!$X$4:$X$503,(_calc!$E$753-500)))))</f>
        <v/>
      </c>
      <c r="K751" s="54">
        <f>IF(_calc!$E$753="","",IF(_calc!$E$753&lt;=500,"",IF(LEN(INDEX('My equipment'!$T$4:$T$503,(_calc!$E$753-500)))=0,"",INDEX('My equipment'!$T$4:$T$503,(_calc!$E$753-500)))))</f>
        <v/>
      </c>
    </row>
    <row r="752">
      <c r="A752" s="54">
        <f>IF(_calc!$E$754="","",IF(_calc!$E$754&lt;=500,"Warranty – "&amp;IF(LEN(INDEX('Dealer pipeline'!$C$4:$C$503,_calc!$E$754))=0,"",INDEX('Dealer pipeline'!$C$4:$C$503,_calc!$E$754))&amp;" – "&amp;IF(LEN(INDEX('Dealer pipeline'!$D$4:$D$503,_calc!$E$754))=0,"",INDEX('Dealer pipeline'!$D$4:$D$503,_calc!$E$754))&amp;" – "&amp;IF(LEN(INDEX('Dealer pipeline'!$A$4:$A$503,_calc!$E$754))=0,"",INDEX('Dealer pipeline'!$A$4:$A$503,_calc!$E$754)),"Warranty – "&amp;IF(LEN(INDEX('My equipment'!$A$4:$A$503,(_calc!$E$754-500)))=0,"",INDEX('My equipment'!$A$4:$A$503,(_calc!$E$754-500)))&amp;" – "&amp;IF(LEN(INDEX('My equipment'!$D$4:$D$503,(_calc!$E$754-500)))=0,"",INDEX('My equipment'!$D$4:$D$503,(_calc!$E$754-500)))))</f>
        <v/>
      </c>
      <c r="B752" s="54">
        <f>IF(_calc!$E$754="","",IF(_calc!$E$754&lt;=500,IF(ISNUMBER(INDEX('Dealer pipeline'!$M$4:$M$503,_calc!$E$754)),TEXT(INDEX('Dealer pipeline'!$M$4:$M$503,_calc!$E$754),"yyyy-mm-dd"),""),IF(ISNUMBER(INDEX('My equipment'!$M$4:$M$503,(_calc!$E$754-500))),TEXT(INDEX('My equipment'!$M$4:$M$503,(_calc!$E$754-500)),"yyyy-mm-dd"),"")))</f>
        <v/>
      </c>
      <c r="C752" s="54">
        <f>IF(_calc!$E$754="","",IF(_calc!$E$754&lt;=500,"Warranty","Warranty"))</f>
        <v/>
      </c>
      <c r="D752" s="54">
        <f>IF(_calc!$E$754="","",IF(_calc!$E$754&lt;=500,IF(ISNUMBER(INDEX('Dealer pipeline'!$H$4:$H$503,_calc!$E$754)),TEXT(INDEX('Dealer pipeline'!$H$4:$H$503,_calc!$E$754),"yyyy-mm-dd"),""),IF(ISNUMBER(INDEX('My equipment'!$H$4:$H$503,(_calc!$E$754-500))),TEXT(INDEX('My equipment'!$H$4:$H$503,(_calc!$E$754-500)),"yyyy-mm-dd"),"")))</f>
        <v/>
      </c>
      <c r="F752" s="54">
        <f>IF(_calc!$E$754="","",IF(_calc!$E$754&lt;=500,TRIM(IF(LEN(IF(LEN(INDEX('Dealer pipeline'!$A$4:$A$503,_calc!$E$754))=0,"",INDEX('Dealer pipeline'!$A$4:$A$503,_calc!$E$754)))=0,"","Customer: "&amp;IF(LEN(INDEX('Dealer pipeline'!$A$4:$A$503,_calc!$E$754))=0,"",INDEX('Dealer pipeline'!$A$4:$A$503,_calc!$E$754))&amp;". ")&amp;IF(LEN(IF(LEN(INDEX('Dealer pipeline'!$B$4:$B$503,_calc!$E$754))=0,"",INDEX('Dealer pipeline'!$B$4:$B$503,_calc!$E$754)))=0,"","Contact: "&amp;IF(LEN(INDEX('Dealer pipeline'!$B$4:$B$503,_calc!$E$754))=0,"",INDEX('Dealer pipeline'!$B$4:$B$503,_calc!$E$754))&amp;". ")&amp;IF(LEN(IF(LEN(INDEX('Dealer pipeline'!$D$4:$D$503,_calc!$E$754))=0,"",INDEX('Dealer pipeline'!$D$4:$D$503,_calc!$E$754)))=0,"","Serial: "&amp;IF(LEN(INDEX('Dealer pipeline'!$D$4:$D$503,_calc!$E$754))=0,"",INDEX('Dealer pipeline'!$D$4:$D$503,_calc!$E$754))&amp;". ")&amp;IF(LEN(IF(ISNUMBER(INDEX('Dealer pipeline'!$J$4:$J$503,_calc!$E$754)),TEXT(INDEX('Dealer pipeline'!$J$4:$J$503,_calc!$E$754),"yyyy-mm-dd"),""))=0,"","Parts end: "&amp;IF(ISNUMBER(INDEX('Dealer pipeline'!$J$4:$J$503,_calc!$E$754)),TEXT(INDEX('Dealer pipeline'!$J$4:$J$503,_calc!$E$754),"yyyy-mm-dd"),"")&amp;". ")&amp;IF(LEN(IF(ISNUMBER(INDEX('Dealer pipeline'!$L$4:$L$503,_calc!$E$754)),TEXT(INDEX('Dealer pipeline'!$L$4:$L$503,_calc!$E$754),"yyyy-mm-dd"),""))=0,"","Labor end: "&amp;IF(ISNUMBER(INDEX('Dealer pipeline'!$L$4:$L$503,_calc!$E$754)),TEXT(INDEX('Dealer pipeline'!$L$4:$L$503,_calc!$E$754),"yyyy-mm-dd"),"")&amp;". ")&amp;IF(LEN(IF(LEN(INDEX('Dealer pipeline'!$Q$4:$Q$503,_calc!$E$754))=0,"",INDEX('Dealer pipeline'!$Q$4:$Q$503,_calc!$E$754)))=0,"","Status: "&amp;IF(LEN(INDEX('Dealer pipeline'!$Q$4:$Q$503,_calc!$E$754))=0,"",INDEX('Dealer pipeline'!$Q$4:$Q$503,_calc!$E$754))&amp;". ")&amp;IF(LEN(IF(LEN(INDEX('Dealer pipeline'!$P$4:$P$503,_calc!$E$754))=0,"",INDEX('Dealer pipeline'!$P$4:$P$503,_calc!$E$754)))=0,"","Last touch: "&amp;IF(LEN(INDEX('Dealer pipeline'!$P$4:$P$503,_calc!$E$754))=0,"",INDEX('Dealer pipeline'!$P$4:$P$503,_calc!$E$754))&amp;". ")&amp;IF(LEN(IF(LEN(INDEX('Dealer pipeline'!$R$4:$R$503,_calc!$E$754))=0,"",INDEX('Dealer pipeline'!$R$4:$R$503,_calc!$E$754)))=0,"","Owner: "&amp;IF(LEN(INDEX('Dealer pipeline'!$R$4:$R$503,_calc!$E$754))=0,"",INDEX('Dealer pipeline'!$R$4:$R$503,_calc!$E$754))&amp;". ")&amp;IF(LEN(IF(LEN(INDEX('Dealer pipeline'!$S$4:$S$503,_calc!$E$754))=0,"",INDEX('Dealer pipeline'!$S$4:$S$503,_calc!$E$754)))=0,"","Backup: "&amp;IF(LEN(INDEX('Dealer pipeline'!$S$4:$S$503,_calc!$E$754))=0,"",INDEX('Dealer pipeline'!$S$4:$S$503,_calc!$E$754))&amp;". ")&amp;IF(LEN(IF(LEN(INDEX('Dealer pipeline'!$T$4:$T$503,_calc!$E$754))=0,"",INDEX('Dealer pipeline'!$T$4:$T$503,_calc!$E$754)))=0,"",IF(LEN(INDEX('Dealer pipeline'!$T$4:$T$503,_calc!$E$754))=0,"",INDEX('Dealer pipeline'!$T$4:$T$503,_calc!$E$754)))),TRIM(IF(LEN(IF(LEN(INDEX('My equipment'!$C$4:$C$503,(_calc!$E$754-500)))=0,"",INDEX('My equipment'!$C$4:$C$503,(_calc!$E$754-500))))=0,"","Model: "&amp;IF(LEN(INDEX('My equipment'!$C$4:$C$503,(_calc!$E$754-500)))=0,"",INDEX('My equipment'!$C$4:$C$503,(_calc!$E$754-500)))&amp;". ")&amp;IF(LEN(IF(LEN(INDEX('My equipment'!$D$4:$D$503,(_calc!$E$754-500)))=0,"",INDEX('My equipment'!$D$4:$D$503,(_calc!$E$754-500))))=0,"","Serial: "&amp;IF(LEN(INDEX('My equipment'!$D$4:$D$503,(_calc!$E$754-500)))=0,"",INDEX('My equipment'!$D$4:$D$503,(_calc!$E$754-500)))&amp;". ")&amp;IF(LEN(IF(ISNUMBER(INDEX('My equipment'!$J$4:$J$503,(_calc!$E$754-500))),TEXT(INDEX('My equipment'!$J$4:$J$503,(_calc!$E$754-500)),"yyyy-mm-dd"),""))=0,"","Parts end: "&amp;IF(ISNUMBER(INDEX('My equipment'!$J$4:$J$503,(_calc!$E$754-500))),TEXT(INDEX('My equipment'!$J$4:$J$503,(_calc!$E$754-500)),"yyyy-mm-dd"),"")&amp;". ")&amp;IF(LEN(IF(ISNUMBER(INDEX('My equipment'!$L$4:$L$503,(_calc!$E$754-500))),TEXT(INDEX('My equipment'!$L$4:$L$503,(_calc!$E$754-500)),"yyyy-mm-dd"),""))=0,"","Labor end: "&amp;IF(ISNUMBER(INDEX('My equipment'!$L$4:$L$503,(_calc!$E$754-500))),TEXT(INDEX('My equipment'!$L$4:$L$503,(_calc!$E$754-500)),"yyyy-mm-dd"),"")&amp;". ")&amp;IF(LEN(IF(ISNUMBER(INDEX('My equipment'!$P$4:$P$503,(_calc!$E$754-500))),TEXT(INDEX('My equipment'!$P$4:$P$503,(_calc!$E$754-500)),"yyyy-mm-dd"),""))=0,"","Check by: "&amp;IF(ISNUMBER(INDEX('My equipment'!$P$4:$P$503,(_calc!$E$754-500))),TEXT(INDEX('My equipment'!$P$4:$P$503,(_calc!$E$754-500)),"yyyy-mm-dd"),"")&amp;". ")&amp;IF(LEN(IF(LEN(INDEX('My equipment'!$Q$4:$Q$503,(_calc!$E$754-500)))=0,"",INDEX('My equipment'!$Q$4:$Q$503,(_calc!$E$754-500))))=0,"","Claim status: "&amp;IF(LEN(INDEX('My equipment'!$Q$4:$Q$503,(_calc!$E$754-500)))=0,"",INDEX('My equipment'!$Q$4:$Q$503,(_calc!$E$754-500)))&amp;". ")&amp;IF(LEN(IF(LEN(INDEX('My equipment'!$R$4:$R$503,(_calc!$E$754-500)))=0,"",INDEX('My equipment'!$R$4:$R$503,(_calc!$E$754-500))))=0,"","Claims contact: "&amp;IF(LEN(INDEX('My equipment'!$R$4:$R$503,(_calc!$E$754-500)))=0,"",INDEX('My equipment'!$R$4:$R$503,(_calc!$E$754-500)))&amp;". ")&amp;IF(LEN(IF(LEN(INDEX('My equipment'!$S$4:$S$503,(_calc!$E$754-500)))=0,"",INDEX('My equipment'!$S$4:$S$503,(_calc!$E$754-500))))=0,"","Claims email: "&amp;IF(LEN(INDEX('My equipment'!$S$4:$S$503,(_calc!$E$754-500)))=0,"",INDEX('My equipment'!$S$4:$S$503,(_calc!$E$754-500)))&amp;". ")&amp;IF(LEN(IF(LEN(INDEX('My equipment'!$U$4:$U$503,(_calc!$E$754-500)))=0,"",INDEX('My equipment'!$U$4:$U$503,(_calc!$E$754-500))))=0,"","Registered: "&amp;IF(LEN(INDEX('My equipment'!$U$4:$U$503,(_calc!$E$754-500)))=0,"",INDEX('My equipment'!$U$4:$U$503,(_calc!$E$754-500)))&amp;". ")&amp;IF(LEN(IF(LEN(INDEX('My equipment'!$V$4:$V$503,(_calc!$E$754-500)))=0,"",INDEX('My equipment'!$V$4:$V$503,(_calc!$E$754-500))))=0,"","Proof on file: "&amp;IF(LEN(INDEX('My equipment'!$V$4:$V$503,(_calc!$E$754-500)))=0,"",INDEX('My equipment'!$V$4:$V$503,(_calc!$E$754-500)))&amp;". ")&amp;IF(LEN(IF(LEN(INDEX('My equipment'!$W$4:$W$503,(_calc!$E$754-500)))=0,"",INDEX('My equipment'!$W$4:$W$503,(_calc!$E$754-500))))=0,"","Claim ref: "&amp;IF(LEN(INDEX('My equipment'!$W$4:$W$503,(_calc!$E$754-500)))=0,"",INDEX('My equipment'!$W$4:$W$503,(_calc!$E$754-500)))&amp;". ")&amp;IF(LEN(IF(LEN(INDEX('My equipment'!$Y$4:$Y$503,(_calc!$E$754-500)))=0,"",INDEX('My equipment'!$Y$4:$Y$503,(_calc!$E$754-500))))=0,"",IF(LEN(INDEX('My equipment'!$Y$4:$Y$503,(_calc!$E$754-500)))=0,"",INDEX('My equipment'!$Y$4:$Y$503,(_calc!$E$754-500)))))))</f>
        <v/>
      </c>
      <c r="G752" s="54">
        <f>IF(_calc!$E$754="","",IF(_calc!$E$754&lt;=500,"",IF(LEN(INDEX('My equipment'!$X$4:$X$503,(_calc!$E$754-500)))=0,"",INDEX('My equipment'!$X$4:$X$503,(_calc!$E$754-500)))))</f>
        <v/>
      </c>
      <c r="K752" s="54">
        <f>IF(_calc!$E$754="","",IF(_calc!$E$754&lt;=500,"",IF(LEN(INDEX('My equipment'!$T$4:$T$503,(_calc!$E$754-500)))=0,"",INDEX('My equipment'!$T$4:$T$503,(_calc!$E$754-500)))))</f>
        <v/>
      </c>
    </row>
    <row r="753">
      <c r="A753" s="54">
        <f>IF(_calc!$E$755="","",IF(_calc!$E$755&lt;=500,"Warranty – "&amp;IF(LEN(INDEX('Dealer pipeline'!$C$4:$C$503,_calc!$E$755))=0,"",INDEX('Dealer pipeline'!$C$4:$C$503,_calc!$E$755))&amp;" – "&amp;IF(LEN(INDEX('Dealer pipeline'!$D$4:$D$503,_calc!$E$755))=0,"",INDEX('Dealer pipeline'!$D$4:$D$503,_calc!$E$755))&amp;" – "&amp;IF(LEN(INDEX('Dealer pipeline'!$A$4:$A$503,_calc!$E$755))=0,"",INDEX('Dealer pipeline'!$A$4:$A$503,_calc!$E$755)),"Warranty – "&amp;IF(LEN(INDEX('My equipment'!$A$4:$A$503,(_calc!$E$755-500)))=0,"",INDEX('My equipment'!$A$4:$A$503,(_calc!$E$755-500)))&amp;" – "&amp;IF(LEN(INDEX('My equipment'!$D$4:$D$503,(_calc!$E$755-500)))=0,"",INDEX('My equipment'!$D$4:$D$503,(_calc!$E$755-500)))))</f>
        <v/>
      </c>
      <c r="B753" s="54">
        <f>IF(_calc!$E$755="","",IF(_calc!$E$755&lt;=500,IF(ISNUMBER(INDEX('Dealer pipeline'!$M$4:$M$503,_calc!$E$755)),TEXT(INDEX('Dealer pipeline'!$M$4:$M$503,_calc!$E$755),"yyyy-mm-dd"),""),IF(ISNUMBER(INDEX('My equipment'!$M$4:$M$503,(_calc!$E$755-500))),TEXT(INDEX('My equipment'!$M$4:$M$503,(_calc!$E$755-500)),"yyyy-mm-dd"),"")))</f>
        <v/>
      </c>
      <c r="C753" s="54">
        <f>IF(_calc!$E$755="","",IF(_calc!$E$755&lt;=500,"Warranty","Warranty"))</f>
        <v/>
      </c>
      <c r="D753" s="54">
        <f>IF(_calc!$E$755="","",IF(_calc!$E$755&lt;=500,IF(ISNUMBER(INDEX('Dealer pipeline'!$H$4:$H$503,_calc!$E$755)),TEXT(INDEX('Dealer pipeline'!$H$4:$H$503,_calc!$E$755),"yyyy-mm-dd"),""),IF(ISNUMBER(INDEX('My equipment'!$H$4:$H$503,(_calc!$E$755-500))),TEXT(INDEX('My equipment'!$H$4:$H$503,(_calc!$E$755-500)),"yyyy-mm-dd"),"")))</f>
        <v/>
      </c>
      <c r="F753" s="54">
        <f>IF(_calc!$E$755="","",IF(_calc!$E$755&lt;=500,TRIM(IF(LEN(IF(LEN(INDEX('Dealer pipeline'!$A$4:$A$503,_calc!$E$755))=0,"",INDEX('Dealer pipeline'!$A$4:$A$503,_calc!$E$755)))=0,"","Customer: "&amp;IF(LEN(INDEX('Dealer pipeline'!$A$4:$A$503,_calc!$E$755))=0,"",INDEX('Dealer pipeline'!$A$4:$A$503,_calc!$E$755))&amp;". ")&amp;IF(LEN(IF(LEN(INDEX('Dealer pipeline'!$B$4:$B$503,_calc!$E$755))=0,"",INDEX('Dealer pipeline'!$B$4:$B$503,_calc!$E$755)))=0,"","Contact: "&amp;IF(LEN(INDEX('Dealer pipeline'!$B$4:$B$503,_calc!$E$755))=0,"",INDEX('Dealer pipeline'!$B$4:$B$503,_calc!$E$755))&amp;". ")&amp;IF(LEN(IF(LEN(INDEX('Dealer pipeline'!$D$4:$D$503,_calc!$E$755))=0,"",INDEX('Dealer pipeline'!$D$4:$D$503,_calc!$E$755)))=0,"","Serial: "&amp;IF(LEN(INDEX('Dealer pipeline'!$D$4:$D$503,_calc!$E$755))=0,"",INDEX('Dealer pipeline'!$D$4:$D$503,_calc!$E$755))&amp;". ")&amp;IF(LEN(IF(ISNUMBER(INDEX('Dealer pipeline'!$J$4:$J$503,_calc!$E$755)),TEXT(INDEX('Dealer pipeline'!$J$4:$J$503,_calc!$E$755),"yyyy-mm-dd"),""))=0,"","Parts end: "&amp;IF(ISNUMBER(INDEX('Dealer pipeline'!$J$4:$J$503,_calc!$E$755)),TEXT(INDEX('Dealer pipeline'!$J$4:$J$503,_calc!$E$755),"yyyy-mm-dd"),"")&amp;". ")&amp;IF(LEN(IF(ISNUMBER(INDEX('Dealer pipeline'!$L$4:$L$503,_calc!$E$755)),TEXT(INDEX('Dealer pipeline'!$L$4:$L$503,_calc!$E$755),"yyyy-mm-dd"),""))=0,"","Labor end: "&amp;IF(ISNUMBER(INDEX('Dealer pipeline'!$L$4:$L$503,_calc!$E$755)),TEXT(INDEX('Dealer pipeline'!$L$4:$L$503,_calc!$E$755),"yyyy-mm-dd"),"")&amp;". ")&amp;IF(LEN(IF(LEN(INDEX('Dealer pipeline'!$Q$4:$Q$503,_calc!$E$755))=0,"",INDEX('Dealer pipeline'!$Q$4:$Q$503,_calc!$E$755)))=0,"","Status: "&amp;IF(LEN(INDEX('Dealer pipeline'!$Q$4:$Q$503,_calc!$E$755))=0,"",INDEX('Dealer pipeline'!$Q$4:$Q$503,_calc!$E$755))&amp;". ")&amp;IF(LEN(IF(LEN(INDEX('Dealer pipeline'!$P$4:$P$503,_calc!$E$755))=0,"",INDEX('Dealer pipeline'!$P$4:$P$503,_calc!$E$755)))=0,"","Last touch: "&amp;IF(LEN(INDEX('Dealer pipeline'!$P$4:$P$503,_calc!$E$755))=0,"",INDEX('Dealer pipeline'!$P$4:$P$503,_calc!$E$755))&amp;". ")&amp;IF(LEN(IF(LEN(INDEX('Dealer pipeline'!$R$4:$R$503,_calc!$E$755))=0,"",INDEX('Dealer pipeline'!$R$4:$R$503,_calc!$E$755)))=0,"","Owner: "&amp;IF(LEN(INDEX('Dealer pipeline'!$R$4:$R$503,_calc!$E$755))=0,"",INDEX('Dealer pipeline'!$R$4:$R$503,_calc!$E$755))&amp;". ")&amp;IF(LEN(IF(LEN(INDEX('Dealer pipeline'!$S$4:$S$503,_calc!$E$755))=0,"",INDEX('Dealer pipeline'!$S$4:$S$503,_calc!$E$755)))=0,"","Backup: "&amp;IF(LEN(INDEX('Dealer pipeline'!$S$4:$S$503,_calc!$E$755))=0,"",INDEX('Dealer pipeline'!$S$4:$S$503,_calc!$E$755))&amp;". ")&amp;IF(LEN(IF(LEN(INDEX('Dealer pipeline'!$T$4:$T$503,_calc!$E$755))=0,"",INDEX('Dealer pipeline'!$T$4:$T$503,_calc!$E$755)))=0,"",IF(LEN(INDEX('Dealer pipeline'!$T$4:$T$503,_calc!$E$755))=0,"",INDEX('Dealer pipeline'!$T$4:$T$503,_calc!$E$755)))),TRIM(IF(LEN(IF(LEN(INDEX('My equipment'!$C$4:$C$503,(_calc!$E$755-500)))=0,"",INDEX('My equipment'!$C$4:$C$503,(_calc!$E$755-500))))=0,"","Model: "&amp;IF(LEN(INDEX('My equipment'!$C$4:$C$503,(_calc!$E$755-500)))=0,"",INDEX('My equipment'!$C$4:$C$503,(_calc!$E$755-500)))&amp;". ")&amp;IF(LEN(IF(LEN(INDEX('My equipment'!$D$4:$D$503,(_calc!$E$755-500)))=0,"",INDEX('My equipment'!$D$4:$D$503,(_calc!$E$755-500))))=0,"","Serial: "&amp;IF(LEN(INDEX('My equipment'!$D$4:$D$503,(_calc!$E$755-500)))=0,"",INDEX('My equipment'!$D$4:$D$503,(_calc!$E$755-500)))&amp;". ")&amp;IF(LEN(IF(ISNUMBER(INDEX('My equipment'!$J$4:$J$503,(_calc!$E$755-500))),TEXT(INDEX('My equipment'!$J$4:$J$503,(_calc!$E$755-500)),"yyyy-mm-dd"),""))=0,"","Parts end: "&amp;IF(ISNUMBER(INDEX('My equipment'!$J$4:$J$503,(_calc!$E$755-500))),TEXT(INDEX('My equipment'!$J$4:$J$503,(_calc!$E$755-500)),"yyyy-mm-dd"),"")&amp;". ")&amp;IF(LEN(IF(ISNUMBER(INDEX('My equipment'!$L$4:$L$503,(_calc!$E$755-500))),TEXT(INDEX('My equipment'!$L$4:$L$503,(_calc!$E$755-500)),"yyyy-mm-dd"),""))=0,"","Labor end: "&amp;IF(ISNUMBER(INDEX('My equipment'!$L$4:$L$503,(_calc!$E$755-500))),TEXT(INDEX('My equipment'!$L$4:$L$503,(_calc!$E$755-500)),"yyyy-mm-dd"),"")&amp;". ")&amp;IF(LEN(IF(ISNUMBER(INDEX('My equipment'!$P$4:$P$503,(_calc!$E$755-500))),TEXT(INDEX('My equipment'!$P$4:$P$503,(_calc!$E$755-500)),"yyyy-mm-dd"),""))=0,"","Check by: "&amp;IF(ISNUMBER(INDEX('My equipment'!$P$4:$P$503,(_calc!$E$755-500))),TEXT(INDEX('My equipment'!$P$4:$P$503,(_calc!$E$755-500)),"yyyy-mm-dd"),"")&amp;". ")&amp;IF(LEN(IF(LEN(INDEX('My equipment'!$Q$4:$Q$503,(_calc!$E$755-500)))=0,"",INDEX('My equipment'!$Q$4:$Q$503,(_calc!$E$755-500))))=0,"","Claim status: "&amp;IF(LEN(INDEX('My equipment'!$Q$4:$Q$503,(_calc!$E$755-500)))=0,"",INDEX('My equipment'!$Q$4:$Q$503,(_calc!$E$755-500)))&amp;". ")&amp;IF(LEN(IF(LEN(INDEX('My equipment'!$R$4:$R$503,(_calc!$E$755-500)))=0,"",INDEX('My equipment'!$R$4:$R$503,(_calc!$E$755-500))))=0,"","Claims contact: "&amp;IF(LEN(INDEX('My equipment'!$R$4:$R$503,(_calc!$E$755-500)))=0,"",INDEX('My equipment'!$R$4:$R$503,(_calc!$E$755-500)))&amp;". ")&amp;IF(LEN(IF(LEN(INDEX('My equipment'!$S$4:$S$503,(_calc!$E$755-500)))=0,"",INDEX('My equipment'!$S$4:$S$503,(_calc!$E$755-500))))=0,"","Claims email: "&amp;IF(LEN(INDEX('My equipment'!$S$4:$S$503,(_calc!$E$755-500)))=0,"",INDEX('My equipment'!$S$4:$S$503,(_calc!$E$755-500)))&amp;". ")&amp;IF(LEN(IF(LEN(INDEX('My equipment'!$U$4:$U$503,(_calc!$E$755-500)))=0,"",INDEX('My equipment'!$U$4:$U$503,(_calc!$E$755-500))))=0,"","Registered: "&amp;IF(LEN(INDEX('My equipment'!$U$4:$U$503,(_calc!$E$755-500)))=0,"",INDEX('My equipment'!$U$4:$U$503,(_calc!$E$755-500)))&amp;". ")&amp;IF(LEN(IF(LEN(INDEX('My equipment'!$V$4:$V$503,(_calc!$E$755-500)))=0,"",INDEX('My equipment'!$V$4:$V$503,(_calc!$E$755-500))))=0,"","Proof on file: "&amp;IF(LEN(INDEX('My equipment'!$V$4:$V$503,(_calc!$E$755-500)))=0,"",INDEX('My equipment'!$V$4:$V$503,(_calc!$E$755-500)))&amp;". ")&amp;IF(LEN(IF(LEN(INDEX('My equipment'!$W$4:$W$503,(_calc!$E$755-500)))=0,"",INDEX('My equipment'!$W$4:$W$503,(_calc!$E$755-500))))=0,"","Claim ref: "&amp;IF(LEN(INDEX('My equipment'!$W$4:$W$503,(_calc!$E$755-500)))=0,"",INDEX('My equipment'!$W$4:$W$503,(_calc!$E$755-500)))&amp;". ")&amp;IF(LEN(IF(LEN(INDEX('My equipment'!$Y$4:$Y$503,(_calc!$E$755-500)))=0,"",INDEX('My equipment'!$Y$4:$Y$503,(_calc!$E$755-500))))=0,"",IF(LEN(INDEX('My equipment'!$Y$4:$Y$503,(_calc!$E$755-500)))=0,"",INDEX('My equipment'!$Y$4:$Y$503,(_calc!$E$755-500)))))))</f>
        <v/>
      </c>
      <c r="G753" s="54">
        <f>IF(_calc!$E$755="","",IF(_calc!$E$755&lt;=500,"",IF(LEN(INDEX('My equipment'!$X$4:$X$503,(_calc!$E$755-500)))=0,"",INDEX('My equipment'!$X$4:$X$503,(_calc!$E$755-500)))))</f>
        <v/>
      </c>
      <c r="K753" s="54">
        <f>IF(_calc!$E$755="","",IF(_calc!$E$755&lt;=500,"",IF(LEN(INDEX('My equipment'!$T$4:$T$503,(_calc!$E$755-500)))=0,"",INDEX('My equipment'!$T$4:$T$503,(_calc!$E$755-500)))))</f>
        <v/>
      </c>
    </row>
    <row r="754">
      <c r="A754" s="54">
        <f>IF(_calc!$E$756="","",IF(_calc!$E$756&lt;=500,"Warranty – "&amp;IF(LEN(INDEX('Dealer pipeline'!$C$4:$C$503,_calc!$E$756))=0,"",INDEX('Dealer pipeline'!$C$4:$C$503,_calc!$E$756))&amp;" – "&amp;IF(LEN(INDEX('Dealer pipeline'!$D$4:$D$503,_calc!$E$756))=0,"",INDEX('Dealer pipeline'!$D$4:$D$503,_calc!$E$756))&amp;" – "&amp;IF(LEN(INDEX('Dealer pipeline'!$A$4:$A$503,_calc!$E$756))=0,"",INDEX('Dealer pipeline'!$A$4:$A$503,_calc!$E$756)),"Warranty – "&amp;IF(LEN(INDEX('My equipment'!$A$4:$A$503,(_calc!$E$756-500)))=0,"",INDEX('My equipment'!$A$4:$A$503,(_calc!$E$756-500)))&amp;" – "&amp;IF(LEN(INDEX('My equipment'!$D$4:$D$503,(_calc!$E$756-500)))=0,"",INDEX('My equipment'!$D$4:$D$503,(_calc!$E$756-500)))))</f>
        <v/>
      </c>
      <c r="B754" s="54">
        <f>IF(_calc!$E$756="","",IF(_calc!$E$756&lt;=500,IF(ISNUMBER(INDEX('Dealer pipeline'!$M$4:$M$503,_calc!$E$756)),TEXT(INDEX('Dealer pipeline'!$M$4:$M$503,_calc!$E$756),"yyyy-mm-dd"),""),IF(ISNUMBER(INDEX('My equipment'!$M$4:$M$503,(_calc!$E$756-500))),TEXT(INDEX('My equipment'!$M$4:$M$503,(_calc!$E$756-500)),"yyyy-mm-dd"),"")))</f>
        <v/>
      </c>
      <c r="C754" s="54">
        <f>IF(_calc!$E$756="","",IF(_calc!$E$756&lt;=500,"Warranty","Warranty"))</f>
        <v/>
      </c>
      <c r="D754" s="54">
        <f>IF(_calc!$E$756="","",IF(_calc!$E$756&lt;=500,IF(ISNUMBER(INDEX('Dealer pipeline'!$H$4:$H$503,_calc!$E$756)),TEXT(INDEX('Dealer pipeline'!$H$4:$H$503,_calc!$E$756),"yyyy-mm-dd"),""),IF(ISNUMBER(INDEX('My equipment'!$H$4:$H$503,(_calc!$E$756-500))),TEXT(INDEX('My equipment'!$H$4:$H$503,(_calc!$E$756-500)),"yyyy-mm-dd"),"")))</f>
        <v/>
      </c>
      <c r="F754" s="54">
        <f>IF(_calc!$E$756="","",IF(_calc!$E$756&lt;=500,TRIM(IF(LEN(IF(LEN(INDEX('Dealer pipeline'!$A$4:$A$503,_calc!$E$756))=0,"",INDEX('Dealer pipeline'!$A$4:$A$503,_calc!$E$756)))=0,"","Customer: "&amp;IF(LEN(INDEX('Dealer pipeline'!$A$4:$A$503,_calc!$E$756))=0,"",INDEX('Dealer pipeline'!$A$4:$A$503,_calc!$E$756))&amp;". ")&amp;IF(LEN(IF(LEN(INDEX('Dealer pipeline'!$B$4:$B$503,_calc!$E$756))=0,"",INDEX('Dealer pipeline'!$B$4:$B$503,_calc!$E$756)))=0,"","Contact: "&amp;IF(LEN(INDEX('Dealer pipeline'!$B$4:$B$503,_calc!$E$756))=0,"",INDEX('Dealer pipeline'!$B$4:$B$503,_calc!$E$756))&amp;". ")&amp;IF(LEN(IF(LEN(INDEX('Dealer pipeline'!$D$4:$D$503,_calc!$E$756))=0,"",INDEX('Dealer pipeline'!$D$4:$D$503,_calc!$E$756)))=0,"","Serial: "&amp;IF(LEN(INDEX('Dealer pipeline'!$D$4:$D$503,_calc!$E$756))=0,"",INDEX('Dealer pipeline'!$D$4:$D$503,_calc!$E$756))&amp;". ")&amp;IF(LEN(IF(ISNUMBER(INDEX('Dealer pipeline'!$J$4:$J$503,_calc!$E$756)),TEXT(INDEX('Dealer pipeline'!$J$4:$J$503,_calc!$E$756),"yyyy-mm-dd"),""))=0,"","Parts end: "&amp;IF(ISNUMBER(INDEX('Dealer pipeline'!$J$4:$J$503,_calc!$E$756)),TEXT(INDEX('Dealer pipeline'!$J$4:$J$503,_calc!$E$756),"yyyy-mm-dd"),"")&amp;". ")&amp;IF(LEN(IF(ISNUMBER(INDEX('Dealer pipeline'!$L$4:$L$503,_calc!$E$756)),TEXT(INDEX('Dealer pipeline'!$L$4:$L$503,_calc!$E$756),"yyyy-mm-dd"),""))=0,"","Labor end: "&amp;IF(ISNUMBER(INDEX('Dealer pipeline'!$L$4:$L$503,_calc!$E$756)),TEXT(INDEX('Dealer pipeline'!$L$4:$L$503,_calc!$E$756),"yyyy-mm-dd"),"")&amp;". ")&amp;IF(LEN(IF(LEN(INDEX('Dealer pipeline'!$Q$4:$Q$503,_calc!$E$756))=0,"",INDEX('Dealer pipeline'!$Q$4:$Q$503,_calc!$E$756)))=0,"","Status: "&amp;IF(LEN(INDEX('Dealer pipeline'!$Q$4:$Q$503,_calc!$E$756))=0,"",INDEX('Dealer pipeline'!$Q$4:$Q$503,_calc!$E$756))&amp;". ")&amp;IF(LEN(IF(LEN(INDEX('Dealer pipeline'!$P$4:$P$503,_calc!$E$756))=0,"",INDEX('Dealer pipeline'!$P$4:$P$503,_calc!$E$756)))=0,"","Last touch: "&amp;IF(LEN(INDEX('Dealer pipeline'!$P$4:$P$503,_calc!$E$756))=0,"",INDEX('Dealer pipeline'!$P$4:$P$503,_calc!$E$756))&amp;". ")&amp;IF(LEN(IF(LEN(INDEX('Dealer pipeline'!$R$4:$R$503,_calc!$E$756))=0,"",INDEX('Dealer pipeline'!$R$4:$R$503,_calc!$E$756)))=0,"","Owner: "&amp;IF(LEN(INDEX('Dealer pipeline'!$R$4:$R$503,_calc!$E$756))=0,"",INDEX('Dealer pipeline'!$R$4:$R$503,_calc!$E$756))&amp;". ")&amp;IF(LEN(IF(LEN(INDEX('Dealer pipeline'!$S$4:$S$503,_calc!$E$756))=0,"",INDEX('Dealer pipeline'!$S$4:$S$503,_calc!$E$756)))=0,"","Backup: "&amp;IF(LEN(INDEX('Dealer pipeline'!$S$4:$S$503,_calc!$E$756))=0,"",INDEX('Dealer pipeline'!$S$4:$S$503,_calc!$E$756))&amp;". ")&amp;IF(LEN(IF(LEN(INDEX('Dealer pipeline'!$T$4:$T$503,_calc!$E$756))=0,"",INDEX('Dealer pipeline'!$T$4:$T$503,_calc!$E$756)))=0,"",IF(LEN(INDEX('Dealer pipeline'!$T$4:$T$503,_calc!$E$756))=0,"",INDEX('Dealer pipeline'!$T$4:$T$503,_calc!$E$756)))),TRIM(IF(LEN(IF(LEN(INDEX('My equipment'!$C$4:$C$503,(_calc!$E$756-500)))=0,"",INDEX('My equipment'!$C$4:$C$503,(_calc!$E$756-500))))=0,"","Model: "&amp;IF(LEN(INDEX('My equipment'!$C$4:$C$503,(_calc!$E$756-500)))=0,"",INDEX('My equipment'!$C$4:$C$503,(_calc!$E$756-500)))&amp;". ")&amp;IF(LEN(IF(LEN(INDEX('My equipment'!$D$4:$D$503,(_calc!$E$756-500)))=0,"",INDEX('My equipment'!$D$4:$D$503,(_calc!$E$756-500))))=0,"","Serial: "&amp;IF(LEN(INDEX('My equipment'!$D$4:$D$503,(_calc!$E$756-500)))=0,"",INDEX('My equipment'!$D$4:$D$503,(_calc!$E$756-500)))&amp;". ")&amp;IF(LEN(IF(ISNUMBER(INDEX('My equipment'!$J$4:$J$503,(_calc!$E$756-500))),TEXT(INDEX('My equipment'!$J$4:$J$503,(_calc!$E$756-500)),"yyyy-mm-dd"),""))=0,"","Parts end: "&amp;IF(ISNUMBER(INDEX('My equipment'!$J$4:$J$503,(_calc!$E$756-500))),TEXT(INDEX('My equipment'!$J$4:$J$503,(_calc!$E$756-500)),"yyyy-mm-dd"),"")&amp;". ")&amp;IF(LEN(IF(ISNUMBER(INDEX('My equipment'!$L$4:$L$503,(_calc!$E$756-500))),TEXT(INDEX('My equipment'!$L$4:$L$503,(_calc!$E$756-500)),"yyyy-mm-dd"),""))=0,"","Labor end: "&amp;IF(ISNUMBER(INDEX('My equipment'!$L$4:$L$503,(_calc!$E$756-500))),TEXT(INDEX('My equipment'!$L$4:$L$503,(_calc!$E$756-500)),"yyyy-mm-dd"),"")&amp;". ")&amp;IF(LEN(IF(ISNUMBER(INDEX('My equipment'!$P$4:$P$503,(_calc!$E$756-500))),TEXT(INDEX('My equipment'!$P$4:$P$503,(_calc!$E$756-500)),"yyyy-mm-dd"),""))=0,"","Check by: "&amp;IF(ISNUMBER(INDEX('My equipment'!$P$4:$P$503,(_calc!$E$756-500))),TEXT(INDEX('My equipment'!$P$4:$P$503,(_calc!$E$756-500)),"yyyy-mm-dd"),"")&amp;". ")&amp;IF(LEN(IF(LEN(INDEX('My equipment'!$Q$4:$Q$503,(_calc!$E$756-500)))=0,"",INDEX('My equipment'!$Q$4:$Q$503,(_calc!$E$756-500))))=0,"","Claim status: "&amp;IF(LEN(INDEX('My equipment'!$Q$4:$Q$503,(_calc!$E$756-500)))=0,"",INDEX('My equipment'!$Q$4:$Q$503,(_calc!$E$756-500)))&amp;". ")&amp;IF(LEN(IF(LEN(INDEX('My equipment'!$R$4:$R$503,(_calc!$E$756-500)))=0,"",INDEX('My equipment'!$R$4:$R$503,(_calc!$E$756-500))))=0,"","Claims contact: "&amp;IF(LEN(INDEX('My equipment'!$R$4:$R$503,(_calc!$E$756-500)))=0,"",INDEX('My equipment'!$R$4:$R$503,(_calc!$E$756-500)))&amp;". ")&amp;IF(LEN(IF(LEN(INDEX('My equipment'!$S$4:$S$503,(_calc!$E$756-500)))=0,"",INDEX('My equipment'!$S$4:$S$503,(_calc!$E$756-500))))=0,"","Claims email: "&amp;IF(LEN(INDEX('My equipment'!$S$4:$S$503,(_calc!$E$756-500)))=0,"",INDEX('My equipment'!$S$4:$S$503,(_calc!$E$756-500)))&amp;". ")&amp;IF(LEN(IF(LEN(INDEX('My equipment'!$U$4:$U$503,(_calc!$E$756-500)))=0,"",INDEX('My equipment'!$U$4:$U$503,(_calc!$E$756-500))))=0,"","Registered: "&amp;IF(LEN(INDEX('My equipment'!$U$4:$U$503,(_calc!$E$756-500)))=0,"",INDEX('My equipment'!$U$4:$U$503,(_calc!$E$756-500)))&amp;". ")&amp;IF(LEN(IF(LEN(INDEX('My equipment'!$V$4:$V$503,(_calc!$E$756-500)))=0,"",INDEX('My equipment'!$V$4:$V$503,(_calc!$E$756-500))))=0,"","Proof on file: "&amp;IF(LEN(INDEX('My equipment'!$V$4:$V$503,(_calc!$E$756-500)))=0,"",INDEX('My equipment'!$V$4:$V$503,(_calc!$E$756-500)))&amp;". ")&amp;IF(LEN(IF(LEN(INDEX('My equipment'!$W$4:$W$503,(_calc!$E$756-500)))=0,"",INDEX('My equipment'!$W$4:$W$503,(_calc!$E$756-500))))=0,"","Claim ref: "&amp;IF(LEN(INDEX('My equipment'!$W$4:$W$503,(_calc!$E$756-500)))=0,"",INDEX('My equipment'!$W$4:$W$503,(_calc!$E$756-500)))&amp;". ")&amp;IF(LEN(IF(LEN(INDEX('My equipment'!$Y$4:$Y$503,(_calc!$E$756-500)))=0,"",INDEX('My equipment'!$Y$4:$Y$503,(_calc!$E$756-500))))=0,"",IF(LEN(INDEX('My equipment'!$Y$4:$Y$503,(_calc!$E$756-500)))=0,"",INDEX('My equipment'!$Y$4:$Y$503,(_calc!$E$756-500)))))))</f>
        <v/>
      </c>
      <c r="G754" s="54">
        <f>IF(_calc!$E$756="","",IF(_calc!$E$756&lt;=500,"",IF(LEN(INDEX('My equipment'!$X$4:$X$503,(_calc!$E$756-500)))=0,"",INDEX('My equipment'!$X$4:$X$503,(_calc!$E$756-500)))))</f>
        <v/>
      </c>
      <c r="K754" s="54">
        <f>IF(_calc!$E$756="","",IF(_calc!$E$756&lt;=500,"",IF(LEN(INDEX('My equipment'!$T$4:$T$503,(_calc!$E$756-500)))=0,"",INDEX('My equipment'!$T$4:$T$503,(_calc!$E$756-500)))))</f>
        <v/>
      </c>
    </row>
    <row r="755">
      <c r="A755" s="54">
        <f>IF(_calc!$E$757="","",IF(_calc!$E$757&lt;=500,"Warranty – "&amp;IF(LEN(INDEX('Dealer pipeline'!$C$4:$C$503,_calc!$E$757))=0,"",INDEX('Dealer pipeline'!$C$4:$C$503,_calc!$E$757))&amp;" – "&amp;IF(LEN(INDEX('Dealer pipeline'!$D$4:$D$503,_calc!$E$757))=0,"",INDEX('Dealer pipeline'!$D$4:$D$503,_calc!$E$757))&amp;" – "&amp;IF(LEN(INDEX('Dealer pipeline'!$A$4:$A$503,_calc!$E$757))=0,"",INDEX('Dealer pipeline'!$A$4:$A$503,_calc!$E$757)),"Warranty – "&amp;IF(LEN(INDEX('My equipment'!$A$4:$A$503,(_calc!$E$757-500)))=0,"",INDEX('My equipment'!$A$4:$A$503,(_calc!$E$757-500)))&amp;" – "&amp;IF(LEN(INDEX('My equipment'!$D$4:$D$503,(_calc!$E$757-500)))=0,"",INDEX('My equipment'!$D$4:$D$503,(_calc!$E$757-500)))))</f>
        <v/>
      </c>
      <c r="B755" s="54">
        <f>IF(_calc!$E$757="","",IF(_calc!$E$757&lt;=500,IF(ISNUMBER(INDEX('Dealer pipeline'!$M$4:$M$503,_calc!$E$757)),TEXT(INDEX('Dealer pipeline'!$M$4:$M$503,_calc!$E$757),"yyyy-mm-dd"),""),IF(ISNUMBER(INDEX('My equipment'!$M$4:$M$503,(_calc!$E$757-500))),TEXT(INDEX('My equipment'!$M$4:$M$503,(_calc!$E$757-500)),"yyyy-mm-dd"),"")))</f>
        <v/>
      </c>
      <c r="C755" s="54">
        <f>IF(_calc!$E$757="","",IF(_calc!$E$757&lt;=500,"Warranty","Warranty"))</f>
        <v/>
      </c>
      <c r="D755" s="54">
        <f>IF(_calc!$E$757="","",IF(_calc!$E$757&lt;=500,IF(ISNUMBER(INDEX('Dealer pipeline'!$H$4:$H$503,_calc!$E$757)),TEXT(INDEX('Dealer pipeline'!$H$4:$H$503,_calc!$E$757),"yyyy-mm-dd"),""),IF(ISNUMBER(INDEX('My equipment'!$H$4:$H$503,(_calc!$E$757-500))),TEXT(INDEX('My equipment'!$H$4:$H$503,(_calc!$E$757-500)),"yyyy-mm-dd"),"")))</f>
        <v/>
      </c>
      <c r="F755" s="54">
        <f>IF(_calc!$E$757="","",IF(_calc!$E$757&lt;=500,TRIM(IF(LEN(IF(LEN(INDEX('Dealer pipeline'!$A$4:$A$503,_calc!$E$757))=0,"",INDEX('Dealer pipeline'!$A$4:$A$503,_calc!$E$757)))=0,"","Customer: "&amp;IF(LEN(INDEX('Dealer pipeline'!$A$4:$A$503,_calc!$E$757))=0,"",INDEX('Dealer pipeline'!$A$4:$A$503,_calc!$E$757))&amp;". ")&amp;IF(LEN(IF(LEN(INDEX('Dealer pipeline'!$B$4:$B$503,_calc!$E$757))=0,"",INDEX('Dealer pipeline'!$B$4:$B$503,_calc!$E$757)))=0,"","Contact: "&amp;IF(LEN(INDEX('Dealer pipeline'!$B$4:$B$503,_calc!$E$757))=0,"",INDEX('Dealer pipeline'!$B$4:$B$503,_calc!$E$757))&amp;". ")&amp;IF(LEN(IF(LEN(INDEX('Dealer pipeline'!$D$4:$D$503,_calc!$E$757))=0,"",INDEX('Dealer pipeline'!$D$4:$D$503,_calc!$E$757)))=0,"","Serial: "&amp;IF(LEN(INDEX('Dealer pipeline'!$D$4:$D$503,_calc!$E$757))=0,"",INDEX('Dealer pipeline'!$D$4:$D$503,_calc!$E$757))&amp;". ")&amp;IF(LEN(IF(ISNUMBER(INDEX('Dealer pipeline'!$J$4:$J$503,_calc!$E$757)),TEXT(INDEX('Dealer pipeline'!$J$4:$J$503,_calc!$E$757),"yyyy-mm-dd"),""))=0,"","Parts end: "&amp;IF(ISNUMBER(INDEX('Dealer pipeline'!$J$4:$J$503,_calc!$E$757)),TEXT(INDEX('Dealer pipeline'!$J$4:$J$503,_calc!$E$757),"yyyy-mm-dd"),"")&amp;". ")&amp;IF(LEN(IF(ISNUMBER(INDEX('Dealer pipeline'!$L$4:$L$503,_calc!$E$757)),TEXT(INDEX('Dealer pipeline'!$L$4:$L$503,_calc!$E$757),"yyyy-mm-dd"),""))=0,"","Labor end: "&amp;IF(ISNUMBER(INDEX('Dealer pipeline'!$L$4:$L$503,_calc!$E$757)),TEXT(INDEX('Dealer pipeline'!$L$4:$L$503,_calc!$E$757),"yyyy-mm-dd"),"")&amp;". ")&amp;IF(LEN(IF(LEN(INDEX('Dealer pipeline'!$Q$4:$Q$503,_calc!$E$757))=0,"",INDEX('Dealer pipeline'!$Q$4:$Q$503,_calc!$E$757)))=0,"","Status: "&amp;IF(LEN(INDEX('Dealer pipeline'!$Q$4:$Q$503,_calc!$E$757))=0,"",INDEX('Dealer pipeline'!$Q$4:$Q$503,_calc!$E$757))&amp;". ")&amp;IF(LEN(IF(LEN(INDEX('Dealer pipeline'!$P$4:$P$503,_calc!$E$757))=0,"",INDEX('Dealer pipeline'!$P$4:$P$503,_calc!$E$757)))=0,"","Last touch: "&amp;IF(LEN(INDEX('Dealer pipeline'!$P$4:$P$503,_calc!$E$757))=0,"",INDEX('Dealer pipeline'!$P$4:$P$503,_calc!$E$757))&amp;". ")&amp;IF(LEN(IF(LEN(INDEX('Dealer pipeline'!$R$4:$R$503,_calc!$E$757))=0,"",INDEX('Dealer pipeline'!$R$4:$R$503,_calc!$E$757)))=0,"","Owner: "&amp;IF(LEN(INDEX('Dealer pipeline'!$R$4:$R$503,_calc!$E$757))=0,"",INDEX('Dealer pipeline'!$R$4:$R$503,_calc!$E$757))&amp;". ")&amp;IF(LEN(IF(LEN(INDEX('Dealer pipeline'!$S$4:$S$503,_calc!$E$757))=0,"",INDEX('Dealer pipeline'!$S$4:$S$503,_calc!$E$757)))=0,"","Backup: "&amp;IF(LEN(INDEX('Dealer pipeline'!$S$4:$S$503,_calc!$E$757))=0,"",INDEX('Dealer pipeline'!$S$4:$S$503,_calc!$E$757))&amp;". ")&amp;IF(LEN(IF(LEN(INDEX('Dealer pipeline'!$T$4:$T$503,_calc!$E$757))=0,"",INDEX('Dealer pipeline'!$T$4:$T$503,_calc!$E$757)))=0,"",IF(LEN(INDEX('Dealer pipeline'!$T$4:$T$503,_calc!$E$757))=0,"",INDEX('Dealer pipeline'!$T$4:$T$503,_calc!$E$757)))),TRIM(IF(LEN(IF(LEN(INDEX('My equipment'!$C$4:$C$503,(_calc!$E$757-500)))=0,"",INDEX('My equipment'!$C$4:$C$503,(_calc!$E$757-500))))=0,"","Model: "&amp;IF(LEN(INDEX('My equipment'!$C$4:$C$503,(_calc!$E$757-500)))=0,"",INDEX('My equipment'!$C$4:$C$503,(_calc!$E$757-500)))&amp;". ")&amp;IF(LEN(IF(LEN(INDEX('My equipment'!$D$4:$D$503,(_calc!$E$757-500)))=0,"",INDEX('My equipment'!$D$4:$D$503,(_calc!$E$757-500))))=0,"","Serial: "&amp;IF(LEN(INDEX('My equipment'!$D$4:$D$503,(_calc!$E$757-500)))=0,"",INDEX('My equipment'!$D$4:$D$503,(_calc!$E$757-500)))&amp;". ")&amp;IF(LEN(IF(ISNUMBER(INDEX('My equipment'!$J$4:$J$503,(_calc!$E$757-500))),TEXT(INDEX('My equipment'!$J$4:$J$503,(_calc!$E$757-500)),"yyyy-mm-dd"),""))=0,"","Parts end: "&amp;IF(ISNUMBER(INDEX('My equipment'!$J$4:$J$503,(_calc!$E$757-500))),TEXT(INDEX('My equipment'!$J$4:$J$503,(_calc!$E$757-500)),"yyyy-mm-dd"),"")&amp;". ")&amp;IF(LEN(IF(ISNUMBER(INDEX('My equipment'!$L$4:$L$503,(_calc!$E$757-500))),TEXT(INDEX('My equipment'!$L$4:$L$503,(_calc!$E$757-500)),"yyyy-mm-dd"),""))=0,"","Labor end: "&amp;IF(ISNUMBER(INDEX('My equipment'!$L$4:$L$503,(_calc!$E$757-500))),TEXT(INDEX('My equipment'!$L$4:$L$503,(_calc!$E$757-500)),"yyyy-mm-dd"),"")&amp;". ")&amp;IF(LEN(IF(ISNUMBER(INDEX('My equipment'!$P$4:$P$503,(_calc!$E$757-500))),TEXT(INDEX('My equipment'!$P$4:$P$503,(_calc!$E$757-500)),"yyyy-mm-dd"),""))=0,"","Check by: "&amp;IF(ISNUMBER(INDEX('My equipment'!$P$4:$P$503,(_calc!$E$757-500))),TEXT(INDEX('My equipment'!$P$4:$P$503,(_calc!$E$757-500)),"yyyy-mm-dd"),"")&amp;". ")&amp;IF(LEN(IF(LEN(INDEX('My equipment'!$Q$4:$Q$503,(_calc!$E$757-500)))=0,"",INDEX('My equipment'!$Q$4:$Q$503,(_calc!$E$757-500))))=0,"","Claim status: "&amp;IF(LEN(INDEX('My equipment'!$Q$4:$Q$503,(_calc!$E$757-500)))=0,"",INDEX('My equipment'!$Q$4:$Q$503,(_calc!$E$757-500)))&amp;". ")&amp;IF(LEN(IF(LEN(INDEX('My equipment'!$R$4:$R$503,(_calc!$E$757-500)))=0,"",INDEX('My equipment'!$R$4:$R$503,(_calc!$E$757-500))))=0,"","Claims contact: "&amp;IF(LEN(INDEX('My equipment'!$R$4:$R$503,(_calc!$E$757-500)))=0,"",INDEX('My equipment'!$R$4:$R$503,(_calc!$E$757-500)))&amp;". ")&amp;IF(LEN(IF(LEN(INDEX('My equipment'!$S$4:$S$503,(_calc!$E$757-500)))=0,"",INDEX('My equipment'!$S$4:$S$503,(_calc!$E$757-500))))=0,"","Claims email: "&amp;IF(LEN(INDEX('My equipment'!$S$4:$S$503,(_calc!$E$757-500)))=0,"",INDEX('My equipment'!$S$4:$S$503,(_calc!$E$757-500)))&amp;". ")&amp;IF(LEN(IF(LEN(INDEX('My equipment'!$U$4:$U$503,(_calc!$E$757-500)))=0,"",INDEX('My equipment'!$U$4:$U$503,(_calc!$E$757-500))))=0,"","Registered: "&amp;IF(LEN(INDEX('My equipment'!$U$4:$U$503,(_calc!$E$757-500)))=0,"",INDEX('My equipment'!$U$4:$U$503,(_calc!$E$757-500)))&amp;". ")&amp;IF(LEN(IF(LEN(INDEX('My equipment'!$V$4:$V$503,(_calc!$E$757-500)))=0,"",INDEX('My equipment'!$V$4:$V$503,(_calc!$E$757-500))))=0,"","Proof on file: "&amp;IF(LEN(INDEX('My equipment'!$V$4:$V$503,(_calc!$E$757-500)))=0,"",INDEX('My equipment'!$V$4:$V$503,(_calc!$E$757-500)))&amp;". ")&amp;IF(LEN(IF(LEN(INDEX('My equipment'!$W$4:$W$503,(_calc!$E$757-500)))=0,"",INDEX('My equipment'!$W$4:$W$503,(_calc!$E$757-500))))=0,"","Claim ref: "&amp;IF(LEN(INDEX('My equipment'!$W$4:$W$503,(_calc!$E$757-500)))=0,"",INDEX('My equipment'!$W$4:$W$503,(_calc!$E$757-500)))&amp;". ")&amp;IF(LEN(IF(LEN(INDEX('My equipment'!$Y$4:$Y$503,(_calc!$E$757-500)))=0,"",INDEX('My equipment'!$Y$4:$Y$503,(_calc!$E$757-500))))=0,"",IF(LEN(INDEX('My equipment'!$Y$4:$Y$503,(_calc!$E$757-500)))=0,"",INDEX('My equipment'!$Y$4:$Y$503,(_calc!$E$757-500)))))))</f>
        <v/>
      </c>
      <c r="G755" s="54">
        <f>IF(_calc!$E$757="","",IF(_calc!$E$757&lt;=500,"",IF(LEN(INDEX('My equipment'!$X$4:$X$503,(_calc!$E$757-500)))=0,"",INDEX('My equipment'!$X$4:$X$503,(_calc!$E$757-500)))))</f>
        <v/>
      </c>
      <c r="K755" s="54">
        <f>IF(_calc!$E$757="","",IF(_calc!$E$757&lt;=500,"",IF(LEN(INDEX('My equipment'!$T$4:$T$503,(_calc!$E$757-500)))=0,"",INDEX('My equipment'!$T$4:$T$503,(_calc!$E$757-500)))))</f>
        <v/>
      </c>
    </row>
    <row r="756">
      <c r="A756" s="54">
        <f>IF(_calc!$E$758="","",IF(_calc!$E$758&lt;=500,"Warranty – "&amp;IF(LEN(INDEX('Dealer pipeline'!$C$4:$C$503,_calc!$E$758))=0,"",INDEX('Dealer pipeline'!$C$4:$C$503,_calc!$E$758))&amp;" – "&amp;IF(LEN(INDEX('Dealer pipeline'!$D$4:$D$503,_calc!$E$758))=0,"",INDEX('Dealer pipeline'!$D$4:$D$503,_calc!$E$758))&amp;" – "&amp;IF(LEN(INDEX('Dealer pipeline'!$A$4:$A$503,_calc!$E$758))=0,"",INDEX('Dealer pipeline'!$A$4:$A$503,_calc!$E$758)),"Warranty – "&amp;IF(LEN(INDEX('My equipment'!$A$4:$A$503,(_calc!$E$758-500)))=0,"",INDEX('My equipment'!$A$4:$A$503,(_calc!$E$758-500)))&amp;" – "&amp;IF(LEN(INDEX('My equipment'!$D$4:$D$503,(_calc!$E$758-500)))=0,"",INDEX('My equipment'!$D$4:$D$503,(_calc!$E$758-500)))))</f>
        <v/>
      </c>
      <c r="B756" s="54">
        <f>IF(_calc!$E$758="","",IF(_calc!$E$758&lt;=500,IF(ISNUMBER(INDEX('Dealer pipeline'!$M$4:$M$503,_calc!$E$758)),TEXT(INDEX('Dealer pipeline'!$M$4:$M$503,_calc!$E$758),"yyyy-mm-dd"),""),IF(ISNUMBER(INDEX('My equipment'!$M$4:$M$503,(_calc!$E$758-500))),TEXT(INDEX('My equipment'!$M$4:$M$503,(_calc!$E$758-500)),"yyyy-mm-dd"),"")))</f>
        <v/>
      </c>
      <c r="C756" s="54">
        <f>IF(_calc!$E$758="","",IF(_calc!$E$758&lt;=500,"Warranty","Warranty"))</f>
        <v/>
      </c>
      <c r="D756" s="54">
        <f>IF(_calc!$E$758="","",IF(_calc!$E$758&lt;=500,IF(ISNUMBER(INDEX('Dealer pipeline'!$H$4:$H$503,_calc!$E$758)),TEXT(INDEX('Dealer pipeline'!$H$4:$H$503,_calc!$E$758),"yyyy-mm-dd"),""),IF(ISNUMBER(INDEX('My equipment'!$H$4:$H$503,(_calc!$E$758-500))),TEXT(INDEX('My equipment'!$H$4:$H$503,(_calc!$E$758-500)),"yyyy-mm-dd"),"")))</f>
        <v/>
      </c>
      <c r="F756" s="54">
        <f>IF(_calc!$E$758="","",IF(_calc!$E$758&lt;=500,TRIM(IF(LEN(IF(LEN(INDEX('Dealer pipeline'!$A$4:$A$503,_calc!$E$758))=0,"",INDEX('Dealer pipeline'!$A$4:$A$503,_calc!$E$758)))=0,"","Customer: "&amp;IF(LEN(INDEX('Dealer pipeline'!$A$4:$A$503,_calc!$E$758))=0,"",INDEX('Dealer pipeline'!$A$4:$A$503,_calc!$E$758))&amp;". ")&amp;IF(LEN(IF(LEN(INDEX('Dealer pipeline'!$B$4:$B$503,_calc!$E$758))=0,"",INDEX('Dealer pipeline'!$B$4:$B$503,_calc!$E$758)))=0,"","Contact: "&amp;IF(LEN(INDEX('Dealer pipeline'!$B$4:$B$503,_calc!$E$758))=0,"",INDEX('Dealer pipeline'!$B$4:$B$503,_calc!$E$758))&amp;". ")&amp;IF(LEN(IF(LEN(INDEX('Dealer pipeline'!$D$4:$D$503,_calc!$E$758))=0,"",INDEX('Dealer pipeline'!$D$4:$D$503,_calc!$E$758)))=0,"","Serial: "&amp;IF(LEN(INDEX('Dealer pipeline'!$D$4:$D$503,_calc!$E$758))=0,"",INDEX('Dealer pipeline'!$D$4:$D$503,_calc!$E$758))&amp;". ")&amp;IF(LEN(IF(ISNUMBER(INDEX('Dealer pipeline'!$J$4:$J$503,_calc!$E$758)),TEXT(INDEX('Dealer pipeline'!$J$4:$J$503,_calc!$E$758),"yyyy-mm-dd"),""))=0,"","Parts end: "&amp;IF(ISNUMBER(INDEX('Dealer pipeline'!$J$4:$J$503,_calc!$E$758)),TEXT(INDEX('Dealer pipeline'!$J$4:$J$503,_calc!$E$758),"yyyy-mm-dd"),"")&amp;". ")&amp;IF(LEN(IF(ISNUMBER(INDEX('Dealer pipeline'!$L$4:$L$503,_calc!$E$758)),TEXT(INDEX('Dealer pipeline'!$L$4:$L$503,_calc!$E$758),"yyyy-mm-dd"),""))=0,"","Labor end: "&amp;IF(ISNUMBER(INDEX('Dealer pipeline'!$L$4:$L$503,_calc!$E$758)),TEXT(INDEX('Dealer pipeline'!$L$4:$L$503,_calc!$E$758),"yyyy-mm-dd"),"")&amp;". ")&amp;IF(LEN(IF(LEN(INDEX('Dealer pipeline'!$Q$4:$Q$503,_calc!$E$758))=0,"",INDEX('Dealer pipeline'!$Q$4:$Q$503,_calc!$E$758)))=0,"","Status: "&amp;IF(LEN(INDEX('Dealer pipeline'!$Q$4:$Q$503,_calc!$E$758))=0,"",INDEX('Dealer pipeline'!$Q$4:$Q$503,_calc!$E$758))&amp;". ")&amp;IF(LEN(IF(LEN(INDEX('Dealer pipeline'!$P$4:$P$503,_calc!$E$758))=0,"",INDEX('Dealer pipeline'!$P$4:$P$503,_calc!$E$758)))=0,"","Last touch: "&amp;IF(LEN(INDEX('Dealer pipeline'!$P$4:$P$503,_calc!$E$758))=0,"",INDEX('Dealer pipeline'!$P$4:$P$503,_calc!$E$758))&amp;". ")&amp;IF(LEN(IF(LEN(INDEX('Dealer pipeline'!$R$4:$R$503,_calc!$E$758))=0,"",INDEX('Dealer pipeline'!$R$4:$R$503,_calc!$E$758)))=0,"","Owner: "&amp;IF(LEN(INDEX('Dealer pipeline'!$R$4:$R$503,_calc!$E$758))=0,"",INDEX('Dealer pipeline'!$R$4:$R$503,_calc!$E$758))&amp;". ")&amp;IF(LEN(IF(LEN(INDEX('Dealer pipeline'!$S$4:$S$503,_calc!$E$758))=0,"",INDEX('Dealer pipeline'!$S$4:$S$503,_calc!$E$758)))=0,"","Backup: "&amp;IF(LEN(INDEX('Dealer pipeline'!$S$4:$S$503,_calc!$E$758))=0,"",INDEX('Dealer pipeline'!$S$4:$S$503,_calc!$E$758))&amp;". ")&amp;IF(LEN(IF(LEN(INDEX('Dealer pipeline'!$T$4:$T$503,_calc!$E$758))=0,"",INDEX('Dealer pipeline'!$T$4:$T$503,_calc!$E$758)))=0,"",IF(LEN(INDEX('Dealer pipeline'!$T$4:$T$503,_calc!$E$758))=0,"",INDEX('Dealer pipeline'!$T$4:$T$503,_calc!$E$758)))),TRIM(IF(LEN(IF(LEN(INDEX('My equipment'!$C$4:$C$503,(_calc!$E$758-500)))=0,"",INDEX('My equipment'!$C$4:$C$503,(_calc!$E$758-500))))=0,"","Model: "&amp;IF(LEN(INDEX('My equipment'!$C$4:$C$503,(_calc!$E$758-500)))=0,"",INDEX('My equipment'!$C$4:$C$503,(_calc!$E$758-500)))&amp;". ")&amp;IF(LEN(IF(LEN(INDEX('My equipment'!$D$4:$D$503,(_calc!$E$758-500)))=0,"",INDEX('My equipment'!$D$4:$D$503,(_calc!$E$758-500))))=0,"","Serial: "&amp;IF(LEN(INDEX('My equipment'!$D$4:$D$503,(_calc!$E$758-500)))=0,"",INDEX('My equipment'!$D$4:$D$503,(_calc!$E$758-500)))&amp;". ")&amp;IF(LEN(IF(ISNUMBER(INDEX('My equipment'!$J$4:$J$503,(_calc!$E$758-500))),TEXT(INDEX('My equipment'!$J$4:$J$503,(_calc!$E$758-500)),"yyyy-mm-dd"),""))=0,"","Parts end: "&amp;IF(ISNUMBER(INDEX('My equipment'!$J$4:$J$503,(_calc!$E$758-500))),TEXT(INDEX('My equipment'!$J$4:$J$503,(_calc!$E$758-500)),"yyyy-mm-dd"),"")&amp;". ")&amp;IF(LEN(IF(ISNUMBER(INDEX('My equipment'!$L$4:$L$503,(_calc!$E$758-500))),TEXT(INDEX('My equipment'!$L$4:$L$503,(_calc!$E$758-500)),"yyyy-mm-dd"),""))=0,"","Labor end: "&amp;IF(ISNUMBER(INDEX('My equipment'!$L$4:$L$503,(_calc!$E$758-500))),TEXT(INDEX('My equipment'!$L$4:$L$503,(_calc!$E$758-500)),"yyyy-mm-dd"),"")&amp;". ")&amp;IF(LEN(IF(ISNUMBER(INDEX('My equipment'!$P$4:$P$503,(_calc!$E$758-500))),TEXT(INDEX('My equipment'!$P$4:$P$503,(_calc!$E$758-500)),"yyyy-mm-dd"),""))=0,"","Check by: "&amp;IF(ISNUMBER(INDEX('My equipment'!$P$4:$P$503,(_calc!$E$758-500))),TEXT(INDEX('My equipment'!$P$4:$P$503,(_calc!$E$758-500)),"yyyy-mm-dd"),"")&amp;". ")&amp;IF(LEN(IF(LEN(INDEX('My equipment'!$Q$4:$Q$503,(_calc!$E$758-500)))=0,"",INDEX('My equipment'!$Q$4:$Q$503,(_calc!$E$758-500))))=0,"","Claim status: "&amp;IF(LEN(INDEX('My equipment'!$Q$4:$Q$503,(_calc!$E$758-500)))=0,"",INDEX('My equipment'!$Q$4:$Q$503,(_calc!$E$758-500)))&amp;". ")&amp;IF(LEN(IF(LEN(INDEX('My equipment'!$R$4:$R$503,(_calc!$E$758-500)))=0,"",INDEX('My equipment'!$R$4:$R$503,(_calc!$E$758-500))))=0,"","Claims contact: "&amp;IF(LEN(INDEX('My equipment'!$R$4:$R$503,(_calc!$E$758-500)))=0,"",INDEX('My equipment'!$R$4:$R$503,(_calc!$E$758-500)))&amp;". ")&amp;IF(LEN(IF(LEN(INDEX('My equipment'!$S$4:$S$503,(_calc!$E$758-500)))=0,"",INDEX('My equipment'!$S$4:$S$503,(_calc!$E$758-500))))=0,"","Claims email: "&amp;IF(LEN(INDEX('My equipment'!$S$4:$S$503,(_calc!$E$758-500)))=0,"",INDEX('My equipment'!$S$4:$S$503,(_calc!$E$758-500)))&amp;". ")&amp;IF(LEN(IF(LEN(INDEX('My equipment'!$U$4:$U$503,(_calc!$E$758-500)))=0,"",INDEX('My equipment'!$U$4:$U$503,(_calc!$E$758-500))))=0,"","Registered: "&amp;IF(LEN(INDEX('My equipment'!$U$4:$U$503,(_calc!$E$758-500)))=0,"",INDEX('My equipment'!$U$4:$U$503,(_calc!$E$758-500)))&amp;". ")&amp;IF(LEN(IF(LEN(INDEX('My equipment'!$V$4:$V$503,(_calc!$E$758-500)))=0,"",INDEX('My equipment'!$V$4:$V$503,(_calc!$E$758-500))))=0,"","Proof on file: "&amp;IF(LEN(INDEX('My equipment'!$V$4:$V$503,(_calc!$E$758-500)))=0,"",INDEX('My equipment'!$V$4:$V$503,(_calc!$E$758-500)))&amp;". ")&amp;IF(LEN(IF(LEN(INDEX('My equipment'!$W$4:$W$503,(_calc!$E$758-500)))=0,"",INDEX('My equipment'!$W$4:$W$503,(_calc!$E$758-500))))=0,"","Claim ref: "&amp;IF(LEN(INDEX('My equipment'!$W$4:$W$503,(_calc!$E$758-500)))=0,"",INDEX('My equipment'!$W$4:$W$503,(_calc!$E$758-500)))&amp;". ")&amp;IF(LEN(IF(LEN(INDEX('My equipment'!$Y$4:$Y$503,(_calc!$E$758-500)))=0,"",INDEX('My equipment'!$Y$4:$Y$503,(_calc!$E$758-500))))=0,"",IF(LEN(INDEX('My equipment'!$Y$4:$Y$503,(_calc!$E$758-500)))=0,"",INDEX('My equipment'!$Y$4:$Y$503,(_calc!$E$758-500)))))))</f>
        <v/>
      </c>
      <c r="G756" s="54">
        <f>IF(_calc!$E$758="","",IF(_calc!$E$758&lt;=500,"",IF(LEN(INDEX('My equipment'!$X$4:$X$503,(_calc!$E$758-500)))=0,"",INDEX('My equipment'!$X$4:$X$503,(_calc!$E$758-500)))))</f>
        <v/>
      </c>
      <c r="K756" s="54">
        <f>IF(_calc!$E$758="","",IF(_calc!$E$758&lt;=500,"",IF(LEN(INDEX('My equipment'!$T$4:$T$503,(_calc!$E$758-500)))=0,"",INDEX('My equipment'!$T$4:$T$503,(_calc!$E$758-500)))))</f>
        <v/>
      </c>
    </row>
    <row r="757">
      <c r="A757" s="54">
        <f>IF(_calc!$E$759="","",IF(_calc!$E$759&lt;=500,"Warranty – "&amp;IF(LEN(INDEX('Dealer pipeline'!$C$4:$C$503,_calc!$E$759))=0,"",INDEX('Dealer pipeline'!$C$4:$C$503,_calc!$E$759))&amp;" – "&amp;IF(LEN(INDEX('Dealer pipeline'!$D$4:$D$503,_calc!$E$759))=0,"",INDEX('Dealer pipeline'!$D$4:$D$503,_calc!$E$759))&amp;" – "&amp;IF(LEN(INDEX('Dealer pipeline'!$A$4:$A$503,_calc!$E$759))=0,"",INDEX('Dealer pipeline'!$A$4:$A$503,_calc!$E$759)),"Warranty – "&amp;IF(LEN(INDEX('My equipment'!$A$4:$A$503,(_calc!$E$759-500)))=0,"",INDEX('My equipment'!$A$4:$A$503,(_calc!$E$759-500)))&amp;" – "&amp;IF(LEN(INDEX('My equipment'!$D$4:$D$503,(_calc!$E$759-500)))=0,"",INDEX('My equipment'!$D$4:$D$503,(_calc!$E$759-500)))))</f>
        <v/>
      </c>
      <c r="B757" s="54">
        <f>IF(_calc!$E$759="","",IF(_calc!$E$759&lt;=500,IF(ISNUMBER(INDEX('Dealer pipeline'!$M$4:$M$503,_calc!$E$759)),TEXT(INDEX('Dealer pipeline'!$M$4:$M$503,_calc!$E$759),"yyyy-mm-dd"),""),IF(ISNUMBER(INDEX('My equipment'!$M$4:$M$503,(_calc!$E$759-500))),TEXT(INDEX('My equipment'!$M$4:$M$503,(_calc!$E$759-500)),"yyyy-mm-dd"),"")))</f>
        <v/>
      </c>
      <c r="C757" s="54">
        <f>IF(_calc!$E$759="","",IF(_calc!$E$759&lt;=500,"Warranty","Warranty"))</f>
        <v/>
      </c>
      <c r="D757" s="54">
        <f>IF(_calc!$E$759="","",IF(_calc!$E$759&lt;=500,IF(ISNUMBER(INDEX('Dealer pipeline'!$H$4:$H$503,_calc!$E$759)),TEXT(INDEX('Dealer pipeline'!$H$4:$H$503,_calc!$E$759),"yyyy-mm-dd"),""),IF(ISNUMBER(INDEX('My equipment'!$H$4:$H$503,(_calc!$E$759-500))),TEXT(INDEX('My equipment'!$H$4:$H$503,(_calc!$E$759-500)),"yyyy-mm-dd"),"")))</f>
        <v/>
      </c>
      <c r="F757" s="54">
        <f>IF(_calc!$E$759="","",IF(_calc!$E$759&lt;=500,TRIM(IF(LEN(IF(LEN(INDEX('Dealer pipeline'!$A$4:$A$503,_calc!$E$759))=0,"",INDEX('Dealer pipeline'!$A$4:$A$503,_calc!$E$759)))=0,"","Customer: "&amp;IF(LEN(INDEX('Dealer pipeline'!$A$4:$A$503,_calc!$E$759))=0,"",INDEX('Dealer pipeline'!$A$4:$A$503,_calc!$E$759))&amp;". ")&amp;IF(LEN(IF(LEN(INDEX('Dealer pipeline'!$B$4:$B$503,_calc!$E$759))=0,"",INDEX('Dealer pipeline'!$B$4:$B$503,_calc!$E$759)))=0,"","Contact: "&amp;IF(LEN(INDEX('Dealer pipeline'!$B$4:$B$503,_calc!$E$759))=0,"",INDEX('Dealer pipeline'!$B$4:$B$503,_calc!$E$759))&amp;". ")&amp;IF(LEN(IF(LEN(INDEX('Dealer pipeline'!$D$4:$D$503,_calc!$E$759))=0,"",INDEX('Dealer pipeline'!$D$4:$D$503,_calc!$E$759)))=0,"","Serial: "&amp;IF(LEN(INDEX('Dealer pipeline'!$D$4:$D$503,_calc!$E$759))=0,"",INDEX('Dealer pipeline'!$D$4:$D$503,_calc!$E$759))&amp;". ")&amp;IF(LEN(IF(ISNUMBER(INDEX('Dealer pipeline'!$J$4:$J$503,_calc!$E$759)),TEXT(INDEX('Dealer pipeline'!$J$4:$J$503,_calc!$E$759),"yyyy-mm-dd"),""))=0,"","Parts end: "&amp;IF(ISNUMBER(INDEX('Dealer pipeline'!$J$4:$J$503,_calc!$E$759)),TEXT(INDEX('Dealer pipeline'!$J$4:$J$503,_calc!$E$759),"yyyy-mm-dd"),"")&amp;". ")&amp;IF(LEN(IF(ISNUMBER(INDEX('Dealer pipeline'!$L$4:$L$503,_calc!$E$759)),TEXT(INDEX('Dealer pipeline'!$L$4:$L$503,_calc!$E$759),"yyyy-mm-dd"),""))=0,"","Labor end: "&amp;IF(ISNUMBER(INDEX('Dealer pipeline'!$L$4:$L$503,_calc!$E$759)),TEXT(INDEX('Dealer pipeline'!$L$4:$L$503,_calc!$E$759),"yyyy-mm-dd"),"")&amp;". ")&amp;IF(LEN(IF(LEN(INDEX('Dealer pipeline'!$Q$4:$Q$503,_calc!$E$759))=0,"",INDEX('Dealer pipeline'!$Q$4:$Q$503,_calc!$E$759)))=0,"","Status: "&amp;IF(LEN(INDEX('Dealer pipeline'!$Q$4:$Q$503,_calc!$E$759))=0,"",INDEX('Dealer pipeline'!$Q$4:$Q$503,_calc!$E$759))&amp;". ")&amp;IF(LEN(IF(LEN(INDEX('Dealer pipeline'!$P$4:$P$503,_calc!$E$759))=0,"",INDEX('Dealer pipeline'!$P$4:$P$503,_calc!$E$759)))=0,"","Last touch: "&amp;IF(LEN(INDEX('Dealer pipeline'!$P$4:$P$503,_calc!$E$759))=0,"",INDEX('Dealer pipeline'!$P$4:$P$503,_calc!$E$759))&amp;". ")&amp;IF(LEN(IF(LEN(INDEX('Dealer pipeline'!$R$4:$R$503,_calc!$E$759))=0,"",INDEX('Dealer pipeline'!$R$4:$R$503,_calc!$E$759)))=0,"","Owner: "&amp;IF(LEN(INDEX('Dealer pipeline'!$R$4:$R$503,_calc!$E$759))=0,"",INDEX('Dealer pipeline'!$R$4:$R$503,_calc!$E$759))&amp;". ")&amp;IF(LEN(IF(LEN(INDEX('Dealer pipeline'!$S$4:$S$503,_calc!$E$759))=0,"",INDEX('Dealer pipeline'!$S$4:$S$503,_calc!$E$759)))=0,"","Backup: "&amp;IF(LEN(INDEX('Dealer pipeline'!$S$4:$S$503,_calc!$E$759))=0,"",INDEX('Dealer pipeline'!$S$4:$S$503,_calc!$E$759))&amp;". ")&amp;IF(LEN(IF(LEN(INDEX('Dealer pipeline'!$T$4:$T$503,_calc!$E$759))=0,"",INDEX('Dealer pipeline'!$T$4:$T$503,_calc!$E$759)))=0,"",IF(LEN(INDEX('Dealer pipeline'!$T$4:$T$503,_calc!$E$759))=0,"",INDEX('Dealer pipeline'!$T$4:$T$503,_calc!$E$759)))),TRIM(IF(LEN(IF(LEN(INDEX('My equipment'!$C$4:$C$503,(_calc!$E$759-500)))=0,"",INDEX('My equipment'!$C$4:$C$503,(_calc!$E$759-500))))=0,"","Model: "&amp;IF(LEN(INDEX('My equipment'!$C$4:$C$503,(_calc!$E$759-500)))=0,"",INDEX('My equipment'!$C$4:$C$503,(_calc!$E$759-500)))&amp;". ")&amp;IF(LEN(IF(LEN(INDEX('My equipment'!$D$4:$D$503,(_calc!$E$759-500)))=0,"",INDEX('My equipment'!$D$4:$D$503,(_calc!$E$759-500))))=0,"","Serial: "&amp;IF(LEN(INDEX('My equipment'!$D$4:$D$503,(_calc!$E$759-500)))=0,"",INDEX('My equipment'!$D$4:$D$503,(_calc!$E$759-500)))&amp;". ")&amp;IF(LEN(IF(ISNUMBER(INDEX('My equipment'!$J$4:$J$503,(_calc!$E$759-500))),TEXT(INDEX('My equipment'!$J$4:$J$503,(_calc!$E$759-500)),"yyyy-mm-dd"),""))=0,"","Parts end: "&amp;IF(ISNUMBER(INDEX('My equipment'!$J$4:$J$503,(_calc!$E$759-500))),TEXT(INDEX('My equipment'!$J$4:$J$503,(_calc!$E$759-500)),"yyyy-mm-dd"),"")&amp;". ")&amp;IF(LEN(IF(ISNUMBER(INDEX('My equipment'!$L$4:$L$503,(_calc!$E$759-500))),TEXT(INDEX('My equipment'!$L$4:$L$503,(_calc!$E$759-500)),"yyyy-mm-dd"),""))=0,"","Labor end: "&amp;IF(ISNUMBER(INDEX('My equipment'!$L$4:$L$503,(_calc!$E$759-500))),TEXT(INDEX('My equipment'!$L$4:$L$503,(_calc!$E$759-500)),"yyyy-mm-dd"),"")&amp;". ")&amp;IF(LEN(IF(ISNUMBER(INDEX('My equipment'!$P$4:$P$503,(_calc!$E$759-500))),TEXT(INDEX('My equipment'!$P$4:$P$503,(_calc!$E$759-500)),"yyyy-mm-dd"),""))=0,"","Check by: "&amp;IF(ISNUMBER(INDEX('My equipment'!$P$4:$P$503,(_calc!$E$759-500))),TEXT(INDEX('My equipment'!$P$4:$P$503,(_calc!$E$759-500)),"yyyy-mm-dd"),"")&amp;". ")&amp;IF(LEN(IF(LEN(INDEX('My equipment'!$Q$4:$Q$503,(_calc!$E$759-500)))=0,"",INDEX('My equipment'!$Q$4:$Q$503,(_calc!$E$759-500))))=0,"","Claim status: "&amp;IF(LEN(INDEX('My equipment'!$Q$4:$Q$503,(_calc!$E$759-500)))=0,"",INDEX('My equipment'!$Q$4:$Q$503,(_calc!$E$759-500)))&amp;". ")&amp;IF(LEN(IF(LEN(INDEX('My equipment'!$R$4:$R$503,(_calc!$E$759-500)))=0,"",INDEX('My equipment'!$R$4:$R$503,(_calc!$E$759-500))))=0,"","Claims contact: "&amp;IF(LEN(INDEX('My equipment'!$R$4:$R$503,(_calc!$E$759-500)))=0,"",INDEX('My equipment'!$R$4:$R$503,(_calc!$E$759-500)))&amp;". ")&amp;IF(LEN(IF(LEN(INDEX('My equipment'!$S$4:$S$503,(_calc!$E$759-500)))=0,"",INDEX('My equipment'!$S$4:$S$503,(_calc!$E$759-500))))=0,"","Claims email: "&amp;IF(LEN(INDEX('My equipment'!$S$4:$S$503,(_calc!$E$759-500)))=0,"",INDEX('My equipment'!$S$4:$S$503,(_calc!$E$759-500)))&amp;". ")&amp;IF(LEN(IF(LEN(INDEX('My equipment'!$U$4:$U$503,(_calc!$E$759-500)))=0,"",INDEX('My equipment'!$U$4:$U$503,(_calc!$E$759-500))))=0,"","Registered: "&amp;IF(LEN(INDEX('My equipment'!$U$4:$U$503,(_calc!$E$759-500)))=0,"",INDEX('My equipment'!$U$4:$U$503,(_calc!$E$759-500)))&amp;". ")&amp;IF(LEN(IF(LEN(INDEX('My equipment'!$V$4:$V$503,(_calc!$E$759-500)))=0,"",INDEX('My equipment'!$V$4:$V$503,(_calc!$E$759-500))))=0,"","Proof on file: "&amp;IF(LEN(INDEX('My equipment'!$V$4:$V$503,(_calc!$E$759-500)))=0,"",INDEX('My equipment'!$V$4:$V$503,(_calc!$E$759-500)))&amp;". ")&amp;IF(LEN(IF(LEN(INDEX('My equipment'!$W$4:$W$503,(_calc!$E$759-500)))=0,"",INDEX('My equipment'!$W$4:$W$503,(_calc!$E$759-500))))=0,"","Claim ref: "&amp;IF(LEN(INDEX('My equipment'!$W$4:$W$503,(_calc!$E$759-500)))=0,"",INDEX('My equipment'!$W$4:$W$503,(_calc!$E$759-500)))&amp;". ")&amp;IF(LEN(IF(LEN(INDEX('My equipment'!$Y$4:$Y$503,(_calc!$E$759-500)))=0,"",INDEX('My equipment'!$Y$4:$Y$503,(_calc!$E$759-500))))=0,"",IF(LEN(INDEX('My equipment'!$Y$4:$Y$503,(_calc!$E$759-500)))=0,"",INDEX('My equipment'!$Y$4:$Y$503,(_calc!$E$759-500)))))))</f>
        <v/>
      </c>
      <c r="G757" s="54">
        <f>IF(_calc!$E$759="","",IF(_calc!$E$759&lt;=500,"",IF(LEN(INDEX('My equipment'!$X$4:$X$503,(_calc!$E$759-500)))=0,"",INDEX('My equipment'!$X$4:$X$503,(_calc!$E$759-500)))))</f>
        <v/>
      </c>
      <c r="K757" s="54">
        <f>IF(_calc!$E$759="","",IF(_calc!$E$759&lt;=500,"",IF(LEN(INDEX('My equipment'!$T$4:$T$503,(_calc!$E$759-500)))=0,"",INDEX('My equipment'!$T$4:$T$503,(_calc!$E$759-500)))))</f>
        <v/>
      </c>
    </row>
    <row r="758">
      <c r="A758" s="54">
        <f>IF(_calc!$E$760="","",IF(_calc!$E$760&lt;=500,"Warranty – "&amp;IF(LEN(INDEX('Dealer pipeline'!$C$4:$C$503,_calc!$E$760))=0,"",INDEX('Dealer pipeline'!$C$4:$C$503,_calc!$E$760))&amp;" – "&amp;IF(LEN(INDEX('Dealer pipeline'!$D$4:$D$503,_calc!$E$760))=0,"",INDEX('Dealer pipeline'!$D$4:$D$503,_calc!$E$760))&amp;" – "&amp;IF(LEN(INDEX('Dealer pipeline'!$A$4:$A$503,_calc!$E$760))=0,"",INDEX('Dealer pipeline'!$A$4:$A$503,_calc!$E$760)),"Warranty – "&amp;IF(LEN(INDEX('My equipment'!$A$4:$A$503,(_calc!$E$760-500)))=0,"",INDEX('My equipment'!$A$4:$A$503,(_calc!$E$760-500)))&amp;" – "&amp;IF(LEN(INDEX('My equipment'!$D$4:$D$503,(_calc!$E$760-500)))=0,"",INDEX('My equipment'!$D$4:$D$503,(_calc!$E$760-500)))))</f>
        <v/>
      </c>
      <c r="B758" s="54">
        <f>IF(_calc!$E$760="","",IF(_calc!$E$760&lt;=500,IF(ISNUMBER(INDEX('Dealer pipeline'!$M$4:$M$503,_calc!$E$760)),TEXT(INDEX('Dealer pipeline'!$M$4:$M$503,_calc!$E$760),"yyyy-mm-dd"),""),IF(ISNUMBER(INDEX('My equipment'!$M$4:$M$503,(_calc!$E$760-500))),TEXT(INDEX('My equipment'!$M$4:$M$503,(_calc!$E$760-500)),"yyyy-mm-dd"),"")))</f>
        <v/>
      </c>
      <c r="C758" s="54">
        <f>IF(_calc!$E$760="","",IF(_calc!$E$760&lt;=500,"Warranty","Warranty"))</f>
        <v/>
      </c>
      <c r="D758" s="54">
        <f>IF(_calc!$E$760="","",IF(_calc!$E$760&lt;=500,IF(ISNUMBER(INDEX('Dealer pipeline'!$H$4:$H$503,_calc!$E$760)),TEXT(INDEX('Dealer pipeline'!$H$4:$H$503,_calc!$E$760),"yyyy-mm-dd"),""),IF(ISNUMBER(INDEX('My equipment'!$H$4:$H$503,(_calc!$E$760-500))),TEXT(INDEX('My equipment'!$H$4:$H$503,(_calc!$E$760-500)),"yyyy-mm-dd"),"")))</f>
        <v/>
      </c>
      <c r="F758" s="54">
        <f>IF(_calc!$E$760="","",IF(_calc!$E$760&lt;=500,TRIM(IF(LEN(IF(LEN(INDEX('Dealer pipeline'!$A$4:$A$503,_calc!$E$760))=0,"",INDEX('Dealer pipeline'!$A$4:$A$503,_calc!$E$760)))=0,"","Customer: "&amp;IF(LEN(INDEX('Dealer pipeline'!$A$4:$A$503,_calc!$E$760))=0,"",INDEX('Dealer pipeline'!$A$4:$A$503,_calc!$E$760))&amp;". ")&amp;IF(LEN(IF(LEN(INDEX('Dealer pipeline'!$B$4:$B$503,_calc!$E$760))=0,"",INDEX('Dealer pipeline'!$B$4:$B$503,_calc!$E$760)))=0,"","Contact: "&amp;IF(LEN(INDEX('Dealer pipeline'!$B$4:$B$503,_calc!$E$760))=0,"",INDEX('Dealer pipeline'!$B$4:$B$503,_calc!$E$760))&amp;". ")&amp;IF(LEN(IF(LEN(INDEX('Dealer pipeline'!$D$4:$D$503,_calc!$E$760))=0,"",INDEX('Dealer pipeline'!$D$4:$D$503,_calc!$E$760)))=0,"","Serial: "&amp;IF(LEN(INDEX('Dealer pipeline'!$D$4:$D$503,_calc!$E$760))=0,"",INDEX('Dealer pipeline'!$D$4:$D$503,_calc!$E$760))&amp;". ")&amp;IF(LEN(IF(ISNUMBER(INDEX('Dealer pipeline'!$J$4:$J$503,_calc!$E$760)),TEXT(INDEX('Dealer pipeline'!$J$4:$J$503,_calc!$E$760),"yyyy-mm-dd"),""))=0,"","Parts end: "&amp;IF(ISNUMBER(INDEX('Dealer pipeline'!$J$4:$J$503,_calc!$E$760)),TEXT(INDEX('Dealer pipeline'!$J$4:$J$503,_calc!$E$760),"yyyy-mm-dd"),"")&amp;". ")&amp;IF(LEN(IF(ISNUMBER(INDEX('Dealer pipeline'!$L$4:$L$503,_calc!$E$760)),TEXT(INDEX('Dealer pipeline'!$L$4:$L$503,_calc!$E$760),"yyyy-mm-dd"),""))=0,"","Labor end: "&amp;IF(ISNUMBER(INDEX('Dealer pipeline'!$L$4:$L$503,_calc!$E$760)),TEXT(INDEX('Dealer pipeline'!$L$4:$L$503,_calc!$E$760),"yyyy-mm-dd"),"")&amp;". ")&amp;IF(LEN(IF(LEN(INDEX('Dealer pipeline'!$Q$4:$Q$503,_calc!$E$760))=0,"",INDEX('Dealer pipeline'!$Q$4:$Q$503,_calc!$E$760)))=0,"","Status: "&amp;IF(LEN(INDEX('Dealer pipeline'!$Q$4:$Q$503,_calc!$E$760))=0,"",INDEX('Dealer pipeline'!$Q$4:$Q$503,_calc!$E$760))&amp;". ")&amp;IF(LEN(IF(LEN(INDEX('Dealer pipeline'!$P$4:$P$503,_calc!$E$760))=0,"",INDEX('Dealer pipeline'!$P$4:$P$503,_calc!$E$760)))=0,"","Last touch: "&amp;IF(LEN(INDEX('Dealer pipeline'!$P$4:$P$503,_calc!$E$760))=0,"",INDEX('Dealer pipeline'!$P$4:$P$503,_calc!$E$760))&amp;". ")&amp;IF(LEN(IF(LEN(INDEX('Dealer pipeline'!$R$4:$R$503,_calc!$E$760))=0,"",INDEX('Dealer pipeline'!$R$4:$R$503,_calc!$E$760)))=0,"","Owner: "&amp;IF(LEN(INDEX('Dealer pipeline'!$R$4:$R$503,_calc!$E$760))=0,"",INDEX('Dealer pipeline'!$R$4:$R$503,_calc!$E$760))&amp;". ")&amp;IF(LEN(IF(LEN(INDEX('Dealer pipeline'!$S$4:$S$503,_calc!$E$760))=0,"",INDEX('Dealer pipeline'!$S$4:$S$503,_calc!$E$760)))=0,"","Backup: "&amp;IF(LEN(INDEX('Dealer pipeline'!$S$4:$S$503,_calc!$E$760))=0,"",INDEX('Dealer pipeline'!$S$4:$S$503,_calc!$E$760))&amp;". ")&amp;IF(LEN(IF(LEN(INDEX('Dealer pipeline'!$T$4:$T$503,_calc!$E$760))=0,"",INDEX('Dealer pipeline'!$T$4:$T$503,_calc!$E$760)))=0,"",IF(LEN(INDEX('Dealer pipeline'!$T$4:$T$503,_calc!$E$760))=0,"",INDEX('Dealer pipeline'!$T$4:$T$503,_calc!$E$760)))),TRIM(IF(LEN(IF(LEN(INDEX('My equipment'!$C$4:$C$503,(_calc!$E$760-500)))=0,"",INDEX('My equipment'!$C$4:$C$503,(_calc!$E$760-500))))=0,"","Model: "&amp;IF(LEN(INDEX('My equipment'!$C$4:$C$503,(_calc!$E$760-500)))=0,"",INDEX('My equipment'!$C$4:$C$503,(_calc!$E$760-500)))&amp;". ")&amp;IF(LEN(IF(LEN(INDEX('My equipment'!$D$4:$D$503,(_calc!$E$760-500)))=0,"",INDEX('My equipment'!$D$4:$D$503,(_calc!$E$760-500))))=0,"","Serial: "&amp;IF(LEN(INDEX('My equipment'!$D$4:$D$503,(_calc!$E$760-500)))=0,"",INDEX('My equipment'!$D$4:$D$503,(_calc!$E$760-500)))&amp;". ")&amp;IF(LEN(IF(ISNUMBER(INDEX('My equipment'!$J$4:$J$503,(_calc!$E$760-500))),TEXT(INDEX('My equipment'!$J$4:$J$503,(_calc!$E$760-500)),"yyyy-mm-dd"),""))=0,"","Parts end: "&amp;IF(ISNUMBER(INDEX('My equipment'!$J$4:$J$503,(_calc!$E$760-500))),TEXT(INDEX('My equipment'!$J$4:$J$503,(_calc!$E$760-500)),"yyyy-mm-dd"),"")&amp;". ")&amp;IF(LEN(IF(ISNUMBER(INDEX('My equipment'!$L$4:$L$503,(_calc!$E$760-500))),TEXT(INDEX('My equipment'!$L$4:$L$503,(_calc!$E$760-500)),"yyyy-mm-dd"),""))=0,"","Labor end: "&amp;IF(ISNUMBER(INDEX('My equipment'!$L$4:$L$503,(_calc!$E$760-500))),TEXT(INDEX('My equipment'!$L$4:$L$503,(_calc!$E$760-500)),"yyyy-mm-dd"),"")&amp;". ")&amp;IF(LEN(IF(ISNUMBER(INDEX('My equipment'!$P$4:$P$503,(_calc!$E$760-500))),TEXT(INDEX('My equipment'!$P$4:$P$503,(_calc!$E$760-500)),"yyyy-mm-dd"),""))=0,"","Check by: "&amp;IF(ISNUMBER(INDEX('My equipment'!$P$4:$P$503,(_calc!$E$760-500))),TEXT(INDEX('My equipment'!$P$4:$P$503,(_calc!$E$760-500)),"yyyy-mm-dd"),"")&amp;". ")&amp;IF(LEN(IF(LEN(INDEX('My equipment'!$Q$4:$Q$503,(_calc!$E$760-500)))=0,"",INDEX('My equipment'!$Q$4:$Q$503,(_calc!$E$760-500))))=0,"","Claim status: "&amp;IF(LEN(INDEX('My equipment'!$Q$4:$Q$503,(_calc!$E$760-500)))=0,"",INDEX('My equipment'!$Q$4:$Q$503,(_calc!$E$760-500)))&amp;". ")&amp;IF(LEN(IF(LEN(INDEX('My equipment'!$R$4:$R$503,(_calc!$E$760-500)))=0,"",INDEX('My equipment'!$R$4:$R$503,(_calc!$E$760-500))))=0,"","Claims contact: "&amp;IF(LEN(INDEX('My equipment'!$R$4:$R$503,(_calc!$E$760-500)))=0,"",INDEX('My equipment'!$R$4:$R$503,(_calc!$E$760-500)))&amp;". ")&amp;IF(LEN(IF(LEN(INDEX('My equipment'!$S$4:$S$503,(_calc!$E$760-500)))=0,"",INDEX('My equipment'!$S$4:$S$503,(_calc!$E$760-500))))=0,"","Claims email: "&amp;IF(LEN(INDEX('My equipment'!$S$4:$S$503,(_calc!$E$760-500)))=0,"",INDEX('My equipment'!$S$4:$S$503,(_calc!$E$760-500)))&amp;". ")&amp;IF(LEN(IF(LEN(INDEX('My equipment'!$U$4:$U$503,(_calc!$E$760-500)))=0,"",INDEX('My equipment'!$U$4:$U$503,(_calc!$E$760-500))))=0,"","Registered: "&amp;IF(LEN(INDEX('My equipment'!$U$4:$U$503,(_calc!$E$760-500)))=0,"",INDEX('My equipment'!$U$4:$U$503,(_calc!$E$760-500)))&amp;". ")&amp;IF(LEN(IF(LEN(INDEX('My equipment'!$V$4:$V$503,(_calc!$E$760-500)))=0,"",INDEX('My equipment'!$V$4:$V$503,(_calc!$E$760-500))))=0,"","Proof on file: "&amp;IF(LEN(INDEX('My equipment'!$V$4:$V$503,(_calc!$E$760-500)))=0,"",INDEX('My equipment'!$V$4:$V$503,(_calc!$E$760-500)))&amp;". ")&amp;IF(LEN(IF(LEN(INDEX('My equipment'!$W$4:$W$503,(_calc!$E$760-500)))=0,"",INDEX('My equipment'!$W$4:$W$503,(_calc!$E$760-500))))=0,"","Claim ref: "&amp;IF(LEN(INDEX('My equipment'!$W$4:$W$503,(_calc!$E$760-500)))=0,"",INDEX('My equipment'!$W$4:$W$503,(_calc!$E$760-500)))&amp;". ")&amp;IF(LEN(IF(LEN(INDEX('My equipment'!$Y$4:$Y$503,(_calc!$E$760-500)))=0,"",INDEX('My equipment'!$Y$4:$Y$503,(_calc!$E$760-500))))=0,"",IF(LEN(INDEX('My equipment'!$Y$4:$Y$503,(_calc!$E$760-500)))=0,"",INDEX('My equipment'!$Y$4:$Y$503,(_calc!$E$760-500)))))))</f>
        <v/>
      </c>
      <c r="G758" s="54">
        <f>IF(_calc!$E$760="","",IF(_calc!$E$760&lt;=500,"",IF(LEN(INDEX('My equipment'!$X$4:$X$503,(_calc!$E$760-500)))=0,"",INDEX('My equipment'!$X$4:$X$503,(_calc!$E$760-500)))))</f>
        <v/>
      </c>
      <c r="K758" s="54">
        <f>IF(_calc!$E$760="","",IF(_calc!$E$760&lt;=500,"",IF(LEN(INDEX('My equipment'!$T$4:$T$503,(_calc!$E$760-500)))=0,"",INDEX('My equipment'!$T$4:$T$503,(_calc!$E$760-500)))))</f>
        <v/>
      </c>
    </row>
    <row r="759">
      <c r="A759" s="54">
        <f>IF(_calc!$E$761="","",IF(_calc!$E$761&lt;=500,"Warranty – "&amp;IF(LEN(INDEX('Dealer pipeline'!$C$4:$C$503,_calc!$E$761))=0,"",INDEX('Dealer pipeline'!$C$4:$C$503,_calc!$E$761))&amp;" – "&amp;IF(LEN(INDEX('Dealer pipeline'!$D$4:$D$503,_calc!$E$761))=0,"",INDEX('Dealer pipeline'!$D$4:$D$503,_calc!$E$761))&amp;" – "&amp;IF(LEN(INDEX('Dealer pipeline'!$A$4:$A$503,_calc!$E$761))=0,"",INDEX('Dealer pipeline'!$A$4:$A$503,_calc!$E$761)),"Warranty – "&amp;IF(LEN(INDEX('My equipment'!$A$4:$A$503,(_calc!$E$761-500)))=0,"",INDEX('My equipment'!$A$4:$A$503,(_calc!$E$761-500)))&amp;" – "&amp;IF(LEN(INDEX('My equipment'!$D$4:$D$503,(_calc!$E$761-500)))=0,"",INDEX('My equipment'!$D$4:$D$503,(_calc!$E$761-500)))))</f>
        <v/>
      </c>
      <c r="B759" s="54">
        <f>IF(_calc!$E$761="","",IF(_calc!$E$761&lt;=500,IF(ISNUMBER(INDEX('Dealer pipeline'!$M$4:$M$503,_calc!$E$761)),TEXT(INDEX('Dealer pipeline'!$M$4:$M$503,_calc!$E$761),"yyyy-mm-dd"),""),IF(ISNUMBER(INDEX('My equipment'!$M$4:$M$503,(_calc!$E$761-500))),TEXT(INDEX('My equipment'!$M$4:$M$503,(_calc!$E$761-500)),"yyyy-mm-dd"),"")))</f>
        <v/>
      </c>
      <c r="C759" s="54">
        <f>IF(_calc!$E$761="","",IF(_calc!$E$761&lt;=500,"Warranty","Warranty"))</f>
        <v/>
      </c>
      <c r="D759" s="54">
        <f>IF(_calc!$E$761="","",IF(_calc!$E$761&lt;=500,IF(ISNUMBER(INDEX('Dealer pipeline'!$H$4:$H$503,_calc!$E$761)),TEXT(INDEX('Dealer pipeline'!$H$4:$H$503,_calc!$E$761),"yyyy-mm-dd"),""),IF(ISNUMBER(INDEX('My equipment'!$H$4:$H$503,(_calc!$E$761-500))),TEXT(INDEX('My equipment'!$H$4:$H$503,(_calc!$E$761-500)),"yyyy-mm-dd"),"")))</f>
        <v/>
      </c>
      <c r="F759" s="54">
        <f>IF(_calc!$E$761="","",IF(_calc!$E$761&lt;=500,TRIM(IF(LEN(IF(LEN(INDEX('Dealer pipeline'!$A$4:$A$503,_calc!$E$761))=0,"",INDEX('Dealer pipeline'!$A$4:$A$503,_calc!$E$761)))=0,"","Customer: "&amp;IF(LEN(INDEX('Dealer pipeline'!$A$4:$A$503,_calc!$E$761))=0,"",INDEX('Dealer pipeline'!$A$4:$A$503,_calc!$E$761))&amp;". ")&amp;IF(LEN(IF(LEN(INDEX('Dealer pipeline'!$B$4:$B$503,_calc!$E$761))=0,"",INDEX('Dealer pipeline'!$B$4:$B$503,_calc!$E$761)))=0,"","Contact: "&amp;IF(LEN(INDEX('Dealer pipeline'!$B$4:$B$503,_calc!$E$761))=0,"",INDEX('Dealer pipeline'!$B$4:$B$503,_calc!$E$761))&amp;". ")&amp;IF(LEN(IF(LEN(INDEX('Dealer pipeline'!$D$4:$D$503,_calc!$E$761))=0,"",INDEX('Dealer pipeline'!$D$4:$D$503,_calc!$E$761)))=0,"","Serial: "&amp;IF(LEN(INDEX('Dealer pipeline'!$D$4:$D$503,_calc!$E$761))=0,"",INDEX('Dealer pipeline'!$D$4:$D$503,_calc!$E$761))&amp;". ")&amp;IF(LEN(IF(ISNUMBER(INDEX('Dealer pipeline'!$J$4:$J$503,_calc!$E$761)),TEXT(INDEX('Dealer pipeline'!$J$4:$J$503,_calc!$E$761),"yyyy-mm-dd"),""))=0,"","Parts end: "&amp;IF(ISNUMBER(INDEX('Dealer pipeline'!$J$4:$J$503,_calc!$E$761)),TEXT(INDEX('Dealer pipeline'!$J$4:$J$503,_calc!$E$761),"yyyy-mm-dd"),"")&amp;". ")&amp;IF(LEN(IF(ISNUMBER(INDEX('Dealer pipeline'!$L$4:$L$503,_calc!$E$761)),TEXT(INDEX('Dealer pipeline'!$L$4:$L$503,_calc!$E$761),"yyyy-mm-dd"),""))=0,"","Labor end: "&amp;IF(ISNUMBER(INDEX('Dealer pipeline'!$L$4:$L$503,_calc!$E$761)),TEXT(INDEX('Dealer pipeline'!$L$4:$L$503,_calc!$E$761),"yyyy-mm-dd"),"")&amp;". ")&amp;IF(LEN(IF(LEN(INDEX('Dealer pipeline'!$Q$4:$Q$503,_calc!$E$761))=0,"",INDEX('Dealer pipeline'!$Q$4:$Q$503,_calc!$E$761)))=0,"","Status: "&amp;IF(LEN(INDEX('Dealer pipeline'!$Q$4:$Q$503,_calc!$E$761))=0,"",INDEX('Dealer pipeline'!$Q$4:$Q$503,_calc!$E$761))&amp;". ")&amp;IF(LEN(IF(LEN(INDEX('Dealer pipeline'!$P$4:$P$503,_calc!$E$761))=0,"",INDEX('Dealer pipeline'!$P$4:$P$503,_calc!$E$761)))=0,"","Last touch: "&amp;IF(LEN(INDEX('Dealer pipeline'!$P$4:$P$503,_calc!$E$761))=0,"",INDEX('Dealer pipeline'!$P$4:$P$503,_calc!$E$761))&amp;". ")&amp;IF(LEN(IF(LEN(INDEX('Dealer pipeline'!$R$4:$R$503,_calc!$E$761))=0,"",INDEX('Dealer pipeline'!$R$4:$R$503,_calc!$E$761)))=0,"","Owner: "&amp;IF(LEN(INDEX('Dealer pipeline'!$R$4:$R$503,_calc!$E$761))=0,"",INDEX('Dealer pipeline'!$R$4:$R$503,_calc!$E$761))&amp;". ")&amp;IF(LEN(IF(LEN(INDEX('Dealer pipeline'!$S$4:$S$503,_calc!$E$761))=0,"",INDEX('Dealer pipeline'!$S$4:$S$503,_calc!$E$761)))=0,"","Backup: "&amp;IF(LEN(INDEX('Dealer pipeline'!$S$4:$S$503,_calc!$E$761))=0,"",INDEX('Dealer pipeline'!$S$4:$S$503,_calc!$E$761))&amp;". ")&amp;IF(LEN(IF(LEN(INDEX('Dealer pipeline'!$T$4:$T$503,_calc!$E$761))=0,"",INDEX('Dealer pipeline'!$T$4:$T$503,_calc!$E$761)))=0,"",IF(LEN(INDEX('Dealer pipeline'!$T$4:$T$503,_calc!$E$761))=0,"",INDEX('Dealer pipeline'!$T$4:$T$503,_calc!$E$761)))),TRIM(IF(LEN(IF(LEN(INDEX('My equipment'!$C$4:$C$503,(_calc!$E$761-500)))=0,"",INDEX('My equipment'!$C$4:$C$503,(_calc!$E$761-500))))=0,"","Model: "&amp;IF(LEN(INDEX('My equipment'!$C$4:$C$503,(_calc!$E$761-500)))=0,"",INDEX('My equipment'!$C$4:$C$503,(_calc!$E$761-500)))&amp;". ")&amp;IF(LEN(IF(LEN(INDEX('My equipment'!$D$4:$D$503,(_calc!$E$761-500)))=0,"",INDEX('My equipment'!$D$4:$D$503,(_calc!$E$761-500))))=0,"","Serial: "&amp;IF(LEN(INDEX('My equipment'!$D$4:$D$503,(_calc!$E$761-500)))=0,"",INDEX('My equipment'!$D$4:$D$503,(_calc!$E$761-500)))&amp;". ")&amp;IF(LEN(IF(ISNUMBER(INDEX('My equipment'!$J$4:$J$503,(_calc!$E$761-500))),TEXT(INDEX('My equipment'!$J$4:$J$503,(_calc!$E$761-500)),"yyyy-mm-dd"),""))=0,"","Parts end: "&amp;IF(ISNUMBER(INDEX('My equipment'!$J$4:$J$503,(_calc!$E$761-500))),TEXT(INDEX('My equipment'!$J$4:$J$503,(_calc!$E$761-500)),"yyyy-mm-dd"),"")&amp;". ")&amp;IF(LEN(IF(ISNUMBER(INDEX('My equipment'!$L$4:$L$503,(_calc!$E$761-500))),TEXT(INDEX('My equipment'!$L$4:$L$503,(_calc!$E$761-500)),"yyyy-mm-dd"),""))=0,"","Labor end: "&amp;IF(ISNUMBER(INDEX('My equipment'!$L$4:$L$503,(_calc!$E$761-500))),TEXT(INDEX('My equipment'!$L$4:$L$503,(_calc!$E$761-500)),"yyyy-mm-dd"),"")&amp;". ")&amp;IF(LEN(IF(ISNUMBER(INDEX('My equipment'!$P$4:$P$503,(_calc!$E$761-500))),TEXT(INDEX('My equipment'!$P$4:$P$503,(_calc!$E$761-500)),"yyyy-mm-dd"),""))=0,"","Check by: "&amp;IF(ISNUMBER(INDEX('My equipment'!$P$4:$P$503,(_calc!$E$761-500))),TEXT(INDEX('My equipment'!$P$4:$P$503,(_calc!$E$761-500)),"yyyy-mm-dd"),"")&amp;". ")&amp;IF(LEN(IF(LEN(INDEX('My equipment'!$Q$4:$Q$503,(_calc!$E$761-500)))=0,"",INDEX('My equipment'!$Q$4:$Q$503,(_calc!$E$761-500))))=0,"","Claim status: "&amp;IF(LEN(INDEX('My equipment'!$Q$4:$Q$503,(_calc!$E$761-500)))=0,"",INDEX('My equipment'!$Q$4:$Q$503,(_calc!$E$761-500)))&amp;". ")&amp;IF(LEN(IF(LEN(INDEX('My equipment'!$R$4:$R$503,(_calc!$E$761-500)))=0,"",INDEX('My equipment'!$R$4:$R$503,(_calc!$E$761-500))))=0,"","Claims contact: "&amp;IF(LEN(INDEX('My equipment'!$R$4:$R$503,(_calc!$E$761-500)))=0,"",INDEX('My equipment'!$R$4:$R$503,(_calc!$E$761-500)))&amp;". ")&amp;IF(LEN(IF(LEN(INDEX('My equipment'!$S$4:$S$503,(_calc!$E$761-500)))=0,"",INDEX('My equipment'!$S$4:$S$503,(_calc!$E$761-500))))=0,"","Claims email: "&amp;IF(LEN(INDEX('My equipment'!$S$4:$S$503,(_calc!$E$761-500)))=0,"",INDEX('My equipment'!$S$4:$S$503,(_calc!$E$761-500)))&amp;". ")&amp;IF(LEN(IF(LEN(INDEX('My equipment'!$U$4:$U$503,(_calc!$E$761-500)))=0,"",INDEX('My equipment'!$U$4:$U$503,(_calc!$E$761-500))))=0,"","Registered: "&amp;IF(LEN(INDEX('My equipment'!$U$4:$U$503,(_calc!$E$761-500)))=0,"",INDEX('My equipment'!$U$4:$U$503,(_calc!$E$761-500)))&amp;". ")&amp;IF(LEN(IF(LEN(INDEX('My equipment'!$V$4:$V$503,(_calc!$E$761-500)))=0,"",INDEX('My equipment'!$V$4:$V$503,(_calc!$E$761-500))))=0,"","Proof on file: "&amp;IF(LEN(INDEX('My equipment'!$V$4:$V$503,(_calc!$E$761-500)))=0,"",INDEX('My equipment'!$V$4:$V$503,(_calc!$E$761-500)))&amp;". ")&amp;IF(LEN(IF(LEN(INDEX('My equipment'!$W$4:$W$503,(_calc!$E$761-500)))=0,"",INDEX('My equipment'!$W$4:$W$503,(_calc!$E$761-500))))=0,"","Claim ref: "&amp;IF(LEN(INDEX('My equipment'!$W$4:$W$503,(_calc!$E$761-500)))=0,"",INDEX('My equipment'!$W$4:$W$503,(_calc!$E$761-500)))&amp;". ")&amp;IF(LEN(IF(LEN(INDEX('My equipment'!$Y$4:$Y$503,(_calc!$E$761-500)))=0,"",INDEX('My equipment'!$Y$4:$Y$503,(_calc!$E$761-500))))=0,"",IF(LEN(INDEX('My equipment'!$Y$4:$Y$503,(_calc!$E$761-500)))=0,"",INDEX('My equipment'!$Y$4:$Y$503,(_calc!$E$761-500)))))))</f>
        <v/>
      </c>
      <c r="G759" s="54">
        <f>IF(_calc!$E$761="","",IF(_calc!$E$761&lt;=500,"",IF(LEN(INDEX('My equipment'!$X$4:$X$503,(_calc!$E$761-500)))=0,"",INDEX('My equipment'!$X$4:$X$503,(_calc!$E$761-500)))))</f>
        <v/>
      </c>
      <c r="K759" s="54">
        <f>IF(_calc!$E$761="","",IF(_calc!$E$761&lt;=500,"",IF(LEN(INDEX('My equipment'!$T$4:$T$503,(_calc!$E$761-500)))=0,"",INDEX('My equipment'!$T$4:$T$503,(_calc!$E$761-500)))))</f>
        <v/>
      </c>
    </row>
    <row r="760">
      <c r="A760" s="54">
        <f>IF(_calc!$E$762="","",IF(_calc!$E$762&lt;=500,"Warranty – "&amp;IF(LEN(INDEX('Dealer pipeline'!$C$4:$C$503,_calc!$E$762))=0,"",INDEX('Dealer pipeline'!$C$4:$C$503,_calc!$E$762))&amp;" – "&amp;IF(LEN(INDEX('Dealer pipeline'!$D$4:$D$503,_calc!$E$762))=0,"",INDEX('Dealer pipeline'!$D$4:$D$503,_calc!$E$762))&amp;" – "&amp;IF(LEN(INDEX('Dealer pipeline'!$A$4:$A$503,_calc!$E$762))=0,"",INDEX('Dealer pipeline'!$A$4:$A$503,_calc!$E$762)),"Warranty – "&amp;IF(LEN(INDEX('My equipment'!$A$4:$A$503,(_calc!$E$762-500)))=0,"",INDEX('My equipment'!$A$4:$A$503,(_calc!$E$762-500)))&amp;" – "&amp;IF(LEN(INDEX('My equipment'!$D$4:$D$503,(_calc!$E$762-500)))=0,"",INDEX('My equipment'!$D$4:$D$503,(_calc!$E$762-500)))))</f>
        <v/>
      </c>
      <c r="B760" s="54">
        <f>IF(_calc!$E$762="","",IF(_calc!$E$762&lt;=500,IF(ISNUMBER(INDEX('Dealer pipeline'!$M$4:$M$503,_calc!$E$762)),TEXT(INDEX('Dealer pipeline'!$M$4:$M$503,_calc!$E$762),"yyyy-mm-dd"),""),IF(ISNUMBER(INDEX('My equipment'!$M$4:$M$503,(_calc!$E$762-500))),TEXT(INDEX('My equipment'!$M$4:$M$503,(_calc!$E$762-500)),"yyyy-mm-dd"),"")))</f>
        <v/>
      </c>
      <c r="C760" s="54">
        <f>IF(_calc!$E$762="","",IF(_calc!$E$762&lt;=500,"Warranty","Warranty"))</f>
        <v/>
      </c>
      <c r="D760" s="54">
        <f>IF(_calc!$E$762="","",IF(_calc!$E$762&lt;=500,IF(ISNUMBER(INDEX('Dealer pipeline'!$H$4:$H$503,_calc!$E$762)),TEXT(INDEX('Dealer pipeline'!$H$4:$H$503,_calc!$E$762),"yyyy-mm-dd"),""),IF(ISNUMBER(INDEX('My equipment'!$H$4:$H$503,(_calc!$E$762-500))),TEXT(INDEX('My equipment'!$H$4:$H$503,(_calc!$E$762-500)),"yyyy-mm-dd"),"")))</f>
        <v/>
      </c>
      <c r="F760" s="54">
        <f>IF(_calc!$E$762="","",IF(_calc!$E$762&lt;=500,TRIM(IF(LEN(IF(LEN(INDEX('Dealer pipeline'!$A$4:$A$503,_calc!$E$762))=0,"",INDEX('Dealer pipeline'!$A$4:$A$503,_calc!$E$762)))=0,"","Customer: "&amp;IF(LEN(INDEX('Dealer pipeline'!$A$4:$A$503,_calc!$E$762))=0,"",INDEX('Dealer pipeline'!$A$4:$A$503,_calc!$E$762))&amp;". ")&amp;IF(LEN(IF(LEN(INDEX('Dealer pipeline'!$B$4:$B$503,_calc!$E$762))=0,"",INDEX('Dealer pipeline'!$B$4:$B$503,_calc!$E$762)))=0,"","Contact: "&amp;IF(LEN(INDEX('Dealer pipeline'!$B$4:$B$503,_calc!$E$762))=0,"",INDEX('Dealer pipeline'!$B$4:$B$503,_calc!$E$762))&amp;". ")&amp;IF(LEN(IF(LEN(INDEX('Dealer pipeline'!$D$4:$D$503,_calc!$E$762))=0,"",INDEX('Dealer pipeline'!$D$4:$D$503,_calc!$E$762)))=0,"","Serial: "&amp;IF(LEN(INDEX('Dealer pipeline'!$D$4:$D$503,_calc!$E$762))=0,"",INDEX('Dealer pipeline'!$D$4:$D$503,_calc!$E$762))&amp;". ")&amp;IF(LEN(IF(ISNUMBER(INDEX('Dealer pipeline'!$J$4:$J$503,_calc!$E$762)),TEXT(INDEX('Dealer pipeline'!$J$4:$J$503,_calc!$E$762),"yyyy-mm-dd"),""))=0,"","Parts end: "&amp;IF(ISNUMBER(INDEX('Dealer pipeline'!$J$4:$J$503,_calc!$E$762)),TEXT(INDEX('Dealer pipeline'!$J$4:$J$503,_calc!$E$762),"yyyy-mm-dd"),"")&amp;". ")&amp;IF(LEN(IF(ISNUMBER(INDEX('Dealer pipeline'!$L$4:$L$503,_calc!$E$762)),TEXT(INDEX('Dealer pipeline'!$L$4:$L$503,_calc!$E$762),"yyyy-mm-dd"),""))=0,"","Labor end: "&amp;IF(ISNUMBER(INDEX('Dealer pipeline'!$L$4:$L$503,_calc!$E$762)),TEXT(INDEX('Dealer pipeline'!$L$4:$L$503,_calc!$E$762),"yyyy-mm-dd"),"")&amp;". ")&amp;IF(LEN(IF(LEN(INDEX('Dealer pipeline'!$Q$4:$Q$503,_calc!$E$762))=0,"",INDEX('Dealer pipeline'!$Q$4:$Q$503,_calc!$E$762)))=0,"","Status: "&amp;IF(LEN(INDEX('Dealer pipeline'!$Q$4:$Q$503,_calc!$E$762))=0,"",INDEX('Dealer pipeline'!$Q$4:$Q$503,_calc!$E$762))&amp;". ")&amp;IF(LEN(IF(LEN(INDEX('Dealer pipeline'!$P$4:$P$503,_calc!$E$762))=0,"",INDEX('Dealer pipeline'!$P$4:$P$503,_calc!$E$762)))=0,"","Last touch: "&amp;IF(LEN(INDEX('Dealer pipeline'!$P$4:$P$503,_calc!$E$762))=0,"",INDEX('Dealer pipeline'!$P$4:$P$503,_calc!$E$762))&amp;". ")&amp;IF(LEN(IF(LEN(INDEX('Dealer pipeline'!$R$4:$R$503,_calc!$E$762))=0,"",INDEX('Dealer pipeline'!$R$4:$R$503,_calc!$E$762)))=0,"","Owner: "&amp;IF(LEN(INDEX('Dealer pipeline'!$R$4:$R$503,_calc!$E$762))=0,"",INDEX('Dealer pipeline'!$R$4:$R$503,_calc!$E$762))&amp;". ")&amp;IF(LEN(IF(LEN(INDEX('Dealer pipeline'!$S$4:$S$503,_calc!$E$762))=0,"",INDEX('Dealer pipeline'!$S$4:$S$503,_calc!$E$762)))=0,"","Backup: "&amp;IF(LEN(INDEX('Dealer pipeline'!$S$4:$S$503,_calc!$E$762))=0,"",INDEX('Dealer pipeline'!$S$4:$S$503,_calc!$E$762))&amp;". ")&amp;IF(LEN(IF(LEN(INDEX('Dealer pipeline'!$T$4:$T$503,_calc!$E$762))=0,"",INDEX('Dealer pipeline'!$T$4:$T$503,_calc!$E$762)))=0,"",IF(LEN(INDEX('Dealer pipeline'!$T$4:$T$503,_calc!$E$762))=0,"",INDEX('Dealer pipeline'!$T$4:$T$503,_calc!$E$762)))),TRIM(IF(LEN(IF(LEN(INDEX('My equipment'!$C$4:$C$503,(_calc!$E$762-500)))=0,"",INDEX('My equipment'!$C$4:$C$503,(_calc!$E$762-500))))=0,"","Model: "&amp;IF(LEN(INDEX('My equipment'!$C$4:$C$503,(_calc!$E$762-500)))=0,"",INDEX('My equipment'!$C$4:$C$503,(_calc!$E$762-500)))&amp;". ")&amp;IF(LEN(IF(LEN(INDEX('My equipment'!$D$4:$D$503,(_calc!$E$762-500)))=0,"",INDEX('My equipment'!$D$4:$D$503,(_calc!$E$762-500))))=0,"","Serial: "&amp;IF(LEN(INDEX('My equipment'!$D$4:$D$503,(_calc!$E$762-500)))=0,"",INDEX('My equipment'!$D$4:$D$503,(_calc!$E$762-500)))&amp;". ")&amp;IF(LEN(IF(ISNUMBER(INDEX('My equipment'!$J$4:$J$503,(_calc!$E$762-500))),TEXT(INDEX('My equipment'!$J$4:$J$503,(_calc!$E$762-500)),"yyyy-mm-dd"),""))=0,"","Parts end: "&amp;IF(ISNUMBER(INDEX('My equipment'!$J$4:$J$503,(_calc!$E$762-500))),TEXT(INDEX('My equipment'!$J$4:$J$503,(_calc!$E$762-500)),"yyyy-mm-dd"),"")&amp;". ")&amp;IF(LEN(IF(ISNUMBER(INDEX('My equipment'!$L$4:$L$503,(_calc!$E$762-500))),TEXT(INDEX('My equipment'!$L$4:$L$503,(_calc!$E$762-500)),"yyyy-mm-dd"),""))=0,"","Labor end: "&amp;IF(ISNUMBER(INDEX('My equipment'!$L$4:$L$503,(_calc!$E$762-500))),TEXT(INDEX('My equipment'!$L$4:$L$503,(_calc!$E$762-500)),"yyyy-mm-dd"),"")&amp;". ")&amp;IF(LEN(IF(ISNUMBER(INDEX('My equipment'!$P$4:$P$503,(_calc!$E$762-500))),TEXT(INDEX('My equipment'!$P$4:$P$503,(_calc!$E$762-500)),"yyyy-mm-dd"),""))=0,"","Check by: "&amp;IF(ISNUMBER(INDEX('My equipment'!$P$4:$P$503,(_calc!$E$762-500))),TEXT(INDEX('My equipment'!$P$4:$P$503,(_calc!$E$762-500)),"yyyy-mm-dd"),"")&amp;". ")&amp;IF(LEN(IF(LEN(INDEX('My equipment'!$Q$4:$Q$503,(_calc!$E$762-500)))=0,"",INDEX('My equipment'!$Q$4:$Q$503,(_calc!$E$762-500))))=0,"","Claim status: "&amp;IF(LEN(INDEX('My equipment'!$Q$4:$Q$503,(_calc!$E$762-500)))=0,"",INDEX('My equipment'!$Q$4:$Q$503,(_calc!$E$762-500)))&amp;". ")&amp;IF(LEN(IF(LEN(INDEX('My equipment'!$R$4:$R$503,(_calc!$E$762-500)))=0,"",INDEX('My equipment'!$R$4:$R$503,(_calc!$E$762-500))))=0,"","Claims contact: "&amp;IF(LEN(INDEX('My equipment'!$R$4:$R$503,(_calc!$E$762-500)))=0,"",INDEX('My equipment'!$R$4:$R$503,(_calc!$E$762-500)))&amp;". ")&amp;IF(LEN(IF(LEN(INDEX('My equipment'!$S$4:$S$503,(_calc!$E$762-500)))=0,"",INDEX('My equipment'!$S$4:$S$503,(_calc!$E$762-500))))=0,"","Claims email: "&amp;IF(LEN(INDEX('My equipment'!$S$4:$S$503,(_calc!$E$762-500)))=0,"",INDEX('My equipment'!$S$4:$S$503,(_calc!$E$762-500)))&amp;". ")&amp;IF(LEN(IF(LEN(INDEX('My equipment'!$U$4:$U$503,(_calc!$E$762-500)))=0,"",INDEX('My equipment'!$U$4:$U$503,(_calc!$E$762-500))))=0,"","Registered: "&amp;IF(LEN(INDEX('My equipment'!$U$4:$U$503,(_calc!$E$762-500)))=0,"",INDEX('My equipment'!$U$4:$U$503,(_calc!$E$762-500)))&amp;". ")&amp;IF(LEN(IF(LEN(INDEX('My equipment'!$V$4:$V$503,(_calc!$E$762-500)))=0,"",INDEX('My equipment'!$V$4:$V$503,(_calc!$E$762-500))))=0,"","Proof on file: "&amp;IF(LEN(INDEX('My equipment'!$V$4:$V$503,(_calc!$E$762-500)))=0,"",INDEX('My equipment'!$V$4:$V$503,(_calc!$E$762-500)))&amp;". ")&amp;IF(LEN(IF(LEN(INDEX('My equipment'!$W$4:$W$503,(_calc!$E$762-500)))=0,"",INDEX('My equipment'!$W$4:$W$503,(_calc!$E$762-500))))=0,"","Claim ref: "&amp;IF(LEN(INDEX('My equipment'!$W$4:$W$503,(_calc!$E$762-500)))=0,"",INDEX('My equipment'!$W$4:$W$503,(_calc!$E$762-500)))&amp;". ")&amp;IF(LEN(IF(LEN(INDEX('My equipment'!$Y$4:$Y$503,(_calc!$E$762-500)))=0,"",INDEX('My equipment'!$Y$4:$Y$503,(_calc!$E$762-500))))=0,"",IF(LEN(INDEX('My equipment'!$Y$4:$Y$503,(_calc!$E$762-500)))=0,"",INDEX('My equipment'!$Y$4:$Y$503,(_calc!$E$762-500)))))))</f>
        <v/>
      </c>
      <c r="G760" s="54">
        <f>IF(_calc!$E$762="","",IF(_calc!$E$762&lt;=500,"",IF(LEN(INDEX('My equipment'!$X$4:$X$503,(_calc!$E$762-500)))=0,"",INDEX('My equipment'!$X$4:$X$503,(_calc!$E$762-500)))))</f>
        <v/>
      </c>
      <c r="K760" s="54">
        <f>IF(_calc!$E$762="","",IF(_calc!$E$762&lt;=500,"",IF(LEN(INDEX('My equipment'!$T$4:$T$503,(_calc!$E$762-500)))=0,"",INDEX('My equipment'!$T$4:$T$503,(_calc!$E$762-500)))))</f>
        <v/>
      </c>
    </row>
    <row r="761">
      <c r="A761" s="54">
        <f>IF(_calc!$E$763="","",IF(_calc!$E$763&lt;=500,"Warranty – "&amp;IF(LEN(INDEX('Dealer pipeline'!$C$4:$C$503,_calc!$E$763))=0,"",INDEX('Dealer pipeline'!$C$4:$C$503,_calc!$E$763))&amp;" – "&amp;IF(LEN(INDEX('Dealer pipeline'!$D$4:$D$503,_calc!$E$763))=0,"",INDEX('Dealer pipeline'!$D$4:$D$503,_calc!$E$763))&amp;" – "&amp;IF(LEN(INDEX('Dealer pipeline'!$A$4:$A$503,_calc!$E$763))=0,"",INDEX('Dealer pipeline'!$A$4:$A$503,_calc!$E$763)),"Warranty – "&amp;IF(LEN(INDEX('My equipment'!$A$4:$A$503,(_calc!$E$763-500)))=0,"",INDEX('My equipment'!$A$4:$A$503,(_calc!$E$763-500)))&amp;" – "&amp;IF(LEN(INDEX('My equipment'!$D$4:$D$503,(_calc!$E$763-500)))=0,"",INDEX('My equipment'!$D$4:$D$503,(_calc!$E$763-500)))))</f>
        <v/>
      </c>
      <c r="B761" s="54">
        <f>IF(_calc!$E$763="","",IF(_calc!$E$763&lt;=500,IF(ISNUMBER(INDEX('Dealer pipeline'!$M$4:$M$503,_calc!$E$763)),TEXT(INDEX('Dealer pipeline'!$M$4:$M$503,_calc!$E$763),"yyyy-mm-dd"),""),IF(ISNUMBER(INDEX('My equipment'!$M$4:$M$503,(_calc!$E$763-500))),TEXT(INDEX('My equipment'!$M$4:$M$503,(_calc!$E$763-500)),"yyyy-mm-dd"),"")))</f>
        <v/>
      </c>
      <c r="C761" s="54">
        <f>IF(_calc!$E$763="","",IF(_calc!$E$763&lt;=500,"Warranty","Warranty"))</f>
        <v/>
      </c>
      <c r="D761" s="54">
        <f>IF(_calc!$E$763="","",IF(_calc!$E$763&lt;=500,IF(ISNUMBER(INDEX('Dealer pipeline'!$H$4:$H$503,_calc!$E$763)),TEXT(INDEX('Dealer pipeline'!$H$4:$H$503,_calc!$E$763),"yyyy-mm-dd"),""),IF(ISNUMBER(INDEX('My equipment'!$H$4:$H$503,(_calc!$E$763-500))),TEXT(INDEX('My equipment'!$H$4:$H$503,(_calc!$E$763-500)),"yyyy-mm-dd"),"")))</f>
        <v/>
      </c>
      <c r="F761" s="54">
        <f>IF(_calc!$E$763="","",IF(_calc!$E$763&lt;=500,TRIM(IF(LEN(IF(LEN(INDEX('Dealer pipeline'!$A$4:$A$503,_calc!$E$763))=0,"",INDEX('Dealer pipeline'!$A$4:$A$503,_calc!$E$763)))=0,"","Customer: "&amp;IF(LEN(INDEX('Dealer pipeline'!$A$4:$A$503,_calc!$E$763))=0,"",INDEX('Dealer pipeline'!$A$4:$A$503,_calc!$E$763))&amp;". ")&amp;IF(LEN(IF(LEN(INDEX('Dealer pipeline'!$B$4:$B$503,_calc!$E$763))=0,"",INDEX('Dealer pipeline'!$B$4:$B$503,_calc!$E$763)))=0,"","Contact: "&amp;IF(LEN(INDEX('Dealer pipeline'!$B$4:$B$503,_calc!$E$763))=0,"",INDEX('Dealer pipeline'!$B$4:$B$503,_calc!$E$763))&amp;". ")&amp;IF(LEN(IF(LEN(INDEX('Dealer pipeline'!$D$4:$D$503,_calc!$E$763))=0,"",INDEX('Dealer pipeline'!$D$4:$D$503,_calc!$E$763)))=0,"","Serial: "&amp;IF(LEN(INDEX('Dealer pipeline'!$D$4:$D$503,_calc!$E$763))=0,"",INDEX('Dealer pipeline'!$D$4:$D$503,_calc!$E$763))&amp;". ")&amp;IF(LEN(IF(ISNUMBER(INDEX('Dealer pipeline'!$J$4:$J$503,_calc!$E$763)),TEXT(INDEX('Dealer pipeline'!$J$4:$J$503,_calc!$E$763),"yyyy-mm-dd"),""))=0,"","Parts end: "&amp;IF(ISNUMBER(INDEX('Dealer pipeline'!$J$4:$J$503,_calc!$E$763)),TEXT(INDEX('Dealer pipeline'!$J$4:$J$503,_calc!$E$763),"yyyy-mm-dd"),"")&amp;". ")&amp;IF(LEN(IF(ISNUMBER(INDEX('Dealer pipeline'!$L$4:$L$503,_calc!$E$763)),TEXT(INDEX('Dealer pipeline'!$L$4:$L$503,_calc!$E$763),"yyyy-mm-dd"),""))=0,"","Labor end: "&amp;IF(ISNUMBER(INDEX('Dealer pipeline'!$L$4:$L$503,_calc!$E$763)),TEXT(INDEX('Dealer pipeline'!$L$4:$L$503,_calc!$E$763),"yyyy-mm-dd"),"")&amp;". ")&amp;IF(LEN(IF(LEN(INDEX('Dealer pipeline'!$Q$4:$Q$503,_calc!$E$763))=0,"",INDEX('Dealer pipeline'!$Q$4:$Q$503,_calc!$E$763)))=0,"","Status: "&amp;IF(LEN(INDEX('Dealer pipeline'!$Q$4:$Q$503,_calc!$E$763))=0,"",INDEX('Dealer pipeline'!$Q$4:$Q$503,_calc!$E$763))&amp;". ")&amp;IF(LEN(IF(LEN(INDEX('Dealer pipeline'!$P$4:$P$503,_calc!$E$763))=0,"",INDEX('Dealer pipeline'!$P$4:$P$503,_calc!$E$763)))=0,"","Last touch: "&amp;IF(LEN(INDEX('Dealer pipeline'!$P$4:$P$503,_calc!$E$763))=0,"",INDEX('Dealer pipeline'!$P$4:$P$503,_calc!$E$763))&amp;". ")&amp;IF(LEN(IF(LEN(INDEX('Dealer pipeline'!$R$4:$R$503,_calc!$E$763))=0,"",INDEX('Dealer pipeline'!$R$4:$R$503,_calc!$E$763)))=0,"","Owner: "&amp;IF(LEN(INDEX('Dealer pipeline'!$R$4:$R$503,_calc!$E$763))=0,"",INDEX('Dealer pipeline'!$R$4:$R$503,_calc!$E$763))&amp;". ")&amp;IF(LEN(IF(LEN(INDEX('Dealer pipeline'!$S$4:$S$503,_calc!$E$763))=0,"",INDEX('Dealer pipeline'!$S$4:$S$503,_calc!$E$763)))=0,"","Backup: "&amp;IF(LEN(INDEX('Dealer pipeline'!$S$4:$S$503,_calc!$E$763))=0,"",INDEX('Dealer pipeline'!$S$4:$S$503,_calc!$E$763))&amp;". ")&amp;IF(LEN(IF(LEN(INDEX('Dealer pipeline'!$T$4:$T$503,_calc!$E$763))=0,"",INDEX('Dealer pipeline'!$T$4:$T$503,_calc!$E$763)))=0,"",IF(LEN(INDEX('Dealer pipeline'!$T$4:$T$503,_calc!$E$763))=0,"",INDEX('Dealer pipeline'!$T$4:$T$503,_calc!$E$763)))),TRIM(IF(LEN(IF(LEN(INDEX('My equipment'!$C$4:$C$503,(_calc!$E$763-500)))=0,"",INDEX('My equipment'!$C$4:$C$503,(_calc!$E$763-500))))=0,"","Model: "&amp;IF(LEN(INDEX('My equipment'!$C$4:$C$503,(_calc!$E$763-500)))=0,"",INDEX('My equipment'!$C$4:$C$503,(_calc!$E$763-500)))&amp;". ")&amp;IF(LEN(IF(LEN(INDEX('My equipment'!$D$4:$D$503,(_calc!$E$763-500)))=0,"",INDEX('My equipment'!$D$4:$D$503,(_calc!$E$763-500))))=0,"","Serial: "&amp;IF(LEN(INDEX('My equipment'!$D$4:$D$503,(_calc!$E$763-500)))=0,"",INDEX('My equipment'!$D$4:$D$503,(_calc!$E$763-500)))&amp;". ")&amp;IF(LEN(IF(ISNUMBER(INDEX('My equipment'!$J$4:$J$503,(_calc!$E$763-500))),TEXT(INDEX('My equipment'!$J$4:$J$503,(_calc!$E$763-500)),"yyyy-mm-dd"),""))=0,"","Parts end: "&amp;IF(ISNUMBER(INDEX('My equipment'!$J$4:$J$503,(_calc!$E$763-500))),TEXT(INDEX('My equipment'!$J$4:$J$503,(_calc!$E$763-500)),"yyyy-mm-dd"),"")&amp;". ")&amp;IF(LEN(IF(ISNUMBER(INDEX('My equipment'!$L$4:$L$503,(_calc!$E$763-500))),TEXT(INDEX('My equipment'!$L$4:$L$503,(_calc!$E$763-500)),"yyyy-mm-dd"),""))=0,"","Labor end: "&amp;IF(ISNUMBER(INDEX('My equipment'!$L$4:$L$503,(_calc!$E$763-500))),TEXT(INDEX('My equipment'!$L$4:$L$503,(_calc!$E$763-500)),"yyyy-mm-dd"),"")&amp;". ")&amp;IF(LEN(IF(ISNUMBER(INDEX('My equipment'!$P$4:$P$503,(_calc!$E$763-500))),TEXT(INDEX('My equipment'!$P$4:$P$503,(_calc!$E$763-500)),"yyyy-mm-dd"),""))=0,"","Check by: "&amp;IF(ISNUMBER(INDEX('My equipment'!$P$4:$P$503,(_calc!$E$763-500))),TEXT(INDEX('My equipment'!$P$4:$P$503,(_calc!$E$763-500)),"yyyy-mm-dd"),"")&amp;". ")&amp;IF(LEN(IF(LEN(INDEX('My equipment'!$Q$4:$Q$503,(_calc!$E$763-500)))=0,"",INDEX('My equipment'!$Q$4:$Q$503,(_calc!$E$763-500))))=0,"","Claim status: "&amp;IF(LEN(INDEX('My equipment'!$Q$4:$Q$503,(_calc!$E$763-500)))=0,"",INDEX('My equipment'!$Q$4:$Q$503,(_calc!$E$763-500)))&amp;". ")&amp;IF(LEN(IF(LEN(INDEX('My equipment'!$R$4:$R$503,(_calc!$E$763-500)))=0,"",INDEX('My equipment'!$R$4:$R$503,(_calc!$E$763-500))))=0,"","Claims contact: "&amp;IF(LEN(INDEX('My equipment'!$R$4:$R$503,(_calc!$E$763-500)))=0,"",INDEX('My equipment'!$R$4:$R$503,(_calc!$E$763-500)))&amp;". ")&amp;IF(LEN(IF(LEN(INDEX('My equipment'!$S$4:$S$503,(_calc!$E$763-500)))=0,"",INDEX('My equipment'!$S$4:$S$503,(_calc!$E$763-500))))=0,"","Claims email: "&amp;IF(LEN(INDEX('My equipment'!$S$4:$S$503,(_calc!$E$763-500)))=0,"",INDEX('My equipment'!$S$4:$S$503,(_calc!$E$763-500)))&amp;". ")&amp;IF(LEN(IF(LEN(INDEX('My equipment'!$U$4:$U$503,(_calc!$E$763-500)))=0,"",INDEX('My equipment'!$U$4:$U$503,(_calc!$E$763-500))))=0,"","Registered: "&amp;IF(LEN(INDEX('My equipment'!$U$4:$U$503,(_calc!$E$763-500)))=0,"",INDEX('My equipment'!$U$4:$U$503,(_calc!$E$763-500)))&amp;". ")&amp;IF(LEN(IF(LEN(INDEX('My equipment'!$V$4:$V$503,(_calc!$E$763-500)))=0,"",INDEX('My equipment'!$V$4:$V$503,(_calc!$E$763-500))))=0,"","Proof on file: "&amp;IF(LEN(INDEX('My equipment'!$V$4:$V$503,(_calc!$E$763-500)))=0,"",INDEX('My equipment'!$V$4:$V$503,(_calc!$E$763-500)))&amp;". ")&amp;IF(LEN(IF(LEN(INDEX('My equipment'!$W$4:$W$503,(_calc!$E$763-500)))=0,"",INDEX('My equipment'!$W$4:$W$503,(_calc!$E$763-500))))=0,"","Claim ref: "&amp;IF(LEN(INDEX('My equipment'!$W$4:$W$503,(_calc!$E$763-500)))=0,"",INDEX('My equipment'!$W$4:$W$503,(_calc!$E$763-500)))&amp;". ")&amp;IF(LEN(IF(LEN(INDEX('My equipment'!$Y$4:$Y$503,(_calc!$E$763-500)))=0,"",INDEX('My equipment'!$Y$4:$Y$503,(_calc!$E$763-500))))=0,"",IF(LEN(INDEX('My equipment'!$Y$4:$Y$503,(_calc!$E$763-500)))=0,"",INDEX('My equipment'!$Y$4:$Y$503,(_calc!$E$763-500)))))))</f>
        <v/>
      </c>
      <c r="G761" s="54">
        <f>IF(_calc!$E$763="","",IF(_calc!$E$763&lt;=500,"",IF(LEN(INDEX('My equipment'!$X$4:$X$503,(_calc!$E$763-500)))=0,"",INDEX('My equipment'!$X$4:$X$503,(_calc!$E$763-500)))))</f>
        <v/>
      </c>
      <c r="K761" s="54">
        <f>IF(_calc!$E$763="","",IF(_calc!$E$763&lt;=500,"",IF(LEN(INDEX('My equipment'!$T$4:$T$503,(_calc!$E$763-500)))=0,"",INDEX('My equipment'!$T$4:$T$503,(_calc!$E$763-500)))))</f>
        <v/>
      </c>
    </row>
    <row r="762">
      <c r="A762" s="54">
        <f>IF(_calc!$E$764="","",IF(_calc!$E$764&lt;=500,"Warranty – "&amp;IF(LEN(INDEX('Dealer pipeline'!$C$4:$C$503,_calc!$E$764))=0,"",INDEX('Dealer pipeline'!$C$4:$C$503,_calc!$E$764))&amp;" – "&amp;IF(LEN(INDEX('Dealer pipeline'!$D$4:$D$503,_calc!$E$764))=0,"",INDEX('Dealer pipeline'!$D$4:$D$503,_calc!$E$764))&amp;" – "&amp;IF(LEN(INDEX('Dealer pipeline'!$A$4:$A$503,_calc!$E$764))=0,"",INDEX('Dealer pipeline'!$A$4:$A$503,_calc!$E$764)),"Warranty – "&amp;IF(LEN(INDEX('My equipment'!$A$4:$A$503,(_calc!$E$764-500)))=0,"",INDEX('My equipment'!$A$4:$A$503,(_calc!$E$764-500)))&amp;" – "&amp;IF(LEN(INDEX('My equipment'!$D$4:$D$503,(_calc!$E$764-500)))=0,"",INDEX('My equipment'!$D$4:$D$503,(_calc!$E$764-500)))))</f>
        <v/>
      </c>
      <c r="B762" s="54">
        <f>IF(_calc!$E$764="","",IF(_calc!$E$764&lt;=500,IF(ISNUMBER(INDEX('Dealer pipeline'!$M$4:$M$503,_calc!$E$764)),TEXT(INDEX('Dealer pipeline'!$M$4:$M$503,_calc!$E$764),"yyyy-mm-dd"),""),IF(ISNUMBER(INDEX('My equipment'!$M$4:$M$503,(_calc!$E$764-500))),TEXT(INDEX('My equipment'!$M$4:$M$503,(_calc!$E$764-500)),"yyyy-mm-dd"),"")))</f>
        <v/>
      </c>
      <c r="C762" s="54">
        <f>IF(_calc!$E$764="","",IF(_calc!$E$764&lt;=500,"Warranty","Warranty"))</f>
        <v/>
      </c>
      <c r="D762" s="54">
        <f>IF(_calc!$E$764="","",IF(_calc!$E$764&lt;=500,IF(ISNUMBER(INDEX('Dealer pipeline'!$H$4:$H$503,_calc!$E$764)),TEXT(INDEX('Dealer pipeline'!$H$4:$H$503,_calc!$E$764),"yyyy-mm-dd"),""),IF(ISNUMBER(INDEX('My equipment'!$H$4:$H$503,(_calc!$E$764-500))),TEXT(INDEX('My equipment'!$H$4:$H$503,(_calc!$E$764-500)),"yyyy-mm-dd"),"")))</f>
        <v/>
      </c>
      <c r="F762" s="54">
        <f>IF(_calc!$E$764="","",IF(_calc!$E$764&lt;=500,TRIM(IF(LEN(IF(LEN(INDEX('Dealer pipeline'!$A$4:$A$503,_calc!$E$764))=0,"",INDEX('Dealer pipeline'!$A$4:$A$503,_calc!$E$764)))=0,"","Customer: "&amp;IF(LEN(INDEX('Dealer pipeline'!$A$4:$A$503,_calc!$E$764))=0,"",INDEX('Dealer pipeline'!$A$4:$A$503,_calc!$E$764))&amp;". ")&amp;IF(LEN(IF(LEN(INDEX('Dealer pipeline'!$B$4:$B$503,_calc!$E$764))=0,"",INDEX('Dealer pipeline'!$B$4:$B$503,_calc!$E$764)))=0,"","Contact: "&amp;IF(LEN(INDEX('Dealer pipeline'!$B$4:$B$503,_calc!$E$764))=0,"",INDEX('Dealer pipeline'!$B$4:$B$503,_calc!$E$764))&amp;". ")&amp;IF(LEN(IF(LEN(INDEX('Dealer pipeline'!$D$4:$D$503,_calc!$E$764))=0,"",INDEX('Dealer pipeline'!$D$4:$D$503,_calc!$E$764)))=0,"","Serial: "&amp;IF(LEN(INDEX('Dealer pipeline'!$D$4:$D$503,_calc!$E$764))=0,"",INDEX('Dealer pipeline'!$D$4:$D$503,_calc!$E$764))&amp;". ")&amp;IF(LEN(IF(ISNUMBER(INDEX('Dealer pipeline'!$J$4:$J$503,_calc!$E$764)),TEXT(INDEX('Dealer pipeline'!$J$4:$J$503,_calc!$E$764),"yyyy-mm-dd"),""))=0,"","Parts end: "&amp;IF(ISNUMBER(INDEX('Dealer pipeline'!$J$4:$J$503,_calc!$E$764)),TEXT(INDEX('Dealer pipeline'!$J$4:$J$503,_calc!$E$764),"yyyy-mm-dd"),"")&amp;". ")&amp;IF(LEN(IF(ISNUMBER(INDEX('Dealer pipeline'!$L$4:$L$503,_calc!$E$764)),TEXT(INDEX('Dealer pipeline'!$L$4:$L$503,_calc!$E$764),"yyyy-mm-dd"),""))=0,"","Labor end: "&amp;IF(ISNUMBER(INDEX('Dealer pipeline'!$L$4:$L$503,_calc!$E$764)),TEXT(INDEX('Dealer pipeline'!$L$4:$L$503,_calc!$E$764),"yyyy-mm-dd"),"")&amp;". ")&amp;IF(LEN(IF(LEN(INDEX('Dealer pipeline'!$Q$4:$Q$503,_calc!$E$764))=0,"",INDEX('Dealer pipeline'!$Q$4:$Q$503,_calc!$E$764)))=0,"","Status: "&amp;IF(LEN(INDEX('Dealer pipeline'!$Q$4:$Q$503,_calc!$E$764))=0,"",INDEX('Dealer pipeline'!$Q$4:$Q$503,_calc!$E$764))&amp;". ")&amp;IF(LEN(IF(LEN(INDEX('Dealer pipeline'!$P$4:$P$503,_calc!$E$764))=0,"",INDEX('Dealer pipeline'!$P$4:$P$503,_calc!$E$764)))=0,"","Last touch: "&amp;IF(LEN(INDEX('Dealer pipeline'!$P$4:$P$503,_calc!$E$764))=0,"",INDEX('Dealer pipeline'!$P$4:$P$503,_calc!$E$764))&amp;". ")&amp;IF(LEN(IF(LEN(INDEX('Dealer pipeline'!$R$4:$R$503,_calc!$E$764))=0,"",INDEX('Dealer pipeline'!$R$4:$R$503,_calc!$E$764)))=0,"","Owner: "&amp;IF(LEN(INDEX('Dealer pipeline'!$R$4:$R$503,_calc!$E$764))=0,"",INDEX('Dealer pipeline'!$R$4:$R$503,_calc!$E$764))&amp;". ")&amp;IF(LEN(IF(LEN(INDEX('Dealer pipeline'!$S$4:$S$503,_calc!$E$764))=0,"",INDEX('Dealer pipeline'!$S$4:$S$503,_calc!$E$764)))=0,"","Backup: "&amp;IF(LEN(INDEX('Dealer pipeline'!$S$4:$S$503,_calc!$E$764))=0,"",INDEX('Dealer pipeline'!$S$4:$S$503,_calc!$E$764))&amp;". ")&amp;IF(LEN(IF(LEN(INDEX('Dealer pipeline'!$T$4:$T$503,_calc!$E$764))=0,"",INDEX('Dealer pipeline'!$T$4:$T$503,_calc!$E$764)))=0,"",IF(LEN(INDEX('Dealer pipeline'!$T$4:$T$503,_calc!$E$764))=0,"",INDEX('Dealer pipeline'!$T$4:$T$503,_calc!$E$764)))),TRIM(IF(LEN(IF(LEN(INDEX('My equipment'!$C$4:$C$503,(_calc!$E$764-500)))=0,"",INDEX('My equipment'!$C$4:$C$503,(_calc!$E$764-500))))=0,"","Model: "&amp;IF(LEN(INDEX('My equipment'!$C$4:$C$503,(_calc!$E$764-500)))=0,"",INDEX('My equipment'!$C$4:$C$503,(_calc!$E$764-500)))&amp;". ")&amp;IF(LEN(IF(LEN(INDEX('My equipment'!$D$4:$D$503,(_calc!$E$764-500)))=0,"",INDEX('My equipment'!$D$4:$D$503,(_calc!$E$764-500))))=0,"","Serial: "&amp;IF(LEN(INDEX('My equipment'!$D$4:$D$503,(_calc!$E$764-500)))=0,"",INDEX('My equipment'!$D$4:$D$503,(_calc!$E$764-500)))&amp;". ")&amp;IF(LEN(IF(ISNUMBER(INDEX('My equipment'!$J$4:$J$503,(_calc!$E$764-500))),TEXT(INDEX('My equipment'!$J$4:$J$503,(_calc!$E$764-500)),"yyyy-mm-dd"),""))=0,"","Parts end: "&amp;IF(ISNUMBER(INDEX('My equipment'!$J$4:$J$503,(_calc!$E$764-500))),TEXT(INDEX('My equipment'!$J$4:$J$503,(_calc!$E$764-500)),"yyyy-mm-dd"),"")&amp;". ")&amp;IF(LEN(IF(ISNUMBER(INDEX('My equipment'!$L$4:$L$503,(_calc!$E$764-500))),TEXT(INDEX('My equipment'!$L$4:$L$503,(_calc!$E$764-500)),"yyyy-mm-dd"),""))=0,"","Labor end: "&amp;IF(ISNUMBER(INDEX('My equipment'!$L$4:$L$503,(_calc!$E$764-500))),TEXT(INDEX('My equipment'!$L$4:$L$503,(_calc!$E$764-500)),"yyyy-mm-dd"),"")&amp;". ")&amp;IF(LEN(IF(ISNUMBER(INDEX('My equipment'!$P$4:$P$503,(_calc!$E$764-500))),TEXT(INDEX('My equipment'!$P$4:$P$503,(_calc!$E$764-500)),"yyyy-mm-dd"),""))=0,"","Check by: "&amp;IF(ISNUMBER(INDEX('My equipment'!$P$4:$P$503,(_calc!$E$764-500))),TEXT(INDEX('My equipment'!$P$4:$P$503,(_calc!$E$764-500)),"yyyy-mm-dd"),"")&amp;". ")&amp;IF(LEN(IF(LEN(INDEX('My equipment'!$Q$4:$Q$503,(_calc!$E$764-500)))=0,"",INDEX('My equipment'!$Q$4:$Q$503,(_calc!$E$764-500))))=0,"","Claim status: "&amp;IF(LEN(INDEX('My equipment'!$Q$4:$Q$503,(_calc!$E$764-500)))=0,"",INDEX('My equipment'!$Q$4:$Q$503,(_calc!$E$764-500)))&amp;". ")&amp;IF(LEN(IF(LEN(INDEX('My equipment'!$R$4:$R$503,(_calc!$E$764-500)))=0,"",INDEX('My equipment'!$R$4:$R$503,(_calc!$E$764-500))))=0,"","Claims contact: "&amp;IF(LEN(INDEX('My equipment'!$R$4:$R$503,(_calc!$E$764-500)))=0,"",INDEX('My equipment'!$R$4:$R$503,(_calc!$E$764-500)))&amp;". ")&amp;IF(LEN(IF(LEN(INDEX('My equipment'!$S$4:$S$503,(_calc!$E$764-500)))=0,"",INDEX('My equipment'!$S$4:$S$503,(_calc!$E$764-500))))=0,"","Claims email: "&amp;IF(LEN(INDEX('My equipment'!$S$4:$S$503,(_calc!$E$764-500)))=0,"",INDEX('My equipment'!$S$4:$S$503,(_calc!$E$764-500)))&amp;". ")&amp;IF(LEN(IF(LEN(INDEX('My equipment'!$U$4:$U$503,(_calc!$E$764-500)))=0,"",INDEX('My equipment'!$U$4:$U$503,(_calc!$E$764-500))))=0,"","Registered: "&amp;IF(LEN(INDEX('My equipment'!$U$4:$U$503,(_calc!$E$764-500)))=0,"",INDEX('My equipment'!$U$4:$U$503,(_calc!$E$764-500)))&amp;". ")&amp;IF(LEN(IF(LEN(INDEX('My equipment'!$V$4:$V$503,(_calc!$E$764-500)))=0,"",INDEX('My equipment'!$V$4:$V$503,(_calc!$E$764-500))))=0,"","Proof on file: "&amp;IF(LEN(INDEX('My equipment'!$V$4:$V$503,(_calc!$E$764-500)))=0,"",INDEX('My equipment'!$V$4:$V$503,(_calc!$E$764-500)))&amp;". ")&amp;IF(LEN(IF(LEN(INDEX('My equipment'!$W$4:$W$503,(_calc!$E$764-500)))=0,"",INDEX('My equipment'!$W$4:$W$503,(_calc!$E$764-500))))=0,"","Claim ref: "&amp;IF(LEN(INDEX('My equipment'!$W$4:$W$503,(_calc!$E$764-500)))=0,"",INDEX('My equipment'!$W$4:$W$503,(_calc!$E$764-500)))&amp;". ")&amp;IF(LEN(IF(LEN(INDEX('My equipment'!$Y$4:$Y$503,(_calc!$E$764-500)))=0,"",INDEX('My equipment'!$Y$4:$Y$503,(_calc!$E$764-500))))=0,"",IF(LEN(INDEX('My equipment'!$Y$4:$Y$503,(_calc!$E$764-500)))=0,"",INDEX('My equipment'!$Y$4:$Y$503,(_calc!$E$764-500)))))))</f>
        <v/>
      </c>
      <c r="G762" s="54">
        <f>IF(_calc!$E$764="","",IF(_calc!$E$764&lt;=500,"",IF(LEN(INDEX('My equipment'!$X$4:$X$503,(_calc!$E$764-500)))=0,"",INDEX('My equipment'!$X$4:$X$503,(_calc!$E$764-500)))))</f>
        <v/>
      </c>
      <c r="K762" s="54">
        <f>IF(_calc!$E$764="","",IF(_calc!$E$764&lt;=500,"",IF(LEN(INDEX('My equipment'!$T$4:$T$503,(_calc!$E$764-500)))=0,"",INDEX('My equipment'!$T$4:$T$503,(_calc!$E$764-500)))))</f>
        <v/>
      </c>
    </row>
    <row r="763">
      <c r="A763" s="54">
        <f>IF(_calc!$E$765="","",IF(_calc!$E$765&lt;=500,"Warranty – "&amp;IF(LEN(INDEX('Dealer pipeline'!$C$4:$C$503,_calc!$E$765))=0,"",INDEX('Dealer pipeline'!$C$4:$C$503,_calc!$E$765))&amp;" – "&amp;IF(LEN(INDEX('Dealer pipeline'!$D$4:$D$503,_calc!$E$765))=0,"",INDEX('Dealer pipeline'!$D$4:$D$503,_calc!$E$765))&amp;" – "&amp;IF(LEN(INDEX('Dealer pipeline'!$A$4:$A$503,_calc!$E$765))=0,"",INDEX('Dealer pipeline'!$A$4:$A$503,_calc!$E$765)),"Warranty – "&amp;IF(LEN(INDEX('My equipment'!$A$4:$A$503,(_calc!$E$765-500)))=0,"",INDEX('My equipment'!$A$4:$A$503,(_calc!$E$765-500)))&amp;" – "&amp;IF(LEN(INDEX('My equipment'!$D$4:$D$503,(_calc!$E$765-500)))=0,"",INDEX('My equipment'!$D$4:$D$503,(_calc!$E$765-500)))))</f>
        <v/>
      </c>
      <c r="B763" s="54">
        <f>IF(_calc!$E$765="","",IF(_calc!$E$765&lt;=500,IF(ISNUMBER(INDEX('Dealer pipeline'!$M$4:$M$503,_calc!$E$765)),TEXT(INDEX('Dealer pipeline'!$M$4:$M$503,_calc!$E$765),"yyyy-mm-dd"),""),IF(ISNUMBER(INDEX('My equipment'!$M$4:$M$503,(_calc!$E$765-500))),TEXT(INDEX('My equipment'!$M$4:$M$503,(_calc!$E$765-500)),"yyyy-mm-dd"),"")))</f>
        <v/>
      </c>
      <c r="C763" s="54">
        <f>IF(_calc!$E$765="","",IF(_calc!$E$765&lt;=500,"Warranty","Warranty"))</f>
        <v/>
      </c>
      <c r="D763" s="54">
        <f>IF(_calc!$E$765="","",IF(_calc!$E$765&lt;=500,IF(ISNUMBER(INDEX('Dealer pipeline'!$H$4:$H$503,_calc!$E$765)),TEXT(INDEX('Dealer pipeline'!$H$4:$H$503,_calc!$E$765),"yyyy-mm-dd"),""),IF(ISNUMBER(INDEX('My equipment'!$H$4:$H$503,(_calc!$E$765-500))),TEXT(INDEX('My equipment'!$H$4:$H$503,(_calc!$E$765-500)),"yyyy-mm-dd"),"")))</f>
        <v/>
      </c>
      <c r="F763" s="54">
        <f>IF(_calc!$E$765="","",IF(_calc!$E$765&lt;=500,TRIM(IF(LEN(IF(LEN(INDEX('Dealer pipeline'!$A$4:$A$503,_calc!$E$765))=0,"",INDEX('Dealer pipeline'!$A$4:$A$503,_calc!$E$765)))=0,"","Customer: "&amp;IF(LEN(INDEX('Dealer pipeline'!$A$4:$A$503,_calc!$E$765))=0,"",INDEX('Dealer pipeline'!$A$4:$A$503,_calc!$E$765))&amp;". ")&amp;IF(LEN(IF(LEN(INDEX('Dealer pipeline'!$B$4:$B$503,_calc!$E$765))=0,"",INDEX('Dealer pipeline'!$B$4:$B$503,_calc!$E$765)))=0,"","Contact: "&amp;IF(LEN(INDEX('Dealer pipeline'!$B$4:$B$503,_calc!$E$765))=0,"",INDEX('Dealer pipeline'!$B$4:$B$503,_calc!$E$765))&amp;". ")&amp;IF(LEN(IF(LEN(INDEX('Dealer pipeline'!$D$4:$D$503,_calc!$E$765))=0,"",INDEX('Dealer pipeline'!$D$4:$D$503,_calc!$E$765)))=0,"","Serial: "&amp;IF(LEN(INDEX('Dealer pipeline'!$D$4:$D$503,_calc!$E$765))=0,"",INDEX('Dealer pipeline'!$D$4:$D$503,_calc!$E$765))&amp;". ")&amp;IF(LEN(IF(ISNUMBER(INDEX('Dealer pipeline'!$J$4:$J$503,_calc!$E$765)),TEXT(INDEX('Dealer pipeline'!$J$4:$J$503,_calc!$E$765),"yyyy-mm-dd"),""))=0,"","Parts end: "&amp;IF(ISNUMBER(INDEX('Dealer pipeline'!$J$4:$J$503,_calc!$E$765)),TEXT(INDEX('Dealer pipeline'!$J$4:$J$503,_calc!$E$765),"yyyy-mm-dd"),"")&amp;". ")&amp;IF(LEN(IF(ISNUMBER(INDEX('Dealer pipeline'!$L$4:$L$503,_calc!$E$765)),TEXT(INDEX('Dealer pipeline'!$L$4:$L$503,_calc!$E$765),"yyyy-mm-dd"),""))=0,"","Labor end: "&amp;IF(ISNUMBER(INDEX('Dealer pipeline'!$L$4:$L$503,_calc!$E$765)),TEXT(INDEX('Dealer pipeline'!$L$4:$L$503,_calc!$E$765),"yyyy-mm-dd"),"")&amp;". ")&amp;IF(LEN(IF(LEN(INDEX('Dealer pipeline'!$Q$4:$Q$503,_calc!$E$765))=0,"",INDEX('Dealer pipeline'!$Q$4:$Q$503,_calc!$E$765)))=0,"","Status: "&amp;IF(LEN(INDEX('Dealer pipeline'!$Q$4:$Q$503,_calc!$E$765))=0,"",INDEX('Dealer pipeline'!$Q$4:$Q$503,_calc!$E$765))&amp;". ")&amp;IF(LEN(IF(LEN(INDEX('Dealer pipeline'!$P$4:$P$503,_calc!$E$765))=0,"",INDEX('Dealer pipeline'!$P$4:$P$503,_calc!$E$765)))=0,"","Last touch: "&amp;IF(LEN(INDEX('Dealer pipeline'!$P$4:$P$503,_calc!$E$765))=0,"",INDEX('Dealer pipeline'!$P$4:$P$503,_calc!$E$765))&amp;". ")&amp;IF(LEN(IF(LEN(INDEX('Dealer pipeline'!$R$4:$R$503,_calc!$E$765))=0,"",INDEX('Dealer pipeline'!$R$4:$R$503,_calc!$E$765)))=0,"","Owner: "&amp;IF(LEN(INDEX('Dealer pipeline'!$R$4:$R$503,_calc!$E$765))=0,"",INDEX('Dealer pipeline'!$R$4:$R$503,_calc!$E$765))&amp;". ")&amp;IF(LEN(IF(LEN(INDEX('Dealer pipeline'!$S$4:$S$503,_calc!$E$765))=0,"",INDEX('Dealer pipeline'!$S$4:$S$503,_calc!$E$765)))=0,"","Backup: "&amp;IF(LEN(INDEX('Dealer pipeline'!$S$4:$S$503,_calc!$E$765))=0,"",INDEX('Dealer pipeline'!$S$4:$S$503,_calc!$E$765))&amp;". ")&amp;IF(LEN(IF(LEN(INDEX('Dealer pipeline'!$T$4:$T$503,_calc!$E$765))=0,"",INDEX('Dealer pipeline'!$T$4:$T$503,_calc!$E$765)))=0,"",IF(LEN(INDEX('Dealer pipeline'!$T$4:$T$503,_calc!$E$765))=0,"",INDEX('Dealer pipeline'!$T$4:$T$503,_calc!$E$765)))),TRIM(IF(LEN(IF(LEN(INDEX('My equipment'!$C$4:$C$503,(_calc!$E$765-500)))=0,"",INDEX('My equipment'!$C$4:$C$503,(_calc!$E$765-500))))=0,"","Model: "&amp;IF(LEN(INDEX('My equipment'!$C$4:$C$503,(_calc!$E$765-500)))=0,"",INDEX('My equipment'!$C$4:$C$503,(_calc!$E$765-500)))&amp;". ")&amp;IF(LEN(IF(LEN(INDEX('My equipment'!$D$4:$D$503,(_calc!$E$765-500)))=0,"",INDEX('My equipment'!$D$4:$D$503,(_calc!$E$765-500))))=0,"","Serial: "&amp;IF(LEN(INDEX('My equipment'!$D$4:$D$503,(_calc!$E$765-500)))=0,"",INDEX('My equipment'!$D$4:$D$503,(_calc!$E$765-500)))&amp;". ")&amp;IF(LEN(IF(ISNUMBER(INDEX('My equipment'!$J$4:$J$503,(_calc!$E$765-500))),TEXT(INDEX('My equipment'!$J$4:$J$503,(_calc!$E$765-500)),"yyyy-mm-dd"),""))=0,"","Parts end: "&amp;IF(ISNUMBER(INDEX('My equipment'!$J$4:$J$503,(_calc!$E$765-500))),TEXT(INDEX('My equipment'!$J$4:$J$503,(_calc!$E$765-500)),"yyyy-mm-dd"),"")&amp;". ")&amp;IF(LEN(IF(ISNUMBER(INDEX('My equipment'!$L$4:$L$503,(_calc!$E$765-500))),TEXT(INDEX('My equipment'!$L$4:$L$503,(_calc!$E$765-500)),"yyyy-mm-dd"),""))=0,"","Labor end: "&amp;IF(ISNUMBER(INDEX('My equipment'!$L$4:$L$503,(_calc!$E$765-500))),TEXT(INDEX('My equipment'!$L$4:$L$503,(_calc!$E$765-500)),"yyyy-mm-dd"),"")&amp;". ")&amp;IF(LEN(IF(ISNUMBER(INDEX('My equipment'!$P$4:$P$503,(_calc!$E$765-500))),TEXT(INDEX('My equipment'!$P$4:$P$503,(_calc!$E$765-500)),"yyyy-mm-dd"),""))=0,"","Check by: "&amp;IF(ISNUMBER(INDEX('My equipment'!$P$4:$P$503,(_calc!$E$765-500))),TEXT(INDEX('My equipment'!$P$4:$P$503,(_calc!$E$765-500)),"yyyy-mm-dd"),"")&amp;". ")&amp;IF(LEN(IF(LEN(INDEX('My equipment'!$Q$4:$Q$503,(_calc!$E$765-500)))=0,"",INDEX('My equipment'!$Q$4:$Q$503,(_calc!$E$765-500))))=0,"","Claim status: "&amp;IF(LEN(INDEX('My equipment'!$Q$4:$Q$503,(_calc!$E$765-500)))=0,"",INDEX('My equipment'!$Q$4:$Q$503,(_calc!$E$765-500)))&amp;". ")&amp;IF(LEN(IF(LEN(INDEX('My equipment'!$R$4:$R$503,(_calc!$E$765-500)))=0,"",INDEX('My equipment'!$R$4:$R$503,(_calc!$E$765-500))))=0,"","Claims contact: "&amp;IF(LEN(INDEX('My equipment'!$R$4:$R$503,(_calc!$E$765-500)))=0,"",INDEX('My equipment'!$R$4:$R$503,(_calc!$E$765-500)))&amp;". ")&amp;IF(LEN(IF(LEN(INDEX('My equipment'!$S$4:$S$503,(_calc!$E$765-500)))=0,"",INDEX('My equipment'!$S$4:$S$503,(_calc!$E$765-500))))=0,"","Claims email: "&amp;IF(LEN(INDEX('My equipment'!$S$4:$S$503,(_calc!$E$765-500)))=0,"",INDEX('My equipment'!$S$4:$S$503,(_calc!$E$765-500)))&amp;". ")&amp;IF(LEN(IF(LEN(INDEX('My equipment'!$U$4:$U$503,(_calc!$E$765-500)))=0,"",INDEX('My equipment'!$U$4:$U$503,(_calc!$E$765-500))))=0,"","Registered: "&amp;IF(LEN(INDEX('My equipment'!$U$4:$U$503,(_calc!$E$765-500)))=0,"",INDEX('My equipment'!$U$4:$U$503,(_calc!$E$765-500)))&amp;". ")&amp;IF(LEN(IF(LEN(INDEX('My equipment'!$V$4:$V$503,(_calc!$E$765-500)))=0,"",INDEX('My equipment'!$V$4:$V$503,(_calc!$E$765-500))))=0,"","Proof on file: "&amp;IF(LEN(INDEX('My equipment'!$V$4:$V$503,(_calc!$E$765-500)))=0,"",INDEX('My equipment'!$V$4:$V$503,(_calc!$E$765-500)))&amp;". ")&amp;IF(LEN(IF(LEN(INDEX('My equipment'!$W$4:$W$503,(_calc!$E$765-500)))=0,"",INDEX('My equipment'!$W$4:$W$503,(_calc!$E$765-500))))=0,"","Claim ref: "&amp;IF(LEN(INDEX('My equipment'!$W$4:$W$503,(_calc!$E$765-500)))=0,"",INDEX('My equipment'!$W$4:$W$503,(_calc!$E$765-500)))&amp;". ")&amp;IF(LEN(IF(LEN(INDEX('My equipment'!$Y$4:$Y$503,(_calc!$E$765-500)))=0,"",INDEX('My equipment'!$Y$4:$Y$503,(_calc!$E$765-500))))=0,"",IF(LEN(INDEX('My equipment'!$Y$4:$Y$503,(_calc!$E$765-500)))=0,"",INDEX('My equipment'!$Y$4:$Y$503,(_calc!$E$765-500)))))))</f>
        <v/>
      </c>
      <c r="G763" s="54">
        <f>IF(_calc!$E$765="","",IF(_calc!$E$765&lt;=500,"",IF(LEN(INDEX('My equipment'!$X$4:$X$503,(_calc!$E$765-500)))=0,"",INDEX('My equipment'!$X$4:$X$503,(_calc!$E$765-500)))))</f>
        <v/>
      </c>
      <c r="K763" s="54">
        <f>IF(_calc!$E$765="","",IF(_calc!$E$765&lt;=500,"",IF(LEN(INDEX('My equipment'!$T$4:$T$503,(_calc!$E$765-500)))=0,"",INDEX('My equipment'!$T$4:$T$503,(_calc!$E$765-500)))))</f>
        <v/>
      </c>
    </row>
    <row r="764">
      <c r="A764" s="54">
        <f>IF(_calc!$E$766="","",IF(_calc!$E$766&lt;=500,"Warranty – "&amp;IF(LEN(INDEX('Dealer pipeline'!$C$4:$C$503,_calc!$E$766))=0,"",INDEX('Dealer pipeline'!$C$4:$C$503,_calc!$E$766))&amp;" – "&amp;IF(LEN(INDEX('Dealer pipeline'!$D$4:$D$503,_calc!$E$766))=0,"",INDEX('Dealer pipeline'!$D$4:$D$503,_calc!$E$766))&amp;" – "&amp;IF(LEN(INDEX('Dealer pipeline'!$A$4:$A$503,_calc!$E$766))=0,"",INDEX('Dealer pipeline'!$A$4:$A$503,_calc!$E$766)),"Warranty – "&amp;IF(LEN(INDEX('My equipment'!$A$4:$A$503,(_calc!$E$766-500)))=0,"",INDEX('My equipment'!$A$4:$A$503,(_calc!$E$766-500)))&amp;" – "&amp;IF(LEN(INDEX('My equipment'!$D$4:$D$503,(_calc!$E$766-500)))=0,"",INDEX('My equipment'!$D$4:$D$503,(_calc!$E$766-500)))))</f>
        <v/>
      </c>
      <c r="B764" s="54">
        <f>IF(_calc!$E$766="","",IF(_calc!$E$766&lt;=500,IF(ISNUMBER(INDEX('Dealer pipeline'!$M$4:$M$503,_calc!$E$766)),TEXT(INDEX('Dealer pipeline'!$M$4:$M$503,_calc!$E$766),"yyyy-mm-dd"),""),IF(ISNUMBER(INDEX('My equipment'!$M$4:$M$503,(_calc!$E$766-500))),TEXT(INDEX('My equipment'!$M$4:$M$503,(_calc!$E$766-500)),"yyyy-mm-dd"),"")))</f>
        <v/>
      </c>
      <c r="C764" s="54">
        <f>IF(_calc!$E$766="","",IF(_calc!$E$766&lt;=500,"Warranty","Warranty"))</f>
        <v/>
      </c>
      <c r="D764" s="54">
        <f>IF(_calc!$E$766="","",IF(_calc!$E$766&lt;=500,IF(ISNUMBER(INDEX('Dealer pipeline'!$H$4:$H$503,_calc!$E$766)),TEXT(INDEX('Dealer pipeline'!$H$4:$H$503,_calc!$E$766),"yyyy-mm-dd"),""),IF(ISNUMBER(INDEX('My equipment'!$H$4:$H$503,(_calc!$E$766-500))),TEXT(INDEX('My equipment'!$H$4:$H$503,(_calc!$E$766-500)),"yyyy-mm-dd"),"")))</f>
        <v/>
      </c>
      <c r="F764" s="54">
        <f>IF(_calc!$E$766="","",IF(_calc!$E$766&lt;=500,TRIM(IF(LEN(IF(LEN(INDEX('Dealer pipeline'!$A$4:$A$503,_calc!$E$766))=0,"",INDEX('Dealer pipeline'!$A$4:$A$503,_calc!$E$766)))=0,"","Customer: "&amp;IF(LEN(INDEX('Dealer pipeline'!$A$4:$A$503,_calc!$E$766))=0,"",INDEX('Dealer pipeline'!$A$4:$A$503,_calc!$E$766))&amp;". ")&amp;IF(LEN(IF(LEN(INDEX('Dealer pipeline'!$B$4:$B$503,_calc!$E$766))=0,"",INDEX('Dealer pipeline'!$B$4:$B$503,_calc!$E$766)))=0,"","Contact: "&amp;IF(LEN(INDEX('Dealer pipeline'!$B$4:$B$503,_calc!$E$766))=0,"",INDEX('Dealer pipeline'!$B$4:$B$503,_calc!$E$766))&amp;". ")&amp;IF(LEN(IF(LEN(INDEX('Dealer pipeline'!$D$4:$D$503,_calc!$E$766))=0,"",INDEX('Dealer pipeline'!$D$4:$D$503,_calc!$E$766)))=0,"","Serial: "&amp;IF(LEN(INDEX('Dealer pipeline'!$D$4:$D$503,_calc!$E$766))=0,"",INDEX('Dealer pipeline'!$D$4:$D$503,_calc!$E$766))&amp;". ")&amp;IF(LEN(IF(ISNUMBER(INDEX('Dealer pipeline'!$J$4:$J$503,_calc!$E$766)),TEXT(INDEX('Dealer pipeline'!$J$4:$J$503,_calc!$E$766),"yyyy-mm-dd"),""))=0,"","Parts end: "&amp;IF(ISNUMBER(INDEX('Dealer pipeline'!$J$4:$J$503,_calc!$E$766)),TEXT(INDEX('Dealer pipeline'!$J$4:$J$503,_calc!$E$766),"yyyy-mm-dd"),"")&amp;". ")&amp;IF(LEN(IF(ISNUMBER(INDEX('Dealer pipeline'!$L$4:$L$503,_calc!$E$766)),TEXT(INDEX('Dealer pipeline'!$L$4:$L$503,_calc!$E$766),"yyyy-mm-dd"),""))=0,"","Labor end: "&amp;IF(ISNUMBER(INDEX('Dealer pipeline'!$L$4:$L$503,_calc!$E$766)),TEXT(INDEX('Dealer pipeline'!$L$4:$L$503,_calc!$E$766),"yyyy-mm-dd"),"")&amp;". ")&amp;IF(LEN(IF(LEN(INDEX('Dealer pipeline'!$Q$4:$Q$503,_calc!$E$766))=0,"",INDEX('Dealer pipeline'!$Q$4:$Q$503,_calc!$E$766)))=0,"","Status: "&amp;IF(LEN(INDEX('Dealer pipeline'!$Q$4:$Q$503,_calc!$E$766))=0,"",INDEX('Dealer pipeline'!$Q$4:$Q$503,_calc!$E$766))&amp;". ")&amp;IF(LEN(IF(LEN(INDEX('Dealer pipeline'!$P$4:$P$503,_calc!$E$766))=0,"",INDEX('Dealer pipeline'!$P$4:$P$503,_calc!$E$766)))=0,"","Last touch: "&amp;IF(LEN(INDEX('Dealer pipeline'!$P$4:$P$503,_calc!$E$766))=0,"",INDEX('Dealer pipeline'!$P$4:$P$503,_calc!$E$766))&amp;". ")&amp;IF(LEN(IF(LEN(INDEX('Dealer pipeline'!$R$4:$R$503,_calc!$E$766))=0,"",INDEX('Dealer pipeline'!$R$4:$R$503,_calc!$E$766)))=0,"","Owner: "&amp;IF(LEN(INDEX('Dealer pipeline'!$R$4:$R$503,_calc!$E$766))=0,"",INDEX('Dealer pipeline'!$R$4:$R$503,_calc!$E$766))&amp;". ")&amp;IF(LEN(IF(LEN(INDEX('Dealer pipeline'!$S$4:$S$503,_calc!$E$766))=0,"",INDEX('Dealer pipeline'!$S$4:$S$503,_calc!$E$766)))=0,"","Backup: "&amp;IF(LEN(INDEX('Dealer pipeline'!$S$4:$S$503,_calc!$E$766))=0,"",INDEX('Dealer pipeline'!$S$4:$S$503,_calc!$E$766))&amp;". ")&amp;IF(LEN(IF(LEN(INDEX('Dealer pipeline'!$T$4:$T$503,_calc!$E$766))=0,"",INDEX('Dealer pipeline'!$T$4:$T$503,_calc!$E$766)))=0,"",IF(LEN(INDEX('Dealer pipeline'!$T$4:$T$503,_calc!$E$766))=0,"",INDEX('Dealer pipeline'!$T$4:$T$503,_calc!$E$766)))),TRIM(IF(LEN(IF(LEN(INDEX('My equipment'!$C$4:$C$503,(_calc!$E$766-500)))=0,"",INDEX('My equipment'!$C$4:$C$503,(_calc!$E$766-500))))=0,"","Model: "&amp;IF(LEN(INDEX('My equipment'!$C$4:$C$503,(_calc!$E$766-500)))=0,"",INDEX('My equipment'!$C$4:$C$503,(_calc!$E$766-500)))&amp;". ")&amp;IF(LEN(IF(LEN(INDEX('My equipment'!$D$4:$D$503,(_calc!$E$766-500)))=0,"",INDEX('My equipment'!$D$4:$D$503,(_calc!$E$766-500))))=0,"","Serial: "&amp;IF(LEN(INDEX('My equipment'!$D$4:$D$503,(_calc!$E$766-500)))=0,"",INDEX('My equipment'!$D$4:$D$503,(_calc!$E$766-500)))&amp;". ")&amp;IF(LEN(IF(ISNUMBER(INDEX('My equipment'!$J$4:$J$503,(_calc!$E$766-500))),TEXT(INDEX('My equipment'!$J$4:$J$503,(_calc!$E$766-500)),"yyyy-mm-dd"),""))=0,"","Parts end: "&amp;IF(ISNUMBER(INDEX('My equipment'!$J$4:$J$503,(_calc!$E$766-500))),TEXT(INDEX('My equipment'!$J$4:$J$503,(_calc!$E$766-500)),"yyyy-mm-dd"),"")&amp;". ")&amp;IF(LEN(IF(ISNUMBER(INDEX('My equipment'!$L$4:$L$503,(_calc!$E$766-500))),TEXT(INDEX('My equipment'!$L$4:$L$503,(_calc!$E$766-500)),"yyyy-mm-dd"),""))=0,"","Labor end: "&amp;IF(ISNUMBER(INDEX('My equipment'!$L$4:$L$503,(_calc!$E$766-500))),TEXT(INDEX('My equipment'!$L$4:$L$503,(_calc!$E$766-500)),"yyyy-mm-dd"),"")&amp;". ")&amp;IF(LEN(IF(ISNUMBER(INDEX('My equipment'!$P$4:$P$503,(_calc!$E$766-500))),TEXT(INDEX('My equipment'!$P$4:$P$503,(_calc!$E$766-500)),"yyyy-mm-dd"),""))=0,"","Check by: "&amp;IF(ISNUMBER(INDEX('My equipment'!$P$4:$P$503,(_calc!$E$766-500))),TEXT(INDEX('My equipment'!$P$4:$P$503,(_calc!$E$766-500)),"yyyy-mm-dd"),"")&amp;". ")&amp;IF(LEN(IF(LEN(INDEX('My equipment'!$Q$4:$Q$503,(_calc!$E$766-500)))=0,"",INDEX('My equipment'!$Q$4:$Q$503,(_calc!$E$766-500))))=0,"","Claim status: "&amp;IF(LEN(INDEX('My equipment'!$Q$4:$Q$503,(_calc!$E$766-500)))=0,"",INDEX('My equipment'!$Q$4:$Q$503,(_calc!$E$766-500)))&amp;". ")&amp;IF(LEN(IF(LEN(INDEX('My equipment'!$R$4:$R$503,(_calc!$E$766-500)))=0,"",INDEX('My equipment'!$R$4:$R$503,(_calc!$E$766-500))))=0,"","Claims contact: "&amp;IF(LEN(INDEX('My equipment'!$R$4:$R$503,(_calc!$E$766-500)))=0,"",INDEX('My equipment'!$R$4:$R$503,(_calc!$E$766-500)))&amp;". ")&amp;IF(LEN(IF(LEN(INDEX('My equipment'!$S$4:$S$503,(_calc!$E$766-500)))=0,"",INDEX('My equipment'!$S$4:$S$503,(_calc!$E$766-500))))=0,"","Claims email: "&amp;IF(LEN(INDEX('My equipment'!$S$4:$S$503,(_calc!$E$766-500)))=0,"",INDEX('My equipment'!$S$4:$S$503,(_calc!$E$766-500)))&amp;". ")&amp;IF(LEN(IF(LEN(INDEX('My equipment'!$U$4:$U$503,(_calc!$E$766-500)))=0,"",INDEX('My equipment'!$U$4:$U$503,(_calc!$E$766-500))))=0,"","Registered: "&amp;IF(LEN(INDEX('My equipment'!$U$4:$U$503,(_calc!$E$766-500)))=0,"",INDEX('My equipment'!$U$4:$U$503,(_calc!$E$766-500)))&amp;". ")&amp;IF(LEN(IF(LEN(INDEX('My equipment'!$V$4:$V$503,(_calc!$E$766-500)))=0,"",INDEX('My equipment'!$V$4:$V$503,(_calc!$E$766-500))))=0,"","Proof on file: "&amp;IF(LEN(INDEX('My equipment'!$V$4:$V$503,(_calc!$E$766-500)))=0,"",INDEX('My equipment'!$V$4:$V$503,(_calc!$E$766-500)))&amp;". ")&amp;IF(LEN(IF(LEN(INDEX('My equipment'!$W$4:$W$503,(_calc!$E$766-500)))=0,"",INDEX('My equipment'!$W$4:$W$503,(_calc!$E$766-500))))=0,"","Claim ref: "&amp;IF(LEN(INDEX('My equipment'!$W$4:$W$503,(_calc!$E$766-500)))=0,"",INDEX('My equipment'!$W$4:$W$503,(_calc!$E$766-500)))&amp;". ")&amp;IF(LEN(IF(LEN(INDEX('My equipment'!$Y$4:$Y$503,(_calc!$E$766-500)))=0,"",INDEX('My equipment'!$Y$4:$Y$503,(_calc!$E$766-500))))=0,"",IF(LEN(INDEX('My equipment'!$Y$4:$Y$503,(_calc!$E$766-500)))=0,"",INDEX('My equipment'!$Y$4:$Y$503,(_calc!$E$766-500)))))))</f>
        <v/>
      </c>
      <c r="G764" s="54">
        <f>IF(_calc!$E$766="","",IF(_calc!$E$766&lt;=500,"",IF(LEN(INDEX('My equipment'!$X$4:$X$503,(_calc!$E$766-500)))=0,"",INDEX('My equipment'!$X$4:$X$503,(_calc!$E$766-500)))))</f>
        <v/>
      </c>
      <c r="K764" s="54">
        <f>IF(_calc!$E$766="","",IF(_calc!$E$766&lt;=500,"",IF(LEN(INDEX('My equipment'!$T$4:$T$503,(_calc!$E$766-500)))=0,"",INDEX('My equipment'!$T$4:$T$503,(_calc!$E$766-500)))))</f>
        <v/>
      </c>
    </row>
    <row r="765">
      <c r="A765" s="54">
        <f>IF(_calc!$E$767="","",IF(_calc!$E$767&lt;=500,"Warranty – "&amp;IF(LEN(INDEX('Dealer pipeline'!$C$4:$C$503,_calc!$E$767))=0,"",INDEX('Dealer pipeline'!$C$4:$C$503,_calc!$E$767))&amp;" – "&amp;IF(LEN(INDEX('Dealer pipeline'!$D$4:$D$503,_calc!$E$767))=0,"",INDEX('Dealer pipeline'!$D$4:$D$503,_calc!$E$767))&amp;" – "&amp;IF(LEN(INDEX('Dealer pipeline'!$A$4:$A$503,_calc!$E$767))=0,"",INDEX('Dealer pipeline'!$A$4:$A$503,_calc!$E$767)),"Warranty – "&amp;IF(LEN(INDEX('My equipment'!$A$4:$A$503,(_calc!$E$767-500)))=0,"",INDEX('My equipment'!$A$4:$A$503,(_calc!$E$767-500)))&amp;" – "&amp;IF(LEN(INDEX('My equipment'!$D$4:$D$503,(_calc!$E$767-500)))=0,"",INDEX('My equipment'!$D$4:$D$503,(_calc!$E$767-500)))))</f>
        <v/>
      </c>
      <c r="B765" s="54">
        <f>IF(_calc!$E$767="","",IF(_calc!$E$767&lt;=500,IF(ISNUMBER(INDEX('Dealer pipeline'!$M$4:$M$503,_calc!$E$767)),TEXT(INDEX('Dealer pipeline'!$M$4:$M$503,_calc!$E$767),"yyyy-mm-dd"),""),IF(ISNUMBER(INDEX('My equipment'!$M$4:$M$503,(_calc!$E$767-500))),TEXT(INDEX('My equipment'!$M$4:$M$503,(_calc!$E$767-500)),"yyyy-mm-dd"),"")))</f>
        <v/>
      </c>
      <c r="C765" s="54">
        <f>IF(_calc!$E$767="","",IF(_calc!$E$767&lt;=500,"Warranty","Warranty"))</f>
        <v/>
      </c>
      <c r="D765" s="54">
        <f>IF(_calc!$E$767="","",IF(_calc!$E$767&lt;=500,IF(ISNUMBER(INDEX('Dealer pipeline'!$H$4:$H$503,_calc!$E$767)),TEXT(INDEX('Dealer pipeline'!$H$4:$H$503,_calc!$E$767),"yyyy-mm-dd"),""),IF(ISNUMBER(INDEX('My equipment'!$H$4:$H$503,(_calc!$E$767-500))),TEXT(INDEX('My equipment'!$H$4:$H$503,(_calc!$E$767-500)),"yyyy-mm-dd"),"")))</f>
        <v/>
      </c>
      <c r="F765" s="54">
        <f>IF(_calc!$E$767="","",IF(_calc!$E$767&lt;=500,TRIM(IF(LEN(IF(LEN(INDEX('Dealer pipeline'!$A$4:$A$503,_calc!$E$767))=0,"",INDEX('Dealer pipeline'!$A$4:$A$503,_calc!$E$767)))=0,"","Customer: "&amp;IF(LEN(INDEX('Dealer pipeline'!$A$4:$A$503,_calc!$E$767))=0,"",INDEX('Dealer pipeline'!$A$4:$A$503,_calc!$E$767))&amp;". ")&amp;IF(LEN(IF(LEN(INDEX('Dealer pipeline'!$B$4:$B$503,_calc!$E$767))=0,"",INDEX('Dealer pipeline'!$B$4:$B$503,_calc!$E$767)))=0,"","Contact: "&amp;IF(LEN(INDEX('Dealer pipeline'!$B$4:$B$503,_calc!$E$767))=0,"",INDEX('Dealer pipeline'!$B$4:$B$503,_calc!$E$767))&amp;". ")&amp;IF(LEN(IF(LEN(INDEX('Dealer pipeline'!$D$4:$D$503,_calc!$E$767))=0,"",INDEX('Dealer pipeline'!$D$4:$D$503,_calc!$E$767)))=0,"","Serial: "&amp;IF(LEN(INDEX('Dealer pipeline'!$D$4:$D$503,_calc!$E$767))=0,"",INDEX('Dealer pipeline'!$D$4:$D$503,_calc!$E$767))&amp;". ")&amp;IF(LEN(IF(ISNUMBER(INDEX('Dealer pipeline'!$J$4:$J$503,_calc!$E$767)),TEXT(INDEX('Dealer pipeline'!$J$4:$J$503,_calc!$E$767),"yyyy-mm-dd"),""))=0,"","Parts end: "&amp;IF(ISNUMBER(INDEX('Dealer pipeline'!$J$4:$J$503,_calc!$E$767)),TEXT(INDEX('Dealer pipeline'!$J$4:$J$503,_calc!$E$767),"yyyy-mm-dd"),"")&amp;". ")&amp;IF(LEN(IF(ISNUMBER(INDEX('Dealer pipeline'!$L$4:$L$503,_calc!$E$767)),TEXT(INDEX('Dealer pipeline'!$L$4:$L$503,_calc!$E$767),"yyyy-mm-dd"),""))=0,"","Labor end: "&amp;IF(ISNUMBER(INDEX('Dealer pipeline'!$L$4:$L$503,_calc!$E$767)),TEXT(INDEX('Dealer pipeline'!$L$4:$L$503,_calc!$E$767),"yyyy-mm-dd"),"")&amp;". ")&amp;IF(LEN(IF(LEN(INDEX('Dealer pipeline'!$Q$4:$Q$503,_calc!$E$767))=0,"",INDEX('Dealer pipeline'!$Q$4:$Q$503,_calc!$E$767)))=0,"","Status: "&amp;IF(LEN(INDEX('Dealer pipeline'!$Q$4:$Q$503,_calc!$E$767))=0,"",INDEX('Dealer pipeline'!$Q$4:$Q$503,_calc!$E$767))&amp;". ")&amp;IF(LEN(IF(LEN(INDEX('Dealer pipeline'!$P$4:$P$503,_calc!$E$767))=0,"",INDEX('Dealer pipeline'!$P$4:$P$503,_calc!$E$767)))=0,"","Last touch: "&amp;IF(LEN(INDEX('Dealer pipeline'!$P$4:$P$503,_calc!$E$767))=0,"",INDEX('Dealer pipeline'!$P$4:$P$503,_calc!$E$767))&amp;". ")&amp;IF(LEN(IF(LEN(INDEX('Dealer pipeline'!$R$4:$R$503,_calc!$E$767))=0,"",INDEX('Dealer pipeline'!$R$4:$R$503,_calc!$E$767)))=0,"","Owner: "&amp;IF(LEN(INDEX('Dealer pipeline'!$R$4:$R$503,_calc!$E$767))=0,"",INDEX('Dealer pipeline'!$R$4:$R$503,_calc!$E$767))&amp;". ")&amp;IF(LEN(IF(LEN(INDEX('Dealer pipeline'!$S$4:$S$503,_calc!$E$767))=0,"",INDEX('Dealer pipeline'!$S$4:$S$503,_calc!$E$767)))=0,"","Backup: "&amp;IF(LEN(INDEX('Dealer pipeline'!$S$4:$S$503,_calc!$E$767))=0,"",INDEX('Dealer pipeline'!$S$4:$S$503,_calc!$E$767))&amp;". ")&amp;IF(LEN(IF(LEN(INDEX('Dealer pipeline'!$T$4:$T$503,_calc!$E$767))=0,"",INDEX('Dealer pipeline'!$T$4:$T$503,_calc!$E$767)))=0,"",IF(LEN(INDEX('Dealer pipeline'!$T$4:$T$503,_calc!$E$767))=0,"",INDEX('Dealer pipeline'!$T$4:$T$503,_calc!$E$767)))),TRIM(IF(LEN(IF(LEN(INDEX('My equipment'!$C$4:$C$503,(_calc!$E$767-500)))=0,"",INDEX('My equipment'!$C$4:$C$503,(_calc!$E$767-500))))=0,"","Model: "&amp;IF(LEN(INDEX('My equipment'!$C$4:$C$503,(_calc!$E$767-500)))=0,"",INDEX('My equipment'!$C$4:$C$503,(_calc!$E$767-500)))&amp;". ")&amp;IF(LEN(IF(LEN(INDEX('My equipment'!$D$4:$D$503,(_calc!$E$767-500)))=0,"",INDEX('My equipment'!$D$4:$D$503,(_calc!$E$767-500))))=0,"","Serial: "&amp;IF(LEN(INDEX('My equipment'!$D$4:$D$503,(_calc!$E$767-500)))=0,"",INDEX('My equipment'!$D$4:$D$503,(_calc!$E$767-500)))&amp;". ")&amp;IF(LEN(IF(ISNUMBER(INDEX('My equipment'!$J$4:$J$503,(_calc!$E$767-500))),TEXT(INDEX('My equipment'!$J$4:$J$503,(_calc!$E$767-500)),"yyyy-mm-dd"),""))=0,"","Parts end: "&amp;IF(ISNUMBER(INDEX('My equipment'!$J$4:$J$503,(_calc!$E$767-500))),TEXT(INDEX('My equipment'!$J$4:$J$503,(_calc!$E$767-500)),"yyyy-mm-dd"),"")&amp;". ")&amp;IF(LEN(IF(ISNUMBER(INDEX('My equipment'!$L$4:$L$503,(_calc!$E$767-500))),TEXT(INDEX('My equipment'!$L$4:$L$503,(_calc!$E$767-500)),"yyyy-mm-dd"),""))=0,"","Labor end: "&amp;IF(ISNUMBER(INDEX('My equipment'!$L$4:$L$503,(_calc!$E$767-500))),TEXT(INDEX('My equipment'!$L$4:$L$503,(_calc!$E$767-500)),"yyyy-mm-dd"),"")&amp;". ")&amp;IF(LEN(IF(ISNUMBER(INDEX('My equipment'!$P$4:$P$503,(_calc!$E$767-500))),TEXT(INDEX('My equipment'!$P$4:$P$503,(_calc!$E$767-500)),"yyyy-mm-dd"),""))=0,"","Check by: "&amp;IF(ISNUMBER(INDEX('My equipment'!$P$4:$P$503,(_calc!$E$767-500))),TEXT(INDEX('My equipment'!$P$4:$P$503,(_calc!$E$767-500)),"yyyy-mm-dd"),"")&amp;". ")&amp;IF(LEN(IF(LEN(INDEX('My equipment'!$Q$4:$Q$503,(_calc!$E$767-500)))=0,"",INDEX('My equipment'!$Q$4:$Q$503,(_calc!$E$767-500))))=0,"","Claim status: "&amp;IF(LEN(INDEX('My equipment'!$Q$4:$Q$503,(_calc!$E$767-500)))=0,"",INDEX('My equipment'!$Q$4:$Q$503,(_calc!$E$767-500)))&amp;". ")&amp;IF(LEN(IF(LEN(INDEX('My equipment'!$R$4:$R$503,(_calc!$E$767-500)))=0,"",INDEX('My equipment'!$R$4:$R$503,(_calc!$E$767-500))))=0,"","Claims contact: "&amp;IF(LEN(INDEX('My equipment'!$R$4:$R$503,(_calc!$E$767-500)))=0,"",INDEX('My equipment'!$R$4:$R$503,(_calc!$E$767-500)))&amp;". ")&amp;IF(LEN(IF(LEN(INDEX('My equipment'!$S$4:$S$503,(_calc!$E$767-500)))=0,"",INDEX('My equipment'!$S$4:$S$503,(_calc!$E$767-500))))=0,"","Claims email: "&amp;IF(LEN(INDEX('My equipment'!$S$4:$S$503,(_calc!$E$767-500)))=0,"",INDEX('My equipment'!$S$4:$S$503,(_calc!$E$767-500)))&amp;". ")&amp;IF(LEN(IF(LEN(INDEX('My equipment'!$U$4:$U$503,(_calc!$E$767-500)))=0,"",INDEX('My equipment'!$U$4:$U$503,(_calc!$E$767-500))))=0,"","Registered: "&amp;IF(LEN(INDEX('My equipment'!$U$4:$U$503,(_calc!$E$767-500)))=0,"",INDEX('My equipment'!$U$4:$U$503,(_calc!$E$767-500)))&amp;". ")&amp;IF(LEN(IF(LEN(INDEX('My equipment'!$V$4:$V$503,(_calc!$E$767-500)))=0,"",INDEX('My equipment'!$V$4:$V$503,(_calc!$E$767-500))))=0,"","Proof on file: "&amp;IF(LEN(INDEX('My equipment'!$V$4:$V$503,(_calc!$E$767-500)))=0,"",INDEX('My equipment'!$V$4:$V$503,(_calc!$E$767-500)))&amp;". ")&amp;IF(LEN(IF(LEN(INDEX('My equipment'!$W$4:$W$503,(_calc!$E$767-500)))=0,"",INDEX('My equipment'!$W$4:$W$503,(_calc!$E$767-500))))=0,"","Claim ref: "&amp;IF(LEN(INDEX('My equipment'!$W$4:$W$503,(_calc!$E$767-500)))=0,"",INDEX('My equipment'!$W$4:$W$503,(_calc!$E$767-500)))&amp;". ")&amp;IF(LEN(IF(LEN(INDEX('My equipment'!$Y$4:$Y$503,(_calc!$E$767-500)))=0,"",INDEX('My equipment'!$Y$4:$Y$503,(_calc!$E$767-500))))=0,"",IF(LEN(INDEX('My equipment'!$Y$4:$Y$503,(_calc!$E$767-500)))=0,"",INDEX('My equipment'!$Y$4:$Y$503,(_calc!$E$767-500)))))))</f>
        <v/>
      </c>
      <c r="G765" s="54">
        <f>IF(_calc!$E$767="","",IF(_calc!$E$767&lt;=500,"",IF(LEN(INDEX('My equipment'!$X$4:$X$503,(_calc!$E$767-500)))=0,"",INDEX('My equipment'!$X$4:$X$503,(_calc!$E$767-500)))))</f>
        <v/>
      </c>
      <c r="K765" s="54">
        <f>IF(_calc!$E$767="","",IF(_calc!$E$767&lt;=500,"",IF(LEN(INDEX('My equipment'!$T$4:$T$503,(_calc!$E$767-500)))=0,"",INDEX('My equipment'!$T$4:$T$503,(_calc!$E$767-500)))))</f>
        <v/>
      </c>
    </row>
    <row r="766">
      <c r="A766" s="54">
        <f>IF(_calc!$E$768="","",IF(_calc!$E$768&lt;=500,"Warranty – "&amp;IF(LEN(INDEX('Dealer pipeline'!$C$4:$C$503,_calc!$E$768))=0,"",INDEX('Dealer pipeline'!$C$4:$C$503,_calc!$E$768))&amp;" – "&amp;IF(LEN(INDEX('Dealer pipeline'!$D$4:$D$503,_calc!$E$768))=0,"",INDEX('Dealer pipeline'!$D$4:$D$503,_calc!$E$768))&amp;" – "&amp;IF(LEN(INDEX('Dealer pipeline'!$A$4:$A$503,_calc!$E$768))=0,"",INDEX('Dealer pipeline'!$A$4:$A$503,_calc!$E$768)),"Warranty – "&amp;IF(LEN(INDEX('My equipment'!$A$4:$A$503,(_calc!$E$768-500)))=0,"",INDEX('My equipment'!$A$4:$A$503,(_calc!$E$768-500)))&amp;" – "&amp;IF(LEN(INDEX('My equipment'!$D$4:$D$503,(_calc!$E$768-500)))=0,"",INDEX('My equipment'!$D$4:$D$503,(_calc!$E$768-500)))))</f>
        <v/>
      </c>
      <c r="B766" s="54">
        <f>IF(_calc!$E$768="","",IF(_calc!$E$768&lt;=500,IF(ISNUMBER(INDEX('Dealer pipeline'!$M$4:$M$503,_calc!$E$768)),TEXT(INDEX('Dealer pipeline'!$M$4:$M$503,_calc!$E$768),"yyyy-mm-dd"),""),IF(ISNUMBER(INDEX('My equipment'!$M$4:$M$503,(_calc!$E$768-500))),TEXT(INDEX('My equipment'!$M$4:$M$503,(_calc!$E$768-500)),"yyyy-mm-dd"),"")))</f>
        <v/>
      </c>
      <c r="C766" s="54">
        <f>IF(_calc!$E$768="","",IF(_calc!$E$768&lt;=500,"Warranty","Warranty"))</f>
        <v/>
      </c>
      <c r="D766" s="54">
        <f>IF(_calc!$E$768="","",IF(_calc!$E$768&lt;=500,IF(ISNUMBER(INDEX('Dealer pipeline'!$H$4:$H$503,_calc!$E$768)),TEXT(INDEX('Dealer pipeline'!$H$4:$H$503,_calc!$E$768),"yyyy-mm-dd"),""),IF(ISNUMBER(INDEX('My equipment'!$H$4:$H$503,(_calc!$E$768-500))),TEXT(INDEX('My equipment'!$H$4:$H$503,(_calc!$E$768-500)),"yyyy-mm-dd"),"")))</f>
        <v/>
      </c>
      <c r="F766" s="54">
        <f>IF(_calc!$E$768="","",IF(_calc!$E$768&lt;=500,TRIM(IF(LEN(IF(LEN(INDEX('Dealer pipeline'!$A$4:$A$503,_calc!$E$768))=0,"",INDEX('Dealer pipeline'!$A$4:$A$503,_calc!$E$768)))=0,"","Customer: "&amp;IF(LEN(INDEX('Dealer pipeline'!$A$4:$A$503,_calc!$E$768))=0,"",INDEX('Dealer pipeline'!$A$4:$A$503,_calc!$E$768))&amp;". ")&amp;IF(LEN(IF(LEN(INDEX('Dealer pipeline'!$B$4:$B$503,_calc!$E$768))=0,"",INDEX('Dealer pipeline'!$B$4:$B$503,_calc!$E$768)))=0,"","Contact: "&amp;IF(LEN(INDEX('Dealer pipeline'!$B$4:$B$503,_calc!$E$768))=0,"",INDEX('Dealer pipeline'!$B$4:$B$503,_calc!$E$768))&amp;". ")&amp;IF(LEN(IF(LEN(INDEX('Dealer pipeline'!$D$4:$D$503,_calc!$E$768))=0,"",INDEX('Dealer pipeline'!$D$4:$D$503,_calc!$E$768)))=0,"","Serial: "&amp;IF(LEN(INDEX('Dealer pipeline'!$D$4:$D$503,_calc!$E$768))=0,"",INDEX('Dealer pipeline'!$D$4:$D$503,_calc!$E$768))&amp;". ")&amp;IF(LEN(IF(ISNUMBER(INDEX('Dealer pipeline'!$J$4:$J$503,_calc!$E$768)),TEXT(INDEX('Dealer pipeline'!$J$4:$J$503,_calc!$E$768),"yyyy-mm-dd"),""))=0,"","Parts end: "&amp;IF(ISNUMBER(INDEX('Dealer pipeline'!$J$4:$J$503,_calc!$E$768)),TEXT(INDEX('Dealer pipeline'!$J$4:$J$503,_calc!$E$768),"yyyy-mm-dd"),"")&amp;". ")&amp;IF(LEN(IF(ISNUMBER(INDEX('Dealer pipeline'!$L$4:$L$503,_calc!$E$768)),TEXT(INDEX('Dealer pipeline'!$L$4:$L$503,_calc!$E$768),"yyyy-mm-dd"),""))=0,"","Labor end: "&amp;IF(ISNUMBER(INDEX('Dealer pipeline'!$L$4:$L$503,_calc!$E$768)),TEXT(INDEX('Dealer pipeline'!$L$4:$L$503,_calc!$E$768),"yyyy-mm-dd"),"")&amp;". ")&amp;IF(LEN(IF(LEN(INDEX('Dealer pipeline'!$Q$4:$Q$503,_calc!$E$768))=0,"",INDEX('Dealer pipeline'!$Q$4:$Q$503,_calc!$E$768)))=0,"","Status: "&amp;IF(LEN(INDEX('Dealer pipeline'!$Q$4:$Q$503,_calc!$E$768))=0,"",INDEX('Dealer pipeline'!$Q$4:$Q$503,_calc!$E$768))&amp;". ")&amp;IF(LEN(IF(LEN(INDEX('Dealer pipeline'!$P$4:$P$503,_calc!$E$768))=0,"",INDEX('Dealer pipeline'!$P$4:$P$503,_calc!$E$768)))=0,"","Last touch: "&amp;IF(LEN(INDEX('Dealer pipeline'!$P$4:$P$503,_calc!$E$768))=0,"",INDEX('Dealer pipeline'!$P$4:$P$503,_calc!$E$768))&amp;". ")&amp;IF(LEN(IF(LEN(INDEX('Dealer pipeline'!$R$4:$R$503,_calc!$E$768))=0,"",INDEX('Dealer pipeline'!$R$4:$R$503,_calc!$E$768)))=0,"","Owner: "&amp;IF(LEN(INDEX('Dealer pipeline'!$R$4:$R$503,_calc!$E$768))=0,"",INDEX('Dealer pipeline'!$R$4:$R$503,_calc!$E$768))&amp;". ")&amp;IF(LEN(IF(LEN(INDEX('Dealer pipeline'!$S$4:$S$503,_calc!$E$768))=0,"",INDEX('Dealer pipeline'!$S$4:$S$503,_calc!$E$768)))=0,"","Backup: "&amp;IF(LEN(INDEX('Dealer pipeline'!$S$4:$S$503,_calc!$E$768))=0,"",INDEX('Dealer pipeline'!$S$4:$S$503,_calc!$E$768))&amp;". ")&amp;IF(LEN(IF(LEN(INDEX('Dealer pipeline'!$T$4:$T$503,_calc!$E$768))=0,"",INDEX('Dealer pipeline'!$T$4:$T$503,_calc!$E$768)))=0,"",IF(LEN(INDEX('Dealer pipeline'!$T$4:$T$503,_calc!$E$768))=0,"",INDEX('Dealer pipeline'!$T$4:$T$503,_calc!$E$768)))),TRIM(IF(LEN(IF(LEN(INDEX('My equipment'!$C$4:$C$503,(_calc!$E$768-500)))=0,"",INDEX('My equipment'!$C$4:$C$503,(_calc!$E$768-500))))=0,"","Model: "&amp;IF(LEN(INDEX('My equipment'!$C$4:$C$503,(_calc!$E$768-500)))=0,"",INDEX('My equipment'!$C$4:$C$503,(_calc!$E$768-500)))&amp;". ")&amp;IF(LEN(IF(LEN(INDEX('My equipment'!$D$4:$D$503,(_calc!$E$768-500)))=0,"",INDEX('My equipment'!$D$4:$D$503,(_calc!$E$768-500))))=0,"","Serial: "&amp;IF(LEN(INDEX('My equipment'!$D$4:$D$503,(_calc!$E$768-500)))=0,"",INDEX('My equipment'!$D$4:$D$503,(_calc!$E$768-500)))&amp;". ")&amp;IF(LEN(IF(ISNUMBER(INDEX('My equipment'!$J$4:$J$503,(_calc!$E$768-500))),TEXT(INDEX('My equipment'!$J$4:$J$503,(_calc!$E$768-500)),"yyyy-mm-dd"),""))=0,"","Parts end: "&amp;IF(ISNUMBER(INDEX('My equipment'!$J$4:$J$503,(_calc!$E$768-500))),TEXT(INDEX('My equipment'!$J$4:$J$503,(_calc!$E$768-500)),"yyyy-mm-dd"),"")&amp;". ")&amp;IF(LEN(IF(ISNUMBER(INDEX('My equipment'!$L$4:$L$503,(_calc!$E$768-500))),TEXT(INDEX('My equipment'!$L$4:$L$503,(_calc!$E$768-500)),"yyyy-mm-dd"),""))=0,"","Labor end: "&amp;IF(ISNUMBER(INDEX('My equipment'!$L$4:$L$503,(_calc!$E$768-500))),TEXT(INDEX('My equipment'!$L$4:$L$503,(_calc!$E$768-500)),"yyyy-mm-dd"),"")&amp;". ")&amp;IF(LEN(IF(ISNUMBER(INDEX('My equipment'!$P$4:$P$503,(_calc!$E$768-500))),TEXT(INDEX('My equipment'!$P$4:$P$503,(_calc!$E$768-500)),"yyyy-mm-dd"),""))=0,"","Check by: "&amp;IF(ISNUMBER(INDEX('My equipment'!$P$4:$P$503,(_calc!$E$768-500))),TEXT(INDEX('My equipment'!$P$4:$P$503,(_calc!$E$768-500)),"yyyy-mm-dd"),"")&amp;". ")&amp;IF(LEN(IF(LEN(INDEX('My equipment'!$Q$4:$Q$503,(_calc!$E$768-500)))=0,"",INDEX('My equipment'!$Q$4:$Q$503,(_calc!$E$768-500))))=0,"","Claim status: "&amp;IF(LEN(INDEX('My equipment'!$Q$4:$Q$503,(_calc!$E$768-500)))=0,"",INDEX('My equipment'!$Q$4:$Q$503,(_calc!$E$768-500)))&amp;". ")&amp;IF(LEN(IF(LEN(INDEX('My equipment'!$R$4:$R$503,(_calc!$E$768-500)))=0,"",INDEX('My equipment'!$R$4:$R$503,(_calc!$E$768-500))))=0,"","Claims contact: "&amp;IF(LEN(INDEX('My equipment'!$R$4:$R$503,(_calc!$E$768-500)))=0,"",INDEX('My equipment'!$R$4:$R$503,(_calc!$E$768-500)))&amp;". ")&amp;IF(LEN(IF(LEN(INDEX('My equipment'!$S$4:$S$503,(_calc!$E$768-500)))=0,"",INDEX('My equipment'!$S$4:$S$503,(_calc!$E$768-500))))=0,"","Claims email: "&amp;IF(LEN(INDEX('My equipment'!$S$4:$S$503,(_calc!$E$768-500)))=0,"",INDEX('My equipment'!$S$4:$S$503,(_calc!$E$768-500)))&amp;". ")&amp;IF(LEN(IF(LEN(INDEX('My equipment'!$U$4:$U$503,(_calc!$E$768-500)))=0,"",INDEX('My equipment'!$U$4:$U$503,(_calc!$E$768-500))))=0,"","Registered: "&amp;IF(LEN(INDEX('My equipment'!$U$4:$U$503,(_calc!$E$768-500)))=0,"",INDEX('My equipment'!$U$4:$U$503,(_calc!$E$768-500)))&amp;". ")&amp;IF(LEN(IF(LEN(INDEX('My equipment'!$V$4:$V$503,(_calc!$E$768-500)))=0,"",INDEX('My equipment'!$V$4:$V$503,(_calc!$E$768-500))))=0,"","Proof on file: "&amp;IF(LEN(INDEX('My equipment'!$V$4:$V$503,(_calc!$E$768-500)))=0,"",INDEX('My equipment'!$V$4:$V$503,(_calc!$E$768-500)))&amp;". ")&amp;IF(LEN(IF(LEN(INDEX('My equipment'!$W$4:$W$503,(_calc!$E$768-500)))=0,"",INDEX('My equipment'!$W$4:$W$503,(_calc!$E$768-500))))=0,"","Claim ref: "&amp;IF(LEN(INDEX('My equipment'!$W$4:$W$503,(_calc!$E$768-500)))=0,"",INDEX('My equipment'!$W$4:$W$503,(_calc!$E$768-500)))&amp;". ")&amp;IF(LEN(IF(LEN(INDEX('My equipment'!$Y$4:$Y$503,(_calc!$E$768-500)))=0,"",INDEX('My equipment'!$Y$4:$Y$503,(_calc!$E$768-500))))=0,"",IF(LEN(INDEX('My equipment'!$Y$4:$Y$503,(_calc!$E$768-500)))=0,"",INDEX('My equipment'!$Y$4:$Y$503,(_calc!$E$768-500)))))))</f>
        <v/>
      </c>
      <c r="G766" s="54">
        <f>IF(_calc!$E$768="","",IF(_calc!$E$768&lt;=500,"",IF(LEN(INDEX('My equipment'!$X$4:$X$503,(_calc!$E$768-500)))=0,"",INDEX('My equipment'!$X$4:$X$503,(_calc!$E$768-500)))))</f>
        <v/>
      </c>
      <c r="K766" s="54">
        <f>IF(_calc!$E$768="","",IF(_calc!$E$768&lt;=500,"",IF(LEN(INDEX('My equipment'!$T$4:$T$503,(_calc!$E$768-500)))=0,"",INDEX('My equipment'!$T$4:$T$503,(_calc!$E$768-500)))))</f>
        <v/>
      </c>
    </row>
    <row r="767">
      <c r="A767" s="54">
        <f>IF(_calc!$E$769="","",IF(_calc!$E$769&lt;=500,"Warranty – "&amp;IF(LEN(INDEX('Dealer pipeline'!$C$4:$C$503,_calc!$E$769))=0,"",INDEX('Dealer pipeline'!$C$4:$C$503,_calc!$E$769))&amp;" – "&amp;IF(LEN(INDEX('Dealer pipeline'!$D$4:$D$503,_calc!$E$769))=0,"",INDEX('Dealer pipeline'!$D$4:$D$503,_calc!$E$769))&amp;" – "&amp;IF(LEN(INDEX('Dealer pipeline'!$A$4:$A$503,_calc!$E$769))=0,"",INDEX('Dealer pipeline'!$A$4:$A$503,_calc!$E$769)),"Warranty – "&amp;IF(LEN(INDEX('My equipment'!$A$4:$A$503,(_calc!$E$769-500)))=0,"",INDEX('My equipment'!$A$4:$A$503,(_calc!$E$769-500)))&amp;" – "&amp;IF(LEN(INDEX('My equipment'!$D$4:$D$503,(_calc!$E$769-500)))=0,"",INDEX('My equipment'!$D$4:$D$503,(_calc!$E$769-500)))))</f>
        <v/>
      </c>
      <c r="B767" s="54">
        <f>IF(_calc!$E$769="","",IF(_calc!$E$769&lt;=500,IF(ISNUMBER(INDEX('Dealer pipeline'!$M$4:$M$503,_calc!$E$769)),TEXT(INDEX('Dealer pipeline'!$M$4:$M$503,_calc!$E$769),"yyyy-mm-dd"),""),IF(ISNUMBER(INDEX('My equipment'!$M$4:$M$503,(_calc!$E$769-500))),TEXT(INDEX('My equipment'!$M$4:$M$503,(_calc!$E$769-500)),"yyyy-mm-dd"),"")))</f>
        <v/>
      </c>
      <c r="C767" s="54">
        <f>IF(_calc!$E$769="","",IF(_calc!$E$769&lt;=500,"Warranty","Warranty"))</f>
        <v/>
      </c>
      <c r="D767" s="54">
        <f>IF(_calc!$E$769="","",IF(_calc!$E$769&lt;=500,IF(ISNUMBER(INDEX('Dealer pipeline'!$H$4:$H$503,_calc!$E$769)),TEXT(INDEX('Dealer pipeline'!$H$4:$H$503,_calc!$E$769),"yyyy-mm-dd"),""),IF(ISNUMBER(INDEX('My equipment'!$H$4:$H$503,(_calc!$E$769-500))),TEXT(INDEX('My equipment'!$H$4:$H$503,(_calc!$E$769-500)),"yyyy-mm-dd"),"")))</f>
        <v/>
      </c>
      <c r="F767" s="54">
        <f>IF(_calc!$E$769="","",IF(_calc!$E$769&lt;=500,TRIM(IF(LEN(IF(LEN(INDEX('Dealer pipeline'!$A$4:$A$503,_calc!$E$769))=0,"",INDEX('Dealer pipeline'!$A$4:$A$503,_calc!$E$769)))=0,"","Customer: "&amp;IF(LEN(INDEX('Dealer pipeline'!$A$4:$A$503,_calc!$E$769))=0,"",INDEX('Dealer pipeline'!$A$4:$A$503,_calc!$E$769))&amp;". ")&amp;IF(LEN(IF(LEN(INDEX('Dealer pipeline'!$B$4:$B$503,_calc!$E$769))=0,"",INDEX('Dealer pipeline'!$B$4:$B$503,_calc!$E$769)))=0,"","Contact: "&amp;IF(LEN(INDEX('Dealer pipeline'!$B$4:$B$503,_calc!$E$769))=0,"",INDEX('Dealer pipeline'!$B$4:$B$503,_calc!$E$769))&amp;". ")&amp;IF(LEN(IF(LEN(INDEX('Dealer pipeline'!$D$4:$D$503,_calc!$E$769))=0,"",INDEX('Dealer pipeline'!$D$4:$D$503,_calc!$E$769)))=0,"","Serial: "&amp;IF(LEN(INDEX('Dealer pipeline'!$D$4:$D$503,_calc!$E$769))=0,"",INDEX('Dealer pipeline'!$D$4:$D$503,_calc!$E$769))&amp;". ")&amp;IF(LEN(IF(ISNUMBER(INDEX('Dealer pipeline'!$J$4:$J$503,_calc!$E$769)),TEXT(INDEX('Dealer pipeline'!$J$4:$J$503,_calc!$E$769),"yyyy-mm-dd"),""))=0,"","Parts end: "&amp;IF(ISNUMBER(INDEX('Dealer pipeline'!$J$4:$J$503,_calc!$E$769)),TEXT(INDEX('Dealer pipeline'!$J$4:$J$503,_calc!$E$769),"yyyy-mm-dd"),"")&amp;". ")&amp;IF(LEN(IF(ISNUMBER(INDEX('Dealer pipeline'!$L$4:$L$503,_calc!$E$769)),TEXT(INDEX('Dealer pipeline'!$L$4:$L$503,_calc!$E$769),"yyyy-mm-dd"),""))=0,"","Labor end: "&amp;IF(ISNUMBER(INDEX('Dealer pipeline'!$L$4:$L$503,_calc!$E$769)),TEXT(INDEX('Dealer pipeline'!$L$4:$L$503,_calc!$E$769),"yyyy-mm-dd"),"")&amp;". ")&amp;IF(LEN(IF(LEN(INDEX('Dealer pipeline'!$Q$4:$Q$503,_calc!$E$769))=0,"",INDEX('Dealer pipeline'!$Q$4:$Q$503,_calc!$E$769)))=0,"","Status: "&amp;IF(LEN(INDEX('Dealer pipeline'!$Q$4:$Q$503,_calc!$E$769))=0,"",INDEX('Dealer pipeline'!$Q$4:$Q$503,_calc!$E$769))&amp;". ")&amp;IF(LEN(IF(LEN(INDEX('Dealer pipeline'!$P$4:$P$503,_calc!$E$769))=0,"",INDEX('Dealer pipeline'!$P$4:$P$503,_calc!$E$769)))=0,"","Last touch: "&amp;IF(LEN(INDEX('Dealer pipeline'!$P$4:$P$503,_calc!$E$769))=0,"",INDEX('Dealer pipeline'!$P$4:$P$503,_calc!$E$769))&amp;". ")&amp;IF(LEN(IF(LEN(INDEX('Dealer pipeline'!$R$4:$R$503,_calc!$E$769))=0,"",INDEX('Dealer pipeline'!$R$4:$R$503,_calc!$E$769)))=0,"","Owner: "&amp;IF(LEN(INDEX('Dealer pipeline'!$R$4:$R$503,_calc!$E$769))=0,"",INDEX('Dealer pipeline'!$R$4:$R$503,_calc!$E$769))&amp;". ")&amp;IF(LEN(IF(LEN(INDEX('Dealer pipeline'!$S$4:$S$503,_calc!$E$769))=0,"",INDEX('Dealer pipeline'!$S$4:$S$503,_calc!$E$769)))=0,"","Backup: "&amp;IF(LEN(INDEX('Dealer pipeline'!$S$4:$S$503,_calc!$E$769))=0,"",INDEX('Dealer pipeline'!$S$4:$S$503,_calc!$E$769))&amp;". ")&amp;IF(LEN(IF(LEN(INDEX('Dealer pipeline'!$T$4:$T$503,_calc!$E$769))=0,"",INDEX('Dealer pipeline'!$T$4:$T$503,_calc!$E$769)))=0,"",IF(LEN(INDEX('Dealer pipeline'!$T$4:$T$503,_calc!$E$769))=0,"",INDEX('Dealer pipeline'!$T$4:$T$503,_calc!$E$769)))),TRIM(IF(LEN(IF(LEN(INDEX('My equipment'!$C$4:$C$503,(_calc!$E$769-500)))=0,"",INDEX('My equipment'!$C$4:$C$503,(_calc!$E$769-500))))=0,"","Model: "&amp;IF(LEN(INDEX('My equipment'!$C$4:$C$503,(_calc!$E$769-500)))=0,"",INDEX('My equipment'!$C$4:$C$503,(_calc!$E$769-500)))&amp;". ")&amp;IF(LEN(IF(LEN(INDEX('My equipment'!$D$4:$D$503,(_calc!$E$769-500)))=0,"",INDEX('My equipment'!$D$4:$D$503,(_calc!$E$769-500))))=0,"","Serial: "&amp;IF(LEN(INDEX('My equipment'!$D$4:$D$503,(_calc!$E$769-500)))=0,"",INDEX('My equipment'!$D$4:$D$503,(_calc!$E$769-500)))&amp;". ")&amp;IF(LEN(IF(ISNUMBER(INDEX('My equipment'!$J$4:$J$503,(_calc!$E$769-500))),TEXT(INDEX('My equipment'!$J$4:$J$503,(_calc!$E$769-500)),"yyyy-mm-dd"),""))=0,"","Parts end: "&amp;IF(ISNUMBER(INDEX('My equipment'!$J$4:$J$503,(_calc!$E$769-500))),TEXT(INDEX('My equipment'!$J$4:$J$503,(_calc!$E$769-500)),"yyyy-mm-dd"),"")&amp;". ")&amp;IF(LEN(IF(ISNUMBER(INDEX('My equipment'!$L$4:$L$503,(_calc!$E$769-500))),TEXT(INDEX('My equipment'!$L$4:$L$503,(_calc!$E$769-500)),"yyyy-mm-dd"),""))=0,"","Labor end: "&amp;IF(ISNUMBER(INDEX('My equipment'!$L$4:$L$503,(_calc!$E$769-500))),TEXT(INDEX('My equipment'!$L$4:$L$503,(_calc!$E$769-500)),"yyyy-mm-dd"),"")&amp;". ")&amp;IF(LEN(IF(ISNUMBER(INDEX('My equipment'!$P$4:$P$503,(_calc!$E$769-500))),TEXT(INDEX('My equipment'!$P$4:$P$503,(_calc!$E$769-500)),"yyyy-mm-dd"),""))=0,"","Check by: "&amp;IF(ISNUMBER(INDEX('My equipment'!$P$4:$P$503,(_calc!$E$769-500))),TEXT(INDEX('My equipment'!$P$4:$P$503,(_calc!$E$769-500)),"yyyy-mm-dd"),"")&amp;". ")&amp;IF(LEN(IF(LEN(INDEX('My equipment'!$Q$4:$Q$503,(_calc!$E$769-500)))=0,"",INDEX('My equipment'!$Q$4:$Q$503,(_calc!$E$769-500))))=0,"","Claim status: "&amp;IF(LEN(INDEX('My equipment'!$Q$4:$Q$503,(_calc!$E$769-500)))=0,"",INDEX('My equipment'!$Q$4:$Q$503,(_calc!$E$769-500)))&amp;". ")&amp;IF(LEN(IF(LEN(INDEX('My equipment'!$R$4:$R$503,(_calc!$E$769-500)))=0,"",INDEX('My equipment'!$R$4:$R$503,(_calc!$E$769-500))))=0,"","Claims contact: "&amp;IF(LEN(INDEX('My equipment'!$R$4:$R$503,(_calc!$E$769-500)))=0,"",INDEX('My equipment'!$R$4:$R$503,(_calc!$E$769-500)))&amp;". ")&amp;IF(LEN(IF(LEN(INDEX('My equipment'!$S$4:$S$503,(_calc!$E$769-500)))=0,"",INDEX('My equipment'!$S$4:$S$503,(_calc!$E$769-500))))=0,"","Claims email: "&amp;IF(LEN(INDEX('My equipment'!$S$4:$S$503,(_calc!$E$769-500)))=0,"",INDEX('My equipment'!$S$4:$S$503,(_calc!$E$769-500)))&amp;". ")&amp;IF(LEN(IF(LEN(INDEX('My equipment'!$U$4:$U$503,(_calc!$E$769-500)))=0,"",INDEX('My equipment'!$U$4:$U$503,(_calc!$E$769-500))))=0,"","Registered: "&amp;IF(LEN(INDEX('My equipment'!$U$4:$U$503,(_calc!$E$769-500)))=0,"",INDEX('My equipment'!$U$4:$U$503,(_calc!$E$769-500)))&amp;". ")&amp;IF(LEN(IF(LEN(INDEX('My equipment'!$V$4:$V$503,(_calc!$E$769-500)))=0,"",INDEX('My equipment'!$V$4:$V$503,(_calc!$E$769-500))))=0,"","Proof on file: "&amp;IF(LEN(INDEX('My equipment'!$V$4:$V$503,(_calc!$E$769-500)))=0,"",INDEX('My equipment'!$V$4:$V$503,(_calc!$E$769-500)))&amp;". ")&amp;IF(LEN(IF(LEN(INDEX('My equipment'!$W$4:$W$503,(_calc!$E$769-500)))=0,"",INDEX('My equipment'!$W$4:$W$503,(_calc!$E$769-500))))=0,"","Claim ref: "&amp;IF(LEN(INDEX('My equipment'!$W$4:$W$503,(_calc!$E$769-500)))=0,"",INDEX('My equipment'!$W$4:$W$503,(_calc!$E$769-500)))&amp;". ")&amp;IF(LEN(IF(LEN(INDEX('My equipment'!$Y$4:$Y$503,(_calc!$E$769-500)))=0,"",INDEX('My equipment'!$Y$4:$Y$503,(_calc!$E$769-500))))=0,"",IF(LEN(INDEX('My equipment'!$Y$4:$Y$503,(_calc!$E$769-500)))=0,"",INDEX('My equipment'!$Y$4:$Y$503,(_calc!$E$769-500)))))))</f>
        <v/>
      </c>
      <c r="G767" s="54">
        <f>IF(_calc!$E$769="","",IF(_calc!$E$769&lt;=500,"",IF(LEN(INDEX('My equipment'!$X$4:$X$503,(_calc!$E$769-500)))=0,"",INDEX('My equipment'!$X$4:$X$503,(_calc!$E$769-500)))))</f>
        <v/>
      </c>
      <c r="K767" s="54">
        <f>IF(_calc!$E$769="","",IF(_calc!$E$769&lt;=500,"",IF(LEN(INDEX('My equipment'!$T$4:$T$503,(_calc!$E$769-500)))=0,"",INDEX('My equipment'!$T$4:$T$503,(_calc!$E$769-500)))))</f>
        <v/>
      </c>
    </row>
    <row r="768">
      <c r="A768" s="54">
        <f>IF(_calc!$E$770="","",IF(_calc!$E$770&lt;=500,"Warranty – "&amp;IF(LEN(INDEX('Dealer pipeline'!$C$4:$C$503,_calc!$E$770))=0,"",INDEX('Dealer pipeline'!$C$4:$C$503,_calc!$E$770))&amp;" – "&amp;IF(LEN(INDEX('Dealer pipeline'!$D$4:$D$503,_calc!$E$770))=0,"",INDEX('Dealer pipeline'!$D$4:$D$503,_calc!$E$770))&amp;" – "&amp;IF(LEN(INDEX('Dealer pipeline'!$A$4:$A$503,_calc!$E$770))=0,"",INDEX('Dealer pipeline'!$A$4:$A$503,_calc!$E$770)),"Warranty – "&amp;IF(LEN(INDEX('My equipment'!$A$4:$A$503,(_calc!$E$770-500)))=0,"",INDEX('My equipment'!$A$4:$A$503,(_calc!$E$770-500)))&amp;" – "&amp;IF(LEN(INDEX('My equipment'!$D$4:$D$503,(_calc!$E$770-500)))=0,"",INDEX('My equipment'!$D$4:$D$503,(_calc!$E$770-500)))))</f>
        <v/>
      </c>
      <c r="B768" s="54">
        <f>IF(_calc!$E$770="","",IF(_calc!$E$770&lt;=500,IF(ISNUMBER(INDEX('Dealer pipeline'!$M$4:$M$503,_calc!$E$770)),TEXT(INDEX('Dealer pipeline'!$M$4:$M$503,_calc!$E$770),"yyyy-mm-dd"),""),IF(ISNUMBER(INDEX('My equipment'!$M$4:$M$503,(_calc!$E$770-500))),TEXT(INDEX('My equipment'!$M$4:$M$503,(_calc!$E$770-500)),"yyyy-mm-dd"),"")))</f>
        <v/>
      </c>
      <c r="C768" s="54">
        <f>IF(_calc!$E$770="","",IF(_calc!$E$770&lt;=500,"Warranty","Warranty"))</f>
        <v/>
      </c>
      <c r="D768" s="54">
        <f>IF(_calc!$E$770="","",IF(_calc!$E$770&lt;=500,IF(ISNUMBER(INDEX('Dealer pipeline'!$H$4:$H$503,_calc!$E$770)),TEXT(INDEX('Dealer pipeline'!$H$4:$H$503,_calc!$E$770),"yyyy-mm-dd"),""),IF(ISNUMBER(INDEX('My equipment'!$H$4:$H$503,(_calc!$E$770-500))),TEXT(INDEX('My equipment'!$H$4:$H$503,(_calc!$E$770-500)),"yyyy-mm-dd"),"")))</f>
        <v/>
      </c>
      <c r="F768" s="54">
        <f>IF(_calc!$E$770="","",IF(_calc!$E$770&lt;=500,TRIM(IF(LEN(IF(LEN(INDEX('Dealer pipeline'!$A$4:$A$503,_calc!$E$770))=0,"",INDEX('Dealer pipeline'!$A$4:$A$503,_calc!$E$770)))=0,"","Customer: "&amp;IF(LEN(INDEX('Dealer pipeline'!$A$4:$A$503,_calc!$E$770))=0,"",INDEX('Dealer pipeline'!$A$4:$A$503,_calc!$E$770))&amp;". ")&amp;IF(LEN(IF(LEN(INDEX('Dealer pipeline'!$B$4:$B$503,_calc!$E$770))=0,"",INDEX('Dealer pipeline'!$B$4:$B$503,_calc!$E$770)))=0,"","Contact: "&amp;IF(LEN(INDEX('Dealer pipeline'!$B$4:$B$503,_calc!$E$770))=0,"",INDEX('Dealer pipeline'!$B$4:$B$503,_calc!$E$770))&amp;". ")&amp;IF(LEN(IF(LEN(INDEX('Dealer pipeline'!$D$4:$D$503,_calc!$E$770))=0,"",INDEX('Dealer pipeline'!$D$4:$D$503,_calc!$E$770)))=0,"","Serial: "&amp;IF(LEN(INDEX('Dealer pipeline'!$D$4:$D$503,_calc!$E$770))=0,"",INDEX('Dealer pipeline'!$D$4:$D$503,_calc!$E$770))&amp;". ")&amp;IF(LEN(IF(ISNUMBER(INDEX('Dealer pipeline'!$J$4:$J$503,_calc!$E$770)),TEXT(INDEX('Dealer pipeline'!$J$4:$J$503,_calc!$E$770),"yyyy-mm-dd"),""))=0,"","Parts end: "&amp;IF(ISNUMBER(INDEX('Dealer pipeline'!$J$4:$J$503,_calc!$E$770)),TEXT(INDEX('Dealer pipeline'!$J$4:$J$503,_calc!$E$770),"yyyy-mm-dd"),"")&amp;". ")&amp;IF(LEN(IF(ISNUMBER(INDEX('Dealer pipeline'!$L$4:$L$503,_calc!$E$770)),TEXT(INDEX('Dealer pipeline'!$L$4:$L$503,_calc!$E$770),"yyyy-mm-dd"),""))=0,"","Labor end: "&amp;IF(ISNUMBER(INDEX('Dealer pipeline'!$L$4:$L$503,_calc!$E$770)),TEXT(INDEX('Dealer pipeline'!$L$4:$L$503,_calc!$E$770),"yyyy-mm-dd"),"")&amp;". ")&amp;IF(LEN(IF(LEN(INDEX('Dealer pipeline'!$Q$4:$Q$503,_calc!$E$770))=0,"",INDEX('Dealer pipeline'!$Q$4:$Q$503,_calc!$E$770)))=0,"","Status: "&amp;IF(LEN(INDEX('Dealer pipeline'!$Q$4:$Q$503,_calc!$E$770))=0,"",INDEX('Dealer pipeline'!$Q$4:$Q$503,_calc!$E$770))&amp;". ")&amp;IF(LEN(IF(LEN(INDEX('Dealer pipeline'!$P$4:$P$503,_calc!$E$770))=0,"",INDEX('Dealer pipeline'!$P$4:$P$503,_calc!$E$770)))=0,"","Last touch: "&amp;IF(LEN(INDEX('Dealer pipeline'!$P$4:$P$503,_calc!$E$770))=0,"",INDEX('Dealer pipeline'!$P$4:$P$503,_calc!$E$770))&amp;". ")&amp;IF(LEN(IF(LEN(INDEX('Dealer pipeline'!$R$4:$R$503,_calc!$E$770))=0,"",INDEX('Dealer pipeline'!$R$4:$R$503,_calc!$E$770)))=0,"","Owner: "&amp;IF(LEN(INDEX('Dealer pipeline'!$R$4:$R$503,_calc!$E$770))=0,"",INDEX('Dealer pipeline'!$R$4:$R$503,_calc!$E$770))&amp;". ")&amp;IF(LEN(IF(LEN(INDEX('Dealer pipeline'!$S$4:$S$503,_calc!$E$770))=0,"",INDEX('Dealer pipeline'!$S$4:$S$503,_calc!$E$770)))=0,"","Backup: "&amp;IF(LEN(INDEX('Dealer pipeline'!$S$4:$S$503,_calc!$E$770))=0,"",INDEX('Dealer pipeline'!$S$4:$S$503,_calc!$E$770))&amp;". ")&amp;IF(LEN(IF(LEN(INDEX('Dealer pipeline'!$T$4:$T$503,_calc!$E$770))=0,"",INDEX('Dealer pipeline'!$T$4:$T$503,_calc!$E$770)))=0,"",IF(LEN(INDEX('Dealer pipeline'!$T$4:$T$503,_calc!$E$770))=0,"",INDEX('Dealer pipeline'!$T$4:$T$503,_calc!$E$770)))),TRIM(IF(LEN(IF(LEN(INDEX('My equipment'!$C$4:$C$503,(_calc!$E$770-500)))=0,"",INDEX('My equipment'!$C$4:$C$503,(_calc!$E$770-500))))=0,"","Model: "&amp;IF(LEN(INDEX('My equipment'!$C$4:$C$503,(_calc!$E$770-500)))=0,"",INDEX('My equipment'!$C$4:$C$503,(_calc!$E$770-500)))&amp;". ")&amp;IF(LEN(IF(LEN(INDEX('My equipment'!$D$4:$D$503,(_calc!$E$770-500)))=0,"",INDEX('My equipment'!$D$4:$D$503,(_calc!$E$770-500))))=0,"","Serial: "&amp;IF(LEN(INDEX('My equipment'!$D$4:$D$503,(_calc!$E$770-500)))=0,"",INDEX('My equipment'!$D$4:$D$503,(_calc!$E$770-500)))&amp;". ")&amp;IF(LEN(IF(ISNUMBER(INDEX('My equipment'!$J$4:$J$503,(_calc!$E$770-500))),TEXT(INDEX('My equipment'!$J$4:$J$503,(_calc!$E$770-500)),"yyyy-mm-dd"),""))=0,"","Parts end: "&amp;IF(ISNUMBER(INDEX('My equipment'!$J$4:$J$503,(_calc!$E$770-500))),TEXT(INDEX('My equipment'!$J$4:$J$503,(_calc!$E$770-500)),"yyyy-mm-dd"),"")&amp;". ")&amp;IF(LEN(IF(ISNUMBER(INDEX('My equipment'!$L$4:$L$503,(_calc!$E$770-500))),TEXT(INDEX('My equipment'!$L$4:$L$503,(_calc!$E$770-500)),"yyyy-mm-dd"),""))=0,"","Labor end: "&amp;IF(ISNUMBER(INDEX('My equipment'!$L$4:$L$503,(_calc!$E$770-500))),TEXT(INDEX('My equipment'!$L$4:$L$503,(_calc!$E$770-500)),"yyyy-mm-dd"),"")&amp;". ")&amp;IF(LEN(IF(ISNUMBER(INDEX('My equipment'!$P$4:$P$503,(_calc!$E$770-500))),TEXT(INDEX('My equipment'!$P$4:$P$503,(_calc!$E$770-500)),"yyyy-mm-dd"),""))=0,"","Check by: "&amp;IF(ISNUMBER(INDEX('My equipment'!$P$4:$P$503,(_calc!$E$770-500))),TEXT(INDEX('My equipment'!$P$4:$P$503,(_calc!$E$770-500)),"yyyy-mm-dd"),"")&amp;". ")&amp;IF(LEN(IF(LEN(INDEX('My equipment'!$Q$4:$Q$503,(_calc!$E$770-500)))=0,"",INDEX('My equipment'!$Q$4:$Q$503,(_calc!$E$770-500))))=0,"","Claim status: "&amp;IF(LEN(INDEX('My equipment'!$Q$4:$Q$503,(_calc!$E$770-500)))=0,"",INDEX('My equipment'!$Q$4:$Q$503,(_calc!$E$770-500)))&amp;". ")&amp;IF(LEN(IF(LEN(INDEX('My equipment'!$R$4:$R$503,(_calc!$E$770-500)))=0,"",INDEX('My equipment'!$R$4:$R$503,(_calc!$E$770-500))))=0,"","Claims contact: "&amp;IF(LEN(INDEX('My equipment'!$R$4:$R$503,(_calc!$E$770-500)))=0,"",INDEX('My equipment'!$R$4:$R$503,(_calc!$E$770-500)))&amp;". ")&amp;IF(LEN(IF(LEN(INDEX('My equipment'!$S$4:$S$503,(_calc!$E$770-500)))=0,"",INDEX('My equipment'!$S$4:$S$503,(_calc!$E$770-500))))=0,"","Claims email: "&amp;IF(LEN(INDEX('My equipment'!$S$4:$S$503,(_calc!$E$770-500)))=0,"",INDEX('My equipment'!$S$4:$S$503,(_calc!$E$770-500)))&amp;". ")&amp;IF(LEN(IF(LEN(INDEX('My equipment'!$U$4:$U$503,(_calc!$E$770-500)))=0,"",INDEX('My equipment'!$U$4:$U$503,(_calc!$E$770-500))))=0,"","Registered: "&amp;IF(LEN(INDEX('My equipment'!$U$4:$U$503,(_calc!$E$770-500)))=0,"",INDEX('My equipment'!$U$4:$U$503,(_calc!$E$770-500)))&amp;". ")&amp;IF(LEN(IF(LEN(INDEX('My equipment'!$V$4:$V$503,(_calc!$E$770-500)))=0,"",INDEX('My equipment'!$V$4:$V$503,(_calc!$E$770-500))))=0,"","Proof on file: "&amp;IF(LEN(INDEX('My equipment'!$V$4:$V$503,(_calc!$E$770-500)))=0,"",INDEX('My equipment'!$V$4:$V$503,(_calc!$E$770-500)))&amp;". ")&amp;IF(LEN(IF(LEN(INDEX('My equipment'!$W$4:$W$503,(_calc!$E$770-500)))=0,"",INDEX('My equipment'!$W$4:$W$503,(_calc!$E$770-500))))=0,"","Claim ref: "&amp;IF(LEN(INDEX('My equipment'!$W$4:$W$503,(_calc!$E$770-500)))=0,"",INDEX('My equipment'!$W$4:$W$503,(_calc!$E$770-500)))&amp;". ")&amp;IF(LEN(IF(LEN(INDEX('My equipment'!$Y$4:$Y$503,(_calc!$E$770-500)))=0,"",INDEX('My equipment'!$Y$4:$Y$503,(_calc!$E$770-500))))=0,"",IF(LEN(INDEX('My equipment'!$Y$4:$Y$503,(_calc!$E$770-500)))=0,"",INDEX('My equipment'!$Y$4:$Y$503,(_calc!$E$770-500)))))))</f>
        <v/>
      </c>
      <c r="G768" s="54">
        <f>IF(_calc!$E$770="","",IF(_calc!$E$770&lt;=500,"",IF(LEN(INDEX('My equipment'!$X$4:$X$503,(_calc!$E$770-500)))=0,"",INDEX('My equipment'!$X$4:$X$503,(_calc!$E$770-500)))))</f>
        <v/>
      </c>
      <c r="K768" s="54">
        <f>IF(_calc!$E$770="","",IF(_calc!$E$770&lt;=500,"",IF(LEN(INDEX('My equipment'!$T$4:$T$503,(_calc!$E$770-500)))=0,"",INDEX('My equipment'!$T$4:$T$503,(_calc!$E$770-500)))))</f>
        <v/>
      </c>
    </row>
    <row r="769">
      <c r="A769" s="54">
        <f>IF(_calc!$E$771="","",IF(_calc!$E$771&lt;=500,"Warranty – "&amp;IF(LEN(INDEX('Dealer pipeline'!$C$4:$C$503,_calc!$E$771))=0,"",INDEX('Dealer pipeline'!$C$4:$C$503,_calc!$E$771))&amp;" – "&amp;IF(LEN(INDEX('Dealer pipeline'!$D$4:$D$503,_calc!$E$771))=0,"",INDEX('Dealer pipeline'!$D$4:$D$503,_calc!$E$771))&amp;" – "&amp;IF(LEN(INDEX('Dealer pipeline'!$A$4:$A$503,_calc!$E$771))=0,"",INDEX('Dealer pipeline'!$A$4:$A$503,_calc!$E$771)),"Warranty – "&amp;IF(LEN(INDEX('My equipment'!$A$4:$A$503,(_calc!$E$771-500)))=0,"",INDEX('My equipment'!$A$4:$A$503,(_calc!$E$771-500)))&amp;" – "&amp;IF(LEN(INDEX('My equipment'!$D$4:$D$503,(_calc!$E$771-500)))=0,"",INDEX('My equipment'!$D$4:$D$503,(_calc!$E$771-500)))))</f>
        <v/>
      </c>
      <c r="B769" s="54">
        <f>IF(_calc!$E$771="","",IF(_calc!$E$771&lt;=500,IF(ISNUMBER(INDEX('Dealer pipeline'!$M$4:$M$503,_calc!$E$771)),TEXT(INDEX('Dealer pipeline'!$M$4:$M$503,_calc!$E$771),"yyyy-mm-dd"),""),IF(ISNUMBER(INDEX('My equipment'!$M$4:$M$503,(_calc!$E$771-500))),TEXT(INDEX('My equipment'!$M$4:$M$503,(_calc!$E$771-500)),"yyyy-mm-dd"),"")))</f>
        <v/>
      </c>
      <c r="C769" s="54">
        <f>IF(_calc!$E$771="","",IF(_calc!$E$771&lt;=500,"Warranty","Warranty"))</f>
        <v/>
      </c>
      <c r="D769" s="54">
        <f>IF(_calc!$E$771="","",IF(_calc!$E$771&lt;=500,IF(ISNUMBER(INDEX('Dealer pipeline'!$H$4:$H$503,_calc!$E$771)),TEXT(INDEX('Dealer pipeline'!$H$4:$H$503,_calc!$E$771),"yyyy-mm-dd"),""),IF(ISNUMBER(INDEX('My equipment'!$H$4:$H$503,(_calc!$E$771-500))),TEXT(INDEX('My equipment'!$H$4:$H$503,(_calc!$E$771-500)),"yyyy-mm-dd"),"")))</f>
        <v/>
      </c>
      <c r="F769" s="54">
        <f>IF(_calc!$E$771="","",IF(_calc!$E$771&lt;=500,TRIM(IF(LEN(IF(LEN(INDEX('Dealer pipeline'!$A$4:$A$503,_calc!$E$771))=0,"",INDEX('Dealer pipeline'!$A$4:$A$503,_calc!$E$771)))=0,"","Customer: "&amp;IF(LEN(INDEX('Dealer pipeline'!$A$4:$A$503,_calc!$E$771))=0,"",INDEX('Dealer pipeline'!$A$4:$A$503,_calc!$E$771))&amp;". ")&amp;IF(LEN(IF(LEN(INDEX('Dealer pipeline'!$B$4:$B$503,_calc!$E$771))=0,"",INDEX('Dealer pipeline'!$B$4:$B$503,_calc!$E$771)))=0,"","Contact: "&amp;IF(LEN(INDEX('Dealer pipeline'!$B$4:$B$503,_calc!$E$771))=0,"",INDEX('Dealer pipeline'!$B$4:$B$503,_calc!$E$771))&amp;". ")&amp;IF(LEN(IF(LEN(INDEX('Dealer pipeline'!$D$4:$D$503,_calc!$E$771))=0,"",INDEX('Dealer pipeline'!$D$4:$D$503,_calc!$E$771)))=0,"","Serial: "&amp;IF(LEN(INDEX('Dealer pipeline'!$D$4:$D$503,_calc!$E$771))=0,"",INDEX('Dealer pipeline'!$D$4:$D$503,_calc!$E$771))&amp;". ")&amp;IF(LEN(IF(ISNUMBER(INDEX('Dealer pipeline'!$J$4:$J$503,_calc!$E$771)),TEXT(INDEX('Dealer pipeline'!$J$4:$J$503,_calc!$E$771),"yyyy-mm-dd"),""))=0,"","Parts end: "&amp;IF(ISNUMBER(INDEX('Dealer pipeline'!$J$4:$J$503,_calc!$E$771)),TEXT(INDEX('Dealer pipeline'!$J$4:$J$503,_calc!$E$771),"yyyy-mm-dd"),"")&amp;". ")&amp;IF(LEN(IF(ISNUMBER(INDEX('Dealer pipeline'!$L$4:$L$503,_calc!$E$771)),TEXT(INDEX('Dealer pipeline'!$L$4:$L$503,_calc!$E$771),"yyyy-mm-dd"),""))=0,"","Labor end: "&amp;IF(ISNUMBER(INDEX('Dealer pipeline'!$L$4:$L$503,_calc!$E$771)),TEXT(INDEX('Dealer pipeline'!$L$4:$L$503,_calc!$E$771),"yyyy-mm-dd"),"")&amp;". ")&amp;IF(LEN(IF(LEN(INDEX('Dealer pipeline'!$Q$4:$Q$503,_calc!$E$771))=0,"",INDEX('Dealer pipeline'!$Q$4:$Q$503,_calc!$E$771)))=0,"","Status: "&amp;IF(LEN(INDEX('Dealer pipeline'!$Q$4:$Q$503,_calc!$E$771))=0,"",INDEX('Dealer pipeline'!$Q$4:$Q$503,_calc!$E$771))&amp;". ")&amp;IF(LEN(IF(LEN(INDEX('Dealer pipeline'!$P$4:$P$503,_calc!$E$771))=0,"",INDEX('Dealer pipeline'!$P$4:$P$503,_calc!$E$771)))=0,"","Last touch: "&amp;IF(LEN(INDEX('Dealer pipeline'!$P$4:$P$503,_calc!$E$771))=0,"",INDEX('Dealer pipeline'!$P$4:$P$503,_calc!$E$771))&amp;". ")&amp;IF(LEN(IF(LEN(INDEX('Dealer pipeline'!$R$4:$R$503,_calc!$E$771))=0,"",INDEX('Dealer pipeline'!$R$4:$R$503,_calc!$E$771)))=0,"","Owner: "&amp;IF(LEN(INDEX('Dealer pipeline'!$R$4:$R$503,_calc!$E$771))=0,"",INDEX('Dealer pipeline'!$R$4:$R$503,_calc!$E$771))&amp;". ")&amp;IF(LEN(IF(LEN(INDEX('Dealer pipeline'!$S$4:$S$503,_calc!$E$771))=0,"",INDEX('Dealer pipeline'!$S$4:$S$503,_calc!$E$771)))=0,"","Backup: "&amp;IF(LEN(INDEX('Dealer pipeline'!$S$4:$S$503,_calc!$E$771))=0,"",INDEX('Dealer pipeline'!$S$4:$S$503,_calc!$E$771))&amp;". ")&amp;IF(LEN(IF(LEN(INDEX('Dealer pipeline'!$T$4:$T$503,_calc!$E$771))=0,"",INDEX('Dealer pipeline'!$T$4:$T$503,_calc!$E$771)))=0,"",IF(LEN(INDEX('Dealer pipeline'!$T$4:$T$503,_calc!$E$771))=0,"",INDEX('Dealer pipeline'!$T$4:$T$503,_calc!$E$771)))),TRIM(IF(LEN(IF(LEN(INDEX('My equipment'!$C$4:$C$503,(_calc!$E$771-500)))=0,"",INDEX('My equipment'!$C$4:$C$503,(_calc!$E$771-500))))=0,"","Model: "&amp;IF(LEN(INDEX('My equipment'!$C$4:$C$503,(_calc!$E$771-500)))=0,"",INDEX('My equipment'!$C$4:$C$503,(_calc!$E$771-500)))&amp;". ")&amp;IF(LEN(IF(LEN(INDEX('My equipment'!$D$4:$D$503,(_calc!$E$771-500)))=0,"",INDEX('My equipment'!$D$4:$D$503,(_calc!$E$771-500))))=0,"","Serial: "&amp;IF(LEN(INDEX('My equipment'!$D$4:$D$503,(_calc!$E$771-500)))=0,"",INDEX('My equipment'!$D$4:$D$503,(_calc!$E$771-500)))&amp;". ")&amp;IF(LEN(IF(ISNUMBER(INDEX('My equipment'!$J$4:$J$503,(_calc!$E$771-500))),TEXT(INDEX('My equipment'!$J$4:$J$503,(_calc!$E$771-500)),"yyyy-mm-dd"),""))=0,"","Parts end: "&amp;IF(ISNUMBER(INDEX('My equipment'!$J$4:$J$503,(_calc!$E$771-500))),TEXT(INDEX('My equipment'!$J$4:$J$503,(_calc!$E$771-500)),"yyyy-mm-dd"),"")&amp;". ")&amp;IF(LEN(IF(ISNUMBER(INDEX('My equipment'!$L$4:$L$503,(_calc!$E$771-500))),TEXT(INDEX('My equipment'!$L$4:$L$503,(_calc!$E$771-500)),"yyyy-mm-dd"),""))=0,"","Labor end: "&amp;IF(ISNUMBER(INDEX('My equipment'!$L$4:$L$503,(_calc!$E$771-500))),TEXT(INDEX('My equipment'!$L$4:$L$503,(_calc!$E$771-500)),"yyyy-mm-dd"),"")&amp;". ")&amp;IF(LEN(IF(ISNUMBER(INDEX('My equipment'!$P$4:$P$503,(_calc!$E$771-500))),TEXT(INDEX('My equipment'!$P$4:$P$503,(_calc!$E$771-500)),"yyyy-mm-dd"),""))=0,"","Check by: "&amp;IF(ISNUMBER(INDEX('My equipment'!$P$4:$P$503,(_calc!$E$771-500))),TEXT(INDEX('My equipment'!$P$4:$P$503,(_calc!$E$771-500)),"yyyy-mm-dd"),"")&amp;". ")&amp;IF(LEN(IF(LEN(INDEX('My equipment'!$Q$4:$Q$503,(_calc!$E$771-500)))=0,"",INDEX('My equipment'!$Q$4:$Q$503,(_calc!$E$771-500))))=0,"","Claim status: "&amp;IF(LEN(INDEX('My equipment'!$Q$4:$Q$503,(_calc!$E$771-500)))=0,"",INDEX('My equipment'!$Q$4:$Q$503,(_calc!$E$771-500)))&amp;". ")&amp;IF(LEN(IF(LEN(INDEX('My equipment'!$R$4:$R$503,(_calc!$E$771-500)))=0,"",INDEX('My equipment'!$R$4:$R$503,(_calc!$E$771-500))))=0,"","Claims contact: "&amp;IF(LEN(INDEX('My equipment'!$R$4:$R$503,(_calc!$E$771-500)))=0,"",INDEX('My equipment'!$R$4:$R$503,(_calc!$E$771-500)))&amp;". ")&amp;IF(LEN(IF(LEN(INDEX('My equipment'!$S$4:$S$503,(_calc!$E$771-500)))=0,"",INDEX('My equipment'!$S$4:$S$503,(_calc!$E$771-500))))=0,"","Claims email: "&amp;IF(LEN(INDEX('My equipment'!$S$4:$S$503,(_calc!$E$771-500)))=0,"",INDEX('My equipment'!$S$4:$S$503,(_calc!$E$771-500)))&amp;". ")&amp;IF(LEN(IF(LEN(INDEX('My equipment'!$U$4:$U$503,(_calc!$E$771-500)))=0,"",INDEX('My equipment'!$U$4:$U$503,(_calc!$E$771-500))))=0,"","Registered: "&amp;IF(LEN(INDEX('My equipment'!$U$4:$U$503,(_calc!$E$771-500)))=0,"",INDEX('My equipment'!$U$4:$U$503,(_calc!$E$771-500)))&amp;". ")&amp;IF(LEN(IF(LEN(INDEX('My equipment'!$V$4:$V$503,(_calc!$E$771-500)))=0,"",INDEX('My equipment'!$V$4:$V$503,(_calc!$E$771-500))))=0,"","Proof on file: "&amp;IF(LEN(INDEX('My equipment'!$V$4:$V$503,(_calc!$E$771-500)))=0,"",INDEX('My equipment'!$V$4:$V$503,(_calc!$E$771-500)))&amp;". ")&amp;IF(LEN(IF(LEN(INDEX('My equipment'!$W$4:$W$503,(_calc!$E$771-500)))=0,"",INDEX('My equipment'!$W$4:$W$503,(_calc!$E$771-500))))=0,"","Claim ref: "&amp;IF(LEN(INDEX('My equipment'!$W$4:$W$503,(_calc!$E$771-500)))=0,"",INDEX('My equipment'!$W$4:$W$503,(_calc!$E$771-500)))&amp;". ")&amp;IF(LEN(IF(LEN(INDEX('My equipment'!$Y$4:$Y$503,(_calc!$E$771-500)))=0,"",INDEX('My equipment'!$Y$4:$Y$503,(_calc!$E$771-500))))=0,"",IF(LEN(INDEX('My equipment'!$Y$4:$Y$503,(_calc!$E$771-500)))=0,"",INDEX('My equipment'!$Y$4:$Y$503,(_calc!$E$771-500)))))))</f>
        <v/>
      </c>
      <c r="G769" s="54">
        <f>IF(_calc!$E$771="","",IF(_calc!$E$771&lt;=500,"",IF(LEN(INDEX('My equipment'!$X$4:$X$503,(_calc!$E$771-500)))=0,"",INDEX('My equipment'!$X$4:$X$503,(_calc!$E$771-500)))))</f>
        <v/>
      </c>
      <c r="K769" s="54">
        <f>IF(_calc!$E$771="","",IF(_calc!$E$771&lt;=500,"",IF(LEN(INDEX('My equipment'!$T$4:$T$503,(_calc!$E$771-500)))=0,"",INDEX('My equipment'!$T$4:$T$503,(_calc!$E$771-500)))))</f>
        <v/>
      </c>
    </row>
    <row r="770">
      <c r="A770" s="54">
        <f>IF(_calc!$E$772="","",IF(_calc!$E$772&lt;=500,"Warranty – "&amp;IF(LEN(INDEX('Dealer pipeline'!$C$4:$C$503,_calc!$E$772))=0,"",INDEX('Dealer pipeline'!$C$4:$C$503,_calc!$E$772))&amp;" – "&amp;IF(LEN(INDEX('Dealer pipeline'!$D$4:$D$503,_calc!$E$772))=0,"",INDEX('Dealer pipeline'!$D$4:$D$503,_calc!$E$772))&amp;" – "&amp;IF(LEN(INDEX('Dealer pipeline'!$A$4:$A$503,_calc!$E$772))=0,"",INDEX('Dealer pipeline'!$A$4:$A$503,_calc!$E$772)),"Warranty – "&amp;IF(LEN(INDEX('My equipment'!$A$4:$A$503,(_calc!$E$772-500)))=0,"",INDEX('My equipment'!$A$4:$A$503,(_calc!$E$772-500)))&amp;" – "&amp;IF(LEN(INDEX('My equipment'!$D$4:$D$503,(_calc!$E$772-500)))=0,"",INDEX('My equipment'!$D$4:$D$503,(_calc!$E$772-500)))))</f>
        <v/>
      </c>
      <c r="B770" s="54">
        <f>IF(_calc!$E$772="","",IF(_calc!$E$772&lt;=500,IF(ISNUMBER(INDEX('Dealer pipeline'!$M$4:$M$503,_calc!$E$772)),TEXT(INDEX('Dealer pipeline'!$M$4:$M$503,_calc!$E$772),"yyyy-mm-dd"),""),IF(ISNUMBER(INDEX('My equipment'!$M$4:$M$503,(_calc!$E$772-500))),TEXT(INDEX('My equipment'!$M$4:$M$503,(_calc!$E$772-500)),"yyyy-mm-dd"),"")))</f>
        <v/>
      </c>
      <c r="C770" s="54">
        <f>IF(_calc!$E$772="","",IF(_calc!$E$772&lt;=500,"Warranty","Warranty"))</f>
        <v/>
      </c>
      <c r="D770" s="54">
        <f>IF(_calc!$E$772="","",IF(_calc!$E$772&lt;=500,IF(ISNUMBER(INDEX('Dealer pipeline'!$H$4:$H$503,_calc!$E$772)),TEXT(INDEX('Dealer pipeline'!$H$4:$H$503,_calc!$E$772),"yyyy-mm-dd"),""),IF(ISNUMBER(INDEX('My equipment'!$H$4:$H$503,(_calc!$E$772-500))),TEXT(INDEX('My equipment'!$H$4:$H$503,(_calc!$E$772-500)),"yyyy-mm-dd"),"")))</f>
        <v/>
      </c>
      <c r="F770" s="54">
        <f>IF(_calc!$E$772="","",IF(_calc!$E$772&lt;=500,TRIM(IF(LEN(IF(LEN(INDEX('Dealer pipeline'!$A$4:$A$503,_calc!$E$772))=0,"",INDEX('Dealer pipeline'!$A$4:$A$503,_calc!$E$772)))=0,"","Customer: "&amp;IF(LEN(INDEX('Dealer pipeline'!$A$4:$A$503,_calc!$E$772))=0,"",INDEX('Dealer pipeline'!$A$4:$A$503,_calc!$E$772))&amp;". ")&amp;IF(LEN(IF(LEN(INDEX('Dealer pipeline'!$B$4:$B$503,_calc!$E$772))=0,"",INDEX('Dealer pipeline'!$B$4:$B$503,_calc!$E$772)))=0,"","Contact: "&amp;IF(LEN(INDEX('Dealer pipeline'!$B$4:$B$503,_calc!$E$772))=0,"",INDEX('Dealer pipeline'!$B$4:$B$503,_calc!$E$772))&amp;". ")&amp;IF(LEN(IF(LEN(INDEX('Dealer pipeline'!$D$4:$D$503,_calc!$E$772))=0,"",INDEX('Dealer pipeline'!$D$4:$D$503,_calc!$E$772)))=0,"","Serial: "&amp;IF(LEN(INDEX('Dealer pipeline'!$D$4:$D$503,_calc!$E$772))=0,"",INDEX('Dealer pipeline'!$D$4:$D$503,_calc!$E$772))&amp;". ")&amp;IF(LEN(IF(ISNUMBER(INDEX('Dealer pipeline'!$J$4:$J$503,_calc!$E$772)),TEXT(INDEX('Dealer pipeline'!$J$4:$J$503,_calc!$E$772),"yyyy-mm-dd"),""))=0,"","Parts end: "&amp;IF(ISNUMBER(INDEX('Dealer pipeline'!$J$4:$J$503,_calc!$E$772)),TEXT(INDEX('Dealer pipeline'!$J$4:$J$503,_calc!$E$772),"yyyy-mm-dd"),"")&amp;". ")&amp;IF(LEN(IF(ISNUMBER(INDEX('Dealer pipeline'!$L$4:$L$503,_calc!$E$772)),TEXT(INDEX('Dealer pipeline'!$L$4:$L$503,_calc!$E$772),"yyyy-mm-dd"),""))=0,"","Labor end: "&amp;IF(ISNUMBER(INDEX('Dealer pipeline'!$L$4:$L$503,_calc!$E$772)),TEXT(INDEX('Dealer pipeline'!$L$4:$L$503,_calc!$E$772),"yyyy-mm-dd"),"")&amp;". ")&amp;IF(LEN(IF(LEN(INDEX('Dealer pipeline'!$Q$4:$Q$503,_calc!$E$772))=0,"",INDEX('Dealer pipeline'!$Q$4:$Q$503,_calc!$E$772)))=0,"","Status: "&amp;IF(LEN(INDEX('Dealer pipeline'!$Q$4:$Q$503,_calc!$E$772))=0,"",INDEX('Dealer pipeline'!$Q$4:$Q$503,_calc!$E$772))&amp;". ")&amp;IF(LEN(IF(LEN(INDEX('Dealer pipeline'!$P$4:$P$503,_calc!$E$772))=0,"",INDEX('Dealer pipeline'!$P$4:$P$503,_calc!$E$772)))=0,"","Last touch: "&amp;IF(LEN(INDEX('Dealer pipeline'!$P$4:$P$503,_calc!$E$772))=0,"",INDEX('Dealer pipeline'!$P$4:$P$503,_calc!$E$772))&amp;". ")&amp;IF(LEN(IF(LEN(INDEX('Dealer pipeline'!$R$4:$R$503,_calc!$E$772))=0,"",INDEX('Dealer pipeline'!$R$4:$R$503,_calc!$E$772)))=0,"","Owner: "&amp;IF(LEN(INDEX('Dealer pipeline'!$R$4:$R$503,_calc!$E$772))=0,"",INDEX('Dealer pipeline'!$R$4:$R$503,_calc!$E$772))&amp;". ")&amp;IF(LEN(IF(LEN(INDEX('Dealer pipeline'!$S$4:$S$503,_calc!$E$772))=0,"",INDEX('Dealer pipeline'!$S$4:$S$503,_calc!$E$772)))=0,"","Backup: "&amp;IF(LEN(INDEX('Dealer pipeline'!$S$4:$S$503,_calc!$E$772))=0,"",INDEX('Dealer pipeline'!$S$4:$S$503,_calc!$E$772))&amp;". ")&amp;IF(LEN(IF(LEN(INDEX('Dealer pipeline'!$T$4:$T$503,_calc!$E$772))=0,"",INDEX('Dealer pipeline'!$T$4:$T$503,_calc!$E$772)))=0,"",IF(LEN(INDEX('Dealer pipeline'!$T$4:$T$503,_calc!$E$772))=0,"",INDEX('Dealer pipeline'!$T$4:$T$503,_calc!$E$772)))),TRIM(IF(LEN(IF(LEN(INDEX('My equipment'!$C$4:$C$503,(_calc!$E$772-500)))=0,"",INDEX('My equipment'!$C$4:$C$503,(_calc!$E$772-500))))=0,"","Model: "&amp;IF(LEN(INDEX('My equipment'!$C$4:$C$503,(_calc!$E$772-500)))=0,"",INDEX('My equipment'!$C$4:$C$503,(_calc!$E$772-500)))&amp;". ")&amp;IF(LEN(IF(LEN(INDEX('My equipment'!$D$4:$D$503,(_calc!$E$772-500)))=0,"",INDEX('My equipment'!$D$4:$D$503,(_calc!$E$772-500))))=0,"","Serial: "&amp;IF(LEN(INDEX('My equipment'!$D$4:$D$503,(_calc!$E$772-500)))=0,"",INDEX('My equipment'!$D$4:$D$503,(_calc!$E$772-500)))&amp;". ")&amp;IF(LEN(IF(ISNUMBER(INDEX('My equipment'!$J$4:$J$503,(_calc!$E$772-500))),TEXT(INDEX('My equipment'!$J$4:$J$503,(_calc!$E$772-500)),"yyyy-mm-dd"),""))=0,"","Parts end: "&amp;IF(ISNUMBER(INDEX('My equipment'!$J$4:$J$503,(_calc!$E$772-500))),TEXT(INDEX('My equipment'!$J$4:$J$503,(_calc!$E$772-500)),"yyyy-mm-dd"),"")&amp;". ")&amp;IF(LEN(IF(ISNUMBER(INDEX('My equipment'!$L$4:$L$503,(_calc!$E$772-500))),TEXT(INDEX('My equipment'!$L$4:$L$503,(_calc!$E$772-500)),"yyyy-mm-dd"),""))=0,"","Labor end: "&amp;IF(ISNUMBER(INDEX('My equipment'!$L$4:$L$503,(_calc!$E$772-500))),TEXT(INDEX('My equipment'!$L$4:$L$503,(_calc!$E$772-500)),"yyyy-mm-dd"),"")&amp;". ")&amp;IF(LEN(IF(ISNUMBER(INDEX('My equipment'!$P$4:$P$503,(_calc!$E$772-500))),TEXT(INDEX('My equipment'!$P$4:$P$503,(_calc!$E$772-500)),"yyyy-mm-dd"),""))=0,"","Check by: "&amp;IF(ISNUMBER(INDEX('My equipment'!$P$4:$P$503,(_calc!$E$772-500))),TEXT(INDEX('My equipment'!$P$4:$P$503,(_calc!$E$772-500)),"yyyy-mm-dd"),"")&amp;". ")&amp;IF(LEN(IF(LEN(INDEX('My equipment'!$Q$4:$Q$503,(_calc!$E$772-500)))=0,"",INDEX('My equipment'!$Q$4:$Q$503,(_calc!$E$772-500))))=0,"","Claim status: "&amp;IF(LEN(INDEX('My equipment'!$Q$4:$Q$503,(_calc!$E$772-500)))=0,"",INDEX('My equipment'!$Q$4:$Q$503,(_calc!$E$772-500)))&amp;". ")&amp;IF(LEN(IF(LEN(INDEX('My equipment'!$R$4:$R$503,(_calc!$E$772-500)))=0,"",INDEX('My equipment'!$R$4:$R$503,(_calc!$E$772-500))))=0,"","Claims contact: "&amp;IF(LEN(INDEX('My equipment'!$R$4:$R$503,(_calc!$E$772-500)))=0,"",INDEX('My equipment'!$R$4:$R$503,(_calc!$E$772-500)))&amp;". ")&amp;IF(LEN(IF(LEN(INDEX('My equipment'!$S$4:$S$503,(_calc!$E$772-500)))=0,"",INDEX('My equipment'!$S$4:$S$503,(_calc!$E$772-500))))=0,"","Claims email: "&amp;IF(LEN(INDEX('My equipment'!$S$4:$S$503,(_calc!$E$772-500)))=0,"",INDEX('My equipment'!$S$4:$S$503,(_calc!$E$772-500)))&amp;". ")&amp;IF(LEN(IF(LEN(INDEX('My equipment'!$U$4:$U$503,(_calc!$E$772-500)))=0,"",INDEX('My equipment'!$U$4:$U$503,(_calc!$E$772-500))))=0,"","Registered: "&amp;IF(LEN(INDEX('My equipment'!$U$4:$U$503,(_calc!$E$772-500)))=0,"",INDEX('My equipment'!$U$4:$U$503,(_calc!$E$772-500)))&amp;". ")&amp;IF(LEN(IF(LEN(INDEX('My equipment'!$V$4:$V$503,(_calc!$E$772-500)))=0,"",INDEX('My equipment'!$V$4:$V$503,(_calc!$E$772-500))))=0,"","Proof on file: "&amp;IF(LEN(INDEX('My equipment'!$V$4:$V$503,(_calc!$E$772-500)))=0,"",INDEX('My equipment'!$V$4:$V$503,(_calc!$E$772-500)))&amp;". ")&amp;IF(LEN(IF(LEN(INDEX('My equipment'!$W$4:$W$503,(_calc!$E$772-500)))=0,"",INDEX('My equipment'!$W$4:$W$503,(_calc!$E$772-500))))=0,"","Claim ref: "&amp;IF(LEN(INDEX('My equipment'!$W$4:$W$503,(_calc!$E$772-500)))=0,"",INDEX('My equipment'!$W$4:$W$503,(_calc!$E$772-500)))&amp;". ")&amp;IF(LEN(IF(LEN(INDEX('My equipment'!$Y$4:$Y$503,(_calc!$E$772-500)))=0,"",INDEX('My equipment'!$Y$4:$Y$503,(_calc!$E$772-500))))=0,"",IF(LEN(INDEX('My equipment'!$Y$4:$Y$503,(_calc!$E$772-500)))=0,"",INDEX('My equipment'!$Y$4:$Y$503,(_calc!$E$772-500)))))))</f>
        <v/>
      </c>
      <c r="G770" s="54">
        <f>IF(_calc!$E$772="","",IF(_calc!$E$772&lt;=500,"",IF(LEN(INDEX('My equipment'!$X$4:$X$503,(_calc!$E$772-500)))=0,"",INDEX('My equipment'!$X$4:$X$503,(_calc!$E$772-500)))))</f>
        <v/>
      </c>
      <c r="K770" s="54">
        <f>IF(_calc!$E$772="","",IF(_calc!$E$772&lt;=500,"",IF(LEN(INDEX('My equipment'!$T$4:$T$503,(_calc!$E$772-500)))=0,"",INDEX('My equipment'!$T$4:$T$503,(_calc!$E$772-500)))))</f>
        <v/>
      </c>
    </row>
    <row r="771">
      <c r="A771" s="54">
        <f>IF(_calc!$E$773="","",IF(_calc!$E$773&lt;=500,"Warranty – "&amp;IF(LEN(INDEX('Dealer pipeline'!$C$4:$C$503,_calc!$E$773))=0,"",INDEX('Dealer pipeline'!$C$4:$C$503,_calc!$E$773))&amp;" – "&amp;IF(LEN(INDEX('Dealer pipeline'!$D$4:$D$503,_calc!$E$773))=0,"",INDEX('Dealer pipeline'!$D$4:$D$503,_calc!$E$773))&amp;" – "&amp;IF(LEN(INDEX('Dealer pipeline'!$A$4:$A$503,_calc!$E$773))=0,"",INDEX('Dealer pipeline'!$A$4:$A$503,_calc!$E$773)),"Warranty – "&amp;IF(LEN(INDEX('My equipment'!$A$4:$A$503,(_calc!$E$773-500)))=0,"",INDEX('My equipment'!$A$4:$A$503,(_calc!$E$773-500)))&amp;" – "&amp;IF(LEN(INDEX('My equipment'!$D$4:$D$503,(_calc!$E$773-500)))=0,"",INDEX('My equipment'!$D$4:$D$503,(_calc!$E$773-500)))))</f>
        <v/>
      </c>
      <c r="B771" s="54">
        <f>IF(_calc!$E$773="","",IF(_calc!$E$773&lt;=500,IF(ISNUMBER(INDEX('Dealer pipeline'!$M$4:$M$503,_calc!$E$773)),TEXT(INDEX('Dealer pipeline'!$M$4:$M$503,_calc!$E$773),"yyyy-mm-dd"),""),IF(ISNUMBER(INDEX('My equipment'!$M$4:$M$503,(_calc!$E$773-500))),TEXT(INDEX('My equipment'!$M$4:$M$503,(_calc!$E$773-500)),"yyyy-mm-dd"),"")))</f>
        <v/>
      </c>
      <c r="C771" s="54">
        <f>IF(_calc!$E$773="","",IF(_calc!$E$773&lt;=500,"Warranty","Warranty"))</f>
        <v/>
      </c>
      <c r="D771" s="54">
        <f>IF(_calc!$E$773="","",IF(_calc!$E$773&lt;=500,IF(ISNUMBER(INDEX('Dealer pipeline'!$H$4:$H$503,_calc!$E$773)),TEXT(INDEX('Dealer pipeline'!$H$4:$H$503,_calc!$E$773),"yyyy-mm-dd"),""),IF(ISNUMBER(INDEX('My equipment'!$H$4:$H$503,(_calc!$E$773-500))),TEXT(INDEX('My equipment'!$H$4:$H$503,(_calc!$E$773-500)),"yyyy-mm-dd"),"")))</f>
        <v/>
      </c>
      <c r="F771" s="54">
        <f>IF(_calc!$E$773="","",IF(_calc!$E$773&lt;=500,TRIM(IF(LEN(IF(LEN(INDEX('Dealer pipeline'!$A$4:$A$503,_calc!$E$773))=0,"",INDEX('Dealer pipeline'!$A$4:$A$503,_calc!$E$773)))=0,"","Customer: "&amp;IF(LEN(INDEX('Dealer pipeline'!$A$4:$A$503,_calc!$E$773))=0,"",INDEX('Dealer pipeline'!$A$4:$A$503,_calc!$E$773))&amp;". ")&amp;IF(LEN(IF(LEN(INDEX('Dealer pipeline'!$B$4:$B$503,_calc!$E$773))=0,"",INDEX('Dealer pipeline'!$B$4:$B$503,_calc!$E$773)))=0,"","Contact: "&amp;IF(LEN(INDEX('Dealer pipeline'!$B$4:$B$503,_calc!$E$773))=0,"",INDEX('Dealer pipeline'!$B$4:$B$503,_calc!$E$773))&amp;". ")&amp;IF(LEN(IF(LEN(INDEX('Dealer pipeline'!$D$4:$D$503,_calc!$E$773))=0,"",INDEX('Dealer pipeline'!$D$4:$D$503,_calc!$E$773)))=0,"","Serial: "&amp;IF(LEN(INDEX('Dealer pipeline'!$D$4:$D$503,_calc!$E$773))=0,"",INDEX('Dealer pipeline'!$D$4:$D$503,_calc!$E$773))&amp;". ")&amp;IF(LEN(IF(ISNUMBER(INDEX('Dealer pipeline'!$J$4:$J$503,_calc!$E$773)),TEXT(INDEX('Dealer pipeline'!$J$4:$J$503,_calc!$E$773),"yyyy-mm-dd"),""))=0,"","Parts end: "&amp;IF(ISNUMBER(INDEX('Dealer pipeline'!$J$4:$J$503,_calc!$E$773)),TEXT(INDEX('Dealer pipeline'!$J$4:$J$503,_calc!$E$773),"yyyy-mm-dd"),"")&amp;". ")&amp;IF(LEN(IF(ISNUMBER(INDEX('Dealer pipeline'!$L$4:$L$503,_calc!$E$773)),TEXT(INDEX('Dealer pipeline'!$L$4:$L$503,_calc!$E$773),"yyyy-mm-dd"),""))=0,"","Labor end: "&amp;IF(ISNUMBER(INDEX('Dealer pipeline'!$L$4:$L$503,_calc!$E$773)),TEXT(INDEX('Dealer pipeline'!$L$4:$L$503,_calc!$E$773),"yyyy-mm-dd"),"")&amp;". ")&amp;IF(LEN(IF(LEN(INDEX('Dealer pipeline'!$Q$4:$Q$503,_calc!$E$773))=0,"",INDEX('Dealer pipeline'!$Q$4:$Q$503,_calc!$E$773)))=0,"","Status: "&amp;IF(LEN(INDEX('Dealer pipeline'!$Q$4:$Q$503,_calc!$E$773))=0,"",INDEX('Dealer pipeline'!$Q$4:$Q$503,_calc!$E$773))&amp;". ")&amp;IF(LEN(IF(LEN(INDEX('Dealer pipeline'!$P$4:$P$503,_calc!$E$773))=0,"",INDEX('Dealer pipeline'!$P$4:$P$503,_calc!$E$773)))=0,"","Last touch: "&amp;IF(LEN(INDEX('Dealer pipeline'!$P$4:$P$503,_calc!$E$773))=0,"",INDEX('Dealer pipeline'!$P$4:$P$503,_calc!$E$773))&amp;". ")&amp;IF(LEN(IF(LEN(INDEX('Dealer pipeline'!$R$4:$R$503,_calc!$E$773))=0,"",INDEX('Dealer pipeline'!$R$4:$R$503,_calc!$E$773)))=0,"","Owner: "&amp;IF(LEN(INDEX('Dealer pipeline'!$R$4:$R$503,_calc!$E$773))=0,"",INDEX('Dealer pipeline'!$R$4:$R$503,_calc!$E$773))&amp;". ")&amp;IF(LEN(IF(LEN(INDEX('Dealer pipeline'!$S$4:$S$503,_calc!$E$773))=0,"",INDEX('Dealer pipeline'!$S$4:$S$503,_calc!$E$773)))=0,"","Backup: "&amp;IF(LEN(INDEX('Dealer pipeline'!$S$4:$S$503,_calc!$E$773))=0,"",INDEX('Dealer pipeline'!$S$4:$S$503,_calc!$E$773))&amp;". ")&amp;IF(LEN(IF(LEN(INDEX('Dealer pipeline'!$T$4:$T$503,_calc!$E$773))=0,"",INDEX('Dealer pipeline'!$T$4:$T$503,_calc!$E$773)))=0,"",IF(LEN(INDEX('Dealer pipeline'!$T$4:$T$503,_calc!$E$773))=0,"",INDEX('Dealer pipeline'!$T$4:$T$503,_calc!$E$773)))),TRIM(IF(LEN(IF(LEN(INDEX('My equipment'!$C$4:$C$503,(_calc!$E$773-500)))=0,"",INDEX('My equipment'!$C$4:$C$503,(_calc!$E$773-500))))=0,"","Model: "&amp;IF(LEN(INDEX('My equipment'!$C$4:$C$503,(_calc!$E$773-500)))=0,"",INDEX('My equipment'!$C$4:$C$503,(_calc!$E$773-500)))&amp;". ")&amp;IF(LEN(IF(LEN(INDEX('My equipment'!$D$4:$D$503,(_calc!$E$773-500)))=0,"",INDEX('My equipment'!$D$4:$D$503,(_calc!$E$773-500))))=0,"","Serial: "&amp;IF(LEN(INDEX('My equipment'!$D$4:$D$503,(_calc!$E$773-500)))=0,"",INDEX('My equipment'!$D$4:$D$503,(_calc!$E$773-500)))&amp;". ")&amp;IF(LEN(IF(ISNUMBER(INDEX('My equipment'!$J$4:$J$503,(_calc!$E$773-500))),TEXT(INDEX('My equipment'!$J$4:$J$503,(_calc!$E$773-500)),"yyyy-mm-dd"),""))=0,"","Parts end: "&amp;IF(ISNUMBER(INDEX('My equipment'!$J$4:$J$503,(_calc!$E$773-500))),TEXT(INDEX('My equipment'!$J$4:$J$503,(_calc!$E$773-500)),"yyyy-mm-dd"),"")&amp;". ")&amp;IF(LEN(IF(ISNUMBER(INDEX('My equipment'!$L$4:$L$503,(_calc!$E$773-500))),TEXT(INDEX('My equipment'!$L$4:$L$503,(_calc!$E$773-500)),"yyyy-mm-dd"),""))=0,"","Labor end: "&amp;IF(ISNUMBER(INDEX('My equipment'!$L$4:$L$503,(_calc!$E$773-500))),TEXT(INDEX('My equipment'!$L$4:$L$503,(_calc!$E$773-500)),"yyyy-mm-dd"),"")&amp;". ")&amp;IF(LEN(IF(ISNUMBER(INDEX('My equipment'!$P$4:$P$503,(_calc!$E$773-500))),TEXT(INDEX('My equipment'!$P$4:$P$503,(_calc!$E$773-500)),"yyyy-mm-dd"),""))=0,"","Check by: "&amp;IF(ISNUMBER(INDEX('My equipment'!$P$4:$P$503,(_calc!$E$773-500))),TEXT(INDEX('My equipment'!$P$4:$P$503,(_calc!$E$773-500)),"yyyy-mm-dd"),"")&amp;". ")&amp;IF(LEN(IF(LEN(INDEX('My equipment'!$Q$4:$Q$503,(_calc!$E$773-500)))=0,"",INDEX('My equipment'!$Q$4:$Q$503,(_calc!$E$773-500))))=0,"","Claim status: "&amp;IF(LEN(INDEX('My equipment'!$Q$4:$Q$503,(_calc!$E$773-500)))=0,"",INDEX('My equipment'!$Q$4:$Q$503,(_calc!$E$773-500)))&amp;". ")&amp;IF(LEN(IF(LEN(INDEX('My equipment'!$R$4:$R$503,(_calc!$E$773-500)))=0,"",INDEX('My equipment'!$R$4:$R$503,(_calc!$E$773-500))))=0,"","Claims contact: "&amp;IF(LEN(INDEX('My equipment'!$R$4:$R$503,(_calc!$E$773-500)))=0,"",INDEX('My equipment'!$R$4:$R$503,(_calc!$E$773-500)))&amp;". ")&amp;IF(LEN(IF(LEN(INDEX('My equipment'!$S$4:$S$503,(_calc!$E$773-500)))=0,"",INDEX('My equipment'!$S$4:$S$503,(_calc!$E$773-500))))=0,"","Claims email: "&amp;IF(LEN(INDEX('My equipment'!$S$4:$S$503,(_calc!$E$773-500)))=0,"",INDEX('My equipment'!$S$4:$S$503,(_calc!$E$773-500)))&amp;". ")&amp;IF(LEN(IF(LEN(INDEX('My equipment'!$U$4:$U$503,(_calc!$E$773-500)))=0,"",INDEX('My equipment'!$U$4:$U$503,(_calc!$E$773-500))))=0,"","Registered: "&amp;IF(LEN(INDEX('My equipment'!$U$4:$U$503,(_calc!$E$773-500)))=0,"",INDEX('My equipment'!$U$4:$U$503,(_calc!$E$773-500)))&amp;". ")&amp;IF(LEN(IF(LEN(INDEX('My equipment'!$V$4:$V$503,(_calc!$E$773-500)))=0,"",INDEX('My equipment'!$V$4:$V$503,(_calc!$E$773-500))))=0,"","Proof on file: "&amp;IF(LEN(INDEX('My equipment'!$V$4:$V$503,(_calc!$E$773-500)))=0,"",INDEX('My equipment'!$V$4:$V$503,(_calc!$E$773-500)))&amp;". ")&amp;IF(LEN(IF(LEN(INDEX('My equipment'!$W$4:$W$503,(_calc!$E$773-500)))=0,"",INDEX('My equipment'!$W$4:$W$503,(_calc!$E$773-500))))=0,"","Claim ref: "&amp;IF(LEN(INDEX('My equipment'!$W$4:$W$503,(_calc!$E$773-500)))=0,"",INDEX('My equipment'!$W$4:$W$503,(_calc!$E$773-500)))&amp;". ")&amp;IF(LEN(IF(LEN(INDEX('My equipment'!$Y$4:$Y$503,(_calc!$E$773-500)))=0,"",INDEX('My equipment'!$Y$4:$Y$503,(_calc!$E$773-500))))=0,"",IF(LEN(INDEX('My equipment'!$Y$4:$Y$503,(_calc!$E$773-500)))=0,"",INDEX('My equipment'!$Y$4:$Y$503,(_calc!$E$773-500)))))))</f>
        <v/>
      </c>
      <c r="G771" s="54">
        <f>IF(_calc!$E$773="","",IF(_calc!$E$773&lt;=500,"",IF(LEN(INDEX('My equipment'!$X$4:$X$503,(_calc!$E$773-500)))=0,"",INDEX('My equipment'!$X$4:$X$503,(_calc!$E$773-500)))))</f>
        <v/>
      </c>
      <c r="K771" s="54">
        <f>IF(_calc!$E$773="","",IF(_calc!$E$773&lt;=500,"",IF(LEN(INDEX('My equipment'!$T$4:$T$503,(_calc!$E$773-500)))=0,"",INDEX('My equipment'!$T$4:$T$503,(_calc!$E$773-500)))))</f>
        <v/>
      </c>
    </row>
    <row r="772">
      <c r="A772" s="54">
        <f>IF(_calc!$E$774="","",IF(_calc!$E$774&lt;=500,"Warranty – "&amp;IF(LEN(INDEX('Dealer pipeline'!$C$4:$C$503,_calc!$E$774))=0,"",INDEX('Dealer pipeline'!$C$4:$C$503,_calc!$E$774))&amp;" – "&amp;IF(LEN(INDEX('Dealer pipeline'!$D$4:$D$503,_calc!$E$774))=0,"",INDEX('Dealer pipeline'!$D$4:$D$503,_calc!$E$774))&amp;" – "&amp;IF(LEN(INDEX('Dealer pipeline'!$A$4:$A$503,_calc!$E$774))=0,"",INDEX('Dealer pipeline'!$A$4:$A$503,_calc!$E$774)),"Warranty – "&amp;IF(LEN(INDEX('My equipment'!$A$4:$A$503,(_calc!$E$774-500)))=0,"",INDEX('My equipment'!$A$4:$A$503,(_calc!$E$774-500)))&amp;" – "&amp;IF(LEN(INDEX('My equipment'!$D$4:$D$503,(_calc!$E$774-500)))=0,"",INDEX('My equipment'!$D$4:$D$503,(_calc!$E$774-500)))))</f>
        <v/>
      </c>
      <c r="B772" s="54">
        <f>IF(_calc!$E$774="","",IF(_calc!$E$774&lt;=500,IF(ISNUMBER(INDEX('Dealer pipeline'!$M$4:$M$503,_calc!$E$774)),TEXT(INDEX('Dealer pipeline'!$M$4:$M$503,_calc!$E$774),"yyyy-mm-dd"),""),IF(ISNUMBER(INDEX('My equipment'!$M$4:$M$503,(_calc!$E$774-500))),TEXT(INDEX('My equipment'!$M$4:$M$503,(_calc!$E$774-500)),"yyyy-mm-dd"),"")))</f>
        <v/>
      </c>
      <c r="C772" s="54">
        <f>IF(_calc!$E$774="","",IF(_calc!$E$774&lt;=500,"Warranty","Warranty"))</f>
        <v/>
      </c>
      <c r="D772" s="54">
        <f>IF(_calc!$E$774="","",IF(_calc!$E$774&lt;=500,IF(ISNUMBER(INDEX('Dealer pipeline'!$H$4:$H$503,_calc!$E$774)),TEXT(INDEX('Dealer pipeline'!$H$4:$H$503,_calc!$E$774),"yyyy-mm-dd"),""),IF(ISNUMBER(INDEX('My equipment'!$H$4:$H$503,(_calc!$E$774-500))),TEXT(INDEX('My equipment'!$H$4:$H$503,(_calc!$E$774-500)),"yyyy-mm-dd"),"")))</f>
        <v/>
      </c>
      <c r="F772" s="54">
        <f>IF(_calc!$E$774="","",IF(_calc!$E$774&lt;=500,TRIM(IF(LEN(IF(LEN(INDEX('Dealer pipeline'!$A$4:$A$503,_calc!$E$774))=0,"",INDEX('Dealer pipeline'!$A$4:$A$503,_calc!$E$774)))=0,"","Customer: "&amp;IF(LEN(INDEX('Dealer pipeline'!$A$4:$A$503,_calc!$E$774))=0,"",INDEX('Dealer pipeline'!$A$4:$A$503,_calc!$E$774))&amp;". ")&amp;IF(LEN(IF(LEN(INDEX('Dealer pipeline'!$B$4:$B$503,_calc!$E$774))=0,"",INDEX('Dealer pipeline'!$B$4:$B$503,_calc!$E$774)))=0,"","Contact: "&amp;IF(LEN(INDEX('Dealer pipeline'!$B$4:$B$503,_calc!$E$774))=0,"",INDEX('Dealer pipeline'!$B$4:$B$503,_calc!$E$774))&amp;". ")&amp;IF(LEN(IF(LEN(INDEX('Dealer pipeline'!$D$4:$D$503,_calc!$E$774))=0,"",INDEX('Dealer pipeline'!$D$4:$D$503,_calc!$E$774)))=0,"","Serial: "&amp;IF(LEN(INDEX('Dealer pipeline'!$D$4:$D$503,_calc!$E$774))=0,"",INDEX('Dealer pipeline'!$D$4:$D$503,_calc!$E$774))&amp;". ")&amp;IF(LEN(IF(ISNUMBER(INDEX('Dealer pipeline'!$J$4:$J$503,_calc!$E$774)),TEXT(INDEX('Dealer pipeline'!$J$4:$J$503,_calc!$E$774),"yyyy-mm-dd"),""))=0,"","Parts end: "&amp;IF(ISNUMBER(INDEX('Dealer pipeline'!$J$4:$J$503,_calc!$E$774)),TEXT(INDEX('Dealer pipeline'!$J$4:$J$503,_calc!$E$774),"yyyy-mm-dd"),"")&amp;". ")&amp;IF(LEN(IF(ISNUMBER(INDEX('Dealer pipeline'!$L$4:$L$503,_calc!$E$774)),TEXT(INDEX('Dealer pipeline'!$L$4:$L$503,_calc!$E$774),"yyyy-mm-dd"),""))=0,"","Labor end: "&amp;IF(ISNUMBER(INDEX('Dealer pipeline'!$L$4:$L$503,_calc!$E$774)),TEXT(INDEX('Dealer pipeline'!$L$4:$L$503,_calc!$E$774),"yyyy-mm-dd"),"")&amp;". ")&amp;IF(LEN(IF(LEN(INDEX('Dealer pipeline'!$Q$4:$Q$503,_calc!$E$774))=0,"",INDEX('Dealer pipeline'!$Q$4:$Q$503,_calc!$E$774)))=0,"","Status: "&amp;IF(LEN(INDEX('Dealer pipeline'!$Q$4:$Q$503,_calc!$E$774))=0,"",INDEX('Dealer pipeline'!$Q$4:$Q$503,_calc!$E$774))&amp;". ")&amp;IF(LEN(IF(LEN(INDEX('Dealer pipeline'!$P$4:$P$503,_calc!$E$774))=0,"",INDEX('Dealer pipeline'!$P$4:$P$503,_calc!$E$774)))=0,"","Last touch: "&amp;IF(LEN(INDEX('Dealer pipeline'!$P$4:$P$503,_calc!$E$774))=0,"",INDEX('Dealer pipeline'!$P$4:$P$503,_calc!$E$774))&amp;". ")&amp;IF(LEN(IF(LEN(INDEX('Dealer pipeline'!$R$4:$R$503,_calc!$E$774))=0,"",INDEX('Dealer pipeline'!$R$4:$R$503,_calc!$E$774)))=0,"","Owner: "&amp;IF(LEN(INDEX('Dealer pipeline'!$R$4:$R$503,_calc!$E$774))=0,"",INDEX('Dealer pipeline'!$R$4:$R$503,_calc!$E$774))&amp;". ")&amp;IF(LEN(IF(LEN(INDEX('Dealer pipeline'!$S$4:$S$503,_calc!$E$774))=0,"",INDEX('Dealer pipeline'!$S$4:$S$503,_calc!$E$774)))=0,"","Backup: "&amp;IF(LEN(INDEX('Dealer pipeline'!$S$4:$S$503,_calc!$E$774))=0,"",INDEX('Dealer pipeline'!$S$4:$S$503,_calc!$E$774))&amp;". ")&amp;IF(LEN(IF(LEN(INDEX('Dealer pipeline'!$T$4:$T$503,_calc!$E$774))=0,"",INDEX('Dealer pipeline'!$T$4:$T$503,_calc!$E$774)))=0,"",IF(LEN(INDEX('Dealer pipeline'!$T$4:$T$503,_calc!$E$774))=0,"",INDEX('Dealer pipeline'!$T$4:$T$503,_calc!$E$774)))),TRIM(IF(LEN(IF(LEN(INDEX('My equipment'!$C$4:$C$503,(_calc!$E$774-500)))=0,"",INDEX('My equipment'!$C$4:$C$503,(_calc!$E$774-500))))=0,"","Model: "&amp;IF(LEN(INDEX('My equipment'!$C$4:$C$503,(_calc!$E$774-500)))=0,"",INDEX('My equipment'!$C$4:$C$503,(_calc!$E$774-500)))&amp;". ")&amp;IF(LEN(IF(LEN(INDEX('My equipment'!$D$4:$D$503,(_calc!$E$774-500)))=0,"",INDEX('My equipment'!$D$4:$D$503,(_calc!$E$774-500))))=0,"","Serial: "&amp;IF(LEN(INDEX('My equipment'!$D$4:$D$503,(_calc!$E$774-500)))=0,"",INDEX('My equipment'!$D$4:$D$503,(_calc!$E$774-500)))&amp;". ")&amp;IF(LEN(IF(ISNUMBER(INDEX('My equipment'!$J$4:$J$503,(_calc!$E$774-500))),TEXT(INDEX('My equipment'!$J$4:$J$503,(_calc!$E$774-500)),"yyyy-mm-dd"),""))=0,"","Parts end: "&amp;IF(ISNUMBER(INDEX('My equipment'!$J$4:$J$503,(_calc!$E$774-500))),TEXT(INDEX('My equipment'!$J$4:$J$503,(_calc!$E$774-500)),"yyyy-mm-dd"),"")&amp;". ")&amp;IF(LEN(IF(ISNUMBER(INDEX('My equipment'!$L$4:$L$503,(_calc!$E$774-500))),TEXT(INDEX('My equipment'!$L$4:$L$503,(_calc!$E$774-500)),"yyyy-mm-dd"),""))=0,"","Labor end: "&amp;IF(ISNUMBER(INDEX('My equipment'!$L$4:$L$503,(_calc!$E$774-500))),TEXT(INDEX('My equipment'!$L$4:$L$503,(_calc!$E$774-500)),"yyyy-mm-dd"),"")&amp;". ")&amp;IF(LEN(IF(ISNUMBER(INDEX('My equipment'!$P$4:$P$503,(_calc!$E$774-500))),TEXT(INDEX('My equipment'!$P$4:$P$503,(_calc!$E$774-500)),"yyyy-mm-dd"),""))=0,"","Check by: "&amp;IF(ISNUMBER(INDEX('My equipment'!$P$4:$P$503,(_calc!$E$774-500))),TEXT(INDEX('My equipment'!$P$4:$P$503,(_calc!$E$774-500)),"yyyy-mm-dd"),"")&amp;". ")&amp;IF(LEN(IF(LEN(INDEX('My equipment'!$Q$4:$Q$503,(_calc!$E$774-500)))=0,"",INDEX('My equipment'!$Q$4:$Q$503,(_calc!$E$774-500))))=0,"","Claim status: "&amp;IF(LEN(INDEX('My equipment'!$Q$4:$Q$503,(_calc!$E$774-500)))=0,"",INDEX('My equipment'!$Q$4:$Q$503,(_calc!$E$774-500)))&amp;". ")&amp;IF(LEN(IF(LEN(INDEX('My equipment'!$R$4:$R$503,(_calc!$E$774-500)))=0,"",INDEX('My equipment'!$R$4:$R$503,(_calc!$E$774-500))))=0,"","Claims contact: "&amp;IF(LEN(INDEX('My equipment'!$R$4:$R$503,(_calc!$E$774-500)))=0,"",INDEX('My equipment'!$R$4:$R$503,(_calc!$E$774-500)))&amp;". ")&amp;IF(LEN(IF(LEN(INDEX('My equipment'!$S$4:$S$503,(_calc!$E$774-500)))=0,"",INDEX('My equipment'!$S$4:$S$503,(_calc!$E$774-500))))=0,"","Claims email: "&amp;IF(LEN(INDEX('My equipment'!$S$4:$S$503,(_calc!$E$774-500)))=0,"",INDEX('My equipment'!$S$4:$S$503,(_calc!$E$774-500)))&amp;". ")&amp;IF(LEN(IF(LEN(INDEX('My equipment'!$U$4:$U$503,(_calc!$E$774-500)))=0,"",INDEX('My equipment'!$U$4:$U$503,(_calc!$E$774-500))))=0,"","Registered: "&amp;IF(LEN(INDEX('My equipment'!$U$4:$U$503,(_calc!$E$774-500)))=0,"",INDEX('My equipment'!$U$4:$U$503,(_calc!$E$774-500)))&amp;". ")&amp;IF(LEN(IF(LEN(INDEX('My equipment'!$V$4:$V$503,(_calc!$E$774-500)))=0,"",INDEX('My equipment'!$V$4:$V$503,(_calc!$E$774-500))))=0,"","Proof on file: "&amp;IF(LEN(INDEX('My equipment'!$V$4:$V$503,(_calc!$E$774-500)))=0,"",INDEX('My equipment'!$V$4:$V$503,(_calc!$E$774-500)))&amp;". ")&amp;IF(LEN(IF(LEN(INDEX('My equipment'!$W$4:$W$503,(_calc!$E$774-500)))=0,"",INDEX('My equipment'!$W$4:$W$503,(_calc!$E$774-500))))=0,"","Claim ref: "&amp;IF(LEN(INDEX('My equipment'!$W$4:$W$503,(_calc!$E$774-500)))=0,"",INDEX('My equipment'!$W$4:$W$503,(_calc!$E$774-500)))&amp;". ")&amp;IF(LEN(IF(LEN(INDEX('My equipment'!$Y$4:$Y$503,(_calc!$E$774-500)))=0,"",INDEX('My equipment'!$Y$4:$Y$503,(_calc!$E$774-500))))=0,"",IF(LEN(INDEX('My equipment'!$Y$4:$Y$503,(_calc!$E$774-500)))=0,"",INDEX('My equipment'!$Y$4:$Y$503,(_calc!$E$774-500)))))))</f>
        <v/>
      </c>
      <c r="G772" s="54">
        <f>IF(_calc!$E$774="","",IF(_calc!$E$774&lt;=500,"",IF(LEN(INDEX('My equipment'!$X$4:$X$503,(_calc!$E$774-500)))=0,"",INDEX('My equipment'!$X$4:$X$503,(_calc!$E$774-500)))))</f>
        <v/>
      </c>
      <c r="K772" s="54">
        <f>IF(_calc!$E$774="","",IF(_calc!$E$774&lt;=500,"",IF(LEN(INDEX('My equipment'!$T$4:$T$503,(_calc!$E$774-500)))=0,"",INDEX('My equipment'!$T$4:$T$503,(_calc!$E$774-500)))))</f>
        <v/>
      </c>
    </row>
    <row r="773">
      <c r="A773" s="54">
        <f>IF(_calc!$E$775="","",IF(_calc!$E$775&lt;=500,"Warranty – "&amp;IF(LEN(INDEX('Dealer pipeline'!$C$4:$C$503,_calc!$E$775))=0,"",INDEX('Dealer pipeline'!$C$4:$C$503,_calc!$E$775))&amp;" – "&amp;IF(LEN(INDEX('Dealer pipeline'!$D$4:$D$503,_calc!$E$775))=0,"",INDEX('Dealer pipeline'!$D$4:$D$503,_calc!$E$775))&amp;" – "&amp;IF(LEN(INDEX('Dealer pipeline'!$A$4:$A$503,_calc!$E$775))=0,"",INDEX('Dealer pipeline'!$A$4:$A$503,_calc!$E$775)),"Warranty – "&amp;IF(LEN(INDEX('My equipment'!$A$4:$A$503,(_calc!$E$775-500)))=0,"",INDEX('My equipment'!$A$4:$A$503,(_calc!$E$775-500)))&amp;" – "&amp;IF(LEN(INDEX('My equipment'!$D$4:$D$503,(_calc!$E$775-500)))=0,"",INDEX('My equipment'!$D$4:$D$503,(_calc!$E$775-500)))))</f>
        <v/>
      </c>
      <c r="B773" s="54">
        <f>IF(_calc!$E$775="","",IF(_calc!$E$775&lt;=500,IF(ISNUMBER(INDEX('Dealer pipeline'!$M$4:$M$503,_calc!$E$775)),TEXT(INDEX('Dealer pipeline'!$M$4:$M$503,_calc!$E$775),"yyyy-mm-dd"),""),IF(ISNUMBER(INDEX('My equipment'!$M$4:$M$503,(_calc!$E$775-500))),TEXT(INDEX('My equipment'!$M$4:$M$503,(_calc!$E$775-500)),"yyyy-mm-dd"),"")))</f>
        <v/>
      </c>
      <c r="C773" s="54">
        <f>IF(_calc!$E$775="","",IF(_calc!$E$775&lt;=500,"Warranty","Warranty"))</f>
        <v/>
      </c>
      <c r="D773" s="54">
        <f>IF(_calc!$E$775="","",IF(_calc!$E$775&lt;=500,IF(ISNUMBER(INDEX('Dealer pipeline'!$H$4:$H$503,_calc!$E$775)),TEXT(INDEX('Dealer pipeline'!$H$4:$H$503,_calc!$E$775),"yyyy-mm-dd"),""),IF(ISNUMBER(INDEX('My equipment'!$H$4:$H$503,(_calc!$E$775-500))),TEXT(INDEX('My equipment'!$H$4:$H$503,(_calc!$E$775-500)),"yyyy-mm-dd"),"")))</f>
        <v/>
      </c>
      <c r="F773" s="54">
        <f>IF(_calc!$E$775="","",IF(_calc!$E$775&lt;=500,TRIM(IF(LEN(IF(LEN(INDEX('Dealer pipeline'!$A$4:$A$503,_calc!$E$775))=0,"",INDEX('Dealer pipeline'!$A$4:$A$503,_calc!$E$775)))=0,"","Customer: "&amp;IF(LEN(INDEX('Dealer pipeline'!$A$4:$A$503,_calc!$E$775))=0,"",INDEX('Dealer pipeline'!$A$4:$A$503,_calc!$E$775))&amp;". ")&amp;IF(LEN(IF(LEN(INDEX('Dealer pipeline'!$B$4:$B$503,_calc!$E$775))=0,"",INDEX('Dealer pipeline'!$B$4:$B$503,_calc!$E$775)))=0,"","Contact: "&amp;IF(LEN(INDEX('Dealer pipeline'!$B$4:$B$503,_calc!$E$775))=0,"",INDEX('Dealer pipeline'!$B$4:$B$503,_calc!$E$775))&amp;". ")&amp;IF(LEN(IF(LEN(INDEX('Dealer pipeline'!$D$4:$D$503,_calc!$E$775))=0,"",INDEX('Dealer pipeline'!$D$4:$D$503,_calc!$E$775)))=0,"","Serial: "&amp;IF(LEN(INDEX('Dealer pipeline'!$D$4:$D$503,_calc!$E$775))=0,"",INDEX('Dealer pipeline'!$D$4:$D$503,_calc!$E$775))&amp;". ")&amp;IF(LEN(IF(ISNUMBER(INDEX('Dealer pipeline'!$J$4:$J$503,_calc!$E$775)),TEXT(INDEX('Dealer pipeline'!$J$4:$J$503,_calc!$E$775),"yyyy-mm-dd"),""))=0,"","Parts end: "&amp;IF(ISNUMBER(INDEX('Dealer pipeline'!$J$4:$J$503,_calc!$E$775)),TEXT(INDEX('Dealer pipeline'!$J$4:$J$503,_calc!$E$775),"yyyy-mm-dd"),"")&amp;". ")&amp;IF(LEN(IF(ISNUMBER(INDEX('Dealer pipeline'!$L$4:$L$503,_calc!$E$775)),TEXT(INDEX('Dealer pipeline'!$L$4:$L$503,_calc!$E$775),"yyyy-mm-dd"),""))=0,"","Labor end: "&amp;IF(ISNUMBER(INDEX('Dealer pipeline'!$L$4:$L$503,_calc!$E$775)),TEXT(INDEX('Dealer pipeline'!$L$4:$L$503,_calc!$E$775),"yyyy-mm-dd"),"")&amp;". ")&amp;IF(LEN(IF(LEN(INDEX('Dealer pipeline'!$Q$4:$Q$503,_calc!$E$775))=0,"",INDEX('Dealer pipeline'!$Q$4:$Q$503,_calc!$E$775)))=0,"","Status: "&amp;IF(LEN(INDEX('Dealer pipeline'!$Q$4:$Q$503,_calc!$E$775))=0,"",INDEX('Dealer pipeline'!$Q$4:$Q$503,_calc!$E$775))&amp;". ")&amp;IF(LEN(IF(LEN(INDEX('Dealer pipeline'!$P$4:$P$503,_calc!$E$775))=0,"",INDEX('Dealer pipeline'!$P$4:$P$503,_calc!$E$775)))=0,"","Last touch: "&amp;IF(LEN(INDEX('Dealer pipeline'!$P$4:$P$503,_calc!$E$775))=0,"",INDEX('Dealer pipeline'!$P$4:$P$503,_calc!$E$775))&amp;". ")&amp;IF(LEN(IF(LEN(INDEX('Dealer pipeline'!$R$4:$R$503,_calc!$E$775))=0,"",INDEX('Dealer pipeline'!$R$4:$R$503,_calc!$E$775)))=0,"","Owner: "&amp;IF(LEN(INDEX('Dealer pipeline'!$R$4:$R$503,_calc!$E$775))=0,"",INDEX('Dealer pipeline'!$R$4:$R$503,_calc!$E$775))&amp;". ")&amp;IF(LEN(IF(LEN(INDEX('Dealer pipeline'!$S$4:$S$503,_calc!$E$775))=0,"",INDEX('Dealer pipeline'!$S$4:$S$503,_calc!$E$775)))=0,"","Backup: "&amp;IF(LEN(INDEX('Dealer pipeline'!$S$4:$S$503,_calc!$E$775))=0,"",INDEX('Dealer pipeline'!$S$4:$S$503,_calc!$E$775))&amp;". ")&amp;IF(LEN(IF(LEN(INDEX('Dealer pipeline'!$T$4:$T$503,_calc!$E$775))=0,"",INDEX('Dealer pipeline'!$T$4:$T$503,_calc!$E$775)))=0,"",IF(LEN(INDEX('Dealer pipeline'!$T$4:$T$503,_calc!$E$775))=0,"",INDEX('Dealer pipeline'!$T$4:$T$503,_calc!$E$775)))),TRIM(IF(LEN(IF(LEN(INDEX('My equipment'!$C$4:$C$503,(_calc!$E$775-500)))=0,"",INDEX('My equipment'!$C$4:$C$503,(_calc!$E$775-500))))=0,"","Model: "&amp;IF(LEN(INDEX('My equipment'!$C$4:$C$503,(_calc!$E$775-500)))=0,"",INDEX('My equipment'!$C$4:$C$503,(_calc!$E$775-500)))&amp;". ")&amp;IF(LEN(IF(LEN(INDEX('My equipment'!$D$4:$D$503,(_calc!$E$775-500)))=0,"",INDEX('My equipment'!$D$4:$D$503,(_calc!$E$775-500))))=0,"","Serial: "&amp;IF(LEN(INDEX('My equipment'!$D$4:$D$503,(_calc!$E$775-500)))=0,"",INDEX('My equipment'!$D$4:$D$503,(_calc!$E$775-500)))&amp;". ")&amp;IF(LEN(IF(ISNUMBER(INDEX('My equipment'!$J$4:$J$503,(_calc!$E$775-500))),TEXT(INDEX('My equipment'!$J$4:$J$503,(_calc!$E$775-500)),"yyyy-mm-dd"),""))=0,"","Parts end: "&amp;IF(ISNUMBER(INDEX('My equipment'!$J$4:$J$503,(_calc!$E$775-500))),TEXT(INDEX('My equipment'!$J$4:$J$503,(_calc!$E$775-500)),"yyyy-mm-dd"),"")&amp;". ")&amp;IF(LEN(IF(ISNUMBER(INDEX('My equipment'!$L$4:$L$503,(_calc!$E$775-500))),TEXT(INDEX('My equipment'!$L$4:$L$503,(_calc!$E$775-500)),"yyyy-mm-dd"),""))=0,"","Labor end: "&amp;IF(ISNUMBER(INDEX('My equipment'!$L$4:$L$503,(_calc!$E$775-500))),TEXT(INDEX('My equipment'!$L$4:$L$503,(_calc!$E$775-500)),"yyyy-mm-dd"),"")&amp;". ")&amp;IF(LEN(IF(ISNUMBER(INDEX('My equipment'!$P$4:$P$503,(_calc!$E$775-500))),TEXT(INDEX('My equipment'!$P$4:$P$503,(_calc!$E$775-500)),"yyyy-mm-dd"),""))=0,"","Check by: "&amp;IF(ISNUMBER(INDEX('My equipment'!$P$4:$P$503,(_calc!$E$775-500))),TEXT(INDEX('My equipment'!$P$4:$P$503,(_calc!$E$775-500)),"yyyy-mm-dd"),"")&amp;". ")&amp;IF(LEN(IF(LEN(INDEX('My equipment'!$Q$4:$Q$503,(_calc!$E$775-500)))=0,"",INDEX('My equipment'!$Q$4:$Q$503,(_calc!$E$775-500))))=0,"","Claim status: "&amp;IF(LEN(INDEX('My equipment'!$Q$4:$Q$503,(_calc!$E$775-500)))=0,"",INDEX('My equipment'!$Q$4:$Q$503,(_calc!$E$775-500)))&amp;". ")&amp;IF(LEN(IF(LEN(INDEX('My equipment'!$R$4:$R$503,(_calc!$E$775-500)))=0,"",INDEX('My equipment'!$R$4:$R$503,(_calc!$E$775-500))))=0,"","Claims contact: "&amp;IF(LEN(INDEX('My equipment'!$R$4:$R$503,(_calc!$E$775-500)))=0,"",INDEX('My equipment'!$R$4:$R$503,(_calc!$E$775-500)))&amp;". ")&amp;IF(LEN(IF(LEN(INDEX('My equipment'!$S$4:$S$503,(_calc!$E$775-500)))=0,"",INDEX('My equipment'!$S$4:$S$503,(_calc!$E$775-500))))=0,"","Claims email: "&amp;IF(LEN(INDEX('My equipment'!$S$4:$S$503,(_calc!$E$775-500)))=0,"",INDEX('My equipment'!$S$4:$S$503,(_calc!$E$775-500)))&amp;". ")&amp;IF(LEN(IF(LEN(INDEX('My equipment'!$U$4:$U$503,(_calc!$E$775-500)))=0,"",INDEX('My equipment'!$U$4:$U$503,(_calc!$E$775-500))))=0,"","Registered: "&amp;IF(LEN(INDEX('My equipment'!$U$4:$U$503,(_calc!$E$775-500)))=0,"",INDEX('My equipment'!$U$4:$U$503,(_calc!$E$775-500)))&amp;". ")&amp;IF(LEN(IF(LEN(INDEX('My equipment'!$V$4:$V$503,(_calc!$E$775-500)))=0,"",INDEX('My equipment'!$V$4:$V$503,(_calc!$E$775-500))))=0,"","Proof on file: "&amp;IF(LEN(INDEX('My equipment'!$V$4:$V$503,(_calc!$E$775-500)))=0,"",INDEX('My equipment'!$V$4:$V$503,(_calc!$E$775-500)))&amp;". ")&amp;IF(LEN(IF(LEN(INDEX('My equipment'!$W$4:$W$503,(_calc!$E$775-500)))=0,"",INDEX('My equipment'!$W$4:$W$503,(_calc!$E$775-500))))=0,"","Claim ref: "&amp;IF(LEN(INDEX('My equipment'!$W$4:$W$503,(_calc!$E$775-500)))=0,"",INDEX('My equipment'!$W$4:$W$503,(_calc!$E$775-500)))&amp;". ")&amp;IF(LEN(IF(LEN(INDEX('My equipment'!$Y$4:$Y$503,(_calc!$E$775-500)))=0,"",INDEX('My equipment'!$Y$4:$Y$503,(_calc!$E$775-500))))=0,"",IF(LEN(INDEX('My equipment'!$Y$4:$Y$503,(_calc!$E$775-500)))=0,"",INDEX('My equipment'!$Y$4:$Y$503,(_calc!$E$775-500)))))))</f>
        <v/>
      </c>
      <c r="G773" s="54">
        <f>IF(_calc!$E$775="","",IF(_calc!$E$775&lt;=500,"",IF(LEN(INDEX('My equipment'!$X$4:$X$503,(_calc!$E$775-500)))=0,"",INDEX('My equipment'!$X$4:$X$503,(_calc!$E$775-500)))))</f>
        <v/>
      </c>
      <c r="K773" s="54">
        <f>IF(_calc!$E$775="","",IF(_calc!$E$775&lt;=500,"",IF(LEN(INDEX('My equipment'!$T$4:$T$503,(_calc!$E$775-500)))=0,"",INDEX('My equipment'!$T$4:$T$503,(_calc!$E$775-500)))))</f>
        <v/>
      </c>
    </row>
    <row r="774">
      <c r="A774" s="54">
        <f>IF(_calc!$E$776="","",IF(_calc!$E$776&lt;=500,"Warranty – "&amp;IF(LEN(INDEX('Dealer pipeline'!$C$4:$C$503,_calc!$E$776))=0,"",INDEX('Dealer pipeline'!$C$4:$C$503,_calc!$E$776))&amp;" – "&amp;IF(LEN(INDEX('Dealer pipeline'!$D$4:$D$503,_calc!$E$776))=0,"",INDEX('Dealer pipeline'!$D$4:$D$503,_calc!$E$776))&amp;" – "&amp;IF(LEN(INDEX('Dealer pipeline'!$A$4:$A$503,_calc!$E$776))=0,"",INDEX('Dealer pipeline'!$A$4:$A$503,_calc!$E$776)),"Warranty – "&amp;IF(LEN(INDEX('My equipment'!$A$4:$A$503,(_calc!$E$776-500)))=0,"",INDEX('My equipment'!$A$4:$A$503,(_calc!$E$776-500)))&amp;" – "&amp;IF(LEN(INDEX('My equipment'!$D$4:$D$503,(_calc!$E$776-500)))=0,"",INDEX('My equipment'!$D$4:$D$503,(_calc!$E$776-500)))))</f>
        <v/>
      </c>
      <c r="B774" s="54">
        <f>IF(_calc!$E$776="","",IF(_calc!$E$776&lt;=500,IF(ISNUMBER(INDEX('Dealer pipeline'!$M$4:$M$503,_calc!$E$776)),TEXT(INDEX('Dealer pipeline'!$M$4:$M$503,_calc!$E$776),"yyyy-mm-dd"),""),IF(ISNUMBER(INDEX('My equipment'!$M$4:$M$503,(_calc!$E$776-500))),TEXT(INDEX('My equipment'!$M$4:$M$503,(_calc!$E$776-500)),"yyyy-mm-dd"),"")))</f>
        <v/>
      </c>
      <c r="C774" s="54">
        <f>IF(_calc!$E$776="","",IF(_calc!$E$776&lt;=500,"Warranty","Warranty"))</f>
        <v/>
      </c>
      <c r="D774" s="54">
        <f>IF(_calc!$E$776="","",IF(_calc!$E$776&lt;=500,IF(ISNUMBER(INDEX('Dealer pipeline'!$H$4:$H$503,_calc!$E$776)),TEXT(INDEX('Dealer pipeline'!$H$4:$H$503,_calc!$E$776),"yyyy-mm-dd"),""),IF(ISNUMBER(INDEX('My equipment'!$H$4:$H$503,(_calc!$E$776-500))),TEXT(INDEX('My equipment'!$H$4:$H$503,(_calc!$E$776-500)),"yyyy-mm-dd"),"")))</f>
        <v/>
      </c>
      <c r="F774" s="54">
        <f>IF(_calc!$E$776="","",IF(_calc!$E$776&lt;=500,TRIM(IF(LEN(IF(LEN(INDEX('Dealer pipeline'!$A$4:$A$503,_calc!$E$776))=0,"",INDEX('Dealer pipeline'!$A$4:$A$503,_calc!$E$776)))=0,"","Customer: "&amp;IF(LEN(INDEX('Dealer pipeline'!$A$4:$A$503,_calc!$E$776))=0,"",INDEX('Dealer pipeline'!$A$4:$A$503,_calc!$E$776))&amp;". ")&amp;IF(LEN(IF(LEN(INDEX('Dealer pipeline'!$B$4:$B$503,_calc!$E$776))=0,"",INDEX('Dealer pipeline'!$B$4:$B$503,_calc!$E$776)))=0,"","Contact: "&amp;IF(LEN(INDEX('Dealer pipeline'!$B$4:$B$503,_calc!$E$776))=0,"",INDEX('Dealer pipeline'!$B$4:$B$503,_calc!$E$776))&amp;". ")&amp;IF(LEN(IF(LEN(INDEX('Dealer pipeline'!$D$4:$D$503,_calc!$E$776))=0,"",INDEX('Dealer pipeline'!$D$4:$D$503,_calc!$E$776)))=0,"","Serial: "&amp;IF(LEN(INDEX('Dealer pipeline'!$D$4:$D$503,_calc!$E$776))=0,"",INDEX('Dealer pipeline'!$D$4:$D$503,_calc!$E$776))&amp;". ")&amp;IF(LEN(IF(ISNUMBER(INDEX('Dealer pipeline'!$J$4:$J$503,_calc!$E$776)),TEXT(INDEX('Dealer pipeline'!$J$4:$J$503,_calc!$E$776),"yyyy-mm-dd"),""))=0,"","Parts end: "&amp;IF(ISNUMBER(INDEX('Dealer pipeline'!$J$4:$J$503,_calc!$E$776)),TEXT(INDEX('Dealer pipeline'!$J$4:$J$503,_calc!$E$776),"yyyy-mm-dd"),"")&amp;". ")&amp;IF(LEN(IF(ISNUMBER(INDEX('Dealer pipeline'!$L$4:$L$503,_calc!$E$776)),TEXT(INDEX('Dealer pipeline'!$L$4:$L$503,_calc!$E$776),"yyyy-mm-dd"),""))=0,"","Labor end: "&amp;IF(ISNUMBER(INDEX('Dealer pipeline'!$L$4:$L$503,_calc!$E$776)),TEXT(INDEX('Dealer pipeline'!$L$4:$L$503,_calc!$E$776),"yyyy-mm-dd"),"")&amp;". ")&amp;IF(LEN(IF(LEN(INDEX('Dealer pipeline'!$Q$4:$Q$503,_calc!$E$776))=0,"",INDEX('Dealer pipeline'!$Q$4:$Q$503,_calc!$E$776)))=0,"","Status: "&amp;IF(LEN(INDEX('Dealer pipeline'!$Q$4:$Q$503,_calc!$E$776))=0,"",INDEX('Dealer pipeline'!$Q$4:$Q$503,_calc!$E$776))&amp;". ")&amp;IF(LEN(IF(LEN(INDEX('Dealer pipeline'!$P$4:$P$503,_calc!$E$776))=0,"",INDEX('Dealer pipeline'!$P$4:$P$503,_calc!$E$776)))=0,"","Last touch: "&amp;IF(LEN(INDEX('Dealer pipeline'!$P$4:$P$503,_calc!$E$776))=0,"",INDEX('Dealer pipeline'!$P$4:$P$503,_calc!$E$776))&amp;". ")&amp;IF(LEN(IF(LEN(INDEX('Dealer pipeline'!$R$4:$R$503,_calc!$E$776))=0,"",INDEX('Dealer pipeline'!$R$4:$R$503,_calc!$E$776)))=0,"","Owner: "&amp;IF(LEN(INDEX('Dealer pipeline'!$R$4:$R$503,_calc!$E$776))=0,"",INDEX('Dealer pipeline'!$R$4:$R$503,_calc!$E$776))&amp;". ")&amp;IF(LEN(IF(LEN(INDEX('Dealer pipeline'!$S$4:$S$503,_calc!$E$776))=0,"",INDEX('Dealer pipeline'!$S$4:$S$503,_calc!$E$776)))=0,"","Backup: "&amp;IF(LEN(INDEX('Dealer pipeline'!$S$4:$S$503,_calc!$E$776))=0,"",INDEX('Dealer pipeline'!$S$4:$S$503,_calc!$E$776))&amp;". ")&amp;IF(LEN(IF(LEN(INDEX('Dealer pipeline'!$T$4:$T$503,_calc!$E$776))=0,"",INDEX('Dealer pipeline'!$T$4:$T$503,_calc!$E$776)))=0,"",IF(LEN(INDEX('Dealer pipeline'!$T$4:$T$503,_calc!$E$776))=0,"",INDEX('Dealer pipeline'!$T$4:$T$503,_calc!$E$776)))),TRIM(IF(LEN(IF(LEN(INDEX('My equipment'!$C$4:$C$503,(_calc!$E$776-500)))=0,"",INDEX('My equipment'!$C$4:$C$503,(_calc!$E$776-500))))=0,"","Model: "&amp;IF(LEN(INDEX('My equipment'!$C$4:$C$503,(_calc!$E$776-500)))=0,"",INDEX('My equipment'!$C$4:$C$503,(_calc!$E$776-500)))&amp;". ")&amp;IF(LEN(IF(LEN(INDEX('My equipment'!$D$4:$D$503,(_calc!$E$776-500)))=0,"",INDEX('My equipment'!$D$4:$D$503,(_calc!$E$776-500))))=0,"","Serial: "&amp;IF(LEN(INDEX('My equipment'!$D$4:$D$503,(_calc!$E$776-500)))=0,"",INDEX('My equipment'!$D$4:$D$503,(_calc!$E$776-500)))&amp;". ")&amp;IF(LEN(IF(ISNUMBER(INDEX('My equipment'!$J$4:$J$503,(_calc!$E$776-500))),TEXT(INDEX('My equipment'!$J$4:$J$503,(_calc!$E$776-500)),"yyyy-mm-dd"),""))=0,"","Parts end: "&amp;IF(ISNUMBER(INDEX('My equipment'!$J$4:$J$503,(_calc!$E$776-500))),TEXT(INDEX('My equipment'!$J$4:$J$503,(_calc!$E$776-500)),"yyyy-mm-dd"),"")&amp;". ")&amp;IF(LEN(IF(ISNUMBER(INDEX('My equipment'!$L$4:$L$503,(_calc!$E$776-500))),TEXT(INDEX('My equipment'!$L$4:$L$503,(_calc!$E$776-500)),"yyyy-mm-dd"),""))=0,"","Labor end: "&amp;IF(ISNUMBER(INDEX('My equipment'!$L$4:$L$503,(_calc!$E$776-500))),TEXT(INDEX('My equipment'!$L$4:$L$503,(_calc!$E$776-500)),"yyyy-mm-dd"),"")&amp;". ")&amp;IF(LEN(IF(ISNUMBER(INDEX('My equipment'!$P$4:$P$503,(_calc!$E$776-500))),TEXT(INDEX('My equipment'!$P$4:$P$503,(_calc!$E$776-500)),"yyyy-mm-dd"),""))=0,"","Check by: "&amp;IF(ISNUMBER(INDEX('My equipment'!$P$4:$P$503,(_calc!$E$776-500))),TEXT(INDEX('My equipment'!$P$4:$P$503,(_calc!$E$776-500)),"yyyy-mm-dd"),"")&amp;". ")&amp;IF(LEN(IF(LEN(INDEX('My equipment'!$Q$4:$Q$503,(_calc!$E$776-500)))=0,"",INDEX('My equipment'!$Q$4:$Q$503,(_calc!$E$776-500))))=0,"","Claim status: "&amp;IF(LEN(INDEX('My equipment'!$Q$4:$Q$503,(_calc!$E$776-500)))=0,"",INDEX('My equipment'!$Q$4:$Q$503,(_calc!$E$776-500)))&amp;". ")&amp;IF(LEN(IF(LEN(INDEX('My equipment'!$R$4:$R$503,(_calc!$E$776-500)))=0,"",INDEX('My equipment'!$R$4:$R$503,(_calc!$E$776-500))))=0,"","Claims contact: "&amp;IF(LEN(INDEX('My equipment'!$R$4:$R$503,(_calc!$E$776-500)))=0,"",INDEX('My equipment'!$R$4:$R$503,(_calc!$E$776-500)))&amp;". ")&amp;IF(LEN(IF(LEN(INDEX('My equipment'!$S$4:$S$503,(_calc!$E$776-500)))=0,"",INDEX('My equipment'!$S$4:$S$503,(_calc!$E$776-500))))=0,"","Claims email: "&amp;IF(LEN(INDEX('My equipment'!$S$4:$S$503,(_calc!$E$776-500)))=0,"",INDEX('My equipment'!$S$4:$S$503,(_calc!$E$776-500)))&amp;". ")&amp;IF(LEN(IF(LEN(INDEX('My equipment'!$U$4:$U$503,(_calc!$E$776-500)))=0,"",INDEX('My equipment'!$U$4:$U$503,(_calc!$E$776-500))))=0,"","Registered: "&amp;IF(LEN(INDEX('My equipment'!$U$4:$U$503,(_calc!$E$776-500)))=0,"",INDEX('My equipment'!$U$4:$U$503,(_calc!$E$776-500)))&amp;". ")&amp;IF(LEN(IF(LEN(INDEX('My equipment'!$V$4:$V$503,(_calc!$E$776-500)))=0,"",INDEX('My equipment'!$V$4:$V$503,(_calc!$E$776-500))))=0,"","Proof on file: "&amp;IF(LEN(INDEX('My equipment'!$V$4:$V$503,(_calc!$E$776-500)))=0,"",INDEX('My equipment'!$V$4:$V$503,(_calc!$E$776-500)))&amp;". ")&amp;IF(LEN(IF(LEN(INDEX('My equipment'!$W$4:$W$503,(_calc!$E$776-500)))=0,"",INDEX('My equipment'!$W$4:$W$503,(_calc!$E$776-500))))=0,"","Claim ref: "&amp;IF(LEN(INDEX('My equipment'!$W$4:$W$503,(_calc!$E$776-500)))=0,"",INDEX('My equipment'!$W$4:$W$503,(_calc!$E$776-500)))&amp;". ")&amp;IF(LEN(IF(LEN(INDEX('My equipment'!$Y$4:$Y$503,(_calc!$E$776-500)))=0,"",INDEX('My equipment'!$Y$4:$Y$503,(_calc!$E$776-500))))=0,"",IF(LEN(INDEX('My equipment'!$Y$4:$Y$503,(_calc!$E$776-500)))=0,"",INDEX('My equipment'!$Y$4:$Y$503,(_calc!$E$776-500)))))))</f>
        <v/>
      </c>
      <c r="G774" s="54">
        <f>IF(_calc!$E$776="","",IF(_calc!$E$776&lt;=500,"",IF(LEN(INDEX('My equipment'!$X$4:$X$503,(_calc!$E$776-500)))=0,"",INDEX('My equipment'!$X$4:$X$503,(_calc!$E$776-500)))))</f>
        <v/>
      </c>
      <c r="K774" s="54">
        <f>IF(_calc!$E$776="","",IF(_calc!$E$776&lt;=500,"",IF(LEN(INDEX('My equipment'!$T$4:$T$503,(_calc!$E$776-500)))=0,"",INDEX('My equipment'!$T$4:$T$503,(_calc!$E$776-500)))))</f>
        <v/>
      </c>
    </row>
    <row r="775">
      <c r="A775" s="54">
        <f>IF(_calc!$E$777="","",IF(_calc!$E$777&lt;=500,"Warranty – "&amp;IF(LEN(INDEX('Dealer pipeline'!$C$4:$C$503,_calc!$E$777))=0,"",INDEX('Dealer pipeline'!$C$4:$C$503,_calc!$E$777))&amp;" – "&amp;IF(LEN(INDEX('Dealer pipeline'!$D$4:$D$503,_calc!$E$777))=0,"",INDEX('Dealer pipeline'!$D$4:$D$503,_calc!$E$777))&amp;" – "&amp;IF(LEN(INDEX('Dealer pipeline'!$A$4:$A$503,_calc!$E$777))=0,"",INDEX('Dealer pipeline'!$A$4:$A$503,_calc!$E$777)),"Warranty – "&amp;IF(LEN(INDEX('My equipment'!$A$4:$A$503,(_calc!$E$777-500)))=0,"",INDEX('My equipment'!$A$4:$A$503,(_calc!$E$777-500)))&amp;" – "&amp;IF(LEN(INDEX('My equipment'!$D$4:$D$503,(_calc!$E$777-500)))=0,"",INDEX('My equipment'!$D$4:$D$503,(_calc!$E$777-500)))))</f>
        <v/>
      </c>
      <c r="B775" s="54">
        <f>IF(_calc!$E$777="","",IF(_calc!$E$777&lt;=500,IF(ISNUMBER(INDEX('Dealer pipeline'!$M$4:$M$503,_calc!$E$777)),TEXT(INDEX('Dealer pipeline'!$M$4:$M$503,_calc!$E$777),"yyyy-mm-dd"),""),IF(ISNUMBER(INDEX('My equipment'!$M$4:$M$503,(_calc!$E$777-500))),TEXT(INDEX('My equipment'!$M$4:$M$503,(_calc!$E$777-500)),"yyyy-mm-dd"),"")))</f>
        <v/>
      </c>
      <c r="C775" s="54">
        <f>IF(_calc!$E$777="","",IF(_calc!$E$777&lt;=500,"Warranty","Warranty"))</f>
        <v/>
      </c>
      <c r="D775" s="54">
        <f>IF(_calc!$E$777="","",IF(_calc!$E$777&lt;=500,IF(ISNUMBER(INDEX('Dealer pipeline'!$H$4:$H$503,_calc!$E$777)),TEXT(INDEX('Dealer pipeline'!$H$4:$H$503,_calc!$E$777),"yyyy-mm-dd"),""),IF(ISNUMBER(INDEX('My equipment'!$H$4:$H$503,(_calc!$E$777-500))),TEXT(INDEX('My equipment'!$H$4:$H$503,(_calc!$E$777-500)),"yyyy-mm-dd"),"")))</f>
        <v/>
      </c>
      <c r="F775" s="54">
        <f>IF(_calc!$E$777="","",IF(_calc!$E$777&lt;=500,TRIM(IF(LEN(IF(LEN(INDEX('Dealer pipeline'!$A$4:$A$503,_calc!$E$777))=0,"",INDEX('Dealer pipeline'!$A$4:$A$503,_calc!$E$777)))=0,"","Customer: "&amp;IF(LEN(INDEX('Dealer pipeline'!$A$4:$A$503,_calc!$E$777))=0,"",INDEX('Dealer pipeline'!$A$4:$A$503,_calc!$E$777))&amp;". ")&amp;IF(LEN(IF(LEN(INDEX('Dealer pipeline'!$B$4:$B$503,_calc!$E$777))=0,"",INDEX('Dealer pipeline'!$B$4:$B$503,_calc!$E$777)))=0,"","Contact: "&amp;IF(LEN(INDEX('Dealer pipeline'!$B$4:$B$503,_calc!$E$777))=0,"",INDEX('Dealer pipeline'!$B$4:$B$503,_calc!$E$777))&amp;". ")&amp;IF(LEN(IF(LEN(INDEX('Dealer pipeline'!$D$4:$D$503,_calc!$E$777))=0,"",INDEX('Dealer pipeline'!$D$4:$D$503,_calc!$E$777)))=0,"","Serial: "&amp;IF(LEN(INDEX('Dealer pipeline'!$D$4:$D$503,_calc!$E$777))=0,"",INDEX('Dealer pipeline'!$D$4:$D$503,_calc!$E$777))&amp;". ")&amp;IF(LEN(IF(ISNUMBER(INDEX('Dealer pipeline'!$J$4:$J$503,_calc!$E$777)),TEXT(INDEX('Dealer pipeline'!$J$4:$J$503,_calc!$E$777),"yyyy-mm-dd"),""))=0,"","Parts end: "&amp;IF(ISNUMBER(INDEX('Dealer pipeline'!$J$4:$J$503,_calc!$E$777)),TEXT(INDEX('Dealer pipeline'!$J$4:$J$503,_calc!$E$777),"yyyy-mm-dd"),"")&amp;". ")&amp;IF(LEN(IF(ISNUMBER(INDEX('Dealer pipeline'!$L$4:$L$503,_calc!$E$777)),TEXT(INDEX('Dealer pipeline'!$L$4:$L$503,_calc!$E$777),"yyyy-mm-dd"),""))=0,"","Labor end: "&amp;IF(ISNUMBER(INDEX('Dealer pipeline'!$L$4:$L$503,_calc!$E$777)),TEXT(INDEX('Dealer pipeline'!$L$4:$L$503,_calc!$E$777),"yyyy-mm-dd"),"")&amp;". ")&amp;IF(LEN(IF(LEN(INDEX('Dealer pipeline'!$Q$4:$Q$503,_calc!$E$777))=0,"",INDEX('Dealer pipeline'!$Q$4:$Q$503,_calc!$E$777)))=0,"","Status: "&amp;IF(LEN(INDEX('Dealer pipeline'!$Q$4:$Q$503,_calc!$E$777))=0,"",INDEX('Dealer pipeline'!$Q$4:$Q$503,_calc!$E$777))&amp;". ")&amp;IF(LEN(IF(LEN(INDEX('Dealer pipeline'!$P$4:$P$503,_calc!$E$777))=0,"",INDEX('Dealer pipeline'!$P$4:$P$503,_calc!$E$777)))=0,"","Last touch: "&amp;IF(LEN(INDEX('Dealer pipeline'!$P$4:$P$503,_calc!$E$777))=0,"",INDEX('Dealer pipeline'!$P$4:$P$503,_calc!$E$777))&amp;". ")&amp;IF(LEN(IF(LEN(INDEX('Dealer pipeline'!$R$4:$R$503,_calc!$E$777))=0,"",INDEX('Dealer pipeline'!$R$4:$R$503,_calc!$E$777)))=0,"","Owner: "&amp;IF(LEN(INDEX('Dealer pipeline'!$R$4:$R$503,_calc!$E$777))=0,"",INDEX('Dealer pipeline'!$R$4:$R$503,_calc!$E$777))&amp;". ")&amp;IF(LEN(IF(LEN(INDEX('Dealer pipeline'!$S$4:$S$503,_calc!$E$777))=0,"",INDEX('Dealer pipeline'!$S$4:$S$503,_calc!$E$777)))=0,"","Backup: "&amp;IF(LEN(INDEX('Dealer pipeline'!$S$4:$S$503,_calc!$E$777))=0,"",INDEX('Dealer pipeline'!$S$4:$S$503,_calc!$E$777))&amp;". ")&amp;IF(LEN(IF(LEN(INDEX('Dealer pipeline'!$T$4:$T$503,_calc!$E$777))=0,"",INDEX('Dealer pipeline'!$T$4:$T$503,_calc!$E$777)))=0,"",IF(LEN(INDEX('Dealer pipeline'!$T$4:$T$503,_calc!$E$777))=0,"",INDEX('Dealer pipeline'!$T$4:$T$503,_calc!$E$777)))),TRIM(IF(LEN(IF(LEN(INDEX('My equipment'!$C$4:$C$503,(_calc!$E$777-500)))=0,"",INDEX('My equipment'!$C$4:$C$503,(_calc!$E$777-500))))=0,"","Model: "&amp;IF(LEN(INDEX('My equipment'!$C$4:$C$503,(_calc!$E$777-500)))=0,"",INDEX('My equipment'!$C$4:$C$503,(_calc!$E$777-500)))&amp;". ")&amp;IF(LEN(IF(LEN(INDEX('My equipment'!$D$4:$D$503,(_calc!$E$777-500)))=0,"",INDEX('My equipment'!$D$4:$D$503,(_calc!$E$777-500))))=0,"","Serial: "&amp;IF(LEN(INDEX('My equipment'!$D$4:$D$503,(_calc!$E$777-500)))=0,"",INDEX('My equipment'!$D$4:$D$503,(_calc!$E$777-500)))&amp;". ")&amp;IF(LEN(IF(ISNUMBER(INDEX('My equipment'!$J$4:$J$503,(_calc!$E$777-500))),TEXT(INDEX('My equipment'!$J$4:$J$503,(_calc!$E$777-500)),"yyyy-mm-dd"),""))=0,"","Parts end: "&amp;IF(ISNUMBER(INDEX('My equipment'!$J$4:$J$503,(_calc!$E$777-500))),TEXT(INDEX('My equipment'!$J$4:$J$503,(_calc!$E$777-500)),"yyyy-mm-dd"),"")&amp;". ")&amp;IF(LEN(IF(ISNUMBER(INDEX('My equipment'!$L$4:$L$503,(_calc!$E$777-500))),TEXT(INDEX('My equipment'!$L$4:$L$503,(_calc!$E$777-500)),"yyyy-mm-dd"),""))=0,"","Labor end: "&amp;IF(ISNUMBER(INDEX('My equipment'!$L$4:$L$503,(_calc!$E$777-500))),TEXT(INDEX('My equipment'!$L$4:$L$503,(_calc!$E$777-500)),"yyyy-mm-dd"),"")&amp;". ")&amp;IF(LEN(IF(ISNUMBER(INDEX('My equipment'!$P$4:$P$503,(_calc!$E$777-500))),TEXT(INDEX('My equipment'!$P$4:$P$503,(_calc!$E$777-500)),"yyyy-mm-dd"),""))=0,"","Check by: "&amp;IF(ISNUMBER(INDEX('My equipment'!$P$4:$P$503,(_calc!$E$777-500))),TEXT(INDEX('My equipment'!$P$4:$P$503,(_calc!$E$777-500)),"yyyy-mm-dd"),"")&amp;". ")&amp;IF(LEN(IF(LEN(INDEX('My equipment'!$Q$4:$Q$503,(_calc!$E$777-500)))=0,"",INDEX('My equipment'!$Q$4:$Q$503,(_calc!$E$777-500))))=0,"","Claim status: "&amp;IF(LEN(INDEX('My equipment'!$Q$4:$Q$503,(_calc!$E$777-500)))=0,"",INDEX('My equipment'!$Q$4:$Q$503,(_calc!$E$777-500)))&amp;". ")&amp;IF(LEN(IF(LEN(INDEX('My equipment'!$R$4:$R$503,(_calc!$E$777-500)))=0,"",INDEX('My equipment'!$R$4:$R$503,(_calc!$E$777-500))))=0,"","Claims contact: "&amp;IF(LEN(INDEX('My equipment'!$R$4:$R$503,(_calc!$E$777-500)))=0,"",INDEX('My equipment'!$R$4:$R$503,(_calc!$E$777-500)))&amp;". ")&amp;IF(LEN(IF(LEN(INDEX('My equipment'!$S$4:$S$503,(_calc!$E$777-500)))=0,"",INDEX('My equipment'!$S$4:$S$503,(_calc!$E$777-500))))=0,"","Claims email: "&amp;IF(LEN(INDEX('My equipment'!$S$4:$S$503,(_calc!$E$777-500)))=0,"",INDEX('My equipment'!$S$4:$S$503,(_calc!$E$777-500)))&amp;". ")&amp;IF(LEN(IF(LEN(INDEX('My equipment'!$U$4:$U$503,(_calc!$E$777-500)))=0,"",INDEX('My equipment'!$U$4:$U$503,(_calc!$E$777-500))))=0,"","Registered: "&amp;IF(LEN(INDEX('My equipment'!$U$4:$U$503,(_calc!$E$777-500)))=0,"",INDEX('My equipment'!$U$4:$U$503,(_calc!$E$777-500)))&amp;". ")&amp;IF(LEN(IF(LEN(INDEX('My equipment'!$V$4:$V$503,(_calc!$E$777-500)))=0,"",INDEX('My equipment'!$V$4:$V$503,(_calc!$E$777-500))))=0,"","Proof on file: "&amp;IF(LEN(INDEX('My equipment'!$V$4:$V$503,(_calc!$E$777-500)))=0,"",INDEX('My equipment'!$V$4:$V$503,(_calc!$E$777-500)))&amp;". ")&amp;IF(LEN(IF(LEN(INDEX('My equipment'!$W$4:$W$503,(_calc!$E$777-500)))=0,"",INDEX('My equipment'!$W$4:$W$503,(_calc!$E$777-500))))=0,"","Claim ref: "&amp;IF(LEN(INDEX('My equipment'!$W$4:$W$503,(_calc!$E$777-500)))=0,"",INDEX('My equipment'!$W$4:$W$503,(_calc!$E$777-500)))&amp;". ")&amp;IF(LEN(IF(LEN(INDEX('My equipment'!$Y$4:$Y$503,(_calc!$E$777-500)))=0,"",INDEX('My equipment'!$Y$4:$Y$503,(_calc!$E$777-500))))=0,"",IF(LEN(INDEX('My equipment'!$Y$4:$Y$503,(_calc!$E$777-500)))=0,"",INDEX('My equipment'!$Y$4:$Y$503,(_calc!$E$777-500)))))))</f>
        <v/>
      </c>
      <c r="G775" s="54">
        <f>IF(_calc!$E$777="","",IF(_calc!$E$777&lt;=500,"",IF(LEN(INDEX('My equipment'!$X$4:$X$503,(_calc!$E$777-500)))=0,"",INDEX('My equipment'!$X$4:$X$503,(_calc!$E$777-500)))))</f>
        <v/>
      </c>
      <c r="K775" s="54">
        <f>IF(_calc!$E$777="","",IF(_calc!$E$777&lt;=500,"",IF(LEN(INDEX('My equipment'!$T$4:$T$503,(_calc!$E$777-500)))=0,"",INDEX('My equipment'!$T$4:$T$503,(_calc!$E$777-500)))))</f>
        <v/>
      </c>
    </row>
    <row r="776">
      <c r="A776" s="54">
        <f>IF(_calc!$E$778="","",IF(_calc!$E$778&lt;=500,"Warranty – "&amp;IF(LEN(INDEX('Dealer pipeline'!$C$4:$C$503,_calc!$E$778))=0,"",INDEX('Dealer pipeline'!$C$4:$C$503,_calc!$E$778))&amp;" – "&amp;IF(LEN(INDEX('Dealer pipeline'!$D$4:$D$503,_calc!$E$778))=0,"",INDEX('Dealer pipeline'!$D$4:$D$503,_calc!$E$778))&amp;" – "&amp;IF(LEN(INDEX('Dealer pipeline'!$A$4:$A$503,_calc!$E$778))=0,"",INDEX('Dealer pipeline'!$A$4:$A$503,_calc!$E$778)),"Warranty – "&amp;IF(LEN(INDEX('My equipment'!$A$4:$A$503,(_calc!$E$778-500)))=0,"",INDEX('My equipment'!$A$4:$A$503,(_calc!$E$778-500)))&amp;" – "&amp;IF(LEN(INDEX('My equipment'!$D$4:$D$503,(_calc!$E$778-500)))=0,"",INDEX('My equipment'!$D$4:$D$503,(_calc!$E$778-500)))))</f>
        <v/>
      </c>
      <c r="B776" s="54">
        <f>IF(_calc!$E$778="","",IF(_calc!$E$778&lt;=500,IF(ISNUMBER(INDEX('Dealer pipeline'!$M$4:$M$503,_calc!$E$778)),TEXT(INDEX('Dealer pipeline'!$M$4:$M$503,_calc!$E$778),"yyyy-mm-dd"),""),IF(ISNUMBER(INDEX('My equipment'!$M$4:$M$503,(_calc!$E$778-500))),TEXT(INDEX('My equipment'!$M$4:$M$503,(_calc!$E$778-500)),"yyyy-mm-dd"),"")))</f>
        <v/>
      </c>
      <c r="C776" s="54">
        <f>IF(_calc!$E$778="","",IF(_calc!$E$778&lt;=500,"Warranty","Warranty"))</f>
        <v/>
      </c>
      <c r="D776" s="54">
        <f>IF(_calc!$E$778="","",IF(_calc!$E$778&lt;=500,IF(ISNUMBER(INDEX('Dealer pipeline'!$H$4:$H$503,_calc!$E$778)),TEXT(INDEX('Dealer pipeline'!$H$4:$H$503,_calc!$E$778),"yyyy-mm-dd"),""),IF(ISNUMBER(INDEX('My equipment'!$H$4:$H$503,(_calc!$E$778-500))),TEXT(INDEX('My equipment'!$H$4:$H$503,(_calc!$E$778-500)),"yyyy-mm-dd"),"")))</f>
        <v/>
      </c>
      <c r="F776" s="54">
        <f>IF(_calc!$E$778="","",IF(_calc!$E$778&lt;=500,TRIM(IF(LEN(IF(LEN(INDEX('Dealer pipeline'!$A$4:$A$503,_calc!$E$778))=0,"",INDEX('Dealer pipeline'!$A$4:$A$503,_calc!$E$778)))=0,"","Customer: "&amp;IF(LEN(INDEX('Dealer pipeline'!$A$4:$A$503,_calc!$E$778))=0,"",INDEX('Dealer pipeline'!$A$4:$A$503,_calc!$E$778))&amp;". ")&amp;IF(LEN(IF(LEN(INDEX('Dealer pipeline'!$B$4:$B$503,_calc!$E$778))=0,"",INDEX('Dealer pipeline'!$B$4:$B$503,_calc!$E$778)))=0,"","Contact: "&amp;IF(LEN(INDEX('Dealer pipeline'!$B$4:$B$503,_calc!$E$778))=0,"",INDEX('Dealer pipeline'!$B$4:$B$503,_calc!$E$778))&amp;". ")&amp;IF(LEN(IF(LEN(INDEX('Dealer pipeline'!$D$4:$D$503,_calc!$E$778))=0,"",INDEX('Dealer pipeline'!$D$4:$D$503,_calc!$E$778)))=0,"","Serial: "&amp;IF(LEN(INDEX('Dealer pipeline'!$D$4:$D$503,_calc!$E$778))=0,"",INDEX('Dealer pipeline'!$D$4:$D$503,_calc!$E$778))&amp;". ")&amp;IF(LEN(IF(ISNUMBER(INDEX('Dealer pipeline'!$J$4:$J$503,_calc!$E$778)),TEXT(INDEX('Dealer pipeline'!$J$4:$J$503,_calc!$E$778),"yyyy-mm-dd"),""))=0,"","Parts end: "&amp;IF(ISNUMBER(INDEX('Dealer pipeline'!$J$4:$J$503,_calc!$E$778)),TEXT(INDEX('Dealer pipeline'!$J$4:$J$503,_calc!$E$778),"yyyy-mm-dd"),"")&amp;". ")&amp;IF(LEN(IF(ISNUMBER(INDEX('Dealer pipeline'!$L$4:$L$503,_calc!$E$778)),TEXT(INDEX('Dealer pipeline'!$L$4:$L$503,_calc!$E$778),"yyyy-mm-dd"),""))=0,"","Labor end: "&amp;IF(ISNUMBER(INDEX('Dealer pipeline'!$L$4:$L$503,_calc!$E$778)),TEXT(INDEX('Dealer pipeline'!$L$4:$L$503,_calc!$E$778),"yyyy-mm-dd"),"")&amp;". ")&amp;IF(LEN(IF(LEN(INDEX('Dealer pipeline'!$Q$4:$Q$503,_calc!$E$778))=0,"",INDEX('Dealer pipeline'!$Q$4:$Q$503,_calc!$E$778)))=0,"","Status: "&amp;IF(LEN(INDEX('Dealer pipeline'!$Q$4:$Q$503,_calc!$E$778))=0,"",INDEX('Dealer pipeline'!$Q$4:$Q$503,_calc!$E$778))&amp;". ")&amp;IF(LEN(IF(LEN(INDEX('Dealer pipeline'!$P$4:$P$503,_calc!$E$778))=0,"",INDEX('Dealer pipeline'!$P$4:$P$503,_calc!$E$778)))=0,"","Last touch: "&amp;IF(LEN(INDEX('Dealer pipeline'!$P$4:$P$503,_calc!$E$778))=0,"",INDEX('Dealer pipeline'!$P$4:$P$503,_calc!$E$778))&amp;". ")&amp;IF(LEN(IF(LEN(INDEX('Dealer pipeline'!$R$4:$R$503,_calc!$E$778))=0,"",INDEX('Dealer pipeline'!$R$4:$R$503,_calc!$E$778)))=0,"","Owner: "&amp;IF(LEN(INDEX('Dealer pipeline'!$R$4:$R$503,_calc!$E$778))=0,"",INDEX('Dealer pipeline'!$R$4:$R$503,_calc!$E$778))&amp;". ")&amp;IF(LEN(IF(LEN(INDEX('Dealer pipeline'!$S$4:$S$503,_calc!$E$778))=0,"",INDEX('Dealer pipeline'!$S$4:$S$503,_calc!$E$778)))=0,"","Backup: "&amp;IF(LEN(INDEX('Dealer pipeline'!$S$4:$S$503,_calc!$E$778))=0,"",INDEX('Dealer pipeline'!$S$4:$S$503,_calc!$E$778))&amp;". ")&amp;IF(LEN(IF(LEN(INDEX('Dealer pipeline'!$T$4:$T$503,_calc!$E$778))=0,"",INDEX('Dealer pipeline'!$T$4:$T$503,_calc!$E$778)))=0,"",IF(LEN(INDEX('Dealer pipeline'!$T$4:$T$503,_calc!$E$778))=0,"",INDEX('Dealer pipeline'!$T$4:$T$503,_calc!$E$778)))),TRIM(IF(LEN(IF(LEN(INDEX('My equipment'!$C$4:$C$503,(_calc!$E$778-500)))=0,"",INDEX('My equipment'!$C$4:$C$503,(_calc!$E$778-500))))=0,"","Model: "&amp;IF(LEN(INDEX('My equipment'!$C$4:$C$503,(_calc!$E$778-500)))=0,"",INDEX('My equipment'!$C$4:$C$503,(_calc!$E$778-500)))&amp;". ")&amp;IF(LEN(IF(LEN(INDEX('My equipment'!$D$4:$D$503,(_calc!$E$778-500)))=0,"",INDEX('My equipment'!$D$4:$D$503,(_calc!$E$778-500))))=0,"","Serial: "&amp;IF(LEN(INDEX('My equipment'!$D$4:$D$503,(_calc!$E$778-500)))=0,"",INDEX('My equipment'!$D$4:$D$503,(_calc!$E$778-500)))&amp;". ")&amp;IF(LEN(IF(ISNUMBER(INDEX('My equipment'!$J$4:$J$503,(_calc!$E$778-500))),TEXT(INDEX('My equipment'!$J$4:$J$503,(_calc!$E$778-500)),"yyyy-mm-dd"),""))=0,"","Parts end: "&amp;IF(ISNUMBER(INDEX('My equipment'!$J$4:$J$503,(_calc!$E$778-500))),TEXT(INDEX('My equipment'!$J$4:$J$503,(_calc!$E$778-500)),"yyyy-mm-dd"),"")&amp;". ")&amp;IF(LEN(IF(ISNUMBER(INDEX('My equipment'!$L$4:$L$503,(_calc!$E$778-500))),TEXT(INDEX('My equipment'!$L$4:$L$503,(_calc!$E$778-500)),"yyyy-mm-dd"),""))=0,"","Labor end: "&amp;IF(ISNUMBER(INDEX('My equipment'!$L$4:$L$503,(_calc!$E$778-500))),TEXT(INDEX('My equipment'!$L$4:$L$503,(_calc!$E$778-500)),"yyyy-mm-dd"),"")&amp;". ")&amp;IF(LEN(IF(ISNUMBER(INDEX('My equipment'!$P$4:$P$503,(_calc!$E$778-500))),TEXT(INDEX('My equipment'!$P$4:$P$503,(_calc!$E$778-500)),"yyyy-mm-dd"),""))=0,"","Check by: "&amp;IF(ISNUMBER(INDEX('My equipment'!$P$4:$P$503,(_calc!$E$778-500))),TEXT(INDEX('My equipment'!$P$4:$P$503,(_calc!$E$778-500)),"yyyy-mm-dd"),"")&amp;". ")&amp;IF(LEN(IF(LEN(INDEX('My equipment'!$Q$4:$Q$503,(_calc!$E$778-500)))=0,"",INDEX('My equipment'!$Q$4:$Q$503,(_calc!$E$778-500))))=0,"","Claim status: "&amp;IF(LEN(INDEX('My equipment'!$Q$4:$Q$503,(_calc!$E$778-500)))=0,"",INDEX('My equipment'!$Q$4:$Q$503,(_calc!$E$778-500)))&amp;". ")&amp;IF(LEN(IF(LEN(INDEX('My equipment'!$R$4:$R$503,(_calc!$E$778-500)))=0,"",INDEX('My equipment'!$R$4:$R$503,(_calc!$E$778-500))))=0,"","Claims contact: "&amp;IF(LEN(INDEX('My equipment'!$R$4:$R$503,(_calc!$E$778-500)))=0,"",INDEX('My equipment'!$R$4:$R$503,(_calc!$E$778-500)))&amp;". ")&amp;IF(LEN(IF(LEN(INDEX('My equipment'!$S$4:$S$503,(_calc!$E$778-500)))=0,"",INDEX('My equipment'!$S$4:$S$503,(_calc!$E$778-500))))=0,"","Claims email: "&amp;IF(LEN(INDEX('My equipment'!$S$4:$S$503,(_calc!$E$778-500)))=0,"",INDEX('My equipment'!$S$4:$S$503,(_calc!$E$778-500)))&amp;". ")&amp;IF(LEN(IF(LEN(INDEX('My equipment'!$U$4:$U$503,(_calc!$E$778-500)))=0,"",INDEX('My equipment'!$U$4:$U$503,(_calc!$E$778-500))))=0,"","Registered: "&amp;IF(LEN(INDEX('My equipment'!$U$4:$U$503,(_calc!$E$778-500)))=0,"",INDEX('My equipment'!$U$4:$U$503,(_calc!$E$778-500)))&amp;". ")&amp;IF(LEN(IF(LEN(INDEX('My equipment'!$V$4:$V$503,(_calc!$E$778-500)))=0,"",INDEX('My equipment'!$V$4:$V$503,(_calc!$E$778-500))))=0,"","Proof on file: "&amp;IF(LEN(INDEX('My equipment'!$V$4:$V$503,(_calc!$E$778-500)))=0,"",INDEX('My equipment'!$V$4:$V$503,(_calc!$E$778-500)))&amp;". ")&amp;IF(LEN(IF(LEN(INDEX('My equipment'!$W$4:$W$503,(_calc!$E$778-500)))=0,"",INDEX('My equipment'!$W$4:$W$503,(_calc!$E$778-500))))=0,"","Claim ref: "&amp;IF(LEN(INDEX('My equipment'!$W$4:$W$503,(_calc!$E$778-500)))=0,"",INDEX('My equipment'!$W$4:$W$503,(_calc!$E$778-500)))&amp;". ")&amp;IF(LEN(IF(LEN(INDEX('My equipment'!$Y$4:$Y$503,(_calc!$E$778-500)))=0,"",INDEX('My equipment'!$Y$4:$Y$503,(_calc!$E$778-500))))=0,"",IF(LEN(INDEX('My equipment'!$Y$4:$Y$503,(_calc!$E$778-500)))=0,"",INDEX('My equipment'!$Y$4:$Y$503,(_calc!$E$778-500)))))))</f>
        <v/>
      </c>
      <c r="G776" s="54">
        <f>IF(_calc!$E$778="","",IF(_calc!$E$778&lt;=500,"",IF(LEN(INDEX('My equipment'!$X$4:$X$503,(_calc!$E$778-500)))=0,"",INDEX('My equipment'!$X$4:$X$503,(_calc!$E$778-500)))))</f>
        <v/>
      </c>
      <c r="K776" s="54">
        <f>IF(_calc!$E$778="","",IF(_calc!$E$778&lt;=500,"",IF(LEN(INDEX('My equipment'!$T$4:$T$503,(_calc!$E$778-500)))=0,"",INDEX('My equipment'!$T$4:$T$503,(_calc!$E$778-500)))))</f>
        <v/>
      </c>
    </row>
    <row r="777">
      <c r="A777" s="54">
        <f>IF(_calc!$E$779="","",IF(_calc!$E$779&lt;=500,"Warranty – "&amp;IF(LEN(INDEX('Dealer pipeline'!$C$4:$C$503,_calc!$E$779))=0,"",INDEX('Dealer pipeline'!$C$4:$C$503,_calc!$E$779))&amp;" – "&amp;IF(LEN(INDEX('Dealer pipeline'!$D$4:$D$503,_calc!$E$779))=0,"",INDEX('Dealer pipeline'!$D$4:$D$503,_calc!$E$779))&amp;" – "&amp;IF(LEN(INDEX('Dealer pipeline'!$A$4:$A$503,_calc!$E$779))=0,"",INDEX('Dealer pipeline'!$A$4:$A$503,_calc!$E$779)),"Warranty – "&amp;IF(LEN(INDEX('My equipment'!$A$4:$A$503,(_calc!$E$779-500)))=0,"",INDEX('My equipment'!$A$4:$A$503,(_calc!$E$779-500)))&amp;" – "&amp;IF(LEN(INDEX('My equipment'!$D$4:$D$503,(_calc!$E$779-500)))=0,"",INDEX('My equipment'!$D$4:$D$503,(_calc!$E$779-500)))))</f>
        <v/>
      </c>
      <c r="B777" s="54">
        <f>IF(_calc!$E$779="","",IF(_calc!$E$779&lt;=500,IF(ISNUMBER(INDEX('Dealer pipeline'!$M$4:$M$503,_calc!$E$779)),TEXT(INDEX('Dealer pipeline'!$M$4:$M$503,_calc!$E$779),"yyyy-mm-dd"),""),IF(ISNUMBER(INDEX('My equipment'!$M$4:$M$503,(_calc!$E$779-500))),TEXT(INDEX('My equipment'!$M$4:$M$503,(_calc!$E$779-500)),"yyyy-mm-dd"),"")))</f>
        <v/>
      </c>
      <c r="C777" s="54">
        <f>IF(_calc!$E$779="","",IF(_calc!$E$779&lt;=500,"Warranty","Warranty"))</f>
        <v/>
      </c>
      <c r="D777" s="54">
        <f>IF(_calc!$E$779="","",IF(_calc!$E$779&lt;=500,IF(ISNUMBER(INDEX('Dealer pipeline'!$H$4:$H$503,_calc!$E$779)),TEXT(INDEX('Dealer pipeline'!$H$4:$H$503,_calc!$E$779),"yyyy-mm-dd"),""),IF(ISNUMBER(INDEX('My equipment'!$H$4:$H$503,(_calc!$E$779-500))),TEXT(INDEX('My equipment'!$H$4:$H$503,(_calc!$E$779-500)),"yyyy-mm-dd"),"")))</f>
        <v/>
      </c>
      <c r="F777" s="54">
        <f>IF(_calc!$E$779="","",IF(_calc!$E$779&lt;=500,TRIM(IF(LEN(IF(LEN(INDEX('Dealer pipeline'!$A$4:$A$503,_calc!$E$779))=0,"",INDEX('Dealer pipeline'!$A$4:$A$503,_calc!$E$779)))=0,"","Customer: "&amp;IF(LEN(INDEX('Dealer pipeline'!$A$4:$A$503,_calc!$E$779))=0,"",INDEX('Dealer pipeline'!$A$4:$A$503,_calc!$E$779))&amp;". ")&amp;IF(LEN(IF(LEN(INDEX('Dealer pipeline'!$B$4:$B$503,_calc!$E$779))=0,"",INDEX('Dealer pipeline'!$B$4:$B$503,_calc!$E$779)))=0,"","Contact: "&amp;IF(LEN(INDEX('Dealer pipeline'!$B$4:$B$503,_calc!$E$779))=0,"",INDEX('Dealer pipeline'!$B$4:$B$503,_calc!$E$779))&amp;". ")&amp;IF(LEN(IF(LEN(INDEX('Dealer pipeline'!$D$4:$D$503,_calc!$E$779))=0,"",INDEX('Dealer pipeline'!$D$4:$D$503,_calc!$E$779)))=0,"","Serial: "&amp;IF(LEN(INDEX('Dealer pipeline'!$D$4:$D$503,_calc!$E$779))=0,"",INDEX('Dealer pipeline'!$D$4:$D$503,_calc!$E$779))&amp;". ")&amp;IF(LEN(IF(ISNUMBER(INDEX('Dealer pipeline'!$J$4:$J$503,_calc!$E$779)),TEXT(INDEX('Dealer pipeline'!$J$4:$J$503,_calc!$E$779),"yyyy-mm-dd"),""))=0,"","Parts end: "&amp;IF(ISNUMBER(INDEX('Dealer pipeline'!$J$4:$J$503,_calc!$E$779)),TEXT(INDEX('Dealer pipeline'!$J$4:$J$503,_calc!$E$779),"yyyy-mm-dd"),"")&amp;". ")&amp;IF(LEN(IF(ISNUMBER(INDEX('Dealer pipeline'!$L$4:$L$503,_calc!$E$779)),TEXT(INDEX('Dealer pipeline'!$L$4:$L$503,_calc!$E$779),"yyyy-mm-dd"),""))=0,"","Labor end: "&amp;IF(ISNUMBER(INDEX('Dealer pipeline'!$L$4:$L$503,_calc!$E$779)),TEXT(INDEX('Dealer pipeline'!$L$4:$L$503,_calc!$E$779),"yyyy-mm-dd"),"")&amp;". ")&amp;IF(LEN(IF(LEN(INDEX('Dealer pipeline'!$Q$4:$Q$503,_calc!$E$779))=0,"",INDEX('Dealer pipeline'!$Q$4:$Q$503,_calc!$E$779)))=0,"","Status: "&amp;IF(LEN(INDEX('Dealer pipeline'!$Q$4:$Q$503,_calc!$E$779))=0,"",INDEX('Dealer pipeline'!$Q$4:$Q$503,_calc!$E$779))&amp;". ")&amp;IF(LEN(IF(LEN(INDEX('Dealer pipeline'!$P$4:$P$503,_calc!$E$779))=0,"",INDEX('Dealer pipeline'!$P$4:$P$503,_calc!$E$779)))=0,"","Last touch: "&amp;IF(LEN(INDEX('Dealer pipeline'!$P$4:$P$503,_calc!$E$779))=0,"",INDEX('Dealer pipeline'!$P$4:$P$503,_calc!$E$779))&amp;". ")&amp;IF(LEN(IF(LEN(INDEX('Dealer pipeline'!$R$4:$R$503,_calc!$E$779))=0,"",INDEX('Dealer pipeline'!$R$4:$R$503,_calc!$E$779)))=0,"","Owner: "&amp;IF(LEN(INDEX('Dealer pipeline'!$R$4:$R$503,_calc!$E$779))=0,"",INDEX('Dealer pipeline'!$R$4:$R$503,_calc!$E$779))&amp;". ")&amp;IF(LEN(IF(LEN(INDEX('Dealer pipeline'!$S$4:$S$503,_calc!$E$779))=0,"",INDEX('Dealer pipeline'!$S$4:$S$503,_calc!$E$779)))=0,"","Backup: "&amp;IF(LEN(INDEX('Dealer pipeline'!$S$4:$S$503,_calc!$E$779))=0,"",INDEX('Dealer pipeline'!$S$4:$S$503,_calc!$E$779))&amp;". ")&amp;IF(LEN(IF(LEN(INDEX('Dealer pipeline'!$T$4:$T$503,_calc!$E$779))=0,"",INDEX('Dealer pipeline'!$T$4:$T$503,_calc!$E$779)))=0,"",IF(LEN(INDEX('Dealer pipeline'!$T$4:$T$503,_calc!$E$779))=0,"",INDEX('Dealer pipeline'!$T$4:$T$503,_calc!$E$779)))),TRIM(IF(LEN(IF(LEN(INDEX('My equipment'!$C$4:$C$503,(_calc!$E$779-500)))=0,"",INDEX('My equipment'!$C$4:$C$503,(_calc!$E$779-500))))=0,"","Model: "&amp;IF(LEN(INDEX('My equipment'!$C$4:$C$503,(_calc!$E$779-500)))=0,"",INDEX('My equipment'!$C$4:$C$503,(_calc!$E$779-500)))&amp;". ")&amp;IF(LEN(IF(LEN(INDEX('My equipment'!$D$4:$D$503,(_calc!$E$779-500)))=0,"",INDEX('My equipment'!$D$4:$D$503,(_calc!$E$779-500))))=0,"","Serial: "&amp;IF(LEN(INDEX('My equipment'!$D$4:$D$503,(_calc!$E$779-500)))=0,"",INDEX('My equipment'!$D$4:$D$503,(_calc!$E$779-500)))&amp;". ")&amp;IF(LEN(IF(ISNUMBER(INDEX('My equipment'!$J$4:$J$503,(_calc!$E$779-500))),TEXT(INDEX('My equipment'!$J$4:$J$503,(_calc!$E$779-500)),"yyyy-mm-dd"),""))=0,"","Parts end: "&amp;IF(ISNUMBER(INDEX('My equipment'!$J$4:$J$503,(_calc!$E$779-500))),TEXT(INDEX('My equipment'!$J$4:$J$503,(_calc!$E$779-500)),"yyyy-mm-dd"),"")&amp;". ")&amp;IF(LEN(IF(ISNUMBER(INDEX('My equipment'!$L$4:$L$503,(_calc!$E$779-500))),TEXT(INDEX('My equipment'!$L$4:$L$503,(_calc!$E$779-500)),"yyyy-mm-dd"),""))=0,"","Labor end: "&amp;IF(ISNUMBER(INDEX('My equipment'!$L$4:$L$503,(_calc!$E$779-500))),TEXT(INDEX('My equipment'!$L$4:$L$503,(_calc!$E$779-500)),"yyyy-mm-dd"),"")&amp;". ")&amp;IF(LEN(IF(ISNUMBER(INDEX('My equipment'!$P$4:$P$503,(_calc!$E$779-500))),TEXT(INDEX('My equipment'!$P$4:$P$503,(_calc!$E$779-500)),"yyyy-mm-dd"),""))=0,"","Check by: "&amp;IF(ISNUMBER(INDEX('My equipment'!$P$4:$P$503,(_calc!$E$779-500))),TEXT(INDEX('My equipment'!$P$4:$P$503,(_calc!$E$779-500)),"yyyy-mm-dd"),"")&amp;". ")&amp;IF(LEN(IF(LEN(INDEX('My equipment'!$Q$4:$Q$503,(_calc!$E$779-500)))=0,"",INDEX('My equipment'!$Q$4:$Q$503,(_calc!$E$779-500))))=0,"","Claim status: "&amp;IF(LEN(INDEX('My equipment'!$Q$4:$Q$503,(_calc!$E$779-500)))=0,"",INDEX('My equipment'!$Q$4:$Q$503,(_calc!$E$779-500)))&amp;". ")&amp;IF(LEN(IF(LEN(INDEX('My equipment'!$R$4:$R$503,(_calc!$E$779-500)))=0,"",INDEX('My equipment'!$R$4:$R$503,(_calc!$E$779-500))))=0,"","Claims contact: "&amp;IF(LEN(INDEX('My equipment'!$R$4:$R$503,(_calc!$E$779-500)))=0,"",INDEX('My equipment'!$R$4:$R$503,(_calc!$E$779-500)))&amp;". ")&amp;IF(LEN(IF(LEN(INDEX('My equipment'!$S$4:$S$503,(_calc!$E$779-500)))=0,"",INDEX('My equipment'!$S$4:$S$503,(_calc!$E$779-500))))=0,"","Claims email: "&amp;IF(LEN(INDEX('My equipment'!$S$4:$S$503,(_calc!$E$779-500)))=0,"",INDEX('My equipment'!$S$4:$S$503,(_calc!$E$779-500)))&amp;". ")&amp;IF(LEN(IF(LEN(INDEX('My equipment'!$U$4:$U$503,(_calc!$E$779-500)))=0,"",INDEX('My equipment'!$U$4:$U$503,(_calc!$E$779-500))))=0,"","Registered: "&amp;IF(LEN(INDEX('My equipment'!$U$4:$U$503,(_calc!$E$779-500)))=0,"",INDEX('My equipment'!$U$4:$U$503,(_calc!$E$779-500)))&amp;". ")&amp;IF(LEN(IF(LEN(INDEX('My equipment'!$V$4:$V$503,(_calc!$E$779-500)))=0,"",INDEX('My equipment'!$V$4:$V$503,(_calc!$E$779-500))))=0,"","Proof on file: "&amp;IF(LEN(INDEX('My equipment'!$V$4:$V$503,(_calc!$E$779-500)))=0,"",INDEX('My equipment'!$V$4:$V$503,(_calc!$E$779-500)))&amp;". ")&amp;IF(LEN(IF(LEN(INDEX('My equipment'!$W$4:$W$503,(_calc!$E$779-500)))=0,"",INDEX('My equipment'!$W$4:$W$503,(_calc!$E$779-500))))=0,"","Claim ref: "&amp;IF(LEN(INDEX('My equipment'!$W$4:$W$503,(_calc!$E$779-500)))=0,"",INDEX('My equipment'!$W$4:$W$503,(_calc!$E$779-500)))&amp;". ")&amp;IF(LEN(IF(LEN(INDEX('My equipment'!$Y$4:$Y$503,(_calc!$E$779-500)))=0,"",INDEX('My equipment'!$Y$4:$Y$503,(_calc!$E$779-500))))=0,"",IF(LEN(INDEX('My equipment'!$Y$4:$Y$503,(_calc!$E$779-500)))=0,"",INDEX('My equipment'!$Y$4:$Y$503,(_calc!$E$779-500)))))))</f>
        <v/>
      </c>
      <c r="G777" s="54">
        <f>IF(_calc!$E$779="","",IF(_calc!$E$779&lt;=500,"",IF(LEN(INDEX('My equipment'!$X$4:$X$503,(_calc!$E$779-500)))=0,"",INDEX('My equipment'!$X$4:$X$503,(_calc!$E$779-500)))))</f>
        <v/>
      </c>
      <c r="K777" s="54">
        <f>IF(_calc!$E$779="","",IF(_calc!$E$779&lt;=500,"",IF(LEN(INDEX('My equipment'!$T$4:$T$503,(_calc!$E$779-500)))=0,"",INDEX('My equipment'!$T$4:$T$503,(_calc!$E$779-500)))))</f>
        <v/>
      </c>
    </row>
    <row r="778">
      <c r="A778" s="54">
        <f>IF(_calc!$E$780="","",IF(_calc!$E$780&lt;=500,"Warranty – "&amp;IF(LEN(INDEX('Dealer pipeline'!$C$4:$C$503,_calc!$E$780))=0,"",INDEX('Dealer pipeline'!$C$4:$C$503,_calc!$E$780))&amp;" – "&amp;IF(LEN(INDEX('Dealer pipeline'!$D$4:$D$503,_calc!$E$780))=0,"",INDEX('Dealer pipeline'!$D$4:$D$503,_calc!$E$780))&amp;" – "&amp;IF(LEN(INDEX('Dealer pipeline'!$A$4:$A$503,_calc!$E$780))=0,"",INDEX('Dealer pipeline'!$A$4:$A$503,_calc!$E$780)),"Warranty – "&amp;IF(LEN(INDEX('My equipment'!$A$4:$A$503,(_calc!$E$780-500)))=0,"",INDEX('My equipment'!$A$4:$A$503,(_calc!$E$780-500)))&amp;" – "&amp;IF(LEN(INDEX('My equipment'!$D$4:$D$503,(_calc!$E$780-500)))=0,"",INDEX('My equipment'!$D$4:$D$503,(_calc!$E$780-500)))))</f>
        <v/>
      </c>
      <c r="B778" s="54">
        <f>IF(_calc!$E$780="","",IF(_calc!$E$780&lt;=500,IF(ISNUMBER(INDEX('Dealer pipeline'!$M$4:$M$503,_calc!$E$780)),TEXT(INDEX('Dealer pipeline'!$M$4:$M$503,_calc!$E$780),"yyyy-mm-dd"),""),IF(ISNUMBER(INDEX('My equipment'!$M$4:$M$503,(_calc!$E$780-500))),TEXT(INDEX('My equipment'!$M$4:$M$503,(_calc!$E$780-500)),"yyyy-mm-dd"),"")))</f>
        <v/>
      </c>
      <c r="C778" s="54">
        <f>IF(_calc!$E$780="","",IF(_calc!$E$780&lt;=500,"Warranty","Warranty"))</f>
        <v/>
      </c>
      <c r="D778" s="54">
        <f>IF(_calc!$E$780="","",IF(_calc!$E$780&lt;=500,IF(ISNUMBER(INDEX('Dealer pipeline'!$H$4:$H$503,_calc!$E$780)),TEXT(INDEX('Dealer pipeline'!$H$4:$H$503,_calc!$E$780),"yyyy-mm-dd"),""),IF(ISNUMBER(INDEX('My equipment'!$H$4:$H$503,(_calc!$E$780-500))),TEXT(INDEX('My equipment'!$H$4:$H$503,(_calc!$E$780-500)),"yyyy-mm-dd"),"")))</f>
        <v/>
      </c>
      <c r="F778" s="54">
        <f>IF(_calc!$E$780="","",IF(_calc!$E$780&lt;=500,TRIM(IF(LEN(IF(LEN(INDEX('Dealer pipeline'!$A$4:$A$503,_calc!$E$780))=0,"",INDEX('Dealer pipeline'!$A$4:$A$503,_calc!$E$780)))=0,"","Customer: "&amp;IF(LEN(INDEX('Dealer pipeline'!$A$4:$A$503,_calc!$E$780))=0,"",INDEX('Dealer pipeline'!$A$4:$A$503,_calc!$E$780))&amp;". ")&amp;IF(LEN(IF(LEN(INDEX('Dealer pipeline'!$B$4:$B$503,_calc!$E$780))=0,"",INDEX('Dealer pipeline'!$B$4:$B$503,_calc!$E$780)))=0,"","Contact: "&amp;IF(LEN(INDEX('Dealer pipeline'!$B$4:$B$503,_calc!$E$780))=0,"",INDEX('Dealer pipeline'!$B$4:$B$503,_calc!$E$780))&amp;". ")&amp;IF(LEN(IF(LEN(INDEX('Dealer pipeline'!$D$4:$D$503,_calc!$E$780))=0,"",INDEX('Dealer pipeline'!$D$4:$D$503,_calc!$E$780)))=0,"","Serial: "&amp;IF(LEN(INDEX('Dealer pipeline'!$D$4:$D$503,_calc!$E$780))=0,"",INDEX('Dealer pipeline'!$D$4:$D$503,_calc!$E$780))&amp;". ")&amp;IF(LEN(IF(ISNUMBER(INDEX('Dealer pipeline'!$J$4:$J$503,_calc!$E$780)),TEXT(INDEX('Dealer pipeline'!$J$4:$J$503,_calc!$E$780),"yyyy-mm-dd"),""))=0,"","Parts end: "&amp;IF(ISNUMBER(INDEX('Dealer pipeline'!$J$4:$J$503,_calc!$E$780)),TEXT(INDEX('Dealer pipeline'!$J$4:$J$503,_calc!$E$780),"yyyy-mm-dd"),"")&amp;". ")&amp;IF(LEN(IF(ISNUMBER(INDEX('Dealer pipeline'!$L$4:$L$503,_calc!$E$780)),TEXT(INDEX('Dealer pipeline'!$L$4:$L$503,_calc!$E$780),"yyyy-mm-dd"),""))=0,"","Labor end: "&amp;IF(ISNUMBER(INDEX('Dealer pipeline'!$L$4:$L$503,_calc!$E$780)),TEXT(INDEX('Dealer pipeline'!$L$4:$L$503,_calc!$E$780),"yyyy-mm-dd"),"")&amp;". ")&amp;IF(LEN(IF(LEN(INDEX('Dealer pipeline'!$Q$4:$Q$503,_calc!$E$780))=0,"",INDEX('Dealer pipeline'!$Q$4:$Q$503,_calc!$E$780)))=0,"","Status: "&amp;IF(LEN(INDEX('Dealer pipeline'!$Q$4:$Q$503,_calc!$E$780))=0,"",INDEX('Dealer pipeline'!$Q$4:$Q$503,_calc!$E$780))&amp;". ")&amp;IF(LEN(IF(LEN(INDEX('Dealer pipeline'!$P$4:$P$503,_calc!$E$780))=0,"",INDEX('Dealer pipeline'!$P$4:$P$503,_calc!$E$780)))=0,"","Last touch: "&amp;IF(LEN(INDEX('Dealer pipeline'!$P$4:$P$503,_calc!$E$780))=0,"",INDEX('Dealer pipeline'!$P$4:$P$503,_calc!$E$780))&amp;". ")&amp;IF(LEN(IF(LEN(INDEX('Dealer pipeline'!$R$4:$R$503,_calc!$E$780))=0,"",INDEX('Dealer pipeline'!$R$4:$R$503,_calc!$E$780)))=0,"","Owner: "&amp;IF(LEN(INDEX('Dealer pipeline'!$R$4:$R$503,_calc!$E$780))=0,"",INDEX('Dealer pipeline'!$R$4:$R$503,_calc!$E$780))&amp;". ")&amp;IF(LEN(IF(LEN(INDEX('Dealer pipeline'!$S$4:$S$503,_calc!$E$780))=0,"",INDEX('Dealer pipeline'!$S$4:$S$503,_calc!$E$780)))=0,"","Backup: "&amp;IF(LEN(INDEX('Dealer pipeline'!$S$4:$S$503,_calc!$E$780))=0,"",INDEX('Dealer pipeline'!$S$4:$S$503,_calc!$E$780))&amp;". ")&amp;IF(LEN(IF(LEN(INDEX('Dealer pipeline'!$T$4:$T$503,_calc!$E$780))=0,"",INDEX('Dealer pipeline'!$T$4:$T$503,_calc!$E$780)))=0,"",IF(LEN(INDEX('Dealer pipeline'!$T$4:$T$503,_calc!$E$780))=0,"",INDEX('Dealer pipeline'!$T$4:$T$503,_calc!$E$780)))),TRIM(IF(LEN(IF(LEN(INDEX('My equipment'!$C$4:$C$503,(_calc!$E$780-500)))=0,"",INDEX('My equipment'!$C$4:$C$503,(_calc!$E$780-500))))=0,"","Model: "&amp;IF(LEN(INDEX('My equipment'!$C$4:$C$503,(_calc!$E$780-500)))=0,"",INDEX('My equipment'!$C$4:$C$503,(_calc!$E$780-500)))&amp;". ")&amp;IF(LEN(IF(LEN(INDEX('My equipment'!$D$4:$D$503,(_calc!$E$780-500)))=0,"",INDEX('My equipment'!$D$4:$D$503,(_calc!$E$780-500))))=0,"","Serial: "&amp;IF(LEN(INDEX('My equipment'!$D$4:$D$503,(_calc!$E$780-500)))=0,"",INDEX('My equipment'!$D$4:$D$503,(_calc!$E$780-500)))&amp;". ")&amp;IF(LEN(IF(ISNUMBER(INDEX('My equipment'!$J$4:$J$503,(_calc!$E$780-500))),TEXT(INDEX('My equipment'!$J$4:$J$503,(_calc!$E$780-500)),"yyyy-mm-dd"),""))=0,"","Parts end: "&amp;IF(ISNUMBER(INDEX('My equipment'!$J$4:$J$503,(_calc!$E$780-500))),TEXT(INDEX('My equipment'!$J$4:$J$503,(_calc!$E$780-500)),"yyyy-mm-dd"),"")&amp;". ")&amp;IF(LEN(IF(ISNUMBER(INDEX('My equipment'!$L$4:$L$503,(_calc!$E$780-500))),TEXT(INDEX('My equipment'!$L$4:$L$503,(_calc!$E$780-500)),"yyyy-mm-dd"),""))=0,"","Labor end: "&amp;IF(ISNUMBER(INDEX('My equipment'!$L$4:$L$503,(_calc!$E$780-500))),TEXT(INDEX('My equipment'!$L$4:$L$503,(_calc!$E$780-500)),"yyyy-mm-dd"),"")&amp;". ")&amp;IF(LEN(IF(ISNUMBER(INDEX('My equipment'!$P$4:$P$503,(_calc!$E$780-500))),TEXT(INDEX('My equipment'!$P$4:$P$503,(_calc!$E$780-500)),"yyyy-mm-dd"),""))=0,"","Check by: "&amp;IF(ISNUMBER(INDEX('My equipment'!$P$4:$P$503,(_calc!$E$780-500))),TEXT(INDEX('My equipment'!$P$4:$P$503,(_calc!$E$780-500)),"yyyy-mm-dd"),"")&amp;". ")&amp;IF(LEN(IF(LEN(INDEX('My equipment'!$Q$4:$Q$503,(_calc!$E$780-500)))=0,"",INDEX('My equipment'!$Q$4:$Q$503,(_calc!$E$780-500))))=0,"","Claim status: "&amp;IF(LEN(INDEX('My equipment'!$Q$4:$Q$503,(_calc!$E$780-500)))=0,"",INDEX('My equipment'!$Q$4:$Q$503,(_calc!$E$780-500)))&amp;". ")&amp;IF(LEN(IF(LEN(INDEX('My equipment'!$R$4:$R$503,(_calc!$E$780-500)))=0,"",INDEX('My equipment'!$R$4:$R$503,(_calc!$E$780-500))))=0,"","Claims contact: "&amp;IF(LEN(INDEX('My equipment'!$R$4:$R$503,(_calc!$E$780-500)))=0,"",INDEX('My equipment'!$R$4:$R$503,(_calc!$E$780-500)))&amp;". ")&amp;IF(LEN(IF(LEN(INDEX('My equipment'!$S$4:$S$503,(_calc!$E$780-500)))=0,"",INDEX('My equipment'!$S$4:$S$503,(_calc!$E$780-500))))=0,"","Claims email: "&amp;IF(LEN(INDEX('My equipment'!$S$4:$S$503,(_calc!$E$780-500)))=0,"",INDEX('My equipment'!$S$4:$S$503,(_calc!$E$780-500)))&amp;". ")&amp;IF(LEN(IF(LEN(INDEX('My equipment'!$U$4:$U$503,(_calc!$E$780-500)))=0,"",INDEX('My equipment'!$U$4:$U$503,(_calc!$E$780-500))))=0,"","Registered: "&amp;IF(LEN(INDEX('My equipment'!$U$4:$U$503,(_calc!$E$780-500)))=0,"",INDEX('My equipment'!$U$4:$U$503,(_calc!$E$780-500)))&amp;". ")&amp;IF(LEN(IF(LEN(INDEX('My equipment'!$V$4:$V$503,(_calc!$E$780-500)))=0,"",INDEX('My equipment'!$V$4:$V$503,(_calc!$E$780-500))))=0,"","Proof on file: "&amp;IF(LEN(INDEX('My equipment'!$V$4:$V$503,(_calc!$E$780-500)))=0,"",INDEX('My equipment'!$V$4:$V$503,(_calc!$E$780-500)))&amp;". ")&amp;IF(LEN(IF(LEN(INDEX('My equipment'!$W$4:$W$503,(_calc!$E$780-500)))=0,"",INDEX('My equipment'!$W$4:$W$503,(_calc!$E$780-500))))=0,"","Claim ref: "&amp;IF(LEN(INDEX('My equipment'!$W$4:$W$503,(_calc!$E$780-500)))=0,"",INDEX('My equipment'!$W$4:$W$503,(_calc!$E$780-500)))&amp;". ")&amp;IF(LEN(IF(LEN(INDEX('My equipment'!$Y$4:$Y$503,(_calc!$E$780-500)))=0,"",INDEX('My equipment'!$Y$4:$Y$503,(_calc!$E$780-500))))=0,"",IF(LEN(INDEX('My equipment'!$Y$4:$Y$503,(_calc!$E$780-500)))=0,"",INDEX('My equipment'!$Y$4:$Y$503,(_calc!$E$780-500)))))))</f>
        <v/>
      </c>
      <c r="G778" s="54">
        <f>IF(_calc!$E$780="","",IF(_calc!$E$780&lt;=500,"",IF(LEN(INDEX('My equipment'!$X$4:$X$503,(_calc!$E$780-500)))=0,"",INDEX('My equipment'!$X$4:$X$503,(_calc!$E$780-500)))))</f>
        <v/>
      </c>
      <c r="K778" s="54">
        <f>IF(_calc!$E$780="","",IF(_calc!$E$780&lt;=500,"",IF(LEN(INDEX('My equipment'!$T$4:$T$503,(_calc!$E$780-500)))=0,"",INDEX('My equipment'!$T$4:$T$503,(_calc!$E$780-500)))))</f>
        <v/>
      </c>
    </row>
    <row r="779">
      <c r="A779" s="54">
        <f>IF(_calc!$E$781="","",IF(_calc!$E$781&lt;=500,"Warranty – "&amp;IF(LEN(INDEX('Dealer pipeline'!$C$4:$C$503,_calc!$E$781))=0,"",INDEX('Dealer pipeline'!$C$4:$C$503,_calc!$E$781))&amp;" – "&amp;IF(LEN(INDEX('Dealer pipeline'!$D$4:$D$503,_calc!$E$781))=0,"",INDEX('Dealer pipeline'!$D$4:$D$503,_calc!$E$781))&amp;" – "&amp;IF(LEN(INDEX('Dealer pipeline'!$A$4:$A$503,_calc!$E$781))=0,"",INDEX('Dealer pipeline'!$A$4:$A$503,_calc!$E$781)),"Warranty – "&amp;IF(LEN(INDEX('My equipment'!$A$4:$A$503,(_calc!$E$781-500)))=0,"",INDEX('My equipment'!$A$4:$A$503,(_calc!$E$781-500)))&amp;" – "&amp;IF(LEN(INDEX('My equipment'!$D$4:$D$503,(_calc!$E$781-500)))=0,"",INDEX('My equipment'!$D$4:$D$503,(_calc!$E$781-500)))))</f>
        <v/>
      </c>
      <c r="B779" s="54">
        <f>IF(_calc!$E$781="","",IF(_calc!$E$781&lt;=500,IF(ISNUMBER(INDEX('Dealer pipeline'!$M$4:$M$503,_calc!$E$781)),TEXT(INDEX('Dealer pipeline'!$M$4:$M$503,_calc!$E$781),"yyyy-mm-dd"),""),IF(ISNUMBER(INDEX('My equipment'!$M$4:$M$503,(_calc!$E$781-500))),TEXT(INDEX('My equipment'!$M$4:$M$503,(_calc!$E$781-500)),"yyyy-mm-dd"),"")))</f>
        <v/>
      </c>
      <c r="C779" s="54">
        <f>IF(_calc!$E$781="","",IF(_calc!$E$781&lt;=500,"Warranty","Warranty"))</f>
        <v/>
      </c>
      <c r="D779" s="54">
        <f>IF(_calc!$E$781="","",IF(_calc!$E$781&lt;=500,IF(ISNUMBER(INDEX('Dealer pipeline'!$H$4:$H$503,_calc!$E$781)),TEXT(INDEX('Dealer pipeline'!$H$4:$H$503,_calc!$E$781),"yyyy-mm-dd"),""),IF(ISNUMBER(INDEX('My equipment'!$H$4:$H$503,(_calc!$E$781-500))),TEXT(INDEX('My equipment'!$H$4:$H$503,(_calc!$E$781-500)),"yyyy-mm-dd"),"")))</f>
        <v/>
      </c>
      <c r="F779" s="54">
        <f>IF(_calc!$E$781="","",IF(_calc!$E$781&lt;=500,TRIM(IF(LEN(IF(LEN(INDEX('Dealer pipeline'!$A$4:$A$503,_calc!$E$781))=0,"",INDEX('Dealer pipeline'!$A$4:$A$503,_calc!$E$781)))=0,"","Customer: "&amp;IF(LEN(INDEX('Dealer pipeline'!$A$4:$A$503,_calc!$E$781))=0,"",INDEX('Dealer pipeline'!$A$4:$A$503,_calc!$E$781))&amp;". ")&amp;IF(LEN(IF(LEN(INDEX('Dealer pipeline'!$B$4:$B$503,_calc!$E$781))=0,"",INDEX('Dealer pipeline'!$B$4:$B$503,_calc!$E$781)))=0,"","Contact: "&amp;IF(LEN(INDEX('Dealer pipeline'!$B$4:$B$503,_calc!$E$781))=0,"",INDEX('Dealer pipeline'!$B$4:$B$503,_calc!$E$781))&amp;". ")&amp;IF(LEN(IF(LEN(INDEX('Dealer pipeline'!$D$4:$D$503,_calc!$E$781))=0,"",INDEX('Dealer pipeline'!$D$4:$D$503,_calc!$E$781)))=0,"","Serial: "&amp;IF(LEN(INDEX('Dealer pipeline'!$D$4:$D$503,_calc!$E$781))=0,"",INDEX('Dealer pipeline'!$D$4:$D$503,_calc!$E$781))&amp;". ")&amp;IF(LEN(IF(ISNUMBER(INDEX('Dealer pipeline'!$J$4:$J$503,_calc!$E$781)),TEXT(INDEX('Dealer pipeline'!$J$4:$J$503,_calc!$E$781),"yyyy-mm-dd"),""))=0,"","Parts end: "&amp;IF(ISNUMBER(INDEX('Dealer pipeline'!$J$4:$J$503,_calc!$E$781)),TEXT(INDEX('Dealer pipeline'!$J$4:$J$503,_calc!$E$781),"yyyy-mm-dd"),"")&amp;". ")&amp;IF(LEN(IF(ISNUMBER(INDEX('Dealer pipeline'!$L$4:$L$503,_calc!$E$781)),TEXT(INDEX('Dealer pipeline'!$L$4:$L$503,_calc!$E$781),"yyyy-mm-dd"),""))=0,"","Labor end: "&amp;IF(ISNUMBER(INDEX('Dealer pipeline'!$L$4:$L$503,_calc!$E$781)),TEXT(INDEX('Dealer pipeline'!$L$4:$L$503,_calc!$E$781),"yyyy-mm-dd"),"")&amp;". ")&amp;IF(LEN(IF(LEN(INDEX('Dealer pipeline'!$Q$4:$Q$503,_calc!$E$781))=0,"",INDEX('Dealer pipeline'!$Q$4:$Q$503,_calc!$E$781)))=0,"","Status: "&amp;IF(LEN(INDEX('Dealer pipeline'!$Q$4:$Q$503,_calc!$E$781))=0,"",INDEX('Dealer pipeline'!$Q$4:$Q$503,_calc!$E$781))&amp;". ")&amp;IF(LEN(IF(LEN(INDEX('Dealer pipeline'!$P$4:$P$503,_calc!$E$781))=0,"",INDEX('Dealer pipeline'!$P$4:$P$503,_calc!$E$781)))=0,"","Last touch: "&amp;IF(LEN(INDEX('Dealer pipeline'!$P$4:$P$503,_calc!$E$781))=0,"",INDEX('Dealer pipeline'!$P$4:$P$503,_calc!$E$781))&amp;". ")&amp;IF(LEN(IF(LEN(INDEX('Dealer pipeline'!$R$4:$R$503,_calc!$E$781))=0,"",INDEX('Dealer pipeline'!$R$4:$R$503,_calc!$E$781)))=0,"","Owner: "&amp;IF(LEN(INDEX('Dealer pipeline'!$R$4:$R$503,_calc!$E$781))=0,"",INDEX('Dealer pipeline'!$R$4:$R$503,_calc!$E$781))&amp;". ")&amp;IF(LEN(IF(LEN(INDEX('Dealer pipeline'!$S$4:$S$503,_calc!$E$781))=0,"",INDEX('Dealer pipeline'!$S$4:$S$503,_calc!$E$781)))=0,"","Backup: "&amp;IF(LEN(INDEX('Dealer pipeline'!$S$4:$S$503,_calc!$E$781))=0,"",INDEX('Dealer pipeline'!$S$4:$S$503,_calc!$E$781))&amp;". ")&amp;IF(LEN(IF(LEN(INDEX('Dealer pipeline'!$T$4:$T$503,_calc!$E$781))=0,"",INDEX('Dealer pipeline'!$T$4:$T$503,_calc!$E$781)))=0,"",IF(LEN(INDEX('Dealer pipeline'!$T$4:$T$503,_calc!$E$781))=0,"",INDEX('Dealer pipeline'!$T$4:$T$503,_calc!$E$781)))),TRIM(IF(LEN(IF(LEN(INDEX('My equipment'!$C$4:$C$503,(_calc!$E$781-500)))=0,"",INDEX('My equipment'!$C$4:$C$503,(_calc!$E$781-500))))=0,"","Model: "&amp;IF(LEN(INDEX('My equipment'!$C$4:$C$503,(_calc!$E$781-500)))=0,"",INDEX('My equipment'!$C$4:$C$503,(_calc!$E$781-500)))&amp;". ")&amp;IF(LEN(IF(LEN(INDEX('My equipment'!$D$4:$D$503,(_calc!$E$781-500)))=0,"",INDEX('My equipment'!$D$4:$D$503,(_calc!$E$781-500))))=0,"","Serial: "&amp;IF(LEN(INDEX('My equipment'!$D$4:$D$503,(_calc!$E$781-500)))=0,"",INDEX('My equipment'!$D$4:$D$503,(_calc!$E$781-500)))&amp;". ")&amp;IF(LEN(IF(ISNUMBER(INDEX('My equipment'!$J$4:$J$503,(_calc!$E$781-500))),TEXT(INDEX('My equipment'!$J$4:$J$503,(_calc!$E$781-500)),"yyyy-mm-dd"),""))=0,"","Parts end: "&amp;IF(ISNUMBER(INDEX('My equipment'!$J$4:$J$503,(_calc!$E$781-500))),TEXT(INDEX('My equipment'!$J$4:$J$503,(_calc!$E$781-500)),"yyyy-mm-dd"),"")&amp;". ")&amp;IF(LEN(IF(ISNUMBER(INDEX('My equipment'!$L$4:$L$503,(_calc!$E$781-500))),TEXT(INDEX('My equipment'!$L$4:$L$503,(_calc!$E$781-500)),"yyyy-mm-dd"),""))=0,"","Labor end: "&amp;IF(ISNUMBER(INDEX('My equipment'!$L$4:$L$503,(_calc!$E$781-500))),TEXT(INDEX('My equipment'!$L$4:$L$503,(_calc!$E$781-500)),"yyyy-mm-dd"),"")&amp;". ")&amp;IF(LEN(IF(ISNUMBER(INDEX('My equipment'!$P$4:$P$503,(_calc!$E$781-500))),TEXT(INDEX('My equipment'!$P$4:$P$503,(_calc!$E$781-500)),"yyyy-mm-dd"),""))=0,"","Check by: "&amp;IF(ISNUMBER(INDEX('My equipment'!$P$4:$P$503,(_calc!$E$781-500))),TEXT(INDEX('My equipment'!$P$4:$P$503,(_calc!$E$781-500)),"yyyy-mm-dd"),"")&amp;". ")&amp;IF(LEN(IF(LEN(INDEX('My equipment'!$Q$4:$Q$503,(_calc!$E$781-500)))=0,"",INDEX('My equipment'!$Q$4:$Q$503,(_calc!$E$781-500))))=0,"","Claim status: "&amp;IF(LEN(INDEX('My equipment'!$Q$4:$Q$503,(_calc!$E$781-500)))=0,"",INDEX('My equipment'!$Q$4:$Q$503,(_calc!$E$781-500)))&amp;". ")&amp;IF(LEN(IF(LEN(INDEX('My equipment'!$R$4:$R$503,(_calc!$E$781-500)))=0,"",INDEX('My equipment'!$R$4:$R$503,(_calc!$E$781-500))))=0,"","Claims contact: "&amp;IF(LEN(INDEX('My equipment'!$R$4:$R$503,(_calc!$E$781-500)))=0,"",INDEX('My equipment'!$R$4:$R$503,(_calc!$E$781-500)))&amp;". ")&amp;IF(LEN(IF(LEN(INDEX('My equipment'!$S$4:$S$503,(_calc!$E$781-500)))=0,"",INDEX('My equipment'!$S$4:$S$503,(_calc!$E$781-500))))=0,"","Claims email: "&amp;IF(LEN(INDEX('My equipment'!$S$4:$S$503,(_calc!$E$781-500)))=0,"",INDEX('My equipment'!$S$4:$S$503,(_calc!$E$781-500)))&amp;". ")&amp;IF(LEN(IF(LEN(INDEX('My equipment'!$U$4:$U$503,(_calc!$E$781-500)))=0,"",INDEX('My equipment'!$U$4:$U$503,(_calc!$E$781-500))))=0,"","Registered: "&amp;IF(LEN(INDEX('My equipment'!$U$4:$U$503,(_calc!$E$781-500)))=0,"",INDEX('My equipment'!$U$4:$U$503,(_calc!$E$781-500)))&amp;". ")&amp;IF(LEN(IF(LEN(INDEX('My equipment'!$V$4:$V$503,(_calc!$E$781-500)))=0,"",INDEX('My equipment'!$V$4:$V$503,(_calc!$E$781-500))))=0,"","Proof on file: "&amp;IF(LEN(INDEX('My equipment'!$V$4:$V$503,(_calc!$E$781-500)))=0,"",INDEX('My equipment'!$V$4:$V$503,(_calc!$E$781-500)))&amp;". ")&amp;IF(LEN(IF(LEN(INDEX('My equipment'!$W$4:$W$503,(_calc!$E$781-500)))=0,"",INDEX('My equipment'!$W$4:$W$503,(_calc!$E$781-500))))=0,"","Claim ref: "&amp;IF(LEN(INDEX('My equipment'!$W$4:$W$503,(_calc!$E$781-500)))=0,"",INDEX('My equipment'!$W$4:$W$503,(_calc!$E$781-500)))&amp;". ")&amp;IF(LEN(IF(LEN(INDEX('My equipment'!$Y$4:$Y$503,(_calc!$E$781-500)))=0,"",INDEX('My equipment'!$Y$4:$Y$503,(_calc!$E$781-500))))=0,"",IF(LEN(INDEX('My equipment'!$Y$4:$Y$503,(_calc!$E$781-500)))=0,"",INDEX('My equipment'!$Y$4:$Y$503,(_calc!$E$781-500)))))))</f>
        <v/>
      </c>
      <c r="G779" s="54">
        <f>IF(_calc!$E$781="","",IF(_calc!$E$781&lt;=500,"",IF(LEN(INDEX('My equipment'!$X$4:$X$503,(_calc!$E$781-500)))=0,"",INDEX('My equipment'!$X$4:$X$503,(_calc!$E$781-500)))))</f>
        <v/>
      </c>
      <c r="K779" s="54">
        <f>IF(_calc!$E$781="","",IF(_calc!$E$781&lt;=500,"",IF(LEN(INDEX('My equipment'!$T$4:$T$503,(_calc!$E$781-500)))=0,"",INDEX('My equipment'!$T$4:$T$503,(_calc!$E$781-500)))))</f>
        <v/>
      </c>
    </row>
    <row r="780">
      <c r="A780" s="54">
        <f>IF(_calc!$E$782="","",IF(_calc!$E$782&lt;=500,"Warranty – "&amp;IF(LEN(INDEX('Dealer pipeline'!$C$4:$C$503,_calc!$E$782))=0,"",INDEX('Dealer pipeline'!$C$4:$C$503,_calc!$E$782))&amp;" – "&amp;IF(LEN(INDEX('Dealer pipeline'!$D$4:$D$503,_calc!$E$782))=0,"",INDEX('Dealer pipeline'!$D$4:$D$503,_calc!$E$782))&amp;" – "&amp;IF(LEN(INDEX('Dealer pipeline'!$A$4:$A$503,_calc!$E$782))=0,"",INDEX('Dealer pipeline'!$A$4:$A$503,_calc!$E$782)),"Warranty – "&amp;IF(LEN(INDEX('My equipment'!$A$4:$A$503,(_calc!$E$782-500)))=0,"",INDEX('My equipment'!$A$4:$A$503,(_calc!$E$782-500)))&amp;" – "&amp;IF(LEN(INDEX('My equipment'!$D$4:$D$503,(_calc!$E$782-500)))=0,"",INDEX('My equipment'!$D$4:$D$503,(_calc!$E$782-500)))))</f>
        <v/>
      </c>
      <c r="B780" s="54">
        <f>IF(_calc!$E$782="","",IF(_calc!$E$782&lt;=500,IF(ISNUMBER(INDEX('Dealer pipeline'!$M$4:$M$503,_calc!$E$782)),TEXT(INDEX('Dealer pipeline'!$M$4:$M$503,_calc!$E$782),"yyyy-mm-dd"),""),IF(ISNUMBER(INDEX('My equipment'!$M$4:$M$503,(_calc!$E$782-500))),TEXT(INDEX('My equipment'!$M$4:$M$503,(_calc!$E$782-500)),"yyyy-mm-dd"),"")))</f>
        <v/>
      </c>
      <c r="C780" s="54">
        <f>IF(_calc!$E$782="","",IF(_calc!$E$782&lt;=500,"Warranty","Warranty"))</f>
        <v/>
      </c>
      <c r="D780" s="54">
        <f>IF(_calc!$E$782="","",IF(_calc!$E$782&lt;=500,IF(ISNUMBER(INDEX('Dealer pipeline'!$H$4:$H$503,_calc!$E$782)),TEXT(INDEX('Dealer pipeline'!$H$4:$H$503,_calc!$E$782),"yyyy-mm-dd"),""),IF(ISNUMBER(INDEX('My equipment'!$H$4:$H$503,(_calc!$E$782-500))),TEXT(INDEX('My equipment'!$H$4:$H$503,(_calc!$E$782-500)),"yyyy-mm-dd"),"")))</f>
        <v/>
      </c>
      <c r="F780" s="54">
        <f>IF(_calc!$E$782="","",IF(_calc!$E$782&lt;=500,TRIM(IF(LEN(IF(LEN(INDEX('Dealer pipeline'!$A$4:$A$503,_calc!$E$782))=0,"",INDEX('Dealer pipeline'!$A$4:$A$503,_calc!$E$782)))=0,"","Customer: "&amp;IF(LEN(INDEX('Dealer pipeline'!$A$4:$A$503,_calc!$E$782))=0,"",INDEX('Dealer pipeline'!$A$4:$A$503,_calc!$E$782))&amp;". ")&amp;IF(LEN(IF(LEN(INDEX('Dealer pipeline'!$B$4:$B$503,_calc!$E$782))=0,"",INDEX('Dealer pipeline'!$B$4:$B$503,_calc!$E$782)))=0,"","Contact: "&amp;IF(LEN(INDEX('Dealer pipeline'!$B$4:$B$503,_calc!$E$782))=0,"",INDEX('Dealer pipeline'!$B$4:$B$503,_calc!$E$782))&amp;". ")&amp;IF(LEN(IF(LEN(INDEX('Dealer pipeline'!$D$4:$D$503,_calc!$E$782))=0,"",INDEX('Dealer pipeline'!$D$4:$D$503,_calc!$E$782)))=0,"","Serial: "&amp;IF(LEN(INDEX('Dealer pipeline'!$D$4:$D$503,_calc!$E$782))=0,"",INDEX('Dealer pipeline'!$D$4:$D$503,_calc!$E$782))&amp;". ")&amp;IF(LEN(IF(ISNUMBER(INDEX('Dealer pipeline'!$J$4:$J$503,_calc!$E$782)),TEXT(INDEX('Dealer pipeline'!$J$4:$J$503,_calc!$E$782),"yyyy-mm-dd"),""))=0,"","Parts end: "&amp;IF(ISNUMBER(INDEX('Dealer pipeline'!$J$4:$J$503,_calc!$E$782)),TEXT(INDEX('Dealer pipeline'!$J$4:$J$503,_calc!$E$782),"yyyy-mm-dd"),"")&amp;". ")&amp;IF(LEN(IF(ISNUMBER(INDEX('Dealer pipeline'!$L$4:$L$503,_calc!$E$782)),TEXT(INDEX('Dealer pipeline'!$L$4:$L$503,_calc!$E$782),"yyyy-mm-dd"),""))=0,"","Labor end: "&amp;IF(ISNUMBER(INDEX('Dealer pipeline'!$L$4:$L$503,_calc!$E$782)),TEXT(INDEX('Dealer pipeline'!$L$4:$L$503,_calc!$E$782),"yyyy-mm-dd"),"")&amp;". ")&amp;IF(LEN(IF(LEN(INDEX('Dealer pipeline'!$Q$4:$Q$503,_calc!$E$782))=0,"",INDEX('Dealer pipeline'!$Q$4:$Q$503,_calc!$E$782)))=0,"","Status: "&amp;IF(LEN(INDEX('Dealer pipeline'!$Q$4:$Q$503,_calc!$E$782))=0,"",INDEX('Dealer pipeline'!$Q$4:$Q$503,_calc!$E$782))&amp;". ")&amp;IF(LEN(IF(LEN(INDEX('Dealer pipeline'!$P$4:$P$503,_calc!$E$782))=0,"",INDEX('Dealer pipeline'!$P$4:$P$503,_calc!$E$782)))=0,"","Last touch: "&amp;IF(LEN(INDEX('Dealer pipeline'!$P$4:$P$503,_calc!$E$782))=0,"",INDEX('Dealer pipeline'!$P$4:$P$503,_calc!$E$782))&amp;". ")&amp;IF(LEN(IF(LEN(INDEX('Dealer pipeline'!$R$4:$R$503,_calc!$E$782))=0,"",INDEX('Dealer pipeline'!$R$4:$R$503,_calc!$E$782)))=0,"","Owner: "&amp;IF(LEN(INDEX('Dealer pipeline'!$R$4:$R$503,_calc!$E$782))=0,"",INDEX('Dealer pipeline'!$R$4:$R$503,_calc!$E$782))&amp;". ")&amp;IF(LEN(IF(LEN(INDEX('Dealer pipeline'!$S$4:$S$503,_calc!$E$782))=0,"",INDEX('Dealer pipeline'!$S$4:$S$503,_calc!$E$782)))=0,"","Backup: "&amp;IF(LEN(INDEX('Dealer pipeline'!$S$4:$S$503,_calc!$E$782))=0,"",INDEX('Dealer pipeline'!$S$4:$S$503,_calc!$E$782))&amp;". ")&amp;IF(LEN(IF(LEN(INDEX('Dealer pipeline'!$T$4:$T$503,_calc!$E$782))=0,"",INDEX('Dealer pipeline'!$T$4:$T$503,_calc!$E$782)))=0,"",IF(LEN(INDEX('Dealer pipeline'!$T$4:$T$503,_calc!$E$782))=0,"",INDEX('Dealer pipeline'!$T$4:$T$503,_calc!$E$782)))),TRIM(IF(LEN(IF(LEN(INDEX('My equipment'!$C$4:$C$503,(_calc!$E$782-500)))=0,"",INDEX('My equipment'!$C$4:$C$503,(_calc!$E$782-500))))=0,"","Model: "&amp;IF(LEN(INDEX('My equipment'!$C$4:$C$503,(_calc!$E$782-500)))=0,"",INDEX('My equipment'!$C$4:$C$503,(_calc!$E$782-500)))&amp;". ")&amp;IF(LEN(IF(LEN(INDEX('My equipment'!$D$4:$D$503,(_calc!$E$782-500)))=0,"",INDEX('My equipment'!$D$4:$D$503,(_calc!$E$782-500))))=0,"","Serial: "&amp;IF(LEN(INDEX('My equipment'!$D$4:$D$503,(_calc!$E$782-500)))=0,"",INDEX('My equipment'!$D$4:$D$503,(_calc!$E$782-500)))&amp;". ")&amp;IF(LEN(IF(ISNUMBER(INDEX('My equipment'!$J$4:$J$503,(_calc!$E$782-500))),TEXT(INDEX('My equipment'!$J$4:$J$503,(_calc!$E$782-500)),"yyyy-mm-dd"),""))=0,"","Parts end: "&amp;IF(ISNUMBER(INDEX('My equipment'!$J$4:$J$503,(_calc!$E$782-500))),TEXT(INDEX('My equipment'!$J$4:$J$503,(_calc!$E$782-500)),"yyyy-mm-dd"),"")&amp;". ")&amp;IF(LEN(IF(ISNUMBER(INDEX('My equipment'!$L$4:$L$503,(_calc!$E$782-500))),TEXT(INDEX('My equipment'!$L$4:$L$503,(_calc!$E$782-500)),"yyyy-mm-dd"),""))=0,"","Labor end: "&amp;IF(ISNUMBER(INDEX('My equipment'!$L$4:$L$503,(_calc!$E$782-500))),TEXT(INDEX('My equipment'!$L$4:$L$503,(_calc!$E$782-500)),"yyyy-mm-dd"),"")&amp;". ")&amp;IF(LEN(IF(ISNUMBER(INDEX('My equipment'!$P$4:$P$503,(_calc!$E$782-500))),TEXT(INDEX('My equipment'!$P$4:$P$503,(_calc!$E$782-500)),"yyyy-mm-dd"),""))=0,"","Check by: "&amp;IF(ISNUMBER(INDEX('My equipment'!$P$4:$P$503,(_calc!$E$782-500))),TEXT(INDEX('My equipment'!$P$4:$P$503,(_calc!$E$782-500)),"yyyy-mm-dd"),"")&amp;". ")&amp;IF(LEN(IF(LEN(INDEX('My equipment'!$Q$4:$Q$503,(_calc!$E$782-500)))=0,"",INDEX('My equipment'!$Q$4:$Q$503,(_calc!$E$782-500))))=0,"","Claim status: "&amp;IF(LEN(INDEX('My equipment'!$Q$4:$Q$503,(_calc!$E$782-500)))=0,"",INDEX('My equipment'!$Q$4:$Q$503,(_calc!$E$782-500)))&amp;". ")&amp;IF(LEN(IF(LEN(INDEX('My equipment'!$R$4:$R$503,(_calc!$E$782-500)))=0,"",INDEX('My equipment'!$R$4:$R$503,(_calc!$E$782-500))))=0,"","Claims contact: "&amp;IF(LEN(INDEX('My equipment'!$R$4:$R$503,(_calc!$E$782-500)))=0,"",INDEX('My equipment'!$R$4:$R$503,(_calc!$E$782-500)))&amp;". ")&amp;IF(LEN(IF(LEN(INDEX('My equipment'!$S$4:$S$503,(_calc!$E$782-500)))=0,"",INDEX('My equipment'!$S$4:$S$503,(_calc!$E$782-500))))=0,"","Claims email: "&amp;IF(LEN(INDEX('My equipment'!$S$4:$S$503,(_calc!$E$782-500)))=0,"",INDEX('My equipment'!$S$4:$S$503,(_calc!$E$782-500)))&amp;". ")&amp;IF(LEN(IF(LEN(INDEX('My equipment'!$U$4:$U$503,(_calc!$E$782-500)))=0,"",INDEX('My equipment'!$U$4:$U$503,(_calc!$E$782-500))))=0,"","Registered: "&amp;IF(LEN(INDEX('My equipment'!$U$4:$U$503,(_calc!$E$782-500)))=0,"",INDEX('My equipment'!$U$4:$U$503,(_calc!$E$782-500)))&amp;". ")&amp;IF(LEN(IF(LEN(INDEX('My equipment'!$V$4:$V$503,(_calc!$E$782-500)))=0,"",INDEX('My equipment'!$V$4:$V$503,(_calc!$E$782-500))))=0,"","Proof on file: "&amp;IF(LEN(INDEX('My equipment'!$V$4:$V$503,(_calc!$E$782-500)))=0,"",INDEX('My equipment'!$V$4:$V$503,(_calc!$E$782-500)))&amp;". ")&amp;IF(LEN(IF(LEN(INDEX('My equipment'!$W$4:$W$503,(_calc!$E$782-500)))=0,"",INDEX('My equipment'!$W$4:$W$503,(_calc!$E$782-500))))=0,"","Claim ref: "&amp;IF(LEN(INDEX('My equipment'!$W$4:$W$503,(_calc!$E$782-500)))=0,"",INDEX('My equipment'!$W$4:$W$503,(_calc!$E$782-500)))&amp;". ")&amp;IF(LEN(IF(LEN(INDEX('My equipment'!$Y$4:$Y$503,(_calc!$E$782-500)))=0,"",INDEX('My equipment'!$Y$4:$Y$503,(_calc!$E$782-500))))=0,"",IF(LEN(INDEX('My equipment'!$Y$4:$Y$503,(_calc!$E$782-500)))=0,"",INDEX('My equipment'!$Y$4:$Y$503,(_calc!$E$782-500)))))))</f>
        <v/>
      </c>
      <c r="G780" s="54">
        <f>IF(_calc!$E$782="","",IF(_calc!$E$782&lt;=500,"",IF(LEN(INDEX('My equipment'!$X$4:$X$503,(_calc!$E$782-500)))=0,"",INDEX('My equipment'!$X$4:$X$503,(_calc!$E$782-500)))))</f>
        <v/>
      </c>
      <c r="K780" s="54">
        <f>IF(_calc!$E$782="","",IF(_calc!$E$782&lt;=500,"",IF(LEN(INDEX('My equipment'!$T$4:$T$503,(_calc!$E$782-500)))=0,"",INDEX('My equipment'!$T$4:$T$503,(_calc!$E$782-500)))))</f>
        <v/>
      </c>
    </row>
    <row r="781">
      <c r="A781" s="54">
        <f>IF(_calc!$E$783="","",IF(_calc!$E$783&lt;=500,"Warranty – "&amp;IF(LEN(INDEX('Dealer pipeline'!$C$4:$C$503,_calc!$E$783))=0,"",INDEX('Dealer pipeline'!$C$4:$C$503,_calc!$E$783))&amp;" – "&amp;IF(LEN(INDEX('Dealer pipeline'!$D$4:$D$503,_calc!$E$783))=0,"",INDEX('Dealer pipeline'!$D$4:$D$503,_calc!$E$783))&amp;" – "&amp;IF(LEN(INDEX('Dealer pipeline'!$A$4:$A$503,_calc!$E$783))=0,"",INDEX('Dealer pipeline'!$A$4:$A$503,_calc!$E$783)),"Warranty – "&amp;IF(LEN(INDEX('My equipment'!$A$4:$A$503,(_calc!$E$783-500)))=0,"",INDEX('My equipment'!$A$4:$A$503,(_calc!$E$783-500)))&amp;" – "&amp;IF(LEN(INDEX('My equipment'!$D$4:$D$503,(_calc!$E$783-500)))=0,"",INDEX('My equipment'!$D$4:$D$503,(_calc!$E$783-500)))))</f>
        <v/>
      </c>
      <c r="B781" s="54">
        <f>IF(_calc!$E$783="","",IF(_calc!$E$783&lt;=500,IF(ISNUMBER(INDEX('Dealer pipeline'!$M$4:$M$503,_calc!$E$783)),TEXT(INDEX('Dealer pipeline'!$M$4:$M$503,_calc!$E$783),"yyyy-mm-dd"),""),IF(ISNUMBER(INDEX('My equipment'!$M$4:$M$503,(_calc!$E$783-500))),TEXT(INDEX('My equipment'!$M$4:$M$503,(_calc!$E$783-500)),"yyyy-mm-dd"),"")))</f>
        <v/>
      </c>
      <c r="C781" s="54">
        <f>IF(_calc!$E$783="","",IF(_calc!$E$783&lt;=500,"Warranty","Warranty"))</f>
        <v/>
      </c>
      <c r="D781" s="54">
        <f>IF(_calc!$E$783="","",IF(_calc!$E$783&lt;=500,IF(ISNUMBER(INDEX('Dealer pipeline'!$H$4:$H$503,_calc!$E$783)),TEXT(INDEX('Dealer pipeline'!$H$4:$H$503,_calc!$E$783),"yyyy-mm-dd"),""),IF(ISNUMBER(INDEX('My equipment'!$H$4:$H$503,(_calc!$E$783-500))),TEXT(INDEX('My equipment'!$H$4:$H$503,(_calc!$E$783-500)),"yyyy-mm-dd"),"")))</f>
        <v/>
      </c>
      <c r="F781" s="54">
        <f>IF(_calc!$E$783="","",IF(_calc!$E$783&lt;=500,TRIM(IF(LEN(IF(LEN(INDEX('Dealer pipeline'!$A$4:$A$503,_calc!$E$783))=0,"",INDEX('Dealer pipeline'!$A$4:$A$503,_calc!$E$783)))=0,"","Customer: "&amp;IF(LEN(INDEX('Dealer pipeline'!$A$4:$A$503,_calc!$E$783))=0,"",INDEX('Dealer pipeline'!$A$4:$A$503,_calc!$E$783))&amp;". ")&amp;IF(LEN(IF(LEN(INDEX('Dealer pipeline'!$B$4:$B$503,_calc!$E$783))=0,"",INDEX('Dealer pipeline'!$B$4:$B$503,_calc!$E$783)))=0,"","Contact: "&amp;IF(LEN(INDEX('Dealer pipeline'!$B$4:$B$503,_calc!$E$783))=0,"",INDEX('Dealer pipeline'!$B$4:$B$503,_calc!$E$783))&amp;". ")&amp;IF(LEN(IF(LEN(INDEX('Dealer pipeline'!$D$4:$D$503,_calc!$E$783))=0,"",INDEX('Dealer pipeline'!$D$4:$D$503,_calc!$E$783)))=0,"","Serial: "&amp;IF(LEN(INDEX('Dealer pipeline'!$D$4:$D$503,_calc!$E$783))=0,"",INDEX('Dealer pipeline'!$D$4:$D$503,_calc!$E$783))&amp;". ")&amp;IF(LEN(IF(ISNUMBER(INDEX('Dealer pipeline'!$J$4:$J$503,_calc!$E$783)),TEXT(INDEX('Dealer pipeline'!$J$4:$J$503,_calc!$E$783),"yyyy-mm-dd"),""))=0,"","Parts end: "&amp;IF(ISNUMBER(INDEX('Dealer pipeline'!$J$4:$J$503,_calc!$E$783)),TEXT(INDEX('Dealer pipeline'!$J$4:$J$503,_calc!$E$783),"yyyy-mm-dd"),"")&amp;". ")&amp;IF(LEN(IF(ISNUMBER(INDEX('Dealer pipeline'!$L$4:$L$503,_calc!$E$783)),TEXT(INDEX('Dealer pipeline'!$L$4:$L$503,_calc!$E$783),"yyyy-mm-dd"),""))=0,"","Labor end: "&amp;IF(ISNUMBER(INDEX('Dealer pipeline'!$L$4:$L$503,_calc!$E$783)),TEXT(INDEX('Dealer pipeline'!$L$4:$L$503,_calc!$E$783),"yyyy-mm-dd"),"")&amp;". ")&amp;IF(LEN(IF(LEN(INDEX('Dealer pipeline'!$Q$4:$Q$503,_calc!$E$783))=0,"",INDEX('Dealer pipeline'!$Q$4:$Q$503,_calc!$E$783)))=0,"","Status: "&amp;IF(LEN(INDEX('Dealer pipeline'!$Q$4:$Q$503,_calc!$E$783))=0,"",INDEX('Dealer pipeline'!$Q$4:$Q$503,_calc!$E$783))&amp;". ")&amp;IF(LEN(IF(LEN(INDEX('Dealer pipeline'!$P$4:$P$503,_calc!$E$783))=0,"",INDEX('Dealer pipeline'!$P$4:$P$503,_calc!$E$783)))=0,"","Last touch: "&amp;IF(LEN(INDEX('Dealer pipeline'!$P$4:$P$503,_calc!$E$783))=0,"",INDEX('Dealer pipeline'!$P$4:$P$503,_calc!$E$783))&amp;". ")&amp;IF(LEN(IF(LEN(INDEX('Dealer pipeline'!$R$4:$R$503,_calc!$E$783))=0,"",INDEX('Dealer pipeline'!$R$4:$R$503,_calc!$E$783)))=0,"","Owner: "&amp;IF(LEN(INDEX('Dealer pipeline'!$R$4:$R$503,_calc!$E$783))=0,"",INDEX('Dealer pipeline'!$R$4:$R$503,_calc!$E$783))&amp;". ")&amp;IF(LEN(IF(LEN(INDEX('Dealer pipeline'!$S$4:$S$503,_calc!$E$783))=0,"",INDEX('Dealer pipeline'!$S$4:$S$503,_calc!$E$783)))=0,"","Backup: "&amp;IF(LEN(INDEX('Dealer pipeline'!$S$4:$S$503,_calc!$E$783))=0,"",INDEX('Dealer pipeline'!$S$4:$S$503,_calc!$E$783))&amp;". ")&amp;IF(LEN(IF(LEN(INDEX('Dealer pipeline'!$T$4:$T$503,_calc!$E$783))=0,"",INDEX('Dealer pipeline'!$T$4:$T$503,_calc!$E$783)))=0,"",IF(LEN(INDEX('Dealer pipeline'!$T$4:$T$503,_calc!$E$783))=0,"",INDEX('Dealer pipeline'!$T$4:$T$503,_calc!$E$783)))),TRIM(IF(LEN(IF(LEN(INDEX('My equipment'!$C$4:$C$503,(_calc!$E$783-500)))=0,"",INDEX('My equipment'!$C$4:$C$503,(_calc!$E$783-500))))=0,"","Model: "&amp;IF(LEN(INDEX('My equipment'!$C$4:$C$503,(_calc!$E$783-500)))=0,"",INDEX('My equipment'!$C$4:$C$503,(_calc!$E$783-500)))&amp;". ")&amp;IF(LEN(IF(LEN(INDEX('My equipment'!$D$4:$D$503,(_calc!$E$783-500)))=0,"",INDEX('My equipment'!$D$4:$D$503,(_calc!$E$783-500))))=0,"","Serial: "&amp;IF(LEN(INDEX('My equipment'!$D$4:$D$503,(_calc!$E$783-500)))=0,"",INDEX('My equipment'!$D$4:$D$503,(_calc!$E$783-500)))&amp;". ")&amp;IF(LEN(IF(ISNUMBER(INDEX('My equipment'!$J$4:$J$503,(_calc!$E$783-500))),TEXT(INDEX('My equipment'!$J$4:$J$503,(_calc!$E$783-500)),"yyyy-mm-dd"),""))=0,"","Parts end: "&amp;IF(ISNUMBER(INDEX('My equipment'!$J$4:$J$503,(_calc!$E$783-500))),TEXT(INDEX('My equipment'!$J$4:$J$503,(_calc!$E$783-500)),"yyyy-mm-dd"),"")&amp;". ")&amp;IF(LEN(IF(ISNUMBER(INDEX('My equipment'!$L$4:$L$503,(_calc!$E$783-500))),TEXT(INDEX('My equipment'!$L$4:$L$503,(_calc!$E$783-500)),"yyyy-mm-dd"),""))=0,"","Labor end: "&amp;IF(ISNUMBER(INDEX('My equipment'!$L$4:$L$503,(_calc!$E$783-500))),TEXT(INDEX('My equipment'!$L$4:$L$503,(_calc!$E$783-500)),"yyyy-mm-dd"),"")&amp;". ")&amp;IF(LEN(IF(ISNUMBER(INDEX('My equipment'!$P$4:$P$503,(_calc!$E$783-500))),TEXT(INDEX('My equipment'!$P$4:$P$503,(_calc!$E$783-500)),"yyyy-mm-dd"),""))=0,"","Check by: "&amp;IF(ISNUMBER(INDEX('My equipment'!$P$4:$P$503,(_calc!$E$783-500))),TEXT(INDEX('My equipment'!$P$4:$P$503,(_calc!$E$783-500)),"yyyy-mm-dd"),"")&amp;". ")&amp;IF(LEN(IF(LEN(INDEX('My equipment'!$Q$4:$Q$503,(_calc!$E$783-500)))=0,"",INDEX('My equipment'!$Q$4:$Q$503,(_calc!$E$783-500))))=0,"","Claim status: "&amp;IF(LEN(INDEX('My equipment'!$Q$4:$Q$503,(_calc!$E$783-500)))=0,"",INDEX('My equipment'!$Q$4:$Q$503,(_calc!$E$783-500)))&amp;". ")&amp;IF(LEN(IF(LEN(INDEX('My equipment'!$R$4:$R$503,(_calc!$E$783-500)))=0,"",INDEX('My equipment'!$R$4:$R$503,(_calc!$E$783-500))))=0,"","Claims contact: "&amp;IF(LEN(INDEX('My equipment'!$R$4:$R$503,(_calc!$E$783-500)))=0,"",INDEX('My equipment'!$R$4:$R$503,(_calc!$E$783-500)))&amp;". ")&amp;IF(LEN(IF(LEN(INDEX('My equipment'!$S$4:$S$503,(_calc!$E$783-500)))=0,"",INDEX('My equipment'!$S$4:$S$503,(_calc!$E$783-500))))=0,"","Claims email: "&amp;IF(LEN(INDEX('My equipment'!$S$4:$S$503,(_calc!$E$783-500)))=0,"",INDEX('My equipment'!$S$4:$S$503,(_calc!$E$783-500)))&amp;". ")&amp;IF(LEN(IF(LEN(INDEX('My equipment'!$U$4:$U$503,(_calc!$E$783-500)))=0,"",INDEX('My equipment'!$U$4:$U$503,(_calc!$E$783-500))))=0,"","Registered: "&amp;IF(LEN(INDEX('My equipment'!$U$4:$U$503,(_calc!$E$783-500)))=0,"",INDEX('My equipment'!$U$4:$U$503,(_calc!$E$783-500)))&amp;". ")&amp;IF(LEN(IF(LEN(INDEX('My equipment'!$V$4:$V$503,(_calc!$E$783-500)))=0,"",INDEX('My equipment'!$V$4:$V$503,(_calc!$E$783-500))))=0,"","Proof on file: "&amp;IF(LEN(INDEX('My equipment'!$V$4:$V$503,(_calc!$E$783-500)))=0,"",INDEX('My equipment'!$V$4:$V$503,(_calc!$E$783-500)))&amp;". ")&amp;IF(LEN(IF(LEN(INDEX('My equipment'!$W$4:$W$503,(_calc!$E$783-500)))=0,"",INDEX('My equipment'!$W$4:$W$503,(_calc!$E$783-500))))=0,"","Claim ref: "&amp;IF(LEN(INDEX('My equipment'!$W$4:$W$503,(_calc!$E$783-500)))=0,"",INDEX('My equipment'!$W$4:$W$503,(_calc!$E$783-500)))&amp;". ")&amp;IF(LEN(IF(LEN(INDEX('My equipment'!$Y$4:$Y$503,(_calc!$E$783-500)))=0,"",INDEX('My equipment'!$Y$4:$Y$503,(_calc!$E$783-500))))=0,"",IF(LEN(INDEX('My equipment'!$Y$4:$Y$503,(_calc!$E$783-500)))=0,"",INDEX('My equipment'!$Y$4:$Y$503,(_calc!$E$783-500)))))))</f>
        <v/>
      </c>
      <c r="G781" s="54">
        <f>IF(_calc!$E$783="","",IF(_calc!$E$783&lt;=500,"",IF(LEN(INDEX('My equipment'!$X$4:$X$503,(_calc!$E$783-500)))=0,"",INDEX('My equipment'!$X$4:$X$503,(_calc!$E$783-500)))))</f>
        <v/>
      </c>
      <c r="K781" s="54">
        <f>IF(_calc!$E$783="","",IF(_calc!$E$783&lt;=500,"",IF(LEN(INDEX('My equipment'!$T$4:$T$503,(_calc!$E$783-500)))=0,"",INDEX('My equipment'!$T$4:$T$503,(_calc!$E$783-500)))))</f>
        <v/>
      </c>
    </row>
    <row r="782">
      <c r="A782" s="54">
        <f>IF(_calc!$E$784="","",IF(_calc!$E$784&lt;=500,"Warranty – "&amp;IF(LEN(INDEX('Dealer pipeline'!$C$4:$C$503,_calc!$E$784))=0,"",INDEX('Dealer pipeline'!$C$4:$C$503,_calc!$E$784))&amp;" – "&amp;IF(LEN(INDEX('Dealer pipeline'!$D$4:$D$503,_calc!$E$784))=0,"",INDEX('Dealer pipeline'!$D$4:$D$503,_calc!$E$784))&amp;" – "&amp;IF(LEN(INDEX('Dealer pipeline'!$A$4:$A$503,_calc!$E$784))=0,"",INDEX('Dealer pipeline'!$A$4:$A$503,_calc!$E$784)),"Warranty – "&amp;IF(LEN(INDEX('My equipment'!$A$4:$A$503,(_calc!$E$784-500)))=0,"",INDEX('My equipment'!$A$4:$A$503,(_calc!$E$784-500)))&amp;" – "&amp;IF(LEN(INDEX('My equipment'!$D$4:$D$503,(_calc!$E$784-500)))=0,"",INDEX('My equipment'!$D$4:$D$503,(_calc!$E$784-500)))))</f>
        <v/>
      </c>
      <c r="B782" s="54">
        <f>IF(_calc!$E$784="","",IF(_calc!$E$784&lt;=500,IF(ISNUMBER(INDEX('Dealer pipeline'!$M$4:$M$503,_calc!$E$784)),TEXT(INDEX('Dealer pipeline'!$M$4:$M$503,_calc!$E$784),"yyyy-mm-dd"),""),IF(ISNUMBER(INDEX('My equipment'!$M$4:$M$503,(_calc!$E$784-500))),TEXT(INDEX('My equipment'!$M$4:$M$503,(_calc!$E$784-500)),"yyyy-mm-dd"),"")))</f>
        <v/>
      </c>
      <c r="C782" s="54">
        <f>IF(_calc!$E$784="","",IF(_calc!$E$784&lt;=500,"Warranty","Warranty"))</f>
        <v/>
      </c>
      <c r="D782" s="54">
        <f>IF(_calc!$E$784="","",IF(_calc!$E$784&lt;=500,IF(ISNUMBER(INDEX('Dealer pipeline'!$H$4:$H$503,_calc!$E$784)),TEXT(INDEX('Dealer pipeline'!$H$4:$H$503,_calc!$E$784),"yyyy-mm-dd"),""),IF(ISNUMBER(INDEX('My equipment'!$H$4:$H$503,(_calc!$E$784-500))),TEXT(INDEX('My equipment'!$H$4:$H$503,(_calc!$E$784-500)),"yyyy-mm-dd"),"")))</f>
        <v/>
      </c>
      <c r="F782" s="54">
        <f>IF(_calc!$E$784="","",IF(_calc!$E$784&lt;=500,TRIM(IF(LEN(IF(LEN(INDEX('Dealer pipeline'!$A$4:$A$503,_calc!$E$784))=0,"",INDEX('Dealer pipeline'!$A$4:$A$503,_calc!$E$784)))=0,"","Customer: "&amp;IF(LEN(INDEX('Dealer pipeline'!$A$4:$A$503,_calc!$E$784))=0,"",INDEX('Dealer pipeline'!$A$4:$A$503,_calc!$E$784))&amp;". ")&amp;IF(LEN(IF(LEN(INDEX('Dealer pipeline'!$B$4:$B$503,_calc!$E$784))=0,"",INDEX('Dealer pipeline'!$B$4:$B$503,_calc!$E$784)))=0,"","Contact: "&amp;IF(LEN(INDEX('Dealer pipeline'!$B$4:$B$503,_calc!$E$784))=0,"",INDEX('Dealer pipeline'!$B$4:$B$503,_calc!$E$784))&amp;". ")&amp;IF(LEN(IF(LEN(INDEX('Dealer pipeline'!$D$4:$D$503,_calc!$E$784))=0,"",INDEX('Dealer pipeline'!$D$4:$D$503,_calc!$E$784)))=0,"","Serial: "&amp;IF(LEN(INDEX('Dealer pipeline'!$D$4:$D$503,_calc!$E$784))=0,"",INDEX('Dealer pipeline'!$D$4:$D$503,_calc!$E$784))&amp;". ")&amp;IF(LEN(IF(ISNUMBER(INDEX('Dealer pipeline'!$J$4:$J$503,_calc!$E$784)),TEXT(INDEX('Dealer pipeline'!$J$4:$J$503,_calc!$E$784),"yyyy-mm-dd"),""))=0,"","Parts end: "&amp;IF(ISNUMBER(INDEX('Dealer pipeline'!$J$4:$J$503,_calc!$E$784)),TEXT(INDEX('Dealer pipeline'!$J$4:$J$503,_calc!$E$784),"yyyy-mm-dd"),"")&amp;". ")&amp;IF(LEN(IF(ISNUMBER(INDEX('Dealer pipeline'!$L$4:$L$503,_calc!$E$784)),TEXT(INDEX('Dealer pipeline'!$L$4:$L$503,_calc!$E$784),"yyyy-mm-dd"),""))=0,"","Labor end: "&amp;IF(ISNUMBER(INDEX('Dealer pipeline'!$L$4:$L$503,_calc!$E$784)),TEXT(INDEX('Dealer pipeline'!$L$4:$L$503,_calc!$E$784),"yyyy-mm-dd"),"")&amp;". ")&amp;IF(LEN(IF(LEN(INDEX('Dealer pipeline'!$Q$4:$Q$503,_calc!$E$784))=0,"",INDEX('Dealer pipeline'!$Q$4:$Q$503,_calc!$E$784)))=0,"","Status: "&amp;IF(LEN(INDEX('Dealer pipeline'!$Q$4:$Q$503,_calc!$E$784))=0,"",INDEX('Dealer pipeline'!$Q$4:$Q$503,_calc!$E$784))&amp;". ")&amp;IF(LEN(IF(LEN(INDEX('Dealer pipeline'!$P$4:$P$503,_calc!$E$784))=0,"",INDEX('Dealer pipeline'!$P$4:$P$503,_calc!$E$784)))=0,"","Last touch: "&amp;IF(LEN(INDEX('Dealer pipeline'!$P$4:$P$503,_calc!$E$784))=0,"",INDEX('Dealer pipeline'!$P$4:$P$503,_calc!$E$784))&amp;". ")&amp;IF(LEN(IF(LEN(INDEX('Dealer pipeline'!$R$4:$R$503,_calc!$E$784))=0,"",INDEX('Dealer pipeline'!$R$4:$R$503,_calc!$E$784)))=0,"","Owner: "&amp;IF(LEN(INDEX('Dealer pipeline'!$R$4:$R$503,_calc!$E$784))=0,"",INDEX('Dealer pipeline'!$R$4:$R$503,_calc!$E$784))&amp;". ")&amp;IF(LEN(IF(LEN(INDEX('Dealer pipeline'!$S$4:$S$503,_calc!$E$784))=0,"",INDEX('Dealer pipeline'!$S$4:$S$503,_calc!$E$784)))=0,"","Backup: "&amp;IF(LEN(INDEX('Dealer pipeline'!$S$4:$S$503,_calc!$E$784))=0,"",INDEX('Dealer pipeline'!$S$4:$S$503,_calc!$E$784))&amp;". ")&amp;IF(LEN(IF(LEN(INDEX('Dealer pipeline'!$T$4:$T$503,_calc!$E$784))=0,"",INDEX('Dealer pipeline'!$T$4:$T$503,_calc!$E$784)))=0,"",IF(LEN(INDEX('Dealer pipeline'!$T$4:$T$503,_calc!$E$784))=0,"",INDEX('Dealer pipeline'!$T$4:$T$503,_calc!$E$784)))),TRIM(IF(LEN(IF(LEN(INDEX('My equipment'!$C$4:$C$503,(_calc!$E$784-500)))=0,"",INDEX('My equipment'!$C$4:$C$503,(_calc!$E$784-500))))=0,"","Model: "&amp;IF(LEN(INDEX('My equipment'!$C$4:$C$503,(_calc!$E$784-500)))=0,"",INDEX('My equipment'!$C$4:$C$503,(_calc!$E$784-500)))&amp;". ")&amp;IF(LEN(IF(LEN(INDEX('My equipment'!$D$4:$D$503,(_calc!$E$784-500)))=0,"",INDEX('My equipment'!$D$4:$D$503,(_calc!$E$784-500))))=0,"","Serial: "&amp;IF(LEN(INDEX('My equipment'!$D$4:$D$503,(_calc!$E$784-500)))=0,"",INDEX('My equipment'!$D$4:$D$503,(_calc!$E$784-500)))&amp;". ")&amp;IF(LEN(IF(ISNUMBER(INDEX('My equipment'!$J$4:$J$503,(_calc!$E$784-500))),TEXT(INDEX('My equipment'!$J$4:$J$503,(_calc!$E$784-500)),"yyyy-mm-dd"),""))=0,"","Parts end: "&amp;IF(ISNUMBER(INDEX('My equipment'!$J$4:$J$503,(_calc!$E$784-500))),TEXT(INDEX('My equipment'!$J$4:$J$503,(_calc!$E$784-500)),"yyyy-mm-dd"),"")&amp;". ")&amp;IF(LEN(IF(ISNUMBER(INDEX('My equipment'!$L$4:$L$503,(_calc!$E$784-500))),TEXT(INDEX('My equipment'!$L$4:$L$503,(_calc!$E$784-500)),"yyyy-mm-dd"),""))=0,"","Labor end: "&amp;IF(ISNUMBER(INDEX('My equipment'!$L$4:$L$503,(_calc!$E$784-500))),TEXT(INDEX('My equipment'!$L$4:$L$503,(_calc!$E$784-500)),"yyyy-mm-dd"),"")&amp;". ")&amp;IF(LEN(IF(ISNUMBER(INDEX('My equipment'!$P$4:$P$503,(_calc!$E$784-500))),TEXT(INDEX('My equipment'!$P$4:$P$503,(_calc!$E$784-500)),"yyyy-mm-dd"),""))=0,"","Check by: "&amp;IF(ISNUMBER(INDEX('My equipment'!$P$4:$P$503,(_calc!$E$784-500))),TEXT(INDEX('My equipment'!$P$4:$P$503,(_calc!$E$784-500)),"yyyy-mm-dd"),"")&amp;". ")&amp;IF(LEN(IF(LEN(INDEX('My equipment'!$Q$4:$Q$503,(_calc!$E$784-500)))=0,"",INDEX('My equipment'!$Q$4:$Q$503,(_calc!$E$784-500))))=0,"","Claim status: "&amp;IF(LEN(INDEX('My equipment'!$Q$4:$Q$503,(_calc!$E$784-500)))=0,"",INDEX('My equipment'!$Q$4:$Q$503,(_calc!$E$784-500)))&amp;". ")&amp;IF(LEN(IF(LEN(INDEX('My equipment'!$R$4:$R$503,(_calc!$E$784-500)))=0,"",INDEX('My equipment'!$R$4:$R$503,(_calc!$E$784-500))))=0,"","Claims contact: "&amp;IF(LEN(INDEX('My equipment'!$R$4:$R$503,(_calc!$E$784-500)))=0,"",INDEX('My equipment'!$R$4:$R$503,(_calc!$E$784-500)))&amp;". ")&amp;IF(LEN(IF(LEN(INDEX('My equipment'!$S$4:$S$503,(_calc!$E$784-500)))=0,"",INDEX('My equipment'!$S$4:$S$503,(_calc!$E$784-500))))=0,"","Claims email: "&amp;IF(LEN(INDEX('My equipment'!$S$4:$S$503,(_calc!$E$784-500)))=0,"",INDEX('My equipment'!$S$4:$S$503,(_calc!$E$784-500)))&amp;". ")&amp;IF(LEN(IF(LEN(INDEX('My equipment'!$U$4:$U$503,(_calc!$E$784-500)))=0,"",INDEX('My equipment'!$U$4:$U$503,(_calc!$E$784-500))))=0,"","Registered: "&amp;IF(LEN(INDEX('My equipment'!$U$4:$U$503,(_calc!$E$784-500)))=0,"",INDEX('My equipment'!$U$4:$U$503,(_calc!$E$784-500)))&amp;". ")&amp;IF(LEN(IF(LEN(INDEX('My equipment'!$V$4:$V$503,(_calc!$E$784-500)))=0,"",INDEX('My equipment'!$V$4:$V$503,(_calc!$E$784-500))))=0,"","Proof on file: "&amp;IF(LEN(INDEX('My equipment'!$V$4:$V$503,(_calc!$E$784-500)))=0,"",INDEX('My equipment'!$V$4:$V$503,(_calc!$E$784-500)))&amp;". ")&amp;IF(LEN(IF(LEN(INDEX('My equipment'!$W$4:$W$503,(_calc!$E$784-500)))=0,"",INDEX('My equipment'!$W$4:$W$503,(_calc!$E$784-500))))=0,"","Claim ref: "&amp;IF(LEN(INDEX('My equipment'!$W$4:$W$503,(_calc!$E$784-500)))=0,"",INDEX('My equipment'!$W$4:$W$503,(_calc!$E$784-500)))&amp;". ")&amp;IF(LEN(IF(LEN(INDEX('My equipment'!$Y$4:$Y$503,(_calc!$E$784-500)))=0,"",INDEX('My equipment'!$Y$4:$Y$503,(_calc!$E$784-500))))=0,"",IF(LEN(INDEX('My equipment'!$Y$4:$Y$503,(_calc!$E$784-500)))=0,"",INDEX('My equipment'!$Y$4:$Y$503,(_calc!$E$784-500)))))))</f>
        <v/>
      </c>
      <c r="G782" s="54">
        <f>IF(_calc!$E$784="","",IF(_calc!$E$784&lt;=500,"",IF(LEN(INDEX('My equipment'!$X$4:$X$503,(_calc!$E$784-500)))=0,"",INDEX('My equipment'!$X$4:$X$503,(_calc!$E$784-500)))))</f>
        <v/>
      </c>
      <c r="K782" s="54">
        <f>IF(_calc!$E$784="","",IF(_calc!$E$784&lt;=500,"",IF(LEN(INDEX('My equipment'!$T$4:$T$503,(_calc!$E$784-500)))=0,"",INDEX('My equipment'!$T$4:$T$503,(_calc!$E$784-500)))))</f>
        <v/>
      </c>
    </row>
    <row r="783">
      <c r="A783" s="54">
        <f>IF(_calc!$E$785="","",IF(_calc!$E$785&lt;=500,"Warranty – "&amp;IF(LEN(INDEX('Dealer pipeline'!$C$4:$C$503,_calc!$E$785))=0,"",INDEX('Dealer pipeline'!$C$4:$C$503,_calc!$E$785))&amp;" – "&amp;IF(LEN(INDEX('Dealer pipeline'!$D$4:$D$503,_calc!$E$785))=0,"",INDEX('Dealer pipeline'!$D$4:$D$503,_calc!$E$785))&amp;" – "&amp;IF(LEN(INDEX('Dealer pipeline'!$A$4:$A$503,_calc!$E$785))=0,"",INDEX('Dealer pipeline'!$A$4:$A$503,_calc!$E$785)),"Warranty – "&amp;IF(LEN(INDEX('My equipment'!$A$4:$A$503,(_calc!$E$785-500)))=0,"",INDEX('My equipment'!$A$4:$A$503,(_calc!$E$785-500)))&amp;" – "&amp;IF(LEN(INDEX('My equipment'!$D$4:$D$503,(_calc!$E$785-500)))=0,"",INDEX('My equipment'!$D$4:$D$503,(_calc!$E$785-500)))))</f>
        <v/>
      </c>
      <c r="B783" s="54">
        <f>IF(_calc!$E$785="","",IF(_calc!$E$785&lt;=500,IF(ISNUMBER(INDEX('Dealer pipeline'!$M$4:$M$503,_calc!$E$785)),TEXT(INDEX('Dealer pipeline'!$M$4:$M$503,_calc!$E$785),"yyyy-mm-dd"),""),IF(ISNUMBER(INDEX('My equipment'!$M$4:$M$503,(_calc!$E$785-500))),TEXT(INDEX('My equipment'!$M$4:$M$503,(_calc!$E$785-500)),"yyyy-mm-dd"),"")))</f>
        <v/>
      </c>
      <c r="C783" s="54">
        <f>IF(_calc!$E$785="","",IF(_calc!$E$785&lt;=500,"Warranty","Warranty"))</f>
        <v/>
      </c>
      <c r="D783" s="54">
        <f>IF(_calc!$E$785="","",IF(_calc!$E$785&lt;=500,IF(ISNUMBER(INDEX('Dealer pipeline'!$H$4:$H$503,_calc!$E$785)),TEXT(INDEX('Dealer pipeline'!$H$4:$H$503,_calc!$E$785),"yyyy-mm-dd"),""),IF(ISNUMBER(INDEX('My equipment'!$H$4:$H$503,(_calc!$E$785-500))),TEXT(INDEX('My equipment'!$H$4:$H$503,(_calc!$E$785-500)),"yyyy-mm-dd"),"")))</f>
        <v/>
      </c>
      <c r="F783" s="54">
        <f>IF(_calc!$E$785="","",IF(_calc!$E$785&lt;=500,TRIM(IF(LEN(IF(LEN(INDEX('Dealer pipeline'!$A$4:$A$503,_calc!$E$785))=0,"",INDEX('Dealer pipeline'!$A$4:$A$503,_calc!$E$785)))=0,"","Customer: "&amp;IF(LEN(INDEX('Dealer pipeline'!$A$4:$A$503,_calc!$E$785))=0,"",INDEX('Dealer pipeline'!$A$4:$A$503,_calc!$E$785))&amp;". ")&amp;IF(LEN(IF(LEN(INDEX('Dealer pipeline'!$B$4:$B$503,_calc!$E$785))=0,"",INDEX('Dealer pipeline'!$B$4:$B$503,_calc!$E$785)))=0,"","Contact: "&amp;IF(LEN(INDEX('Dealer pipeline'!$B$4:$B$503,_calc!$E$785))=0,"",INDEX('Dealer pipeline'!$B$4:$B$503,_calc!$E$785))&amp;". ")&amp;IF(LEN(IF(LEN(INDEX('Dealer pipeline'!$D$4:$D$503,_calc!$E$785))=0,"",INDEX('Dealer pipeline'!$D$4:$D$503,_calc!$E$785)))=0,"","Serial: "&amp;IF(LEN(INDEX('Dealer pipeline'!$D$4:$D$503,_calc!$E$785))=0,"",INDEX('Dealer pipeline'!$D$4:$D$503,_calc!$E$785))&amp;". ")&amp;IF(LEN(IF(ISNUMBER(INDEX('Dealer pipeline'!$J$4:$J$503,_calc!$E$785)),TEXT(INDEX('Dealer pipeline'!$J$4:$J$503,_calc!$E$785),"yyyy-mm-dd"),""))=0,"","Parts end: "&amp;IF(ISNUMBER(INDEX('Dealer pipeline'!$J$4:$J$503,_calc!$E$785)),TEXT(INDEX('Dealer pipeline'!$J$4:$J$503,_calc!$E$785),"yyyy-mm-dd"),"")&amp;". ")&amp;IF(LEN(IF(ISNUMBER(INDEX('Dealer pipeline'!$L$4:$L$503,_calc!$E$785)),TEXT(INDEX('Dealer pipeline'!$L$4:$L$503,_calc!$E$785),"yyyy-mm-dd"),""))=0,"","Labor end: "&amp;IF(ISNUMBER(INDEX('Dealer pipeline'!$L$4:$L$503,_calc!$E$785)),TEXT(INDEX('Dealer pipeline'!$L$4:$L$503,_calc!$E$785),"yyyy-mm-dd"),"")&amp;". ")&amp;IF(LEN(IF(LEN(INDEX('Dealer pipeline'!$Q$4:$Q$503,_calc!$E$785))=0,"",INDEX('Dealer pipeline'!$Q$4:$Q$503,_calc!$E$785)))=0,"","Status: "&amp;IF(LEN(INDEX('Dealer pipeline'!$Q$4:$Q$503,_calc!$E$785))=0,"",INDEX('Dealer pipeline'!$Q$4:$Q$503,_calc!$E$785))&amp;". ")&amp;IF(LEN(IF(LEN(INDEX('Dealer pipeline'!$P$4:$P$503,_calc!$E$785))=0,"",INDEX('Dealer pipeline'!$P$4:$P$503,_calc!$E$785)))=0,"","Last touch: "&amp;IF(LEN(INDEX('Dealer pipeline'!$P$4:$P$503,_calc!$E$785))=0,"",INDEX('Dealer pipeline'!$P$4:$P$503,_calc!$E$785))&amp;". ")&amp;IF(LEN(IF(LEN(INDEX('Dealer pipeline'!$R$4:$R$503,_calc!$E$785))=0,"",INDEX('Dealer pipeline'!$R$4:$R$503,_calc!$E$785)))=0,"","Owner: "&amp;IF(LEN(INDEX('Dealer pipeline'!$R$4:$R$503,_calc!$E$785))=0,"",INDEX('Dealer pipeline'!$R$4:$R$503,_calc!$E$785))&amp;". ")&amp;IF(LEN(IF(LEN(INDEX('Dealer pipeline'!$S$4:$S$503,_calc!$E$785))=0,"",INDEX('Dealer pipeline'!$S$4:$S$503,_calc!$E$785)))=0,"","Backup: "&amp;IF(LEN(INDEX('Dealer pipeline'!$S$4:$S$503,_calc!$E$785))=0,"",INDEX('Dealer pipeline'!$S$4:$S$503,_calc!$E$785))&amp;". ")&amp;IF(LEN(IF(LEN(INDEX('Dealer pipeline'!$T$4:$T$503,_calc!$E$785))=0,"",INDEX('Dealer pipeline'!$T$4:$T$503,_calc!$E$785)))=0,"",IF(LEN(INDEX('Dealer pipeline'!$T$4:$T$503,_calc!$E$785))=0,"",INDEX('Dealer pipeline'!$T$4:$T$503,_calc!$E$785)))),TRIM(IF(LEN(IF(LEN(INDEX('My equipment'!$C$4:$C$503,(_calc!$E$785-500)))=0,"",INDEX('My equipment'!$C$4:$C$503,(_calc!$E$785-500))))=0,"","Model: "&amp;IF(LEN(INDEX('My equipment'!$C$4:$C$503,(_calc!$E$785-500)))=0,"",INDEX('My equipment'!$C$4:$C$503,(_calc!$E$785-500)))&amp;". ")&amp;IF(LEN(IF(LEN(INDEX('My equipment'!$D$4:$D$503,(_calc!$E$785-500)))=0,"",INDEX('My equipment'!$D$4:$D$503,(_calc!$E$785-500))))=0,"","Serial: "&amp;IF(LEN(INDEX('My equipment'!$D$4:$D$503,(_calc!$E$785-500)))=0,"",INDEX('My equipment'!$D$4:$D$503,(_calc!$E$785-500)))&amp;". ")&amp;IF(LEN(IF(ISNUMBER(INDEX('My equipment'!$J$4:$J$503,(_calc!$E$785-500))),TEXT(INDEX('My equipment'!$J$4:$J$503,(_calc!$E$785-500)),"yyyy-mm-dd"),""))=0,"","Parts end: "&amp;IF(ISNUMBER(INDEX('My equipment'!$J$4:$J$503,(_calc!$E$785-500))),TEXT(INDEX('My equipment'!$J$4:$J$503,(_calc!$E$785-500)),"yyyy-mm-dd"),"")&amp;". ")&amp;IF(LEN(IF(ISNUMBER(INDEX('My equipment'!$L$4:$L$503,(_calc!$E$785-500))),TEXT(INDEX('My equipment'!$L$4:$L$503,(_calc!$E$785-500)),"yyyy-mm-dd"),""))=0,"","Labor end: "&amp;IF(ISNUMBER(INDEX('My equipment'!$L$4:$L$503,(_calc!$E$785-500))),TEXT(INDEX('My equipment'!$L$4:$L$503,(_calc!$E$785-500)),"yyyy-mm-dd"),"")&amp;". ")&amp;IF(LEN(IF(ISNUMBER(INDEX('My equipment'!$P$4:$P$503,(_calc!$E$785-500))),TEXT(INDEX('My equipment'!$P$4:$P$503,(_calc!$E$785-500)),"yyyy-mm-dd"),""))=0,"","Check by: "&amp;IF(ISNUMBER(INDEX('My equipment'!$P$4:$P$503,(_calc!$E$785-500))),TEXT(INDEX('My equipment'!$P$4:$P$503,(_calc!$E$785-500)),"yyyy-mm-dd"),"")&amp;". ")&amp;IF(LEN(IF(LEN(INDEX('My equipment'!$Q$4:$Q$503,(_calc!$E$785-500)))=0,"",INDEX('My equipment'!$Q$4:$Q$503,(_calc!$E$785-500))))=0,"","Claim status: "&amp;IF(LEN(INDEX('My equipment'!$Q$4:$Q$503,(_calc!$E$785-500)))=0,"",INDEX('My equipment'!$Q$4:$Q$503,(_calc!$E$785-500)))&amp;". ")&amp;IF(LEN(IF(LEN(INDEX('My equipment'!$R$4:$R$503,(_calc!$E$785-500)))=0,"",INDEX('My equipment'!$R$4:$R$503,(_calc!$E$785-500))))=0,"","Claims contact: "&amp;IF(LEN(INDEX('My equipment'!$R$4:$R$503,(_calc!$E$785-500)))=0,"",INDEX('My equipment'!$R$4:$R$503,(_calc!$E$785-500)))&amp;". ")&amp;IF(LEN(IF(LEN(INDEX('My equipment'!$S$4:$S$503,(_calc!$E$785-500)))=0,"",INDEX('My equipment'!$S$4:$S$503,(_calc!$E$785-500))))=0,"","Claims email: "&amp;IF(LEN(INDEX('My equipment'!$S$4:$S$503,(_calc!$E$785-500)))=0,"",INDEX('My equipment'!$S$4:$S$503,(_calc!$E$785-500)))&amp;". ")&amp;IF(LEN(IF(LEN(INDEX('My equipment'!$U$4:$U$503,(_calc!$E$785-500)))=0,"",INDEX('My equipment'!$U$4:$U$503,(_calc!$E$785-500))))=0,"","Registered: "&amp;IF(LEN(INDEX('My equipment'!$U$4:$U$503,(_calc!$E$785-500)))=0,"",INDEX('My equipment'!$U$4:$U$503,(_calc!$E$785-500)))&amp;". ")&amp;IF(LEN(IF(LEN(INDEX('My equipment'!$V$4:$V$503,(_calc!$E$785-500)))=0,"",INDEX('My equipment'!$V$4:$V$503,(_calc!$E$785-500))))=0,"","Proof on file: "&amp;IF(LEN(INDEX('My equipment'!$V$4:$V$503,(_calc!$E$785-500)))=0,"",INDEX('My equipment'!$V$4:$V$503,(_calc!$E$785-500)))&amp;". ")&amp;IF(LEN(IF(LEN(INDEX('My equipment'!$W$4:$W$503,(_calc!$E$785-500)))=0,"",INDEX('My equipment'!$W$4:$W$503,(_calc!$E$785-500))))=0,"","Claim ref: "&amp;IF(LEN(INDEX('My equipment'!$W$4:$W$503,(_calc!$E$785-500)))=0,"",INDEX('My equipment'!$W$4:$W$503,(_calc!$E$785-500)))&amp;". ")&amp;IF(LEN(IF(LEN(INDEX('My equipment'!$Y$4:$Y$503,(_calc!$E$785-500)))=0,"",INDEX('My equipment'!$Y$4:$Y$503,(_calc!$E$785-500))))=0,"",IF(LEN(INDEX('My equipment'!$Y$4:$Y$503,(_calc!$E$785-500)))=0,"",INDEX('My equipment'!$Y$4:$Y$503,(_calc!$E$785-500)))))))</f>
        <v/>
      </c>
      <c r="G783" s="54">
        <f>IF(_calc!$E$785="","",IF(_calc!$E$785&lt;=500,"",IF(LEN(INDEX('My equipment'!$X$4:$X$503,(_calc!$E$785-500)))=0,"",INDEX('My equipment'!$X$4:$X$503,(_calc!$E$785-500)))))</f>
        <v/>
      </c>
      <c r="K783" s="54">
        <f>IF(_calc!$E$785="","",IF(_calc!$E$785&lt;=500,"",IF(LEN(INDEX('My equipment'!$T$4:$T$503,(_calc!$E$785-500)))=0,"",INDEX('My equipment'!$T$4:$T$503,(_calc!$E$785-500)))))</f>
        <v/>
      </c>
    </row>
    <row r="784">
      <c r="A784" s="54">
        <f>IF(_calc!$E$786="","",IF(_calc!$E$786&lt;=500,"Warranty – "&amp;IF(LEN(INDEX('Dealer pipeline'!$C$4:$C$503,_calc!$E$786))=0,"",INDEX('Dealer pipeline'!$C$4:$C$503,_calc!$E$786))&amp;" – "&amp;IF(LEN(INDEX('Dealer pipeline'!$D$4:$D$503,_calc!$E$786))=0,"",INDEX('Dealer pipeline'!$D$4:$D$503,_calc!$E$786))&amp;" – "&amp;IF(LEN(INDEX('Dealer pipeline'!$A$4:$A$503,_calc!$E$786))=0,"",INDEX('Dealer pipeline'!$A$4:$A$503,_calc!$E$786)),"Warranty – "&amp;IF(LEN(INDEX('My equipment'!$A$4:$A$503,(_calc!$E$786-500)))=0,"",INDEX('My equipment'!$A$4:$A$503,(_calc!$E$786-500)))&amp;" – "&amp;IF(LEN(INDEX('My equipment'!$D$4:$D$503,(_calc!$E$786-500)))=0,"",INDEX('My equipment'!$D$4:$D$503,(_calc!$E$786-500)))))</f>
        <v/>
      </c>
      <c r="B784" s="54">
        <f>IF(_calc!$E$786="","",IF(_calc!$E$786&lt;=500,IF(ISNUMBER(INDEX('Dealer pipeline'!$M$4:$M$503,_calc!$E$786)),TEXT(INDEX('Dealer pipeline'!$M$4:$M$503,_calc!$E$786),"yyyy-mm-dd"),""),IF(ISNUMBER(INDEX('My equipment'!$M$4:$M$503,(_calc!$E$786-500))),TEXT(INDEX('My equipment'!$M$4:$M$503,(_calc!$E$786-500)),"yyyy-mm-dd"),"")))</f>
        <v/>
      </c>
      <c r="C784" s="54">
        <f>IF(_calc!$E$786="","",IF(_calc!$E$786&lt;=500,"Warranty","Warranty"))</f>
        <v/>
      </c>
      <c r="D784" s="54">
        <f>IF(_calc!$E$786="","",IF(_calc!$E$786&lt;=500,IF(ISNUMBER(INDEX('Dealer pipeline'!$H$4:$H$503,_calc!$E$786)),TEXT(INDEX('Dealer pipeline'!$H$4:$H$503,_calc!$E$786),"yyyy-mm-dd"),""),IF(ISNUMBER(INDEX('My equipment'!$H$4:$H$503,(_calc!$E$786-500))),TEXT(INDEX('My equipment'!$H$4:$H$503,(_calc!$E$786-500)),"yyyy-mm-dd"),"")))</f>
        <v/>
      </c>
      <c r="F784" s="54">
        <f>IF(_calc!$E$786="","",IF(_calc!$E$786&lt;=500,TRIM(IF(LEN(IF(LEN(INDEX('Dealer pipeline'!$A$4:$A$503,_calc!$E$786))=0,"",INDEX('Dealer pipeline'!$A$4:$A$503,_calc!$E$786)))=0,"","Customer: "&amp;IF(LEN(INDEX('Dealer pipeline'!$A$4:$A$503,_calc!$E$786))=0,"",INDEX('Dealer pipeline'!$A$4:$A$503,_calc!$E$786))&amp;". ")&amp;IF(LEN(IF(LEN(INDEX('Dealer pipeline'!$B$4:$B$503,_calc!$E$786))=0,"",INDEX('Dealer pipeline'!$B$4:$B$503,_calc!$E$786)))=0,"","Contact: "&amp;IF(LEN(INDEX('Dealer pipeline'!$B$4:$B$503,_calc!$E$786))=0,"",INDEX('Dealer pipeline'!$B$4:$B$503,_calc!$E$786))&amp;". ")&amp;IF(LEN(IF(LEN(INDEX('Dealer pipeline'!$D$4:$D$503,_calc!$E$786))=0,"",INDEX('Dealer pipeline'!$D$4:$D$503,_calc!$E$786)))=0,"","Serial: "&amp;IF(LEN(INDEX('Dealer pipeline'!$D$4:$D$503,_calc!$E$786))=0,"",INDEX('Dealer pipeline'!$D$4:$D$503,_calc!$E$786))&amp;". ")&amp;IF(LEN(IF(ISNUMBER(INDEX('Dealer pipeline'!$J$4:$J$503,_calc!$E$786)),TEXT(INDEX('Dealer pipeline'!$J$4:$J$503,_calc!$E$786),"yyyy-mm-dd"),""))=0,"","Parts end: "&amp;IF(ISNUMBER(INDEX('Dealer pipeline'!$J$4:$J$503,_calc!$E$786)),TEXT(INDEX('Dealer pipeline'!$J$4:$J$503,_calc!$E$786),"yyyy-mm-dd"),"")&amp;". ")&amp;IF(LEN(IF(ISNUMBER(INDEX('Dealer pipeline'!$L$4:$L$503,_calc!$E$786)),TEXT(INDEX('Dealer pipeline'!$L$4:$L$503,_calc!$E$786),"yyyy-mm-dd"),""))=0,"","Labor end: "&amp;IF(ISNUMBER(INDEX('Dealer pipeline'!$L$4:$L$503,_calc!$E$786)),TEXT(INDEX('Dealer pipeline'!$L$4:$L$503,_calc!$E$786),"yyyy-mm-dd"),"")&amp;". ")&amp;IF(LEN(IF(LEN(INDEX('Dealer pipeline'!$Q$4:$Q$503,_calc!$E$786))=0,"",INDEX('Dealer pipeline'!$Q$4:$Q$503,_calc!$E$786)))=0,"","Status: "&amp;IF(LEN(INDEX('Dealer pipeline'!$Q$4:$Q$503,_calc!$E$786))=0,"",INDEX('Dealer pipeline'!$Q$4:$Q$503,_calc!$E$786))&amp;". ")&amp;IF(LEN(IF(LEN(INDEX('Dealer pipeline'!$P$4:$P$503,_calc!$E$786))=0,"",INDEX('Dealer pipeline'!$P$4:$P$503,_calc!$E$786)))=0,"","Last touch: "&amp;IF(LEN(INDEX('Dealer pipeline'!$P$4:$P$503,_calc!$E$786))=0,"",INDEX('Dealer pipeline'!$P$4:$P$503,_calc!$E$786))&amp;". ")&amp;IF(LEN(IF(LEN(INDEX('Dealer pipeline'!$R$4:$R$503,_calc!$E$786))=0,"",INDEX('Dealer pipeline'!$R$4:$R$503,_calc!$E$786)))=0,"","Owner: "&amp;IF(LEN(INDEX('Dealer pipeline'!$R$4:$R$503,_calc!$E$786))=0,"",INDEX('Dealer pipeline'!$R$4:$R$503,_calc!$E$786))&amp;". ")&amp;IF(LEN(IF(LEN(INDEX('Dealer pipeline'!$S$4:$S$503,_calc!$E$786))=0,"",INDEX('Dealer pipeline'!$S$4:$S$503,_calc!$E$786)))=0,"","Backup: "&amp;IF(LEN(INDEX('Dealer pipeline'!$S$4:$S$503,_calc!$E$786))=0,"",INDEX('Dealer pipeline'!$S$4:$S$503,_calc!$E$786))&amp;". ")&amp;IF(LEN(IF(LEN(INDEX('Dealer pipeline'!$T$4:$T$503,_calc!$E$786))=0,"",INDEX('Dealer pipeline'!$T$4:$T$503,_calc!$E$786)))=0,"",IF(LEN(INDEX('Dealer pipeline'!$T$4:$T$503,_calc!$E$786))=0,"",INDEX('Dealer pipeline'!$T$4:$T$503,_calc!$E$786)))),TRIM(IF(LEN(IF(LEN(INDEX('My equipment'!$C$4:$C$503,(_calc!$E$786-500)))=0,"",INDEX('My equipment'!$C$4:$C$503,(_calc!$E$786-500))))=0,"","Model: "&amp;IF(LEN(INDEX('My equipment'!$C$4:$C$503,(_calc!$E$786-500)))=0,"",INDEX('My equipment'!$C$4:$C$503,(_calc!$E$786-500)))&amp;". ")&amp;IF(LEN(IF(LEN(INDEX('My equipment'!$D$4:$D$503,(_calc!$E$786-500)))=0,"",INDEX('My equipment'!$D$4:$D$503,(_calc!$E$786-500))))=0,"","Serial: "&amp;IF(LEN(INDEX('My equipment'!$D$4:$D$503,(_calc!$E$786-500)))=0,"",INDEX('My equipment'!$D$4:$D$503,(_calc!$E$786-500)))&amp;". ")&amp;IF(LEN(IF(ISNUMBER(INDEX('My equipment'!$J$4:$J$503,(_calc!$E$786-500))),TEXT(INDEX('My equipment'!$J$4:$J$503,(_calc!$E$786-500)),"yyyy-mm-dd"),""))=0,"","Parts end: "&amp;IF(ISNUMBER(INDEX('My equipment'!$J$4:$J$503,(_calc!$E$786-500))),TEXT(INDEX('My equipment'!$J$4:$J$503,(_calc!$E$786-500)),"yyyy-mm-dd"),"")&amp;". ")&amp;IF(LEN(IF(ISNUMBER(INDEX('My equipment'!$L$4:$L$503,(_calc!$E$786-500))),TEXT(INDEX('My equipment'!$L$4:$L$503,(_calc!$E$786-500)),"yyyy-mm-dd"),""))=0,"","Labor end: "&amp;IF(ISNUMBER(INDEX('My equipment'!$L$4:$L$503,(_calc!$E$786-500))),TEXT(INDEX('My equipment'!$L$4:$L$503,(_calc!$E$786-500)),"yyyy-mm-dd"),"")&amp;". ")&amp;IF(LEN(IF(ISNUMBER(INDEX('My equipment'!$P$4:$P$503,(_calc!$E$786-500))),TEXT(INDEX('My equipment'!$P$4:$P$503,(_calc!$E$786-500)),"yyyy-mm-dd"),""))=0,"","Check by: "&amp;IF(ISNUMBER(INDEX('My equipment'!$P$4:$P$503,(_calc!$E$786-500))),TEXT(INDEX('My equipment'!$P$4:$P$503,(_calc!$E$786-500)),"yyyy-mm-dd"),"")&amp;". ")&amp;IF(LEN(IF(LEN(INDEX('My equipment'!$Q$4:$Q$503,(_calc!$E$786-500)))=0,"",INDEX('My equipment'!$Q$4:$Q$503,(_calc!$E$786-500))))=0,"","Claim status: "&amp;IF(LEN(INDEX('My equipment'!$Q$4:$Q$503,(_calc!$E$786-500)))=0,"",INDEX('My equipment'!$Q$4:$Q$503,(_calc!$E$786-500)))&amp;". ")&amp;IF(LEN(IF(LEN(INDEX('My equipment'!$R$4:$R$503,(_calc!$E$786-500)))=0,"",INDEX('My equipment'!$R$4:$R$503,(_calc!$E$786-500))))=0,"","Claims contact: "&amp;IF(LEN(INDEX('My equipment'!$R$4:$R$503,(_calc!$E$786-500)))=0,"",INDEX('My equipment'!$R$4:$R$503,(_calc!$E$786-500)))&amp;". ")&amp;IF(LEN(IF(LEN(INDEX('My equipment'!$S$4:$S$503,(_calc!$E$786-500)))=0,"",INDEX('My equipment'!$S$4:$S$503,(_calc!$E$786-500))))=0,"","Claims email: "&amp;IF(LEN(INDEX('My equipment'!$S$4:$S$503,(_calc!$E$786-500)))=0,"",INDEX('My equipment'!$S$4:$S$503,(_calc!$E$786-500)))&amp;". ")&amp;IF(LEN(IF(LEN(INDEX('My equipment'!$U$4:$U$503,(_calc!$E$786-500)))=0,"",INDEX('My equipment'!$U$4:$U$503,(_calc!$E$786-500))))=0,"","Registered: "&amp;IF(LEN(INDEX('My equipment'!$U$4:$U$503,(_calc!$E$786-500)))=0,"",INDEX('My equipment'!$U$4:$U$503,(_calc!$E$786-500)))&amp;". ")&amp;IF(LEN(IF(LEN(INDEX('My equipment'!$V$4:$V$503,(_calc!$E$786-500)))=0,"",INDEX('My equipment'!$V$4:$V$503,(_calc!$E$786-500))))=0,"","Proof on file: "&amp;IF(LEN(INDEX('My equipment'!$V$4:$V$503,(_calc!$E$786-500)))=0,"",INDEX('My equipment'!$V$4:$V$503,(_calc!$E$786-500)))&amp;". ")&amp;IF(LEN(IF(LEN(INDEX('My equipment'!$W$4:$W$503,(_calc!$E$786-500)))=0,"",INDEX('My equipment'!$W$4:$W$503,(_calc!$E$786-500))))=0,"","Claim ref: "&amp;IF(LEN(INDEX('My equipment'!$W$4:$W$503,(_calc!$E$786-500)))=0,"",INDEX('My equipment'!$W$4:$W$503,(_calc!$E$786-500)))&amp;". ")&amp;IF(LEN(IF(LEN(INDEX('My equipment'!$Y$4:$Y$503,(_calc!$E$786-500)))=0,"",INDEX('My equipment'!$Y$4:$Y$503,(_calc!$E$786-500))))=0,"",IF(LEN(INDEX('My equipment'!$Y$4:$Y$503,(_calc!$E$786-500)))=0,"",INDEX('My equipment'!$Y$4:$Y$503,(_calc!$E$786-500)))))))</f>
        <v/>
      </c>
      <c r="G784" s="54">
        <f>IF(_calc!$E$786="","",IF(_calc!$E$786&lt;=500,"",IF(LEN(INDEX('My equipment'!$X$4:$X$503,(_calc!$E$786-500)))=0,"",INDEX('My equipment'!$X$4:$X$503,(_calc!$E$786-500)))))</f>
        <v/>
      </c>
      <c r="K784" s="54">
        <f>IF(_calc!$E$786="","",IF(_calc!$E$786&lt;=500,"",IF(LEN(INDEX('My equipment'!$T$4:$T$503,(_calc!$E$786-500)))=0,"",INDEX('My equipment'!$T$4:$T$503,(_calc!$E$786-500)))))</f>
        <v/>
      </c>
    </row>
    <row r="785">
      <c r="A785" s="54">
        <f>IF(_calc!$E$787="","",IF(_calc!$E$787&lt;=500,"Warranty – "&amp;IF(LEN(INDEX('Dealer pipeline'!$C$4:$C$503,_calc!$E$787))=0,"",INDEX('Dealer pipeline'!$C$4:$C$503,_calc!$E$787))&amp;" – "&amp;IF(LEN(INDEX('Dealer pipeline'!$D$4:$D$503,_calc!$E$787))=0,"",INDEX('Dealer pipeline'!$D$4:$D$503,_calc!$E$787))&amp;" – "&amp;IF(LEN(INDEX('Dealer pipeline'!$A$4:$A$503,_calc!$E$787))=0,"",INDEX('Dealer pipeline'!$A$4:$A$503,_calc!$E$787)),"Warranty – "&amp;IF(LEN(INDEX('My equipment'!$A$4:$A$503,(_calc!$E$787-500)))=0,"",INDEX('My equipment'!$A$4:$A$503,(_calc!$E$787-500)))&amp;" – "&amp;IF(LEN(INDEX('My equipment'!$D$4:$D$503,(_calc!$E$787-500)))=0,"",INDEX('My equipment'!$D$4:$D$503,(_calc!$E$787-500)))))</f>
        <v/>
      </c>
      <c r="B785" s="54">
        <f>IF(_calc!$E$787="","",IF(_calc!$E$787&lt;=500,IF(ISNUMBER(INDEX('Dealer pipeline'!$M$4:$M$503,_calc!$E$787)),TEXT(INDEX('Dealer pipeline'!$M$4:$M$503,_calc!$E$787),"yyyy-mm-dd"),""),IF(ISNUMBER(INDEX('My equipment'!$M$4:$M$503,(_calc!$E$787-500))),TEXT(INDEX('My equipment'!$M$4:$M$503,(_calc!$E$787-500)),"yyyy-mm-dd"),"")))</f>
        <v/>
      </c>
      <c r="C785" s="54">
        <f>IF(_calc!$E$787="","",IF(_calc!$E$787&lt;=500,"Warranty","Warranty"))</f>
        <v/>
      </c>
      <c r="D785" s="54">
        <f>IF(_calc!$E$787="","",IF(_calc!$E$787&lt;=500,IF(ISNUMBER(INDEX('Dealer pipeline'!$H$4:$H$503,_calc!$E$787)),TEXT(INDEX('Dealer pipeline'!$H$4:$H$503,_calc!$E$787),"yyyy-mm-dd"),""),IF(ISNUMBER(INDEX('My equipment'!$H$4:$H$503,(_calc!$E$787-500))),TEXT(INDEX('My equipment'!$H$4:$H$503,(_calc!$E$787-500)),"yyyy-mm-dd"),"")))</f>
        <v/>
      </c>
      <c r="F785" s="54">
        <f>IF(_calc!$E$787="","",IF(_calc!$E$787&lt;=500,TRIM(IF(LEN(IF(LEN(INDEX('Dealer pipeline'!$A$4:$A$503,_calc!$E$787))=0,"",INDEX('Dealer pipeline'!$A$4:$A$503,_calc!$E$787)))=0,"","Customer: "&amp;IF(LEN(INDEX('Dealer pipeline'!$A$4:$A$503,_calc!$E$787))=0,"",INDEX('Dealer pipeline'!$A$4:$A$503,_calc!$E$787))&amp;". ")&amp;IF(LEN(IF(LEN(INDEX('Dealer pipeline'!$B$4:$B$503,_calc!$E$787))=0,"",INDEX('Dealer pipeline'!$B$4:$B$503,_calc!$E$787)))=0,"","Contact: "&amp;IF(LEN(INDEX('Dealer pipeline'!$B$4:$B$503,_calc!$E$787))=0,"",INDEX('Dealer pipeline'!$B$4:$B$503,_calc!$E$787))&amp;". ")&amp;IF(LEN(IF(LEN(INDEX('Dealer pipeline'!$D$4:$D$503,_calc!$E$787))=0,"",INDEX('Dealer pipeline'!$D$4:$D$503,_calc!$E$787)))=0,"","Serial: "&amp;IF(LEN(INDEX('Dealer pipeline'!$D$4:$D$503,_calc!$E$787))=0,"",INDEX('Dealer pipeline'!$D$4:$D$503,_calc!$E$787))&amp;". ")&amp;IF(LEN(IF(ISNUMBER(INDEX('Dealer pipeline'!$J$4:$J$503,_calc!$E$787)),TEXT(INDEX('Dealer pipeline'!$J$4:$J$503,_calc!$E$787),"yyyy-mm-dd"),""))=0,"","Parts end: "&amp;IF(ISNUMBER(INDEX('Dealer pipeline'!$J$4:$J$503,_calc!$E$787)),TEXT(INDEX('Dealer pipeline'!$J$4:$J$503,_calc!$E$787),"yyyy-mm-dd"),"")&amp;". ")&amp;IF(LEN(IF(ISNUMBER(INDEX('Dealer pipeline'!$L$4:$L$503,_calc!$E$787)),TEXT(INDEX('Dealer pipeline'!$L$4:$L$503,_calc!$E$787),"yyyy-mm-dd"),""))=0,"","Labor end: "&amp;IF(ISNUMBER(INDEX('Dealer pipeline'!$L$4:$L$503,_calc!$E$787)),TEXT(INDEX('Dealer pipeline'!$L$4:$L$503,_calc!$E$787),"yyyy-mm-dd"),"")&amp;". ")&amp;IF(LEN(IF(LEN(INDEX('Dealer pipeline'!$Q$4:$Q$503,_calc!$E$787))=0,"",INDEX('Dealer pipeline'!$Q$4:$Q$503,_calc!$E$787)))=0,"","Status: "&amp;IF(LEN(INDEX('Dealer pipeline'!$Q$4:$Q$503,_calc!$E$787))=0,"",INDEX('Dealer pipeline'!$Q$4:$Q$503,_calc!$E$787))&amp;". ")&amp;IF(LEN(IF(LEN(INDEX('Dealer pipeline'!$P$4:$P$503,_calc!$E$787))=0,"",INDEX('Dealer pipeline'!$P$4:$P$503,_calc!$E$787)))=0,"","Last touch: "&amp;IF(LEN(INDEX('Dealer pipeline'!$P$4:$P$503,_calc!$E$787))=0,"",INDEX('Dealer pipeline'!$P$4:$P$503,_calc!$E$787))&amp;". ")&amp;IF(LEN(IF(LEN(INDEX('Dealer pipeline'!$R$4:$R$503,_calc!$E$787))=0,"",INDEX('Dealer pipeline'!$R$4:$R$503,_calc!$E$787)))=0,"","Owner: "&amp;IF(LEN(INDEX('Dealer pipeline'!$R$4:$R$503,_calc!$E$787))=0,"",INDEX('Dealer pipeline'!$R$4:$R$503,_calc!$E$787))&amp;". ")&amp;IF(LEN(IF(LEN(INDEX('Dealer pipeline'!$S$4:$S$503,_calc!$E$787))=0,"",INDEX('Dealer pipeline'!$S$4:$S$503,_calc!$E$787)))=0,"","Backup: "&amp;IF(LEN(INDEX('Dealer pipeline'!$S$4:$S$503,_calc!$E$787))=0,"",INDEX('Dealer pipeline'!$S$4:$S$503,_calc!$E$787))&amp;". ")&amp;IF(LEN(IF(LEN(INDEX('Dealer pipeline'!$T$4:$T$503,_calc!$E$787))=0,"",INDEX('Dealer pipeline'!$T$4:$T$503,_calc!$E$787)))=0,"",IF(LEN(INDEX('Dealer pipeline'!$T$4:$T$503,_calc!$E$787))=0,"",INDEX('Dealer pipeline'!$T$4:$T$503,_calc!$E$787)))),TRIM(IF(LEN(IF(LEN(INDEX('My equipment'!$C$4:$C$503,(_calc!$E$787-500)))=0,"",INDEX('My equipment'!$C$4:$C$503,(_calc!$E$787-500))))=0,"","Model: "&amp;IF(LEN(INDEX('My equipment'!$C$4:$C$503,(_calc!$E$787-500)))=0,"",INDEX('My equipment'!$C$4:$C$503,(_calc!$E$787-500)))&amp;". ")&amp;IF(LEN(IF(LEN(INDEX('My equipment'!$D$4:$D$503,(_calc!$E$787-500)))=0,"",INDEX('My equipment'!$D$4:$D$503,(_calc!$E$787-500))))=0,"","Serial: "&amp;IF(LEN(INDEX('My equipment'!$D$4:$D$503,(_calc!$E$787-500)))=0,"",INDEX('My equipment'!$D$4:$D$503,(_calc!$E$787-500)))&amp;". ")&amp;IF(LEN(IF(ISNUMBER(INDEX('My equipment'!$J$4:$J$503,(_calc!$E$787-500))),TEXT(INDEX('My equipment'!$J$4:$J$503,(_calc!$E$787-500)),"yyyy-mm-dd"),""))=0,"","Parts end: "&amp;IF(ISNUMBER(INDEX('My equipment'!$J$4:$J$503,(_calc!$E$787-500))),TEXT(INDEX('My equipment'!$J$4:$J$503,(_calc!$E$787-500)),"yyyy-mm-dd"),"")&amp;". ")&amp;IF(LEN(IF(ISNUMBER(INDEX('My equipment'!$L$4:$L$503,(_calc!$E$787-500))),TEXT(INDEX('My equipment'!$L$4:$L$503,(_calc!$E$787-500)),"yyyy-mm-dd"),""))=0,"","Labor end: "&amp;IF(ISNUMBER(INDEX('My equipment'!$L$4:$L$503,(_calc!$E$787-500))),TEXT(INDEX('My equipment'!$L$4:$L$503,(_calc!$E$787-500)),"yyyy-mm-dd"),"")&amp;". ")&amp;IF(LEN(IF(ISNUMBER(INDEX('My equipment'!$P$4:$P$503,(_calc!$E$787-500))),TEXT(INDEX('My equipment'!$P$4:$P$503,(_calc!$E$787-500)),"yyyy-mm-dd"),""))=0,"","Check by: "&amp;IF(ISNUMBER(INDEX('My equipment'!$P$4:$P$503,(_calc!$E$787-500))),TEXT(INDEX('My equipment'!$P$4:$P$503,(_calc!$E$787-500)),"yyyy-mm-dd"),"")&amp;". ")&amp;IF(LEN(IF(LEN(INDEX('My equipment'!$Q$4:$Q$503,(_calc!$E$787-500)))=0,"",INDEX('My equipment'!$Q$4:$Q$503,(_calc!$E$787-500))))=0,"","Claim status: "&amp;IF(LEN(INDEX('My equipment'!$Q$4:$Q$503,(_calc!$E$787-500)))=0,"",INDEX('My equipment'!$Q$4:$Q$503,(_calc!$E$787-500)))&amp;". ")&amp;IF(LEN(IF(LEN(INDEX('My equipment'!$R$4:$R$503,(_calc!$E$787-500)))=0,"",INDEX('My equipment'!$R$4:$R$503,(_calc!$E$787-500))))=0,"","Claims contact: "&amp;IF(LEN(INDEX('My equipment'!$R$4:$R$503,(_calc!$E$787-500)))=0,"",INDEX('My equipment'!$R$4:$R$503,(_calc!$E$787-500)))&amp;". ")&amp;IF(LEN(IF(LEN(INDEX('My equipment'!$S$4:$S$503,(_calc!$E$787-500)))=0,"",INDEX('My equipment'!$S$4:$S$503,(_calc!$E$787-500))))=0,"","Claims email: "&amp;IF(LEN(INDEX('My equipment'!$S$4:$S$503,(_calc!$E$787-500)))=0,"",INDEX('My equipment'!$S$4:$S$503,(_calc!$E$787-500)))&amp;". ")&amp;IF(LEN(IF(LEN(INDEX('My equipment'!$U$4:$U$503,(_calc!$E$787-500)))=0,"",INDEX('My equipment'!$U$4:$U$503,(_calc!$E$787-500))))=0,"","Registered: "&amp;IF(LEN(INDEX('My equipment'!$U$4:$U$503,(_calc!$E$787-500)))=0,"",INDEX('My equipment'!$U$4:$U$503,(_calc!$E$787-500)))&amp;". ")&amp;IF(LEN(IF(LEN(INDEX('My equipment'!$V$4:$V$503,(_calc!$E$787-500)))=0,"",INDEX('My equipment'!$V$4:$V$503,(_calc!$E$787-500))))=0,"","Proof on file: "&amp;IF(LEN(INDEX('My equipment'!$V$4:$V$503,(_calc!$E$787-500)))=0,"",INDEX('My equipment'!$V$4:$V$503,(_calc!$E$787-500)))&amp;". ")&amp;IF(LEN(IF(LEN(INDEX('My equipment'!$W$4:$W$503,(_calc!$E$787-500)))=0,"",INDEX('My equipment'!$W$4:$W$503,(_calc!$E$787-500))))=0,"","Claim ref: "&amp;IF(LEN(INDEX('My equipment'!$W$4:$W$503,(_calc!$E$787-500)))=0,"",INDEX('My equipment'!$W$4:$W$503,(_calc!$E$787-500)))&amp;". ")&amp;IF(LEN(IF(LEN(INDEX('My equipment'!$Y$4:$Y$503,(_calc!$E$787-500)))=0,"",INDEX('My equipment'!$Y$4:$Y$503,(_calc!$E$787-500))))=0,"",IF(LEN(INDEX('My equipment'!$Y$4:$Y$503,(_calc!$E$787-500)))=0,"",INDEX('My equipment'!$Y$4:$Y$503,(_calc!$E$787-500)))))))</f>
        <v/>
      </c>
      <c r="G785" s="54">
        <f>IF(_calc!$E$787="","",IF(_calc!$E$787&lt;=500,"",IF(LEN(INDEX('My equipment'!$X$4:$X$503,(_calc!$E$787-500)))=0,"",INDEX('My equipment'!$X$4:$X$503,(_calc!$E$787-500)))))</f>
        <v/>
      </c>
      <c r="K785" s="54">
        <f>IF(_calc!$E$787="","",IF(_calc!$E$787&lt;=500,"",IF(LEN(INDEX('My equipment'!$T$4:$T$503,(_calc!$E$787-500)))=0,"",INDEX('My equipment'!$T$4:$T$503,(_calc!$E$787-500)))))</f>
        <v/>
      </c>
    </row>
    <row r="786">
      <c r="A786" s="54">
        <f>IF(_calc!$E$788="","",IF(_calc!$E$788&lt;=500,"Warranty – "&amp;IF(LEN(INDEX('Dealer pipeline'!$C$4:$C$503,_calc!$E$788))=0,"",INDEX('Dealer pipeline'!$C$4:$C$503,_calc!$E$788))&amp;" – "&amp;IF(LEN(INDEX('Dealer pipeline'!$D$4:$D$503,_calc!$E$788))=0,"",INDEX('Dealer pipeline'!$D$4:$D$503,_calc!$E$788))&amp;" – "&amp;IF(LEN(INDEX('Dealer pipeline'!$A$4:$A$503,_calc!$E$788))=0,"",INDEX('Dealer pipeline'!$A$4:$A$503,_calc!$E$788)),"Warranty – "&amp;IF(LEN(INDEX('My equipment'!$A$4:$A$503,(_calc!$E$788-500)))=0,"",INDEX('My equipment'!$A$4:$A$503,(_calc!$E$788-500)))&amp;" – "&amp;IF(LEN(INDEX('My equipment'!$D$4:$D$503,(_calc!$E$788-500)))=0,"",INDEX('My equipment'!$D$4:$D$503,(_calc!$E$788-500)))))</f>
        <v/>
      </c>
      <c r="B786" s="54">
        <f>IF(_calc!$E$788="","",IF(_calc!$E$788&lt;=500,IF(ISNUMBER(INDEX('Dealer pipeline'!$M$4:$M$503,_calc!$E$788)),TEXT(INDEX('Dealer pipeline'!$M$4:$M$503,_calc!$E$788),"yyyy-mm-dd"),""),IF(ISNUMBER(INDEX('My equipment'!$M$4:$M$503,(_calc!$E$788-500))),TEXT(INDEX('My equipment'!$M$4:$M$503,(_calc!$E$788-500)),"yyyy-mm-dd"),"")))</f>
        <v/>
      </c>
      <c r="C786" s="54">
        <f>IF(_calc!$E$788="","",IF(_calc!$E$788&lt;=500,"Warranty","Warranty"))</f>
        <v/>
      </c>
      <c r="D786" s="54">
        <f>IF(_calc!$E$788="","",IF(_calc!$E$788&lt;=500,IF(ISNUMBER(INDEX('Dealer pipeline'!$H$4:$H$503,_calc!$E$788)),TEXT(INDEX('Dealer pipeline'!$H$4:$H$503,_calc!$E$788),"yyyy-mm-dd"),""),IF(ISNUMBER(INDEX('My equipment'!$H$4:$H$503,(_calc!$E$788-500))),TEXT(INDEX('My equipment'!$H$4:$H$503,(_calc!$E$788-500)),"yyyy-mm-dd"),"")))</f>
        <v/>
      </c>
      <c r="F786" s="54">
        <f>IF(_calc!$E$788="","",IF(_calc!$E$788&lt;=500,TRIM(IF(LEN(IF(LEN(INDEX('Dealer pipeline'!$A$4:$A$503,_calc!$E$788))=0,"",INDEX('Dealer pipeline'!$A$4:$A$503,_calc!$E$788)))=0,"","Customer: "&amp;IF(LEN(INDEX('Dealer pipeline'!$A$4:$A$503,_calc!$E$788))=0,"",INDEX('Dealer pipeline'!$A$4:$A$503,_calc!$E$788))&amp;". ")&amp;IF(LEN(IF(LEN(INDEX('Dealer pipeline'!$B$4:$B$503,_calc!$E$788))=0,"",INDEX('Dealer pipeline'!$B$4:$B$503,_calc!$E$788)))=0,"","Contact: "&amp;IF(LEN(INDEX('Dealer pipeline'!$B$4:$B$503,_calc!$E$788))=0,"",INDEX('Dealer pipeline'!$B$4:$B$503,_calc!$E$788))&amp;". ")&amp;IF(LEN(IF(LEN(INDEX('Dealer pipeline'!$D$4:$D$503,_calc!$E$788))=0,"",INDEX('Dealer pipeline'!$D$4:$D$503,_calc!$E$788)))=0,"","Serial: "&amp;IF(LEN(INDEX('Dealer pipeline'!$D$4:$D$503,_calc!$E$788))=0,"",INDEX('Dealer pipeline'!$D$4:$D$503,_calc!$E$788))&amp;". ")&amp;IF(LEN(IF(ISNUMBER(INDEX('Dealer pipeline'!$J$4:$J$503,_calc!$E$788)),TEXT(INDEX('Dealer pipeline'!$J$4:$J$503,_calc!$E$788),"yyyy-mm-dd"),""))=0,"","Parts end: "&amp;IF(ISNUMBER(INDEX('Dealer pipeline'!$J$4:$J$503,_calc!$E$788)),TEXT(INDEX('Dealer pipeline'!$J$4:$J$503,_calc!$E$788),"yyyy-mm-dd"),"")&amp;". ")&amp;IF(LEN(IF(ISNUMBER(INDEX('Dealer pipeline'!$L$4:$L$503,_calc!$E$788)),TEXT(INDEX('Dealer pipeline'!$L$4:$L$503,_calc!$E$788),"yyyy-mm-dd"),""))=0,"","Labor end: "&amp;IF(ISNUMBER(INDEX('Dealer pipeline'!$L$4:$L$503,_calc!$E$788)),TEXT(INDEX('Dealer pipeline'!$L$4:$L$503,_calc!$E$788),"yyyy-mm-dd"),"")&amp;". ")&amp;IF(LEN(IF(LEN(INDEX('Dealer pipeline'!$Q$4:$Q$503,_calc!$E$788))=0,"",INDEX('Dealer pipeline'!$Q$4:$Q$503,_calc!$E$788)))=0,"","Status: "&amp;IF(LEN(INDEX('Dealer pipeline'!$Q$4:$Q$503,_calc!$E$788))=0,"",INDEX('Dealer pipeline'!$Q$4:$Q$503,_calc!$E$788))&amp;". ")&amp;IF(LEN(IF(LEN(INDEX('Dealer pipeline'!$P$4:$P$503,_calc!$E$788))=0,"",INDEX('Dealer pipeline'!$P$4:$P$503,_calc!$E$788)))=0,"","Last touch: "&amp;IF(LEN(INDEX('Dealer pipeline'!$P$4:$P$503,_calc!$E$788))=0,"",INDEX('Dealer pipeline'!$P$4:$P$503,_calc!$E$788))&amp;". ")&amp;IF(LEN(IF(LEN(INDEX('Dealer pipeline'!$R$4:$R$503,_calc!$E$788))=0,"",INDEX('Dealer pipeline'!$R$4:$R$503,_calc!$E$788)))=0,"","Owner: "&amp;IF(LEN(INDEX('Dealer pipeline'!$R$4:$R$503,_calc!$E$788))=0,"",INDEX('Dealer pipeline'!$R$4:$R$503,_calc!$E$788))&amp;". ")&amp;IF(LEN(IF(LEN(INDEX('Dealer pipeline'!$S$4:$S$503,_calc!$E$788))=0,"",INDEX('Dealer pipeline'!$S$4:$S$503,_calc!$E$788)))=0,"","Backup: "&amp;IF(LEN(INDEX('Dealer pipeline'!$S$4:$S$503,_calc!$E$788))=0,"",INDEX('Dealer pipeline'!$S$4:$S$503,_calc!$E$788))&amp;". ")&amp;IF(LEN(IF(LEN(INDEX('Dealer pipeline'!$T$4:$T$503,_calc!$E$788))=0,"",INDEX('Dealer pipeline'!$T$4:$T$503,_calc!$E$788)))=0,"",IF(LEN(INDEX('Dealer pipeline'!$T$4:$T$503,_calc!$E$788))=0,"",INDEX('Dealer pipeline'!$T$4:$T$503,_calc!$E$788)))),TRIM(IF(LEN(IF(LEN(INDEX('My equipment'!$C$4:$C$503,(_calc!$E$788-500)))=0,"",INDEX('My equipment'!$C$4:$C$503,(_calc!$E$788-500))))=0,"","Model: "&amp;IF(LEN(INDEX('My equipment'!$C$4:$C$503,(_calc!$E$788-500)))=0,"",INDEX('My equipment'!$C$4:$C$503,(_calc!$E$788-500)))&amp;". ")&amp;IF(LEN(IF(LEN(INDEX('My equipment'!$D$4:$D$503,(_calc!$E$788-500)))=0,"",INDEX('My equipment'!$D$4:$D$503,(_calc!$E$788-500))))=0,"","Serial: "&amp;IF(LEN(INDEX('My equipment'!$D$4:$D$503,(_calc!$E$788-500)))=0,"",INDEX('My equipment'!$D$4:$D$503,(_calc!$E$788-500)))&amp;". ")&amp;IF(LEN(IF(ISNUMBER(INDEX('My equipment'!$J$4:$J$503,(_calc!$E$788-500))),TEXT(INDEX('My equipment'!$J$4:$J$503,(_calc!$E$788-500)),"yyyy-mm-dd"),""))=0,"","Parts end: "&amp;IF(ISNUMBER(INDEX('My equipment'!$J$4:$J$503,(_calc!$E$788-500))),TEXT(INDEX('My equipment'!$J$4:$J$503,(_calc!$E$788-500)),"yyyy-mm-dd"),"")&amp;". ")&amp;IF(LEN(IF(ISNUMBER(INDEX('My equipment'!$L$4:$L$503,(_calc!$E$788-500))),TEXT(INDEX('My equipment'!$L$4:$L$503,(_calc!$E$788-500)),"yyyy-mm-dd"),""))=0,"","Labor end: "&amp;IF(ISNUMBER(INDEX('My equipment'!$L$4:$L$503,(_calc!$E$788-500))),TEXT(INDEX('My equipment'!$L$4:$L$503,(_calc!$E$788-500)),"yyyy-mm-dd"),"")&amp;". ")&amp;IF(LEN(IF(ISNUMBER(INDEX('My equipment'!$P$4:$P$503,(_calc!$E$788-500))),TEXT(INDEX('My equipment'!$P$4:$P$503,(_calc!$E$788-500)),"yyyy-mm-dd"),""))=0,"","Check by: "&amp;IF(ISNUMBER(INDEX('My equipment'!$P$4:$P$503,(_calc!$E$788-500))),TEXT(INDEX('My equipment'!$P$4:$P$503,(_calc!$E$788-500)),"yyyy-mm-dd"),"")&amp;". ")&amp;IF(LEN(IF(LEN(INDEX('My equipment'!$Q$4:$Q$503,(_calc!$E$788-500)))=0,"",INDEX('My equipment'!$Q$4:$Q$503,(_calc!$E$788-500))))=0,"","Claim status: "&amp;IF(LEN(INDEX('My equipment'!$Q$4:$Q$503,(_calc!$E$788-500)))=0,"",INDEX('My equipment'!$Q$4:$Q$503,(_calc!$E$788-500)))&amp;". ")&amp;IF(LEN(IF(LEN(INDEX('My equipment'!$R$4:$R$503,(_calc!$E$788-500)))=0,"",INDEX('My equipment'!$R$4:$R$503,(_calc!$E$788-500))))=0,"","Claims contact: "&amp;IF(LEN(INDEX('My equipment'!$R$4:$R$503,(_calc!$E$788-500)))=0,"",INDEX('My equipment'!$R$4:$R$503,(_calc!$E$788-500)))&amp;". ")&amp;IF(LEN(IF(LEN(INDEX('My equipment'!$S$4:$S$503,(_calc!$E$788-500)))=0,"",INDEX('My equipment'!$S$4:$S$503,(_calc!$E$788-500))))=0,"","Claims email: "&amp;IF(LEN(INDEX('My equipment'!$S$4:$S$503,(_calc!$E$788-500)))=0,"",INDEX('My equipment'!$S$4:$S$503,(_calc!$E$788-500)))&amp;". ")&amp;IF(LEN(IF(LEN(INDEX('My equipment'!$U$4:$U$503,(_calc!$E$788-500)))=0,"",INDEX('My equipment'!$U$4:$U$503,(_calc!$E$788-500))))=0,"","Registered: "&amp;IF(LEN(INDEX('My equipment'!$U$4:$U$503,(_calc!$E$788-500)))=0,"",INDEX('My equipment'!$U$4:$U$503,(_calc!$E$788-500)))&amp;". ")&amp;IF(LEN(IF(LEN(INDEX('My equipment'!$V$4:$V$503,(_calc!$E$788-500)))=0,"",INDEX('My equipment'!$V$4:$V$503,(_calc!$E$788-500))))=0,"","Proof on file: "&amp;IF(LEN(INDEX('My equipment'!$V$4:$V$503,(_calc!$E$788-500)))=0,"",INDEX('My equipment'!$V$4:$V$503,(_calc!$E$788-500)))&amp;". ")&amp;IF(LEN(IF(LEN(INDEX('My equipment'!$W$4:$W$503,(_calc!$E$788-500)))=0,"",INDEX('My equipment'!$W$4:$W$503,(_calc!$E$788-500))))=0,"","Claim ref: "&amp;IF(LEN(INDEX('My equipment'!$W$4:$W$503,(_calc!$E$788-500)))=0,"",INDEX('My equipment'!$W$4:$W$503,(_calc!$E$788-500)))&amp;". ")&amp;IF(LEN(IF(LEN(INDEX('My equipment'!$Y$4:$Y$503,(_calc!$E$788-500)))=0,"",INDEX('My equipment'!$Y$4:$Y$503,(_calc!$E$788-500))))=0,"",IF(LEN(INDEX('My equipment'!$Y$4:$Y$503,(_calc!$E$788-500)))=0,"",INDEX('My equipment'!$Y$4:$Y$503,(_calc!$E$788-500)))))))</f>
        <v/>
      </c>
      <c r="G786" s="54">
        <f>IF(_calc!$E$788="","",IF(_calc!$E$788&lt;=500,"",IF(LEN(INDEX('My equipment'!$X$4:$X$503,(_calc!$E$788-500)))=0,"",INDEX('My equipment'!$X$4:$X$503,(_calc!$E$788-500)))))</f>
        <v/>
      </c>
      <c r="K786" s="54">
        <f>IF(_calc!$E$788="","",IF(_calc!$E$788&lt;=500,"",IF(LEN(INDEX('My equipment'!$T$4:$T$503,(_calc!$E$788-500)))=0,"",INDEX('My equipment'!$T$4:$T$503,(_calc!$E$788-500)))))</f>
        <v/>
      </c>
    </row>
    <row r="787">
      <c r="A787" s="54">
        <f>IF(_calc!$E$789="","",IF(_calc!$E$789&lt;=500,"Warranty – "&amp;IF(LEN(INDEX('Dealer pipeline'!$C$4:$C$503,_calc!$E$789))=0,"",INDEX('Dealer pipeline'!$C$4:$C$503,_calc!$E$789))&amp;" – "&amp;IF(LEN(INDEX('Dealer pipeline'!$D$4:$D$503,_calc!$E$789))=0,"",INDEX('Dealer pipeline'!$D$4:$D$503,_calc!$E$789))&amp;" – "&amp;IF(LEN(INDEX('Dealer pipeline'!$A$4:$A$503,_calc!$E$789))=0,"",INDEX('Dealer pipeline'!$A$4:$A$503,_calc!$E$789)),"Warranty – "&amp;IF(LEN(INDEX('My equipment'!$A$4:$A$503,(_calc!$E$789-500)))=0,"",INDEX('My equipment'!$A$4:$A$503,(_calc!$E$789-500)))&amp;" – "&amp;IF(LEN(INDEX('My equipment'!$D$4:$D$503,(_calc!$E$789-500)))=0,"",INDEX('My equipment'!$D$4:$D$503,(_calc!$E$789-500)))))</f>
        <v/>
      </c>
      <c r="B787" s="54">
        <f>IF(_calc!$E$789="","",IF(_calc!$E$789&lt;=500,IF(ISNUMBER(INDEX('Dealer pipeline'!$M$4:$M$503,_calc!$E$789)),TEXT(INDEX('Dealer pipeline'!$M$4:$M$503,_calc!$E$789),"yyyy-mm-dd"),""),IF(ISNUMBER(INDEX('My equipment'!$M$4:$M$503,(_calc!$E$789-500))),TEXT(INDEX('My equipment'!$M$4:$M$503,(_calc!$E$789-500)),"yyyy-mm-dd"),"")))</f>
        <v/>
      </c>
      <c r="C787" s="54">
        <f>IF(_calc!$E$789="","",IF(_calc!$E$789&lt;=500,"Warranty","Warranty"))</f>
        <v/>
      </c>
      <c r="D787" s="54">
        <f>IF(_calc!$E$789="","",IF(_calc!$E$789&lt;=500,IF(ISNUMBER(INDEX('Dealer pipeline'!$H$4:$H$503,_calc!$E$789)),TEXT(INDEX('Dealer pipeline'!$H$4:$H$503,_calc!$E$789),"yyyy-mm-dd"),""),IF(ISNUMBER(INDEX('My equipment'!$H$4:$H$503,(_calc!$E$789-500))),TEXT(INDEX('My equipment'!$H$4:$H$503,(_calc!$E$789-500)),"yyyy-mm-dd"),"")))</f>
        <v/>
      </c>
      <c r="F787" s="54">
        <f>IF(_calc!$E$789="","",IF(_calc!$E$789&lt;=500,TRIM(IF(LEN(IF(LEN(INDEX('Dealer pipeline'!$A$4:$A$503,_calc!$E$789))=0,"",INDEX('Dealer pipeline'!$A$4:$A$503,_calc!$E$789)))=0,"","Customer: "&amp;IF(LEN(INDEX('Dealer pipeline'!$A$4:$A$503,_calc!$E$789))=0,"",INDEX('Dealer pipeline'!$A$4:$A$503,_calc!$E$789))&amp;". ")&amp;IF(LEN(IF(LEN(INDEX('Dealer pipeline'!$B$4:$B$503,_calc!$E$789))=0,"",INDEX('Dealer pipeline'!$B$4:$B$503,_calc!$E$789)))=0,"","Contact: "&amp;IF(LEN(INDEX('Dealer pipeline'!$B$4:$B$503,_calc!$E$789))=0,"",INDEX('Dealer pipeline'!$B$4:$B$503,_calc!$E$789))&amp;". ")&amp;IF(LEN(IF(LEN(INDEX('Dealer pipeline'!$D$4:$D$503,_calc!$E$789))=0,"",INDEX('Dealer pipeline'!$D$4:$D$503,_calc!$E$789)))=0,"","Serial: "&amp;IF(LEN(INDEX('Dealer pipeline'!$D$4:$D$503,_calc!$E$789))=0,"",INDEX('Dealer pipeline'!$D$4:$D$503,_calc!$E$789))&amp;". ")&amp;IF(LEN(IF(ISNUMBER(INDEX('Dealer pipeline'!$J$4:$J$503,_calc!$E$789)),TEXT(INDEX('Dealer pipeline'!$J$4:$J$503,_calc!$E$789),"yyyy-mm-dd"),""))=0,"","Parts end: "&amp;IF(ISNUMBER(INDEX('Dealer pipeline'!$J$4:$J$503,_calc!$E$789)),TEXT(INDEX('Dealer pipeline'!$J$4:$J$503,_calc!$E$789),"yyyy-mm-dd"),"")&amp;". ")&amp;IF(LEN(IF(ISNUMBER(INDEX('Dealer pipeline'!$L$4:$L$503,_calc!$E$789)),TEXT(INDEX('Dealer pipeline'!$L$4:$L$503,_calc!$E$789),"yyyy-mm-dd"),""))=0,"","Labor end: "&amp;IF(ISNUMBER(INDEX('Dealer pipeline'!$L$4:$L$503,_calc!$E$789)),TEXT(INDEX('Dealer pipeline'!$L$4:$L$503,_calc!$E$789),"yyyy-mm-dd"),"")&amp;". ")&amp;IF(LEN(IF(LEN(INDEX('Dealer pipeline'!$Q$4:$Q$503,_calc!$E$789))=0,"",INDEX('Dealer pipeline'!$Q$4:$Q$503,_calc!$E$789)))=0,"","Status: "&amp;IF(LEN(INDEX('Dealer pipeline'!$Q$4:$Q$503,_calc!$E$789))=0,"",INDEX('Dealer pipeline'!$Q$4:$Q$503,_calc!$E$789))&amp;". ")&amp;IF(LEN(IF(LEN(INDEX('Dealer pipeline'!$P$4:$P$503,_calc!$E$789))=0,"",INDEX('Dealer pipeline'!$P$4:$P$503,_calc!$E$789)))=0,"","Last touch: "&amp;IF(LEN(INDEX('Dealer pipeline'!$P$4:$P$503,_calc!$E$789))=0,"",INDEX('Dealer pipeline'!$P$4:$P$503,_calc!$E$789))&amp;". ")&amp;IF(LEN(IF(LEN(INDEX('Dealer pipeline'!$R$4:$R$503,_calc!$E$789))=0,"",INDEX('Dealer pipeline'!$R$4:$R$503,_calc!$E$789)))=0,"","Owner: "&amp;IF(LEN(INDEX('Dealer pipeline'!$R$4:$R$503,_calc!$E$789))=0,"",INDEX('Dealer pipeline'!$R$4:$R$503,_calc!$E$789))&amp;". ")&amp;IF(LEN(IF(LEN(INDEX('Dealer pipeline'!$S$4:$S$503,_calc!$E$789))=0,"",INDEX('Dealer pipeline'!$S$4:$S$503,_calc!$E$789)))=0,"","Backup: "&amp;IF(LEN(INDEX('Dealer pipeline'!$S$4:$S$503,_calc!$E$789))=0,"",INDEX('Dealer pipeline'!$S$4:$S$503,_calc!$E$789))&amp;". ")&amp;IF(LEN(IF(LEN(INDEX('Dealer pipeline'!$T$4:$T$503,_calc!$E$789))=0,"",INDEX('Dealer pipeline'!$T$4:$T$503,_calc!$E$789)))=0,"",IF(LEN(INDEX('Dealer pipeline'!$T$4:$T$503,_calc!$E$789))=0,"",INDEX('Dealer pipeline'!$T$4:$T$503,_calc!$E$789)))),TRIM(IF(LEN(IF(LEN(INDEX('My equipment'!$C$4:$C$503,(_calc!$E$789-500)))=0,"",INDEX('My equipment'!$C$4:$C$503,(_calc!$E$789-500))))=0,"","Model: "&amp;IF(LEN(INDEX('My equipment'!$C$4:$C$503,(_calc!$E$789-500)))=0,"",INDEX('My equipment'!$C$4:$C$503,(_calc!$E$789-500)))&amp;". ")&amp;IF(LEN(IF(LEN(INDEX('My equipment'!$D$4:$D$503,(_calc!$E$789-500)))=0,"",INDEX('My equipment'!$D$4:$D$503,(_calc!$E$789-500))))=0,"","Serial: "&amp;IF(LEN(INDEX('My equipment'!$D$4:$D$503,(_calc!$E$789-500)))=0,"",INDEX('My equipment'!$D$4:$D$503,(_calc!$E$789-500)))&amp;". ")&amp;IF(LEN(IF(ISNUMBER(INDEX('My equipment'!$J$4:$J$503,(_calc!$E$789-500))),TEXT(INDEX('My equipment'!$J$4:$J$503,(_calc!$E$789-500)),"yyyy-mm-dd"),""))=0,"","Parts end: "&amp;IF(ISNUMBER(INDEX('My equipment'!$J$4:$J$503,(_calc!$E$789-500))),TEXT(INDEX('My equipment'!$J$4:$J$503,(_calc!$E$789-500)),"yyyy-mm-dd"),"")&amp;". ")&amp;IF(LEN(IF(ISNUMBER(INDEX('My equipment'!$L$4:$L$503,(_calc!$E$789-500))),TEXT(INDEX('My equipment'!$L$4:$L$503,(_calc!$E$789-500)),"yyyy-mm-dd"),""))=0,"","Labor end: "&amp;IF(ISNUMBER(INDEX('My equipment'!$L$4:$L$503,(_calc!$E$789-500))),TEXT(INDEX('My equipment'!$L$4:$L$503,(_calc!$E$789-500)),"yyyy-mm-dd"),"")&amp;". ")&amp;IF(LEN(IF(ISNUMBER(INDEX('My equipment'!$P$4:$P$503,(_calc!$E$789-500))),TEXT(INDEX('My equipment'!$P$4:$P$503,(_calc!$E$789-500)),"yyyy-mm-dd"),""))=0,"","Check by: "&amp;IF(ISNUMBER(INDEX('My equipment'!$P$4:$P$503,(_calc!$E$789-500))),TEXT(INDEX('My equipment'!$P$4:$P$503,(_calc!$E$789-500)),"yyyy-mm-dd"),"")&amp;". ")&amp;IF(LEN(IF(LEN(INDEX('My equipment'!$Q$4:$Q$503,(_calc!$E$789-500)))=0,"",INDEX('My equipment'!$Q$4:$Q$503,(_calc!$E$789-500))))=0,"","Claim status: "&amp;IF(LEN(INDEX('My equipment'!$Q$4:$Q$503,(_calc!$E$789-500)))=0,"",INDEX('My equipment'!$Q$4:$Q$503,(_calc!$E$789-500)))&amp;". ")&amp;IF(LEN(IF(LEN(INDEX('My equipment'!$R$4:$R$503,(_calc!$E$789-500)))=0,"",INDEX('My equipment'!$R$4:$R$503,(_calc!$E$789-500))))=0,"","Claims contact: "&amp;IF(LEN(INDEX('My equipment'!$R$4:$R$503,(_calc!$E$789-500)))=0,"",INDEX('My equipment'!$R$4:$R$503,(_calc!$E$789-500)))&amp;". ")&amp;IF(LEN(IF(LEN(INDEX('My equipment'!$S$4:$S$503,(_calc!$E$789-500)))=0,"",INDEX('My equipment'!$S$4:$S$503,(_calc!$E$789-500))))=0,"","Claims email: "&amp;IF(LEN(INDEX('My equipment'!$S$4:$S$503,(_calc!$E$789-500)))=0,"",INDEX('My equipment'!$S$4:$S$503,(_calc!$E$789-500)))&amp;". ")&amp;IF(LEN(IF(LEN(INDEX('My equipment'!$U$4:$U$503,(_calc!$E$789-500)))=0,"",INDEX('My equipment'!$U$4:$U$503,(_calc!$E$789-500))))=0,"","Registered: "&amp;IF(LEN(INDEX('My equipment'!$U$4:$U$503,(_calc!$E$789-500)))=0,"",INDEX('My equipment'!$U$4:$U$503,(_calc!$E$789-500)))&amp;". ")&amp;IF(LEN(IF(LEN(INDEX('My equipment'!$V$4:$V$503,(_calc!$E$789-500)))=0,"",INDEX('My equipment'!$V$4:$V$503,(_calc!$E$789-500))))=0,"","Proof on file: "&amp;IF(LEN(INDEX('My equipment'!$V$4:$V$503,(_calc!$E$789-500)))=0,"",INDEX('My equipment'!$V$4:$V$503,(_calc!$E$789-500)))&amp;". ")&amp;IF(LEN(IF(LEN(INDEX('My equipment'!$W$4:$W$503,(_calc!$E$789-500)))=0,"",INDEX('My equipment'!$W$4:$W$503,(_calc!$E$789-500))))=0,"","Claim ref: "&amp;IF(LEN(INDEX('My equipment'!$W$4:$W$503,(_calc!$E$789-500)))=0,"",INDEX('My equipment'!$W$4:$W$503,(_calc!$E$789-500)))&amp;". ")&amp;IF(LEN(IF(LEN(INDEX('My equipment'!$Y$4:$Y$503,(_calc!$E$789-500)))=0,"",INDEX('My equipment'!$Y$4:$Y$503,(_calc!$E$789-500))))=0,"",IF(LEN(INDEX('My equipment'!$Y$4:$Y$503,(_calc!$E$789-500)))=0,"",INDEX('My equipment'!$Y$4:$Y$503,(_calc!$E$789-500)))))))</f>
        <v/>
      </c>
      <c r="G787" s="54">
        <f>IF(_calc!$E$789="","",IF(_calc!$E$789&lt;=500,"",IF(LEN(INDEX('My equipment'!$X$4:$X$503,(_calc!$E$789-500)))=0,"",INDEX('My equipment'!$X$4:$X$503,(_calc!$E$789-500)))))</f>
        <v/>
      </c>
      <c r="K787" s="54">
        <f>IF(_calc!$E$789="","",IF(_calc!$E$789&lt;=500,"",IF(LEN(INDEX('My equipment'!$T$4:$T$503,(_calc!$E$789-500)))=0,"",INDEX('My equipment'!$T$4:$T$503,(_calc!$E$789-500)))))</f>
        <v/>
      </c>
    </row>
    <row r="788">
      <c r="A788" s="54">
        <f>IF(_calc!$E$790="","",IF(_calc!$E$790&lt;=500,"Warranty – "&amp;IF(LEN(INDEX('Dealer pipeline'!$C$4:$C$503,_calc!$E$790))=0,"",INDEX('Dealer pipeline'!$C$4:$C$503,_calc!$E$790))&amp;" – "&amp;IF(LEN(INDEX('Dealer pipeline'!$D$4:$D$503,_calc!$E$790))=0,"",INDEX('Dealer pipeline'!$D$4:$D$503,_calc!$E$790))&amp;" – "&amp;IF(LEN(INDEX('Dealer pipeline'!$A$4:$A$503,_calc!$E$790))=0,"",INDEX('Dealer pipeline'!$A$4:$A$503,_calc!$E$790)),"Warranty – "&amp;IF(LEN(INDEX('My equipment'!$A$4:$A$503,(_calc!$E$790-500)))=0,"",INDEX('My equipment'!$A$4:$A$503,(_calc!$E$790-500)))&amp;" – "&amp;IF(LEN(INDEX('My equipment'!$D$4:$D$503,(_calc!$E$790-500)))=0,"",INDEX('My equipment'!$D$4:$D$503,(_calc!$E$790-500)))))</f>
        <v/>
      </c>
      <c r="B788" s="54">
        <f>IF(_calc!$E$790="","",IF(_calc!$E$790&lt;=500,IF(ISNUMBER(INDEX('Dealer pipeline'!$M$4:$M$503,_calc!$E$790)),TEXT(INDEX('Dealer pipeline'!$M$4:$M$503,_calc!$E$790),"yyyy-mm-dd"),""),IF(ISNUMBER(INDEX('My equipment'!$M$4:$M$503,(_calc!$E$790-500))),TEXT(INDEX('My equipment'!$M$4:$M$503,(_calc!$E$790-500)),"yyyy-mm-dd"),"")))</f>
        <v/>
      </c>
      <c r="C788" s="54">
        <f>IF(_calc!$E$790="","",IF(_calc!$E$790&lt;=500,"Warranty","Warranty"))</f>
        <v/>
      </c>
      <c r="D788" s="54">
        <f>IF(_calc!$E$790="","",IF(_calc!$E$790&lt;=500,IF(ISNUMBER(INDEX('Dealer pipeline'!$H$4:$H$503,_calc!$E$790)),TEXT(INDEX('Dealer pipeline'!$H$4:$H$503,_calc!$E$790),"yyyy-mm-dd"),""),IF(ISNUMBER(INDEX('My equipment'!$H$4:$H$503,(_calc!$E$790-500))),TEXT(INDEX('My equipment'!$H$4:$H$503,(_calc!$E$790-500)),"yyyy-mm-dd"),"")))</f>
        <v/>
      </c>
      <c r="F788" s="54">
        <f>IF(_calc!$E$790="","",IF(_calc!$E$790&lt;=500,TRIM(IF(LEN(IF(LEN(INDEX('Dealer pipeline'!$A$4:$A$503,_calc!$E$790))=0,"",INDEX('Dealer pipeline'!$A$4:$A$503,_calc!$E$790)))=0,"","Customer: "&amp;IF(LEN(INDEX('Dealer pipeline'!$A$4:$A$503,_calc!$E$790))=0,"",INDEX('Dealer pipeline'!$A$4:$A$503,_calc!$E$790))&amp;". ")&amp;IF(LEN(IF(LEN(INDEX('Dealer pipeline'!$B$4:$B$503,_calc!$E$790))=0,"",INDEX('Dealer pipeline'!$B$4:$B$503,_calc!$E$790)))=0,"","Contact: "&amp;IF(LEN(INDEX('Dealer pipeline'!$B$4:$B$503,_calc!$E$790))=0,"",INDEX('Dealer pipeline'!$B$4:$B$503,_calc!$E$790))&amp;". ")&amp;IF(LEN(IF(LEN(INDEX('Dealer pipeline'!$D$4:$D$503,_calc!$E$790))=0,"",INDEX('Dealer pipeline'!$D$4:$D$503,_calc!$E$790)))=0,"","Serial: "&amp;IF(LEN(INDEX('Dealer pipeline'!$D$4:$D$503,_calc!$E$790))=0,"",INDEX('Dealer pipeline'!$D$4:$D$503,_calc!$E$790))&amp;". ")&amp;IF(LEN(IF(ISNUMBER(INDEX('Dealer pipeline'!$J$4:$J$503,_calc!$E$790)),TEXT(INDEX('Dealer pipeline'!$J$4:$J$503,_calc!$E$790),"yyyy-mm-dd"),""))=0,"","Parts end: "&amp;IF(ISNUMBER(INDEX('Dealer pipeline'!$J$4:$J$503,_calc!$E$790)),TEXT(INDEX('Dealer pipeline'!$J$4:$J$503,_calc!$E$790),"yyyy-mm-dd"),"")&amp;". ")&amp;IF(LEN(IF(ISNUMBER(INDEX('Dealer pipeline'!$L$4:$L$503,_calc!$E$790)),TEXT(INDEX('Dealer pipeline'!$L$4:$L$503,_calc!$E$790),"yyyy-mm-dd"),""))=0,"","Labor end: "&amp;IF(ISNUMBER(INDEX('Dealer pipeline'!$L$4:$L$503,_calc!$E$790)),TEXT(INDEX('Dealer pipeline'!$L$4:$L$503,_calc!$E$790),"yyyy-mm-dd"),"")&amp;". ")&amp;IF(LEN(IF(LEN(INDEX('Dealer pipeline'!$Q$4:$Q$503,_calc!$E$790))=0,"",INDEX('Dealer pipeline'!$Q$4:$Q$503,_calc!$E$790)))=0,"","Status: "&amp;IF(LEN(INDEX('Dealer pipeline'!$Q$4:$Q$503,_calc!$E$790))=0,"",INDEX('Dealer pipeline'!$Q$4:$Q$503,_calc!$E$790))&amp;". ")&amp;IF(LEN(IF(LEN(INDEX('Dealer pipeline'!$P$4:$P$503,_calc!$E$790))=0,"",INDEX('Dealer pipeline'!$P$4:$P$503,_calc!$E$790)))=0,"","Last touch: "&amp;IF(LEN(INDEX('Dealer pipeline'!$P$4:$P$503,_calc!$E$790))=0,"",INDEX('Dealer pipeline'!$P$4:$P$503,_calc!$E$790))&amp;". ")&amp;IF(LEN(IF(LEN(INDEX('Dealer pipeline'!$R$4:$R$503,_calc!$E$790))=0,"",INDEX('Dealer pipeline'!$R$4:$R$503,_calc!$E$790)))=0,"","Owner: "&amp;IF(LEN(INDEX('Dealer pipeline'!$R$4:$R$503,_calc!$E$790))=0,"",INDEX('Dealer pipeline'!$R$4:$R$503,_calc!$E$790))&amp;". ")&amp;IF(LEN(IF(LEN(INDEX('Dealer pipeline'!$S$4:$S$503,_calc!$E$790))=0,"",INDEX('Dealer pipeline'!$S$4:$S$503,_calc!$E$790)))=0,"","Backup: "&amp;IF(LEN(INDEX('Dealer pipeline'!$S$4:$S$503,_calc!$E$790))=0,"",INDEX('Dealer pipeline'!$S$4:$S$503,_calc!$E$790))&amp;". ")&amp;IF(LEN(IF(LEN(INDEX('Dealer pipeline'!$T$4:$T$503,_calc!$E$790))=0,"",INDEX('Dealer pipeline'!$T$4:$T$503,_calc!$E$790)))=0,"",IF(LEN(INDEX('Dealer pipeline'!$T$4:$T$503,_calc!$E$790))=0,"",INDEX('Dealer pipeline'!$T$4:$T$503,_calc!$E$790)))),TRIM(IF(LEN(IF(LEN(INDEX('My equipment'!$C$4:$C$503,(_calc!$E$790-500)))=0,"",INDEX('My equipment'!$C$4:$C$503,(_calc!$E$790-500))))=0,"","Model: "&amp;IF(LEN(INDEX('My equipment'!$C$4:$C$503,(_calc!$E$790-500)))=0,"",INDEX('My equipment'!$C$4:$C$503,(_calc!$E$790-500)))&amp;". ")&amp;IF(LEN(IF(LEN(INDEX('My equipment'!$D$4:$D$503,(_calc!$E$790-500)))=0,"",INDEX('My equipment'!$D$4:$D$503,(_calc!$E$790-500))))=0,"","Serial: "&amp;IF(LEN(INDEX('My equipment'!$D$4:$D$503,(_calc!$E$790-500)))=0,"",INDEX('My equipment'!$D$4:$D$503,(_calc!$E$790-500)))&amp;". ")&amp;IF(LEN(IF(ISNUMBER(INDEX('My equipment'!$J$4:$J$503,(_calc!$E$790-500))),TEXT(INDEX('My equipment'!$J$4:$J$503,(_calc!$E$790-500)),"yyyy-mm-dd"),""))=0,"","Parts end: "&amp;IF(ISNUMBER(INDEX('My equipment'!$J$4:$J$503,(_calc!$E$790-500))),TEXT(INDEX('My equipment'!$J$4:$J$503,(_calc!$E$790-500)),"yyyy-mm-dd"),"")&amp;". ")&amp;IF(LEN(IF(ISNUMBER(INDEX('My equipment'!$L$4:$L$503,(_calc!$E$790-500))),TEXT(INDEX('My equipment'!$L$4:$L$503,(_calc!$E$790-500)),"yyyy-mm-dd"),""))=0,"","Labor end: "&amp;IF(ISNUMBER(INDEX('My equipment'!$L$4:$L$503,(_calc!$E$790-500))),TEXT(INDEX('My equipment'!$L$4:$L$503,(_calc!$E$790-500)),"yyyy-mm-dd"),"")&amp;". ")&amp;IF(LEN(IF(ISNUMBER(INDEX('My equipment'!$P$4:$P$503,(_calc!$E$790-500))),TEXT(INDEX('My equipment'!$P$4:$P$503,(_calc!$E$790-500)),"yyyy-mm-dd"),""))=0,"","Check by: "&amp;IF(ISNUMBER(INDEX('My equipment'!$P$4:$P$503,(_calc!$E$790-500))),TEXT(INDEX('My equipment'!$P$4:$P$503,(_calc!$E$790-500)),"yyyy-mm-dd"),"")&amp;". ")&amp;IF(LEN(IF(LEN(INDEX('My equipment'!$Q$4:$Q$503,(_calc!$E$790-500)))=0,"",INDEX('My equipment'!$Q$4:$Q$503,(_calc!$E$790-500))))=0,"","Claim status: "&amp;IF(LEN(INDEX('My equipment'!$Q$4:$Q$503,(_calc!$E$790-500)))=0,"",INDEX('My equipment'!$Q$4:$Q$503,(_calc!$E$790-500)))&amp;". ")&amp;IF(LEN(IF(LEN(INDEX('My equipment'!$R$4:$R$503,(_calc!$E$790-500)))=0,"",INDEX('My equipment'!$R$4:$R$503,(_calc!$E$790-500))))=0,"","Claims contact: "&amp;IF(LEN(INDEX('My equipment'!$R$4:$R$503,(_calc!$E$790-500)))=0,"",INDEX('My equipment'!$R$4:$R$503,(_calc!$E$790-500)))&amp;". ")&amp;IF(LEN(IF(LEN(INDEX('My equipment'!$S$4:$S$503,(_calc!$E$790-500)))=0,"",INDEX('My equipment'!$S$4:$S$503,(_calc!$E$790-500))))=0,"","Claims email: "&amp;IF(LEN(INDEX('My equipment'!$S$4:$S$503,(_calc!$E$790-500)))=0,"",INDEX('My equipment'!$S$4:$S$503,(_calc!$E$790-500)))&amp;". ")&amp;IF(LEN(IF(LEN(INDEX('My equipment'!$U$4:$U$503,(_calc!$E$790-500)))=0,"",INDEX('My equipment'!$U$4:$U$503,(_calc!$E$790-500))))=0,"","Registered: "&amp;IF(LEN(INDEX('My equipment'!$U$4:$U$503,(_calc!$E$790-500)))=0,"",INDEX('My equipment'!$U$4:$U$503,(_calc!$E$790-500)))&amp;". ")&amp;IF(LEN(IF(LEN(INDEX('My equipment'!$V$4:$V$503,(_calc!$E$790-500)))=0,"",INDEX('My equipment'!$V$4:$V$503,(_calc!$E$790-500))))=0,"","Proof on file: "&amp;IF(LEN(INDEX('My equipment'!$V$4:$V$503,(_calc!$E$790-500)))=0,"",INDEX('My equipment'!$V$4:$V$503,(_calc!$E$790-500)))&amp;". ")&amp;IF(LEN(IF(LEN(INDEX('My equipment'!$W$4:$W$503,(_calc!$E$790-500)))=0,"",INDEX('My equipment'!$W$4:$W$503,(_calc!$E$790-500))))=0,"","Claim ref: "&amp;IF(LEN(INDEX('My equipment'!$W$4:$W$503,(_calc!$E$790-500)))=0,"",INDEX('My equipment'!$W$4:$W$503,(_calc!$E$790-500)))&amp;". ")&amp;IF(LEN(IF(LEN(INDEX('My equipment'!$Y$4:$Y$503,(_calc!$E$790-500)))=0,"",INDEX('My equipment'!$Y$4:$Y$503,(_calc!$E$790-500))))=0,"",IF(LEN(INDEX('My equipment'!$Y$4:$Y$503,(_calc!$E$790-500)))=0,"",INDEX('My equipment'!$Y$4:$Y$503,(_calc!$E$790-500)))))))</f>
        <v/>
      </c>
      <c r="G788" s="54">
        <f>IF(_calc!$E$790="","",IF(_calc!$E$790&lt;=500,"",IF(LEN(INDEX('My equipment'!$X$4:$X$503,(_calc!$E$790-500)))=0,"",INDEX('My equipment'!$X$4:$X$503,(_calc!$E$790-500)))))</f>
        <v/>
      </c>
      <c r="K788" s="54">
        <f>IF(_calc!$E$790="","",IF(_calc!$E$790&lt;=500,"",IF(LEN(INDEX('My equipment'!$T$4:$T$503,(_calc!$E$790-500)))=0,"",INDEX('My equipment'!$T$4:$T$503,(_calc!$E$790-500)))))</f>
        <v/>
      </c>
    </row>
    <row r="789">
      <c r="A789" s="54">
        <f>IF(_calc!$E$791="","",IF(_calc!$E$791&lt;=500,"Warranty – "&amp;IF(LEN(INDEX('Dealer pipeline'!$C$4:$C$503,_calc!$E$791))=0,"",INDEX('Dealer pipeline'!$C$4:$C$503,_calc!$E$791))&amp;" – "&amp;IF(LEN(INDEX('Dealer pipeline'!$D$4:$D$503,_calc!$E$791))=0,"",INDEX('Dealer pipeline'!$D$4:$D$503,_calc!$E$791))&amp;" – "&amp;IF(LEN(INDEX('Dealer pipeline'!$A$4:$A$503,_calc!$E$791))=0,"",INDEX('Dealer pipeline'!$A$4:$A$503,_calc!$E$791)),"Warranty – "&amp;IF(LEN(INDEX('My equipment'!$A$4:$A$503,(_calc!$E$791-500)))=0,"",INDEX('My equipment'!$A$4:$A$503,(_calc!$E$791-500)))&amp;" – "&amp;IF(LEN(INDEX('My equipment'!$D$4:$D$503,(_calc!$E$791-500)))=0,"",INDEX('My equipment'!$D$4:$D$503,(_calc!$E$791-500)))))</f>
        <v/>
      </c>
      <c r="B789" s="54">
        <f>IF(_calc!$E$791="","",IF(_calc!$E$791&lt;=500,IF(ISNUMBER(INDEX('Dealer pipeline'!$M$4:$M$503,_calc!$E$791)),TEXT(INDEX('Dealer pipeline'!$M$4:$M$503,_calc!$E$791),"yyyy-mm-dd"),""),IF(ISNUMBER(INDEX('My equipment'!$M$4:$M$503,(_calc!$E$791-500))),TEXT(INDEX('My equipment'!$M$4:$M$503,(_calc!$E$791-500)),"yyyy-mm-dd"),"")))</f>
        <v/>
      </c>
      <c r="C789" s="54">
        <f>IF(_calc!$E$791="","",IF(_calc!$E$791&lt;=500,"Warranty","Warranty"))</f>
        <v/>
      </c>
      <c r="D789" s="54">
        <f>IF(_calc!$E$791="","",IF(_calc!$E$791&lt;=500,IF(ISNUMBER(INDEX('Dealer pipeline'!$H$4:$H$503,_calc!$E$791)),TEXT(INDEX('Dealer pipeline'!$H$4:$H$503,_calc!$E$791),"yyyy-mm-dd"),""),IF(ISNUMBER(INDEX('My equipment'!$H$4:$H$503,(_calc!$E$791-500))),TEXT(INDEX('My equipment'!$H$4:$H$503,(_calc!$E$791-500)),"yyyy-mm-dd"),"")))</f>
        <v/>
      </c>
      <c r="F789" s="54">
        <f>IF(_calc!$E$791="","",IF(_calc!$E$791&lt;=500,TRIM(IF(LEN(IF(LEN(INDEX('Dealer pipeline'!$A$4:$A$503,_calc!$E$791))=0,"",INDEX('Dealer pipeline'!$A$4:$A$503,_calc!$E$791)))=0,"","Customer: "&amp;IF(LEN(INDEX('Dealer pipeline'!$A$4:$A$503,_calc!$E$791))=0,"",INDEX('Dealer pipeline'!$A$4:$A$503,_calc!$E$791))&amp;". ")&amp;IF(LEN(IF(LEN(INDEX('Dealer pipeline'!$B$4:$B$503,_calc!$E$791))=0,"",INDEX('Dealer pipeline'!$B$4:$B$503,_calc!$E$791)))=0,"","Contact: "&amp;IF(LEN(INDEX('Dealer pipeline'!$B$4:$B$503,_calc!$E$791))=0,"",INDEX('Dealer pipeline'!$B$4:$B$503,_calc!$E$791))&amp;". ")&amp;IF(LEN(IF(LEN(INDEX('Dealer pipeline'!$D$4:$D$503,_calc!$E$791))=0,"",INDEX('Dealer pipeline'!$D$4:$D$503,_calc!$E$791)))=0,"","Serial: "&amp;IF(LEN(INDEX('Dealer pipeline'!$D$4:$D$503,_calc!$E$791))=0,"",INDEX('Dealer pipeline'!$D$4:$D$503,_calc!$E$791))&amp;". ")&amp;IF(LEN(IF(ISNUMBER(INDEX('Dealer pipeline'!$J$4:$J$503,_calc!$E$791)),TEXT(INDEX('Dealer pipeline'!$J$4:$J$503,_calc!$E$791),"yyyy-mm-dd"),""))=0,"","Parts end: "&amp;IF(ISNUMBER(INDEX('Dealer pipeline'!$J$4:$J$503,_calc!$E$791)),TEXT(INDEX('Dealer pipeline'!$J$4:$J$503,_calc!$E$791),"yyyy-mm-dd"),"")&amp;". ")&amp;IF(LEN(IF(ISNUMBER(INDEX('Dealer pipeline'!$L$4:$L$503,_calc!$E$791)),TEXT(INDEX('Dealer pipeline'!$L$4:$L$503,_calc!$E$791),"yyyy-mm-dd"),""))=0,"","Labor end: "&amp;IF(ISNUMBER(INDEX('Dealer pipeline'!$L$4:$L$503,_calc!$E$791)),TEXT(INDEX('Dealer pipeline'!$L$4:$L$503,_calc!$E$791),"yyyy-mm-dd"),"")&amp;". ")&amp;IF(LEN(IF(LEN(INDEX('Dealer pipeline'!$Q$4:$Q$503,_calc!$E$791))=0,"",INDEX('Dealer pipeline'!$Q$4:$Q$503,_calc!$E$791)))=0,"","Status: "&amp;IF(LEN(INDEX('Dealer pipeline'!$Q$4:$Q$503,_calc!$E$791))=0,"",INDEX('Dealer pipeline'!$Q$4:$Q$503,_calc!$E$791))&amp;". ")&amp;IF(LEN(IF(LEN(INDEX('Dealer pipeline'!$P$4:$P$503,_calc!$E$791))=0,"",INDEX('Dealer pipeline'!$P$4:$P$503,_calc!$E$791)))=0,"","Last touch: "&amp;IF(LEN(INDEX('Dealer pipeline'!$P$4:$P$503,_calc!$E$791))=0,"",INDEX('Dealer pipeline'!$P$4:$P$503,_calc!$E$791))&amp;". ")&amp;IF(LEN(IF(LEN(INDEX('Dealer pipeline'!$R$4:$R$503,_calc!$E$791))=0,"",INDEX('Dealer pipeline'!$R$4:$R$503,_calc!$E$791)))=0,"","Owner: "&amp;IF(LEN(INDEX('Dealer pipeline'!$R$4:$R$503,_calc!$E$791))=0,"",INDEX('Dealer pipeline'!$R$4:$R$503,_calc!$E$791))&amp;". ")&amp;IF(LEN(IF(LEN(INDEX('Dealer pipeline'!$S$4:$S$503,_calc!$E$791))=0,"",INDEX('Dealer pipeline'!$S$4:$S$503,_calc!$E$791)))=0,"","Backup: "&amp;IF(LEN(INDEX('Dealer pipeline'!$S$4:$S$503,_calc!$E$791))=0,"",INDEX('Dealer pipeline'!$S$4:$S$503,_calc!$E$791))&amp;". ")&amp;IF(LEN(IF(LEN(INDEX('Dealer pipeline'!$T$4:$T$503,_calc!$E$791))=0,"",INDEX('Dealer pipeline'!$T$4:$T$503,_calc!$E$791)))=0,"",IF(LEN(INDEX('Dealer pipeline'!$T$4:$T$503,_calc!$E$791))=0,"",INDEX('Dealer pipeline'!$T$4:$T$503,_calc!$E$791)))),TRIM(IF(LEN(IF(LEN(INDEX('My equipment'!$C$4:$C$503,(_calc!$E$791-500)))=0,"",INDEX('My equipment'!$C$4:$C$503,(_calc!$E$791-500))))=0,"","Model: "&amp;IF(LEN(INDEX('My equipment'!$C$4:$C$503,(_calc!$E$791-500)))=0,"",INDEX('My equipment'!$C$4:$C$503,(_calc!$E$791-500)))&amp;". ")&amp;IF(LEN(IF(LEN(INDEX('My equipment'!$D$4:$D$503,(_calc!$E$791-500)))=0,"",INDEX('My equipment'!$D$4:$D$503,(_calc!$E$791-500))))=0,"","Serial: "&amp;IF(LEN(INDEX('My equipment'!$D$4:$D$503,(_calc!$E$791-500)))=0,"",INDEX('My equipment'!$D$4:$D$503,(_calc!$E$791-500)))&amp;". ")&amp;IF(LEN(IF(ISNUMBER(INDEX('My equipment'!$J$4:$J$503,(_calc!$E$791-500))),TEXT(INDEX('My equipment'!$J$4:$J$503,(_calc!$E$791-500)),"yyyy-mm-dd"),""))=0,"","Parts end: "&amp;IF(ISNUMBER(INDEX('My equipment'!$J$4:$J$503,(_calc!$E$791-500))),TEXT(INDEX('My equipment'!$J$4:$J$503,(_calc!$E$791-500)),"yyyy-mm-dd"),"")&amp;". ")&amp;IF(LEN(IF(ISNUMBER(INDEX('My equipment'!$L$4:$L$503,(_calc!$E$791-500))),TEXT(INDEX('My equipment'!$L$4:$L$503,(_calc!$E$791-500)),"yyyy-mm-dd"),""))=0,"","Labor end: "&amp;IF(ISNUMBER(INDEX('My equipment'!$L$4:$L$503,(_calc!$E$791-500))),TEXT(INDEX('My equipment'!$L$4:$L$503,(_calc!$E$791-500)),"yyyy-mm-dd"),"")&amp;". ")&amp;IF(LEN(IF(ISNUMBER(INDEX('My equipment'!$P$4:$P$503,(_calc!$E$791-500))),TEXT(INDEX('My equipment'!$P$4:$P$503,(_calc!$E$791-500)),"yyyy-mm-dd"),""))=0,"","Check by: "&amp;IF(ISNUMBER(INDEX('My equipment'!$P$4:$P$503,(_calc!$E$791-500))),TEXT(INDEX('My equipment'!$P$4:$P$503,(_calc!$E$791-500)),"yyyy-mm-dd"),"")&amp;". ")&amp;IF(LEN(IF(LEN(INDEX('My equipment'!$Q$4:$Q$503,(_calc!$E$791-500)))=0,"",INDEX('My equipment'!$Q$4:$Q$503,(_calc!$E$791-500))))=0,"","Claim status: "&amp;IF(LEN(INDEX('My equipment'!$Q$4:$Q$503,(_calc!$E$791-500)))=0,"",INDEX('My equipment'!$Q$4:$Q$503,(_calc!$E$791-500)))&amp;". ")&amp;IF(LEN(IF(LEN(INDEX('My equipment'!$R$4:$R$503,(_calc!$E$791-500)))=0,"",INDEX('My equipment'!$R$4:$R$503,(_calc!$E$791-500))))=0,"","Claims contact: "&amp;IF(LEN(INDEX('My equipment'!$R$4:$R$503,(_calc!$E$791-500)))=0,"",INDEX('My equipment'!$R$4:$R$503,(_calc!$E$791-500)))&amp;". ")&amp;IF(LEN(IF(LEN(INDEX('My equipment'!$S$4:$S$503,(_calc!$E$791-500)))=0,"",INDEX('My equipment'!$S$4:$S$503,(_calc!$E$791-500))))=0,"","Claims email: "&amp;IF(LEN(INDEX('My equipment'!$S$4:$S$503,(_calc!$E$791-500)))=0,"",INDEX('My equipment'!$S$4:$S$503,(_calc!$E$791-500)))&amp;". ")&amp;IF(LEN(IF(LEN(INDEX('My equipment'!$U$4:$U$503,(_calc!$E$791-500)))=0,"",INDEX('My equipment'!$U$4:$U$503,(_calc!$E$791-500))))=0,"","Registered: "&amp;IF(LEN(INDEX('My equipment'!$U$4:$U$503,(_calc!$E$791-500)))=0,"",INDEX('My equipment'!$U$4:$U$503,(_calc!$E$791-500)))&amp;". ")&amp;IF(LEN(IF(LEN(INDEX('My equipment'!$V$4:$V$503,(_calc!$E$791-500)))=0,"",INDEX('My equipment'!$V$4:$V$503,(_calc!$E$791-500))))=0,"","Proof on file: "&amp;IF(LEN(INDEX('My equipment'!$V$4:$V$503,(_calc!$E$791-500)))=0,"",INDEX('My equipment'!$V$4:$V$503,(_calc!$E$791-500)))&amp;". ")&amp;IF(LEN(IF(LEN(INDEX('My equipment'!$W$4:$W$503,(_calc!$E$791-500)))=0,"",INDEX('My equipment'!$W$4:$W$503,(_calc!$E$791-500))))=0,"","Claim ref: "&amp;IF(LEN(INDEX('My equipment'!$W$4:$W$503,(_calc!$E$791-500)))=0,"",INDEX('My equipment'!$W$4:$W$503,(_calc!$E$791-500)))&amp;". ")&amp;IF(LEN(IF(LEN(INDEX('My equipment'!$Y$4:$Y$503,(_calc!$E$791-500)))=0,"",INDEX('My equipment'!$Y$4:$Y$503,(_calc!$E$791-500))))=0,"",IF(LEN(INDEX('My equipment'!$Y$4:$Y$503,(_calc!$E$791-500)))=0,"",INDEX('My equipment'!$Y$4:$Y$503,(_calc!$E$791-500)))))))</f>
        <v/>
      </c>
      <c r="G789" s="54">
        <f>IF(_calc!$E$791="","",IF(_calc!$E$791&lt;=500,"",IF(LEN(INDEX('My equipment'!$X$4:$X$503,(_calc!$E$791-500)))=0,"",INDEX('My equipment'!$X$4:$X$503,(_calc!$E$791-500)))))</f>
        <v/>
      </c>
      <c r="K789" s="54">
        <f>IF(_calc!$E$791="","",IF(_calc!$E$791&lt;=500,"",IF(LEN(INDEX('My equipment'!$T$4:$T$503,(_calc!$E$791-500)))=0,"",INDEX('My equipment'!$T$4:$T$503,(_calc!$E$791-500)))))</f>
        <v/>
      </c>
    </row>
    <row r="790">
      <c r="A790" s="54">
        <f>IF(_calc!$E$792="","",IF(_calc!$E$792&lt;=500,"Warranty – "&amp;IF(LEN(INDEX('Dealer pipeline'!$C$4:$C$503,_calc!$E$792))=0,"",INDEX('Dealer pipeline'!$C$4:$C$503,_calc!$E$792))&amp;" – "&amp;IF(LEN(INDEX('Dealer pipeline'!$D$4:$D$503,_calc!$E$792))=0,"",INDEX('Dealer pipeline'!$D$4:$D$503,_calc!$E$792))&amp;" – "&amp;IF(LEN(INDEX('Dealer pipeline'!$A$4:$A$503,_calc!$E$792))=0,"",INDEX('Dealer pipeline'!$A$4:$A$503,_calc!$E$792)),"Warranty – "&amp;IF(LEN(INDEX('My equipment'!$A$4:$A$503,(_calc!$E$792-500)))=0,"",INDEX('My equipment'!$A$4:$A$503,(_calc!$E$792-500)))&amp;" – "&amp;IF(LEN(INDEX('My equipment'!$D$4:$D$503,(_calc!$E$792-500)))=0,"",INDEX('My equipment'!$D$4:$D$503,(_calc!$E$792-500)))))</f>
        <v/>
      </c>
      <c r="B790" s="54">
        <f>IF(_calc!$E$792="","",IF(_calc!$E$792&lt;=500,IF(ISNUMBER(INDEX('Dealer pipeline'!$M$4:$M$503,_calc!$E$792)),TEXT(INDEX('Dealer pipeline'!$M$4:$M$503,_calc!$E$792),"yyyy-mm-dd"),""),IF(ISNUMBER(INDEX('My equipment'!$M$4:$M$503,(_calc!$E$792-500))),TEXT(INDEX('My equipment'!$M$4:$M$503,(_calc!$E$792-500)),"yyyy-mm-dd"),"")))</f>
        <v/>
      </c>
      <c r="C790" s="54">
        <f>IF(_calc!$E$792="","",IF(_calc!$E$792&lt;=500,"Warranty","Warranty"))</f>
        <v/>
      </c>
      <c r="D790" s="54">
        <f>IF(_calc!$E$792="","",IF(_calc!$E$792&lt;=500,IF(ISNUMBER(INDEX('Dealer pipeline'!$H$4:$H$503,_calc!$E$792)),TEXT(INDEX('Dealer pipeline'!$H$4:$H$503,_calc!$E$792),"yyyy-mm-dd"),""),IF(ISNUMBER(INDEX('My equipment'!$H$4:$H$503,(_calc!$E$792-500))),TEXT(INDEX('My equipment'!$H$4:$H$503,(_calc!$E$792-500)),"yyyy-mm-dd"),"")))</f>
        <v/>
      </c>
      <c r="F790" s="54">
        <f>IF(_calc!$E$792="","",IF(_calc!$E$792&lt;=500,TRIM(IF(LEN(IF(LEN(INDEX('Dealer pipeline'!$A$4:$A$503,_calc!$E$792))=0,"",INDEX('Dealer pipeline'!$A$4:$A$503,_calc!$E$792)))=0,"","Customer: "&amp;IF(LEN(INDEX('Dealer pipeline'!$A$4:$A$503,_calc!$E$792))=0,"",INDEX('Dealer pipeline'!$A$4:$A$503,_calc!$E$792))&amp;". ")&amp;IF(LEN(IF(LEN(INDEX('Dealer pipeline'!$B$4:$B$503,_calc!$E$792))=0,"",INDEX('Dealer pipeline'!$B$4:$B$503,_calc!$E$792)))=0,"","Contact: "&amp;IF(LEN(INDEX('Dealer pipeline'!$B$4:$B$503,_calc!$E$792))=0,"",INDEX('Dealer pipeline'!$B$4:$B$503,_calc!$E$792))&amp;". ")&amp;IF(LEN(IF(LEN(INDEX('Dealer pipeline'!$D$4:$D$503,_calc!$E$792))=0,"",INDEX('Dealer pipeline'!$D$4:$D$503,_calc!$E$792)))=0,"","Serial: "&amp;IF(LEN(INDEX('Dealer pipeline'!$D$4:$D$503,_calc!$E$792))=0,"",INDEX('Dealer pipeline'!$D$4:$D$503,_calc!$E$792))&amp;". ")&amp;IF(LEN(IF(ISNUMBER(INDEX('Dealer pipeline'!$J$4:$J$503,_calc!$E$792)),TEXT(INDEX('Dealer pipeline'!$J$4:$J$503,_calc!$E$792),"yyyy-mm-dd"),""))=0,"","Parts end: "&amp;IF(ISNUMBER(INDEX('Dealer pipeline'!$J$4:$J$503,_calc!$E$792)),TEXT(INDEX('Dealer pipeline'!$J$4:$J$503,_calc!$E$792),"yyyy-mm-dd"),"")&amp;". ")&amp;IF(LEN(IF(ISNUMBER(INDEX('Dealer pipeline'!$L$4:$L$503,_calc!$E$792)),TEXT(INDEX('Dealer pipeline'!$L$4:$L$503,_calc!$E$792),"yyyy-mm-dd"),""))=0,"","Labor end: "&amp;IF(ISNUMBER(INDEX('Dealer pipeline'!$L$4:$L$503,_calc!$E$792)),TEXT(INDEX('Dealer pipeline'!$L$4:$L$503,_calc!$E$792),"yyyy-mm-dd"),"")&amp;". ")&amp;IF(LEN(IF(LEN(INDEX('Dealer pipeline'!$Q$4:$Q$503,_calc!$E$792))=0,"",INDEX('Dealer pipeline'!$Q$4:$Q$503,_calc!$E$792)))=0,"","Status: "&amp;IF(LEN(INDEX('Dealer pipeline'!$Q$4:$Q$503,_calc!$E$792))=0,"",INDEX('Dealer pipeline'!$Q$4:$Q$503,_calc!$E$792))&amp;". ")&amp;IF(LEN(IF(LEN(INDEX('Dealer pipeline'!$P$4:$P$503,_calc!$E$792))=0,"",INDEX('Dealer pipeline'!$P$4:$P$503,_calc!$E$792)))=0,"","Last touch: "&amp;IF(LEN(INDEX('Dealer pipeline'!$P$4:$P$503,_calc!$E$792))=0,"",INDEX('Dealer pipeline'!$P$4:$P$503,_calc!$E$792))&amp;". ")&amp;IF(LEN(IF(LEN(INDEX('Dealer pipeline'!$R$4:$R$503,_calc!$E$792))=0,"",INDEX('Dealer pipeline'!$R$4:$R$503,_calc!$E$792)))=0,"","Owner: "&amp;IF(LEN(INDEX('Dealer pipeline'!$R$4:$R$503,_calc!$E$792))=0,"",INDEX('Dealer pipeline'!$R$4:$R$503,_calc!$E$792))&amp;". ")&amp;IF(LEN(IF(LEN(INDEX('Dealer pipeline'!$S$4:$S$503,_calc!$E$792))=0,"",INDEX('Dealer pipeline'!$S$4:$S$503,_calc!$E$792)))=0,"","Backup: "&amp;IF(LEN(INDEX('Dealer pipeline'!$S$4:$S$503,_calc!$E$792))=0,"",INDEX('Dealer pipeline'!$S$4:$S$503,_calc!$E$792))&amp;". ")&amp;IF(LEN(IF(LEN(INDEX('Dealer pipeline'!$T$4:$T$503,_calc!$E$792))=0,"",INDEX('Dealer pipeline'!$T$4:$T$503,_calc!$E$792)))=0,"",IF(LEN(INDEX('Dealer pipeline'!$T$4:$T$503,_calc!$E$792))=0,"",INDEX('Dealer pipeline'!$T$4:$T$503,_calc!$E$792)))),TRIM(IF(LEN(IF(LEN(INDEX('My equipment'!$C$4:$C$503,(_calc!$E$792-500)))=0,"",INDEX('My equipment'!$C$4:$C$503,(_calc!$E$792-500))))=0,"","Model: "&amp;IF(LEN(INDEX('My equipment'!$C$4:$C$503,(_calc!$E$792-500)))=0,"",INDEX('My equipment'!$C$4:$C$503,(_calc!$E$792-500)))&amp;". ")&amp;IF(LEN(IF(LEN(INDEX('My equipment'!$D$4:$D$503,(_calc!$E$792-500)))=0,"",INDEX('My equipment'!$D$4:$D$503,(_calc!$E$792-500))))=0,"","Serial: "&amp;IF(LEN(INDEX('My equipment'!$D$4:$D$503,(_calc!$E$792-500)))=0,"",INDEX('My equipment'!$D$4:$D$503,(_calc!$E$792-500)))&amp;". ")&amp;IF(LEN(IF(ISNUMBER(INDEX('My equipment'!$J$4:$J$503,(_calc!$E$792-500))),TEXT(INDEX('My equipment'!$J$4:$J$503,(_calc!$E$792-500)),"yyyy-mm-dd"),""))=0,"","Parts end: "&amp;IF(ISNUMBER(INDEX('My equipment'!$J$4:$J$503,(_calc!$E$792-500))),TEXT(INDEX('My equipment'!$J$4:$J$503,(_calc!$E$792-500)),"yyyy-mm-dd"),"")&amp;". ")&amp;IF(LEN(IF(ISNUMBER(INDEX('My equipment'!$L$4:$L$503,(_calc!$E$792-500))),TEXT(INDEX('My equipment'!$L$4:$L$503,(_calc!$E$792-500)),"yyyy-mm-dd"),""))=0,"","Labor end: "&amp;IF(ISNUMBER(INDEX('My equipment'!$L$4:$L$503,(_calc!$E$792-500))),TEXT(INDEX('My equipment'!$L$4:$L$503,(_calc!$E$792-500)),"yyyy-mm-dd"),"")&amp;". ")&amp;IF(LEN(IF(ISNUMBER(INDEX('My equipment'!$P$4:$P$503,(_calc!$E$792-500))),TEXT(INDEX('My equipment'!$P$4:$P$503,(_calc!$E$792-500)),"yyyy-mm-dd"),""))=0,"","Check by: "&amp;IF(ISNUMBER(INDEX('My equipment'!$P$4:$P$503,(_calc!$E$792-500))),TEXT(INDEX('My equipment'!$P$4:$P$503,(_calc!$E$792-500)),"yyyy-mm-dd"),"")&amp;". ")&amp;IF(LEN(IF(LEN(INDEX('My equipment'!$Q$4:$Q$503,(_calc!$E$792-500)))=0,"",INDEX('My equipment'!$Q$4:$Q$503,(_calc!$E$792-500))))=0,"","Claim status: "&amp;IF(LEN(INDEX('My equipment'!$Q$4:$Q$503,(_calc!$E$792-500)))=0,"",INDEX('My equipment'!$Q$4:$Q$503,(_calc!$E$792-500)))&amp;". ")&amp;IF(LEN(IF(LEN(INDEX('My equipment'!$R$4:$R$503,(_calc!$E$792-500)))=0,"",INDEX('My equipment'!$R$4:$R$503,(_calc!$E$792-500))))=0,"","Claims contact: "&amp;IF(LEN(INDEX('My equipment'!$R$4:$R$503,(_calc!$E$792-500)))=0,"",INDEX('My equipment'!$R$4:$R$503,(_calc!$E$792-500)))&amp;". ")&amp;IF(LEN(IF(LEN(INDEX('My equipment'!$S$4:$S$503,(_calc!$E$792-500)))=0,"",INDEX('My equipment'!$S$4:$S$503,(_calc!$E$792-500))))=0,"","Claims email: "&amp;IF(LEN(INDEX('My equipment'!$S$4:$S$503,(_calc!$E$792-500)))=0,"",INDEX('My equipment'!$S$4:$S$503,(_calc!$E$792-500)))&amp;". ")&amp;IF(LEN(IF(LEN(INDEX('My equipment'!$U$4:$U$503,(_calc!$E$792-500)))=0,"",INDEX('My equipment'!$U$4:$U$503,(_calc!$E$792-500))))=0,"","Registered: "&amp;IF(LEN(INDEX('My equipment'!$U$4:$U$503,(_calc!$E$792-500)))=0,"",INDEX('My equipment'!$U$4:$U$503,(_calc!$E$792-500)))&amp;". ")&amp;IF(LEN(IF(LEN(INDEX('My equipment'!$V$4:$V$503,(_calc!$E$792-500)))=0,"",INDEX('My equipment'!$V$4:$V$503,(_calc!$E$792-500))))=0,"","Proof on file: "&amp;IF(LEN(INDEX('My equipment'!$V$4:$V$503,(_calc!$E$792-500)))=0,"",INDEX('My equipment'!$V$4:$V$503,(_calc!$E$792-500)))&amp;". ")&amp;IF(LEN(IF(LEN(INDEX('My equipment'!$W$4:$W$503,(_calc!$E$792-500)))=0,"",INDEX('My equipment'!$W$4:$W$503,(_calc!$E$792-500))))=0,"","Claim ref: "&amp;IF(LEN(INDEX('My equipment'!$W$4:$W$503,(_calc!$E$792-500)))=0,"",INDEX('My equipment'!$W$4:$W$503,(_calc!$E$792-500)))&amp;". ")&amp;IF(LEN(IF(LEN(INDEX('My equipment'!$Y$4:$Y$503,(_calc!$E$792-500)))=0,"",INDEX('My equipment'!$Y$4:$Y$503,(_calc!$E$792-500))))=0,"",IF(LEN(INDEX('My equipment'!$Y$4:$Y$503,(_calc!$E$792-500)))=0,"",INDEX('My equipment'!$Y$4:$Y$503,(_calc!$E$792-500)))))))</f>
        <v/>
      </c>
      <c r="G790" s="54">
        <f>IF(_calc!$E$792="","",IF(_calc!$E$792&lt;=500,"",IF(LEN(INDEX('My equipment'!$X$4:$X$503,(_calc!$E$792-500)))=0,"",INDEX('My equipment'!$X$4:$X$503,(_calc!$E$792-500)))))</f>
        <v/>
      </c>
      <c r="K790" s="54">
        <f>IF(_calc!$E$792="","",IF(_calc!$E$792&lt;=500,"",IF(LEN(INDEX('My equipment'!$T$4:$T$503,(_calc!$E$792-500)))=0,"",INDEX('My equipment'!$T$4:$T$503,(_calc!$E$792-500)))))</f>
        <v/>
      </c>
    </row>
    <row r="791">
      <c r="A791" s="54">
        <f>IF(_calc!$E$793="","",IF(_calc!$E$793&lt;=500,"Warranty – "&amp;IF(LEN(INDEX('Dealer pipeline'!$C$4:$C$503,_calc!$E$793))=0,"",INDEX('Dealer pipeline'!$C$4:$C$503,_calc!$E$793))&amp;" – "&amp;IF(LEN(INDEX('Dealer pipeline'!$D$4:$D$503,_calc!$E$793))=0,"",INDEX('Dealer pipeline'!$D$4:$D$503,_calc!$E$793))&amp;" – "&amp;IF(LEN(INDEX('Dealer pipeline'!$A$4:$A$503,_calc!$E$793))=0,"",INDEX('Dealer pipeline'!$A$4:$A$503,_calc!$E$793)),"Warranty – "&amp;IF(LEN(INDEX('My equipment'!$A$4:$A$503,(_calc!$E$793-500)))=0,"",INDEX('My equipment'!$A$4:$A$503,(_calc!$E$793-500)))&amp;" – "&amp;IF(LEN(INDEX('My equipment'!$D$4:$D$503,(_calc!$E$793-500)))=0,"",INDEX('My equipment'!$D$4:$D$503,(_calc!$E$793-500)))))</f>
        <v/>
      </c>
      <c r="B791" s="54">
        <f>IF(_calc!$E$793="","",IF(_calc!$E$793&lt;=500,IF(ISNUMBER(INDEX('Dealer pipeline'!$M$4:$M$503,_calc!$E$793)),TEXT(INDEX('Dealer pipeline'!$M$4:$M$503,_calc!$E$793),"yyyy-mm-dd"),""),IF(ISNUMBER(INDEX('My equipment'!$M$4:$M$503,(_calc!$E$793-500))),TEXT(INDEX('My equipment'!$M$4:$M$503,(_calc!$E$793-500)),"yyyy-mm-dd"),"")))</f>
        <v/>
      </c>
      <c r="C791" s="54">
        <f>IF(_calc!$E$793="","",IF(_calc!$E$793&lt;=500,"Warranty","Warranty"))</f>
        <v/>
      </c>
      <c r="D791" s="54">
        <f>IF(_calc!$E$793="","",IF(_calc!$E$793&lt;=500,IF(ISNUMBER(INDEX('Dealer pipeline'!$H$4:$H$503,_calc!$E$793)),TEXT(INDEX('Dealer pipeline'!$H$4:$H$503,_calc!$E$793),"yyyy-mm-dd"),""),IF(ISNUMBER(INDEX('My equipment'!$H$4:$H$503,(_calc!$E$793-500))),TEXT(INDEX('My equipment'!$H$4:$H$503,(_calc!$E$793-500)),"yyyy-mm-dd"),"")))</f>
        <v/>
      </c>
      <c r="F791" s="54">
        <f>IF(_calc!$E$793="","",IF(_calc!$E$793&lt;=500,TRIM(IF(LEN(IF(LEN(INDEX('Dealer pipeline'!$A$4:$A$503,_calc!$E$793))=0,"",INDEX('Dealer pipeline'!$A$4:$A$503,_calc!$E$793)))=0,"","Customer: "&amp;IF(LEN(INDEX('Dealer pipeline'!$A$4:$A$503,_calc!$E$793))=0,"",INDEX('Dealer pipeline'!$A$4:$A$503,_calc!$E$793))&amp;". ")&amp;IF(LEN(IF(LEN(INDEX('Dealer pipeline'!$B$4:$B$503,_calc!$E$793))=0,"",INDEX('Dealer pipeline'!$B$4:$B$503,_calc!$E$793)))=0,"","Contact: "&amp;IF(LEN(INDEX('Dealer pipeline'!$B$4:$B$503,_calc!$E$793))=0,"",INDEX('Dealer pipeline'!$B$4:$B$503,_calc!$E$793))&amp;". ")&amp;IF(LEN(IF(LEN(INDEX('Dealer pipeline'!$D$4:$D$503,_calc!$E$793))=0,"",INDEX('Dealer pipeline'!$D$4:$D$503,_calc!$E$793)))=0,"","Serial: "&amp;IF(LEN(INDEX('Dealer pipeline'!$D$4:$D$503,_calc!$E$793))=0,"",INDEX('Dealer pipeline'!$D$4:$D$503,_calc!$E$793))&amp;". ")&amp;IF(LEN(IF(ISNUMBER(INDEX('Dealer pipeline'!$J$4:$J$503,_calc!$E$793)),TEXT(INDEX('Dealer pipeline'!$J$4:$J$503,_calc!$E$793),"yyyy-mm-dd"),""))=0,"","Parts end: "&amp;IF(ISNUMBER(INDEX('Dealer pipeline'!$J$4:$J$503,_calc!$E$793)),TEXT(INDEX('Dealer pipeline'!$J$4:$J$503,_calc!$E$793),"yyyy-mm-dd"),"")&amp;". ")&amp;IF(LEN(IF(ISNUMBER(INDEX('Dealer pipeline'!$L$4:$L$503,_calc!$E$793)),TEXT(INDEX('Dealer pipeline'!$L$4:$L$503,_calc!$E$793),"yyyy-mm-dd"),""))=0,"","Labor end: "&amp;IF(ISNUMBER(INDEX('Dealer pipeline'!$L$4:$L$503,_calc!$E$793)),TEXT(INDEX('Dealer pipeline'!$L$4:$L$503,_calc!$E$793),"yyyy-mm-dd"),"")&amp;". ")&amp;IF(LEN(IF(LEN(INDEX('Dealer pipeline'!$Q$4:$Q$503,_calc!$E$793))=0,"",INDEX('Dealer pipeline'!$Q$4:$Q$503,_calc!$E$793)))=0,"","Status: "&amp;IF(LEN(INDEX('Dealer pipeline'!$Q$4:$Q$503,_calc!$E$793))=0,"",INDEX('Dealer pipeline'!$Q$4:$Q$503,_calc!$E$793))&amp;". ")&amp;IF(LEN(IF(LEN(INDEX('Dealer pipeline'!$P$4:$P$503,_calc!$E$793))=0,"",INDEX('Dealer pipeline'!$P$4:$P$503,_calc!$E$793)))=0,"","Last touch: "&amp;IF(LEN(INDEX('Dealer pipeline'!$P$4:$P$503,_calc!$E$793))=0,"",INDEX('Dealer pipeline'!$P$4:$P$503,_calc!$E$793))&amp;". ")&amp;IF(LEN(IF(LEN(INDEX('Dealer pipeline'!$R$4:$R$503,_calc!$E$793))=0,"",INDEX('Dealer pipeline'!$R$4:$R$503,_calc!$E$793)))=0,"","Owner: "&amp;IF(LEN(INDEX('Dealer pipeline'!$R$4:$R$503,_calc!$E$793))=0,"",INDEX('Dealer pipeline'!$R$4:$R$503,_calc!$E$793))&amp;". ")&amp;IF(LEN(IF(LEN(INDEX('Dealer pipeline'!$S$4:$S$503,_calc!$E$793))=0,"",INDEX('Dealer pipeline'!$S$4:$S$503,_calc!$E$793)))=0,"","Backup: "&amp;IF(LEN(INDEX('Dealer pipeline'!$S$4:$S$503,_calc!$E$793))=0,"",INDEX('Dealer pipeline'!$S$4:$S$503,_calc!$E$793))&amp;". ")&amp;IF(LEN(IF(LEN(INDEX('Dealer pipeline'!$T$4:$T$503,_calc!$E$793))=0,"",INDEX('Dealer pipeline'!$T$4:$T$503,_calc!$E$793)))=0,"",IF(LEN(INDEX('Dealer pipeline'!$T$4:$T$503,_calc!$E$793))=0,"",INDEX('Dealer pipeline'!$T$4:$T$503,_calc!$E$793)))),TRIM(IF(LEN(IF(LEN(INDEX('My equipment'!$C$4:$C$503,(_calc!$E$793-500)))=0,"",INDEX('My equipment'!$C$4:$C$503,(_calc!$E$793-500))))=0,"","Model: "&amp;IF(LEN(INDEX('My equipment'!$C$4:$C$503,(_calc!$E$793-500)))=0,"",INDEX('My equipment'!$C$4:$C$503,(_calc!$E$793-500)))&amp;". ")&amp;IF(LEN(IF(LEN(INDEX('My equipment'!$D$4:$D$503,(_calc!$E$793-500)))=0,"",INDEX('My equipment'!$D$4:$D$503,(_calc!$E$793-500))))=0,"","Serial: "&amp;IF(LEN(INDEX('My equipment'!$D$4:$D$503,(_calc!$E$793-500)))=0,"",INDEX('My equipment'!$D$4:$D$503,(_calc!$E$793-500)))&amp;". ")&amp;IF(LEN(IF(ISNUMBER(INDEX('My equipment'!$J$4:$J$503,(_calc!$E$793-500))),TEXT(INDEX('My equipment'!$J$4:$J$503,(_calc!$E$793-500)),"yyyy-mm-dd"),""))=0,"","Parts end: "&amp;IF(ISNUMBER(INDEX('My equipment'!$J$4:$J$503,(_calc!$E$793-500))),TEXT(INDEX('My equipment'!$J$4:$J$503,(_calc!$E$793-500)),"yyyy-mm-dd"),"")&amp;". ")&amp;IF(LEN(IF(ISNUMBER(INDEX('My equipment'!$L$4:$L$503,(_calc!$E$793-500))),TEXT(INDEX('My equipment'!$L$4:$L$503,(_calc!$E$793-500)),"yyyy-mm-dd"),""))=0,"","Labor end: "&amp;IF(ISNUMBER(INDEX('My equipment'!$L$4:$L$503,(_calc!$E$793-500))),TEXT(INDEX('My equipment'!$L$4:$L$503,(_calc!$E$793-500)),"yyyy-mm-dd"),"")&amp;". ")&amp;IF(LEN(IF(ISNUMBER(INDEX('My equipment'!$P$4:$P$503,(_calc!$E$793-500))),TEXT(INDEX('My equipment'!$P$4:$P$503,(_calc!$E$793-500)),"yyyy-mm-dd"),""))=0,"","Check by: "&amp;IF(ISNUMBER(INDEX('My equipment'!$P$4:$P$503,(_calc!$E$793-500))),TEXT(INDEX('My equipment'!$P$4:$P$503,(_calc!$E$793-500)),"yyyy-mm-dd"),"")&amp;". ")&amp;IF(LEN(IF(LEN(INDEX('My equipment'!$Q$4:$Q$503,(_calc!$E$793-500)))=0,"",INDEX('My equipment'!$Q$4:$Q$503,(_calc!$E$793-500))))=0,"","Claim status: "&amp;IF(LEN(INDEX('My equipment'!$Q$4:$Q$503,(_calc!$E$793-500)))=0,"",INDEX('My equipment'!$Q$4:$Q$503,(_calc!$E$793-500)))&amp;". ")&amp;IF(LEN(IF(LEN(INDEX('My equipment'!$R$4:$R$503,(_calc!$E$793-500)))=0,"",INDEX('My equipment'!$R$4:$R$503,(_calc!$E$793-500))))=0,"","Claims contact: "&amp;IF(LEN(INDEX('My equipment'!$R$4:$R$503,(_calc!$E$793-500)))=0,"",INDEX('My equipment'!$R$4:$R$503,(_calc!$E$793-500)))&amp;". ")&amp;IF(LEN(IF(LEN(INDEX('My equipment'!$S$4:$S$503,(_calc!$E$793-500)))=0,"",INDEX('My equipment'!$S$4:$S$503,(_calc!$E$793-500))))=0,"","Claims email: "&amp;IF(LEN(INDEX('My equipment'!$S$4:$S$503,(_calc!$E$793-500)))=0,"",INDEX('My equipment'!$S$4:$S$503,(_calc!$E$793-500)))&amp;". ")&amp;IF(LEN(IF(LEN(INDEX('My equipment'!$U$4:$U$503,(_calc!$E$793-500)))=0,"",INDEX('My equipment'!$U$4:$U$503,(_calc!$E$793-500))))=0,"","Registered: "&amp;IF(LEN(INDEX('My equipment'!$U$4:$U$503,(_calc!$E$793-500)))=0,"",INDEX('My equipment'!$U$4:$U$503,(_calc!$E$793-500)))&amp;". ")&amp;IF(LEN(IF(LEN(INDEX('My equipment'!$V$4:$V$503,(_calc!$E$793-500)))=0,"",INDEX('My equipment'!$V$4:$V$503,(_calc!$E$793-500))))=0,"","Proof on file: "&amp;IF(LEN(INDEX('My equipment'!$V$4:$V$503,(_calc!$E$793-500)))=0,"",INDEX('My equipment'!$V$4:$V$503,(_calc!$E$793-500)))&amp;". ")&amp;IF(LEN(IF(LEN(INDEX('My equipment'!$W$4:$W$503,(_calc!$E$793-500)))=0,"",INDEX('My equipment'!$W$4:$W$503,(_calc!$E$793-500))))=0,"","Claim ref: "&amp;IF(LEN(INDEX('My equipment'!$W$4:$W$503,(_calc!$E$793-500)))=0,"",INDEX('My equipment'!$W$4:$W$503,(_calc!$E$793-500)))&amp;". ")&amp;IF(LEN(IF(LEN(INDEX('My equipment'!$Y$4:$Y$503,(_calc!$E$793-500)))=0,"",INDEX('My equipment'!$Y$4:$Y$503,(_calc!$E$793-500))))=0,"",IF(LEN(INDEX('My equipment'!$Y$4:$Y$503,(_calc!$E$793-500)))=0,"",INDEX('My equipment'!$Y$4:$Y$503,(_calc!$E$793-500)))))))</f>
        <v/>
      </c>
      <c r="G791" s="54">
        <f>IF(_calc!$E$793="","",IF(_calc!$E$793&lt;=500,"",IF(LEN(INDEX('My equipment'!$X$4:$X$503,(_calc!$E$793-500)))=0,"",INDEX('My equipment'!$X$4:$X$503,(_calc!$E$793-500)))))</f>
        <v/>
      </c>
      <c r="K791" s="54">
        <f>IF(_calc!$E$793="","",IF(_calc!$E$793&lt;=500,"",IF(LEN(INDEX('My equipment'!$T$4:$T$503,(_calc!$E$793-500)))=0,"",INDEX('My equipment'!$T$4:$T$503,(_calc!$E$793-500)))))</f>
        <v/>
      </c>
    </row>
    <row r="792">
      <c r="A792" s="54">
        <f>IF(_calc!$E$794="","",IF(_calc!$E$794&lt;=500,"Warranty – "&amp;IF(LEN(INDEX('Dealer pipeline'!$C$4:$C$503,_calc!$E$794))=0,"",INDEX('Dealer pipeline'!$C$4:$C$503,_calc!$E$794))&amp;" – "&amp;IF(LEN(INDEX('Dealer pipeline'!$D$4:$D$503,_calc!$E$794))=0,"",INDEX('Dealer pipeline'!$D$4:$D$503,_calc!$E$794))&amp;" – "&amp;IF(LEN(INDEX('Dealer pipeline'!$A$4:$A$503,_calc!$E$794))=0,"",INDEX('Dealer pipeline'!$A$4:$A$503,_calc!$E$794)),"Warranty – "&amp;IF(LEN(INDEX('My equipment'!$A$4:$A$503,(_calc!$E$794-500)))=0,"",INDEX('My equipment'!$A$4:$A$503,(_calc!$E$794-500)))&amp;" – "&amp;IF(LEN(INDEX('My equipment'!$D$4:$D$503,(_calc!$E$794-500)))=0,"",INDEX('My equipment'!$D$4:$D$503,(_calc!$E$794-500)))))</f>
        <v/>
      </c>
      <c r="B792" s="54">
        <f>IF(_calc!$E$794="","",IF(_calc!$E$794&lt;=500,IF(ISNUMBER(INDEX('Dealer pipeline'!$M$4:$M$503,_calc!$E$794)),TEXT(INDEX('Dealer pipeline'!$M$4:$M$503,_calc!$E$794),"yyyy-mm-dd"),""),IF(ISNUMBER(INDEX('My equipment'!$M$4:$M$503,(_calc!$E$794-500))),TEXT(INDEX('My equipment'!$M$4:$M$503,(_calc!$E$794-500)),"yyyy-mm-dd"),"")))</f>
        <v/>
      </c>
      <c r="C792" s="54">
        <f>IF(_calc!$E$794="","",IF(_calc!$E$794&lt;=500,"Warranty","Warranty"))</f>
        <v/>
      </c>
      <c r="D792" s="54">
        <f>IF(_calc!$E$794="","",IF(_calc!$E$794&lt;=500,IF(ISNUMBER(INDEX('Dealer pipeline'!$H$4:$H$503,_calc!$E$794)),TEXT(INDEX('Dealer pipeline'!$H$4:$H$503,_calc!$E$794),"yyyy-mm-dd"),""),IF(ISNUMBER(INDEX('My equipment'!$H$4:$H$503,(_calc!$E$794-500))),TEXT(INDEX('My equipment'!$H$4:$H$503,(_calc!$E$794-500)),"yyyy-mm-dd"),"")))</f>
        <v/>
      </c>
      <c r="F792" s="54">
        <f>IF(_calc!$E$794="","",IF(_calc!$E$794&lt;=500,TRIM(IF(LEN(IF(LEN(INDEX('Dealer pipeline'!$A$4:$A$503,_calc!$E$794))=0,"",INDEX('Dealer pipeline'!$A$4:$A$503,_calc!$E$794)))=0,"","Customer: "&amp;IF(LEN(INDEX('Dealer pipeline'!$A$4:$A$503,_calc!$E$794))=0,"",INDEX('Dealer pipeline'!$A$4:$A$503,_calc!$E$794))&amp;". ")&amp;IF(LEN(IF(LEN(INDEX('Dealer pipeline'!$B$4:$B$503,_calc!$E$794))=0,"",INDEX('Dealer pipeline'!$B$4:$B$503,_calc!$E$794)))=0,"","Contact: "&amp;IF(LEN(INDEX('Dealer pipeline'!$B$4:$B$503,_calc!$E$794))=0,"",INDEX('Dealer pipeline'!$B$4:$B$503,_calc!$E$794))&amp;". ")&amp;IF(LEN(IF(LEN(INDEX('Dealer pipeline'!$D$4:$D$503,_calc!$E$794))=0,"",INDEX('Dealer pipeline'!$D$4:$D$503,_calc!$E$794)))=0,"","Serial: "&amp;IF(LEN(INDEX('Dealer pipeline'!$D$4:$D$503,_calc!$E$794))=0,"",INDEX('Dealer pipeline'!$D$4:$D$503,_calc!$E$794))&amp;". ")&amp;IF(LEN(IF(ISNUMBER(INDEX('Dealer pipeline'!$J$4:$J$503,_calc!$E$794)),TEXT(INDEX('Dealer pipeline'!$J$4:$J$503,_calc!$E$794),"yyyy-mm-dd"),""))=0,"","Parts end: "&amp;IF(ISNUMBER(INDEX('Dealer pipeline'!$J$4:$J$503,_calc!$E$794)),TEXT(INDEX('Dealer pipeline'!$J$4:$J$503,_calc!$E$794),"yyyy-mm-dd"),"")&amp;". ")&amp;IF(LEN(IF(ISNUMBER(INDEX('Dealer pipeline'!$L$4:$L$503,_calc!$E$794)),TEXT(INDEX('Dealer pipeline'!$L$4:$L$503,_calc!$E$794),"yyyy-mm-dd"),""))=0,"","Labor end: "&amp;IF(ISNUMBER(INDEX('Dealer pipeline'!$L$4:$L$503,_calc!$E$794)),TEXT(INDEX('Dealer pipeline'!$L$4:$L$503,_calc!$E$794),"yyyy-mm-dd"),"")&amp;". ")&amp;IF(LEN(IF(LEN(INDEX('Dealer pipeline'!$Q$4:$Q$503,_calc!$E$794))=0,"",INDEX('Dealer pipeline'!$Q$4:$Q$503,_calc!$E$794)))=0,"","Status: "&amp;IF(LEN(INDEX('Dealer pipeline'!$Q$4:$Q$503,_calc!$E$794))=0,"",INDEX('Dealer pipeline'!$Q$4:$Q$503,_calc!$E$794))&amp;". ")&amp;IF(LEN(IF(LEN(INDEX('Dealer pipeline'!$P$4:$P$503,_calc!$E$794))=0,"",INDEX('Dealer pipeline'!$P$4:$P$503,_calc!$E$794)))=0,"","Last touch: "&amp;IF(LEN(INDEX('Dealer pipeline'!$P$4:$P$503,_calc!$E$794))=0,"",INDEX('Dealer pipeline'!$P$4:$P$503,_calc!$E$794))&amp;". ")&amp;IF(LEN(IF(LEN(INDEX('Dealer pipeline'!$R$4:$R$503,_calc!$E$794))=0,"",INDEX('Dealer pipeline'!$R$4:$R$503,_calc!$E$794)))=0,"","Owner: "&amp;IF(LEN(INDEX('Dealer pipeline'!$R$4:$R$503,_calc!$E$794))=0,"",INDEX('Dealer pipeline'!$R$4:$R$503,_calc!$E$794))&amp;". ")&amp;IF(LEN(IF(LEN(INDEX('Dealer pipeline'!$S$4:$S$503,_calc!$E$794))=0,"",INDEX('Dealer pipeline'!$S$4:$S$503,_calc!$E$794)))=0,"","Backup: "&amp;IF(LEN(INDEX('Dealer pipeline'!$S$4:$S$503,_calc!$E$794))=0,"",INDEX('Dealer pipeline'!$S$4:$S$503,_calc!$E$794))&amp;". ")&amp;IF(LEN(IF(LEN(INDEX('Dealer pipeline'!$T$4:$T$503,_calc!$E$794))=0,"",INDEX('Dealer pipeline'!$T$4:$T$503,_calc!$E$794)))=0,"",IF(LEN(INDEX('Dealer pipeline'!$T$4:$T$503,_calc!$E$794))=0,"",INDEX('Dealer pipeline'!$T$4:$T$503,_calc!$E$794)))),TRIM(IF(LEN(IF(LEN(INDEX('My equipment'!$C$4:$C$503,(_calc!$E$794-500)))=0,"",INDEX('My equipment'!$C$4:$C$503,(_calc!$E$794-500))))=0,"","Model: "&amp;IF(LEN(INDEX('My equipment'!$C$4:$C$503,(_calc!$E$794-500)))=0,"",INDEX('My equipment'!$C$4:$C$503,(_calc!$E$794-500)))&amp;". ")&amp;IF(LEN(IF(LEN(INDEX('My equipment'!$D$4:$D$503,(_calc!$E$794-500)))=0,"",INDEX('My equipment'!$D$4:$D$503,(_calc!$E$794-500))))=0,"","Serial: "&amp;IF(LEN(INDEX('My equipment'!$D$4:$D$503,(_calc!$E$794-500)))=0,"",INDEX('My equipment'!$D$4:$D$503,(_calc!$E$794-500)))&amp;". ")&amp;IF(LEN(IF(ISNUMBER(INDEX('My equipment'!$J$4:$J$503,(_calc!$E$794-500))),TEXT(INDEX('My equipment'!$J$4:$J$503,(_calc!$E$794-500)),"yyyy-mm-dd"),""))=0,"","Parts end: "&amp;IF(ISNUMBER(INDEX('My equipment'!$J$4:$J$503,(_calc!$E$794-500))),TEXT(INDEX('My equipment'!$J$4:$J$503,(_calc!$E$794-500)),"yyyy-mm-dd"),"")&amp;". ")&amp;IF(LEN(IF(ISNUMBER(INDEX('My equipment'!$L$4:$L$503,(_calc!$E$794-500))),TEXT(INDEX('My equipment'!$L$4:$L$503,(_calc!$E$794-500)),"yyyy-mm-dd"),""))=0,"","Labor end: "&amp;IF(ISNUMBER(INDEX('My equipment'!$L$4:$L$503,(_calc!$E$794-500))),TEXT(INDEX('My equipment'!$L$4:$L$503,(_calc!$E$794-500)),"yyyy-mm-dd"),"")&amp;". ")&amp;IF(LEN(IF(ISNUMBER(INDEX('My equipment'!$P$4:$P$503,(_calc!$E$794-500))),TEXT(INDEX('My equipment'!$P$4:$P$503,(_calc!$E$794-500)),"yyyy-mm-dd"),""))=0,"","Check by: "&amp;IF(ISNUMBER(INDEX('My equipment'!$P$4:$P$503,(_calc!$E$794-500))),TEXT(INDEX('My equipment'!$P$4:$P$503,(_calc!$E$794-500)),"yyyy-mm-dd"),"")&amp;". ")&amp;IF(LEN(IF(LEN(INDEX('My equipment'!$Q$4:$Q$503,(_calc!$E$794-500)))=0,"",INDEX('My equipment'!$Q$4:$Q$503,(_calc!$E$794-500))))=0,"","Claim status: "&amp;IF(LEN(INDEX('My equipment'!$Q$4:$Q$503,(_calc!$E$794-500)))=0,"",INDEX('My equipment'!$Q$4:$Q$503,(_calc!$E$794-500)))&amp;". ")&amp;IF(LEN(IF(LEN(INDEX('My equipment'!$R$4:$R$503,(_calc!$E$794-500)))=0,"",INDEX('My equipment'!$R$4:$R$503,(_calc!$E$794-500))))=0,"","Claims contact: "&amp;IF(LEN(INDEX('My equipment'!$R$4:$R$503,(_calc!$E$794-500)))=0,"",INDEX('My equipment'!$R$4:$R$503,(_calc!$E$794-500)))&amp;". ")&amp;IF(LEN(IF(LEN(INDEX('My equipment'!$S$4:$S$503,(_calc!$E$794-500)))=0,"",INDEX('My equipment'!$S$4:$S$503,(_calc!$E$794-500))))=0,"","Claims email: "&amp;IF(LEN(INDEX('My equipment'!$S$4:$S$503,(_calc!$E$794-500)))=0,"",INDEX('My equipment'!$S$4:$S$503,(_calc!$E$794-500)))&amp;". ")&amp;IF(LEN(IF(LEN(INDEX('My equipment'!$U$4:$U$503,(_calc!$E$794-500)))=0,"",INDEX('My equipment'!$U$4:$U$503,(_calc!$E$794-500))))=0,"","Registered: "&amp;IF(LEN(INDEX('My equipment'!$U$4:$U$503,(_calc!$E$794-500)))=0,"",INDEX('My equipment'!$U$4:$U$503,(_calc!$E$794-500)))&amp;". ")&amp;IF(LEN(IF(LEN(INDEX('My equipment'!$V$4:$V$503,(_calc!$E$794-500)))=0,"",INDEX('My equipment'!$V$4:$V$503,(_calc!$E$794-500))))=0,"","Proof on file: "&amp;IF(LEN(INDEX('My equipment'!$V$4:$V$503,(_calc!$E$794-500)))=0,"",INDEX('My equipment'!$V$4:$V$503,(_calc!$E$794-500)))&amp;". ")&amp;IF(LEN(IF(LEN(INDEX('My equipment'!$W$4:$W$503,(_calc!$E$794-500)))=0,"",INDEX('My equipment'!$W$4:$W$503,(_calc!$E$794-500))))=0,"","Claim ref: "&amp;IF(LEN(INDEX('My equipment'!$W$4:$W$503,(_calc!$E$794-500)))=0,"",INDEX('My equipment'!$W$4:$W$503,(_calc!$E$794-500)))&amp;". ")&amp;IF(LEN(IF(LEN(INDEX('My equipment'!$Y$4:$Y$503,(_calc!$E$794-500)))=0,"",INDEX('My equipment'!$Y$4:$Y$503,(_calc!$E$794-500))))=0,"",IF(LEN(INDEX('My equipment'!$Y$4:$Y$503,(_calc!$E$794-500)))=0,"",INDEX('My equipment'!$Y$4:$Y$503,(_calc!$E$794-500)))))))</f>
        <v/>
      </c>
      <c r="G792" s="54">
        <f>IF(_calc!$E$794="","",IF(_calc!$E$794&lt;=500,"",IF(LEN(INDEX('My equipment'!$X$4:$X$503,(_calc!$E$794-500)))=0,"",INDEX('My equipment'!$X$4:$X$503,(_calc!$E$794-500)))))</f>
        <v/>
      </c>
      <c r="K792" s="54">
        <f>IF(_calc!$E$794="","",IF(_calc!$E$794&lt;=500,"",IF(LEN(INDEX('My equipment'!$T$4:$T$503,(_calc!$E$794-500)))=0,"",INDEX('My equipment'!$T$4:$T$503,(_calc!$E$794-500)))))</f>
        <v/>
      </c>
    </row>
    <row r="793">
      <c r="A793" s="54">
        <f>IF(_calc!$E$795="","",IF(_calc!$E$795&lt;=500,"Warranty – "&amp;IF(LEN(INDEX('Dealer pipeline'!$C$4:$C$503,_calc!$E$795))=0,"",INDEX('Dealer pipeline'!$C$4:$C$503,_calc!$E$795))&amp;" – "&amp;IF(LEN(INDEX('Dealer pipeline'!$D$4:$D$503,_calc!$E$795))=0,"",INDEX('Dealer pipeline'!$D$4:$D$503,_calc!$E$795))&amp;" – "&amp;IF(LEN(INDEX('Dealer pipeline'!$A$4:$A$503,_calc!$E$795))=0,"",INDEX('Dealer pipeline'!$A$4:$A$503,_calc!$E$795)),"Warranty – "&amp;IF(LEN(INDEX('My equipment'!$A$4:$A$503,(_calc!$E$795-500)))=0,"",INDEX('My equipment'!$A$4:$A$503,(_calc!$E$795-500)))&amp;" – "&amp;IF(LEN(INDEX('My equipment'!$D$4:$D$503,(_calc!$E$795-500)))=0,"",INDEX('My equipment'!$D$4:$D$503,(_calc!$E$795-500)))))</f>
        <v/>
      </c>
      <c r="B793" s="54">
        <f>IF(_calc!$E$795="","",IF(_calc!$E$795&lt;=500,IF(ISNUMBER(INDEX('Dealer pipeline'!$M$4:$M$503,_calc!$E$795)),TEXT(INDEX('Dealer pipeline'!$M$4:$M$503,_calc!$E$795),"yyyy-mm-dd"),""),IF(ISNUMBER(INDEX('My equipment'!$M$4:$M$503,(_calc!$E$795-500))),TEXT(INDEX('My equipment'!$M$4:$M$503,(_calc!$E$795-500)),"yyyy-mm-dd"),"")))</f>
        <v/>
      </c>
      <c r="C793" s="54">
        <f>IF(_calc!$E$795="","",IF(_calc!$E$795&lt;=500,"Warranty","Warranty"))</f>
        <v/>
      </c>
      <c r="D793" s="54">
        <f>IF(_calc!$E$795="","",IF(_calc!$E$795&lt;=500,IF(ISNUMBER(INDEX('Dealer pipeline'!$H$4:$H$503,_calc!$E$795)),TEXT(INDEX('Dealer pipeline'!$H$4:$H$503,_calc!$E$795),"yyyy-mm-dd"),""),IF(ISNUMBER(INDEX('My equipment'!$H$4:$H$503,(_calc!$E$795-500))),TEXT(INDEX('My equipment'!$H$4:$H$503,(_calc!$E$795-500)),"yyyy-mm-dd"),"")))</f>
        <v/>
      </c>
      <c r="F793" s="54">
        <f>IF(_calc!$E$795="","",IF(_calc!$E$795&lt;=500,TRIM(IF(LEN(IF(LEN(INDEX('Dealer pipeline'!$A$4:$A$503,_calc!$E$795))=0,"",INDEX('Dealer pipeline'!$A$4:$A$503,_calc!$E$795)))=0,"","Customer: "&amp;IF(LEN(INDEX('Dealer pipeline'!$A$4:$A$503,_calc!$E$795))=0,"",INDEX('Dealer pipeline'!$A$4:$A$503,_calc!$E$795))&amp;". ")&amp;IF(LEN(IF(LEN(INDEX('Dealer pipeline'!$B$4:$B$503,_calc!$E$795))=0,"",INDEX('Dealer pipeline'!$B$4:$B$503,_calc!$E$795)))=0,"","Contact: "&amp;IF(LEN(INDEX('Dealer pipeline'!$B$4:$B$503,_calc!$E$795))=0,"",INDEX('Dealer pipeline'!$B$4:$B$503,_calc!$E$795))&amp;". ")&amp;IF(LEN(IF(LEN(INDEX('Dealer pipeline'!$D$4:$D$503,_calc!$E$795))=0,"",INDEX('Dealer pipeline'!$D$4:$D$503,_calc!$E$795)))=0,"","Serial: "&amp;IF(LEN(INDEX('Dealer pipeline'!$D$4:$D$503,_calc!$E$795))=0,"",INDEX('Dealer pipeline'!$D$4:$D$503,_calc!$E$795))&amp;". ")&amp;IF(LEN(IF(ISNUMBER(INDEX('Dealer pipeline'!$J$4:$J$503,_calc!$E$795)),TEXT(INDEX('Dealer pipeline'!$J$4:$J$503,_calc!$E$795),"yyyy-mm-dd"),""))=0,"","Parts end: "&amp;IF(ISNUMBER(INDEX('Dealer pipeline'!$J$4:$J$503,_calc!$E$795)),TEXT(INDEX('Dealer pipeline'!$J$4:$J$503,_calc!$E$795),"yyyy-mm-dd"),"")&amp;". ")&amp;IF(LEN(IF(ISNUMBER(INDEX('Dealer pipeline'!$L$4:$L$503,_calc!$E$795)),TEXT(INDEX('Dealer pipeline'!$L$4:$L$503,_calc!$E$795),"yyyy-mm-dd"),""))=0,"","Labor end: "&amp;IF(ISNUMBER(INDEX('Dealer pipeline'!$L$4:$L$503,_calc!$E$795)),TEXT(INDEX('Dealer pipeline'!$L$4:$L$503,_calc!$E$795),"yyyy-mm-dd"),"")&amp;". ")&amp;IF(LEN(IF(LEN(INDEX('Dealer pipeline'!$Q$4:$Q$503,_calc!$E$795))=0,"",INDEX('Dealer pipeline'!$Q$4:$Q$503,_calc!$E$795)))=0,"","Status: "&amp;IF(LEN(INDEX('Dealer pipeline'!$Q$4:$Q$503,_calc!$E$795))=0,"",INDEX('Dealer pipeline'!$Q$4:$Q$503,_calc!$E$795))&amp;". ")&amp;IF(LEN(IF(LEN(INDEX('Dealer pipeline'!$P$4:$P$503,_calc!$E$795))=0,"",INDEX('Dealer pipeline'!$P$4:$P$503,_calc!$E$795)))=0,"","Last touch: "&amp;IF(LEN(INDEX('Dealer pipeline'!$P$4:$P$503,_calc!$E$795))=0,"",INDEX('Dealer pipeline'!$P$4:$P$503,_calc!$E$795))&amp;". ")&amp;IF(LEN(IF(LEN(INDEX('Dealer pipeline'!$R$4:$R$503,_calc!$E$795))=0,"",INDEX('Dealer pipeline'!$R$4:$R$503,_calc!$E$795)))=0,"","Owner: "&amp;IF(LEN(INDEX('Dealer pipeline'!$R$4:$R$503,_calc!$E$795))=0,"",INDEX('Dealer pipeline'!$R$4:$R$503,_calc!$E$795))&amp;". ")&amp;IF(LEN(IF(LEN(INDEX('Dealer pipeline'!$S$4:$S$503,_calc!$E$795))=0,"",INDEX('Dealer pipeline'!$S$4:$S$503,_calc!$E$795)))=0,"","Backup: "&amp;IF(LEN(INDEX('Dealer pipeline'!$S$4:$S$503,_calc!$E$795))=0,"",INDEX('Dealer pipeline'!$S$4:$S$503,_calc!$E$795))&amp;". ")&amp;IF(LEN(IF(LEN(INDEX('Dealer pipeline'!$T$4:$T$503,_calc!$E$795))=0,"",INDEX('Dealer pipeline'!$T$4:$T$503,_calc!$E$795)))=0,"",IF(LEN(INDEX('Dealer pipeline'!$T$4:$T$503,_calc!$E$795))=0,"",INDEX('Dealer pipeline'!$T$4:$T$503,_calc!$E$795)))),TRIM(IF(LEN(IF(LEN(INDEX('My equipment'!$C$4:$C$503,(_calc!$E$795-500)))=0,"",INDEX('My equipment'!$C$4:$C$503,(_calc!$E$795-500))))=0,"","Model: "&amp;IF(LEN(INDEX('My equipment'!$C$4:$C$503,(_calc!$E$795-500)))=0,"",INDEX('My equipment'!$C$4:$C$503,(_calc!$E$795-500)))&amp;". ")&amp;IF(LEN(IF(LEN(INDEX('My equipment'!$D$4:$D$503,(_calc!$E$795-500)))=0,"",INDEX('My equipment'!$D$4:$D$503,(_calc!$E$795-500))))=0,"","Serial: "&amp;IF(LEN(INDEX('My equipment'!$D$4:$D$503,(_calc!$E$795-500)))=0,"",INDEX('My equipment'!$D$4:$D$503,(_calc!$E$795-500)))&amp;". ")&amp;IF(LEN(IF(ISNUMBER(INDEX('My equipment'!$J$4:$J$503,(_calc!$E$795-500))),TEXT(INDEX('My equipment'!$J$4:$J$503,(_calc!$E$795-500)),"yyyy-mm-dd"),""))=0,"","Parts end: "&amp;IF(ISNUMBER(INDEX('My equipment'!$J$4:$J$503,(_calc!$E$795-500))),TEXT(INDEX('My equipment'!$J$4:$J$503,(_calc!$E$795-500)),"yyyy-mm-dd"),"")&amp;". ")&amp;IF(LEN(IF(ISNUMBER(INDEX('My equipment'!$L$4:$L$503,(_calc!$E$795-500))),TEXT(INDEX('My equipment'!$L$4:$L$503,(_calc!$E$795-500)),"yyyy-mm-dd"),""))=0,"","Labor end: "&amp;IF(ISNUMBER(INDEX('My equipment'!$L$4:$L$503,(_calc!$E$795-500))),TEXT(INDEX('My equipment'!$L$4:$L$503,(_calc!$E$795-500)),"yyyy-mm-dd"),"")&amp;". ")&amp;IF(LEN(IF(ISNUMBER(INDEX('My equipment'!$P$4:$P$503,(_calc!$E$795-500))),TEXT(INDEX('My equipment'!$P$4:$P$503,(_calc!$E$795-500)),"yyyy-mm-dd"),""))=0,"","Check by: "&amp;IF(ISNUMBER(INDEX('My equipment'!$P$4:$P$503,(_calc!$E$795-500))),TEXT(INDEX('My equipment'!$P$4:$P$503,(_calc!$E$795-500)),"yyyy-mm-dd"),"")&amp;". ")&amp;IF(LEN(IF(LEN(INDEX('My equipment'!$Q$4:$Q$503,(_calc!$E$795-500)))=0,"",INDEX('My equipment'!$Q$4:$Q$503,(_calc!$E$795-500))))=0,"","Claim status: "&amp;IF(LEN(INDEX('My equipment'!$Q$4:$Q$503,(_calc!$E$795-500)))=0,"",INDEX('My equipment'!$Q$4:$Q$503,(_calc!$E$795-500)))&amp;". ")&amp;IF(LEN(IF(LEN(INDEX('My equipment'!$R$4:$R$503,(_calc!$E$795-500)))=0,"",INDEX('My equipment'!$R$4:$R$503,(_calc!$E$795-500))))=0,"","Claims contact: "&amp;IF(LEN(INDEX('My equipment'!$R$4:$R$503,(_calc!$E$795-500)))=0,"",INDEX('My equipment'!$R$4:$R$503,(_calc!$E$795-500)))&amp;". ")&amp;IF(LEN(IF(LEN(INDEX('My equipment'!$S$4:$S$503,(_calc!$E$795-500)))=0,"",INDEX('My equipment'!$S$4:$S$503,(_calc!$E$795-500))))=0,"","Claims email: "&amp;IF(LEN(INDEX('My equipment'!$S$4:$S$503,(_calc!$E$795-500)))=0,"",INDEX('My equipment'!$S$4:$S$503,(_calc!$E$795-500)))&amp;". ")&amp;IF(LEN(IF(LEN(INDEX('My equipment'!$U$4:$U$503,(_calc!$E$795-500)))=0,"",INDEX('My equipment'!$U$4:$U$503,(_calc!$E$795-500))))=0,"","Registered: "&amp;IF(LEN(INDEX('My equipment'!$U$4:$U$503,(_calc!$E$795-500)))=0,"",INDEX('My equipment'!$U$4:$U$503,(_calc!$E$795-500)))&amp;". ")&amp;IF(LEN(IF(LEN(INDEX('My equipment'!$V$4:$V$503,(_calc!$E$795-500)))=0,"",INDEX('My equipment'!$V$4:$V$503,(_calc!$E$795-500))))=0,"","Proof on file: "&amp;IF(LEN(INDEX('My equipment'!$V$4:$V$503,(_calc!$E$795-500)))=0,"",INDEX('My equipment'!$V$4:$V$503,(_calc!$E$795-500)))&amp;". ")&amp;IF(LEN(IF(LEN(INDEX('My equipment'!$W$4:$W$503,(_calc!$E$795-500)))=0,"",INDEX('My equipment'!$W$4:$W$503,(_calc!$E$795-500))))=0,"","Claim ref: "&amp;IF(LEN(INDEX('My equipment'!$W$4:$W$503,(_calc!$E$795-500)))=0,"",INDEX('My equipment'!$W$4:$W$503,(_calc!$E$795-500)))&amp;". ")&amp;IF(LEN(IF(LEN(INDEX('My equipment'!$Y$4:$Y$503,(_calc!$E$795-500)))=0,"",INDEX('My equipment'!$Y$4:$Y$503,(_calc!$E$795-500))))=0,"",IF(LEN(INDEX('My equipment'!$Y$4:$Y$503,(_calc!$E$795-500)))=0,"",INDEX('My equipment'!$Y$4:$Y$503,(_calc!$E$795-500)))))))</f>
        <v/>
      </c>
      <c r="G793" s="54">
        <f>IF(_calc!$E$795="","",IF(_calc!$E$795&lt;=500,"",IF(LEN(INDEX('My equipment'!$X$4:$X$503,(_calc!$E$795-500)))=0,"",INDEX('My equipment'!$X$4:$X$503,(_calc!$E$795-500)))))</f>
        <v/>
      </c>
      <c r="K793" s="54">
        <f>IF(_calc!$E$795="","",IF(_calc!$E$795&lt;=500,"",IF(LEN(INDEX('My equipment'!$T$4:$T$503,(_calc!$E$795-500)))=0,"",INDEX('My equipment'!$T$4:$T$503,(_calc!$E$795-500)))))</f>
        <v/>
      </c>
    </row>
    <row r="794">
      <c r="A794" s="54">
        <f>IF(_calc!$E$796="","",IF(_calc!$E$796&lt;=500,"Warranty – "&amp;IF(LEN(INDEX('Dealer pipeline'!$C$4:$C$503,_calc!$E$796))=0,"",INDEX('Dealer pipeline'!$C$4:$C$503,_calc!$E$796))&amp;" – "&amp;IF(LEN(INDEX('Dealer pipeline'!$D$4:$D$503,_calc!$E$796))=0,"",INDEX('Dealer pipeline'!$D$4:$D$503,_calc!$E$796))&amp;" – "&amp;IF(LEN(INDEX('Dealer pipeline'!$A$4:$A$503,_calc!$E$796))=0,"",INDEX('Dealer pipeline'!$A$4:$A$503,_calc!$E$796)),"Warranty – "&amp;IF(LEN(INDEX('My equipment'!$A$4:$A$503,(_calc!$E$796-500)))=0,"",INDEX('My equipment'!$A$4:$A$503,(_calc!$E$796-500)))&amp;" – "&amp;IF(LEN(INDEX('My equipment'!$D$4:$D$503,(_calc!$E$796-500)))=0,"",INDEX('My equipment'!$D$4:$D$503,(_calc!$E$796-500)))))</f>
        <v/>
      </c>
      <c r="B794" s="54">
        <f>IF(_calc!$E$796="","",IF(_calc!$E$796&lt;=500,IF(ISNUMBER(INDEX('Dealer pipeline'!$M$4:$M$503,_calc!$E$796)),TEXT(INDEX('Dealer pipeline'!$M$4:$M$503,_calc!$E$796),"yyyy-mm-dd"),""),IF(ISNUMBER(INDEX('My equipment'!$M$4:$M$503,(_calc!$E$796-500))),TEXT(INDEX('My equipment'!$M$4:$M$503,(_calc!$E$796-500)),"yyyy-mm-dd"),"")))</f>
        <v/>
      </c>
      <c r="C794" s="54">
        <f>IF(_calc!$E$796="","",IF(_calc!$E$796&lt;=500,"Warranty","Warranty"))</f>
        <v/>
      </c>
      <c r="D794" s="54">
        <f>IF(_calc!$E$796="","",IF(_calc!$E$796&lt;=500,IF(ISNUMBER(INDEX('Dealer pipeline'!$H$4:$H$503,_calc!$E$796)),TEXT(INDEX('Dealer pipeline'!$H$4:$H$503,_calc!$E$796),"yyyy-mm-dd"),""),IF(ISNUMBER(INDEX('My equipment'!$H$4:$H$503,(_calc!$E$796-500))),TEXT(INDEX('My equipment'!$H$4:$H$503,(_calc!$E$796-500)),"yyyy-mm-dd"),"")))</f>
        <v/>
      </c>
      <c r="F794" s="54">
        <f>IF(_calc!$E$796="","",IF(_calc!$E$796&lt;=500,TRIM(IF(LEN(IF(LEN(INDEX('Dealer pipeline'!$A$4:$A$503,_calc!$E$796))=0,"",INDEX('Dealer pipeline'!$A$4:$A$503,_calc!$E$796)))=0,"","Customer: "&amp;IF(LEN(INDEX('Dealer pipeline'!$A$4:$A$503,_calc!$E$796))=0,"",INDEX('Dealer pipeline'!$A$4:$A$503,_calc!$E$796))&amp;". ")&amp;IF(LEN(IF(LEN(INDEX('Dealer pipeline'!$B$4:$B$503,_calc!$E$796))=0,"",INDEX('Dealer pipeline'!$B$4:$B$503,_calc!$E$796)))=0,"","Contact: "&amp;IF(LEN(INDEX('Dealer pipeline'!$B$4:$B$503,_calc!$E$796))=0,"",INDEX('Dealer pipeline'!$B$4:$B$503,_calc!$E$796))&amp;". ")&amp;IF(LEN(IF(LEN(INDEX('Dealer pipeline'!$D$4:$D$503,_calc!$E$796))=0,"",INDEX('Dealer pipeline'!$D$4:$D$503,_calc!$E$796)))=0,"","Serial: "&amp;IF(LEN(INDEX('Dealer pipeline'!$D$4:$D$503,_calc!$E$796))=0,"",INDEX('Dealer pipeline'!$D$4:$D$503,_calc!$E$796))&amp;". ")&amp;IF(LEN(IF(ISNUMBER(INDEX('Dealer pipeline'!$J$4:$J$503,_calc!$E$796)),TEXT(INDEX('Dealer pipeline'!$J$4:$J$503,_calc!$E$796),"yyyy-mm-dd"),""))=0,"","Parts end: "&amp;IF(ISNUMBER(INDEX('Dealer pipeline'!$J$4:$J$503,_calc!$E$796)),TEXT(INDEX('Dealer pipeline'!$J$4:$J$503,_calc!$E$796),"yyyy-mm-dd"),"")&amp;". ")&amp;IF(LEN(IF(ISNUMBER(INDEX('Dealer pipeline'!$L$4:$L$503,_calc!$E$796)),TEXT(INDEX('Dealer pipeline'!$L$4:$L$503,_calc!$E$796),"yyyy-mm-dd"),""))=0,"","Labor end: "&amp;IF(ISNUMBER(INDEX('Dealer pipeline'!$L$4:$L$503,_calc!$E$796)),TEXT(INDEX('Dealer pipeline'!$L$4:$L$503,_calc!$E$796),"yyyy-mm-dd"),"")&amp;". ")&amp;IF(LEN(IF(LEN(INDEX('Dealer pipeline'!$Q$4:$Q$503,_calc!$E$796))=0,"",INDEX('Dealer pipeline'!$Q$4:$Q$503,_calc!$E$796)))=0,"","Status: "&amp;IF(LEN(INDEX('Dealer pipeline'!$Q$4:$Q$503,_calc!$E$796))=0,"",INDEX('Dealer pipeline'!$Q$4:$Q$503,_calc!$E$796))&amp;". ")&amp;IF(LEN(IF(LEN(INDEX('Dealer pipeline'!$P$4:$P$503,_calc!$E$796))=0,"",INDEX('Dealer pipeline'!$P$4:$P$503,_calc!$E$796)))=0,"","Last touch: "&amp;IF(LEN(INDEX('Dealer pipeline'!$P$4:$P$503,_calc!$E$796))=0,"",INDEX('Dealer pipeline'!$P$4:$P$503,_calc!$E$796))&amp;". ")&amp;IF(LEN(IF(LEN(INDEX('Dealer pipeline'!$R$4:$R$503,_calc!$E$796))=0,"",INDEX('Dealer pipeline'!$R$4:$R$503,_calc!$E$796)))=0,"","Owner: "&amp;IF(LEN(INDEX('Dealer pipeline'!$R$4:$R$503,_calc!$E$796))=0,"",INDEX('Dealer pipeline'!$R$4:$R$503,_calc!$E$796))&amp;". ")&amp;IF(LEN(IF(LEN(INDEX('Dealer pipeline'!$S$4:$S$503,_calc!$E$796))=0,"",INDEX('Dealer pipeline'!$S$4:$S$503,_calc!$E$796)))=0,"","Backup: "&amp;IF(LEN(INDEX('Dealer pipeline'!$S$4:$S$503,_calc!$E$796))=0,"",INDEX('Dealer pipeline'!$S$4:$S$503,_calc!$E$796))&amp;". ")&amp;IF(LEN(IF(LEN(INDEX('Dealer pipeline'!$T$4:$T$503,_calc!$E$796))=0,"",INDEX('Dealer pipeline'!$T$4:$T$503,_calc!$E$796)))=0,"",IF(LEN(INDEX('Dealer pipeline'!$T$4:$T$503,_calc!$E$796))=0,"",INDEX('Dealer pipeline'!$T$4:$T$503,_calc!$E$796)))),TRIM(IF(LEN(IF(LEN(INDEX('My equipment'!$C$4:$C$503,(_calc!$E$796-500)))=0,"",INDEX('My equipment'!$C$4:$C$503,(_calc!$E$796-500))))=0,"","Model: "&amp;IF(LEN(INDEX('My equipment'!$C$4:$C$503,(_calc!$E$796-500)))=0,"",INDEX('My equipment'!$C$4:$C$503,(_calc!$E$796-500)))&amp;". ")&amp;IF(LEN(IF(LEN(INDEX('My equipment'!$D$4:$D$503,(_calc!$E$796-500)))=0,"",INDEX('My equipment'!$D$4:$D$503,(_calc!$E$796-500))))=0,"","Serial: "&amp;IF(LEN(INDEX('My equipment'!$D$4:$D$503,(_calc!$E$796-500)))=0,"",INDEX('My equipment'!$D$4:$D$503,(_calc!$E$796-500)))&amp;". ")&amp;IF(LEN(IF(ISNUMBER(INDEX('My equipment'!$J$4:$J$503,(_calc!$E$796-500))),TEXT(INDEX('My equipment'!$J$4:$J$503,(_calc!$E$796-500)),"yyyy-mm-dd"),""))=0,"","Parts end: "&amp;IF(ISNUMBER(INDEX('My equipment'!$J$4:$J$503,(_calc!$E$796-500))),TEXT(INDEX('My equipment'!$J$4:$J$503,(_calc!$E$796-500)),"yyyy-mm-dd"),"")&amp;". ")&amp;IF(LEN(IF(ISNUMBER(INDEX('My equipment'!$L$4:$L$503,(_calc!$E$796-500))),TEXT(INDEX('My equipment'!$L$4:$L$503,(_calc!$E$796-500)),"yyyy-mm-dd"),""))=0,"","Labor end: "&amp;IF(ISNUMBER(INDEX('My equipment'!$L$4:$L$503,(_calc!$E$796-500))),TEXT(INDEX('My equipment'!$L$4:$L$503,(_calc!$E$796-500)),"yyyy-mm-dd"),"")&amp;". ")&amp;IF(LEN(IF(ISNUMBER(INDEX('My equipment'!$P$4:$P$503,(_calc!$E$796-500))),TEXT(INDEX('My equipment'!$P$4:$P$503,(_calc!$E$796-500)),"yyyy-mm-dd"),""))=0,"","Check by: "&amp;IF(ISNUMBER(INDEX('My equipment'!$P$4:$P$503,(_calc!$E$796-500))),TEXT(INDEX('My equipment'!$P$4:$P$503,(_calc!$E$796-500)),"yyyy-mm-dd"),"")&amp;". ")&amp;IF(LEN(IF(LEN(INDEX('My equipment'!$Q$4:$Q$503,(_calc!$E$796-500)))=0,"",INDEX('My equipment'!$Q$4:$Q$503,(_calc!$E$796-500))))=0,"","Claim status: "&amp;IF(LEN(INDEX('My equipment'!$Q$4:$Q$503,(_calc!$E$796-500)))=0,"",INDEX('My equipment'!$Q$4:$Q$503,(_calc!$E$796-500)))&amp;". ")&amp;IF(LEN(IF(LEN(INDEX('My equipment'!$R$4:$R$503,(_calc!$E$796-500)))=0,"",INDEX('My equipment'!$R$4:$R$503,(_calc!$E$796-500))))=0,"","Claims contact: "&amp;IF(LEN(INDEX('My equipment'!$R$4:$R$503,(_calc!$E$796-500)))=0,"",INDEX('My equipment'!$R$4:$R$503,(_calc!$E$796-500)))&amp;". ")&amp;IF(LEN(IF(LEN(INDEX('My equipment'!$S$4:$S$503,(_calc!$E$796-500)))=0,"",INDEX('My equipment'!$S$4:$S$503,(_calc!$E$796-500))))=0,"","Claims email: "&amp;IF(LEN(INDEX('My equipment'!$S$4:$S$503,(_calc!$E$796-500)))=0,"",INDEX('My equipment'!$S$4:$S$503,(_calc!$E$796-500)))&amp;". ")&amp;IF(LEN(IF(LEN(INDEX('My equipment'!$U$4:$U$503,(_calc!$E$796-500)))=0,"",INDEX('My equipment'!$U$4:$U$503,(_calc!$E$796-500))))=0,"","Registered: "&amp;IF(LEN(INDEX('My equipment'!$U$4:$U$503,(_calc!$E$796-500)))=0,"",INDEX('My equipment'!$U$4:$U$503,(_calc!$E$796-500)))&amp;". ")&amp;IF(LEN(IF(LEN(INDEX('My equipment'!$V$4:$V$503,(_calc!$E$796-500)))=0,"",INDEX('My equipment'!$V$4:$V$503,(_calc!$E$796-500))))=0,"","Proof on file: "&amp;IF(LEN(INDEX('My equipment'!$V$4:$V$503,(_calc!$E$796-500)))=0,"",INDEX('My equipment'!$V$4:$V$503,(_calc!$E$796-500)))&amp;". ")&amp;IF(LEN(IF(LEN(INDEX('My equipment'!$W$4:$W$503,(_calc!$E$796-500)))=0,"",INDEX('My equipment'!$W$4:$W$503,(_calc!$E$796-500))))=0,"","Claim ref: "&amp;IF(LEN(INDEX('My equipment'!$W$4:$W$503,(_calc!$E$796-500)))=0,"",INDEX('My equipment'!$W$4:$W$503,(_calc!$E$796-500)))&amp;". ")&amp;IF(LEN(IF(LEN(INDEX('My equipment'!$Y$4:$Y$503,(_calc!$E$796-500)))=0,"",INDEX('My equipment'!$Y$4:$Y$503,(_calc!$E$796-500))))=0,"",IF(LEN(INDEX('My equipment'!$Y$4:$Y$503,(_calc!$E$796-500)))=0,"",INDEX('My equipment'!$Y$4:$Y$503,(_calc!$E$796-500)))))))</f>
        <v/>
      </c>
      <c r="G794" s="54">
        <f>IF(_calc!$E$796="","",IF(_calc!$E$796&lt;=500,"",IF(LEN(INDEX('My equipment'!$X$4:$X$503,(_calc!$E$796-500)))=0,"",INDEX('My equipment'!$X$4:$X$503,(_calc!$E$796-500)))))</f>
        <v/>
      </c>
      <c r="K794" s="54">
        <f>IF(_calc!$E$796="","",IF(_calc!$E$796&lt;=500,"",IF(LEN(INDEX('My equipment'!$T$4:$T$503,(_calc!$E$796-500)))=0,"",INDEX('My equipment'!$T$4:$T$503,(_calc!$E$796-500)))))</f>
        <v/>
      </c>
    </row>
    <row r="795">
      <c r="A795" s="54">
        <f>IF(_calc!$E$797="","",IF(_calc!$E$797&lt;=500,"Warranty – "&amp;IF(LEN(INDEX('Dealer pipeline'!$C$4:$C$503,_calc!$E$797))=0,"",INDEX('Dealer pipeline'!$C$4:$C$503,_calc!$E$797))&amp;" – "&amp;IF(LEN(INDEX('Dealer pipeline'!$D$4:$D$503,_calc!$E$797))=0,"",INDEX('Dealer pipeline'!$D$4:$D$503,_calc!$E$797))&amp;" – "&amp;IF(LEN(INDEX('Dealer pipeline'!$A$4:$A$503,_calc!$E$797))=0,"",INDEX('Dealer pipeline'!$A$4:$A$503,_calc!$E$797)),"Warranty – "&amp;IF(LEN(INDEX('My equipment'!$A$4:$A$503,(_calc!$E$797-500)))=0,"",INDEX('My equipment'!$A$4:$A$503,(_calc!$E$797-500)))&amp;" – "&amp;IF(LEN(INDEX('My equipment'!$D$4:$D$503,(_calc!$E$797-500)))=0,"",INDEX('My equipment'!$D$4:$D$503,(_calc!$E$797-500)))))</f>
        <v/>
      </c>
      <c r="B795" s="54">
        <f>IF(_calc!$E$797="","",IF(_calc!$E$797&lt;=500,IF(ISNUMBER(INDEX('Dealer pipeline'!$M$4:$M$503,_calc!$E$797)),TEXT(INDEX('Dealer pipeline'!$M$4:$M$503,_calc!$E$797),"yyyy-mm-dd"),""),IF(ISNUMBER(INDEX('My equipment'!$M$4:$M$503,(_calc!$E$797-500))),TEXT(INDEX('My equipment'!$M$4:$M$503,(_calc!$E$797-500)),"yyyy-mm-dd"),"")))</f>
        <v/>
      </c>
      <c r="C795" s="54">
        <f>IF(_calc!$E$797="","",IF(_calc!$E$797&lt;=500,"Warranty","Warranty"))</f>
        <v/>
      </c>
      <c r="D795" s="54">
        <f>IF(_calc!$E$797="","",IF(_calc!$E$797&lt;=500,IF(ISNUMBER(INDEX('Dealer pipeline'!$H$4:$H$503,_calc!$E$797)),TEXT(INDEX('Dealer pipeline'!$H$4:$H$503,_calc!$E$797),"yyyy-mm-dd"),""),IF(ISNUMBER(INDEX('My equipment'!$H$4:$H$503,(_calc!$E$797-500))),TEXT(INDEX('My equipment'!$H$4:$H$503,(_calc!$E$797-500)),"yyyy-mm-dd"),"")))</f>
        <v/>
      </c>
      <c r="F795" s="54">
        <f>IF(_calc!$E$797="","",IF(_calc!$E$797&lt;=500,TRIM(IF(LEN(IF(LEN(INDEX('Dealer pipeline'!$A$4:$A$503,_calc!$E$797))=0,"",INDEX('Dealer pipeline'!$A$4:$A$503,_calc!$E$797)))=0,"","Customer: "&amp;IF(LEN(INDEX('Dealer pipeline'!$A$4:$A$503,_calc!$E$797))=0,"",INDEX('Dealer pipeline'!$A$4:$A$503,_calc!$E$797))&amp;". ")&amp;IF(LEN(IF(LEN(INDEX('Dealer pipeline'!$B$4:$B$503,_calc!$E$797))=0,"",INDEX('Dealer pipeline'!$B$4:$B$503,_calc!$E$797)))=0,"","Contact: "&amp;IF(LEN(INDEX('Dealer pipeline'!$B$4:$B$503,_calc!$E$797))=0,"",INDEX('Dealer pipeline'!$B$4:$B$503,_calc!$E$797))&amp;". ")&amp;IF(LEN(IF(LEN(INDEX('Dealer pipeline'!$D$4:$D$503,_calc!$E$797))=0,"",INDEX('Dealer pipeline'!$D$4:$D$503,_calc!$E$797)))=0,"","Serial: "&amp;IF(LEN(INDEX('Dealer pipeline'!$D$4:$D$503,_calc!$E$797))=0,"",INDEX('Dealer pipeline'!$D$4:$D$503,_calc!$E$797))&amp;". ")&amp;IF(LEN(IF(ISNUMBER(INDEX('Dealer pipeline'!$J$4:$J$503,_calc!$E$797)),TEXT(INDEX('Dealer pipeline'!$J$4:$J$503,_calc!$E$797),"yyyy-mm-dd"),""))=0,"","Parts end: "&amp;IF(ISNUMBER(INDEX('Dealer pipeline'!$J$4:$J$503,_calc!$E$797)),TEXT(INDEX('Dealer pipeline'!$J$4:$J$503,_calc!$E$797),"yyyy-mm-dd"),"")&amp;". ")&amp;IF(LEN(IF(ISNUMBER(INDEX('Dealer pipeline'!$L$4:$L$503,_calc!$E$797)),TEXT(INDEX('Dealer pipeline'!$L$4:$L$503,_calc!$E$797),"yyyy-mm-dd"),""))=0,"","Labor end: "&amp;IF(ISNUMBER(INDEX('Dealer pipeline'!$L$4:$L$503,_calc!$E$797)),TEXT(INDEX('Dealer pipeline'!$L$4:$L$503,_calc!$E$797),"yyyy-mm-dd"),"")&amp;". ")&amp;IF(LEN(IF(LEN(INDEX('Dealer pipeline'!$Q$4:$Q$503,_calc!$E$797))=0,"",INDEX('Dealer pipeline'!$Q$4:$Q$503,_calc!$E$797)))=0,"","Status: "&amp;IF(LEN(INDEX('Dealer pipeline'!$Q$4:$Q$503,_calc!$E$797))=0,"",INDEX('Dealer pipeline'!$Q$4:$Q$503,_calc!$E$797))&amp;". ")&amp;IF(LEN(IF(LEN(INDEX('Dealer pipeline'!$P$4:$P$503,_calc!$E$797))=0,"",INDEX('Dealer pipeline'!$P$4:$P$503,_calc!$E$797)))=0,"","Last touch: "&amp;IF(LEN(INDEX('Dealer pipeline'!$P$4:$P$503,_calc!$E$797))=0,"",INDEX('Dealer pipeline'!$P$4:$P$503,_calc!$E$797))&amp;". ")&amp;IF(LEN(IF(LEN(INDEX('Dealer pipeline'!$R$4:$R$503,_calc!$E$797))=0,"",INDEX('Dealer pipeline'!$R$4:$R$503,_calc!$E$797)))=0,"","Owner: "&amp;IF(LEN(INDEX('Dealer pipeline'!$R$4:$R$503,_calc!$E$797))=0,"",INDEX('Dealer pipeline'!$R$4:$R$503,_calc!$E$797))&amp;". ")&amp;IF(LEN(IF(LEN(INDEX('Dealer pipeline'!$S$4:$S$503,_calc!$E$797))=0,"",INDEX('Dealer pipeline'!$S$4:$S$503,_calc!$E$797)))=0,"","Backup: "&amp;IF(LEN(INDEX('Dealer pipeline'!$S$4:$S$503,_calc!$E$797))=0,"",INDEX('Dealer pipeline'!$S$4:$S$503,_calc!$E$797))&amp;". ")&amp;IF(LEN(IF(LEN(INDEX('Dealer pipeline'!$T$4:$T$503,_calc!$E$797))=0,"",INDEX('Dealer pipeline'!$T$4:$T$503,_calc!$E$797)))=0,"",IF(LEN(INDEX('Dealer pipeline'!$T$4:$T$503,_calc!$E$797))=0,"",INDEX('Dealer pipeline'!$T$4:$T$503,_calc!$E$797)))),TRIM(IF(LEN(IF(LEN(INDEX('My equipment'!$C$4:$C$503,(_calc!$E$797-500)))=0,"",INDEX('My equipment'!$C$4:$C$503,(_calc!$E$797-500))))=0,"","Model: "&amp;IF(LEN(INDEX('My equipment'!$C$4:$C$503,(_calc!$E$797-500)))=0,"",INDEX('My equipment'!$C$4:$C$503,(_calc!$E$797-500)))&amp;". ")&amp;IF(LEN(IF(LEN(INDEX('My equipment'!$D$4:$D$503,(_calc!$E$797-500)))=0,"",INDEX('My equipment'!$D$4:$D$503,(_calc!$E$797-500))))=0,"","Serial: "&amp;IF(LEN(INDEX('My equipment'!$D$4:$D$503,(_calc!$E$797-500)))=0,"",INDEX('My equipment'!$D$4:$D$503,(_calc!$E$797-500)))&amp;". ")&amp;IF(LEN(IF(ISNUMBER(INDEX('My equipment'!$J$4:$J$503,(_calc!$E$797-500))),TEXT(INDEX('My equipment'!$J$4:$J$503,(_calc!$E$797-500)),"yyyy-mm-dd"),""))=0,"","Parts end: "&amp;IF(ISNUMBER(INDEX('My equipment'!$J$4:$J$503,(_calc!$E$797-500))),TEXT(INDEX('My equipment'!$J$4:$J$503,(_calc!$E$797-500)),"yyyy-mm-dd"),"")&amp;". ")&amp;IF(LEN(IF(ISNUMBER(INDEX('My equipment'!$L$4:$L$503,(_calc!$E$797-500))),TEXT(INDEX('My equipment'!$L$4:$L$503,(_calc!$E$797-500)),"yyyy-mm-dd"),""))=0,"","Labor end: "&amp;IF(ISNUMBER(INDEX('My equipment'!$L$4:$L$503,(_calc!$E$797-500))),TEXT(INDEX('My equipment'!$L$4:$L$503,(_calc!$E$797-500)),"yyyy-mm-dd"),"")&amp;". ")&amp;IF(LEN(IF(ISNUMBER(INDEX('My equipment'!$P$4:$P$503,(_calc!$E$797-500))),TEXT(INDEX('My equipment'!$P$4:$P$503,(_calc!$E$797-500)),"yyyy-mm-dd"),""))=0,"","Check by: "&amp;IF(ISNUMBER(INDEX('My equipment'!$P$4:$P$503,(_calc!$E$797-500))),TEXT(INDEX('My equipment'!$P$4:$P$503,(_calc!$E$797-500)),"yyyy-mm-dd"),"")&amp;". ")&amp;IF(LEN(IF(LEN(INDEX('My equipment'!$Q$4:$Q$503,(_calc!$E$797-500)))=0,"",INDEX('My equipment'!$Q$4:$Q$503,(_calc!$E$797-500))))=0,"","Claim status: "&amp;IF(LEN(INDEX('My equipment'!$Q$4:$Q$503,(_calc!$E$797-500)))=0,"",INDEX('My equipment'!$Q$4:$Q$503,(_calc!$E$797-500)))&amp;". ")&amp;IF(LEN(IF(LEN(INDEX('My equipment'!$R$4:$R$503,(_calc!$E$797-500)))=0,"",INDEX('My equipment'!$R$4:$R$503,(_calc!$E$797-500))))=0,"","Claims contact: "&amp;IF(LEN(INDEX('My equipment'!$R$4:$R$503,(_calc!$E$797-500)))=0,"",INDEX('My equipment'!$R$4:$R$503,(_calc!$E$797-500)))&amp;". ")&amp;IF(LEN(IF(LEN(INDEX('My equipment'!$S$4:$S$503,(_calc!$E$797-500)))=0,"",INDEX('My equipment'!$S$4:$S$503,(_calc!$E$797-500))))=0,"","Claims email: "&amp;IF(LEN(INDEX('My equipment'!$S$4:$S$503,(_calc!$E$797-500)))=0,"",INDEX('My equipment'!$S$4:$S$503,(_calc!$E$797-500)))&amp;". ")&amp;IF(LEN(IF(LEN(INDEX('My equipment'!$U$4:$U$503,(_calc!$E$797-500)))=0,"",INDEX('My equipment'!$U$4:$U$503,(_calc!$E$797-500))))=0,"","Registered: "&amp;IF(LEN(INDEX('My equipment'!$U$4:$U$503,(_calc!$E$797-500)))=0,"",INDEX('My equipment'!$U$4:$U$503,(_calc!$E$797-500)))&amp;". ")&amp;IF(LEN(IF(LEN(INDEX('My equipment'!$V$4:$V$503,(_calc!$E$797-500)))=0,"",INDEX('My equipment'!$V$4:$V$503,(_calc!$E$797-500))))=0,"","Proof on file: "&amp;IF(LEN(INDEX('My equipment'!$V$4:$V$503,(_calc!$E$797-500)))=0,"",INDEX('My equipment'!$V$4:$V$503,(_calc!$E$797-500)))&amp;". ")&amp;IF(LEN(IF(LEN(INDEX('My equipment'!$W$4:$W$503,(_calc!$E$797-500)))=0,"",INDEX('My equipment'!$W$4:$W$503,(_calc!$E$797-500))))=0,"","Claim ref: "&amp;IF(LEN(INDEX('My equipment'!$W$4:$W$503,(_calc!$E$797-500)))=0,"",INDEX('My equipment'!$W$4:$W$503,(_calc!$E$797-500)))&amp;". ")&amp;IF(LEN(IF(LEN(INDEX('My equipment'!$Y$4:$Y$503,(_calc!$E$797-500)))=0,"",INDEX('My equipment'!$Y$4:$Y$503,(_calc!$E$797-500))))=0,"",IF(LEN(INDEX('My equipment'!$Y$4:$Y$503,(_calc!$E$797-500)))=0,"",INDEX('My equipment'!$Y$4:$Y$503,(_calc!$E$797-500)))))))</f>
        <v/>
      </c>
      <c r="G795" s="54">
        <f>IF(_calc!$E$797="","",IF(_calc!$E$797&lt;=500,"",IF(LEN(INDEX('My equipment'!$X$4:$X$503,(_calc!$E$797-500)))=0,"",INDEX('My equipment'!$X$4:$X$503,(_calc!$E$797-500)))))</f>
        <v/>
      </c>
      <c r="K795" s="54">
        <f>IF(_calc!$E$797="","",IF(_calc!$E$797&lt;=500,"",IF(LEN(INDEX('My equipment'!$T$4:$T$503,(_calc!$E$797-500)))=0,"",INDEX('My equipment'!$T$4:$T$503,(_calc!$E$797-500)))))</f>
        <v/>
      </c>
    </row>
    <row r="796">
      <c r="A796" s="54">
        <f>IF(_calc!$E$798="","",IF(_calc!$E$798&lt;=500,"Warranty – "&amp;IF(LEN(INDEX('Dealer pipeline'!$C$4:$C$503,_calc!$E$798))=0,"",INDEX('Dealer pipeline'!$C$4:$C$503,_calc!$E$798))&amp;" – "&amp;IF(LEN(INDEX('Dealer pipeline'!$D$4:$D$503,_calc!$E$798))=0,"",INDEX('Dealer pipeline'!$D$4:$D$503,_calc!$E$798))&amp;" – "&amp;IF(LEN(INDEX('Dealer pipeline'!$A$4:$A$503,_calc!$E$798))=0,"",INDEX('Dealer pipeline'!$A$4:$A$503,_calc!$E$798)),"Warranty – "&amp;IF(LEN(INDEX('My equipment'!$A$4:$A$503,(_calc!$E$798-500)))=0,"",INDEX('My equipment'!$A$4:$A$503,(_calc!$E$798-500)))&amp;" – "&amp;IF(LEN(INDEX('My equipment'!$D$4:$D$503,(_calc!$E$798-500)))=0,"",INDEX('My equipment'!$D$4:$D$503,(_calc!$E$798-500)))))</f>
        <v/>
      </c>
      <c r="B796" s="54">
        <f>IF(_calc!$E$798="","",IF(_calc!$E$798&lt;=500,IF(ISNUMBER(INDEX('Dealer pipeline'!$M$4:$M$503,_calc!$E$798)),TEXT(INDEX('Dealer pipeline'!$M$4:$M$503,_calc!$E$798),"yyyy-mm-dd"),""),IF(ISNUMBER(INDEX('My equipment'!$M$4:$M$503,(_calc!$E$798-500))),TEXT(INDEX('My equipment'!$M$4:$M$503,(_calc!$E$798-500)),"yyyy-mm-dd"),"")))</f>
        <v/>
      </c>
      <c r="C796" s="54">
        <f>IF(_calc!$E$798="","",IF(_calc!$E$798&lt;=500,"Warranty","Warranty"))</f>
        <v/>
      </c>
      <c r="D796" s="54">
        <f>IF(_calc!$E$798="","",IF(_calc!$E$798&lt;=500,IF(ISNUMBER(INDEX('Dealer pipeline'!$H$4:$H$503,_calc!$E$798)),TEXT(INDEX('Dealer pipeline'!$H$4:$H$503,_calc!$E$798),"yyyy-mm-dd"),""),IF(ISNUMBER(INDEX('My equipment'!$H$4:$H$503,(_calc!$E$798-500))),TEXT(INDEX('My equipment'!$H$4:$H$503,(_calc!$E$798-500)),"yyyy-mm-dd"),"")))</f>
        <v/>
      </c>
      <c r="F796" s="54">
        <f>IF(_calc!$E$798="","",IF(_calc!$E$798&lt;=500,TRIM(IF(LEN(IF(LEN(INDEX('Dealer pipeline'!$A$4:$A$503,_calc!$E$798))=0,"",INDEX('Dealer pipeline'!$A$4:$A$503,_calc!$E$798)))=0,"","Customer: "&amp;IF(LEN(INDEX('Dealer pipeline'!$A$4:$A$503,_calc!$E$798))=0,"",INDEX('Dealer pipeline'!$A$4:$A$503,_calc!$E$798))&amp;". ")&amp;IF(LEN(IF(LEN(INDEX('Dealer pipeline'!$B$4:$B$503,_calc!$E$798))=0,"",INDEX('Dealer pipeline'!$B$4:$B$503,_calc!$E$798)))=0,"","Contact: "&amp;IF(LEN(INDEX('Dealer pipeline'!$B$4:$B$503,_calc!$E$798))=0,"",INDEX('Dealer pipeline'!$B$4:$B$503,_calc!$E$798))&amp;". ")&amp;IF(LEN(IF(LEN(INDEX('Dealer pipeline'!$D$4:$D$503,_calc!$E$798))=0,"",INDEX('Dealer pipeline'!$D$4:$D$503,_calc!$E$798)))=0,"","Serial: "&amp;IF(LEN(INDEX('Dealer pipeline'!$D$4:$D$503,_calc!$E$798))=0,"",INDEX('Dealer pipeline'!$D$4:$D$503,_calc!$E$798))&amp;". ")&amp;IF(LEN(IF(ISNUMBER(INDEX('Dealer pipeline'!$J$4:$J$503,_calc!$E$798)),TEXT(INDEX('Dealer pipeline'!$J$4:$J$503,_calc!$E$798),"yyyy-mm-dd"),""))=0,"","Parts end: "&amp;IF(ISNUMBER(INDEX('Dealer pipeline'!$J$4:$J$503,_calc!$E$798)),TEXT(INDEX('Dealer pipeline'!$J$4:$J$503,_calc!$E$798),"yyyy-mm-dd"),"")&amp;". ")&amp;IF(LEN(IF(ISNUMBER(INDEX('Dealer pipeline'!$L$4:$L$503,_calc!$E$798)),TEXT(INDEX('Dealer pipeline'!$L$4:$L$503,_calc!$E$798),"yyyy-mm-dd"),""))=0,"","Labor end: "&amp;IF(ISNUMBER(INDEX('Dealer pipeline'!$L$4:$L$503,_calc!$E$798)),TEXT(INDEX('Dealer pipeline'!$L$4:$L$503,_calc!$E$798),"yyyy-mm-dd"),"")&amp;". ")&amp;IF(LEN(IF(LEN(INDEX('Dealer pipeline'!$Q$4:$Q$503,_calc!$E$798))=0,"",INDEX('Dealer pipeline'!$Q$4:$Q$503,_calc!$E$798)))=0,"","Status: "&amp;IF(LEN(INDEX('Dealer pipeline'!$Q$4:$Q$503,_calc!$E$798))=0,"",INDEX('Dealer pipeline'!$Q$4:$Q$503,_calc!$E$798))&amp;". ")&amp;IF(LEN(IF(LEN(INDEX('Dealer pipeline'!$P$4:$P$503,_calc!$E$798))=0,"",INDEX('Dealer pipeline'!$P$4:$P$503,_calc!$E$798)))=0,"","Last touch: "&amp;IF(LEN(INDEX('Dealer pipeline'!$P$4:$P$503,_calc!$E$798))=0,"",INDEX('Dealer pipeline'!$P$4:$P$503,_calc!$E$798))&amp;". ")&amp;IF(LEN(IF(LEN(INDEX('Dealer pipeline'!$R$4:$R$503,_calc!$E$798))=0,"",INDEX('Dealer pipeline'!$R$4:$R$503,_calc!$E$798)))=0,"","Owner: "&amp;IF(LEN(INDEX('Dealer pipeline'!$R$4:$R$503,_calc!$E$798))=0,"",INDEX('Dealer pipeline'!$R$4:$R$503,_calc!$E$798))&amp;". ")&amp;IF(LEN(IF(LEN(INDEX('Dealer pipeline'!$S$4:$S$503,_calc!$E$798))=0,"",INDEX('Dealer pipeline'!$S$4:$S$503,_calc!$E$798)))=0,"","Backup: "&amp;IF(LEN(INDEX('Dealer pipeline'!$S$4:$S$503,_calc!$E$798))=0,"",INDEX('Dealer pipeline'!$S$4:$S$503,_calc!$E$798))&amp;". ")&amp;IF(LEN(IF(LEN(INDEX('Dealer pipeline'!$T$4:$T$503,_calc!$E$798))=0,"",INDEX('Dealer pipeline'!$T$4:$T$503,_calc!$E$798)))=0,"",IF(LEN(INDEX('Dealer pipeline'!$T$4:$T$503,_calc!$E$798))=0,"",INDEX('Dealer pipeline'!$T$4:$T$503,_calc!$E$798)))),TRIM(IF(LEN(IF(LEN(INDEX('My equipment'!$C$4:$C$503,(_calc!$E$798-500)))=0,"",INDEX('My equipment'!$C$4:$C$503,(_calc!$E$798-500))))=0,"","Model: "&amp;IF(LEN(INDEX('My equipment'!$C$4:$C$503,(_calc!$E$798-500)))=0,"",INDEX('My equipment'!$C$4:$C$503,(_calc!$E$798-500)))&amp;". ")&amp;IF(LEN(IF(LEN(INDEX('My equipment'!$D$4:$D$503,(_calc!$E$798-500)))=0,"",INDEX('My equipment'!$D$4:$D$503,(_calc!$E$798-500))))=0,"","Serial: "&amp;IF(LEN(INDEX('My equipment'!$D$4:$D$503,(_calc!$E$798-500)))=0,"",INDEX('My equipment'!$D$4:$D$503,(_calc!$E$798-500)))&amp;". ")&amp;IF(LEN(IF(ISNUMBER(INDEX('My equipment'!$J$4:$J$503,(_calc!$E$798-500))),TEXT(INDEX('My equipment'!$J$4:$J$503,(_calc!$E$798-500)),"yyyy-mm-dd"),""))=0,"","Parts end: "&amp;IF(ISNUMBER(INDEX('My equipment'!$J$4:$J$503,(_calc!$E$798-500))),TEXT(INDEX('My equipment'!$J$4:$J$503,(_calc!$E$798-500)),"yyyy-mm-dd"),"")&amp;". ")&amp;IF(LEN(IF(ISNUMBER(INDEX('My equipment'!$L$4:$L$503,(_calc!$E$798-500))),TEXT(INDEX('My equipment'!$L$4:$L$503,(_calc!$E$798-500)),"yyyy-mm-dd"),""))=0,"","Labor end: "&amp;IF(ISNUMBER(INDEX('My equipment'!$L$4:$L$503,(_calc!$E$798-500))),TEXT(INDEX('My equipment'!$L$4:$L$503,(_calc!$E$798-500)),"yyyy-mm-dd"),"")&amp;". ")&amp;IF(LEN(IF(ISNUMBER(INDEX('My equipment'!$P$4:$P$503,(_calc!$E$798-500))),TEXT(INDEX('My equipment'!$P$4:$P$503,(_calc!$E$798-500)),"yyyy-mm-dd"),""))=0,"","Check by: "&amp;IF(ISNUMBER(INDEX('My equipment'!$P$4:$P$503,(_calc!$E$798-500))),TEXT(INDEX('My equipment'!$P$4:$P$503,(_calc!$E$798-500)),"yyyy-mm-dd"),"")&amp;". ")&amp;IF(LEN(IF(LEN(INDEX('My equipment'!$Q$4:$Q$503,(_calc!$E$798-500)))=0,"",INDEX('My equipment'!$Q$4:$Q$503,(_calc!$E$798-500))))=0,"","Claim status: "&amp;IF(LEN(INDEX('My equipment'!$Q$4:$Q$503,(_calc!$E$798-500)))=0,"",INDEX('My equipment'!$Q$4:$Q$503,(_calc!$E$798-500)))&amp;". ")&amp;IF(LEN(IF(LEN(INDEX('My equipment'!$R$4:$R$503,(_calc!$E$798-500)))=0,"",INDEX('My equipment'!$R$4:$R$503,(_calc!$E$798-500))))=0,"","Claims contact: "&amp;IF(LEN(INDEX('My equipment'!$R$4:$R$503,(_calc!$E$798-500)))=0,"",INDEX('My equipment'!$R$4:$R$503,(_calc!$E$798-500)))&amp;". ")&amp;IF(LEN(IF(LEN(INDEX('My equipment'!$S$4:$S$503,(_calc!$E$798-500)))=0,"",INDEX('My equipment'!$S$4:$S$503,(_calc!$E$798-500))))=0,"","Claims email: "&amp;IF(LEN(INDEX('My equipment'!$S$4:$S$503,(_calc!$E$798-500)))=0,"",INDEX('My equipment'!$S$4:$S$503,(_calc!$E$798-500)))&amp;". ")&amp;IF(LEN(IF(LEN(INDEX('My equipment'!$U$4:$U$503,(_calc!$E$798-500)))=0,"",INDEX('My equipment'!$U$4:$U$503,(_calc!$E$798-500))))=0,"","Registered: "&amp;IF(LEN(INDEX('My equipment'!$U$4:$U$503,(_calc!$E$798-500)))=0,"",INDEX('My equipment'!$U$4:$U$503,(_calc!$E$798-500)))&amp;". ")&amp;IF(LEN(IF(LEN(INDEX('My equipment'!$V$4:$V$503,(_calc!$E$798-500)))=0,"",INDEX('My equipment'!$V$4:$V$503,(_calc!$E$798-500))))=0,"","Proof on file: "&amp;IF(LEN(INDEX('My equipment'!$V$4:$V$503,(_calc!$E$798-500)))=0,"",INDEX('My equipment'!$V$4:$V$503,(_calc!$E$798-500)))&amp;". ")&amp;IF(LEN(IF(LEN(INDEX('My equipment'!$W$4:$W$503,(_calc!$E$798-500)))=0,"",INDEX('My equipment'!$W$4:$W$503,(_calc!$E$798-500))))=0,"","Claim ref: "&amp;IF(LEN(INDEX('My equipment'!$W$4:$W$503,(_calc!$E$798-500)))=0,"",INDEX('My equipment'!$W$4:$W$503,(_calc!$E$798-500)))&amp;". ")&amp;IF(LEN(IF(LEN(INDEX('My equipment'!$Y$4:$Y$503,(_calc!$E$798-500)))=0,"",INDEX('My equipment'!$Y$4:$Y$503,(_calc!$E$798-500))))=0,"",IF(LEN(INDEX('My equipment'!$Y$4:$Y$503,(_calc!$E$798-500)))=0,"",INDEX('My equipment'!$Y$4:$Y$503,(_calc!$E$798-500)))))))</f>
        <v/>
      </c>
      <c r="G796" s="54">
        <f>IF(_calc!$E$798="","",IF(_calc!$E$798&lt;=500,"",IF(LEN(INDEX('My equipment'!$X$4:$X$503,(_calc!$E$798-500)))=0,"",INDEX('My equipment'!$X$4:$X$503,(_calc!$E$798-500)))))</f>
        <v/>
      </c>
      <c r="K796" s="54">
        <f>IF(_calc!$E$798="","",IF(_calc!$E$798&lt;=500,"",IF(LEN(INDEX('My equipment'!$T$4:$T$503,(_calc!$E$798-500)))=0,"",INDEX('My equipment'!$T$4:$T$503,(_calc!$E$798-500)))))</f>
        <v/>
      </c>
    </row>
    <row r="797">
      <c r="A797" s="54">
        <f>IF(_calc!$E$799="","",IF(_calc!$E$799&lt;=500,"Warranty – "&amp;IF(LEN(INDEX('Dealer pipeline'!$C$4:$C$503,_calc!$E$799))=0,"",INDEX('Dealer pipeline'!$C$4:$C$503,_calc!$E$799))&amp;" – "&amp;IF(LEN(INDEX('Dealer pipeline'!$D$4:$D$503,_calc!$E$799))=0,"",INDEX('Dealer pipeline'!$D$4:$D$503,_calc!$E$799))&amp;" – "&amp;IF(LEN(INDEX('Dealer pipeline'!$A$4:$A$503,_calc!$E$799))=0,"",INDEX('Dealer pipeline'!$A$4:$A$503,_calc!$E$799)),"Warranty – "&amp;IF(LEN(INDEX('My equipment'!$A$4:$A$503,(_calc!$E$799-500)))=0,"",INDEX('My equipment'!$A$4:$A$503,(_calc!$E$799-500)))&amp;" – "&amp;IF(LEN(INDEX('My equipment'!$D$4:$D$503,(_calc!$E$799-500)))=0,"",INDEX('My equipment'!$D$4:$D$503,(_calc!$E$799-500)))))</f>
        <v/>
      </c>
      <c r="B797" s="54">
        <f>IF(_calc!$E$799="","",IF(_calc!$E$799&lt;=500,IF(ISNUMBER(INDEX('Dealer pipeline'!$M$4:$M$503,_calc!$E$799)),TEXT(INDEX('Dealer pipeline'!$M$4:$M$503,_calc!$E$799),"yyyy-mm-dd"),""),IF(ISNUMBER(INDEX('My equipment'!$M$4:$M$503,(_calc!$E$799-500))),TEXT(INDEX('My equipment'!$M$4:$M$503,(_calc!$E$799-500)),"yyyy-mm-dd"),"")))</f>
        <v/>
      </c>
      <c r="C797" s="54">
        <f>IF(_calc!$E$799="","",IF(_calc!$E$799&lt;=500,"Warranty","Warranty"))</f>
        <v/>
      </c>
      <c r="D797" s="54">
        <f>IF(_calc!$E$799="","",IF(_calc!$E$799&lt;=500,IF(ISNUMBER(INDEX('Dealer pipeline'!$H$4:$H$503,_calc!$E$799)),TEXT(INDEX('Dealer pipeline'!$H$4:$H$503,_calc!$E$799),"yyyy-mm-dd"),""),IF(ISNUMBER(INDEX('My equipment'!$H$4:$H$503,(_calc!$E$799-500))),TEXT(INDEX('My equipment'!$H$4:$H$503,(_calc!$E$799-500)),"yyyy-mm-dd"),"")))</f>
        <v/>
      </c>
      <c r="F797" s="54">
        <f>IF(_calc!$E$799="","",IF(_calc!$E$799&lt;=500,TRIM(IF(LEN(IF(LEN(INDEX('Dealer pipeline'!$A$4:$A$503,_calc!$E$799))=0,"",INDEX('Dealer pipeline'!$A$4:$A$503,_calc!$E$799)))=0,"","Customer: "&amp;IF(LEN(INDEX('Dealer pipeline'!$A$4:$A$503,_calc!$E$799))=0,"",INDEX('Dealer pipeline'!$A$4:$A$503,_calc!$E$799))&amp;". ")&amp;IF(LEN(IF(LEN(INDEX('Dealer pipeline'!$B$4:$B$503,_calc!$E$799))=0,"",INDEX('Dealer pipeline'!$B$4:$B$503,_calc!$E$799)))=0,"","Contact: "&amp;IF(LEN(INDEX('Dealer pipeline'!$B$4:$B$503,_calc!$E$799))=0,"",INDEX('Dealer pipeline'!$B$4:$B$503,_calc!$E$799))&amp;". ")&amp;IF(LEN(IF(LEN(INDEX('Dealer pipeline'!$D$4:$D$503,_calc!$E$799))=0,"",INDEX('Dealer pipeline'!$D$4:$D$503,_calc!$E$799)))=0,"","Serial: "&amp;IF(LEN(INDEX('Dealer pipeline'!$D$4:$D$503,_calc!$E$799))=0,"",INDEX('Dealer pipeline'!$D$4:$D$503,_calc!$E$799))&amp;". ")&amp;IF(LEN(IF(ISNUMBER(INDEX('Dealer pipeline'!$J$4:$J$503,_calc!$E$799)),TEXT(INDEX('Dealer pipeline'!$J$4:$J$503,_calc!$E$799),"yyyy-mm-dd"),""))=0,"","Parts end: "&amp;IF(ISNUMBER(INDEX('Dealer pipeline'!$J$4:$J$503,_calc!$E$799)),TEXT(INDEX('Dealer pipeline'!$J$4:$J$503,_calc!$E$799),"yyyy-mm-dd"),"")&amp;". ")&amp;IF(LEN(IF(ISNUMBER(INDEX('Dealer pipeline'!$L$4:$L$503,_calc!$E$799)),TEXT(INDEX('Dealer pipeline'!$L$4:$L$503,_calc!$E$799),"yyyy-mm-dd"),""))=0,"","Labor end: "&amp;IF(ISNUMBER(INDEX('Dealer pipeline'!$L$4:$L$503,_calc!$E$799)),TEXT(INDEX('Dealer pipeline'!$L$4:$L$503,_calc!$E$799),"yyyy-mm-dd"),"")&amp;". ")&amp;IF(LEN(IF(LEN(INDEX('Dealer pipeline'!$Q$4:$Q$503,_calc!$E$799))=0,"",INDEX('Dealer pipeline'!$Q$4:$Q$503,_calc!$E$799)))=0,"","Status: "&amp;IF(LEN(INDEX('Dealer pipeline'!$Q$4:$Q$503,_calc!$E$799))=0,"",INDEX('Dealer pipeline'!$Q$4:$Q$503,_calc!$E$799))&amp;". ")&amp;IF(LEN(IF(LEN(INDEX('Dealer pipeline'!$P$4:$P$503,_calc!$E$799))=0,"",INDEX('Dealer pipeline'!$P$4:$P$503,_calc!$E$799)))=0,"","Last touch: "&amp;IF(LEN(INDEX('Dealer pipeline'!$P$4:$P$503,_calc!$E$799))=0,"",INDEX('Dealer pipeline'!$P$4:$P$503,_calc!$E$799))&amp;". ")&amp;IF(LEN(IF(LEN(INDEX('Dealer pipeline'!$R$4:$R$503,_calc!$E$799))=0,"",INDEX('Dealer pipeline'!$R$4:$R$503,_calc!$E$799)))=0,"","Owner: "&amp;IF(LEN(INDEX('Dealer pipeline'!$R$4:$R$503,_calc!$E$799))=0,"",INDEX('Dealer pipeline'!$R$4:$R$503,_calc!$E$799))&amp;". ")&amp;IF(LEN(IF(LEN(INDEX('Dealer pipeline'!$S$4:$S$503,_calc!$E$799))=0,"",INDEX('Dealer pipeline'!$S$4:$S$503,_calc!$E$799)))=0,"","Backup: "&amp;IF(LEN(INDEX('Dealer pipeline'!$S$4:$S$503,_calc!$E$799))=0,"",INDEX('Dealer pipeline'!$S$4:$S$503,_calc!$E$799))&amp;". ")&amp;IF(LEN(IF(LEN(INDEX('Dealer pipeline'!$T$4:$T$503,_calc!$E$799))=0,"",INDEX('Dealer pipeline'!$T$4:$T$503,_calc!$E$799)))=0,"",IF(LEN(INDEX('Dealer pipeline'!$T$4:$T$503,_calc!$E$799))=0,"",INDEX('Dealer pipeline'!$T$4:$T$503,_calc!$E$799)))),TRIM(IF(LEN(IF(LEN(INDEX('My equipment'!$C$4:$C$503,(_calc!$E$799-500)))=0,"",INDEX('My equipment'!$C$4:$C$503,(_calc!$E$799-500))))=0,"","Model: "&amp;IF(LEN(INDEX('My equipment'!$C$4:$C$503,(_calc!$E$799-500)))=0,"",INDEX('My equipment'!$C$4:$C$503,(_calc!$E$799-500)))&amp;". ")&amp;IF(LEN(IF(LEN(INDEX('My equipment'!$D$4:$D$503,(_calc!$E$799-500)))=0,"",INDEX('My equipment'!$D$4:$D$503,(_calc!$E$799-500))))=0,"","Serial: "&amp;IF(LEN(INDEX('My equipment'!$D$4:$D$503,(_calc!$E$799-500)))=0,"",INDEX('My equipment'!$D$4:$D$503,(_calc!$E$799-500)))&amp;". ")&amp;IF(LEN(IF(ISNUMBER(INDEX('My equipment'!$J$4:$J$503,(_calc!$E$799-500))),TEXT(INDEX('My equipment'!$J$4:$J$503,(_calc!$E$799-500)),"yyyy-mm-dd"),""))=0,"","Parts end: "&amp;IF(ISNUMBER(INDEX('My equipment'!$J$4:$J$503,(_calc!$E$799-500))),TEXT(INDEX('My equipment'!$J$4:$J$503,(_calc!$E$799-500)),"yyyy-mm-dd"),"")&amp;". ")&amp;IF(LEN(IF(ISNUMBER(INDEX('My equipment'!$L$4:$L$503,(_calc!$E$799-500))),TEXT(INDEX('My equipment'!$L$4:$L$503,(_calc!$E$799-500)),"yyyy-mm-dd"),""))=0,"","Labor end: "&amp;IF(ISNUMBER(INDEX('My equipment'!$L$4:$L$503,(_calc!$E$799-500))),TEXT(INDEX('My equipment'!$L$4:$L$503,(_calc!$E$799-500)),"yyyy-mm-dd"),"")&amp;". ")&amp;IF(LEN(IF(ISNUMBER(INDEX('My equipment'!$P$4:$P$503,(_calc!$E$799-500))),TEXT(INDEX('My equipment'!$P$4:$P$503,(_calc!$E$799-500)),"yyyy-mm-dd"),""))=0,"","Check by: "&amp;IF(ISNUMBER(INDEX('My equipment'!$P$4:$P$503,(_calc!$E$799-500))),TEXT(INDEX('My equipment'!$P$4:$P$503,(_calc!$E$799-500)),"yyyy-mm-dd"),"")&amp;". ")&amp;IF(LEN(IF(LEN(INDEX('My equipment'!$Q$4:$Q$503,(_calc!$E$799-500)))=0,"",INDEX('My equipment'!$Q$4:$Q$503,(_calc!$E$799-500))))=0,"","Claim status: "&amp;IF(LEN(INDEX('My equipment'!$Q$4:$Q$503,(_calc!$E$799-500)))=0,"",INDEX('My equipment'!$Q$4:$Q$503,(_calc!$E$799-500)))&amp;". ")&amp;IF(LEN(IF(LEN(INDEX('My equipment'!$R$4:$R$503,(_calc!$E$799-500)))=0,"",INDEX('My equipment'!$R$4:$R$503,(_calc!$E$799-500))))=0,"","Claims contact: "&amp;IF(LEN(INDEX('My equipment'!$R$4:$R$503,(_calc!$E$799-500)))=0,"",INDEX('My equipment'!$R$4:$R$503,(_calc!$E$799-500)))&amp;". ")&amp;IF(LEN(IF(LEN(INDEX('My equipment'!$S$4:$S$503,(_calc!$E$799-500)))=0,"",INDEX('My equipment'!$S$4:$S$503,(_calc!$E$799-500))))=0,"","Claims email: "&amp;IF(LEN(INDEX('My equipment'!$S$4:$S$503,(_calc!$E$799-500)))=0,"",INDEX('My equipment'!$S$4:$S$503,(_calc!$E$799-500)))&amp;". ")&amp;IF(LEN(IF(LEN(INDEX('My equipment'!$U$4:$U$503,(_calc!$E$799-500)))=0,"",INDEX('My equipment'!$U$4:$U$503,(_calc!$E$799-500))))=0,"","Registered: "&amp;IF(LEN(INDEX('My equipment'!$U$4:$U$503,(_calc!$E$799-500)))=0,"",INDEX('My equipment'!$U$4:$U$503,(_calc!$E$799-500)))&amp;". ")&amp;IF(LEN(IF(LEN(INDEX('My equipment'!$V$4:$V$503,(_calc!$E$799-500)))=0,"",INDEX('My equipment'!$V$4:$V$503,(_calc!$E$799-500))))=0,"","Proof on file: "&amp;IF(LEN(INDEX('My equipment'!$V$4:$V$503,(_calc!$E$799-500)))=0,"",INDEX('My equipment'!$V$4:$V$503,(_calc!$E$799-500)))&amp;". ")&amp;IF(LEN(IF(LEN(INDEX('My equipment'!$W$4:$W$503,(_calc!$E$799-500)))=0,"",INDEX('My equipment'!$W$4:$W$503,(_calc!$E$799-500))))=0,"","Claim ref: "&amp;IF(LEN(INDEX('My equipment'!$W$4:$W$503,(_calc!$E$799-500)))=0,"",INDEX('My equipment'!$W$4:$W$503,(_calc!$E$799-500)))&amp;". ")&amp;IF(LEN(IF(LEN(INDEX('My equipment'!$Y$4:$Y$503,(_calc!$E$799-500)))=0,"",INDEX('My equipment'!$Y$4:$Y$503,(_calc!$E$799-500))))=0,"",IF(LEN(INDEX('My equipment'!$Y$4:$Y$503,(_calc!$E$799-500)))=0,"",INDEX('My equipment'!$Y$4:$Y$503,(_calc!$E$799-500)))))))</f>
        <v/>
      </c>
      <c r="G797" s="54">
        <f>IF(_calc!$E$799="","",IF(_calc!$E$799&lt;=500,"",IF(LEN(INDEX('My equipment'!$X$4:$X$503,(_calc!$E$799-500)))=0,"",INDEX('My equipment'!$X$4:$X$503,(_calc!$E$799-500)))))</f>
        <v/>
      </c>
      <c r="K797" s="54">
        <f>IF(_calc!$E$799="","",IF(_calc!$E$799&lt;=500,"",IF(LEN(INDEX('My equipment'!$T$4:$T$503,(_calc!$E$799-500)))=0,"",INDEX('My equipment'!$T$4:$T$503,(_calc!$E$799-500)))))</f>
        <v/>
      </c>
    </row>
    <row r="798">
      <c r="A798" s="54">
        <f>IF(_calc!$E$800="","",IF(_calc!$E$800&lt;=500,"Warranty – "&amp;IF(LEN(INDEX('Dealer pipeline'!$C$4:$C$503,_calc!$E$800))=0,"",INDEX('Dealer pipeline'!$C$4:$C$503,_calc!$E$800))&amp;" – "&amp;IF(LEN(INDEX('Dealer pipeline'!$D$4:$D$503,_calc!$E$800))=0,"",INDEX('Dealer pipeline'!$D$4:$D$503,_calc!$E$800))&amp;" – "&amp;IF(LEN(INDEX('Dealer pipeline'!$A$4:$A$503,_calc!$E$800))=0,"",INDEX('Dealer pipeline'!$A$4:$A$503,_calc!$E$800)),"Warranty – "&amp;IF(LEN(INDEX('My equipment'!$A$4:$A$503,(_calc!$E$800-500)))=0,"",INDEX('My equipment'!$A$4:$A$503,(_calc!$E$800-500)))&amp;" – "&amp;IF(LEN(INDEX('My equipment'!$D$4:$D$503,(_calc!$E$800-500)))=0,"",INDEX('My equipment'!$D$4:$D$503,(_calc!$E$800-500)))))</f>
        <v/>
      </c>
      <c r="B798" s="54">
        <f>IF(_calc!$E$800="","",IF(_calc!$E$800&lt;=500,IF(ISNUMBER(INDEX('Dealer pipeline'!$M$4:$M$503,_calc!$E$800)),TEXT(INDEX('Dealer pipeline'!$M$4:$M$503,_calc!$E$800),"yyyy-mm-dd"),""),IF(ISNUMBER(INDEX('My equipment'!$M$4:$M$503,(_calc!$E$800-500))),TEXT(INDEX('My equipment'!$M$4:$M$503,(_calc!$E$800-500)),"yyyy-mm-dd"),"")))</f>
        <v/>
      </c>
      <c r="C798" s="54">
        <f>IF(_calc!$E$800="","",IF(_calc!$E$800&lt;=500,"Warranty","Warranty"))</f>
        <v/>
      </c>
      <c r="D798" s="54">
        <f>IF(_calc!$E$800="","",IF(_calc!$E$800&lt;=500,IF(ISNUMBER(INDEX('Dealer pipeline'!$H$4:$H$503,_calc!$E$800)),TEXT(INDEX('Dealer pipeline'!$H$4:$H$503,_calc!$E$800),"yyyy-mm-dd"),""),IF(ISNUMBER(INDEX('My equipment'!$H$4:$H$503,(_calc!$E$800-500))),TEXT(INDEX('My equipment'!$H$4:$H$503,(_calc!$E$800-500)),"yyyy-mm-dd"),"")))</f>
        <v/>
      </c>
      <c r="F798" s="54">
        <f>IF(_calc!$E$800="","",IF(_calc!$E$800&lt;=500,TRIM(IF(LEN(IF(LEN(INDEX('Dealer pipeline'!$A$4:$A$503,_calc!$E$800))=0,"",INDEX('Dealer pipeline'!$A$4:$A$503,_calc!$E$800)))=0,"","Customer: "&amp;IF(LEN(INDEX('Dealer pipeline'!$A$4:$A$503,_calc!$E$800))=0,"",INDEX('Dealer pipeline'!$A$4:$A$503,_calc!$E$800))&amp;". ")&amp;IF(LEN(IF(LEN(INDEX('Dealer pipeline'!$B$4:$B$503,_calc!$E$800))=0,"",INDEX('Dealer pipeline'!$B$4:$B$503,_calc!$E$800)))=0,"","Contact: "&amp;IF(LEN(INDEX('Dealer pipeline'!$B$4:$B$503,_calc!$E$800))=0,"",INDEX('Dealer pipeline'!$B$4:$B$503,_calc!$E$800))&amp;". ")&amp;IF(LEN(IF(LEN(INDEX('Dealer pipeline'!$D$4:$D$503,_calc!$E$800))=0,"",INDEX('Dealer pipeline'!$D$4:$D$503,_calc!$E$800)))=0,"","Serial: "&amp;IF(LEN(INDEX('Dealer pipeline'!$D$4:$D$503,_calc!$E$800))=0,"",INDEX('Dealer pipeline'!$D$4:$D$503,_calc!$E$800))&amp;". ")&amp;IF(LEN(IF(ISNUMBER(INDEX('Dealer pipeline'!$J$4:$J$503,_calc!$E$800)),TEXT(INDEX('Dealer pipeline'!$J$4:$J$503,_calc!$E$800),"yyyy-mm-dd"),""))=0,"","Parts end: "&amp;IF(ISNUMBER(INDEX('Dealer pipeline'!$J$4:$J$503,_calc!$E$800)),TEXT(INDEX('Dealer pipeline'!$J$4:$J$503,_calc!$E$800),"yyyy-mm-dd"),"")&amp;". ")&amp;IF(LEN(IF(ISNUMBER(INDEX('Dealer pipeline'!$L$4:$L$503,_calc!$E$800)),TEXT(INDEX('Dealer pipeline'!$L$4:$L$503,_calc!$E$800),"yyyy-mm-dd"),""))=0,"","Labor end: "&amp;IF(ISNUMBER(INDEX('Dealer pipeline'!$L$4:$L$503,_calc!$E$800)),TEXT(INDEX('Dealer pipeline'!$L$4:$L$503,_calc!$E$800),"yyyy-mm-dd"),"")&amp;". ")&amp;IF(LEN(IF(LEN(INDEX('Dealer pipeline'!$Q$4:$Q$503,_calc!$E$800))=0,"",INDEX('Dealer pipeline'!$Q$4:$Q$503,_calc!$E$800)))=0,"","Status: "&amp;IF(LEN(INDEX('Dealer pipeline'!$Q$4:$Q$503,_calc!$E$800))=0,"",INDEX('Dealer pipeline'!$Q$4:$Q$503,_calc!$E$800))&amp;". ")&amp;IF(LEN(IF(LEN(INDEX('Dealer pipeline'!$P$4:$P$503,_calc!$E$800))=0,"",INDEX('Dealer pipeline'!$P$4:$P$503,_calc!$E$800)))=0,"","Last touch: "&amp;IF(LEN(INDEX('Dealer pipeline'!$P$4:$P$503,_calc!$E$800))=0,"",INDEX('Dealer pipeline'!$P$4:$P$503,_calc!$E$800))&amp;". ")&amp;IF(LEN(IF(LEN(INDEX('Dealer pipeline'!$R$4:$R$503,_calc!$E$800))=0,"",INDEX('Dealer pipeline'!$R$4:$R$503,_calc!$E$800)))=0,"","Owner: "&amp;IF(LEN(INDEX('Dealer pipeline'!$R$4:$R$503,_calc!$E$800))=0,"",INDEX('Dealer pipeline'!$R$4:$R$503,_calc!$E$800))&amp;". ")&amp;IF(LEN(IF(LEN(INDEX('Dealer pipeline'!$S$4:$S$503,_calc!$E$800))=0,"",INDEX('Dealer pipeline'!$S$4:$S$503,_calc!$E$800)))=0,"","Backup: "&amp;IF(LEN(INDEX('Dealer pipeline'!$S$4:$S$503,_calc!$E$800))=0,"",INDEX('Dealer pipeline'!$S$4:$S$503,_calc!$E$800))&amp;". ")&amp;IF(LEN(IF(LEN(INDEX('Dealer pipeline'!$T$4:$T$503,_calc!$E$800))=0,"",INDEX('Dealer pipeline'!$T$4:$T$503,_calc!$E$800)))=0,"",IF(LEN(INDEX('Dealer pipeline'!$T$4:$T$503,_calc!$E$800))=0,"",INDEX('Dealer pipeline'!$T$4:$T$503,_calc!$E$800)))),TRIM(IF(LEN(IF(LEN(INDEX('My equipment'!$C$4:$C$503,(_calc!$E$800-500)))=0,"",INDEX('My equipment'!$C$4:$C$503,(_calc!$E$800-500))))=0,"","Model: "&amp;IF(LEN(INDEX('My equipment'!$C$4:$C$503,(_calc!$E$800-500)))=0,"",INDEX('My equipment'!$C$4:$C$503,(_calc!$E$800-500)))&amp;". ")&amp;IF(LEN(IF(LEN(INDEX('My equipment'!$D$4:$D$503,(_calc!$E$800-500)))=0,"",INDEX('My equipment'!$D$4:$D$503,(_calc!$E$800-500))))=0,"","Serial: "&amp;IF(LEN(INDEX('My equipment'!$D$4:$D$503,(_calc!$E$800-500)))=0,"",INDEX('My equipment'!$D$4:$D$503,(_calc!$E$800-500)))&amp;". ")&amp;IF(LEN(IF(ISNUMBER(INDEX('My equipment'!$J$4:$J$503,(_calc!$E$800-500))),TEXT(INDEX('My equipment'!$J$4:$J$503,(_calc!$E$800-500)),"yyyy-mm-dd"),""))=0,"","Parts end: "&amp;IF(ISNUMBER(INDEX('My equipment'!$J$4:$J$503,(_calc!$E$800-500))),TEXT(INDEX('My equipment'!$J$4:$J$503,(_calc!$E$800-500)),"yyyy-mm-dd"),"")&amp;". ")&amp;IF(LEN(IF(ISNUMBER(INDEX('My equipment'!$L$4:$L$503,(_calc!$E$800-500))),TEXT(INDEX('My equipment'!$L$4:$L$503,(_calc!$E$800-500)),"yyyy-mm-dd"),""))=0,"","Labor end: "&amp;IF(ISNUMBER(INDEX('My equipment'!$L$4:$L$503,(_calc!$E$800-500))),TEXT(INDEX('My equipment'!$L$4:$L$503,(_calc!$E$800-500)),"yyyy-mm-dd"),"")&amp;". ")&amp;IF(LEN(IF(ISNUMBER(INDEX('My equipment'!$P$4:$P$503,(_calc!$E$800-500))),TEXT(INDEX('My equipment'!$P$4:$P$503,(_calc!$E$800-500)),"yyyy-mm-dd"),""))=0,"","Check by: "&amp;IF(ISNUMBER(INDEX('My equipment'!$P$4:$P$503,(_calc!$E$800-500))),TEXT(INDEX('My equipment'!$P$4:$P$503,(_calc!$E$800-500)),"yyyy-mm-dd"),"")&amp;". ")&amp;IF(LEN(IF(LEN(INDEX('My equipment'!$Q$4:$Q$503,(_calc!$E$800-500)))=0,"",INDEX('My equipment'!$Q$4:$Q$503,(_calc!$E$800-500))))=0,"","Claim status: "&amp;IF(LEN(INDEX('My equipment'!$Q$4:$Q$503,(_calc!$E$800-500)))=0,"",INDEX('My equipment'!$Q$4:$Q$503,(_calc!$E$800-500)))&amp;". ")&amp;IF(LEN(IF(LEN(INDEX('My equipment'!$R$4:$R$503,(_calc!$E$800-500)))=0,"",INDEX('My equipment'!$R$4:$R$503,(_calc!$E$800-500))))=0,"","Claims contact: "&amp;IF(LEN(INDEX('My equipment'!$R$4:$R$503,(_calc!$E$800-500)))=0,"",INDEX('My equipment'!$R$4:$R$503,(_calc!$E$800-500)))&amp;". ")&amp;IF(LEN(IF(LEN(INDEX('My equipment'!$S$4:$S$503,(_calc!$E$800-500)))=0,"",INDEX('My equipment'!$S$4:$S$503,(_calc!$E$800-500))))=0,"","Claims email: "&amp;IF(LEN(INDEX('My equipment'!$S$4:$S$503,(_calc!$E$800-500)))=0,"",INDEX('My equipment'!$S$4:$S$503,(_calc!$E$800-500)))&amp;". ")&amp;IF(LEN(IF(LEN(INDEX('My equipment'!$U$4:$U$503,(_calc!$E$800-500)))=0,"",INDEX('My equipment'!$U$4:$U$503,(_calc!$E$800-500))))=0,"","Registered: "&amp;IF(LEN(INDEX('My equipment'!$U$4:$U$503,(_calc!$E$800-500)))=0,"",INDEX('My equipment'!$U$4:$U$503,(_calc!$E$800-500)))&amp;". ")&amp;IF(LEN(IF(LEN(INDEX('My equipment'!$V$4:$V$503,(_calc!$E$800-500)))=0,"",INDEX('My equipment'!$V$4:$V$503,(_calc!$E$800-500))))=0,"","Proof on file: "&amp;IF(LEN(INDEX('My equipment'!$V$4:$V$503,(_calc!$E$800-500)))=0,"",INDEX('My equipment'!$V$4:$V$503,(_calc!$E$800-500)))&amp;". ")&amp;IF(LEN(IF(LEN(INDEX('My equipment'!$W$4:$W$503,(_calc!$E$800-500)))=0,"",INDEX('My equipment'!$W$4:$W$503,(_calc!$E$800-500))))=0,"","Claim ref: "&amp;IF(LEN(INDEX('My equipment'!$W$4:$W$503,(_calc!$E$800-500)))=0,"",INDEX('My equipment'!$W$4:$W$503,(_calc!$E$800-500)))&amp;". ")&amp;IF(LEN(IF(LEN(INDEX('My equipment'!$Y$4:$Y$503,(_calc!$E$800-500)))=0,"",INDEX('My equipment'!$Y$4:$Y$503,(_calc!$E$800-500))))=0,"",IF(LEN(INDEX('My equipment'!$Y$4:$Y$503,(_calc!$E$800-500)))=0,"",INDEX('My equipment'!$Y$4:$Y$503,(_calc!$E$800-500)))))))</f>
        <v/>
      </c>
      <c r="G798" s="54">
        <f>IF(_calc!$E$800="","",IF(_calc!$E$800&lt;=500,"",IF(LEN(INDEX('My equipment'!$X$4:$X$503,(_calc!$E$800-500)))=0,"",INDEX('My equipment'!$X$4:$X$503,(_calc!$E$800-500)))))</f>
        <v/>
      </c>
      <c r="K798" s="54">
        <f>IF(_calc!$E$800="","",IF(_calc!$E$800&lt;=500,"",IF(LEN(INDEX('My equipment'!$T$4:$T$503,(_calc!$E$800-500)))=0,"",INDEX('My equipment'!$T$4:$T$503,(_calc!$E$800-500)))))</f>
        <v/>
      </c>
    </row>
    <row r="799">
      <c r="A799" s="54">
        <f>IF(_calc!$E$801="","",IF(_calc!$E$801&lt;=500,"Warranty – "&amp;IF(LEN(INDEX('Dealer pipeline'!$C$4:$C$503,_calc!$E$801))=0,"",INDEX('Dealer pipeline'!$C$4:$C$503,_calc!$E$801))&amp;" – "&amp;IF(LEN(INDEX('Dealer pipeline'!$D$4:$D$503,_calc!$E$801))=0,"",INDEX('Dealer pipeline'!$D$4:$D$503,_calc!$E$801))&amp;" – "&amp;IF(LEN(INDEX('Dealer pipeline'!$A$4:$A$503,_calc!$E$801))=0,"",INDEX('Dealer pipeline'!$A$4:$A$503,_calc!$E$801)),"Warranty – "&amp;IF(LEN(INDEX('My equipment'!$A$4:$A$503,(_calc!$E$801-500)))=0,"",INDEX('My equipment'!$A$4:$A$503,(_calc!$E$801-500)))&amp;" – "&amp;IF(LEN(INDEX('My equipment'!$D$4:$D$503,(_calc!$E$801-500)))=0,"",INDEX('My equipment'!$D$4:$D$503,(_calc!$E$801-500)))))</f>
        <v/>
      </c>
      <c r="B799" s="54">
        <f>IF(_calc!$E$801="","",IF(_calc!$E$801&lt;=500,IF(ISNUMBER(INDEX('Dealer pipeline'!$M$4:$M$503,_calc!$E$801)),TEXT(INDEX('Dealer pipeline'!$M$4:$M$503,_calc!$E$801),"yyyy-mm-dd"),""),IF(ISNUMBER(INDEX('My equipment'!$M$4:$M$503,(_calc!$E$801-500))),TEXT(INDEX('My equipment'!$M$4:$M$503,(_calc!$E$801-500)),"yyyy-mm-dd"),"")))</f>
        <v/>
      </c>
      <c r="C799" s="54">
        <f>IF(_calc!$E$801="","",IF(_calc!$E$801&lt;=500,"Warranty","Warranty"))</f>
        <v/>
      </c>
      <c r="D799" s="54">
        <f>IF(_calc!$E$801="","",IF(_calc!$E$801&lt;=500,IF(ISNUMBER(INDEX('Dealer pipeline'!$H$4:$H$503,_calc!$E$801)),TEXT(INDEX('Dealer pipeline'!$H$4:$H$503,_calc!$E$801),"yyyy-mm-dd"),""),IF(ISNUMBER(INDEX('My equipment'!$H$4:$H$503,(_calc!$E$801-500))),TEXT(INDEX('My equipment'!$H$4:$H$503,(_calc!$E$801-500)),"yyyy-mm-dd"),"")))</f>
        <v/>
      </c>
      <c r="F799" s="54">
        <f>IF(_calc!$E$801="","",IF(_calc!$E$801&lt;=500,TRIM(IF(LEN(IF(LEN(INDEX('Dealer pipeline'!$A$4:$A$503,_calc!$E$801))=0,"",INDEX('Dealer pipeline'!$A$4:$A$503,_calc!$E$801)))=0,"","Customer: "&amp;IF(LEN(INDEX('Dealer pipeline'!$A$4:$A$503,_calc!$E$801))=0,"",INDEX('Dealer pipeline'!$A$4:$A$503,_calc!$E$801))&amp;". ")&amp;IF(LEN(IF(LEN(INDEX('Dealer pipeline'!$B$4:$B$503,_calc!$E$801))=0,"",INDEX('Dealer pipeline'!$B$4:$B$503,_calc!$E$801)))=0,"","Contact: "&amp;IF(LEN(INDEX('Dealer pipeline'!$B$4:$B$503,_calc!$E$801))=0,"",INDEX('Dealer pipeline'!$B$4:$B$503,_calc!$E$801))&amp;". ")&amp;IF(LEN(IF(LEN(INDEX('Dealer pipeline'!$D$4:$D$503,_calc!$E$801))=0,"",INDEX('Dealer pipeline'!$D$4:$D$503,_calc!$E$801)))=0,"","Serial: "&amp;IF(LEN(INDEX('Dealer pipeline'!$D$4:$D$503,_calc!$E$801))=0,"",INDEX('Dealer pipeline'!$D$4:$D$503,_calc!$E$801))&amp;". ")&amp;IF(LEN(IF(ISNUMBER(INDEX('Dealer pipeline'!$J$4:$J$503,_calc!$E$801)),TEXT(INDEX('Dealer pipeline'!$J$4:$J$503,_calc!$E$801),"yyyy-mm-dd"),""))=0,"","Parts end: "&amp;IF(ISNUMBER(INDEX('Dealer pipeline'!$J$4:$J$503,_calc!$E$801)),TEXT(INDEX('Dealer pipeline'!$J$4:$J$503,_calc!$E$801),"yyyy-mm-dd"),"")&amp;". ")&amp;IF(LEN(IF(ISNUMBER(INDEX('Dealer pipeline'!$L$4:$L$503,_calc!$E$801)),TEXT(INDEX('Dealer pipeline'!$L$4:$L$503,_calc!$E$801),"yyyy-mm-dd"),""))=0,"","Labor end: "&amp;IF(ISNUMBER(INDEX('Dealer pipeline'!$L$4:$L$503,_calc!$E$801)),TEXT(INDEX('Dealer pipeline'!$L$4:$L$503,_calc!$E$801),"yyyy-mm-dd"),"")&amp;". ")&amp;IF(LEN(IF(LEN(INDEX('Dealer pipeline'!$Q$4:$Q$503,_calc!$E$801))=0,"",INDEX('Dealer pipeline'!$Q$4:$Q$503,_calc!$E$801)))=0,"","Status: "&amp;IF(LEN(INDEX('Dealer pipeline'!$Q$4:$Q$503,_calc!$E$801))=0,"",INDEX('Dealer pipeline'!$Q$4:$Q$503,_calc!$E$801))&amp;". ")&amp;IF(LEN(IF(LEN(INDEX('Dealer pipeline'!$P$4:$P$503,_calc!$E$801))=0,"",INDEX('Dealer pipeline'!$P$4:$P$503,_calc!$E$801)))=0,"","Last touch: "&amp;IF(LEN(INDEX('Dealer pipeline'!$P$4:$P$503,_calc!$E$801))=0,"",INDEX('Dealer pipeline'!$P$4:$P$503,_calc!$E$801))&amp;". ")&amp;IF(LEN(IF(LEN(INDEX('Dealer pipeline'!$R$4:$R$503,_calc!$E$801))=0,"",INDEX('Dealer pipeline'!$R$4:$R$503,_calc!$E$801)))=0,"","Owner: "&amp;IF(LEN(INDEX('Dealer pipeline'!$R$4:$R$503,_calc!$E$801))=0,"",INDEX('Dealer pipeline'!$R$4:$R$503,_calc!$E$801))&amp;". ")&amp;IF(LEN(IF(LEN(INDEX('Dealer pipeline'!$S$4:$S$503,_calc!$E$801))=0,"",INDEX('Dealer pipeline'!$S$4:$S$503,_calc!$E$801)))=0,"","Backup: "&amp;IF(LEN(INDEX('Dealer pipeline'!$S$4:$S$503,_calc!$E$801))=0,"",INDEX('Dealer pipeline'!$S$4:$S$503,_calc!$E$801))&amp;". ")&amp;IF(LEN(IF(LEN(INDEX('Dealer pipeline'!$T$4:$T$503,_calc!$E$801))=0,"",INDEX('Dealer pipeline'!$T$4:$T$503,_calc!$E$801)))=0,"",IF(LEN(INDEX('Dealer pipeline'!$T$4:$T$503,_calc!$E$801))=0,"",INDEX('Dealer pipeline'!$T$4:$T$503,_calc!$E$801)))),TRIM(IF(LEN(IF(LEN(INDEX('My equipment'!$C$4:$C$503,(_calc!$E$801-500)))=0,"",INDEX('My equipment'!$C$4:$C$503,(_calc!$E$801-500))))=0,"","Model: "&amp;IF(LEN(INDEX('My equipment'!$C$4:$C$503,(_calc!$E$801-500)))=0,"",INDEX('My equipment'!$C$4:$C$503,(_calc!$E$801-500)))&amp;". ")&amp;IF(LEN(IF(LEN(INDEX('My equipment'!$D$4:$D$503,(_calc!$E$801-500)))=0,"",INDEX('My equipment'!$D$4:$D$503,(_calc!$E$801-500))))=0,"","Serial: "&amp;IF(LEN(INDEX('My equipment'!$D$4:$D$503,(_calc!$E$801-500)))=0,"",INDEX('My equipment'!$D$4:$D$503,(_calc!$E$801-500)))&amp;". ")&amp;IF(LEN(IF(ISNUMBER(INDEX('My equipment'!$J$4:$J$503,(_calc!$E$801-500))),TEXT(INDEX('My equipment'!$J$4:$J$503,(_calc!$E$801-500)),"yyyy-mm-dd"),""))=0,"","Parts end: "&amp;IF(ISNUMBER(INDEX('My equipment'!$J$4:$J$503,(_calc!$E$801-500))),TEXT(INDEX('My equipment'!$J$4:$J$503,(_calc!$E$801-500)),"yyyy-mm-dd"),"")&amp;". ")&amp;IF(LEN(IF(ISNUMBER(INDEX('My equipment'!$L$4:$L$503,(_calc!$E$801-500))),TEXT(INDEX('My equipment'!$L$4:$L$503,(_calc!$E$801-500)),"yyyy-mm-dd"),""))=0,"","Labor end: "&amp;IF(ISNUMBER(INDEX('My equipment'!$L$4:$L$503,(_calc!$E$801-500))),TEXT(INDEX('My equipment'!$L$4:$L$503,(_calc!$E$801-500)),"yyyy-mm-dd"),"")&amp;". ")&amp;IF(LEN(IF(ISNUMBER(INDEX('My equipment'!$P$4:$P$503,(_calc!$E$801-500))),TEXT(INDEX('My equipment'!$P$4:$P$503,(_calc!$E$801-500)),"yyyy-mm-dd"),""))=0,"","Check by: "&amp;IF(ISNUMBER(INDEX('My equipment'!$P$4:$P$503,(_calc!$E$801-500))),TEXT(INDEX('My equipment'!$P$4:$P$503,(_calc!$E$801-500)),"yyyy-mm-dd"),"")&amp;". ")&amp;IF(LEN(IF(LEN(INDEX('My equipment'!$Q$4:$Q$503,(_calc!$E$801-500)))=0,"",INDEX('My equipment'!$Q$4:$Q$503,(_calc!$E$801-500))))=0,"","Claim status: "&amp;IF(LEN(INDEX('My equipment'!$Q$4:$Q$503,(_calc!$E$801-500)))=0,"",INDEX('My equipment'!$Q$4:$Q$503,(_calc!$E$801-500)))&amp;". ")&amp;IF(LEN(IF(LEN(INDEX('My equipment'!$R$4:$R$503,(_calc!$E$801-500)))=0,"",INDEX('My equipment'!$R$4:$R$503,(_calc!$E$801-500))))=0,"","Claims contact: "&amp;IF(LEN(INDEX('My equipment'!$R$4:$R$503,(_calc!$E$801-500)))=0,"",INDEX('My equipment'!$R$4:$R$503,(_calc!$E$801-500)))&amp;". ")&amp;IF(LEN(IF(LEN(INDEX('My equipment'!$S$4:$S$503,(_calc!$E$801-500)))=0,"",INDEX('My equipment'!$S$4:$S$503,(_calc!$E$801-500))))=0,"","Claims email: "&amp;IF(LEN(INDEX('My equipment'!$S$4:$S$503,(_calc!$E$801-500)))=0,"",INDEX('My equipment'!$S$4:$S$503,(_calc!$E$801-500)))&amp;". ")&amp;IF(LEN(IF(LEN(INDEX('My equipment'!$U$4:$U$503,(_calc!$E$801-500)))=0,"",INDEX('My equipment'!$U$4:$U$503,(_calc!$E$801-500))))=0,"","Registered: "&amp;IF(LEN(INDEX('My equipment'!$U$4:$U$503,(_calc!$E$801-500)))=0,"",INDEX('My equipment'!$U$4:$U$503,(_calc!$E$801-500)))&amp;". ")&amp;IF(LEN(IF(LEN(INDEX('My equipment'!$V$4:$V$503,(_calc!$E$801-500)))=0,"",INDEX('My equipment'!$V$4:$V$503,(_calc!$E$801-500))))=0,"","Proof on file: "&amp;IF(LEN(INDEX('My equipment'!$V$4:$V$503,(_calc!$E$801-500)))=0,"",INDEX('My equipment'!$V$4:$V$503,(_calc!$E$801-500)))&amp;". ")&amp;IF(LEN(IF(LEN(INDEX('My equipment'!$W$4:$W$503,(_calc!$E$801-500)))=0,"",INDEX('My equipment'!$W$4:$W$503,(_calc!$E$801-500))))=0,"","Claim ref: "&amp;IF(LEN(INDEX('My equipment'!$W$4:$W$503,(_calc!$E$801-500)))=0,"",INDEX('My equipment'!$W$4:$W$503,(_calc!$E$801-500)))&amp;". ")&amp;IF(LEN(IF(LEN(INDEX('My equipment'!$Y$4:$Y$503,(_calc!$E$801-500)))=0,"",INDEX('My equipment'!$Y$4:$Y$503,(_calc!$E$801-500))))=0,"",IF(LEN(INDEX('My equipment'!$Y$4:$Y$503,(_calc!$E$801-500)))=0,"",INDEX('My equipment'!$Y$4:$Y$503,(_calc!$E$801-500)))))))</f>
        <v/>
      </c>
      <c r="G799" s="54">
        <f>IF(_calc!$E$801="","",IF(_calc!$E$801&lt;=500,"",IF(LEN(INDEX('My equipment'!$X$4:$X$503,(_calc!$E$801-500)))=0,"",INDEX('My equipment'!$X$4:$X$503,(_calc!$E$801-500)))))</f>
        <v/>
      </c>
      <c r="K799" s="54">
        <f>IF(_calc!$E$801="","",IF(_calc!$E$801&lt;=500,"",IF(LEN(INDEX('My equipment'!$T$4:$T$503,(_calc!$E$801-500)))=0,"",INDEX('My equipment'!$T$4:$T$503,(_calc!$E$801-500)))))</f>
        <v/>
      </c>
    </row>
    <row r="800">
      <c r="A800" s="54">
        <f>IF(_calc!$E$802="","",IF(_calc!$E$802&lt;=500,"Warranty – "&amp;IF(LEN(INDEX('Dealer pipeline'!$C$4:$C$503,_calc!$E$802))=0,"",INDEX('Dealer pipeline'!$C$4:$C$503,_calc!$E$802))&amp;" – "&amp;IF(LEN(INDEX('Dealer pipeline'!$D$4:$D$503,_calc!$E$802))=0,"",INDEX('Dealer pipeline'!$D$4:$D$503,_calc!$E$802))&amp;" – "&amp;IF(LEN(INDEX('Dealer pipeline'!$A$4:$A$503,_calc!$E$802))=0,"",INDEX('Dealer pipeline'!$A$4:$A$503,_calc!$E$802)),"Warranty – "&amp;IF(LEN(INDEX('My equipment'!$A$4:$A$503,(_calc!$E$802-500)))=0,"",INDEX('My equipment'!$A$4:$A$503,(_calc!$E$802-500)))&amp;" – "&amp;IF(LEN(INDEX('My equipment'!$D$4:$D$503,(_calc!$E$802-500)))=0,"",INDEX('My equipment'!$D$4:$D$503,(_calc!$E$802-500)))))</f>
        <v/>
      </c>
      <c r="B800" s="54">
        <f>IF(_calc!$E$802="","",IF(_calc!$E$802&lt;=500,IF(ISNUMBER(INDEX('Dealer pipeline'!$M$4:$M$503,_calc!$E$802)),TEXT(INDEX('Dealer pipeline'!$M$4:$M$503,_calc!$E$802),"yyyy-mm-dd"),""),IF(ISNUMBER(INDEX('My equipment'!$M$4:$M$503,(_calc!$E$802-500))),TEXT(INDEX('My equipment'!$M$4:$M$503,(_calc!$E$802-500)),"yyyy-mm-dd"),"")))</f>
        <v/>
      </c>
      <c r="C800" s="54">
        <f>IF(_calc!$E$802="","",IF(_calc!$E$802&lt;=500,"Warranty","Warranty"))</f>
        <v/>
      </c>
      <c r="D800" s="54">
        <f>IF(_calc!$E$802="","",IF(_calc!$E$802&lt;=500,IF(ISNUMBER(INDEX('Dealer pipeline'!$H$4:$H$503,_calc!$E$802)),TEXT(INDEX('Dealer pipeline'!$H$4:$H$503,_calc!$E$802),"yyyy-mm-dd"),""),IF(ISNUMBER(INDEX('My equipment'!$H$4:$H$503,(_calc!$E$802-500))),TEXT(INDEX('My equipment'!$H$4:$H$503,(_calc!$E$802-500)),"yyyy-mm-dd"),"")))</f>
        <v/>
      </c>
      <c r="F800" s="54">
        <f>IF(_calc!$E$802="","",IF(_calc!$E$802&lt;=500,TRIM(IF(LEN(IF(LEN(INDEX('Dealer pipeline'!$A$4:$A$503,_calc!$E$802))=0,"",INDEX('Dealer pipeline'!$A$4:$A$503,_calc!$E$802)))=0,"","Customer: "&amp;IF(LEN(INDEX('Dealer pipeline'!$A$4:$A$503,_calc!$E$802))=0,"",INDEX('Dealer pipeline'!$A$4:$A$503,_calc!$E$802))&amp;". ")&amp;IF(LEN(IF(LEN(INDEX('Dealer pipeline'!$B$4:$B$503,_calc!$E$802))=0,"",INDEX('Dealer pipeline'!$B$4:$B$503,_calc!$E$802)))=0,"","Contact: "&amp;IF(LEN(INDEX('Dealer pipeline'!$B$4:$B$503,_calc!$E$802))=0,"",INDEX('Dealer pipeline'!$B$4:$B$503,_calc!$E$802))&amp;". ")&amp;IF(LEN(IF(LEN(INDEX('Dealer pipeline'!$D$4:$D$503,_calc!$E$802))=0,"",INDEX('Dealer pipeline'!$D$4:$D$503,_calc!$E$802)))=0,"","Serial: "&amp;IF(LEN(INDEX('Dealer pipeline'!$D$4:$D$503,_calc!$E$802))=0,"",INDEX('Dealer pipeline'!$D$4:$D$503,_calc!$E$802))&amp;". ")&amp;IF(LEN(IF(ISNUMBER(INDEX('Dealer pipeline'!$J$4:$J$503,_calc!$E$802)),TEXT(INDEX('Dealer pipeline'!$J$4:$J$503,_calc!$E$802),"yyyy-mm-dd"),""))=0,"","Parts end: "&amp;IF(ISNUMBER(INDEX('Dealer pipeline'!$J$4:$J$503,_calc!$E$802)),TEXT(INDEX('Dealer pipeline'!$J$4:$J$503,_calc!$E$802),"yyyy-mm-dd"),"")&amp;". ")&amp;IF(LEN(IF(ISNUMBER(INDEX('Dealer pipeline'!$L$4:$L$503,_calc!$E$802)),TEXT(INDEX('Dealer pipeline'!$L$4:$L$503,_calc!$E$802),"yyyy-mm-dd"),""))=0,"","Labor end: "&amp;IF(ISNUMBER(INDEX('Dealer pipeline'!$L$4:$L$503,_calc!$E$802)),TEXT(INDEX('Dealer pipeline'!$L$4:$L$503,_calc!$E$802),"yyyy-mm-dd"),"")&amp;". ")&amp;IF(LEN(IF(LEN(INDEX('Dealer pipeline'!$Q$4:$Q$503,_calc!$E$802))=0,"",INDEX('Dealer pipeline'!$Q$4:$Q$503,_calc!$E$802)))=0,"","Status: "&amp;IF(LEN(INDEX('Dealer pipeline'!$Q$4:$Q$503,_calc!$E$802))=0,"",INDEX('Dealer pipeline'!$Q$4:$Q$503,_calc!$E$802))&amp;". ")&amp;IF(LEN(IF(LEN(INDEX('Dealer pipeline'!$P$4:$P$503,_calc!$E$802))=0,"",INDEX('Dealer pipeline'!$P$4:$P$503,_calc!$E$802)))=0,"","Last touch: "&amp;IF(LEN(INDEX('Dealer pipeline'!$P$4:$P$503,_calc!$E$802))=0,"",INDEX('Dealer pipeline'!$P$4:$P$503,_calc!$E$802))&amp;". ")&amp;IF(LEN(IF(LEN(INDEX('Dealer pipeline'!$R$4:$R$503,_calc!$E$802))=0,"",INDEX('Dealer pipeline'!$R$4:$R$503,_calc!$E$802)))=0,"","Owner: "&amp;IF(LEN(INDEX('Dealer pipeline'!$R$4:$R$503,_calc!$E$802))=0,"",INDEX('Dealer pipeline'!$R$4:$R$503,_calc!$E$802))&amp;". ")&amp;IF(LEN(IF(LEN(INDEX('Dealer pipeline'!$S$4:$S$503,_calc!$E$802))=0,"",INDEX('Dealer pipeline'!$S$4:$S$503,_calc!$E$802)))=0,"","Backup: "&amp;IF(LEN(INDEX('Dealer pipeline'!$S$4:$S$503,_calc!$E$802))=0,"",INDEX('Dealer pipeline'!$S$4:$S$503,_calc!$E$802))&amp;". ")&amp;IF(LEN(IF(LEN(INDEX('Dealer pipeline'!$T$4:$T$503,_calc!$E$802))=0,"",INDEX('Dealer pipeline'!$T$4:$T$503,_calc!$E$802)))=0,"",IF(LEN(INDEX('Dealer pipeline'!$T$4:$T$503,_calc!$E$802))=0,"",INDEX('Dealer pipeline'!$T$4:$T$503,_calc!$E$802)))),TRIM(IF(LEN(IF(LEN(INDEX('My equipment'!$C$4:$C$503,(_calc!$E$802-500)))=0,"",INDEX('My equipment'!$C$4:$C$503,(_calc!$E$802-500))))=0,"","Model: "&amp;IF(LEN(INDEX('My equipment'!$C$4:$C$503,(_calc!$E$802-500)))=0,"",INDEX('My equipment'!$C$4:$C$503,(_calc!$E$802-500)))&amp;". ")&amp;IF(LEN(IF(LEN(INDEX('My equipment'!$D$4:$D$503,(_calc!$E$802-500)))=0,"",INDEX('My equipment'!$D$4:$D$503,(_calc!$E$802-500))))=0,"","Serial: "&amp;IF(LEN(INDEX('My equipment'!$D$4:$D$503,(_calc!$E$802-500)))=0,"",INDEX('My equipment'!$D$4:$D$503,(_calc!$E$802-500)))&amp;". ")&amp;IF(LEN(IF(ISNUMBER(INDEX('My equipment'!$J$4:$J$503,(_calc!$E$802-500))),TEXT(INDEX('My equipment'!$J$4:$J$503,(_calc!$E$802-500)),"yyyy-mm-dd"),""))=0,"","Parts end: "&amp;IF(ISNUMBER(INDEX('My equipment'!$J$4:$J$503,(_calc!$E$802-500))),TEXT(INDEX('My equipment'!$J$4:$J$503,(_calc!$E$802-500)),"yyyy-mm-dd"),"")&amp;". ")&amp;IF(LEN(IF(ISNUMBER(INDEX('My equipment'!$L$4:$L$503,(_calc!$E$802-500))),TEXT(INDEX('My equipment'!$L$4:$L$503,(_calc!$E$802-500)),"yyyy-mm-dd"),""))=0,"","Labor end: "&amp;IF(ISNUMBER(INDEX('My equipment'!$L$4:$L$503,(_calc!$E$802-500))),TEXT(INDEX('My equipment'!$L$4:$L$503,(_calc!$E$802-500)),"yyyy-mm-dd"),"")&amp;". ")&amp;IF(LEN(IF(ISNUMBER(INDEX('My equipment'!$P$4:$P$503,(_calc!$E$802-500))),TEXT(INDEX('My equipment'!$P$4:$P$503,(_calc!$E$802-500)),"yyyy-mm-dd"),""))=0,"","Check by: "&amp;IF(ISNUMBER(INDEX('My equipment'!$P$4:$P$503,(_calc!$E$802-500))),TEXT(INDEX('My equipment'!$P$4:$P$503,(_calc!$E$802-500)),"yyyy-mm-dd"),"")&amp;". ")&amp;IF(LEN(IF(LEN(INDEX('My equipment'!$Q$4:$Q$503,(_calc!$E$802-500)))=0,"",INDEX('My equipment'!$Q$4:$Q$503,(_calc!$E$802-500))))=0,"","Claim status: "&amp;IF(LEN(INDEX('My equipment'!$Q$4:$Q$503,(_calc!$E$802-500)))=0,"",INDEX('My equipment'!$Q$4:$Q$503,(_calc!$E$802-500)))&amp;". ")&amp;IF(LEN(IF(LEN(INDEX('My equipment'!$R$4:$R$503,(_calc!$E$802-500)))=0,"",INDEX('My equipment'!$R$4:$R$503,(_calc!$E$802-500))))=0,"","Claims contact: "&amp;IF(LEN(INDEX('My equipment'!$R$4:$R$503,(_calc!$E$802-500)))=0,"",INDEX('My equipment'!$R$4:$R$503,(_calc!$E$802-500)))&amp;". ")&amp;IF(LEN(IF(LEN(INDEX('My equipment'!$S$4:$S$503,(_calc!$E$802-500)))=0,"",INDEX('My equipment'!$S$4:$S$503,(_calc!$E$802-500))))=0,"","Claims email: "&amp;IF(LEN(INDEX('My equipment'!$S$4:$S$503,(_calc!$E$802-500)))=0,"",INDEX('My equipment'!$S$4:$S$503,(_calc!$E$802-500)))&amp;". ")&amp;IF(LEN(IF(LEN(INDEX('My equipment'!$U$4:$U$503,(_calc!$E$802-500)))=0,"",INDEX('My equipment'!$U$4:$U$503,(_calc!$E$802-500))))=0,"","Registered: "&amp;IF(LEN(INDEX('My equipment'!$U$4:$U$503,(_calc!$E$802-500)))=0,"",INDEX('My equipment'!$U$4:$U$503,(_calc!$E$802-500)))&amp;". ")&amp;IF(LEN(IF(LEN(INDEX('My equipment'!$V$4:$V$503,(_calc!$E$802-500)))=0,"",INDEX('My equipment'!$V$4:$V$503,(_calc!$E$802-500))))=0,"","Proof on file: "&amp;IF(LEN(INDEX('My equipment'!$V$4:$V$503,(_calc!$E$802-500)))=0,"",INDEX('My equipment'!$V$4:$V$503,(_calc!$E$802-500)))&amp;". ")&amp;IF(LEN(IF(LEN(INDEX('My equipment'!$W$4:$W$503,(_calc!$E$802-500)))=0,"",INDEX('My equipment'!$W$4:$W$503,(_calc!$E$802-500))))=0,"","Claim ref: "&amp;IF(LEN(INDEX('My equipment'!$W$4:$W$503,(_calc!$E$802-500)))=0,"",INDEX('My equipment'!$W$4:$W$503,(_calc!$E$802-500)))&amp;". ")&amp;IF(LEN(IF(LEN(INDEX('My equipment'!$Y$4:$Y$503,(_calc!$E$802-500)))=0,"",INDEX('My equipment'!$Y$4:$Y$503,(_calc!$E$802-500))))=0,"",IF(LEN(INDEX('My equipment'!$Y$4:$Y$503,(_calc!$E$802-500)))=0,"",INDEX('My equipment'!$Y$4:$Y$503,(_calc!$E$802-500)))))))</f>
        <v/>
      </c>
      <c r="G800" s="54">
        <f>IF(_calc!$E$802="","",IF(_calc!$E$802&lt;=500,"",IF(LEN(INDEX('My equipment'!$X$4:$X$503,(_calc!$E$802-500)))=0,"",INDEX('My equipment'!$X$4:$X$503,(_calc!$E$802-500)))))</f>
        <v/>
      </c>
      <c r="K800" s="54">
        <f>IF(_calc!$E$802="","",IF(_calc!$E$802&lt;=500,"",IF(LEN(INDEX('My equipment'!$T$4:$T$503,(_calc!$E$802-500)))=0,"",INDEX('My equipment'!$T$4:$T$503,(_calc!$E$802-500)))))</f>
        <v/>
      </c>
    </row>
    <row r="801">
      <c r="A801" s="54">
        <f>IF(_calc!$E$803="","",IF(_calc!$E$803&lt;=500,"Warranty – "&amp;IF(LEN(INDEX('Dealer pipeline'!$C$4:$C$503,_calc!$E$803))=0,"",INDEX('Dealer pipeline'!$C$4:$C$503,_calc!$E$803))&amp;" – "&amp;IF(LEN(INDEX('Dealer pipeline'!$D$4:$D$503,_calc!$E$803))=0,"",INDEX('Dealer pipeline'!$D$4:$D$503,_calc!$E$803))&amp;" – "&amp;IF(LEN(INDEX('Dealer pipeline'!$A$4:$A$503,_calc!$E$803))=0,"",INDEX('Dealer pipeline'!$A$4:$A$503,_calc!$E$803)),"Warranty – "&amp;IF(LEN(INDEX('My equipment'!$A$4:$A$503,(_calc!$E$803-500)))=0,"",INDEX('My equipment'!$A$4:$A$503,(_calc!$E$803-500)))&amp;" – "&amp;IF(LEN(INDEX('My equipment'!$D$4:$D$503,(_calc!$E$803-500)))=0,"",INDEX('My equipment'!$D$4:$D$503,(_calc!$E$803-500)))))</f>
        <v/>
      </c>
      <c r="B801" s="54">
        <f>IF(_calc!$E$803="","",IF(_calc!$E$803&lt;=500,IF(ISNUMBER(INDEX('Dealer pipeline'!$M$4:$M$503,_calc!$E$803)),TEXT(INDEX('Dealer pipeline'!$M$4:$M$503,_calc!$E$803),"yyyy-mm-dd"),""),IF(ISNUMBER(INDEX('My equipment'!$M$4:$M$503,(_calc!$E$803-500))),TEXT(INDEX('My equipment'!$M$4:$M$503,(_calc!$E$803-500)),"yyyy-mm-dd"),"")))</f>
        <v/>
      </c>
      <c r="C801" s="54">
        <f>IF(_calc!$E$803="","",IF(_calc!$E$803&lt;=500,"Warranty","Warranty"))</f>
        <v/>
      </c>
      <c r="D801" s="54">
        <f>IF(_calc!$E$803="","",IF(_calc!$E$803&lt;=500,IF(ISNUMBER(INDEX('Dealer pipeline'!$H$4:$H$503,_calc!$E$803)),TEXT(INDEX('Dealer pipeline'!$H$4:$H$503,_calc!$E$803),"yyyy-mm-dd"),""),IF(ISNUMBER(INDEX('My equipment'!$H$4:$H$503,(_calc!$E$803-500))),TEXT(INDEX('My equipment'!$H$4:$H$503,(_calc!$E$803-500)),"yyyy-mm-dd"),"")))</f>
        <v/>
      </c>
      <c r="F801" s="54">
        <f>IF(_calc!$E$803="","",IF(_calc!$E$803&lt;=500,TRIM(IF(LEN(IF(LEN(INDEX('Dealer pipeline'!$A$4:$A$503,_calc!$E$803))=0,"",INDEX('Dealer pipeline'!$A$4:$A$503,_calc!$E$803)))=0,"","Customer: "&amp;IF(LEN(INDEX('Dealer pipeline'!$A$4:$A$503,_calc!$E$803))=0,"",INDEX('Dealer pipeline'!$A$4:$A$503,_calc!$E$803))&amp;". ")&amp;IF(LEN(IF(LEN(INDEX('Dealer pipeline'!$B$4:$B$503,_calc!$E$803))=0,"",INDEX('Dealer pipeline'!$B$4:$B$503,_calc!$E$803)))=0,"","Contact: "&amp;IF(LEN(INDEX('Dealer pipeline'!$B$4:$B$503,_calc!$E$803))=0,"",INDEX('Dealer pipeline'!$B$4:$B$503,_calc!$E$803))&amp;". ")&amp;IF(LEN(IF(LEN(INDEX('Dealer pipeline'!$D$4:$D$503,_calc!$E$803))=0,"",INDEX('Dealer pipeline'!$D$4:$D$503,_calc!$E$803)))=0,"","Serial: "&amp;IF(LEN(INDEX('Dealer pipeline'!$D$4:$D$503,_calc!$E$803))=0,"",INDEX('Dealer pipeline'!$D$4:$D$503,_calc!$E$803))&amp;". ")&amp;IF(LEN(IF(ISNUMBER(INDEX('Dealer pipeline'!$J$4:$J$503,_calc!$E$803)),TEXT(INDEX('Dealer pipeline'!$J$4:$J$503,_calc!$E$803),"yyyy-mm-dd"),""))=0,"","Parts end: "&amp;IF(ISNUMBER(INDEX('Dealer pipeline'!$J$4:$J$503,_calc!$E$803)),TEXT(INDEX('Dealer pipeline'!$J$4:$J$503,_calc!$E$803),"yyyy-mm-dd"),"")&amp;". ")&amp;IF(LEN(IF(ISNUMBER(INDEX('Dealer pipeline'!$L$4:$L$503,_calc!$E$803)),TEXT(INDEX('Dealer pipeline'!$L$4:$L$503,_calc!$E$803),"yyyy-mm-dd"),""))=0,"","Labor end: "&amp;IF(ISNUMBER(INDEX('Dealer pipeline'!$L$4:$L$503,_calc!$E$803)),TEXT(INDEX('Dealer pipeline'!$L$4:$L$503,_calc!$E$803),"yyyy-mm-dd"),"")&amp;". ")&amp;IF(LEN(IF(LEN(INDEX('Dealer pipeline'!$Q$4:$Q$503,_calc!$E$803))=0,"",INDEX('Dealer pipeline'!$Q$4:$Q$503,_calc!$E$803)))=0,"","Status: "&amp;IF(LEN(INDEX('Dealer pipeline'!$Q$4:$Q$503,_calc!$E$803))=0,"",INDEX('Dealer pipeline'!$Q$4:$Q$503,_calc!$E$803))&amp;". ")&amp;IF(LEN(IF(LEN(INDEX('Dealer pipeline'!$P$4:$P$503,_calc!$E$803))=0,"",INDEX('Dealer pipeline'!$P$4:$P$503,_calc!$E$803)))=0,"","Last touch: "&amp;IF(LEN(INDEX('Dealer pipeline'!$P$4:$P$503,_calc!$E$803))=0,"",INDEX('Dealer pipeline'!$P$4:$P$503,_calc!$E$803))&amp;". ")&amp;IF(LEN(IF(LEN(INDEX('Dealer pipeline'!$R$4:$R$503,_calc!$E$803))=0,"",INDEX('Dealer pipeline'!$R$4:$R$503,_calc!$E$803)))=0,"","Owner: "&amp;IF(LEN(INDEX('Dealer pipeline'!$R$4:$R$503,_calc!$E$803))=0,"",INDEX('Dealer pipeline'!$R$4:$R$503,_calc!$E$803))&amp;". ")&amp;IF(LEN(IF(LEN(INDEX('Dealer pipeline'!$S$4:$S$503,_calc!$E$803))=0,"",INDEX('Dealer pipeline'!$S$4:$S$503,_calc!$E$803)))=0,"","Backup: "&amp;IF(LEN(INDEX('Dealer pipeline'!$S$4:$S$503,_calc!$E$803))=0,"",INDEX('Dealer pipeline'!$S$4:$S$503,_calc!$E$803))&amp;". ")&amp;IF(LEN(IF(LEN(INDEX('Dealer pipeline'!$T$4:$T$503,_calc!$E$803))=0,"",INDEX('Dealer pipeline'!$T$4:$T$503,_calc!$E$803)))=0,"",IF(LEN(INDEX('Dealer pipeline'!$T$4:$T$503,_calc!$E$803))=0,"",INDEX('Dealer pipeline'!$T$4:$T$503,_calc!$E$803)))),TRIM(IF(LEN(IF(LEN(INDEX('My equipment'!$C$4:$C$503,(_calc!$E$803-500)))=0,"",INDEX('My equipment'!$C$4:$C$503,(_calc!$E$803-500))))=0,"","Model: "&amp;IF(LEN(INDEX('My equipment'!$C$4:$C$503,(_calc!$E$803-500)))=0,"",INDEX('My equipment'!$C$4:$C$503,(_calc!$E$803-500)))&amp;". ")&amp;IF(LEN(IF(LEN(INDEX('My equipment'!$D$4:$D$503,(_calc!$E$803-500)))=0,"",INDEX('My equipment'!$D$4:$D$503,(_calc!$E$803-500))))=0,"","Serial: "&amp;IF(LEN(INDEX('My equipment'!$D$4:$D$503,(_calc!$E$803-500)))=0,"",INDEX('My equipment'!$D$4:$D$503,(_calc!$E$803-500)))&amp;". ")&amp;IF(LEN(IF(ISNUMBER(INDEX('My equipment'!$J$4:$J$503,(_calc!$E$803-500))),TEXT(INDEX('My equipment'!$J$4:$J$503,(_calc!$E$803-500)),"yyyy-mm-dd"),""))=0,"","Parts end: "&amp;IF(ISNUMBER(INDEX('My equipment'!$J$4:$J$503,(_calc!$E$803-500))),TEXT(INDEX('My equipment'!$J$4:$J$503,(_calc!$E$803-500)),"yyyy-mm-dd"),"")&amp;". ")&amp;IF(LEN(IF(ISNUMBER(INDEX('My equipment'!$L$4:$L$503,(_calc!$E$803-500))),TEXT(INDEX('My equipment'!$L$4:$L$503,(_calc!$E$803-500)),"yyyy-mm-dd"),""))=0,"","Labor end: "&amp;IF(ISNUMBER(INDEX('My equipment'!$L$4:$L$503,(_calc!$E$803-500))),TEXT(INDEX('My equipment'!$L$4:$L$503,(_calc!$E$803-500)),"yyyy-mm-dd"),"")&amp;". ")&amp;IF(LEN(IF(ISNUMBER(INDEX('My equipment'!$P$4:$P$503,(_calc!$E$803-500))),TEXT(INDEX('My equipment'!$P$4:$P$503,(_calc!$E$803-500)),"yyyy-mm-dd"),""))=0,"","Check by: "&amp;IF(ISNUMBER(INDEX('My equipment'!$P$4:$P$503,(_calc!$E$803-500))),TEXT(INDEX('My equipment'!$P$4:$P$503,(_calc!$E$803-500)),"yyyy-mm-dd"),"")&amp;". ")&amp;IF(LEN(IF(LEN(INDEX('My equipment'!$Q$4:$Q$503,(_calc!$E$803-500)))=0,"",INDEX('My equipment'!$Q$4:$Q$503,(_calc!$E$803-500))))=0,"","Claim status: "&amp;IF(LEN(INDEX('My equipment'!$Q$4:$Q$503,(_calc!$E$803-500)))=0,"",INDEX('My equipment'!$Q$4:$Q$503,(_calc!$E$803-500)))&amp;". ")&amp;IF(LEN(IF(LEN(INDEX('My equipment'!$R$4:$R$503,(_calc!$E$803-500)))=0,"",INDEX('My equipment'!$R$4:$R$503,(_calc!$E$803-500))))=0,"","Claims contact: "&amp;IF(LEN(INDEX('My equipment'!$R$4:$R$503,(_calc!$E$803-500)))=0,"",INDEX('My equipment'!$R$4:$R$503,(_calc!$E$803-500)))&amp;". ")&amp;IF(LEN(IF(LEN(INDEX('My equipment'!$S$4:$S$503,(_calc!$E$803-500)))=0,"",INDEX('My equipment'!$S$4:$S$503,(_calc!$E$803-500))))=0,"","Claims email: "&amp;IF(LEN(INDEX('My equipment'!$S$4:$S$503,(_calc!$E$803-500)))=0,"",INDEX('My equipment'!$S$4:$S$503,(_calc!$E$803-500)))&amp;". ")&amp;IF(LEN(IF(LEN(INDEX('My equipment'!$U$4:$U$503,(_calc!$E$803-500)))=0,"",INDEX('My equipment'!$U$4:$U$503,(_calc!$E$803-500))))=0,"","Registered: "&amp;IF(LEN(INDEX('My equipment'!$U$4:$U$503,(_calc!$E$803-500)))=0,"",INDEX('My equipment'!$U$4:$U$503,(_calc!$E$803-500)))&amp;". ")&amp;IF(LEN(IF(LEN(INDEX('My equipment'!$V$4:$V$503,(_calc!$E$803-500)))=0,"",INDEX('My equipment'!$V$4:$V$503,(_calc!$E$803-500))))=0,"","Proof on file: "&amp;IF(LEN(INDEX('My equipment'!$V$4:$V$503,(_calc!$E$803-500)))=0,"",INDEX('My equipment'!$V$4:$V$503,(_calc!$E$803-500)))&amp;". ")&amp;IF(LEN(IF(LEN(INDEX('My equipment'!$W$4:$W$503,(_calc!$E$803-500)))=0,"",INDEX('My equipment'!$W$4:$W$503,(_calc!$E$803-500))))=0,"","Claim ref: "&amp;IF(LEN(INDEX('My equipment'!$W$4:$W$503,(_calc!$E$803-500)))=0,"",INDEX('My equipment'!$W$4:$W$503,(_calc!$E$803-500)))&amp;". ")&amp;IF(LEN(IF(LEN(INDEX('My equipment'!$Y$4:$Y$503,(_calc!$E$803-500)))=0,"",INDEX('My equipment'!$Y$4:$Y$503,(_calc!$E$803-500))))=0,"",IF(LEN(INDEX('My equipment'!$Y$4:$Y$503,(_calc!$E$803-500)))=0,"",INDEX('My equipment'!$Y$4:$Y$503,(_calc!$E$803-500)))))))</f>
        <v/>
      </c>
      <c r="G801" s="54">
        <f>IF(_calc!$E$803="","",IF(_calc!$E$803&lt;=500,"",IF(LEN(INDEX('My equipment'!$X$4:$X$503,(_calc!$E$803-500)))=0,"",INDEX('My equipment'!$X$4:$X$503,(_calc!$E$803-500)))))</f>
        <v/>
      </c>
      <c r="K801" s="54">
        <f>IF(_calc!$E$803="","",IF(_calc!$E$803&lt;=500,"",IF(LEN(INDEX('My equipment'!$T$4:$T$503,(_calc!$E$803-500)))=0,"",INDEX('My equipment'!$T$4:$T$503,(_calc!$E$803-500)))))</f>
        <v/>
      </c>
    </row>
    <row r="802">
      <c r="A802" s="54">
        <f>IF(_calc!$E$804="","",IF(_calc!$E$804&lt;=500,"Warranty – "&amp;IF(LEN(INDEX('Dealer pipeline'!$C$4:$C$503,_calc!$E$804))=0,"",INDEX('Dealer pipeline'!$C$4:$C$503,_calc!$E$804))&amp;" – "&amp;IF(LEN(INDEX('Dealer pipeline'!$D$4:$D$503,_calc!$E$804))=0,"",INDEX('Dealer pipeline'!$D$4:$D$503,_calc!$E$804))&amp;" – "&amp;IF(LEN(INDEX('Dealer pipeline'!$A$4:$A$503,_calc!$E$804))=0,"",INDEX('Dealer pipeline'!$A$4:$A$503,_calc!$E$804)),"Warranty – "&amp;IF(LEN(INDEX('My equipment'!$A$4:$A$503,(_calc!$E$804-500)))=0,"",INDEX('My equipment'!$A$4:$A$503,(_calc!$E$804-500)))&amp;" – "&amp;IF(LEN(INDEX('My equipment'!$D$4:$D$503,(_calc!$E$804-500)))=0,"",INDEX('My equipment'!$D$4:$D$503,(_calc!$E$804-500)))))</f>
        <v/>
      </c>
      <c r="B802" s="54">
        <f>IF(_calc!$E$804="","",IF(_calc!$E$804&lt;=500,IF(ISNUMBER(INDEX('Dealer pipeline'!$M$4:$M$503,_calc!$E$804)),TEXT(INDEX('Dealer pipeline'!$M$4:$M$503,_calc!$E$804),"yyyy-mm-dd"),""),IF(ISNUMBER(INDEX('My equipment'!$M$4:$M$503,(_calc!$E$804-500))),TEXT(INDEX('My equipment'!$M$4:$M$503,(_calc!$E$804-500)),"yyyy-mm-dd"),"")))</f>
        <v/>
      </c>
      <c r="C802" s="54">
        <f>IF(_calc!$E$804="","",IF(_calc!$E$804&lt;=500,"Warranty","Warranty"))</f>
        <v/>
      </c>
      <c r="D802" s="54">
        <f>IF(_calc!$E$804="","",IF(_calc!$E$804&lt;=500,IF(ISNUMBER(INDEX('Dealer pipeline'!$H$4:$H$503,_calc!$E$804)),TEXT(INDEX('Dealer pipeline'!$H$4:$H$503,_calc!$E$804),"yyyy-mm-dd"),""),IF(ISNUMBER(INDEX('My equipment'!$H$4:$H$503,(_calc!$E$804-500))),TEXT(INDEX('My equipment'!$H$4:$H$503,(_calc!$E$804-500)),"yyyy-mm-dd"),"")))</f>
        <v/>
      </c>
      <c r="F802" s="54">
        <f>IF(_calc!$E$804="","",IF(_calc!$E$804&lt;=500,TRIM(IF(LEN(IF(LEN(INDEX('Dealer pipeline'!$A$4:$A$503,_calc!$E$804))=0,"",INDEX('Dealer pipeline'!$A$4:$A$503,_calc!$E$804)))=0,"","Customer: "&amp;IF(LEN(INDEX('Dealer pipeline'!$A$4:$A$503,_calc!$E$804))=0,"",INDEX('Dealer pipeline'!$A$4:$A$503,_calc!$E$804))&amp;". ")&amp;IF(LEN(IF(LEN(INDEX('Dealer pipeline'!$B$4:$B$503,_calc!$E$804))=0,"",INDEX('Dealer pipeline'!$B$4:$B$503,_calc!$E$804)))=0,"","Contact: "&amp;IF(LEN(INDEX('Dealer pipeline'!$B$4:$B$503,_calc!$E$804))=0,"",INDEX('Dealer pipeline'!$B$4:$B$503,_calc!$E$804))&amp;". ")&amp;IF(LEN(IF(LEN(INDEX('Dealer pipeline'!$D$4:$D$503,_calc!$E$804))=0,"",INDEX('Dealer pipeline'!$D$4:$D$503,_calc!$E$804)))=0,"","Serial: "&amp;IF(LEN(INDEX('Dealer pipeline'!$D$4:$D$503,_calc!$E$804))=0,"",INDEX('Dealer pipeline'!$D$4:$D$503,_calc!$E$804))&amp;". ")&amp;IF(LEN(IF(ISNUMBER(INDEX('Dealer pipeline'!$J$4:$J$503,_calc!$E$804)),TEXT(INDEX('Dealer pipeline'!$J$4:$J$503,_calc!$E$804),"yyyy-mm-dd"),""))=0,"","Parts end: "&amp;IF(ISNUMBER(INDEX('Dealer pipeline'!$J$4:$J$503,_calc!$E$804)),TEXT(INDEX('Dealer pipeline'!$J$4:$J$503,_calc!$E$804),"yyyy-mm-dd"),"")&amp;". ")&amp;IF(LEN(IF(ISNUMBER(INDEX('Dealer pipeline'!$L$4:$L$503,_calc!$E$804)),TEXT(INDEX('Dealer pipeline'!$L$4:$L$503,_calc!$E$804),"yyyy-mm-dd"),""))=0,"","Labor end: "&amp;IF(ISNUMBER(INDEX('Dealer pipeline'!$L$4:$L$503,_calc!$E$804)),TEXT(INDEX('Dealer pipeline'!$L$4:$L$503,_calc!$E$804),"yyyy-mm-dd"),"")&amp;". ")&amp;IF(LEN(IF(LEN(INDEX('Dealer pipeline'!$Q$4:$Q$503,_calc!$E$804))=0,"",INDEX('Dealer pipeline'!$Q$4:$Q$503,_calc!$E$804)))=0,"","Status: "&amp;IF(LEN(INDEX('Dealer pipeline'!$Q$4:$Q$503,_calc!$E$804))=0,"",INDEX('Dealer pipeline'!$Q$4:$Q$503,_calc!$E$804))&amp;". ")&amp;IF(LEN(IF(LEN(INDEX('Dealer pipeline'!$P$4:$P$503,_calc!$E$804))=0,"",INDEX('Dealer pipeline'!$P$4:$P$503,_calc!$E$804)))=0,"","Last touch: "&amp;IF(LEN(INDEX('Dealer pipeline'!$P$4:$P$503,_calc!$E$804))=0,"",INDEX('Dealer pipeline'!$P$4:$P$503,_calc!$E$804))&amp;". ")&amp;IF(LEN(IF(LEN(INDEX('Dealer pipeline'!$R$4:$R$503,_calc!$E$804))=0,"",INDEX('Dealer pipeline'!$R$4:$R$503,_calc!$E$804)))=0,"","Owner: "&amp;IF(LEN(INDEX('Dealer pipeline'!$R$4:$R$503,_calc!$E$804))=0,"",INDEX('Dealer pipeline'!$R$4:$R$503,_calc!$E$804))&amp;". ")&amp;IF(LEN(IF(LEN(INDEX('Dealer pipeline'!$S$4:$S$503,_calc!$E$804))=0,"",INDEX('Dealer pipeline'!$S$4:$S$503,_calc!$E$804)))=0,"","Backup: "&amp;IF(LEN(INDEX('Dealer pipeline'!$S$4:$S$503,_calc!$E$804))=0,"",INDEX('Dealer pipeline'!$S$4:$S$503,_calc!$E$804))&amp;". ")&amp;IF(LEN(IF(LEN(INDEX('Dealer pipeline'!$T$4:$T$503,_calc!$E$804))=0,"",INDEX('Dealer pipeline'!$T$4:$T$503,_calc!$E$804)))=0,"",IF(LEN(INDEX('Dealer pipeline'!$T$4:$T$503,_calc!$E$804))=0,"",INDEX('Dealer pipeline'!$T$4:$T$503,_calc!$E$804)))),TRIM(IF(LEN(IF(LEN(INDEX('My equipment'!$C$4:$C$503,(_calc!$E$804-500)))=0,"",INDEX('My equipment'!$C$4:$C$503,(_calc!$E$804-500))))=0,"","Model: "&amp;IF(LEN(INDEX('My equipment'!$C$4:$C$503,(_calc!$E$804-500)))=0,"",INDEX('My equipment'!$C$4:$C$503,(_calc!$E$804-500)))&amp;". ")&amp;IF(LEN(IF(LEN(INDEX('My equipment'!$D$4:$D$503,(_calc!$E$804-500)))=0,"",INDEX('My equipment'!$D$4:$D$503,(_calc!$E$804-500))))=0,"","Serial: "&amp;IF(LEN(INDEX('My equipment'!$D$4:$D$503,(_calc!$E$804-500)))=0,"",INDEX('My equipment'!$D$4:$D$503,(_calc!$E$804-500)))&amp;". ")&amp;IF(LEN(IF(ISNUMBER(INDEX('My equipment'!$J$4:$J$503,(_calc!$E$804-500))),TEXT(INDEX('My equipment'!$J$4:$J$503,(_calc!$E$804-500)),"yyyy-mm-dd"),""))=0,"","Parts end: "&amp;IF(ISNUMBER(INDEX('My equipment'!$J$4:$J$503,(_calc!$E$804-500))),TEXT(INDEX('My equipment'!$J$4:$J$503,(_calc!$E$804-500)),"yyyy-mm-dd"),"")&amp;". ")&amp;IF(LEN(IF(ISNUMBER(INDEX('My equipment'!$L$4:$L$503,(_calc!$E$804-500))),TEXT(INDEX('My equipment'!$L$4:$L$503,(_calc!$E$804-500)),"yyyy-mm-dd"),""))=0,"","Labor end: "&amp;IF(ISNUMBER(INDEX('My equipment'!$L$4:$L$503,(_calc!$E$804-500))),TEXT(INDEX('My equipment'!$L$4:$L$503,(_calc!$E$804-500)),"yyyy-mm-dd"),"")&amp;". ")&amp;IF(LEN(IF(ISNUMBER(INDEX('My equipment'!$P$4:$P$503,(_calc!$E$804-500))),TEXT(INDEX('My equipment'!$P$4:$P$503,(_calc!$E$804-500)),"yyyy-mm-dd"),""))=0,"","Check by: "&amp;IF(ISNUMBER(INDEX('My equipment'!$P$4:$P$503,(_calc!$E$804-500))),TEXT(INDEX('My equipment'!$P$4:$P$503,(_calc!$E$804-500)),"yyyy-mm-dd"),"")&amp;". ")&amp;IF(LEN(IF(LEN(INDEX('My equipment'!$Q$4:$Q$503,(_calc!$E$804-500)))=0,"",INDEX('My equipment'!$Q$4:$Q$503,(_calc!$E$804-500))))=0,"","Claim status: "&amp;IF(LEN(INDEX('My equipment'!$Q$4:$Q$503,(_calc!$E$804-500)))=0,"",INDEX('My equipment'!$Q$4:$Q$503,(_calc!$E$804-500)))&amp;". ")&amp;IF(LEN(IF(LEN(INDEX('My equipment'!$R$4:$R$503,(_calc!$E$804-500)))=0,"",INDEX('My equipment'!$R$4:$R$503,(_calc!$E$804-500))))=0,"","Claims contact: "&amp;IF(LEN(INDEX('My equipment'!$R$4:$R$503,(_calc!$E$804-500)))=0,"",INDEX('My equipment'!$R$4:$R$503,(_calc!$E$804-500)))&amp;". ")&amp;IF(LEN(IF(LEN(INDEX('My equipment'!$S$4:$S$503,(_calc!$E$804-500)))=0,"",INDEX('My equipment'!$S$4:$S$503,(_calc!$E$804-500))))=0,"","Claims email: "&amp;IF(LEN(INDEX('My equipment'!$S$4:$S$503,(_calc!$E$804-500)))=0,"",INDEX('My equipment'!$S$4:$S$503,(_calc!$E$804-500)))&amp;". ")&amp;IF(LEN(IF(LEN(INDEX('My equipment'!$U$4:$U$503,(_calc!$E$804-500)))=0,"",INDEX('My equipment'!$U$4:$U$503,(_calc!$E$804-500))))=0,"","Registered: "&amp;IF(LEN(INDEX('My equipment'!$U$4:$U$503,(_calc!$E$804-500)))=0,"",INDEX('My equipment'!$U$4:$U$503,(_calc!$E$804-500)))&amp;". ")&amp;IF(LEN(IF(LEN(INDEX('My equipment'!$V$4:$V$503,(_calc!$E$804-500)))=0,"",INDEX('My equipment'!$V$4:$V$503,(_calc!$E$804-500))))=0,"","Proof on file: "&amp;IF(LEN(INDEX('My equipment'!$V$4:$V$503,(_calc!$E$804-500)))=0,"",INDEX('My equipment'!$V$4:$V$503,(_calc!$E$804-500)))&amp;". ")&amp;IF(LEN(IF(LEN(INDEX('My equipment'!$W$4:$W$503,(_calc!$E$804-500)))=0,"",INDEX('My equipment'!$W$4:$W$503,(_calc!$E$804-500))))=0,"","Claim ref: "&amp;IF(LEN(INDEX('My equipment'!$W$4:$W$503,(_calc!$E$804-500)))=0,"",INDEX('My equipment'!$W$4:$W$503,(_calc!$E$804-500)))&amp;". ")&amp;IF(LEN(IF(LEN(INDEX('My equipment'!$Y$4:$Y$503,(_calc!$E$804-500)))=0,"",INDEX('My equipment'!$Y$4:$Y$503,(_calc!$E$804-500))))=0,"",IF(LEN(INDEX('My equipment'!$Y$4:$Y$503,(_calc!$E$804-500)))=0,"",INDEX('My equipment'!$Y$4:$Y$503,(_calc!$E$804-500)))))))</f>
        <v/>
      </c>
      <c r="G802" s="54">
        <f>IF(_calc!$E$804="","",IF(_calc!$E$804&lt;=500,"",IF(LEN(INDEX('My equipment'!$X$4:$X$503,(_calc!$E$804-500)))=0,"",INDEX('My equipment'!$X$4:$X$503,(_calc!$E$804-500)))))</f>
        <v/>
      </c>
      <c r="K802" s="54">
        <f>IF(_calc!$E$804="","",IF(_calc!$E$804&lt;=500,"",IF(LEN(INDEX('My equipment'!$T$4:$T$503,(_calc!$E$804-500)))=0,"",INDEX('My equipment'!$T$4:$T$503,(_calc!$E$804-500)))))</f>
        <v/>
      </c>
    </row>
    <row r="803">
      <c r="A803" s="54">
        <f>IF(_calc!$E$805="","",IF(_calc!$E$805&lt;=500,"Warranty – "&amp;IF(LEN(INDEX('Dealer pipeline'!$C$4:$C$503,_calc!$E$805))=0,"",INDEX('Dealer pipeline'!$C$4:$C$503,_calc!$E$805))&amp;" – "&amp;IF(LEN(INDEX('Dealer pipeline'!$D$4:$D$503,_calc!$E$805))=0,"",INDEX('Dealer pipeline'!$D$4:$D$503,_calc!$E$805))&amp;" – "&amp;IF(LEN(INDEX('Dealer pipeline'!$A$4:$A$503,_calc!$E$805))=0,"",INDEX('Dealer pipeline'!$A$4:$A$503,_calc!$E$805)),"Warranty – "&amp;IF(LEN(INDEX('My equipment'!$A$4:$A$503,(_calc!$E$805-500)))=0,"",INDEX('My equipment'!$A$4:$A$503,(_calc!$E$805-500)))&amp;" – "&amp;IF(LEN(INDEX('My equipment'!$D$4:$D$503,(_calc!$E$805-500)))=0,"",INDEX('My equipment'!$D$4:$D$503,(_calc!$E$805-500)))))</f>
        <v/>
      </c>
      <c r="B803" s="54">
        <f>IF(_calc!$E$805="","",IF(_calc!$E$805&lt;=500,IF(ISNUMBER(INDEX('Dealer pipeline'!$M$4:$M$503,_calc!$E$805)),TEXT(INDEX('Dealer pipeline'!$M$4:$M$503,_calc!$E$805),"yyyy-mm-dd"),""),IF(ISNUMBER(INDEX('My equipment'!$M$4:$M$503,(_calc!$E$805-500))),TEXT(INDEX('My equipment'!$M$4:$M$503,(_calc!$E$805-500)),"yyyy-mm-dd"),"")))</f>
        <v/>
      </c>
      <c r="C803" s="54">
        <f>IF(_calc!$E$805="","",IF(_calc!$E$805&lt;=500,"Warranty","Warranty"))</f>
        <v/>
      </c>
      <c r="D803" s="54">
        <f>IF(_calc!$E$805="","",IF(_calc!$E$805&lt;=500,IF(ISNUMBER(INDEX('Dealer pipeline'!$H$4:$H$503,_calc!$E$805)),TEXT(INDEX('Dealer pipeline'!$H$4:$H$503,_calc!$E$805),"yyyy-mm-dd"),""),IF(ISNUMBER(INDEX('My equipment'!$H$4:$H$503,(_calc!$E$805-500))),TEXT(INDEX('My equipment'!$H$4:$H$503,(_calc!$E$805-500)),"yyyy-mm-dd"),"")))</f>
        <v/>
      </c>
      <c r="F803" s="54">
        <f>IF(_calc!$E$805="","",IF(_calc!$E$805&lt;=500,TRIM(IF(LEN(IF(LEN(INDEX('Dealer pipeline'!$A$4:$A$503,_calc!$E$805))=0,"",INDEX('Dealer pipeline'!$A$4:$A$503,_calc!$E$805)))=0,"","Customer: "&amp;IF(LEN(INDEX('Dealer pipeline'!$A$4:$A$503,_calc!$E$805))=0,"",INDEX('Dealer pipeline'!$A$4:$A$503,_calc!$E$805))&amp;". ")&amp;IF(LEN(IF(LEN(INDEX('Dealer pipeline'!$B$4:$B$503,_calc!$E$805))=0,"",INDEX('Dealer pipeline'!$B$4:$B$503,_calc!$E$805)))=0,"","Contact: "&amp;IF(LEN(INDEX('Dealer pipeline'!$B$4:$B$503,_calc!$E$805))=0,"",INDEX('Dealer pipeline'!$B$4:$B$503,_calc!$E$805))&amp;". ")&amp;IF(LEN(IF(LEN(INDEX('Dealer pipeline'!$D$4:$D$503,_calc!$E$805))=0,"",INDEX('Dealer pipeline'!$D$4:$D$503,_calc!$E$805)))=0,"","Serial: "&amp;IF(LEN(INDEX('Dealer pipeline'!$D$4:$D$503,_calc!$E$805))=0,"",INDEX('Dealer pipeline'!$D$4:$D$503,_calc!$E$805))&amp;". ")&amp;IF(LEN(IF(ISNUMBER(INDEX('Dealer pipeline'!$J$4:$J$503,_calc!$E$805)),TEXT(INDEX('Dealer pipeline'!$J$4:$J$503,_calc!$E$805),"yyyy-mm-dd"),""))=0,"","Parts end: "&amp;IF(ISNUMBER(INDEX('Dealer pipeline'!$J$4:$J$503,_calc!$E$805)),TEXT(INDEX('Dealer pipeline'!$J$4:$J$503,_calc!$E$805),"yyyy-mm-dd"),"")&amp;". ")&amp;IF(LEN(IF(ISNUMBER(INDEX('Dealer pipeline'!$L$4:$L$503,_calc!$E$805)),TEXT(INDEX('Dealer pipeline'!$L$4:$L$503,_calc!$E$805),"yyyy-mm-dd"),""))=0,"","Labor end: "&amp;IF(ISNUMBER(INDEX('Dealer pipeline'!$L$4:$L$503,_calc!$E$805)),TEXT(INDEX('Dealer pipeline'!$L$4:$L$503,_calc!$E$805),"yyyy-mm-dd"),"")&amp;". ")&amp;IF(LEN(IF(LEN(INDEX('Dealer pipeline'!$Q$4:$Q$503,_calc!$E$805))=0,"",INDEX('Dealer pipeline'!$Q$4:$Q$503,_calc!$E$805)))=0,"","Status: "&amp;IF(LEN(INDEX('Dealer pipeline'!$Q$4:$Q$503,_calc!$E$805))=0,"",INDEX('Dealer pipeline'!$Q$4:$Q$503,_calc!$E$805))&amp;". ")&amp;IF(LEN(IF(LEN(INDEX('Dealer pipeline'!$P$4:$P$503,_calc!$E$805))=0,"",INDEX('Dealer pipeline'!$P$4:$P$503,_calc!$E$805)))=0,"","Last touch: "&amp;IF(LEN(INDEX('Dealer pipeline'!$P$4:$P$503,_calc!$E$805))=0,"",INDEX('Dealer pipeline'!$P$4:$P$503,_calc!$E$805))&amp;". ")&amp;IF(LEN(IF(LEN(INDEX('Dealer pipeline'!$R$4:$R$503,_calc!$E$805))=0,"",INDEX('Dealer pipeline'!$R$4:$R$503,_calc!$E$805)))=0,"","Owner: "&amp;IF(LEN(INDEX('Dealer pipeline'!$R$4:$R$503,_calc!$E$805))=0,"",INDEX('Dealer pipeline'!$R$4:$R$503,_calc!$E$805))&amp;". ")&amp;IF(LEN(IF(LEN(INDEX('Dealer pipeline'!$S$4:$S$503,_calc!$E$805))=0,"",INDEX('Dealer pipeline'!$S$4:$S$503,_calc!$E$805)))=0,"","Backup: "&amp;IF(LEN(INDEX('Dealer pipeline'!$S$4:$S$503,_calc!$E$805))=0,"",INDEX('Dealer pipeline'!$S$4:$S$503,_calc!$E$805))&amp;". ")&amp;IF(LEN(IF(LEN(INDEX('Dealer pipeline'!$T$4:$T$503,_calc!$E$805))=0,"",INDEX('Dealer pipeline'!$T$4:$T$503,_calc!$E$805)))=0,"",IF(LEN(INDEX('Dealer pipeline'!$T$4:$T$503,_calc!$E$805))=0,"",INDEX('Dealer pipeline'!$T$4:$T$503,_calc!$E$805)))),TRIM(IF(LEN(IF(LEN(INDEX('My equipment'!$C$4:$C$503,(_calc!$E$805-500)))=0,"",INDEX('My equipment'!$C$4:$C$503,(_calc!$E$805-500))))=0,"","Model: "&amp;IF(LEN(INDEX('My equipment'!$C$4:$C$503,(_calc!$E$805-500)))=0,"",INDEX('My equipment'!$C$4:$C$503,(_calc!$E$805-500)))&amp;". ")&amp;IF(LEN(IF(LEN(INDEX('My equipment'!$D$4:$D$503,(_calc!$E$805-500)))=0,"",INDEX('My equipment'!$D$4:$D$503,(_calc!$E$805-500))))=0,"","Serial: "&amp;IF(LEN(INDEX('My equipment'!$D$4:$D$503,(_calc!$E$805-500)))=0,"",INDEX('My equipment'!$D$4:$D$503,(_calc!$E$805-500)))&amp;". ")&amp;IF(LEN(IF(ISNUMBER(INDEX('My equipment'!$J$4:$J$503,(_calc!$E$805-500))),TEXT(INDEX('My equipment'!$J$4:$J$503,(_calc!$E$805-500)),"yyyy-mm-dd"),""))=0,"","Parts end: "&amp;IF(ISNUMBER(INDEX('My equipment'!$J$4:$J$503,(_calc!$E$805-500))),TEXT(INDEX('My equipment'!$J$4:$J$503,(_calc!$E$805-500)),"yyyy-mm-dd"),"")&amp;". ")&amp;IF(LEN(IF(ISNUMBER(INDEX('My equipment'!$L$4:$L$503,(_calc!$E$805-500))),TEXT(INDEX('My equipment'!$L$4:$L$503,(_calc!$E$805-500)),"yyyy-mm-dd"),""))=0,"","Labor end: "&amp;IF(ISNUMBER(INDEX('My equipment'!$L$4:$L$503,(_calc!$E$805-500))),TEXT(INDEX('My equipment'!$L$4:$L$503,(_calc!$E$805-500)),"yyyy-mm-dd"),"")&amp;". ")&amp;IF(LEN(IF(ISNUMBER(INDEX('My equipment'!$P$4:$P$503,(_calc!$E$805-500))),TEXT(INDEX('My equipment'!$P$4:$P$503,(_calc!$E$805-500)),"yyyy-mm-dd"),""))=0,"","Check by: "&amp;IF(ISNUMBER(INDEX('My equipment'!$P$4:$P$503,(_calc!$E$805-500))),TEXT(INDEX('My equipment'!$P$4:$P$503,(_calc!$E$805-500)),"yyyy-mm-dd"),"")&amp;". ")&amp;IF(LEN(IF(LEN(INDEX('My equipment'!$Q$4:$Q$503,(_calc!$E$805-500)))=0,"",INDEX('My equipment'!$Q$4:$Q$503,(_calc!$E$805-500))))=0,"","Claim status: "&amp;IF(LEN(INDEX('My equipment'!$Q$4:$Q$503,(_calc!$E$805-500)))=0,"",INDEX('My equipment'!$Q$4:$Q$503,(_calc!$E$805-500)))&amp;". ")&amp;IF(LEN(IF(LEN(INDEX('My equipment'!$R$4:$R$503,(_calc!$E$805-500)))=0,"",INDEX('My equipment'!$R$4:$R$503,(_calc!$E$805-500))))=0,"","Claims contact: "&amp;IF(LEN(INDEX('My equipment'!$R$4:$R$503,(_calc!$E$805-500)))=0,"",INDEX('My equipment'!$R$4:$R$503,(_calc!$E$805-500)))&amp;". ")&amp;IF(LEN(IF(LEN(INDEX('My equipment'!$S$4:$S$503,(_calc!$E$805-500)))=0,"",INDEX('My equipment'!$S$4:$S$503,(_calc!$E$805-500))))=0,"","Claims email: "&amp;IF(LEN(INDEX('My equipment'!$S$4:$S$503,(_calc!$E$805-500)))=0,"",INDEX('My equipment'!$S$4:$S$503,(_calc!$E$805-500)))&amp;". ")&amp;IF(LEN(IF(LEN(INDEX('My equipment'!$U$4:$U$503,(_calc!$E$805-500)))=0,"",INDEX('My equipment'!$U$4:$U$503,(_calc!$E$805-500))))=0,"","Registered: "&amp;IF(LEN(INDEX('My equipment'!$U$4:$U$503,(_calc!$E$805-500)))=0,"",INDEX('My equipment'!$U$4:$U$503,(_calc!$E$805-500)))&amp;". ")&amp;IF(LEN(IF(LEN(INDEX('My equipment'!$V$4:$V$503,(_calc!$E$805-500)))=0,"",INDEX('My equipment'!$V$4:$V$503,(_calc!$E$805-500))))=0,"","Proof on file: "&amp;IF(LEN(INDEX('My equipment'!$V$4:$V$503,(_calc!$E$805-500)))=0,"",INDEX('My equipment'!$V$4:$V$503,(_calc!$E$805-500)))&amp;". ")&amp;IF(LEN(IF(LEN(INDEX('My equipment'!$W$4:$W$503,(_calc!$E$805-500)))=0,"",INDEX('My equipment'!$W$4:$W$503,(_calc!$E$805-500))))=0,"","Claim ref: "&amp;IF(LEN(INDEX('My equipment'!$W$4:$W$503,(_calc!$E$805-500)))=0,"",INDEX('My equipment'!$W$4:$W$503,(_calc!$E$805-500)))&amp;". ")&amp;IF(LEN(IF(LEN(INDEX('My equipment'!$Y$4:$Y$503,(_calc!$E$805-500)))=0,"",INDEX('My equipment'!$Y$4:$Y$503,(_calc!$E$805-500))))=0,"",IF(LEN(INDEX('My equipment'!$Y$4:$Y$503,(_calc!$E$805-500)))=0,"",INDEX('My equipment'!$Y$4:$Y$503,(_calc!$E$805-500)))))))</f>
        <v/>
      </c>
      <c r="G803" s="54">
        <f>IF(_calc!$E$805="","",IF(_calc!$E$805&lt;=500,"",IF(LEN(INDEX('My equipment'!$X$4:$X$503,(_calc!$E$805-500)))=0,"",INDEX('My equipment'!$X$4:$X$503,(_calc!$E$805-500)))))</f>
        <v/>
      </c>
      <c r="K803" s="54">
        <f>IF(_calc!$E$805="","",IF(_calc!$E$805&lt;=500,"",IF(LEN(INDEX('My equipment'!$T$4:$T$503,(_calc!$E$805-500)))=0,"",INDEX('My equipment'!$T$4:$T$503,(_calc!$E$805-500)))))</f>
        <v/>
      </c>
    </row>
    <row r="804">
      <c r="A804" s="54">
        <f>IF(_calc!$E$806="","",IF(_calc!$E$806&lt;=500,"Warranty – "&amp;IF(LEN(INDEX('Dealer pipeline'!$C$4:$C$503,_calc!$E$806))=0,"",INDEX('Dealer pipeline'!$C$4:$C$503,_calc!$E$806))&amp;" – "&amp;IF(LEN(INDEX('Dealer pipeline'!$D$4:$D$503,_calc!$E$806))=0,"",INDEX('Dealer pipeline'!$D$4:$D$503,_calc!$E$806))&amp;" – "&amp;IF(LEN(INDEX('Dealer pipeline'!$A$4:$A$503,_calc!$E$806))=0,"",INDEX('Dealer pipeline'!$A$4:$A$503,_calc!$E$806)),"Warranty – "&amp;IF(LEN(INDEX('My equipment'!$A$4:$A$503,(_calc!$E$806-500)))=0,"",INDEX('My equipment'!$A$4:$A$503,(_calc!$E$806-500)))&amp;" – "&amp;IF(LEN(INDEX('My equipment'!$D$4:$D$503,(_calc!$E$806-500)))=0,"",INDEX('My equipment'!$D$4:$D$503,(_calc!$E$806-500)))))</f>
        <v/>
      </c>
      <c r="B804" s="54">
        <f>IF(_calc!$E$806="","",IF(_calc!$E$806&lt;=500,IF(ISNUMBER(INDEX('Dealer pipeline'!$M$4:$M$503,_calc!$E$806)),TEXT(INDEX('Dealer pipeline'!$M$4:$M$503,_calc!$E$806),"yyyy-mm-dd"),""),IF(ISNUMBER(INDEX('My equipment'!$M$4:$M$503,(_calc!$E$806-500))),TEXT(INDEX('My equipment'!$M$4:$M$503,(_calc!$E$806-500)),"yyyy-mm-dd"),"")))</f>
        <v/>
      </c>
      <c r="C804" s="54">
        <f>IF(_calc!$E$806="","",IF(_calc!$E$806&lt;=500,"Warranty","Warranty"))</f>
        <v/>
      </c>
      <c r="D804" s="54">
        <f>IF(_calc!$E$806="","",IF(_calc!$E$806&lt;=500,IF(ISNUMBER(INDEX('Dealer pipeline'!$H$4:$H$503,_calc!$E$806)),TEXT(INDEX('Dealer pipeline'!$H$4:$H$503,_calc!$E$806),"yyyy-mm-dd"),""),IF(ISNUMBER(INDEX('My equipment'!$H$4:$H$503,(_calc!$E$806-500))),TEXT(INDEX('My equipment'!$H$4:$H$503,(_calc!$E$806-500)),"yyyy-mm-dd"),"")))</f>
        <v/>
      </c>
      <c r="F804" s="54">
        <f>IF(_calc!$E$806="","",IF(_calc!$E$806&lt;=500,TRIM(IF(LEN(IF(LEN(INDEX('Dealer pipeline'!$A$4:$A$503,_calc!$E$806))=0,"",INDEX('Dealer pipeline'!$A$4:$A$503,_calc!$E$806)))=0,"","Customer: "&amp;IF(LEN(INDEX('Dealer pipeline'!$A$4:$A$503,_calc!$E$806))=0,"",INDEX('Dealer pipeline'!$A$4:$A$503,_calc!$E$806))&amp;". ")&amp;IF(LEN(IF(LEN(INDEX('Dealer pipeline'!$B$4:$B$503,_calc!$E$806))=0,"",INDEX('Dealer pipeline'!$B$4:$B$503,_calc!$E$806)))=0,"","Contact: "&amp;IF(LEN(INDEX('Dealer pipeline'!$B$4:$B$503,_calc!$E$806))=0,"",INDEX('Dealer pipeline'!$B$4:$B$503,_calc!$E$806))&amp;". ")&amp;IF(LEN(IF(LEN(INDEX('Dealer pipeline'!$D$4:$D$503,_calc!$E$806))=0,"",INDEX('Dealer pipeline'!$D$4:$D$503,_calc!$E$806)))=0,"","Serial: "&amp;IF(LEN(INDEX('Dealer pipeline'!$D$4:$D$503,_calc!$E$806))=0,"",INDEX('Dealer pipeline'!$D$4:$D$503,_calc!$E$806))&amp;". ")&amp;IF(LEN(IF(ISNUMBER(INDEX('Dealer pipeline'!$J$4:$J$503,_calc!$E$806)),TEXT(INDEX('Dealer pipeline'!$J$4:$J$503,_calc!$E$806),"yyyy-mm-dd"),""))=0,"","Parts end: "&amp;IF(ISNUMBER(INDEX('Dealer pipeline'!$J$4:$J$503,_calc!$E$806)),TEXT(INDEX('Dealer pipeline'!$J$4:$J$503,_calc!$E$806),"yyyy-mm-dd"),"")&amp;". ")&amp;IF(LEN(IF(ISNUMBER(INDEX('Dealer pipeline'!$L$4:$L$503,_calc!$E$806)),TEXT(INDEX('Dealer pipeline'!$L$4:$L$503,_calc!$E$806),"yyyy-mm-dd"),""))=0,"","Labor end: "&amp;IF(ISNUMBER(INDEX('Dealer pipeline'!$L$4:$L$503,_calc!$E$806)),TEXT(INDEX('Dealer pipeline'!$L$4:$L$503,_calc!$E$806),"yyyy-mm-dd"),"")&amp;". ")&amp;IF(LEN(IF(LEN(INDEX('Dealer pipeline'!$Q$4:$Q$503,_calc!$E$806))=0,"",INDEX('Dealer pipeline'!$Q$4:$Q$503,_calc!$E$806)))=0,"","Status: "&amp;IF(LEN(INDEX('Dealer pipeline'!$Q$4:$Q$503,_calc!$E$806))=0,"",INDEX('Dealer pipeline'!$Q$4:$Q$503,_calc!$E$806))&amp;". ")&amp;IF(LEN(IF(LEN(INDEX('Dealer pipeline'!$P$4:$P$503,_calc!$E$806))=0,"",INDEX('Dealer pipeline'!$P$4:$P$503,_calc!$E$806)))=0,"","Last touch: "&amp;IF(LEN(INDEX('Dealer pipeline'!$P$4:$P$503,_calc!$E$806))=0,"",INDEX('Dealer pipeline'!$P$4:$P$503,_calc!$E$806))&amp;". ")&amp;IF(LEN(IF(LEN(INDEX('Dealer pipeline'!$R$4:$R$503,_calc!$E$806))=0,"",INDEX('Dealer pipeline'!$R$4:$R$503,_calc!$E$806)))=0,"","Owner: "&amp;IF(LEN(INDEX('Dealer pipeline'!$R$4:$R$503,_calc!$E$806))=0,"",INDEX('Dealer pipeline'!$R$4:$R$503,_calc!$E$806))&amp;". ")&amp;IF(LEN(IF(LEN(INDEX('Dealer pipeline'!$S$4:$S$503,_calc!$E$806))=0,"",INDEX('Dealer pipeline'!$S$4:$S$503,_calc!$E$806)))=0,"","Backup: "&amp;IF(LEN(INDEX('Dealer pipeline'!$S$4:$S$503,_calc!$E$806))=0,"",INDEX('Dealer pipeline'!$S$4:$S$503,_calc!$E$806))&amp;". ")&amp;IF(LEN(IF(LEN(INDEX('Dealer pipeline'!$T$4:$T$503,_calc!$E$806))=0,"",INDEX('Dealer pipeline'!$T$4:$T$503,_calc!$E$806)))=0,"",IF(LEN(INDEX('Dealer pipeline'!$T$4:$T$503,_calc!$E$806))=0,"",INDEX('Dealer pipeline'!$T$4:$T$503,_calc!$E$806)))),TRIM(IF(LEN(IF(LEN(INDEX('My equipment'!$C$4:$C$503,(_calc!$E$806-500)))=0,"",INDEX('My equipment'!$C$4:$C$503,(_calc!$E$806-500))))=0,"","Model: "&amp;IF(LEN(INDEX('My equipment'!$C$4:$C$503,(_calc!$E$806-500)))=0,"",INDEX('My equipment'!$C$4:$C$503,(_calc!$E$806-500)))&amp;". ")&amp;IF(LEN(IF(LEN(INDEX('My equipment'!$D$4:$D$503,(_calc!$E$806-500)))=0,"",INDEX('My equipment'!$D$4:$D$503,(_calc!$E$806-500))))=0,"","Serial: "&amp;IF(LEN(INDEX('My equipment'!$D$4:$D$503,(_calc!$E$806-500)))=0,"",INDEX('My equipment'!$D$4:$D$503,(_calc!$E$806-500)))&amp;". ")&amp;IF(LEN(IF(ISNUMBER(INDEX('My equipment'!$J$4:$J$503,(_calc!$E$806-500))),TEXT(INDEX('My equipment'!$J$4:$J$503,(_calc!$E$806-500)),"yyyy-mm-dd"),""))=0,"","Parts end: "&amp;IF(ISNUMBER(INDEX('My equipment'!$J$4:$J$503,(_calc!$E$806-500))),TEXT(INDEX('My equipment'!$J$4:$J$503,(_calc!$E$806-500)),"yyyy-mm-dd"),"")&amp;". ")&amp;IF(LEN(IF(ISNUMBER(INDEX('My equipment'!$L$4:$L$503,(_calc!$E$806-500))),TEXT(INDEX('My equipment'!$L$4:$L$503,(_calc!$E$806-500)),"yyyy-mm-dd"),""))=0,"","Labor end: "&amp;IF(ISNUMBER(INDEX('My equipment'!$L$4:$L$503,(_calc!$E$806-500))),TEXT(INDEX('My equipment'!$L$4:$L$503,(_calc!$E$806-500)),"yyyy-mm-dd"),"")&amp;". ")&amp;IF(LEN(IF(ISNUMBER(INDEX('My equipment'!$P$4:$P$503,(_calc!$E$806-500))),TEXT(INDEX('My equipment'!$P$4:$P$503,(_calc!$E$806-500)),"yyyy-mm-dd"),""))=0,"","Check by: "&amp;IF(ISNUMBER(INDEX('My equipment'!$P$4:$P$503,(_calc!$E$806-500))),TEXT(INDEX('My equipment'!$P$4:$P$503,(_calc!$E$806-500)),"yyyy-mm-dd"),"")&amp;". ")&amp;IF(LEN(IF(LEN(INDEX('My equipment'!$Q$4:$Q$503,(_calc!$E$806-500)))=0,"",INDEX('My equipment'!$Q$4:$Q$503,(_calc!$E$806-500))))=0,"","Claim status: "&amp;IF(LEN(INDEX('My equipment'!$Q$4:$Q$503,(_calc!$E$806-500)))=0,"",INDEX('My equipment'!$Q$4:$Q$503,(_calc!$E$806-500)))&amp;". ")&amp;IF(LEN(IF(LEN(INDEX('My equipment'!$R$4:$R$503,(_calc!$E$806-500)))=0,"",INDEX('My equipment'!$R$4:$R$503,(_calc!$E$806-500))))=0,"","Claims contact: "&amp;IF(LEN(INDEX('My equipment'!$R$4:$R$503,(_calc!$E$806-500)))=0,"",INDEX('My equipment'!$R$4:$R$503,(_calc!$E$806-500)))&amp;". ")&amp;IF(LEN(IF(LEN(INDEX('My equipment'!$S$4:$S$503,(_calc!$E$806-500)))=0,"",INDEX('My equipment'!$S$4:$S$503,(_calc!$E$806-500))))=0,"","Claims email: "&amp;IF(LEN(INDEX('My equipment'!$S$4:$S$503,(_calc!$E$806-500)))=0,"",INDEX('My equipment'!$S$4:$S$503,(_calc!$E$806-500)))&amp;". ")&amp;IF(LEN(IF(LEN(INDEX('My equipment'!$U$4:$U$503,(_calc!$E$806-500)))=0,"",INDEX('My equipment'!$U$4:$U$503,(_calc!$E$806-500))))=0,"","Registered: "&amp;IF(LEN(INDEX('My equipment'!$U$4:$U$503,(_calc!$E$806-500)))=0,"",INDEX('My equipment'!$U$4:$U$503,(_calc!$E$806-500)))&amp;". ")&amp;IF(LEN(IF(LEN(INDEX('My equipment'!$V$4:$V$503,(_calc!$E$806-500)))=0,"",INDEX('My equipment'!$V$4:$V$503,(_calc!$E$806-500))))=0,"","Proof on file: "&amp;IF(LEN(INDEX('My equipment'!$V$4:$V$503,(_calc!$E$806-500)))=0,"",INDEX('My equipment'!$V$4:$V$503,(_calc!$E$806-500)))&amp;". ")&amp;IF(LEN(IF(LEN(INDEX('My equipment'!$W$4:$W$503,(_calc!$E$806-500)))=0,"",INDEX('My equipment'!$W$4:$W$503,(_calc!$E$806-500))))=0,"","Claim ref: "&amp;IF(LEN(INDEX('My equipment'!$W$4:$W$503,(_calc!$E$806-500)))=0,"",INDEX('My equipment'!$W$4:$W$503,(_calc!$E$806-500)))&amp;". ")&amp;IF(LEN(IF(LEN(INDEX('My equipment'!$Y$4:$Y$503,(_calc!$E$806-500)))=0,"",INDEX('My equipment'!$Y$4:$Y$503,(_calc!$E$806-500))))=0,"",IF(LEN(INDEX('My equipment'!$Y$4:$Y$503,(_calc!$E$806-500)))=0,"",INDEX('My equipment'!$Y$4:$Y$503,(_calc!$E$806-500)))))))</f>
        <v/>
      </c>
      <c r="G804" s="54">
        <f>IF(_calc!$E$806="","",IF(_calc!$E$806&lt;=500,"",IF(LEN(INDEX('My equipment'!$X$4:$X$503,(_calc!$E$806-500)))=0,"",INDEX('My equipment'!$X$4:$X$503,(_calc!$E$806-500)))))</f>
        <v/>
      </c>
      <c r="K804" s="54">
        <f>IF(_calc!$E$806="","",IF(_calc!$E$806&lt;=500,"",IF(LEN(INDEX('My equipment'!$T$4:$T$503,(_calc!$E$806-500)))=0,"",INDEX('My equipment'!$T$4:$T$503,(_calc!$E$806-500)))))</f>
        <v/>
      </c>
    </row>
    <row r="805">
      <c r="A805" s="54">
        <f>IF(_calc!$E$807="","",IF(_calc!$E$807&lt;=500,"Warranty – "&amp;IF(LEN(INDEX('Dealer pipeline'!$C$4:$C$503,_calc!$E$807))=0,"",INDEX('Dealer pipeline'!$C$4:$C$503,_calc!$E$807))&amp;" – "&amp;IF(LEN(INDEX('Dealer pipeline'!$D$4:$D$503,_calc!$E$807))=0,"",INDEX('Dealer pipeline'!$D$4:$D$503,_calc!$E$807))&amp;" – "&amp;IF(LEN(INDEX('Dealer pipeline'!$A$4:$A$503,_calc!$E$807))=0,"",INDEX('Dealer pipeline'!$A$4:$A$503,_calc!$E$807)),"Warranty – "&amp;IF(LEN(INDEX('My equipment'!$A$4:$A$503,(_calc!$E$807-500)))=0,"",INDEX('My equipment'!$A$4:$A$503,(_calc!$E$807-500)))&amp;" – "&amp;IF(LEN(INDEX('My equipment'!$D$4:$D$503,(_calc!$E$807-500)))=0,"",INDEX('My equipment'!$D$4:$D$503,(_calc!$E$807-500)))))</f>
        <v/>
      </c>
      <c r="B805" s="54">
        <f>IF(_calc!$E$807="","",IF(_calc!$E$807&lt;=500,IF(ISNUMBER(INDEX('Dealer pipeline'!$M$4:$M$503,_calc!$E$807)),TEXT(INDEX('Dealer pipeline'!$M$4:$M$503,_calc!$E$807),"yyyy-mm-dd"),""),IF(ISNUMBER(INDEX('My equipment'!$M$4:$M$503,(_calc!$E$807-500))),TEXT(INDEX('My equipment'!$M$4:$M$503,(_calc!$E$807-500)),"yyyy-mm-dd"),"")))</f>
        <v/>
      </c>
      <c r="C805" s="54">
        <f>IF(_calc!$E$807="","",IF(_calc!$E$807&lt;=500,"Warranty","Warranty"))</f>
        <v/>
      </c>
      <c r="D805" s="54">
        <f>IF(_calc!$E$807="","",IF(_calc!$E$807&lt;=500,IF(ISNUMBER(INDEX('Dealer pipeline'!$H$4:$H$503,_calc!$E$807)),TEXT(INDEX('Dealer pipeline'!$H$4:$H$503,_calc!$E$807),"yyyy-mm-dd"),""),IF(ISNUMBER(INDEX('My equipment'!$H$4:$H$503,(_calc!$E$807-500))),TEXT(INDEX('My equipment'!$H$4:$H$503,(_calc!$E$807-500)),"yyyy-mm-dd"),"")))</f>
        <v/>
      </c>
      <c r="F805" s="54">
        <f>IF(_calc!$E$807="","",IF(_calc!$E$807&lt;=500,TRIM(IF(LEN(IF(LEN(INDEX('Dealer pipeline'!$A$4:$A$503,_calc!$E$807))=0,"",INDEX('Dealer pipeline'!$A$4:$A$503,_calc!$E$807)))=0,"","Customer: "&amp;IF(LEN(INDEX('Dealer pipeline'!$A$4:$A$503,_calc!$E$807))=0,"",INDEX('Dealer pipeline'!$A$4:$A$503,_calc!$E$807))&amp;". ")&amp;IF(LEN(IF(LEN(INDEX('Dealer pipeline'!$B$4:$B$503,_calc!$E$807))=0,"",INDEX('Dealer pipeline'!$B$4:$B$503,_calc!$E$807)))=0,"","Contact: "&amp;IF(LEN(INDEX('Dealer pipeline'!$B$4:$B$503,_calc!$E$807))=0,"",INDEX('Dealer pipeline'!$B$4:$B$503,_calc!$E$807))&amp;". ")&amp;IF(LEN(IF(LEN(INDEX('Dealer pipeline'!$D$4:$D$503,_calc!$E$807))=0,"",INDEX('Dealer pipeline'!$D$4:$D$503,_calc!$E$807)))=0,"","Serial: "&amp;IF(LEN(INDEX('Dealer pipeline'!$D$4:$D$503,_calc!$E$807))=0,"",INDEX('Dealer pipeline'!$D$4:$D$503,_calc!$E$807))&amp;". ")&amp;IF(LEN(IF(ISNUMBER(INDEX('Dealer pipeline'!$J$4:$J$503,_calc!$E$807)),TEXT(INDEX('Dealer pipeline'!$J$4:$J$503,_calc!$E$807),"yyyy-mm-dd"),""))=0,"","Parts end: "&amp;IF(ISNUMBER(INDEX('Dealer pipeline'!$J$4:$J$503,_calc!$E$807)),TEXT(INDEX('Dealer pipeline'!$J$4:$J$503,_calc!$E$807),"yyyy-mm-dd"),"")&amp;". ")&amp;IF(LEN(IF(ISNUMBER(INDEX('Dealer pipeline'!$L$4:$L$503,_calc!$E$807)),TEXT(INDEX('Dealer pipeline'!$L$4:$L$503,_calc!$E$807),"yyyy-mm-dd"),""))=0,"","Labor end: "&amp;IF(ISNUMBER(INDEX('Dealer pipeline'!$L$4:$L$503,_calc!$E$807)),TEXT(INDEX('Dealer pipeline'!$L$4:$L$503,_calc!$E$807),"yyyy-mm-dd"),"")&amp;". ")&amp;IF(LEN(IF(LEN(INDEX('Dealer pipeline'!$Q$4:$Q$503,_calc!$E$807))=0,"",INDEX('Dealer pipeline'!$Q$4:$Q$503,_calc!$E$807)))=0,"","Status: "&amp;IF(LEN(INDEX('Dealer pipeline'!$Q$4:$Q$503,_calc!$E$807))=0,"",INDEX('Dealer pipeline'!$Q$4:$Q$503,_calc!$E$807))&amp;". ")&amp;IF(LEN(IF(LEN(INDEX('Dealer pipeline'!$P$4:$P$503,_calc!$E$807))=0,"",INDEX('Dealer pipeline'!$P$4:$P$503,_calc!$E$807)))=0,"","Last touch: "&amp;IF(LEN(INDEX('Dealer pipeline'!$P$4:$P$503,_calc!$E$807))=0,"",INDEX('Dealer pipeline'!$P$4:$P$503,_calc!$E$807))&amp;". ")&amp;IF(LEN(IF(LEN(INDEX('Dealer pipeline'!$R$4:$R$503,_calc!$E$807))=0,"",INDEX('Dealer pipeline'!$R$4:$R$503,_calc!$E$807)))=0,"","Owner: "&amp;IF(LEN(INDEX('Dealer pipeline'!$R$4:$R$503,_calc!$E$807))=0,"",INDEX('Dealer pipeline'!$R$4:$R$503,_calc!$E$807))&amp;". ")&amp;IF(LEN(IF(LEN(INDEX('Dealer pipeline'!$S$4:$S$503,_calc!$E$807))=0,"",INDEX('Dealer pipeline'!$S$4:$S$503,_calc!$E$807)))=0,"","Backup: "&amp;IF(LEN(INDEX('Dealer pipeline'!$S$4:$S$503,_calc!$E$807))=0,"",INDEX('Dealer pipeline'!$S$4:$S$503,_calc!$E$807))&amp;". ")&amp;IF(LEN(IF(LEN(INDEX('Dealer pipeline'!$T$4:$T$503,_calc!$E$807))=0,"",INDEX('Dealer pipeline'!$T$4:$T$503,_calc!$E$807)))=0,"",IF(LEN(INDEX('Dealer pipeline'!$T$4:$T$503,_calc!$E$807))=0,"",INDEX('Dealer pipeline'!$T$4:$T$503,_calc!$E$807)))),TRIM(IF(LEN(IF(LEN(INDEX('My equipment'!$C$4:$C$503,(_calc!$E$807-500)))=0,"",INDEX('My equipment'!$C$4:$C$503,(_calc!$E$807-500))))=0,"","Model: "&amp;IF(LEN(INDEX('My equipment'!$C$4:$C$503,(_calc!$E$807-500)))=0,"",INDEX('My equipment'!$C$4:$C$503,(_calc!$E$807-500)))&amp;". ")&amp;IF(LEN(IF(LEN(INDEX('My equipment'!$D$4:$D$503,(_calc!$E$807-500)))=0,"",INDEX('My equipment'!$D$4:$D$503,(_calc!$E$807-500))))=0,"","Serial: "&amp;IF(LEN(INDEX('My equipment'!$D$4:$D$503,(_calc!$E$807-500)))=0,"",INDEX('My equipment'!$D$4:$D$503,(_calc!$E$807-500)))&amp;". ")&amp;IF(LEN(IF(ISNUMBER(INDEX('My equipment'!$J$4:$J$503,(_calc!$E$807-500))),TEXT(INDEX('My equipment'!$J$4:$J$503,(_calc!$E$807-500)),"yyyy-mm-dd"),""))=0,"","Parts end: "&amp;IF(ISNUMBER(INDEX('My equipment'!$J$4:$J$503,(_calc!$E$807-500))),TEXT(INDEX('My equipment'!$J$4:$J$503,(_calc!$E$807-500)),"yyyy-mm-dd"),"")&amp;". ")&amp;IF(LEN(IF(ISNUMBER(INDEX('My equipment'!$L$4:$L$503,(_calc!$E$807-500))),TEXT(INDEX('My equipment'!$L$4:$L$503,(_calc!$E$807-500)),"yyyy-mm-dd"),""))=0,"","Labor end: "&amp;IF(ISNUMBER(INDEX('My equipment'!$L$4:$L$503,(_calc!$E$807-500))),TEXT(INDEX('My equipment'!$L$4:$L$503,(_calc!$E$807-500)),"yyyy-mm-dd"),"")&amp;". ")&amp;IF(LEN(IF(ISNUMBER(INDEX('My equipment'!$P$4:$P$503,(_calc!$E$807-500))),TEXT(INDEX('My equipment'!$P$4:$P$503,(_calc!$E$807-500)),"yyyy-mm-dd"),""))=0,"","Check by: "&amp;IF(ISNUMBER(INDEX('My equipment'!$P$4:$P$503,(_calc!$E$807-500))),TEXT(INDEX('My equipment'!$P$4:$P$503,(_calc!$E$807-500)),"yyyy-mm-dd"),"")&amp;". ")&amp;IF(LEN(IF(LEN(INDEX('My equipment'!$Q$4:$Q$503,(_calc!$E$807-500)))=0,"",INDEX('My equipment'!$Q$4:$Q$503,(_calc!$E$807-500))))=0,"","Claim status: "&amp;IF(LEN(INDEX('My equipment'!$Q$4:$Q$503,(_calc!$E$807-500)))=0,"",INDEX('My equipment'!$Q$4:$Q$503,(_calc!$E$807-500)))&amp;". ")&amp;IF(LEN(IF(LEN(INDEX('My equipment'!$R$4:$R$503,(_calc!$E$807-500)))=0,"",INDEX('My equipment'!$R$4:$R$503,(_calc!$E$807-500))))=0,"","Claims contact: "&amp;IF(LEN(INDEX('My equipment'!$R$4:$R$503,(_calc!$E$807-500)))=0,"",INDEX('My equipment'!$R$4:$R$503,(_calc!$E$807-500)))&amp;". ")&amp;IF(LEN(IF(LEN(INDEX('My equipment'!$S$4:$S$503,(_calc!$E$807-500)))=0,"",INDEX('My equipment'!$S$4:$S$503,(_calc!$E$807-500))))=0,"","Claims email: "&amp;IF(LEN(INDEX('My equipment'!$S$4:$S$503,(_calc!$E$807-500)))=0,"",INDEX('My equipment'!$S$4:$S$503,(_calc!$E$807-500)))&amp;". ")&amp;IF(LEN(IF(LEN(INDEX('My equipment'!$U$4:$U$503,(_calc!$E$807-500)))=0,"",INDEX('My equipment'!$U$4:$U$503,(_calc!$E$807-500))))=0,"","Registered: "&amp;IF(LEN(INDEX('My equipment'!$U$4:$U$503,(_calc!$E$807-500)))=0,"",INDEX('My equipment'!$U$4:$U$503,(_calc!$E$807-500)))&amp;". ")&amp;IF(LEN(IF(LEN(INDEX('My equipment'!$V$4:$V$503,(_calc!$E$807-500)))=0,"",INDEX('My equipment'!$V$4:$V$503,(_calc!$E$807-500))))=0,"","Proof on file: "&amp;IF(LEN(INDEX('My equipment'!$V$4:$V$503,(_calc!$E$807-500)))=0,"",INDEX('My equipment'!$V$4:$V$503,(_calc!$E$807-500)))&amp;". ")&amp;IF(LEN(IF(LEN(INDEX('My equipment'!$W$4:$W$503,(_calc!$E$807-500)))=0,"",INDEX('My equipment'!$W$4:$W$503,(_calc!$E$807-500))))=0,"","Claim ref: "&amp;IF(LEN(INDEX('My equipment'!$W$4:$W$503,(_calc!$E$807-500)))=0,"",INDEX('My equipment'!$W$4:$W$503,(_calc!$E$807-500)))&amp;". ")&amp;IF(LEN(IF(LEN(INDEX('My equipment'!$Y$4:$Y$503,(_calc!$E$807-500)))=0,"",INDEX('My equipment'!$Y$4:$Y$503,(_calc!$E$807-500))))=0,"",IF(LEN(INDEX('My equipment'!$Y$4:$Y$503,(_calc!$E$807-500)))=0,"",INDEX('My equipment'!$Y$4:$Y$503,(_calc!$E$807-500)))))))</f>
        <v/>
      </c>
      <c r="G805" s="54">
        <f>IF(_calc!$E$807="","",IF(_calc!$E$807&lt;=500,"",IF(LEN(INDEX('My equipment'!$X$4:$X$503,(_calc!$E$807-500)))=0,"",INDEX('My equipment'!$X$4:$X$503,(_calc!$E$807-500)))))</f>
        <v/>
      </c>
      <c r="K805" s="54">
        <f>IF(_calc!$E$807="","",IF(_calc!$E$807&lt;=500,"",IF(LEN(INDEX('My equipment'!$T$4:$T$503,(_calc!$E$807-500)))=0,"",INDEX('My equipment'!$T$4:$T$503,(_calc!$E$807-500)))))</f>
        <v/>
      </c>
    </row>
    <row r="806">
      <c r="A806" s="54">
        <f>IF(_calc!$E$808="","",IF(_calc!$E$808&lt;=500,"Warranty – "&amp;IF(LEN(INDEX('Dealer pipeline'!$C$4:$C$503,_calc!$E$808))=0,"",INDEX('Dealer pipeline'!$C$4:$C$503,_calc!$E$808))&amp;" – "&amp;IF(LEN(INDEX('Dealer pipeline'!$D$4:$D$503,_calc!$E$808))=0,"",INDEX('Dealer pipeline'!$D$4:$D$503,_calc!$E$808))&amp;" – "&amp;IF(LEN(INDEX('Dealer pipeline'!$A$4:$A$503,_calc!$E$808))=0,"",INDEX('Dealer pipeline'!$A$4:$A$503,_calc!$E$808)),"Warranty – "&amp;IF(LEN(INDEX('My equipment'!$A$4:$A$503,(_calc!$E$808-500)))=0,"",INDEX('My equipment'!$A$4:$A$503,(_calc!$E$808-500)))&amp;" – "&amp;IF(LEN(INDEX('My equipment'!$D$4:$D$503,(_calc!$E$808-500)))=0,"",INDEX('My equipment'!$D$4:$D$503,(_calc!$E$808-500)))))</f>
        <v/>
      </c>
      <c r="B806" s="54">
        <f>IF(_calc!$E$808="","",IF(_calc!$E$808&lt;=500,IF(ISNUMBER(INDEX('Dealer pipeline'!$M$4:$M$503,_calc!$E$808)),TEXT(INDEX('Dealer pipeline'!$M$4:$M$503,_calc!$E$808),"yyyy-mm-dd"),""),IF(ISNUMBER(INDEX('My equipment'!$M$4:$M$503,(_calc!$E$808-500))),TEXT(INDEX('My equipment'!$M$4:$M$503,(_calc!$E$808-500)),"yyyy-mm-dd"),"")))</f>
        <v/>
      </c>
      <c r="C806" s="54">
        <f>IF(_calc!$E$808="","",IF(_calc!$E$808&lt;=500,"Warranty","Warranty"))</f>
        <v/>
      </c>
      <c r="D806" s="54">
        <f>IF(_calc!$E$808="","",IF(_calc!$E$808&lt;=500,IF(ISNUMBER(INDEX('Dealer pipeline'!$H$4:$H$503,_calc!$E$808)),TEXT(INDEX('Dealer pipeline'!$H$4:$H$503,_calc!$E$808),"yyyy-mm-dd"),""),IF(ISNUMBER(INDEX('My equipment'!$H$4:$H$503,(_calc!$E$808-500))),TEXT(INDEX('My equipment'!$H$4:$H$503,(_calc!$E$808-500)),"yyyy-mm-dd"),"")))</f>
        <v/>
      </c>
      <c r="F806" s="54">
        <f>IF(_calc!$E$808="","",IF(_calc!$E$808&lt;=500,TRIM(IF(LEN(IF(LEN(INDEX('Dealer pipeline'!$A$4:$A$503,_calc!$E$808))=0,"",INDEX('Dealer pipeline'!$A$4:$A$503,_calc!$E$808)))=0,"","Customer: "&amp;IF(LEN(INDEX('Dealer pipeline'!$A$4:$A$503,_calc!$E$808))=0,"",INDEX('Dealer pipeline'!$A$4:$A$503,_calc!$E$808))&amp;". ")&amp;IF(LEN(IF(LEN(INDEX('Dealer pipeline'!$B$4:$B$503,_calc!$E$808))=0,"",INDEX('Dealer pipeline'!$B$4:$B$503,_calc!$E$808)))=0,"","Contact: "&amp;IF(LEN(INDEX('Dealer pipeline'!$B$4:$B$503,_calc!$E$808))=0,"",INDEX('Dealer pipeline'!$B$4:$B$503,_calc!$E$808))&amp;". ")&amp;IF(LEN(IF(LEN(INDEX('Dealer pipeline'!$D$4:$D$503,_calc!$E$808))=0,"",INDEX('Dealer pipeline'!$D$4:$D$503,_calc!$E$808)))=0,"","Serial: "&amp;IF(LEN(INDEX('Dealer pipeline'!$D$4:$D$503,_calc!$E$808))=0,"",INDEX('Dealer pipeline'!$D$4:$D$503,_calc!$E$808))&amp;". ")&amp;IF(LEN(IF(ISNUMBER(INDEX('Dealer pipeline'!$J$4:$J$503,_calc!$E$808)),TEXT(INDEX('Dealer pipeline'!$J$4:$J$503,_calc!$E$808),"yyyy-mm-dd"),""))=0,"","Parts end: "&amp;IF(ISNUMBER(INDEX('Dealer pipeline'!$J$4:$J$503,_calc!$E$808)),TEXT(INDEX('Dealer pipeline'!$J$4:$J$503,_calc!$E$808),"yyyy-mm-dd"),"")&amp;". ")&amp;IF(LEN(IF(ISNUMBER(INDEX('Dealer pipeline'!$L$4:$L$503,_calc!$E$808)),TEXT(INDEX('Dealer pipeline'!$L$4:$L$503,_calc!$E$808),"yyyy-mm-dd"),""))=0,"","Labor end: "&amp;IF(ISNUMBER(INDEX('Dealer pipeline'!$L$4:$L$503,_calc!$E$808)),TEXT(INDEX('Dealer pipeline'!$L$4:$L$503,_calc!$E$808),"yyyy-mm-dd"),"")&amp;". ")&amp;IF(LEN(IF(LEN(INDEX('Dealer pipeline'!$Q$4:$Q$503,_calc!$E$808))=0,"",INDEX('Dealer pipeline'!$Q$4:$Q$503,_calc!$E$808)))=0,"","Status: "&amp;IF(LEN(INDEX('Dealer pipeline'!$Q$4:$Q$503,_calc!$E$808))=0,"",INDEX('Dealer pipeline'!$Q$4:$Q$503,_calc!$E$808))&amp;". ")&amp;IF(LEN(IF(LEN(INDEX('Dealer pipeline'!$P$4:$P$503,_calc!$E$808))=0,"",INDEX('Dealer pipeline'!$P$4:$P$503,_calc!$E$808)))=0,"","Last touch: "&amp;IF(LEN(INDEX('Dealer pipeline'!$P$4:$P$503,_calc!$E$808))=0,"",INDEX('Dealer pipeline'!$P$4:$P$503,_calc!$E$808))&amp;". ")&amp;IF(LEN(IF(LEN(INDEX('Dealer pipeline'!$R$4:$R$503,_calc!$E$808))=0,"",INDEX('Dealer pipeline'!$R$4:$R$503,_calc!$E$808)))=0,"","Owner: "&amp;IF(LEN(INDEX('Dealer pipeline'!$R$4:$R$503,_calc!$E$808))=0,"",INDEX('Dealer pipeline'!$R$4:$R$503,_calc!$E$808))&amp;". ")&amp;IF(LEN(IF(LEN(INDEX('Dealer pipeline'!$S$4:$S$503,_calc!$E$808))=0,"",INDEX('Dealer pipeline'!$S$4:$S$503,_calc!$E$808)))=0,"","Backup: "&amp;IF(LEN(INDEX('Dealer pipeline'!$S$4:$S$503,_calc!$E$808))=0,"",INDEX('Dealer pipeline'!$S$4:$S$503,_calc!$E$808))&amp;". ")&amp;IF(LEN(IF(LEN(INDEX('Dealer pipeline'!$T$4:$T$503,_calc!$E$808))=0,"",INDEX('Dealer pipeline'!$T$4:$T$503,_calc!$E$808)))=0,"",IF(LEN(INDEX('Dealer pipeline'!$T$4:$T$503,_calc!$E$808))=0,"",INDEX('Dealer pipeline'!$T$4:$T$503,_calc!$E$808)))),TRIM(IF(LEN(IF(LEN(INDEX('My equipment'!$C$4:$C$503,(_calc!$E$808-500)))=0,"",INDEX('My equipment'!$C$4:$C$503,(_calc!$E$808-500))))=0,"","Model: "&amp;IF(LEN(INDEX('My equipment'!$C$4:$C$503,(_calc!$E$808-500)))=0,"",INDEX('My equipment'!$C$4:$C$503,(_calc!$E$808-500)))&amp;". ")&amp;IF(LEN(IF(LEN(INDEX('My equipment'!$D$4:$D$503,(_calc!$E$808-500)))=0,"",INDEX('My equipment'!$D$4:$D$503,(_calc!$E$808-500))))=0,"","Serial: "&amp;IF(LEN(INDEX('My equipment'!$D$4:$D$503,(_calc!$E$808-500)))=0,"",INDEX('My equipment'!$D$4:$D$503,(_calc!$E$808-500)))&amp;". ")&amp;IF(LEN(IF(ISNUMBER(INDEX('My equipment'!$J$4:$J$503,(_calc!$E$808-500))),TEXT(INDEX('My equipment'!$J$4:$J$503,(_calc!$E$808-500)),"yyyy-mm-dd"),""))=0,"","Parts end: "&amp;IF(ISNUMBER(INDEX('My equipment'!$J$4:$J$503,(_calc!$E$808-500))),TEXT(INDEX('My equipment'!$J$4:$J$503,(_calc!$E$808-500)),"yyyy-mm-dd"),"")&amp;". ")&amp;IF(LEN(IF(ISNUMBER(INDEX('My equipment'!$L$4:$L$503,(_calc!$E$808-500))),TEXT(INDEX('My equipment'!$L$4:$L$503,(_calc!$E$808-500)),"yyyy-mm-dd"),""))=0,"","Labor end: "&amp;IF(ISNUMBER(INDEX('My equipment'!$L$4:$L$503,(_calc!$E$808-500))),TEXT(INDEX('My equipment'!$L$4:$L$503,(_calc!$E$808-500)),"yyyy-mm-dd"),"")&amp;". ")&amp;IF(LEN(IF(ISNUMBER(INDEX('My equipment'!$P$4:$P$503,(_calc!$E$808-500))),TEXT(INDEX('My equipment'!$P$4:$P$503,(_calc!$E$808-500)),"yyyy-mm-dd"),""))=0,"","Check by: "&amp;IF(ISNUMBER(INDEX('My equipment'!$P$4:$P$503,(_calc!$E$808-500))),TEXT(INDEX('My equipment'!$P$4:$P$503,(_calc!$E$808-500)),"yyyy-mm-dd"),"")&amp;". ")&amp;IF(LEN(IF(LEN(INDEX('My equipment'!$Q$4:$Q$503,(_calc!$E$808-500)))=0,"",INDEX('My equipment'!$Q$4:$Q$503,(_calc!$E$808-500))))=0,"","Claim status: "&amp;IF(LEN(INDEX('My equipment'!$Q$4:$Q$503,(_calc!$E$808-500)))=0,"",INDEX('My equipment'!$Q$4:$Q$503,(_calc!$E$808-500)))&amp;". ")&amp;IF(LEN(IF(LEN(INDEX('My equipment'!$R$4:$R$503,(_calc!$E$808-500)))=0,"",INDEX('My equipment'!$R$4:$R$503,(_calc!$E$808-500))))=0,"","Claims contact: "&amp;IF(LEN(INDEX('My equipment'!$R$4:$R$503,(_calc!$E$808-500)))=0,"",INDEX('My equipment'!$R$4:$R$503,(_calc!$E$808-500)))&amp;". ")&amp;IF(LEN(IF(LEN(INDEX('My equipment'!$S$4:$S$503,(_calc!$E$808-500)))=0,"",INDEX('My equipment'!$S$4:$S$503,(_calc!$E$808-500))))=0,"","Claims email: "&amp;IF(LEN(INDEX('My equipment'!$S$4:$S$503,(_calc!$E$808-500)))=0,"",INDEX('My equipment'!$S$4:$S$503,(_calc!$E$808-500)))&amp;". ")&amp;IF(LEN(IF(LEN(INDEX('My equipment'!$U$4:$U$503,(_calc!$E$808-500)))=0,"",INDEX('My equipment'!$U$4:$U$503,(_calc!$E$808-500))))=0,"","Registered: "&amp;IF(LEN(INDEX('My equipment'!$U$4:$U$503,(_calc!$E$808-500)))=0,"",INDEX('My equipment'!$U$4:$U$503,(_calc!$E$808-500)))&amp;". ")&amp;IF(LEN(IF(LEN(INDEX('My equipment'!$V$4:$V$503,(_calc!$E$808-500)))=0,"",INDEX('My equipment'!$V$4:$V$503,(_calc!$E$808-500))))=0,"","Proof on file: "&amp;IF(LEN(INDEX('My equipment'!$V$4:$V$503,(_calc!$E$808-500)))=0,"",INDEX('My equipment'!$V$4:$V$503,(_calc!$E$808-500)))&amp;". ")&amp;IF(LEN(IF(LEN(INDEX('My equipment'!$W$4:$W$503,(_calc!$E$808-500)))=0,"",INDEX('My equipment'!$W$4:$W$503,(_calc!$E$808-500))))=0,"","Claim ref: "&amp;IF(LEN(INDEX('My equipment'!$W$4:$W$503,(_calc!$E$808-500)))=0,"",INDEX('My equipment'!$W$4:$W$503,(_calc!$E$808-500)))&amp;". ")&amp;IF(LEN(IF(LEN(INDEX('My equipment'!$Y$4:$Y$503,(_calc!$E$808-500)))=0,"",INDEX('My equipment'!$Y$4:$Y$503,(_calc!$E$808-500))))=0,"",IF(LEN(INDEX('My equipment'!$Y$4:$Y$503,(_calc!$E$808-500)))=0,"",INDEX('My equipment'!$Y$4:$Y$503,(_calc!$E$808-500)))))))</f>
        <v/>
      </c>
      <c r="G806" s="54">
        <f>IF(_calc!$E$808="","",IF(_calc!$E$808&lt;=500,"",IF(LEN(INDEX('My equipment'!$X$4:$X$503,(_calc!$E$808-500)))=0,"",INDEX('My equipment'!$X$4:$X$503,(_calc!$E$808-500)))))</f>
        <v/>
      </c>
      <c r="K806" s="54">
        <f>IF(_calc!$E$808="","",IF(_calc!$E$808&lt;=500,"",IF(LEN(INDEX('My equipment'!$T$4:$T$503,(_calc!$E$808-500)))=0,"",INDEX('My equipment'!$T$4:$T$503,(_calc!$E$808-500)))))</f>
        <v/>
      </c>
    </row>
    <row r="807">
      <c r="A807" s="54">
        <f>IF(_calc!$E$809="","",IF(_calc!$E$809&lt;=500,"Warranty – "&amp;IF(LEN(INDEX('Dealer pipeline'!$C$4:$C$503,_calc!$E$809))=0,"",INDEX('Dealer pipeline'!$C$4:$C$503,_calc!$E$809))&amp;" – "&amp;IF(LEN(INDEX('Dealer pipeline'!$D$4:$D$503,_calc!$E$809))=0,"",INDEX('Dealer pipeline'!$D$4:$D$503,_calc!$E$809))&amp;" – "&amp;IF(LEN(INDEX('Dealer pipeline'!$A$4:$A$503,_calc!$E$809))=0,"",INDEX('Dealer pipeline'!$A$4:$A$503,_calc!$E$809)),"Warranty – "&amp;IF(LEN(INDEX('My equipment'!$A$4:$A$503,(_calc!$E$809-500)))=0,"",INDEX('My equipment'!$A$4:$A$503,(_calc!$E$809-500)))&amp;" – "&amp;IF(LEN(INDEX('My equipment'!$D$4:$D$503,(_calc!$E$809-500)))=0,"",INDEX('My equipment'!$D$4:$D$503,(_calc!$E$809-500)))))</f>
        <v/>
      </c>
      <c r="B807" s="54">
        <f>IF(_calc!$E$809="","",IF(_calc!$E$809&lt;=500,IF(ISNUMBER(INDEX('Dealer pipeline'!$M$4:$M$503,_calc!$E$809)),TEXT(INDEX('Dealer pipeline'!$M$4:$M$503,_calc!$E$809),"yyyy-mm-dd"),""),IF(ISNUMBER(INDEX('My equipment'!$M$4:$M$503,(_calc!$E$809-500))),TEXT(INDEX('My equipment'!$M$4:$M$503,(_calc!$E$809-500)),"yyyy-mm-dd"),"")))</f>
        <v/>
      </c>
      <c r="C807" s="54">
        <f>IF(_calc!$E$809="","",IF(_calc!$E$809&lt;=500,"Warranty","Warranty"))</f>
        <v/>
      </c>
      <c r="D807" s="54">
        <f>IF(_calc!$E$809="","",IF(_calc!$E$809&lt;=500,IF(ISNUMBER(INDEX('Dealer pipeline'!$H$4:$H$503,_calc!$E$809)),TEXT(INDEX('Dealer pipeline'!$H$4:$H$503,_calc!$E$809),"yyyy-mm-dd"),""),IF(ISNUMBER(INDEX('My equipment'!$H$4:$H$503,(_calc!$E$809-500))),TEXT(INDEX('My equipment'!$H$4:$H$503,(_calc!$E$809-500)),"yyyy-mm-dd"),"")))</f>
        <v/>
      </c>
      <c r="F807" s="54">
        <f>IF(_calc!$E$809="","",IF(_calc!$E$809&lt;=500,TRIM(IF(LEN(IF(LEN(INDEX('Dealer pipeline'!$A$4:$A$503,_calc!$E$809))=0,"",INDEX('Dealer pipeline'!$A$4:$A$503,_calc!$E$809)))=0,"","Customer: "&amp;IF(LEN(INDEX('Dealer pipeline'!$A$4:$A$503,_calc!$E$809))=0,"",INDEX('Dealer pipeline'!$A$4:$A$503,_calc!$E$809))&amp;". ")&amp;IF(LEN(IF(LEN(INDEX('Dealer pipeline'!$B$4:$B$503,_calc!$E$809))=0,"",INDEX('Dealer pipeline'!$B$4:$B$503,_calc!$E$809)))=0,"","Contact: "&amp;IF(LEN(INDEX('Dealer pipeline'!$B$4:$B$503,_calc!$E$809))=0,"",INDEX('Dealer pipeline'!$B$4:$B$503,_calc!$E$809))&amp;". ")&amp;IF(LEN(IF(LEN(INDEX('Dealer pipeline'!$D$4:$D$503,_calc!$E$809))=0,"",INDEX('Dealer pipeline'!$D$4:$D$503,_calc!$E$809)))=0,"","Serial: "&amp;IF(LEN(INDEX('Dealer pipeline'!$D$4:$D$503,_calc!$E$809))=0,"",INDEX('Dealer pipeline'!$D$4:$D$503,_calc!$E$809))&amp;". ")&amp;IF(LEN(IF(ISNUMBER(INDEX('Dealer pipeline'!$J$4:$J$503,_calc!$E$809)),TEXT(INDEX('Dealer pipeline'!$J$4:$J$503,_calc!$E$809),"yyyy-mm-dd"),""))=0,"","Parts end: "&amp;IF(ISNUMBER(INDEX('Dealer pipeline'!$J$4:$J$503,_calc!$E$809)),TEXT(INDEX('Dealer pipeline'!$J$4:$J$503,_calc!$E$809),"yyyy-mm-dd"),"")&amp;". ")&amp;IF(LEN(IF(ISNUMBER(INDEX('Dealer pipeline'!$L$4:$L$503,_calc!$E$809)),TEXT(INDEX('Dealer pipeline'!$L$4:$L$503,_calc!$E$809),"yyyy-mm-dd"),""))=0,"","Labor end: "&amp;IF(ISNUMBER(INDEX('Dealer pipeline'!$L$4:$L$503,_calc!$E$809)),TEXT(INDEX('Dealer pipeline'!$L$4:$L$503,_calc!$E$809),"yyyy-mm-dd"),"")&amp;". ")&amp;IF(LEN(IF(LEN(INDEX('Dealer pipeline'!$Q$4:$Q$503,_calc!$E$809))=0,"",INDEX('Dealer pipeline'!$Q$4:$Q$503,_calc!$E$809)))=0,"","Status: "&amp;IF(LEN(INDEX('Dealer pipeline'!$Q$4:$Q$503,_calc!$E$809))=0,"",INDEX('Dealer pipeline'!$Q$4:$Q$503,_calc!$E$809))&amp;". ")&amp;IF(LEN(IF(LEN(INDEX('Dealer pipeline'!$P$4:$P$503,_calc!$E$809))=0,"",INDEX('Dealer pipeline'!$P$4:$P$503,_calc!$E$809)))=0,"","Last touch: "&amp;IF(LEN(INDEX('Dealer pipeline'!$P$4:$P$503,_calc!$E$809))=0,"",INDEX('Dealer pipeline'!$P$4:$P$503,_calc!$E$809))&amp;". ")&amp;IF(LEN(IF(LEN(INDEX('Dealer pipeline'!$R$4:$R$503,_calc!$E$809))=0,"",INDEX('Dealer pipeline'!$R$4:$R$503,_calc!$E$809)))=0,"","Owner: "&amp;IF(LEN(INDEX('Dealer pipeline'!$R$4:$R$503,_calc!$E$809))=0,"",INDEX('Dealer pipeline'!$R$4:$R$503,_calc!$E$809))&amp;". ")&amp;IF(LEN(IF(LEN(INDEX('Dealer pipeline'!$S$4:$S$503,_calc!$E$809))=0,"",INDEX('Dealer pipeline'!$S$4:$S$503,_calc!$E$809)))=0,"","Backup: "&amp;IF(LEN(INDEX('Dealer pipeline'!$S$4:$S$503,_calc!$E$809))=0,"",INDEX('Dealer pipeline'!$S$4:$S$503,_calc!$E$809))&amp;". ")&amp;IF(LEN(IF(LEN(INDEX('Dealer pipeline'!$T$4:$T$503,_calc!$E$809))=0,"",INDEX('Dealer pipeline'!$T$4:$T$503,_calc!$E$809)))=0,"",IF(LEN(INDEX('Dealer pipeline'!$T$4:$T$503,_calc!$E$809))=0,"",INDEX('Dealer pipeline'!$T$4:$T$503,_calc!$E$809)))),TRIM(IF(LEN(IF(LEN(INDEX('My equipment'!$C$4:$C$503,(_calc!$E$809-500)))=0,"",INDEX('My equipment'!$C$4:$C$503,(_calc!$E$809-500))))=0,"","Model: "&amp;IF(LEN(INDEX('My equipment'!$C$4:$C$503,(_calc!$E$809-500)))=0,"",INDEX('My equipment'!$C$4:$C$503,(_calc!$E$809-500)))&amp;". ")&amp;IF(LEN(IF(LEN(INDEX('My equipment'!$D$4:$D$503,(_calc!$E$809-500)))=0,"",INDEX('My equipment'!$D$4:$D$503,(_calc!$E$809-500))))=0,"","Serial: "&amp;IF(LEN(INDEX('My equipment'!$D$4:$D$503,(_calc!$E$809-500)))=0,"",INDEX('My equipment'!$D$4:$D$503,(_calc!$E$809-500)))&amp;". ")&amp;IF(LEN(IF(ISNUMBER(INDEX('My equipment'!$J$4:$J$503,(_calc!$E$809-500))),TEXT(INDEX('My equipment'!$J$4:$J$503,(_calc!$E$809-500)),"yyyy-mm-dd"),""))=0,"","Parts end: "&amp;IF(ISNUMBER(INDEX('My equipment'!$J$4:$J$503,(_calc!$E$809-500))),TEXT(INDEX('My equipment'!$J$4:$J$503,(_calc!$E$809-500)),"yyyy-mm-dd"),"")&amp;". ")&amp;IF(LEN(IF(ISNUMBER(INDEX('My equipment'!$L$4:$L$503,(_calc!$E$809-500))),TEXT(INDEX('My equipment'!$L$4:$L$503,(_calc!$E$809-500)),"yyyy-mm-dd"),""))=0,"","Labor end: "&amp;IF(ISNUMBER(INDEX('My equipment'!$L$4:$L$503,(_calc!$E$809-500))),TEXT(INDEX('My equipment'!$L$4:$L$503,(_calc!$E$809-500)),"yyyy-mm-dd"),"")&amp;". ")&amp;IF(LEN(IF(ISNUMBER(INDEX('My equipment'!$P$4:$P$503,(_calc!$E$809-500))),TEXT(INDEX('My equipment'!$P$4:$P$503,(_calc!$E$809-500)),"yyyy-mm-dd"),""))=0,"","Check by: "&amp;IF(ISNUMBER(INDEX('My equipment'!$P$4:$P$503,(_calc!$E$809-500))),TEXT(INDEX('My equipment'!$P$4:$P$503,(_calc!$E$809-500)),"yyyy-mm-dd"),"")&amp;". ")&amp;IF(LEN(IF(LEN(INDEX('My equipment'!$Q$4:$Q$503,(_calc!$E$809-500)))=0,"",INDEX('My equipment'!$Q$4:$Q$503,(_calc!$E$809-500))))=0,"","Claim status: "&amp;IF(LEN(INDEX('My equipment'!$Q$4:$Q$503,(_calc!$E$809-500)))=0,"",INDEX('My equipment'!$Q$4:$Q$503,(_calc!$E$809-500)))&amp;". ")&amp;IF(LEN(IF(LEN(INDEX('My equipment'!$R$4:$R$503,(_calc!$E$809-500)))=0,"",INDEX('My equipment'!$R$4:$R$503,(_calc!$E$809-500))))=0,"","Claims contact: "&amp;IF(LEN(INDEX('My equipment'!$R$4:$R$503,(_calc!$E$809-500)))=0,"",INDEX('My equipment'!$R$4:$R$503,(_calc!$E$809-500)))&amp;". ")&amp;IF(LEN(IF(LEN(INDEX('My equipment'!$S$4:$S$503,(_calc!$E$809-500)))=0,"",INDEX('My equipment'!$S$4:$S$503,(_calc!$E$809-500))))=0,"","Claims email: "&amp;IF(LEN(INDEX('My equipment'!$S$4:$S$503,(_calc!$E$809-500)))=0,"",INDEX('My equipment'!$S$4:$S$503,(_calc!$E$809-500)))&amp;". ")&amp;IF(LEN(IF(LEN(INDEX('My equipment'!$U$4:$U$503,(_calc!$E$809-500)))=0,"",INDEX('My equipment'!$U$4:$U$503,(_calc!$E$809-500))))=0,"","Registered: "&amp;IF(LEN(INDEX('My equipment'!$U$4:$U$503,(_calc!$E$809-500)))=0,"",INDEX('My equipment'!$U$4:$U$503,(_calc!$E$809-500)))&amp;". ")&amp;IF(LEN(IF(LEN(INDEX('My equipment'!$V$4:$V$503,(_calc!$E$809-500)))=0,"",INDEX('My equipment'!$V$4:$V$503,(_calc!$E$809-500))))=0,"","Proof on file: "&amp;IF(LEN(INDEX('My equipment'!$V$4:$V$503,(_calc!$E$809-500)))=0,"",INDEX('My equipment'!$V$4:$V$503,(_calc!$E$809-500)))&amp;". ")&amp;IF(LEN(IF(LEN(INDEX('My equipment'!$W$4:$W$503,(_calc!$E$809-500)))=0,"",INDEX('My equipment'!$W$4:$W$503,(_calc!$E$809-500))))=0,"","Claim ref: "&amp;IF(LEN(INDEX('My equipment'!$W$4:$W$503,(_calc!$E$809-500)))=0,"",INDEX('My equipment'!$W$4:$W$503,(_calc!$E$809-500)))&amp;". ")&amp;IF(LEN(IF(LEN(INDEX('My equipment'!$Y$4:$Y$503,(_calc!$E$809-500)))=0,"",INDEX('My equipment'!$Y$4:$Y$503,(_calc!$E$809-500))))=0,"",IF(LEN(INDEX('My equipment'!$Y$4:$Y$503,(_calc!$E$809-500)))=0,"",INDEX('My equipment'!$Y$4:$Y$503,(_calc!$E$809-500)))))))</f>
        <v/>
      </c>
      <c r="G807" s="54">
        <f>IF(_calc!$E$809="","",IF(_calc!$E$809&lt;=500,"",IF(LEN(INDEX('My equipment'!$X$4:$X$503,(_calc!$E$809-500)))=0,"",INDEX('My equipment'!$X$4:$X$503,(_calc!$E$809-500)))))</f>
        <v/>
      </c>
      <c r="K807" s="54">
        <f>IF(_calc!$E$809="","",IF(_calc!$E$809&lt;=500,"",IF(LEN(INDEX('My equipment'!$T$4:$T$503,(_calc!$E$809-500)))=0,"",INDEX('My equipment'!$T$4:$T$503,(_calc!$E$809-500)))))</f>
        <v/>
      </c>
    </row>
    <row r="808">
      <c r="A808" s="54">
        <f>IF(_calc!$E$810="","",IF(_calc!$E$810&lt;=500,"Warranty – "&amp;IF(LEN(INDEX('Dealer pipeline'!$C$4:$C$503,_calc!$E$810))=0,"",INDEX('Dealer pipeline'!$C$4:$C$503,_calc!$E$810))&amp;" – "&amp;IF(LEN(INDEX('Dealer pipeline'!$D$4:$D$503,_calc!$E$810))=0,"",INDEX('Dealer pipeline'!$D$4:$D$503,_calc!$E$810))&amp;" – "&amp;IF(LEN(INDEX('Dealer pipeline'!$A$4:$A$503,_calc!$E$810))=0,"",INDEX('Dealer pipeline'!$A$4:$A$503,_calc!$E$810)),"Warranty – "&amp;IF(LEN(INDEX('My equipment'!$A$4:$A$503,(_calc!$E$810-500)))=0,"",INDEX('My equipment'!$A$4:$A$503,(_calc!$E$810-500)))&amp;" – "&amp;IF(LEN(INDEX('My equipment'!$D$4:$D$503,(_calc!$E$810-500)))=0,"",INDEX('My equipment'!$D$4:$D$503,(_calc!$E$810-500)))))</f>
        <v/>
      </c>
      <c r="B808" s="54">
        <f>IF(_calc!$E$810="","",IF(_calc!$E$810&lt;=500,IF(ISNUMBER(INDEX('Dealer pipeline'!$M$4:$M$503,_calc!$E$810)),TEXT(INDEX('Dealer pipeline'!$M$4:$M$503,_calc!$E$810),"yyyy-mm-dd"),""),IF(ISNUMBER(INDEX('My equipment'!$M$4:$M$503,(_calc!$E$810-500))),TEXT(INDEX('My equipment'!$M$4:$M$503,(_calc!$E$810-500)),"yyyy-mm-dd"),"")))</f>
        <v/>
      </c>
      <c r="C808" s="54">
        <f>IF(_calc!$E$810="","",IF(_calc!$E$810&lt;=500,"Warranty","Warranty"))</f>
        <v/>
      </c>
      <c r="D808" s="54">
        <f>IF(_calc!$E$810="","",IF(_calc!$E$810&lt;=500,IF(ISNUMBER(INDEX('Dealer pipeline'!$H$4:$H$503,_calc!$E$810)),TEXT(INDEX('Dealer pipeline'!$H$4:$H$503,_calc!$E$810),"yyyy-mm-dd"),""),IF(ISNUMBER(INDEX('My equipment'!$H$4:$H$503,(_calc!$E$810-500))),TEXT(INDEX('My equipment'!$H$4:$H$503,(_calc!$E$810-500)),"yyyy-mm-dd"),"")))</f>
        <v/>
      </c>
      <c r="F808" s="54">
        <f>IF(_calc!$E$810="","",IF(_calc!$E$810&lt;=500,TRIM(IF(LEN(IF(LEN(INDEX('Dealer pipeline'!$A$4:$A$503,_calc!$E$810))=0,"",INDEX('Dealer pipeline'!$A$4:$A$503,_calc!$E$810)))=0,"","Customer: "&amp;IF(LEN(INDEX('Dealer pipeline'!$A$4:$A$503,_calc!$E$810))=0,"",INDEX('Dealer pipeline'!$A$4:$A$503,_calc!$E$810))&amp;". ")&amp;IF(LEN(IF(LEN(INDEX('Dealer pipeline'!$B$4:$B$503,_calc!$E$810))=0,"",INDEX('Dealer pipeline'!$B$4:$B$503,_calc!$E$810)))=0,"","Contact: "&amp;IF(LEN(INDEX('Dealer pipeline'!$B$4:$B$503,_calc!$E$810))=0,"",INDEX('Dealer pipeline'!$B$4:$B$503,_calc!$E$810))&amp;". ")&amp;IF(LEN(IF(LEN(INDEX('Dealer pipeline'!$D$4:$D$503,_calc!$E$810))=0,"",INDEX('Dealer pipeline'!$D$4:$D$503,_calc!$E$810)))=0,"","Serial: "&amp;IF(LEN(INDEX('Dealer pipeline'!$D$4:$D$503,_calc!$E$810))=0,"",INDEX('Dealer pipeline'!$D$4:$D$503,_calc!$E$810))&amp;". ")&amp;IF(LEN(IF(ISNUMBER(INDEX('Dealer pipeline'!$J$4:$J$503,_calc!$E$810)),TEXT(INDEX('Dealer pipeline'!$J$4:$J$503,_calc!$E$810),"yyyy-mm-dd"),""))=0,"","Parts end: "&amp;IF(ISNUMBER(INDEX('Dealer pipeline'!$J$4:$J$503,_calc!$E$810)),TEXT(INDEX('Dealer pipeline'!$J$4:$J$503,_calc!$E$810),"yyyy-mm-dd"),"")&amp;". ")&amp;IF(LEN(IF(ISNUMBER(INDEX('Dealer pipeline'!$L$4:$L$503,_calc!$E$810)),TEXT(INDEX('Dealer pipeline'!$L$4:$L$503,_calc!$E$810),"yyyy-mm-dd"),""))=0,"","Labor end: "&amp;IF(ISNUMBER(INDEX('Dealer pipeline'!$L$4:$L$503,_calc!$E$810)),TEXT(INDEX('Dealer pipeline'!$L$4:$L$503,_calc!$E$810),"yyyy-mm-dd"),"")&amp;". ")&amp;IF(LEN(IF(LEN(INDEX('Dealer pipeline'!$Q$4:$Q$503,_calc!$E$810))=0,"",INDEX('Dealer pipeline'!$Q$4:$Q$503,_calc!$E$810)))=0,"","Status: "&amp;IF(LEN(INDEX('Dealer pipeline'!$Q$4:$Q$503,_calc!$E$810))=0,"",INDEX('Dealer pipeline'!$Q$4:$Q$503,_calc!$E$810))&amp;". ")&amp;IF(LEN(IF(LEN(INDEX('Dealer pipeline'!$P$4:$P$503,_calc!$E$810))=0,"",INDEX('Dealer pipeline'!$P$4:$P$503,_calc!$E$810)))=0,"","Last touch: "&amp;IF(LEN(INDEX('Dealer pipeline'!$P$4:$P$503,_calc!$E$810))=0,"",INDEX('Dealer pipeline'!$P$4:$P$503,_calc!$E$810))&amp;". ")&amp;IF(LEN(IF(LEN(INDEX('Dealer pipeline'!$R$4:$R$503,_calc!$E$810))=0,"",INDEX('Dealer pipeline'!$R$4:$R$503,_calc!$E$810)))=0,"","Owner: "&amp;IF(LEN(INDEX('Dealer pipeline'!$R$4:$R$503,_calc!$E$810))=0,"",INDEX('Dealer pipeline'!$R$4:$R$503,_calc!$E$810))&amp;". ")&amp;IF(LEN(IF(LEN(INDEX('Dealer pipeline'!$S$4:$S$503,_calc!$E$810))=0,"",INDEX('Dealer pipeline'!$S$4:$S$503,_calc!$E$810)))=0,"","Backup: "&amp;IF(LEN(INDEX('Dealer pipeline'!$S$4:$S$503,_calc!$E$810))=0,"",INDEX('Dealer pipeline'!$S$4:$S$503,_calc!$E$810))&amp;". ")&amp;IF(LEN(IF(LEN(INDEX('Dealer pipeline'!$T$4:$T$503,_calc!$E$810))=0,"",INDEX('Dealer pipeline'!$T$4:$T$503,_calc!$E$810)))=0,"",IF(LEN(INDEX('Dealer pipeline'!$T$4:$T$503,_calc!$E$810))=0,"",INDEX('Dealer pipeline'!$T$4:$T$503,_calc!$E$810)))),TRIM(IF(LEN(IF(LEN(INDEX('My equipment'!$C$4:$C$503,(_calc!$E$810-500)))=0,"",INDEX('My equipment'!$C$4:$C$503,(_calc!$E$810-500))))=0,"","Model: "&amp;IF(LEN(INDEX('My equipment'!$C$4:$C$503,(_calc!$E$810-500)))=0,"",INDEX('My equipment'!$C$4:$C$503,(_calc!$E$810-500)))&amp;". ")&amp;IF(LEN(IF(LEN(INDEX('My equipment'!$D$4:$D$503,(_calc!$E$810-500)))=0,"",INDEX('My equipment'!$D$4:$D$503,(_calc!$E$810-500))))=0,"","Serial: "&amp;IF(LEN(INDEX('My equipment'!$D$4:$D$503,(_calc!$E$810-500)))=0,"",INDEX('My equipment'!$D$4:$D$503,(_calc!$E$810-500)))&amp;". ")&amp;IF(LEN(IF(ISNUMBER(INDEX('My equipment'!$J$4:$J$503,(_calc!$E$810-500))),TEXT(INDEX('My equipment'!$J$4:$J$503,(_calc!$E$810-500)),"yyyy-mm-dd"),""))=0,"","Parts end: "&amp;IF(ISNUMBER(INDEX('My equipment'!$J$4:$J$503,(_calc!$E$810-500))),TEXT(INDEX('My equipment'!$J$4:$J$503,(_calc!$E$810-500)),"yyyy-mm-dd"),"")&amp;". ")&amp;IF(LEN(IF(ISNUMBER(INDEX('My equipment'!$L$4:$L$503,(_calc!$E$810-500))),TEXT(INDEX('My equipment'!$L$4:$L$503,(_calc!$E$810-500)),"yyyy-mm-dd"),""))=0,"","Labor end: "&amp;IF(ISNUMBER(INDEX('My equipment'!$L$4:$L$503,(_calc!$E$810-500))),TEXT(INDEX('My equipment'!$L$4:$L$503,(_calc!$E$810-500)),"yyyy-mm-dd"),"")&amp;". ")&amp;IF(LEN(IF(ISNUMBER(INDEX('My equipment'!$P$4:$P$503,(_calc!$E$810-500))),TEXT(INDEX('My equipment'!$P$4:$P$503,(_calc!$E$810-500)),"yyyy-mm-dd"),""))=0,"","Check by: "&amp;IF(ISNUMBER(INDEX('My equipment'!$P$4:$P$503,(_calc!$E$810-500))),TEXT(INDEX('My equipment'!$P$4:$P$503,(_calc!$E$810-500)),"yyyy-mm-dd"),"")&amp;". ")&amp;IF(LEN(IF(LEN(INDEX('My equipment'!$Q$4:$Q$503,(_calc!$E$810-500)))=0,"",INDEX('My equipment'!$Q$4:$Q$503,(_calc!$E$810-500))))=0,"","Claim status: "&amp;IF(LEN(INDEX('My equipment'!$Q$4:$Q$503,(_calc!$E$810-500)))=0,"",INDEX('My equipment'!$Q$4:$Q$503,(_calc!$E$810-500)))&amp;". ")&amp;IF(LEN(IF(LEN(INDEX('My equipment'!$R$4:$R$503,(_calc!$E$810-500)))=0,"",INDEX('My equipment'!$R$4:$R$503,(_calc!$E$810-500))))=0,"","Claims contact: "&amp;IF(LEN(INDEX('My equipment'!$R$4:$R$503,(_calc!$E$810-500)))=0,"",INDEX('My equipment'!$R$4:$R$503,(_calc!$E$810-500)))&amp;". ")&amp;IF(LEN(IF(LEN(INDEX('My equipment'!$S$4:$S$503,(_calc!$E$810-500)))=0,"",INDEX('My equipment'!$S$4:$S$503,(_calc!$E$810-500))))=0,"","Claims email: "&amp;IF(LEN(INDEX('My equipment'!$S$4:$S$503,(_calc!$E$810-500)))=0,"",INDEX('My equipment'!$S$4:$S$503,(_calc!$E$810-500)))&amp;". ")&amp;IF(LEN(IF(LEN(INDEX('My equipment'!$U$4:$U$503,(_calc!$E$810-500)))=0,"",INDEX('My equipment'!$U$4:$U$503,(_calc!$E$810-500))))=0,"","Registered: "&amp;IF(LEN(INDEX('My equipment'!$U$4:$U$503,(_calc!$E$810-500)))=0,"",INDEX('My equipment'!$U$4:$U$503,(_calc!$E$810-500)))&amp;". ")&amp;IF(LEN(IF(LEN(INDEX('My equipment'!$V$4:$V$503,(_calc!$E$810-500)))=0,"",INDEX('My equipment'!$V$4:$V$503,(_calc!$E$810-500))))=0,"","Proof on file: "&amp;IF(LEN(INDEX('My equipment'!$V$4:$V$503,(_calc!$E$810-500)))=0,"",INDEX('My equipment'!$V$4:$V$503,(_calc!$E$810-500)))&amp;". ")&amp;IF(LEN(IF(LEN(INDEX('My equipment'!$W$4:$W$503,(_calc!$E$810-500)))=0,"",INDEX('My equipment'!$W$4:$W$503,(_calc!$E$810-500))))=0,"","Claim ref: "&amp;IF(LEN(INDEX('My equipment'!$W$4:$W$503,(_calc!$E$810-500)))=0,"",INDEX('My equipment'!$W$4:$W$503,(_calc!$E$810-500)))&amp;". ")&amp;IF(LEN(IF(LEN(INDEX('My equipment'!$Y$4:$Y$503,(_calc!$E$810-500)))=0,"",INDEX('My equipment'!$Y$4:$Y$503,(_calc!$E$810-500))))=0,"",IF(LEN(INDEX('My equipment'!$Y$4:$Y$503,(_calc!$E$810-500)))=0,"",INDEX('My equipment'!$Y$4:$Y$503,(_calc!$E$810-500)))))))</f>
        <v/>
      </c>
      <c r="G808" s="54">
        <f>IF(_calc!$E$810="","",IF(_calc!$E$810&lt;=500,"",IF(LEN(INDEX('My equipment'!$X$4:$X$503,(_calc!$E$810-500)))=0,"",INDEX('My equipment'!$X$4:$X$503,(_calc!$E$810-500)))))</f>
        <v/>
      </c>
      <c r="K808" s="54">
        <f>IF(_calc!$E$810="","",IF(_calc!$E$810&lt;=500,"",IF(LEN(INDEX('My equipment'!$T$4:$T$503,(_calc!$E$810-500)))=0,"",INDEX('My equipment'!$T$4:$T$503,(_calc!$E$810-500)))))</f>
        <v/>
      </c>
    </row>
    <row r="809">
      <c r="A809" s="54">
        <f>IF(_calc!$E$811="","",IF(_calc!$E$811&lt;=500,"Warranty – "&amp;IF(LEN(INDEX('Dealer pipeline'!$C$4:$C$503,_calc!$E$811))=0,"",INDEX('Dealer pipeline'!$C$4:$C$503,_calc!$E$811))&amp;" – "&amp;IF(LEN(INDEX('Dealer pipeline'!$D$4:$D$503,_calc!$E$811))=0,"",INDEX('Dealer pipeline'!$D$4:$D$503,_calc!$E$811))&amp;" – "&amp;IF(LEN(INDEX('Dealer pipeline'!$A$4:$A$503,_calc!$E$811))=0,"",INDEX('Dealer pipeline'!$A$4:$A$503,_calc!$E$811)),"Warranty – "&amp;IF(LEN(INDEX('My equipment'!$A$4:$A$503,(_calc!$E$811-500)))=0,"",INDEX('My equipment'!$A$4:$A$503,(_calc!$E$811-500)))&amp;" – "&amp;IF(LEN(INDEX('My equipment'!$D$4:$D$503,(_calc!$E$811-500)))=0,"",INDEX('My equipment'!$D$4:$D$503,(_calc!$E$811-500)))))</f>
        <v/>
      </c>
      <c r="B809" s="54">
        <f>IF(_calc!$E$811="","",IF(_calc!$E$811&lt;=500,IF(ISNUMBER(INDEX('Dealer pipeline'!$M$4:$M$503,_calc!$E$811)),TEXT(INDEX('Dealer pipeline'!$M$4:$M$503,_calc!$E$811),"yyyy-mm-dd"),""),IF(ISNUMBER(INDEX('My equipment'!$M$4:$M$503,(_calc!$E$811-500))),TEXT(INDEX('My equipment'!$M$4:$M$503,(_calc!$E$811-500)),"yyyy-mm-dd"),"")))</f>
        <v/>
      </c>
      <c r="C809" s="54">
        <f>IF(_calc!$E$811="","",IF(_calc!$E$811&lt;=500,"Warranty","Warranty"))</f>
        <v/>
      </c>
      <c r="D809" s="54">
        <f>IF(_calc!$E$811="","",IF(_calc!$E$811&lt;=500,IF(ISNUMBER(INDEX('Dealer pipeline'!$H$4:$H$503,_calc!$E$811)),TEXT(INDEX('Dealer pipeline'!$H$4:$H$503,_calc!$E$811),"yyyy-mm-dd"),""),IF(ISNUMBER(INDEX('My equipment'!$H$4:$H$503,(_calc!$E$811-500))),TEXT(INDEX('My equipment'!$H$4:$H$503,(_calc!$E$811-500)),"yyyy-mm-dd"),"")))</f>
        <v/>
      </c>
      <c r="F809" s="54">
        <f>IF(_calc!$E$811="","",IF(_calc!$E$811&lt;=500,TRIM(IF(LEN(IF(LEN(INDEX('Dealer pipeline'!$A$4:$A$503,_calc!$E$811))=0,"",INDEX('Dealer pipeline'!$A$4:$A$503,_calc!$E$811)))=0,"","Customer: "&amp;IF(LEN(INDEX('Dealer pipeline'!$A$4:$A$503,_calc!$E$811))=0,"",INDEX('Dealer pipeline'!$A$4:$A$503,_calc!$E$811))&amp;". ")&amp;IF(LEN(IF(LEN(INDEX('Dealer pipeline'!$B$4:$B$503,_calc!$E$811))=0,"",INDEX('Dealer pipeline'!$B$4:$B$503,_calc!$E$811)))=0,"","Contact: "&amp;IF(LEN(INDEX('Dealer pipeline'!$B$4:$B$503,_calc!$E$811))=0,"",INDEX('Dealer pipeline'!$B$4:$B$503,_calc!$E$811))&amp;". ")&amp;IF(LEN(IF(LEN(INDEX('Dealer pipeline'!$D$4:$D$503,_calc!$E$811))=0,"",INDEX('Dealer pipeline'!$D$4:$D$503,_calc!$E$811)))=0,"","Serial: "&amp;IF(LEN(INDEX('Dealer pipeline'!$D$4:$D$503,_calc!$E$811))=0,"",INDEX('Dealer pipeline'!$D$4:$D$503,_calc!$E$811))&amp;". ")&amp;IF(LEN(IF(ISNUMBER(INDEX('Dealer pipeline'!$J$4:$J$503,_calc!$E$811)),TEXT(INDEX('Dealer pipeline'!$J$4:$J$503,_calc!$E$811),"yyyy-mm-dd"),""))=0,"","Parts end: "&amp;IF(ISNUMBER(INDEX('Dealer pipeline'!$J$4:$J$503,_calc!$E$811)),TEXT(INDEX('Dealer pipeline'!$J$4:$J$503,_calc!$E$811),"yyyy-mm-dd"),"")&amp;". ")&amp;IF(LEN(IF(ISNUMBER(INDEX('Dealer pipeline'!$L$4:$L$503,_calc!$E$811)),TEXT(INDEX('Dealer pipeline'!$L$4:$L$503,_calc!$E$811),"yyyy-mm-dd"),""))=0,"","Labor end: "&amp;IF(ISNUMBER(INDEX('Dealer pipeline'!$L$4:$L$503,_calc!$E$811)),TEXT(INDEX('Dealer pipeline'!$L$4:$L$503,_calc!$E$811),"yyyy-mm-dd"),"")&amp;". ")&amp;IF(LEN(IF(LEN(INDEX('Dealer pipeline'!$Q$4:$Q$503,_calc!$E$811))=0,"",INDEX('Dealer pipeline'!$Q$4:$Q$503,_calc!$E$811)))=0,"","Status: "&amp;IF(LEN(INDEX('Dealer pipeline'!$Q$4:$Q$503,_calc!$E$811))=0,"",INDEX('Dealer pipeline'!$Q$4:$Q$503,_calc!$E$811))&amp;". ")&amp;IF(LEN(IF(LEN(INDEX('Dealer pipeline'!$P$4:$P$503,_calc!$E$811))=0,"",INDEX('Dealer pipeline'!$P$4:$P$503,_calc!$E$811)))=0,"","Last touch: "&amp;IF(LEN(INDEX('Dealer pipeline'!$P$4:$P$503,_calc!$E$811))=0,"",INDEX('Dealer pipeline'!$P$4:$P$503,_calc!$E$811))&amp;". ")&amp;IF(LEN(IF(LEN(INDEX('Dealer pipeline'!$R$4:$R$503,_calc!$E$811))=0,"",INDEX('Dealer pipeline'!$R$4:$R$503,_calc!$E$811)))=0,"","Owner: "&amp;IF(LEN(INDEX('Dealer pipeline'!$R$4:$R$503,_calc!$E$811))=0,"",INDEX('Dealer pipeline'!$R$4:$R$503,_calc!$E$811))&amp;". ")&amp;IF(LEN(IF(LEN(INDEX('Dealer pipeline'!$S$4:$S$503,_calc!$E$811))=0,"",INDEX('Dealer pipeline'!$S$4:$S$503,_calc!$E$811)))=0,"","Backup: "&amp;IF(LEN(INDEX('Dealer pipeline'!$S$4:$S$503,_calc!$E$811))=0,"",INDEX('Dealer pipeline'!$S$4:$S$503,_calc!$E$811))&amp;". ")&amp;IF(LEN(IF(LEN(INDEX('Dealer pipeline'!$T$4:$T$503,_calc!$E$811))=0,"",INDEX('Dealer pipeline'!$T$4:$T$503,_calc!$E$811)))=0,"",IF(LEN(INDEX('Dealer pipeline'!$T$4:$T$503,_calc!$E$811))=0,"",INDEX('Dealer pipeline'!$T$4:$T$503,_calc!$E$811)))),TRIM(IF(LEN(IF(LEN(INDEX('My equipment'!$C$4:$C$503,(_calc!$E$811-500)))=0,"",INDEX('My equipment'!$C$4:$C$503,(_calc!$E$811-500))))=0,"","Model: "&amp;IF(LEN(INDEX('My equipment'!$C$4:$C$503,(_calc!$E$811-500)))=0,"",INDEX('My equipment'!$C$4:$C$503,(_calc!$E$811-500)))&amp;". ")&amp;IF(LEN(IF(LEN(INDEX('My equipment'!$D$4:$D$503,(_calc!$E$811-500)))=0,"",INDEX('My equipment'!$D$4:$D$503,(_calc!$E$811-500))))=0,"","Serial: "&amp;IF(LEN(INDEX('My equipment'!$D$4:$D$503,(_calc!$E$811-500)))=0,"",INDEX('My equipment'!$D$4:$D$503,(_calc!$E$811-500)))&amp;". ")&amp;IF(LEN(IF(ISNUMBER(INDEX('My equipment'!$J$4:$J$503,(_calc!$E$811-500))),TEXT(INDEX('My equipment'!$J$4:$J$503,(_calc!$E$811-500)),"yyyy-mm-dd"),""))=0,"","Parts end: "&amp;IF(ISNUMBER(INDEX('My equipment'!$J$4:$J$503,(_calc!$E$811-500))),TEXT(INDEX('My equipment'!$J$4:$J$503,(_calc!$E$811-500)),"yyyy-mm-dd"),"")&amp;". ")&amp;IF(LEN(IF(ISNUMBER(INDEX('My equipment'!$L$4:$L$503,(_calc!$E$811-500))),TEXT(INDEX('My equipment'!$L$4:$L$503,(_calc!$E$811-500)),"yyyy-mm-dd"),""))=0,"","Labor end: "&amp;IF(ISNUMBER(INDEX('My equipment'!$L$4:$L$503,(_calc!$E$811-500))),TEXT(INDEX('My equipment'!$L$4:$L$503,(_calc!$E$811-500)),"yyyy-mm-dd"),"")&amp;". ")&amp;IF(LEN(IF(ISNUMBER(INDEX('My equipment'!$P$4:$P$503,(_calc!$E$811-500))),TEXT(INDEX('My equipment'!$P$4:$P$503,(_calc!$E$811-500)),"yyyy-mm-dd"),""))=0,"","Check by: "&amp;IF(ISNUMBER(INDEX('My equipment'!$P$4:$P$503,(_calc!$E$811-500))),TEXT(INDEX('My equipment'!$P$4:$P$503,(_calc!$E$811-500)),"yyyy-mm-dd"),"")&amp;". ")&amp;IF(LEN(IF(LEN(INDEX('My equipment'!$Q$4:$Q$503,(_calc!$E$811-500)))=0,"",INDEX('My equipment'!$Q$4:$Q$503,(_calc!$E$811-500))))=0,"","Claim status: "&amp;IF(LEN(INDEX('My equipment'!$Q$4:$Q$503,(_calc!$E$811-500)))=0,"",INDEX('My equipment'!$Q$4:$Q$503,(_calc!$E$811-500)))&amp;". ")&amp;IF(LEN(IF(LEN(INDEX('My equipment'!$R$4:$R$503,(_calc!$E$811-500)))=0,"",INDEX('My equipment'!$R$4:$R$503,(_calc!$E$811-500))))=0,"","Claims contact: "&amp;IF(LEN(INDEX('My equipment'!$R$4:$R$503,(_calc!$E$811-500)))=0,"",INDEX('My equipment'!$R$4:$R$503,(_calc!$E$811-500)))&amp;". ")&amp;IF(LEN(IF(LEN(INDEX('My equipment'!$S$4:$S$503,(_calc!$E$811-500)))=0,"",INDEX('My equipment'!$S$4:$S$503,(_calc!$E$811-500))))=0,"","Claims email: "&amp;IF(LEN(INDEX('My equipment'!$S$4:$S$503,(_calc!$E$811-500)))=0,"",INDEX('My equipment'!$S$4:$S$503,(_calc!$E$811-500)))&amp;". ")&amp;IF(LEN(IF(LEN(INDEX('My equipment'!$U$4:$U$503,(_calc!$E$811-500)))=0,"",INDEX('My equipment'!$U$4:$U$503,(_calc!$E$811-500))))=0,"","Registered: "&amp;IF(LEN(INDEX('My equipment'!$U$4:$U$503,(_calc!$E$811-500)))=0,"",INDEX('My equipment'!$U$4:$U$503,(_calc!$E$811-500)))&amp;". ")&amp;IF(LEN(IF(LEN(INDEX('My equipment'!$V$4:$V$503,(_calc!$E$811-500)))=0,"",INDEX('My equipment'!$V$4:$V$503,(_calc!$E$811-500))))=0,"","Proof on file: "&amp;IF(LEN(INDEX('My equipment'!$V$4:$V$503,(_calc!$E$811-500)))=0,"",INDEX('My equipment'!$V$4:$V$503,(_calc!$E$811-500)))&amp;". ")&amp;IF(LEN(IF(LEN(INDEX('My equipment'!$W$4:$W$503,(_calc!$E$811-500)))=0,"",INDEX('My equipment'!$W$4:$W$503,(_calc!$E$811-500))))=0,"","Claim ref: "&amp;IF(LEN(INDEX('My equipment'!$W$4:$W$503,(_calc!$E$811-500)))=0,"",INDEX('My equipment'!$W$4:$W$503,(_calc!$E$811-500)))&amp;". ")&amp;IF(LEN(IF(LEN(INDEX('My equipment'!$Y$4:$Y$503,(_calc!$E$811-500)))=0,"",INDEX('My equipment'!$Y$4:$Y$503,(_calc!$E$811-500))))=0,"",IF(LEN(INDEX('My equipment'!$Y$4:$Y$503,(_calc!$E$811-500)))=0,"",INDEX('My equipment'!$Y$4:$Y$503,(_calc!$E$811-500)))))))</f>
        <v/>
      </c>
      <c r="G809" s="54">
        <f>IF(_calc!$E$811="","",IF(_calc!$E$811&lt;=500,"",IF(LEN(INDEX('My equipment'!$X$4:$X$503,(_calc!$E$811-500)))=0,"",INDEX('My equipment'!$X$4:$X$503,(_calc!$E$811-500)))))</f>
        <v/>
      </c>
      <c r="K809" s="54">
        <f>IF(_calc!$E$811="","",IF(_calc!$E$811&lt;=500,"",IF(LEN(INDEX('My equipment'!$T$4:$T$503,(_calc!$E$811-500)))=0,"",INDEX('My equipment'!$T$4:$T$503,(_calc!$E$811-500)))))</f>
        <v/>
      </c>
    </row>
    <row r="810">
      <c r="A810" s="54">
        <f>IF(_calc!$E$812="","",IF(_calc!$E$812&lt;=500,"Warranty – "&amp;IF(LEN(INDEX('Dealer pipeline'!$C$4:$C$503,_calc!$E$812))=0,"",INDEX('Dealer pipeline'!$C$4:$C$503,_calc!$E$812))&amp;" – "&amp;IF(LEN(INDEX('Dealer pipeline'!$D$4:$D$503,_calc!$E$812))=0,"",INDEX('Dealer pipeline'!$D$4:$D$503,_calc!$E$812))&amp;" – "&amp;IF(LEN(INDEX('Dealer pipeline'!$A$4:$A$503,_calc!$E$812))=0,"",INDEX('Dealer pipeline'!$A$4:$A$503,_calc!$E$812)),"Warranty – "&amp;IF(LEN(INDEX('My equipment'!$A$4:$A$503,(_calc!$E$812-500)))=0,"",INDEX('My equipment'!$A$4:$A$503,(_calc!$E$812-500)))&amp;" – "&amp;IF(LEN(INDEX('My equipment'!$D$4:$D$503,(_calc!$E$812-500)))=0,"",INDEX('My equipment'!$D$4:$D$503,(_calc!$E$812-500)))))</f>
        <v/>
      </c>
      <c r="B810" s="54">
        <f>IF(_calc!$E$812="","",IF(_calc!$E$812&lt;=500,IF(ISNUMBER(INDEX('Dealer pipeline'!$M$4:$M$503,_calc!$E$812)),TEXT(INDEX('Dealer pipeline'!$M$4:$M$503,_calc!$E$812),"yyyy-mm-dd"),""),IF(ISNUMBER(INDEX('My equipment'!$M$4:$M$503,(_calc!$E$812-500))),TEXT(INDEX('My equipment'!$M$4:$M$503,(_calc!$E$812-500)),"yyyy-mm-dd"),"")))</f>
        <v/>
      </c>
      <c r="C810" s="54">
        <f>IF(_calc!$E$812="","",IF(_calc!$E$812&lt;=500,"Warranty","Warranty"))</f>
        <v/>
      </c>
      <c r="D810" s="54">
        <f>IF(_calc!$E$812="","",IF(_calc!$E$812&lt;=500,IF(ISNUMBER(INDEX('Dealer pipeline'!$H$4:$H$503,_calc!$E$812)),TEXT(INDEX('Dealer pipeline'!$H$4:$H$503,_calc!$E$812),"yyyy-mm-dd"),""),IF(ISNUMBER(INDEX('My equipment'!$H$4:$H$503,(_calc!$E$812-500))),TEXT(INDEX('My equipment'!$H$4:$H$503,(_calc!$E$812-500)),"yyyy-mm-dd"),"")))</f>
        <v/>
      </c>
      <c r="F810" s="54">
        <f>IF(_calc!$E$812="","",IF(_calc!$E$812&lt;=500,TRIM(IF(LEN(IF(LEN(INDEX('Dealer pipeline'!$A$4:$A$503,_calc!$E$812))=0,"",INDEX('Dealer pipeline'!$A$4:$A$503,_calc!$E$812)))=0,"","Customer: "&amp;IF(LEN(INDEX('Dealer pipeline'!$A$4:$A$503,_calc!$E$812))=0,"",INDEX('Dealer pipeline'!$A$4:$A$503,_calc!$E$812))&amp;". ")&amp;IF(LEN(IF(LEN(INDEX('Dealer pipeline'!$B$4:$B$503,_calc!$E$812))=0,"",INDEX('Dealer pipeline'!$B$4:$B$503,_calc!$E$812)))=0,"","Contact: "&amp;IF(LEN(INDEX('Dealer pipeline'!$B$4:$B$503,_calc!$E$812))=0,"",INDEX('Dealer pipeline'!$B$4:$B$503,_calc!$E$812))&amp;". ")&amp;IF(LEN(IF(LEN(INDEX('Dealer pipeline'!$D$4:$D$503,_calc!$E$812))=0,"",INDEX('Dealer pipeline'!$D$4:$D$503,_calc!$E$812)))=0,"","Serial: "&amp;IF(LEN(INDEX('Dealer pipeline'!$D$4:$D$503,_calc!$E$812))=0,"",INDEX('Dealer pipeline'!$D$4:$D$503,_calc!$E$812))&amp;". ")&amp;IF(LEN(IF(ISNUMBER(INDEX('Dealer pipeline'!$J$4:$J$503,_calc!$E$812)),TEXT(INDEX('Dealer pipeline'!$J$4:$J$503,_calc!$E$812),"yyyy-mm-dd"),""))=0,"","Parts end: "&amp;IF(ISNUMBER(INDEX('Dealer pipeline'!$J$4:$J$503,_calc!$E$812)),TEXT(INDEX('Dealer pipeline'!$J$4:$J$503,_calc!$E$812),"yyyy-mm-dd"),"")&amp;". ")&amp;IF(LEN(IF(ISNUMBER(INDEX('Dealer pipeline'!$L$4:$L$503,_calc!$E$812)),TEXT(INDEX('Dealer pipeline'!$L$4:$L$503,_calc!$E$812),"yyyy-mm-dd"),""))=0,"","Labor end: "&amp;IF(ISNUMBER(INDEX('Dealer pipeline'!$L$4:$L$503,_calc!$E$812)),TEXT(INDEX('Dealer pipeline'!$L$4:$L$503,_calc!$E$812),"yyyy-mm-dd"),"")&amp;". ")&amp;IF(LEN(IF(LEN(INDEX('Dealer pipeline'!$Q$4:$Q$503,_calc!$E$812))=0,"",INDEX('Dealer pipeline'!$Q$4:$Q$503,_calc!$E$812)))=0,"","Status: "&amp;IF(LEN(INDEX('Dealer pipeline'!$Q$4:$Q$503,_calc!$E$812))=0,"",INDEX('Dealer pipeline'!$Q$4:$Q$503,_calc!$E$812))&amp;". ")&amp;IF(LEN(IF(LEN(INDEX('Dealer pipeline'!$P$4:$P$503,_calc!$E$812))=0,"",INDEX('Dealer pipeline'!$P$4:$P$503,_calc!$E$812)))=0,"","Last touch: "&amp;IF(LEN(INDEX('Dealer pipeline'!$P$4:$P$503,_calc!$E$812))=0,"",INDEX('Dealer pipeline'!$P$4:$P$503,_calc!$E$812))&amp;". ")&amp;IF(LEN(IF(LEN(INDEX('Dealer pipeline'!$R$4:$R$503,_calc!$E$812))=0,"",INDEX('Dealer pipeline'!$R$4:$R$503,_calc!$E$812)))=0,"","Owner: "&amp;IF(LEN(INDEX('Dealer pipeline'!$R$4:$R$503,_calc!$E$812))=0,"",INDEX('Dealer pipeline'!$R$4:$R$503,_calc!$E$812))&amp;". ")&amp;IF(LEN(IF(LEN(INDEX('Dealer pipeline'!$S$4:$S$503,_calc!$E$812))=0,"",INDEX('Dealer pipeline'!$S$4:$S$503,_calc!$E$812)))=0,"","Backup: "&amp;IF(LEN(INDEX('Dealer pipeline'!$S$4:$S$503,_calc!$E$812))=0,"",INDEX('Dealer pipeline'!$S$4:$S$503,_calc!$E$812))&amp;". ")&amp;IF(LEN(IF(LEN(INDEX('Dealer pipeline'!$T$4:$T$503,_calc!$E$812))=0,"",INDEX('Dealer pipeline'!$T$4:$T$503,_calc!$E$812)))=0,"",IF(LEN(INDEX('Dealer pipeline'!$T$4:$T$503,_calc!$E$812))=0,"",INDEX('Dealer pipeline'!$T$4:$T$503,_calc!$E$812)))),TRIM(IF(LEN(IF(LEN(INDEX('My equipment'!$C$4:$C$503,(_calc!$E$812-500)))=0,"",INDEX('My equipment'!$C$4:$C$503,(_calc!$E$812-500))))=0,"","Model: "&amp;IF(LEN(INDEX('My equipment'!$C$4:$C$503,(_calc!$E$812-500)))=0,"",INDEX('My equipment'!$C$4:$C$503,(_calc!$E$812-500)))&amp;". ")&amp;IF(LEN(IF(LEN(INDEX('My equipment'!$D$4:$D$503,(_calc!$E$812-500)))=0,"",INDEX('My equipment'!$D$4:$D$503,(_calc!$E$812-500))))=0,"","Serial: "&amp;IF(LEN(INDEX('My equipment'!$D$4:$D$503,(_calc!$E$812-500)))=0,"",INDEX('My equipment'!$D$4:$D$503,(_calc!$E$812-500)))&amp;". ")&amp;IF(LEN(IF(ISNUMBER(INDEX('My equipment'!$J$4:$J$503,(_calc!$E$812-500))),TEXT(INDEX('My equipment'!$J$4:$J$503,(_calc!$E$812-500)),"yyyy-mm-dd"),""))=0,"","Parts end: "&amp;IF(ISNUMBER(INDEX('My equipment'!$J$4:$J$503,(_calc!$E$812-500))),TEXT(INDEX('My equipment'!$J$4:$J$503,(_calc!$E$812-500)),"yyyy-mm-dd"),"")&amp;". ")&amp;IF(LEN(IF(ISNUMBER(INDEX('My equipment'!$L$4:$L$503,(_calc!$E$812-500))),TEXT(INDEX('My equipment'!$L$4:$L$503,(_calc!$E$812-500)),"yyyy-mm-dd"),""))=0,"","Labor end: "&amp;IF(ISNUMBER(INDEX('My equipment'!$L$4:$L$503,(_calc!$E$812-500))),TEXT(INDEX('My equipment'!$L$4:$L$503,(_calc!$E$812-500)),"yyyy-mm-dd"),"")&amp;". ")&amp;IF(LEN(IF(ISNUMBER(INDEX('My equipment'!$P$4:$P$503,(_calc!$E$812-500))),TEXT(INDEX('My equipment'!$P$4:$P$503,(_calc!$E$812-500)),"yyyy-mm-dd"),""))=0,"","Check by: "&amp;IF(ISNUMBER(INDEX('My equipment'!$P$4:$P$503,(_calc!$E$812-500))),TEXT(INDEX('My equipment'!$P$4:$P$503,(_calc!$E$812-500)),"yyyy-mm-dd"),"")&amp;". ")&amp;IF(LEN(IF(LEN(INDEX('My equipment'!$Q$4:$Q$503,(_calc!$E$812-500)))=0,"",INDEX('My equipment'!$Q$4:$Q$503,(_calc!$E$812-500))))=0,"","Claim status: "&amp;IF(LEN(INDEX('My equipment'!$Q$4:$Q$503,(_calc!$E$812-500)))=0,"",INDEX('My equipment'!$Q$4:$Q$503,(_calc!$E$812-500)))&amp;". ")&amp;IF(LEN(IF(LEN(INDEX('My equipment'!$R$4:$R$503,(_calc!$E$812-500)))=0,"",INDEX('My equipment'!$R$4:$R$503,(_calc!$E$812-500))))=0,"","Claims contact: "&amp;IF(LEN(INDEX('My equipment'!$R$4:$R$503,(_calc!$E$812-500)))=0,"",INDEX('My equipment'!$R$4:$R$503,(_calc!$E$812-500)))&amp;". ")&amp;IF(LEN(IF(LEN(INDEX('My equipment'!$S$4:$S$503,(_calc!$E$812-500)))=0,"",INDEX('My equipment'!$S$4:$S$503,(_calc!$E$812-500))))=0,"","Claims email: "&amp;IF(LEN(INDEX('My equipment'!$S$4:$S$503,(_calc!$E$812-500)))=0,"",INDEX('My equipment'!$S$4:$S$503,(_calc!$E$812-500)))&amp;". ")&amp;IF(LEN(IF(LEN(INDEX('My equipment'!$U$4:$U$503,(_calc!$E$812-500)))=0,"",INDEX('My equipment'!$U$4:$U$503,(_calc!$E$812-500))))=0,"","Registered: "&amp;IF(LEN(INDEX('My equipment'!$U$4:$U$503,(_calc!$E$812-500)))=0,"",INDEX('My equipment'!$U$4:$U$503,(_calc!$E$812-500)))&amp;". ")&amp;IF(LEN(IF(LEN(INDEX('My equipment'!$V$4:$V$503,(_calc!$E$812-500)))=0,"",INDEX('My equipment'!$V$4:$V$503,(_calc!$E$812-500))))=0,"","Proof on file: "&amp;IF(LEN(INDEX('My equipment'!$V$4:$V$503,(_calc!$E$812-500)))=0,"",INDEX('My equipment'!$V$4:$V$503,(_calc!$E$812-500)))&amp;". ")&amp;IF(LEN(IF(LEN(INDEX('My equipment'!$W$4:$W$503,(_calc!$E$812-500)))=0,"",INDEX('My equipment'!$W$4:$W$503,(_calc!$E$812-500))))=0,"","Claim ref: "&amp;IF(LEN(INDEX('My equipment'!$W$4:$W$503,(_calc!$E$812-500)))=0,"",INDEX('My equipment'!$W$4:$W$503,(_calc!$E$812-500)))&amp;". ")&amp;IF(LEN(IF(LEN(INDEX('My equipment'!$Y$4:$Y$503,(_calc!$E$812-500)))=0,"",INDEX('My equipment'!$Y$4:$Y$503,(_calc!$E$812-500))))=0,"",IF(LEN(INDEX('My equipment'!$Y$4:$Y$503,(_calc!$E$812-500)))=0,"",INDEX('My equipment'!$Y$4:$Y$503,(_calc!$E$812-500)))))))</f>
        <v/>
      </c>
      <c r="G810" s="54">
        <f>IF(_calc!$E$812="","",IF(_calc!$E$812&lt;=500,"",IF(LEN(INDEX('My equipment'!$X$4:$X$503,(_calc!$E$812-500)))=0,"",INDEX('My equipment'!$X$4:$X$503,(_calc!$E$812-500)))))</f>
        <v/>
      </c>
      <c r="K810" s="54">
        <f>IF(_calc!$E$812="","",IF(_calc!$E$812&lt;=500,"",IF(LEN(INDEX('My equipment'!$T$4:$T$503,(_calc!$E$812-500)))=0,"",INDEX('My equipment'!$T$4:$T$503,(_calc!$E$812-500)))))</f>
        <v/>
      </c>
    </row>
    <row r="811">
      <c r="A811" s="54">
        <f>IF(_calc!$E$813="","",IF(_calc!$E$813&lt;=500,"Warranty – "&amp;IF(LEN(INDEX('Dealer pipeline'!$C$4:$C$503,_calc!$E$813))=0,"",INDEX('Dealer pipeline'!$C$4:$C$503,_calc!$E$813))&amp;" – "&amp;IF(LEN(INDEX('Dealer pipeline'!$D$4:$D$503,_calc!$E$813))=0,"",INDEX('Dealer pipeline'!$D$4:$D$503,_calc!$E$813))&amp;" – "&amp;IF(LEN(INDEX('Dealer pipeline'!$A$4:$A$503,_calc!$E$813))=0,"",INDEX('Dealer pipeline'!$A$4:$A$503,_calc!$E$813)),"Warranty – "&amp;IF(LEN(INDEX('My equipment'!$A$4:$A$503,(_calc!$E$813-500)))=0,"",INDEX('My equipment'!$A$4:$A$503,(_calc!$E$813-500)))&amp;" – "&amp;IF(LEN(INDEX('My equipment'!$D$4:$D$503,(_calc!$E$813-500)))=0,"",INDEX('My equipment'!$D$4:$D$503,(_calc!$E$813-500)))))</f>
        <v/>
      </c>
      <c r="B811" s="54">
        <f>IF(_calc!$E$813="","",IF(_calc!$E$813&lt;=500,IF(ISNUMBER(INDEX('Dealer pipeline'!$M$4:$M$503,_calc!$E$813)),TEXT(INDEX('Dealer pipeline'!$M$4:$M$503,_calc!$E$813),"yyyy-mm-dd"),""),IF(ISNUMBER(INDEX('My equipment'!$M$4:$M$503,(_calc!$E$813-500))),TEXT(INDEX('My equipment'!$M$4:$M$503,(_calc!$E$813-500)),"yyyy-mm-dd"),"")))</f>
        <v/>
      </c>
      <c r="C811" s="54">
        <f>IF(_calc!$E$813="","",IF(_calc!$E$813&lt;=500,"Warranty","Warranty"))</f>
        <v/>
      </c>
      <c r="D811" s="54">
        <f>IF(_calc!$E$813="","",IF(_calc!$E$813&lt;=500,IF(ISNUMBER(INDEX('Dealer pipeline'!$H$4:$H$503,_calc!$E$813)),TEXT(INDEX('Dealer pipeline'!$H$4:$H$503,_calc!$E$813),"yyyy-mm-dd"),""),IF(ISNUMBER(INDEX('My equipment'!$H$4:$H$503,(_calc!$E$813-500))),TEXT(INDEX('My equipment'!$H$4:$H$503,(_calc!$E$813-500)),"yyyy-mm-dd"),"")))</f>
        <v/>
      </c>
      <c r="F811" s="54">
        <f>IF(_calc!$E$813="","",IF(_calc!$E$813&lt;=500,TRIM(IF(LEN(IF(LEN(INDEX('Dealer pipeline'!$A$4:$A$503,_calc!$E$813))=0,"",INDEX('Dealer pipeline'!$A$4:$A$503,_calc!$E$813)))=0,"","Customer: "&amp;IF(LEN(INDEX('Dealer pipeline'!$A$4:$A$503,_calc!$E$813))=0,"",INDEX('Dealer pipeline'!$A$4:$A$503,_calc!$E$813))&amp;". ")&amp;IF(LEN(IF(LEN(INDEX('Dealer pipeline'!$B$4:$B$503,_calc!$E$813))=0,"",INDEX('Dealer pipeline'!$B$4:$B$503,_calc!$E$813)))=0,"","Contact: "&amp;IF(LEN(INDEX('Dealer pipeline'!$B$4:$B$503,_calc!$E$813))=0,"",INDEX('Dealer pipeline'!$B$4:$B$503,_calc!$E$813))&amp;". ")&amp;IF(LEN(IF(LEN(INDEX('Dealer pipeline'!$D$4:$D$503,_calc!$E$813))=0,"",INDEX('Dealer pipeline'!$D$4:$D$503,_calc!$E$813)))=0,"","Serial: "&amp;IF(LEN(INDEX('Dealer pipeline'!$D$4:$D$503,_calc!$E$813))=0,"",INDEX('Dealer pipeline'!$D$4:$D$503,_calc!$E$813))&amp;". ")&amp;IF(LEN(IF(ISNUMBER(INDEX('Dealer pipeline'!$J$4:$J$503,_calc!$E$813)),TEXT(INDEX('Dealer pipeline'!$J$4:$J$503,_calc!$E$813),"yyyy-mm-dd"),""))=0,"","Parts end: "&amp;IF(ISNUMBER(INDEX('Dealer pipeline'!$J$4:$J$503,_calc!$E$813)),TEXT(INDEX('Dealer pipeline'!$J$4:$J$503,_calc!$E$813),"yyyy-mm-dd"),"")&amp;". ")&amp;IF(LEN(IF(ISNUMBER(INDEX('Dealer pipeline'!$L$4:$L$503,_calc!$E$813)),TEXT(INDEX('Dealer pipeline'!$L$4:$L$503,_calc!$E$813),"yyyy-mm-dd"),""))=0,"","Labor end: "&amp;IF(ISNUMBER(INDEX('Dealer pipeline'!$L$4:$L$503,_calc!$E$813)),TEXT(INDEX('Dealer pipeline'!$L$4:$L$503,_calc!$E$813),"yyyy-mm-dd"),"")&amp;". ")&amp;IF(LEN(IF(LEN(INDEX('Dealer pipeline'!$Q$4:$Q$503,_calc!$E$813))=0,"",INDEX('Dealer pipeline'!$Q$4:$Q$503,_calc!$E$813)))=0,"","Status: "&amp;IF(LEN(INDEX('Dealer pipeline'!$Q$4:$Q$503,_calc!$E$813))=0,"",INDEX('Dealer pipeline'!$Q$4:$Q$503,_calc!$E$813))&amp;". ")&amp;IF(LEN(IF(LEN(INDEX('Dealer pipeline'!$P$4:$P$503,_calc!$E$813))=0,"",INDEX('Dealer pipeline'!$P$4:$P$503,_calc!$E$813)))=0,"","Last touch: "&amp;IF(LEN(INDEX('Dealer pipeline'!$P$4:$P$503,_calc!$E$813))=0,"",INDEX('Dealer pipeline'!$P$4:$P$503,_calc!$E$813))&amp;". ")&amp;IF(LEN(IF(LEN(INDEX('Dealer pipeline'!$R$4:$R$503,_calc!$E$813))=0,"",INDEX('Dealer pipeline'!$R$4:$R$503,_calc!$E$813)))=0,"","Owner: "&amp;IF(LEN(INDEX('Dealer pipeline'!$R$4:$R$503,_calc!$E$813))=0,"",INDEX('Dealer pipeline'!$R$4:$R$503,_calc!$E$813))&amp;". ")&amp;IF(LEN(IF(LEN(INDEX('Dealer pipeline'!$S$4:$S$503,_calc!$E$813))=0,"",INDEX('Dealer pipeline'!$S$4:$S$503,_calc!$E$813)))=0,"","Backup: "&amp;IF(LEN(INDEX('Dealer pipeline'!$S$4:$S$503,_calc!$E$813))=0,"",INDEX('Dealer pipeline'!$S$4:$S$503,_calc!$E$813))&amp;". ")&amp;IF(LEN(IF(LEN(INDEX('Dealer pipeline'!$T$4:$T$503,_calc!$E$813))=0,"",INDEX('Dealer pipeline'!$T$4:$T$503,_calc!$E$813)))=0,"",IF(LEN(INDEX('Dealer pipeline'!$T$4:$T$503,_calc!$E$813))=0,"",INDEX('Dealer pipeline'!$T$4:$T$503,_calc!$E$813)))),TRIM(IF(LEN(IF(LEN(INDEX('My equipment'!$C$4:$C$503,(_calc!$E$813-500)))=0,"",INDEX('My equipment'!$C$4:$C$503,(_calc!$E$813-500))))=0,"","Model: "&amp;IF(LEN(INDEX('My equipment'!$C$4:$C$503,(_calc!$E$813-500)))=0,"",INDEX('My equipment'!$C$4:$C$503,(_calc!$E$813-500)))&amp;". ")&amp;IF(LEN(IF(LEN(INDEX('My equipment'!$D$4:$D$503,(_calc!$E$813-500)))=0,"",INDEX('My equipment'!$D$4:$D$503,(_calc!$E$813-500))))=0,"","Serial: "&amp;IF(LEN(INDEX('My equipment'!$D$4:$D$503,(_calc!$E$813-500)))=0,"",INDEX('My equipment'!$D$4:$D$503,(_calc!$E$813-500)))&amp;". ")&amp;IF(LEN(IF(ISNUMBER(INDEX('My equipment'!$J$4:$J$503,(_calc!$E$813-500))),TEXT(INDEX('My equipment'!$J$4:$J$503,(_calc!$E$813-500)),"yyyy-mm-dd"),""))=0,"","Parts end: "&amp;IF(ISNUMBER(INDEX('My equipment'!$J$4:$J$503,(_calc!$E$813-500))),TEXT(INDEX('My equipment'!$J$4:$J$503,(_calc!$E$813-500)),"yyyy-mm-dd"),"")&amp;". ")&amp;IF(LEN(IF(ISNUMBER(INDEX('My equipment'!$L$4:$L$503,(_calc!$E$813-500))),TEXT(INDEX('My equipment'!$L$4:$L$503,(_calc!$E$813-500)),"yyyy-mm-dd"),""))=0,"","Labor end: "&amp;IF(ISNUMBER(INDEX('My equipment'!$L$4:$L$503,(_calc!$E$813-500))),TEXT(INDEX('My equipment'!$L$4:$L$503,(_calc!$E$813-500)),"yyyy-mm-dd"),"")&amp;". ")&amp;IF(LEN(IF(ISNUMBER(INDEX('My equipment'!$P$4:$P$503,(_calc!$E$813-500))),TEXT(INDEX('My equipment'!$P$4:$P$503,(_calc!$E$813-500)),"yyyy-mm-dd"),""))=0,"","Check by: "&amp;IF(ISNUMBER(INDEX('My equipment'!$P$4:$P$503,(_calc!$E$813-500))),TEXT(INDEX('My equipment'!$P$4:$P$503,(_calc!$E$813-500)),"yyyy-mm-dd"),"")&amp;". ")&amp;IF(LEN(IF(LEN(INDEX('My equipment'!$Q$4:$Q$503,(_calc!$E$813-500)))=0,"",INDEX('My equipment'!$Q$4:$Q$503,(_calc!$E$813-500))))=0,"","Claim status: "&amp;IF(LEN(INDEX('My equipment'!$Q$4:$Q$503,(_calc!$E$813-500)))=0,"",INDEX('My equipment'!$Q$4:$Q$503,(_calc!$E$813-500)))&amp;". ")&amp;IF(LEN(IF(LEN(INDEX('My equipment'!$R$4:$R$503,(_calc!$E$813-500)))=0,"",INDEX('My equipment'!$R$4:$R$503,(_calc!$E$813-500))))=0,"","Claims contact: "&amp;IF(LEN(INDEX('My equipment'!$R$4:$R$503,(_calc!$E$813-500)))=0,"",INDEX('My equipment'!$R$4:$R$503,(_calc!$E$813-500)))&amp;". ")&amp;IF(LEN(IF(LEN(INDEX('My equipment'!$S$4:$S$503,(_calc!$E$813-500)))=0,"",INDEX('My equipment'!$S$4:$S$503,(_calc!$E$813-500))))=0,"","Claims email: "&amp;IF(LEN(INDEX('My equipment'!$S$4:$S$503,(_calc!$E$813-500)))=0,"",INDEX('My equipment'!$S$4:$S$503,(_calc!$E$813-500)))&amp;". ")&amp;IF(LEN(IF(LEN(INDEX('My equipment'!$U$4:$U$503,(_calc!$E$813-500)))=0,"",INDEX('My equipment'!$U$4:$U$503,(_calc!$E$813-500))))=0,"","Registered: "&amp;IF(LEN(INDEX('My equipment'!$U$4:$U$503,(_calc!$E$813-500)))=0,"",INDEX('My equipment'!$U$4:$U$503,(_calc!$E$813-500)))&amp;". ")&amp;IF(LEN(IF(LEN(INDEX('My equipment'!$V$4:$V$503,(_calc!$E$813-500)))=0,"",INDEX('My equipment'!$V$4:$V$503,(_calc!$E$813-500))))=0,"","Proof on file: "&amp;IF(LEN(INDEX('My equipment'!$V$4:$V$503,(_calc!$E$813-500)))=0,"",INDEX('My equipment'!$V$4:$V$503,(_calc!$E$813-500)))&amp;". ")&amp;IF(LEN(IF(LEN(INDEX('My equipment'!$W$4:$W$503,(_calc!$E$813-500)))=0,"",INDEX('My equipment'!$W$4:$W$503,(_calc!$E$813-500))))=0,"","Claim ref: "&amp;IF(LEN(INDEX('My equipment'!$W$4:$W$503,(_calc!$E$813-500)))=0,"",INDEX('My equipment'!$W$4:$W$503,(_calc!$E$813-500)))&amp;". ")&amp;IF(LEN(IF(LEN(INDEX('My equipment'!$Y$4:$Y$503,(_calc!$E$813-500)))=0,"",INDEX('My equipment'!$Y$4:$Y$503,(_calc!$E$813-500))))=0,"",IF(LEN(INDEX('My equipment'!$Y$4:$Y$503,(_calc!$E$813-500)))=0,"",INDEX('My equipment'!$Y$4:$Y$503,(_calc!$E$813-500)))))))</f>
        <v/>
      </c>
      <c r="G811" s="54">
        <f>IF(_calc!$E$813="","",IF(_calc!$E$813&lt;=500,"",IF(LEN(INDEX('My equipment'!$X$4:$X$503,(_calc!$E$813-500)))=0,"",INDEX('My equipment'!$X$4:$X$503,(_calc!$E$813-500)))))</f>
        <v/>
      </c>
      <c r="K811" s="54">
        <f>IF(_calc!$E$813="","",IF(_calc!$E$813&lt;=500,"",IF(LEN(INDEX('My equipment'!$T$4:$T$503,(_calc!$E$813-500)))=0,"",INDEX('My equipment'!$T$4:$T$503,(_calc!$E$813-500)))))</f>
        <v/>
      </c>
    </row>
    <row r="812">
      <c r="A812" s="54">
        <f>IF(_calc!$E$814="","",IF(_calc!$E$814&lt;=500,"Warranty – "&amp;IF(LEN(INDEX('Dealer pipeline'!$C$4:$C$503,_calc!$E$814))=0,"",INDEX('Dealer pipeline'!$C$4:$C$503,_calc!$E$814))&amp;" – "&amp;IF(LEN(INDEX('Dealer pipeline'!$D$4:$D$503,_calc!$E$814))=0,"",INDEX('Dealer pipeline'!$D$4:$D$503,_calc!$E$814))&amp;" – "&amp;IF(LEN(INDEX('Dealer pipeline'!$A$4:$A$503,_calc!$E$814))=0,"",INDEX('Dealer pipeline'!$A$4:$A$503,_calc!$E$814)),"Warranty – "&amp;IF(LEN(INDEX('My equipment'!$A$4:$A$503,(_calc!$E$814-500)))=0,"",INDEX('My equipment'!$A$4:$A$503,(_calc!$E$814-500)))&amp;" – "&amp;IF(LEN(INDEX('My equipment'!$D$4:$D$503,(_calc!$E$814-500)))=0,"",INDEX('My equipment'!$D$4:$D$503,(_calc!$E$814-500)))))</f>
        <v/>
      </c>
      <c r="B812" s="54">
        <f>IF(_calc!$E$814="","",IF(_calc!$E$814&lt;=500,IF(ISNUMBER(INDEX('Dealer pipeline'!$M$4:$M$503,_calc!$E$814)),TEXT(INDEX('Dealer pipeline'!$M$4:$M$503,_calc!$E$814),"yyyy-mm-dd"),""),IF(ISNUMBER(INDEX('My equipment'!$M$4:$M$503,(_calc!$E$814-500))),TEXT(INDEX('My equipment'!$M$4:$M$503,(_calc!$E$814-500)),"yyyy-mm-dd"),"")))</f>
        <v/>
      </c>
      <c r="C812" s="54">
        <f>IF(_calc!$E$814="","",IF(_calc!$E$814&lt;=500,"Warranty","Warranty"))</f>
        <v/>
      </c>
      <c r="D812" s="54">
        <f>IF(_calc!$E$814="","",IF(_calc!$E$814&lt;=500,IF(ISNUMBER(INDEX('Dealer pipeline'!$H$4:$H$503,_calc!$E$814)),TEXT(INDEX('Dealer pipeline'!$H$4:$H$503,_calc!$E$814),"yyyy-mm-dd"),""),IF(ISNUMBER(INDEX('My equipment'!$H$4:$H$503,(_calc!$E$814-500))),TEXT(INDEX('My equipment'!$H$4:$H$503,(_calc!$E$814-500)),"yyyy-mm-dd"),"")))</f>
        <v/>
      </c>
      <c r="F812" s="54">
        <f>IF(_calc!$E$814="","",IF(_calc!$E$814&lt;=500,TRIM(IF(LEN(IF(LEN(INDEX('Dealer pipeline'!$A$4:$A$503,_calc!$E$814))=0,"",INDEX('Dealer pipeline'!$A$4:$A$503,_calc!$E$814)))=0,"","Customer: "&amp;IF(LEN(INDEX('Dealer pipeline'!$A$4:$A$503,_calc!$E$814))=0,"",INDEX('Dealer pipeline'!$A$4:$A$503,_calc!$E$814))&amp;". ")&amp;IF(LEN(IF(LEN(INDEX('Dealer pipeline'!$B$4:$B$503,_calc!$E$814))=0,"",INDEX('Dealer pipeline'!$B$4:$B$503,_calc!$E$814)))=0,"","Contact: "&amp;IF(LEN(INDEX('Dealer pipeline'!$B$4:$B$503,_calc!$E$814))=0,"",INDEX('Dealer pipeline'!$B$4:$B$503,_calc!$E$814))&amp;". ")&amp;IF(LEN(IF(LEN(INDEX('Dealer pipeline'!$D$4:$D$503,_calc!$E$814))=0,"",INDEX('Dealer pipeline'!$D$4:$D$503,_calc!$E$814)))=0,"","Serial: "&amp;IF(LEN(INDEX('Dealer pipeline'!$D$4:$D$503,_calc!$E$814))=0,"",INDEX('Dealer pipeline'!$D$4:$D$503,_calc!$E$814))&amp;". ")&amp;IF(LEN(IF(ISNUMBER(INDEX('Dealer pipeline'!$J$4:$J$503,_calc!$E$814)),TEXT(INDEX('Dealer pipeline'!$J$4:$J$503,_calc!$E$814),"yyyy-mm-dd"),""))=0,"","Parts end: "&amp;IF(ISNUMBER(INDEX('Dealer pipeline'!$J$4:$J$503,_calc!$E$814)),TEXT(INDEX('Dealer pipeline'!$J$4:$J$503,_calc!$E$814),"yyyy-mm-dd"),"")&amp;". ")&amp;IF(LEN(IF(ISNUMBER(INDEX('Dealer pipeline'!$L$4:$L$503,_calc!$E$814)),TEXT(INDEX('Dealer pipeline'!$L$4:$L$503,_calc!$E$814),"yyyy-mm-dd"),""))=0,"","Labor end: "&amp;IF(ISNUMBER(INDEX('Dealer pipeline'!$L$4:$L$503,_calc!$E$814)),TEXT(INDEX('Dealer pipeline'!$L$4:$L$503,_calc!$E$814),"yyyy-mm-dd"),"")&amp;". ")&amp;IF(LEN(IF(LEN(INDEX('Dealer pipeline'!$Q$4:$Q$503,_calc!$E$814))=0,"",INDEX('Dealer pipeline'!$Q$4:$Q$503,_calc!$E$814)))=0,"","Status: "&amp;IF(LEN(INDEX('Dealer pipeline'!$Q$4:$Q$503,_calc!$E$814))=0,"",INDEX('Dealer pipeline'!$Q$4:$Q$503,_calc!$E$814))&amp;". ")&amp;IF(LEN(IF(LEN(INDEX('Dealer pipeline'!$P$4:$P$503,_calc!$E$814))=0,"",INDEX('Dealer pipeline'!$P$4:$P$503,_calc!$E$814)))=0,"","Last touch: "&amp;IF(LEN(INDEX('Dealer pipeline'!$P$4:$P$503,_calc!$E$814))=0,"",INDEX('Dealer pipeline'!$P$4:$P$503,_calc!$E$814))&amp;". ")&amp;IF(LEN(IF(LEN(INDEX('Dealer pipeline'!$R$4:$R$503,_calc!$E$814))=0,"",INDEX('Dealer pipeline'!$R$4:$R$503,_calc!$E$814)))=0,"","Owner: "&amp;IF(LEN(INDEX('Dealer pipeline'!$R$4:$R$503,_calc!$E$814))=0,"",INDEX('Dealer pipeline'!$R$4:$R$503,_calc!$E$814))&amp;". ")&amp;IF(LEN(IF(LEN(INDEX('Dealer pipeline'!$S$4:$S$503,_calc!$E$814))=0,"",INDEX('Dealer pipeline'!$S$4:$S$503,_calc!$E$814)))=0,"","Backup: "&amp;IF(LEN(INDEX('Dealer pipeline'!$S$4:$S$503,_calc!$E$814))=0,"",INDEX('Dealer pipeline'!$S$4:$S$503,_calc!$E$814))&amp;". ")&amp;IF(LEN(IF(LEN(INDEX('Dealer pipeline'!$T$4:$T$503,_calc!$E$814))=0,"",INDEX('Dealer pipeline'!$T$4:$T$503,_calc!$E$814)))=0,"",IF(LEN(INDEX('Dealer pipeline'!$T$4:$T$503,_calc!$E$814))=0,"",INDEX('Dealer pipeline'!$T$4:$T$503,_calc!$E$814)))),TRIM(IF(LEN(IF(LEN(INDEX('My equipment'!$C$4:$C$503,(_calc!$E$814-500)))=0,"",INDEX('My equipment'!$C$4:$C$503,(_calc!$E$814-500))))=0,"","Model: "&amp;IF(LEN(INDEX('My equipment'!$C$4:$C$503,(_calc!$E$814-500)))=0,"",INDEX('My equipment'!$C$4:$C$503,(_calc!$E$814-500)))&amp;". ")&amp;IF(LEN(IF(LEN(INDEX('My equipment'!$D$4:$D$503,(_calc!$E$814-500)))=0,"",INDEX('My equipment'!$D$4:$D$503,(_calc!$E$814-500))))=0,"","Serial: "&amp;IF(LEN(INDEX('My equipment'!$D$4:$D$503,(_calc!$E$814-500)))=0,"",INDEX('My equipment'!$D$4:$D$503,(_calc!$E$814-500)))&amp;". ")&amp;IF(LEN(IF(ISNUMBER(INDEX('My equipment'!$J$4:$J$503,(_calc!$E$814-500))),TEXT(INDEX('My equipment'!$J$4:$J$503,(_calc!$E$814-500)),"yyyy-mm-dd"),""))=0,"","Parts end: "&amp;IF(ISNUMBER(INDEX('My equipment'!$J$4:$J$503,(_calc!$E$814-500))),TEXT(INDEX('My equipment'!$J$4:$J$503,(_calc!$E$814-500)),"yyyy-mm-dd"),"")&amp;". ")&amp;IF(LEN(IF(ISNUMBER(INDEX('My equipment'!$L$4:$L$503,(_calc!$E$814-500))),TEXT(INDEX('My equipment'!$L$4:$L$503,(_calc!$E$814-500)),"yyyy-mm-dd"),""))=0,"","Labor end: "&amp;IF(ISNUMBER(INDEX('My equipment'!$L$4:$L$503,(_calc!$E$814-500))),TEXT(INDEX('My equipment'!$L$4:$L$503,(_calc!$E$814-500)),"yyyy-mm-dd"),"")&amp;". ")&amp;IF(LEN(IF(ISNUMBER(INDEX('My equipment'!$P$4:$P$503,(_calc!$E$814-500))),TEXT(INDEX('My equipment'!$P$4:$P$503,(_calc!$E$814-500)),"yyyy-mm-dd"),""))=0,"","Check by: "&amp;IF(ISNUMBER(INDEX('My equipment'!$P$4:$P$503,(_calc!$E$814-500))),TEXT(INDEX('My equipment'!$P$4:$P$503,(_calc!$E$814-500)),"yyyy-mm-dd"),"")&amp;". ")&amp;IF(LEN(IF(LEN(INDEX('My equipment'!$Q$4:$Q$503,(_calc!$E$814-500)))=0,"",INDEX('My equipment'!$Q$4:$Q$503,(_calc!$E$814-500))))=0,"","Claim status: "&amp;IF(LEN(INDEX('My equipment'!$Q$4:$Q$503,(_calc!$E$814-500)))=0,"",INDEX('My equipment'!$Q$4:$Q$503,(_calc!$E$814-500)))&amp;". ")&amp;IF(LEN(IF(LEN(INDEX('My equipment'!$R$4:$R$503,(_calc!$E$814-500)))=0,"",INDEX('My equipment'!$R$4:$R$503,(_calc!$E$814-500))))=0,"","Claims contact: "&amp;IF(LEN(INDEX('My equipment'!$R$4:$R$503,(_calc!$E$814-500)))=0,"",INDEX('My equipment'!$R$4:$R$503,(_calc!$E$814-500)))&amp;". ")&amp;IF(LEN(IF(LEN(INDEX('My equipment'!$S$4:$S$503,(_calc!$E$814-500)))=0,"",INDEX('My equipment'!$S$4:$S$503,(_calc!$E$814-500))))=0,"","Claims email: "&amp;IF(LEN(INDEX('My equipment'!$S$4:$S$503,(_calc!$E$814-500)))=0,"",INDEX('My equipment'!$S$4:$S$503,(_calc!$E$814-500)))&amp;". ")&amp;IF(LEN(IF(LEN(INDEX('My equipment'!$U$4:$U$503,(_calc!$E$814-500)))=0,"",INDEX('My equipment'!$U$4:$U$503,(_calc!$E$814-500))))=0,"","Registered: "&amp;IF(LEN(INDEX('My equipment'!$U$4:$U$503,(_calc!$E$814-500)))=0,"",INDEX('My equipment'!$U$4:$U$503,(_calc!$E$814-500)))&amp;". ")&amp;IF(LEN(IF(LEN(INDEX('My equipment'!$V$4:$V$503,(_calc!$E$814-500)))=0,"",INDEX('My equipment'!$V$4:$V$503,(_calc!$E$814-500))))=0,"","Proof on file: "&amp;IF(LEN(INDEX('My equipment'!$V$4:$V$503,(_calc!$E$814-500)))=0,"",INDEX('My equipment'!$V$4:$V$503,(_calc!$E$814-500)))&amp;". ")&amp;IF(LEN(IF(LEN(INDEX('My equipment'!$W$4:$W$503,(_calc!$E$814-500)))=0,"",INDEX('My equipment'!$W$4:$W$503,(_calc!$E$814-500))))=0,"","Claim ref: "&amp;IF(LEN(INDEX('My equipment'!$W$4:$W$503,(_calc!$E$814-500)))=0,"",INDEX('My equipment'!$W$4:$W$503,(_calc!$E$814-500)))&amp;". ")&amp;IF(LEN(IF(LEN(INDEX('My equipment'!$Y$4:$Y$503,(_calc!$E$814-500)))=0,"",INDEX('My equipment'!$Y$4:$Y$503,(_calc!$E$814-500))))=0,"",IF(LEN(INDEX('My equipment'!$Y$4:$Y$503,(_calc!$E$814-500)))=0,"",INDEX('My equipment'!$Y$4:$Y$503,(_calc!$E$814-500)))))))</f>
        <v/>
      </c>
      <c r="G812" s="54">
        <f>IF(_calc!$E$814="","",IF(_calc!$E$814&lt;=500,"",IF(LEN(INDEX('My equipment'!$X$4:$X$503,(_calc!$E$814-500)))=0,"",INDEX('My equipment'!$X$4:$X$503,(_calc!$E$814-500)))))</f>
        <v/>
      </c>
      <c r="K812" s="54">
        <f>IF(_calc!$E$814="","",IF(_calc!$E$814&lt;=500,"",IF(LEN(INDEX('My equipment'!$T$4:$T$503,(_calc!$E$814-500)))=0,"",INDEX('My equipment'!$T$4:$T$503,(_calc!$E$814-500)))))</f>
        <v/>
      </c>
    </row>
    <row r="813">
      <c r="A813" s="54">
        <f>IF(_calc!$E$815="","",IF(_calc!$E$815&lt;=500,"Warranty – "&amp;IF(LEN(INDEX('Dealer pipeline'!$C$4:$C$503,_calc!$E$815))=0,"",INDEX('Dealer pipeline'!$C$4:$C$503,_calc!$E$815))&amp;" – "&amp;IF(LEN(INDEX('Dealer pipeline'!$D$4:$D$503,_calc!$E$815))=0,"",INDEX('Dealer pipeline'!$D$4:$D$503,_calc!$E$815))&amp;" – "&amp;IF(LEN(INDEX('Dealer pipeline'!$A$4:$A$503,_calc!$E$815))=0,"",INDEX('Dealer pipeline'!$A$4:$A$503,_calc!$E$815)),"Warranty – "&amp;IF(LEN(INDEX('My equipment'!$A$4:$A$503,(_calc!$E$815-500)))=0,"",INDEX('My equipment'!$A$4:$A$503,(_calc!$E$815-500)))&amp;" – "&amp;IF(LEN(INDEX('My equipment'!$D$4:$D$503,(_calc!$E$815-500)))=0,"",INDEX('My equipment'!$D$4:$D$503,(_calc!$E$815-500)))))</f>
        <v/>
      </c>
      <c r="B813" s="54">
        <f>IF(_calc!$E$815="","",IF(_calc!$E$815&lt;=500,IF(ISNUMBER(INDEX('Dealer pipeline'!$M$4:$M$503,_calc!$E$815)),TEXT(INDEX('Dealer pipeline'!$M$4:$M$503,_calc!$E$815),"yyyy-mm-dd"),""),IF(ISNUMBER(INDEX('My equipment'!$M$4:$M$503,(_calc!$E$815-500))),TEXT(INDEX('My equipment'!$M$4:$M$503,(_calc!$E$815-500)),"yyyy-mm-dd"),"")))</f>
        <v/>
      </c>
      <c r="C813" s="54">
        <f>IF(_calc!$E$815="","",IF(_calc!$E$815&lt;=500,"Warranty","Warranty"))</f>
        <v/>
      </c>
      <c r="D813" s="54">
        <f>IF(_calc!$E$815="","",IF(_calc!$E$815&lt;=500,IF(ISNUMBER(INDEX('Dealer pipeline'!$H$4:$H$503,_calc!$E$815)),TEXT(INDEX('Dealer pipeline'!$H$4:$H$503,_calc!$E$815),"yyyy-mm-dd"),""),IF(ISNUMBER(INDEX('My equipment'!$H$4:$H$503,(_calc!$E$815-500))),TEXT(INDEX('My equipment'!$H$4:$H$503,(_calc!$E$815-500)),"yyyy-mm-dd"),"")))</f>
        <v/>
      </c>
      <c r="F813" s="54">
        <f>IF(_calc!$E$815="","",IF(_calc!$E$815&lt;=500,TRIM(IF(LEN(IF(LEN(INDEX('Dealer pipeline'!$A$4:$A$503,_calc!$E$815))=0,"",INDEX('Dealer pipeline'!$A$4:$A$503,_calc!$E$815)))=0,"","Customer: "&amp;IF(LEN(INDEX('Dealer pipeline'!$A$4:$A$503,_calc!$E$815))=0,"",INDEX('Dealer pipeline'!$A$4:$A$503,_calc!$E$815))&amp;". ")&amp;IF(LEN(IF(LEN(INDEX('Dealer pipeline'!$B$4:$B$503,_calc!$E$815))=0,"",INDEX('Dealer pipeline'!$B$4:$B$503,_calc!$E$815)))=0,"","Contact: "&amp;IF(LEN(INDEX('Dealer pipeline'!$B$4:$B$503,_calc!$E$815))=0,"",INDEX('Dealer pipeline'!$B$4:$B$503,_calc!$E$815))&amp;". ")&amp;IF(LEN(IF(LEN(INDEX('Dealer pipeline'!$D$4:$D$503,_calc!$E$815))=0,"",INDEX('Dealer pipeline'!$D$4:$D$503,_calc!$E$815)))=0,"","Serial: "&amp;IF(LEN(INDEX('Dealer pipeline'!$D$4:$D$503,_calc!$E$815))=0,"",INDEX('Dealer pipeline'!$D$4:$D$503,_calc!$E$815))&amp;". ")&amp;IF(LEN(IF(ISNUMBER(INDEX('Dealer pipeline'!$J$4:$J$503,_calc!$E$815)),TEXT(INDEX('Dealer pipeline'!$J$4:$J$503,_calc!$E$815),"yyyy-mm-dd"),""))=0,"","Parts end: "&amp;IF(ISNUMBER(INDEX('Dealer pipeline'!$J$4:$J$503,_calc!$E$815)),TEXT(INDEX('Dealer pipeline'!$J$4:$J$503,_calc!$E$815),"yyyy-mm-dd"),"")&amp;". ")&amp;IF(LEN(IF(ISNUMBER(INDEX('Dealer pipeline'!$L$4:$L$503,_calc!$E$815)),TEXT(INDEX('Dealer pipeline'!$L$4:$L$503,_calc!$E$815),"yyyy-mm-dd"),""))=0,"","Labor end: "&amp;IF(ISNUMBER(INDEX('Dealer pipeline'!$L$4:$L$503,_calc!$E$815)),TEXT(INDEX('Dealer pipeline'!$L$4:$L$503,_calc!$E$815),"yyyy-mm-dd"),"")&amp;". ")&amp;IF(LEN(IF(LEN(INDEX('Dealer pipeline'!$Q$4:$Q$503,_calc!$E$815))=0,"",INDEX('Dealer pipeline'!$Q$4:$Q$503,_calc!$E$815)))=0,"","Status: "&amp;IF(LEN(INDEX('Dealer pipeline'!$Q$4:$Q$503,_calc!$E$815))=0,"",INDEX('Dealer pipeline'!$Q$4:$Q$503,_calc!$E$815))&amp;". ")&amp;IF(LEN(IF(LEN(INDEX('Dealer pipeline'!$P$4:$P$503,_calc!$E$815))=0,"",INDEX('Dealer pipeline'!$P$4:$P$503,_calc!$E$815)))=0,"","Last touch: "&amp;IF(LEN(INDEX('Dealer pipeline'!$P$4:$P$503,_calc!$E$815))=0,"",INDEX('Dealer pipeline'!$P$4:$P$503,_calc!$E$815))&amp;". ")&amp;IF(LEN(IF(LEN(INDEX('Dealer pipeline'!$R$4:$R$503,_calc!$E$815))=0,"",INDEX('Dealer pipeline'!$R$4:$R$503,_calc!$E$815)))=0,"","Owner: "&amp;IF(LEN(INDEX('Dealer pipeline'!$R$4:$R$503,_calc!$E$815))=0,"",INDEX('Dealer pipeline'!$R$4:$R$503,_calc!$E$815))&amp;". ")&amp;IF(LEN(IF(LEN(INDEX('Dealer pipeline'!$S$4:$S$503,_calc!$E$815))=0,"",INDEX('Dealer pipeline'!$S$4:$S$503,_calc!$E$815)))=0,"","Backup: "&amp;IF(LEN(INDEX('Dealer pipeline'!$S$4:$S$503,_calc!$E$815))=0,"",INDEX('Dealer pipeline'!$S$4:$S$503,_calc!$E$815))&amp;". ")&amp;IF(LEN(IF(LEN(INDEX('Dealer pipeline'!$T$4:$T$503,_calc!$E$815))=0,"",INDEX('Dealer pipeline'!$T$4:$T$503,_calc!$E$815)))=0,"",IF(LEN(INDEX('Dealer pipeline'!$T$4:$T$503,_calc!$E$815))=0,"",INDEX('Dealer pipeline'!$T$4:$T$503,_calc!$E$815)))),TRIM(IF(LEN(IF(LEN(INDEX('My equipment'!$C$4:$C$503,(_calc!$E$815-500)))=0,"",INDEX('My equipment'!$C$4:$C$503,(_calc!$E$815-500))))=0,"","Model: "&amp;IF(LEN(INDEX('My equipment'!$C$4:$C$503,(_calc!$E$815-500)))=0,"",INDEX('My equipment'!$C$4:$C$503,(_calc!$E$815-500)))&amp;". ")&amp;IF(LEN(IF(LEN(INDEX('My equipment'!$D$4:$D$503,(_calc!$E$815-500)))=0,"",INDEX('My equipment'!$D$4:$D$503,(_calc!$E$815-500))))=0,"","Serial: "&amp;IF(LEN(INDEX('My equipment'!$D$4:$D$503,(_calc!$E$815-500)))=0,"",INDEX('My equipment'!$D$4:$D$503,(_calc!$E$815-500)))&amp;". ")&amp;IF(LEN(IF(ISNUMBER(INDEX('My equipment'!$J$4:$J$503,(_calc!$E$815-500))),TEXT(INDEX('My equipment'!$J$4:$J$503,(_calc!$E$815-500)),"yyyy-mm-dd"),""))=0,"","Parts end: "&amp;IF(ISNUMBER(INDEX('My equipment'!$J$4:$J$503,(_calc!$E$815-500))),TEXT(INDEX('My equipment'!$J$4:$J$503,(_calc!$E$815-500)),"yyyy-mm-dd"),"")&amp;". ")&amp;IF(LEN(IF(ISNUMBER(INDEX('My equipment'!$L$4:$L$503,(_calc!$E$815-500))),TEXT(INDEX('My equipment'!$L$4:$L$503,(_calc!$E$815-500)),"yyyy-mm-dd"),""))=0,"","Labor end: "&amp;IF(ISNUMBER(INDEX('My equipment'!$L$4:$L$503,(_calc!$E$815-500))),TEXT(INDEX('My equipment'!$L$4:$L$503,(_calc!$E$815-500)),"yyyy-mm-dd"),"")&amp;". ")&amp;IF(LEN(IF(ISNUMBER(INDEX('My equipment'!$P$4:$P$503,(_calc!$E$815-500))),TEXT(INDEX('My equipment'!$P$4:$P$503,(_calc!$E$815-500)),"yyyy-mm-dd"),""))=0,"","Check by: "&amp;IF(ISNUMBER(INDEX('My equipment'!$P$4:$P$503,(_calc!$E$815-500))),TEXT(INDEX('My equipment'!$P$4:$P$503,(_calc!$E$815-500)),"yyyy-mm-dd"),"")&amp;". ")&amp;IF(LEN(IF(LEN(INDEX('My equipment'!$Q$4:$Q$503,(_calc!$E$815-500)))=0,"",INDEX('My equipment'!$Q$4:$Q$503,(_calc!$E$815-500))))=0,"","Claim status: "&amp;IF(LEN(INDEX('My equipment'!$Q$4:$Q$503,(_calc!$E$815-500)))=0,"",INDEX('My equipment'!$Q$4:$Q$503,(_calc!$E$815-500)))&amp;". ")&amp;IF(LEN(IF(LEN(INDEX('My equipment'!$R$4:$R$503,(_calc!$E$815-500)))=0,"",INDEX('My equipment'!$R$4:$R$503,(_calc!$E$815-500))))=0,"","Claims contact: "&amp;IF(LEN(INDEX('My equipment'!$R$4:$R$503,(_calc!$E$815-500)))=0,"",INDEX('My equipment'!$R$4:$R$503,(_calc!$E$815-500)))&amp;". ")&amp;IF(LEN(IF(LEN(INDEX('My equipment'!$S$4:$S$503,(_calc!$E$815-500)))=0,"",INDEX('My equipment'!$S$4:$S$503,(_calc!$E$815-500))))=0,"","Claims email: "&amp;IF(LEN(INDEX('My equipment'!$S$4:$S$503,(_calc!$E$815-500)))=0,"",INDEX('My equipment'!$S$4:$S$503,(_calc!$E$815-500)))&amp;". ")&amp;IF(LEN(IF(LEN(INDEX('My equipment'!$U$4:$U$503,(_calc!$E$815-500)))=0,"",INDEX('My equipment'!$U$4:$U$503,(_calc!$E$815-500))))=0,"","Registered: "&amp;IF(LEN(INDEX('My equipment'!$U$4:$U$503,(_calc!$E$815-500)))=0,"",INDEX('My equipment'!$U$4:$U$503,(_calc!$E$815-500)))&amp;". ")&amp;IF(LEN(IF(LEN(INDEX('My equipment'!$V$4:$V$503,(_calc!$E$815-500)))=0,"",INDEX('My equipment'!$V$4:$V$503,(_calc!$E$815-500))))=0,"","Proof on file: "&amp;IF(LEN(INDEX('My equipment'!$V$4:$V$503,(_calc!$E$815-500)))=0,"",INDEX('My equipment'!$V$4:$V$503,(_calc!$E$815-500)))&amp;". ")&amp;IF(LEN(IF(LEN(INDEX('My equipment'!$W$4:$W$503,(_calc!$E$815-500)))=0,"",INDEX('My equipment'!$W$4:$W$503,(_calc!$E$815-500))))=0,"","Claim ref: "&amp;IF(LEN(INDEX('My equipment'!$W$4:$W$503,(_calc!$E$815-500)))=0,"",INDEX('My equipment'!$W$4:$W$503,(_calc!$E$815-500)))&amp;". ")&amp;IF(LEN(IF(LEN(INDEX('My equipment'!$Y$4:$Y$503,(_calc!$E$815-500)))=0,"",INDEX('My equipment'!$Y$4:$Y$503,(_calc!$E$815-500))))=0,"",IF(LEN(INDEX('My equipment'!$Y$4:$Y$503,(_calc!$E$815-500)))=0,"",INDEX('My equipment'!$Y$4:$Y$503,(_calc!$E$815-500)))))))</f>
        <v/>
      </c>
      <c r="G813" s="54">
        <f>IF(_calc!$E$815="","",IF(_calc!$E$815&lt;=500,"",IF(LEN(INDEX('My equipment'!$X$4:$X$503,(_calc!$E$815-500)))=0,"",INDEX('My equipment'!$X$4:$X$503,(_calc!$E$815-500)))))</f>
        <v/>
      </c>
      <c r="K813" s="54">
        <f>IF(_calc!$E$815="","",IF(_calc!$E$815&lt;=500,"",IF(LEN(INDEX('My equipment'!$T$4:$T$503,(_calc!$E$815-500)))=0,"",INDEX('My equipment'!$T$4:$T$503,(_calc!$E$815-500)))))</f>
        <v/>
      </c>
    </row>
    <row r="814">
      <c r="A814" s="54">
        <f>IF(_calc!$E$816="","",IF(_calc!$E$816&lt;=500,"Warranty – "&amp;IF(LEN(INDEX('Dealer pipeline'!$C$4:$C$503,_calc!$E$816))=0,"",INDEX('Dealer pipeline'!$C$4:$C$503,_calc!$E$816))&amp;" – "&amp;IF(LEN(INDEX('Dealer pipeline'!$D$4:$D$503,_calc!$E$816))=0,"",INDEX('Dealer pipeline'!$D$4:$D$503,_calc!$E$816))&amp;" – "&amp;IF(LEN(INDEX('Dealer pipeline'!$A$4:$A$503,_calc!$E$816))=0,"",INDEX('Dealer pipeline'!$A$4:$A$503,_calc!$E$816)),"Warranty – "&amp;IF(LEN(INDEX('My equipment'!$A$4:$A$503,(_calc!$E$816-500)))=0,"",INDEX('My equipment'!$A$4:$A$503,(_calc!$E$816-500)))&amp;" – "&amp;IF(LEN(INDEX('My equipment'!$D$4:$D$503,(_calc!$E$816-500)))=0,"",INDEX('My equipment'!$D$4:$D$503,(_calc!$E$816-500)))))</f>
        <v/>
      </c>
      <c r="B814" s="54">
        <f>IF(_calc!$E$816="","",IF(_calc!$E$816&lt;=500,IF(ISNUMBER(INDEX('Dealer pipeline'!$M$4:$M$503,_calc!$E$816)),TEXT(INDEX('Dealer pipeline'!$M$4:$M$503,_calc!$E$816),"yyyy-mm-dd"),""),IF(ISNUMBER(INDEX('My equipment'!$M$4:$M$503,(_calc!$E$816-500))),TEXT(INDEX('My equipment'!$M$4:$M$503,(_calc!$E$816-500)),"yyyy-mm-dd"),"")))</f>
        <v/>
      </c>
      <c r="C814" s="54">
        <f>IF(_calc!$E$816="","",IF(_calc!$E$816&lt;=500,"Warranty","Warranty"))</f>
        <v/>
      </c>
      <c r="D814" s="54">
        <f>IF(_calc!$E$816="","",IF(_calc!$E$816&lt;=500,IF(ISNUMBER(INDEX('Dealer pipeline'!$H$4:$H$503,_calc!$E$816)),TEXT(INDEX('Dealer pipeline'!$H$4:$H$503,_calc!$E$816),"yyyy-mm-dd"),""),IF(ISNUMBER(INDEX('My equipment'!$H$4:$H$503,(_calc!$E$816-500))),TEXT(INDEX('My equipment'!$H$4:$H$503,(_calc!$E$816-500)),"yyyy-mm-dd"),"")))</f>
        <v/>
      </c>
      <c r="F814" s="54">
        <f>IF(_calc!$E$816="","",IF(_calc!$E$816&lt;=500,TRIM(IF(LEN(IF(LEN(INDEX('Dealer pipeline'!$A$4:$A$503,_calc!$E$816))=0,"",INDEX('Dealer pipeline'!$A$4:$A$503,_calc!$E$816)))=0,"","Customer: "&amp;IF(LEN(INDEX('Dealer pipeline'!$A$4:$A$503,_calc!$E$816))=0,"",INDEX('Dealer pipeline'!$A$4:$A$503,_calc!$E$816))&amp;". ")&amp;IF(LEN(IF(LEN(INDEX('Dealer pipeline'!$B$4:$B$503,_calc!$E$816))=0,"",INDEX('Dealer pipeline'!$B$4:$B$503,_calc!$E$816)))=0,"","Contact: "&amp;IF(LEN(INDEX('Dealer pipeline'!$B$4:$B$503,_calc!$E$816))=0,"",INDEX('Dealer pipeline'!$B$4:$B$503,_calc!$E$816))&amp;". ")&amp;IF(LEN(IF(LEN(INDEX('Dealer pipeline'!$D$4:$D$503,_calc!$E$816))=0,"",INDEX('Dealer pipeline'!$D$4:$D$503,_calc!$E$816)))=0,"","Serial: "&amp;IF(LEN(INDEX('Dealer pipeline'!$D$4:$D$503,_calc!$E$816))=0,"",INDEX('Dealer pipeline'!$D$4:$D$503,_calc!$E$816))&amp;". ")&amp;IF(LEN(IF(ISNUMBER(INDEX('Dealer pipeline'!$J$4:$J$503,_calc!$E$816)),TEXT(INDEX('Dealer pipeline'!$J$4:$J$503,_calc!$E$816),"yyyy-mm-dd"),""))=0,"","Parts end: "&amp;IF(ISNUMBER(INDEX('Dealer pipeline'!$J$4:$J$503,_calc!$E$816)),TEXT(INDEX('Dealer pipeline'!$J$4:$J$503,_calc!$E$816),"yyyy-mm-dd"),"")&amp;". ")&amp;IF(LEN(IF(ISNUMBER(INDEX('Dealer pipeline'!$L$4:$L$503,_calc!$E$816)),TEXT(INDEX('Dealer pipeline'!$L$4:$L$503,_calc!$E$816),"yyyy-mm-dd"),""))=0,"","Labor end: "&amp;IF(ISNUMBER(INDEX('Dealer pipeline'!$L$4:$L$503,_calc!$E$816)),TEXT(INDEX('Dealer pipeline'!$L$4:$L$503,_calc!$E$816),"yyyy-mm-dd"),"")&amp;". ")&amp;IF(LEN(IF(LEN(INDEX('Dealer pipeline'!$Q$4:$Q$503,_calc!$E$816))=0,"",INDEX('Dealer pipeline'!$Q$4:$Q$503,_calc!$E$816)))=0,"","Status: "&amp;IF(LEN(INDEX('Dealer pipeline'!$Q$4:$Q$503,_calc!$E$816))=0,"",INDEX('Dealer pipeline'!$Q$4:$Q$503,_calc!$E$816))&amp;". ")&amp;IF(LEN(IF(LEN(INDEX('Dealer pipeline'!$P$4:$P$503,_calc!$E$816))=0,"",INDEX('Dealer pipeline'!$P$4:$P$503,_calc!$E$816)))=0,"","Last touch: "&amp;IF(LEN(INDEX('Dealer pipeline'!$P$4:$P$503,_calc!$E$816))=0,"",INDEX('Dealer pipeline'!$P$4:$P$503,_calc!$E$816))&amp;". ")&amp;IF(LEN(IF(LEN(INDEX('Dealer pipeline'!$R$4:$R$503,_calc!$E$816))=0,"",INDEX('Dealer pipeline'!$R$4:$R$503,_calc!$E$816)))=0,"","Owner: "&amp;IF(LEN(INDEX('Dealer pipeline'!$R$4:$R$503,_calc!$E$816))=0,"",INDEX('Dealer pipeline'!$R$4:$R$503,_calc!$E$816))&amp;". ")&amp;IF(LEN(IF(LEN(INDEX('Dealer pipeline'!$S$4:$S$503,_calc!$E$816))=0,"",INDEX('Dealer pipeline'!$S$4:$S$503,_calc!$E$816)))=0,"","Backup: "&amp;IF(LEN(INDEX('Dealer pipeline'!$S$4:$S$503,_calc!$E$816))=0,"",INDEX('Dealer pipeline'!$S$4:$S$503,_calc!$E$816))&amp;". ")&amp;IF(LEN(IF(LEN(INDEX('Dealer pipeline'!$T$4:$T$503,_calc!$E$816))=0,"",INDEX('Dealer pipeline'!$T$4:$T$503,_calc!$E$816)))=0,"",IF(LEN(INDEX('Dealer pipeline'!$T$4:$T$503,_calc!$E$816))=0,"",INDEX('Dealer pipeline'!$T$4:$T$503,_calc!$E$816)))),TRIM(IF(LEN(IF(LEN(INDEX('My equipment'!$C$4:$C$503,(_calc!$E$816-500)))=0,"",INDEX('My equipment'!$C$4:$C$503,(_calc!$E$816-500))))=0,"","Model: "&amp;IF(LEN(INDEX('My equipment'!$C$4:$C$503,(_calc!$E$816-500)))=0,"",INDEX('My equipment'!$C$4:$C$503,(_calc!$E$816-500)))&amp;". ")&amp;IF(LEN(IF(LEN(INDEX('My equipment'!$D$4:$D$503,(_calc!$E$816-500)))=0,"",INDEX('My equipment'!$D$4:$D$503,(_calc!$E$816-500))))=0,"","Serial: "&amp;IF(LEN(INDEX('My equipment'!$D$4:$D$503,(_calc!$E$816-500)))=0,"",INDEX('My equipment'!$D$4:$D$503,(_calc!$E$816-500)))&amp;". ")&amp;IF(LEN(IF(ISNUMBER(INDEX('My equipment'!$J$4:$J$503,(_calc!$E$816-500))),TEXT(INDEX('My equipment'!$J$4:$J$503,(_calc!$E$816-500)),"yyyy-mm-dd"),""))=0,"","Parts end: "&amp;IF(ISNUMBER(INDEX('My equipment'!$J$4:$J$503,(_calc!$E$816-500))),TEXT(INDEX('My equipment'!$J$4:$J$503,(_calc!$E$816-500)),"yyyy-mm-dd"),"")&amp;". ")&amp;IF(LEN(IF(ISNUMBER(INDEX('My equipment'!$L$4:$L$503,(_calc!$E$816-500))),TEXT(INDEX('My equipment'!$L$4:$L$503,(_calc!$E$816-500)),"yyyy-mm-dd"),""))=0,"","Labor end: "&amp;IF(ISNUMBER(INDEX('My equipment'!$L$4:$L$503,(_calc!$E$816-500))),TEXT(INDEX('My equipment'!$L$4:$L$503,(_calc!$E$816-500)),"yyyy-mm-dd"),"")&amp;". ")&amp;IF(LEN(IF(ISNUMBER(INDEX('My equipment'!$P$4:$P$503,(_calc!$E$816-500))),TEXT(INDEX('My equipment'!$P$4:$P$503,(_calc!$E$816-500)),"yyyy-mm-dd"),""))=0,"","Check by: "&amp;IF(ISNUMBER(INDEX('My equipment'!$P$4:$P$503,(_calc!$E$816-500))),TEXT(INDEX('My equipment'!$P$4:$P$503,(_calc!$E$816-500)),"yyyy-mm-dd"),"")&amp;". ")&amp;IF(LEN(IF(LEN(INDEX('My equipment'!$Q$4:$Q$503,(_calc!$E$816-500)))=0,"",INDEX('My equipment'!$Q$4:$Q$503,(_calc!$E$816-500))))=0,"","Claim status: "&amp;IF(LEN(INDEX('My equipment'!$Q$4:$Q$503,(_calc!$E$816-500)))=0,"",INDEX('My equipment'!$Q$4:$Q$503,(_calc!$E$816-500)))&amp;". ")&amp;IF(LEN(IF(LEN(INDEX('My equipment'!$R$4:$R$503,(_calc!$E$816-500)))=0,"",INDEX('My equipment'!$R$4:$R$503,(_calc!$E$816-500))))=0,"","Claims contact: "&amp;IF(LEN(INDEX('My equipment'!$R$4:$R$503,(_calc!$E$816-500)))=0,"",INDEX('My equipment'!$R$4:$R$503,(_calc!$E$816-500)))&amp;". ")&amp;IF(LEN(IF(LEN(INDEX('My equipment'!$S$4:$S$503,(_calc!$E$816-500)))=0,"",INDEX('My equipment'!$S$4:$S$503,(_calc!$E$816-500))))=0,"","Claims email: "&amp;IF(LEN(INDEX('My equipment'!$S$4:$S$503,(_calc!$E$816-500)))=0,"",INDEX('My equipment'!$S$4:$S$503,(_calc!$E$816-500)))&amp;". ")&amp;IF(LEN(IF(LEN(INDEX('My equipment'!$U$4:$U$503,(_calc!$E$816-500)))=0,"",INDEX('My equipment'!$U$4:$U$503,(_calc!$E$816-500))))=0,"","Registered: "&amp;IF(LEN(INDEX('My equipment'!$U$4:$U$503,(_calc!$E$816-500)))=0,"",INDEX('My equipment'!$U$4:$U$503,(_calc!$E$816-500)))&amp;". ")&amp;IF(LEN(IF(LEN(INDEX('My equipment'!$V$4:$V$503,(_calc!$E$816-500)))=0,"",INDEX('My equipment'!$V$4:$V$503,(_calc!$E$816-500))))=0,"","Proof on file: "&amp;IF(LEN(INDEX('My equipment'!$V$4:$V$503,(_calc!$E$816-500)))=0,"",INDEX('My equipment'!$V$4:$V$503,(_calc!$E$816-500)))&amp;". ")&amp;IF(LEN(IF(LEN(INDEX('My equipment'!$W$4:$W$503,(_calc!$E$816-500)))=0,"",INDEX('My equipment'!$W$4:$W$503,(_calc!$E$816-500))))=0,"","Claim ref: "&amp;IF(LEN(INDEX('My equipment'!$W$4:$W$503,(_calc!$E$816-500)))=0,"",INDEX('My equipment'!$W$4:$W$503,(_calc!$E$816-500)))&amp;". ")&amp;IF(LEN(IF(LEN(INDEX('My equipment'!$Y$4:$Y$503,(_calc!$E$816-500)))=0,"",INDEX('My equipment'!$Y$4:$Y$503,(_calc!$E$816-500))))=0,"",IF(LEN(INDEX('My equipment'!$Y$4:$Y$503,(_calc!$E$816-500)))=0,"",INDEX('My equipment'!$Y$4:$Y$503,(_calc!$E$816-500)))))))</f>
        <v/>
      </c>
      <c r="G814" s="54">
        <f>IF(_calc!$E$816="","",IF(_calc!$E$816&lt;=500,"",IF(LEN(INDEX('My equipment'!$X$4:$X$503,(_calc!$E$816-500)))=0,"",INDEX('My equipment'!$X$4:$X$503,(_calc!$E$816-500)))))</f>
        <v/>
      </c>
      <c r="K814" s="54">
        <f>IF(_calc!$E$816="","",IF(_calc!$E$816&lt;=500,"",IF(LEN(INDEX('My equipment'!$T$4:$T$503,(_calc!$E$816-500)))=0,"",INDEX('My equipment'!$T$4:$T$503,(_calc!$E$816-500)))))</f>
        <v/>
      </c>
    </row>
    <row r="815">
      <c r="A815" s="54">
        <f>IF(_calc!$E$817="","",IF(_calc!$E$817&lt;=500,"Warranty – "&amp;IF(LEN(INDEX('Dealer pipeline'!$C$4:$C$503,_calc!$E$817))=0,"",INDEX('Dealer pipeline'!$C$4:$C$503,_calc!$E$817))&amp;" – "&amp;IF(LEN(INDEX('Dealer pipeline'!$D$4:$D$503,_calc!$E$817))=0,"",INDEX('Dealer pipeline'!$D$4:$D$503,_calc!$E$817))&amp;" – "&amp;IF(LEN(INDEX('Dealer pipeline'!$A$4:$A$503,_calc!$E$817))=0,"",INDEX('Dealer pipeline'!$A$4:$A$503,_calc!$E$817)),"Warranty – "&amp;IF(LEN(INDEX('My equipment'!$A$4:$A$503,(_calc!$E$817-500)))=0,"",INDEX('My equipment'!$A$4:$A$503,(_calc!$E$817-500)))&amp;" – "&amp;IF(LEN(INDEX('My equipment'!$D$4:$D$503,(_calc!$E$817-500)))=0,"",INDEX('My equipment'!$D$4:$D$503,(_calc!$E$817-500)))))</f>
        <v/>
      </c>
      <c r="B815" s="54">
        <f>IF(_calc!$E$817="","",IF(_calc!$E$817&lt;=500,IF(ISNUMBER(INDEX('Dealer pipeline'!$M$4:$M$503,_calc!$E$817)),TEXT(INDEX('Dealer pipeline'!$M$4:$M$503,_calc!$E$817),"yyyy-mm-dd"),""),IF(ISNUMBER(INDEX('My equipment'!$M$4:$M$503,(_calc!$E$817-500))),TEXT(INDEX('My equipment'!$M$4:$M$503,(_calc!$E$817-500)),"yyyy-mm-dd"),"")))</f>
        <v/>
      </c>
      <c r="C815" s="54">
        <f>IF(_calc!$E$817="","",IF(_calc!$E$817&lt;=500,"Warranty","Warranty"))</f>
        <v/>
      </c>
      <c r="D815" s="54">
        <f>IF(_calc!$E$817="","",IF(_calc!$E$817&lt;=500,IF(ISNUMBER(INDEX('Dealer pipeline'!$H$4:$H$503,_calc!$E$817)),TEXT(INDEX('Dealer pipeline'!$H$4:$H$503,_calc!$E$817),"yyyy-mm-dd"),""),IF(ISNUMBER(INDEX('My equipment'!$H$4:$H$503,(_calc!$E$817-500))),TEXT(INDEX('My equipment'!$H$4:$H$503,(_calc!$E$817-500)),"yyyy-mm-dd"),"")))</f>
        <v/>
      </c>
      <c r="F815" s="54">
        <f>IF(_calc!$E$817="","",IF(_calc!$E$817&lt;=500,TRIM(IF(LEN(IF(LEN(INDEX('Dealer pipeline'!$A$4:$A$503,_calc!$E$817))=0,"",INDEX('Dealer pipeline'!$A$4:$A$503,_calc!$E$817)))=0,"","Customer: "&amp;IF(LEN(INDEX('Dealer pipeline'!$A$4:$A$503,_calc!$E$817))=0,"",INDEX('Dealer pipeline'!$A$4:$A$503,_calc!$E$817))&amp;". ")&amp;IF(LEN(IF(LEN(INDEX('Dealer pipeline'!$B$4:$B$503,_calc!$E$817))=0,"",INDEX('Dealer pipeline'!$B$4:$B$503,_calc!$E$817)))=0,"","Contact: "&amp;IF(LEN(INDEX('Dealer pipeline'!$B$4:$B$503,_calc!$E$817))=0,"",INDEX('Dealer pipeline'!$B$4:$B$503,_calc!$E$817))&amp;". ")&amp;IF(LEN(IF(LEN(INDEX('Dealer pipeline'!$D$4:$D$503,_calc!$E$817))=0,"",INDEX('Dealer pipeline'!$D$4:$D$503,_calc!$E$817)))=0,"","Serial: "&amp;IF(LEN(INDEX('Dealer pipeline'!$D$4:$D$503,_calc!$E$817))=0,"",INDEX('Dealer pipeline'!$D$4:$D$503,_calc!$E$817))&amp;". ")&amp;IF(LEN(IF(ISNUMBER(INDEX('Dealer pipeline'!$J$4:$J$503,_calc!$E$817)),TEXT(INDEX('Dealer pipeline'!$J$4:$J$503,_calc!$E$817),"yyyy-mm-dd"),""))=0,"","Parts end: "&amp;IF(ISNUMBER(INDEX('Dealer pipeline'!$J$4:$J$503,_calc!$E$817)),TEXT(INDEX('Dealer pipeline'!$J$4:$J$503,_calc!$E$817),"yyyy-mm-dd"),"")&amp;". ")&amp;IF(LEN(IF(ISNUMBER(INDEX('Dealer pipeline'!$L$4:$L$503,_calc!$E$817)),TEXT(INDEX('Dealer pipeline'!$L$4:$L$503,_calc!$E$817),"yyyy-mm-dd"),""))=0,"","Labor end: "&amp;IF(ISNUMBER(INDEX('Dealer pipeline'!$L$4:$L$503,_calc!$E$817)),TEXT(INDEX('Dealer pipeline'!$L$4:$L$503,_calc!$E$817),"yyyy-mm-dd"),"")&amp;". ")&amp;IF(LEN(IF(LEN(INDEX('Dealer pipeline'!$Q$4:$Q$503,_calc!$E$817))=0,"",INDEX('Dealer pipeline'!$Q$4:$Q$503,_calc!$E$817)))=0,"","Status: "&amp;IF(LEN(INDEX('Dealer pipeline'!$Q$4:$Q$503,_calc!$E$817))=0,"",INDEX('Dealer pipeline'!$Q$4:$Q$503,_calc!$E$817))&amp;". ")&amp;IF(LEN(IF(LEN(INDEX('Dealer pipeline'!$P$4:$P$503,_calc!$E$817))=0,"",INDEX('Dealer pipeline'!$P$4:$P$503,_calc!$E$817)))=0,"","Last touch: "&amp;IF(LEN(INDEX('Dealer pipeline'!$P$4:$P$503,_calc!$E$817))=0,"",INDEX('Dealer pipeline'!$P$4:$P$503,_calc!$E$817))&amp;". ")&amp;IF(LEN(IF(LEN(INDEX('Dealer pipeline'!$R$4:$R$503,_calc!$E$817))=0,"",INDEX('Dealer pipeline'!$R$4:$R$503,_calc!$E$817)))=0,"","Owner: "&amp;IF(LEN(INDEX('Dealer pipeline'!$R$4:$R$503,_calc!$E$817))=0,"",INDEX('Dealer pipeline'!$R$4:$R$503,_calc!$E$817))&amp;". ")&amp;IF(LEN(IF(LEN(INDEX('Dealer pipeline'!$S$4:$S$503,_calc!$E$817))=0,"",INDEX('Dealer pipeline'!$S$4:$S$503,_calc!$E$817)))=0,"","Backup: "&amp;IF(LEN(INDEX('Dealer pipeline'!$S$4:$S$503,_calc!$E$817))=0,"",INDEX('Dealer pipeline'!$S$4:$S$503,_calc!$E$817))&amp;". ")&amp;IF(LEN(IF(LEN(INDEX('Dealer pipeline'!$T$4:$T$503,_calc!$E$817))=0,"",INDEX('Dealer pipeline'!$T$4:$T$503,_calc!$E$817)))=0,"",IF(LEN(INDEX('Dealer pipeline'!$T$4:$T$503,_calc!$E$817))=0,"",INDEX('Dealer pipeline'!$T$4:$T$503,_calc!$E$817)))),TRIM(IF(LEN(IF(LEN(INDEX('My equipment'!$C$4:$C$503,(_calc!$E$817-500)))=0,"",INDEX('My equipment'!$C$4:$C$503,(_calc!$E$817-500))))=0,"","Model: "&amp;IF(LEN(INDEX('My equipment'!$C$4:$C$503,(_calc!$E$817-500)))=0,"",INDEX('My equipment'!$C$4:$C$503,(_calc!$E$817-500)))&amp;". ")&amp;IF(LEN(IF(LEN(INDEX('My equipment'!$D$4:$D$503,(_calc!$E$817-500)))=0,"",INDEX('My equipment'!$D$4:$D$503,(_calc!$E$817-500))))=0,"","Serial: "&amp;IF(LEN(INDEX('My equipment'!$D$4:$D$503,(_calc!$E$817-500)))=0,"",INDEX('My equipment'!$D$4:$D$503,(_calc!$E$817-500)))&amp;". ")&amp;IF(LEN(IF(ISNUMBER(INDEX('My equipment'!$J$4:$J$503,(_calc!$E$817-500))),TEXT(INDEX('My equipment'!$J$4:$J$503,(_calc!$E$817-500)),"yyyy-mm-dd"),""))=0,"","Parts end: "&amp;IF(ISNUMBER(INDEX('My equipment'!$J$4:$J$503,(_calc!$E$817-500))),TEXT(INDEX('My equipment'!$J$4:$J$503,(_calc!$E$817-500)),"yyyy-mm-dd"),"")&amp;". ")&amp;IF(LEN(IF(ISNUMBER(INDEX('My equipment'!$L$4:$L$503,(_calc!$E$817-500))),TEXT(INDEX('My equipment'!$L$4:$L$503,(_calc!$E$817-500)),"yyyy-mm-dd"),""))=0,"","Labor end: "&amp;IF(ISNUMBER(INDEX('My equipment'!$L$4:$L$503,(_calc!$E$817-500))),TEXT(INDEX('My equipment'!$L$4:$L$503,(_calc!$E$817-500)),"yyyy-mm-dd"),"")&amp;". ")&amp;IF(LEN(IF(ISNUMBER(INDEX('My equipment'!$P$4:$P$503,(_calc!$E$817-500))),TEXT(INDEX('My equipment'!$P$4:$P$503,(_calc!$E$817-500)),"yyyy-mm-dd"),""))=0,"","Check by: "&amp;IF(ISNUMBER(INDEX('My equipment'!$P$4:$P$503,(_calc!$E$817-500))),TEXT(INDEX('My equipment'!$P$4:$P$503,(_calc!$E$817-500)),"yyyy-mm-dd"),"")&amp;". ")&amp;IF(LEN(IF(LEN(INDEX('My equipment'!$Q$4:$Q$503,(_calc!$E$817-500)))=0,"",INDEX('My equipment'!$Q$4:$Q$503,(_calc!$E$817-500))))=0,"","Claim status: "&amp;IF(LEN(INDEX('My equipment'!$Q$4:$Q$503,(_calc!$E$817-500)))=0,"",INDEX('My equipment'!$Q$4:$Q$503,(_calc!$E$817-500)))&amp;". ")&amp;IF(LEN(IF(LEN(INDEX('My equipment'!$R$4:$R$503,(_calc!$E$817-500)))=0,"",INDEX('My equipment'!$R$4:$R$503,(_calc!$E$817-500))))=0,"","Claims contact: "&amp;IF(LEN(INDEX('My equipment'!$R$4:$R$503,(_calc!$E$817-500)))=0,"",INDEX('My equipment'!$R$4:$R$503,(_calc!$E$817-500)))&amp;". ")&amp;IF(LEN(IF(LEN(INDEX('My equipment'!$S$4:$S$503,(_calc!$E$817-500)))=0,"",INDEX('My equipment'!$S$4:$S$503,(_calc!$E$817-500))))=0,"","Claims email: "&amp;IF(LEN(INDEX('My equipment'!$S$4:$S$503,(_calc!$E$817-500)))=0,"",INDEX('My equipment'!$S$4:$S$503,(_calc!$E$817-500)))&amp;". ")&amp;IF(LEN(IF(LEN(INDEX('My equipment'!$U$4:$U$503,(_calc!$E$817-500)))=0,"",INDEX('My equipment'!$U$4:$U$503,(_calc!$E$817-500))))=0,"","Registered: "&amp;IF(LEN(INDEX('My equipment'!$U$4:$U$503,(_calc!$E$817-500)))=0,"",INDEX('My equipment'!$U$4:$U$503,(_calc!$E$817-500)))&amp;". ")&amp;IF(LEN(IF(LEN(INDEX('My equipment'!$V$4:$V$503,(_calc!$E$817-500)))=0,"",INDEX('My equipment'!$V$4:$V$503,(_calc!$E$817-500))))=0,"","Proof on file: "&amp;IF(LEN(INDEX('My equipment'!$V$4:$V$503,(_calc!$E$817-500)))=0,"",INDEX('My equipment'!$V$4:$V$503,(_calc!$E$817-500)))&amp;". ")&amp;IF(LEN(IF(LEN(INDEX('My equipment'!$W$4:$W$503,(_calc!$E$817-500)))=0,"",INDEX('My equipment'!$W$4:$W$503,(_calc!$E$817-500))))=0,"","Claim ref: "&amp;IF(LEN(INDEX('My equipment'!$W$4:$W$503,(_calc!$E$817-500)))=0,"",INDEX('My equipment'!$W$4:$W$503,(_calc!$E$817-500)))&amp;". ")&amp;IF(LEN(IF(LEN(INDEX('My equipment'!$Y$4:$Y$503,(_calc!$E$817-500)))=0,"",INDEX('My equipment'!$Y$4:$Y$503,(_calc!$E$817-500))))=0,"",IF(LEN(INDEX('My equipment'!$Y$4:$Y$503,(_calc!$E$817-500)))=0,"",INDEX('My equipment'!$Y$4:$Y$503,(_calc!$E$817-500)))))))</f>
        <v/>
      </c>
      <c r="G815" s="54">
        <f>IF(_calc!$E$817="","",IF(_calc!$E$817&lt;=500,"",IF(LEN(INDEX('My equipment'!$X$4:$X$503,(_calc!$E$817-500)))=0,"",INDEX('My equipment'!$X$4:$X$503,(_calc!$E$817-500)))))</f>
        <v/>
      </c>
      <c r="K815" s="54">
        <f>IF(_calc!$E$817="","",IF(_calc!$E$817&lt;=500,"",IF(LEN(INDEX('My equipment'!$T$4:$T$503,(_calc!$E$817-500)))=0,"",INDEX('My equipment'!$T$4:$T$503,(_calc!$E$817-500)))))</f>
        <v/>
      </c>
    </row>
    <row r="816">
      <c r="A816" s="54">
        <f>IF(_calc!$E$818="","",IF(_calc!$E$818&lt;=500,"Warranty – "&amp;IF(LEN(INDEX('Dealer pipeline'!$C$4:$C$503,_calc!$E$818))=0,"",INDEX('Dealer pipeline'!$C$4:$C$503,_calc!$E$818))&amp;" – "&amp;IF(LEN(INDEX('Dealer pipeline'!$D$4:$D$503,_calc!$E$818))=0,"",INDEX('Dealer pipeline'!$D$4:$D$503,_calc!$E$818))&amp;" – "&amp;IF(LEN(INDEX('Dealer pipeline'!$A$4:$A$503,_calc!$E$818))=0,"",INDEX('Dealer pipeline'!$A$4:$A$503,_calc!$E$818)),"Warranty – "&amp;IF(LEN(INDEX('My equipment'!$A$4:$A$503,(_calc!$E$818-500)))=0,"",INDEX('My equipment'!$A$4:$A$503,(_calc!$E$818-500)))&amp;" – "&amp;IF(LEN(INDEX('My equipment'!$D$4:$D$503,(_calc!$E$818-500)))=0,"",INDEX('My equipment'!$D$4:$D$503,(_calc!$E$818-500)))))</f>
        <v/>
      </c>
      <c r="B816" s="54">
        <f>IF(_calc!$E$818="","",IF(_calc!$E$818&lt;=500,IF(ISNUMBER(INDEX('Dealer pipeline'!$M$4:$M$503,_calc!$E$818)),TEXT(INDEX('Dealer pipeline'!$M$4:$M$503,_calc!$E$818),"yyyy-mm-dd"),""),IF(ISNUMBER(INDEX('My equipment'!$M$4:$M$503,(_calc!$E$818-500))),TEXT(INDEX('My equipment'!$M$4:$M$503,(_calc!$E$818-500)),"yyyy-mm-dd"),"")))</f>
        <v/>
      </c>
      <c r="C816" s="54">
        <f>IF(_calc!$E$818="","",IF(_calc!$E$818&lt;=500,"Warranty","Warranty"))</f>
        <v/>
      </c>
      <c r="D816" s="54">
        <f>IF(_calc!$E$818="","",IF(_calc!$E$818&lt;=500,IF(ISNUMBER(INDEX('Dealer pipeline'!$H$4:$H$503,_calc!$E$818)),TEXT(INDEX('Dealer pipeline'!$H$4:$H$503,_calc!$E$818),"yyyy-mm-dd"),""),IF(ISNUMBER(INDEX('My equipment'!$H$4:$H$503,(_calc!$E$818-500))),TEXT(INDEX('My equipment'!$H$4:$H$503,(_calc!$E$818-500)),"yyyy-mm-dd"),"")))</f>
        <v/>
      </c>
      <c r="F816" s="54">
        <f>IF(_calc!$E$818="","",IF(_calc!$E$818&lt;=500,TRIM(IF(LEN(IF(LEN(INDEX('Dealer pipeline'!$A$4:$A$503,_calc!$E$818))=0,"",INDEX('Dealer pipeline'!$A$4:$A$503,_calc!$E$818)))=0,"","Customer: "&amp;IF(LEN(INDEX('Dealer pipeline'!$A$4:$A$503,_calc!$E$818))=0,"",INDEX('Dealer pipeline'!$A$4:$A$503,_calc!$E$818))&amp;". ")&amp;IF(LEN(IF(LEN(INDEX('Dealer pipeline'!$B$4:$B$503,_calc!$E$818))=0,"",INDEX('Dealer pipeline'!$B$4:$B$503,_calc!$E$818)))=0,"","Contact: "&amp;IF(LEN(INDEX('Dealer pipeline'!$B$4:$B$503,_calc!$E$818))=0,"",INDEX('Dealer pipeline'!$B$4:$B$503,_calc!$E$818))&amp;". ")&amp;IF(LEN(IF(LEN(INDEX('Dealer pipeline'!$D$4:$D$503,_calc!$E$818))=0,"",INDEX('Dealer pipeline'!$D$4:$D$503,_calc!$E$818)))=0,"","Serial: "&amp;IF(LEN(INDEX('Dealer pipeline'!$D$4:$D$503,_calc!$E$818))=0,"",INDEX('Dealer pipeline'!$D$4:$D$503,_calc!$E$818))&amp;". ")&amp;IF(LEN(IF(ISNUMBER(INDEX('Dealer pipeline'!$J$4:$J$503,_calc!$E$818)),TEXT(INDEX('Dealer pipeline'!$J$4:$J$503,_calc!$E$818),"yyyy-mm-dd"),""))=0,"","Parts end: "&amp;IF(ISNUMBER(INDEX('Dealer pipeline'!$J$4:$J$503,_calc!$E$818)),TEXT(INDEX('Dealer pipeline'!$J$4:$J$503,_calc!$E$818),"yyyy-mm-dd"),"")&amp;". ")&amp;IF(LEN(IF(ISNUMBER(INDEX('Dealer pipeline'!$L$4:$L$503,_calc!$E$818)),TEXT(INDEX('Dealer pipeline'!$L$4:$L$503,_calc!$E$818),"yyyy-mm-dd"),""))=0,"","Labor end: "&amp;IF(ISNUMBER(INDEX('Dealer pipeline'!$L$4:$L$503,_calc!$E$818)),TEXT(INDEX('Dealer pipeline'!$L$4:$L$503,_calc!$E$818),"yyyy-mm-dd"),"")&amp;". ")&amp;IF(LEN(IF(LEN(INDEX('Dealer pipeline'!$Q$4:$Q$503,_calc!$E$818))=0,"",INDEX('Dealer pipeline'!$Q$4:$Q$503,_calc!$E$818)))=0,"","Status: "&amp;IF(LEN(INDEX('Dealer pipeline'!$Q$4:$Q$503,_calc!$E$818))=0,"",INDEX('Dealer pipeline'!$Q$4:$Q$503,_calc!$E$818))&amp;". ")&amp;IF(LEN(IF(LEN(INDEX('Dealer pipeline'!$P$4:$P$503,_calc!$E$818))=0,"",INDEX('Dealer pipeline'!$P$4:$P$503,_calc!$E$818)))=0,"","Last touch: "&amp;IF(LEN(INDEX('Dealer pipeline'!$P$4:$P$503,_calc!$E$818))=0,"",INDEX('Dealer pipeline'!$P$4:$P$503,_calc!$E$818))&amp;". ")&amp;IF(LEN(IF(LEN(INDEX('Dealer pipeline'!$R$4:$R$503,_calc!$E$818))=0,"",INDEX('Dealer pipeline'!$R$4:$R$503,_calc!$E$818)))=0,"","Owner: "&amp;IF(LEN(INDEX('Dealer pipeline'!$R$4:$R$503,_calc!$E$818))=0,"",INDEX('Dealer pipeline'!$R$4:$R$503,_calc!$E$818))&amp;". ")&amp;IF(LEN(IF(LEN(INDEX('Dealer pipeline'!$S$4:$S$503,_calc!$E$818))=0,"",INDEX('Dealer pipeline'!$S$4:$S$503,_calc!$E$818)))=0,"","Backup: "&amp;IF(LEN(INDEX('Dealer pipeline'!$S$4:$S$503,_calc!$E$818))=0,"",INDEX('Dealer pipeline'!$S$4:$S$503,_calc!$E$818))&amp;". ")&amp;IF(LEN(IF(LEN(INDEX('Dealer pipeline'!$T$4:$T$503,_calc!$E$818))=0,"",INDEX('Dealer pipeline'!$T$4:$T$503,_calc!$E$818)))=0,"",IF(LEN(INDEX('Dealer pipeline'!$T$4:$T$503,_calc!$E$818))=0,"",INDEX('Dealer pipeline'!$T$4:$T$503,_calc!$E$818)))),TRIM(IF(LEN(IF(LEN(INDEX('My equipment'!$C$4:$C$503,(_calc!$E$818-500)))=0,"",INDEX('My equipment'!$C$4:$C$503,(_calc!$E$818-500))))=0,"","Model: "&amp;IF(LEN(INDEX('My equipment'!$C$4:$C$503,(_calc!$E$818-500)))=0,"",INDEX('My equipment'!$C$4:$C$503,(_calc!$E$818-500)))&amp;". ")&amp;IF(LEN(IF(LEN(INDEX('My equipment'!$D$4:$D$503,(_calc!$E$818-500)))=0,"",INDEX('My equipment'!$D$4:$D$503,(_calc!$E$818-500))))=0,"","Serial: "&amp;IF(LEN(INDEX('My equipment'!$D$4:$D$503,(_calc!$E$818-500)))=0,"",INDEX('My equipment'!$D$4:$D$503,(_calc!$E$818-500)))&amp;". ")&amp;IF(LEN(IF(ISNUMBER(INDEX('My equipment'!$J$4:$J$503,(_calc!$E$818-500))),TEXT(INDEX('My equipment'!$J$4:$J$503,(_calc!$E$818-500)),"yyyy-mm-dd"),""))=0,"","Parts end: "&amp;IF(ISNUMBER(INDEX('My equipment'!$J$4:$J$503,(_calc!$E$818-500))),TEXT(INDEX('My equipment'!$J$4:$J$503,(_calc!$E$818-500)),"yyyy-mm-dd"),"")&amp;". ")&amp;IF(LEN(IF(ISNUMBER(INDEX('My equipment'!$L$4:$L$503,(_calc!$E$818-500))),TEXT(INDEX('My equipment'!$L$4:$L$503,(_calc!$E$818-500)),"yyyy-mm-dd"),""))=0,"","Labor end: "&amp;IF(ISNUMBER(INDEX('My equipment'!$L$4:$L$503,(_calc!$E$818-500))),TEXT(INDEX('My equipment'!$L$4:$L$503,(_calc!$E$818-500)),"yyyy-mm-dd"),"")&amp;". ")&amp;IF(LEN(IF(ISNUMBER(INDEX('My equipment'!$P$4:$P$503,(_calc!$E$818-500))),TEXT(INDEX('My equipment'!$P$4:$P$503,(_calc!$E$818-500)),"yyyy-mm-dd"),""))=0,"","Check by: "&amp;IF(ISNUMBER(INDEX('My equipment'!$P$4:$P$503,(_calc!$E$818-500))),TEXT(INDEX('My equipment'!$P$4:$P$503,(_calc!$E$818-500)),"yyyy-mm-dd"),"")&amp;". ")&amp;IF(LEN(IF(LEN(INDEX('My equipment'!$Q$4:$Q$503,(_calc!$E$818-500)))=0,"",INDEX('My equipment'!$Q$4:$Q$503,(_calc!$E$818-500))))=0,"","Claim status: "&amp;IF(LEN(INDEX('My equipment'!$Q$4:$Q$503,(_calc!$E$818-500)))=0,"",INDEX('My equipment'!$Q$4:$Q$503,(_calc!$E$818-500)))&amp;". ")&amp;IF(LEN(IF(LEN(INDEX('My equipment'!$R$4:$R$503,(_calc!$E$818-500)))=0,"",INDEX('My equipment'!$R$4:$R$503,(_calc!$E$818-500))))=0,"","Claims contact: "&amp;IF(LEN(INDEX('My equipment'!$R$4:$R$503,(_calc!$E$818-500)))=0,"",INDEX('My equipment'!$R$4:$R$503,(_calc!$E$818-500)))&amp;". ")&amp;IF(LEN(IF(LEN(INDEX('My equipment'!$S$4:$S$503,(_calc!$E$818-500)))=0,"",INDEX('My equipment'!$S$4:$S$503,(_calc!$E$818-500))))=0,"","Claims email: "&amp;IF(LEN(INDEX('My equipment'!$S$4:$S$503,(_calc!$E$818-500)))=0,"",INDEX('My equipment'!$S$4:$S$503,(_calc!$E$818-500)))&amp;". ")&amp;IF(LEN(IF(LEN(INDEX('My equipment'!$U$4:$U$503,(_calc!$E$818-500)))=0,"",INDEX('My equipment'!$U$4:$U$503,(_calc!$E$818-500))))=0,"","Registered: "&amp;IF(LEN(INDEX('My equipment'!$U$4:$U$503,(_calc!$E$818-500)))=0,"",INDEX('My equipment'!$U$4:$U$503,(_calc!$E$818-500)))&amp;". ")&amp;IF(LEN(IF(LEN(INDEX('My equipment'!$V$4:$V$503,(_calc!$E$818-500)))=0,"",INDEX('My equipment'!$V$4:$V$503,(_calc!$E$818-500))))=0,"","Proof on file: "&amp;IF(LEN(INDEX('My equipment'!$V$4:$V$503,(_calc!$E$818-500)))=0,"",INDEX('My equipment'!$V$4:$V$503,(_calc!$E$818-500)))&amp;". ")&amp;IF(LEN(IF(LEN(INDEX('My equipment'!$W$4:$W$503,(_calc!$E$818-500)))=0,"",INDEX('My equipment'!$W$4:$W$503,(_calc!$E$818-500))))=0,"","Claim ref: "&amp;IF(LEN(INDEX('My equipment'!$W$4:$W$503,(_calc!$E$818-500)))=0,"",INDEX('My equipment'!$W$4:$W$503,(_calc!$E$818-500)))&amp;". ")&amp;IF(LEN(IF(LEN(INDEX('My equipment'!$Y$4:$Y$503,(_calc!$E$818-500)))=0,"",INDEX('My equipment'!$Y$4:$Y$503,(_calc!$E$818-500))))=0,"",IF(LEN(INDEX('My equipment'!$Y$4:$Y$503,(_calc!$E$818-500)))=0,"",INDEX('My equipment'!$Y$4:$Y$503,(_calc!$E$818-500)))))))</f>
        <v/>
      </c>
      <c r="G816" s="54">
        <f>IF(_calc!$E$818="","",IF(_calc!$E$818&lt;=500,"",IF(LEN(INDEX('My equipment'!$X$4:$X$503,(_calc!$E$818-500)))=0,"",INDEX('My equipment'!$X$4:$X$503,(_calc!$E$818-500)))))</f>
        <v/>
      </c>
      <c r="K816" s="54">
        <f>IF(_calc!$E$818="","",IF(_calc!$E$818&lt;=500,"",IF(LEN(INDEX('My equipment'!$T$4:$T$503,(_calc!$E$818-500)))=0,"",INDEX('My equipment'!$T$4:$T$503,(_calc!$E$818-500)))))</f>
        <v/>
      </c>
    </row>
    <row r="817">
      <c r="A817" s="54">
        <f>IF(_calc!$E$819="","",IF(_calc!$E$819&lt;=500,"Warranty – "&amp;IF(LEN(INDEX('Dealer pipeline'!$C$4:$C$503,_calc!$E$819))=0,"",INDEX('Dealer pipeline'!$C$4:$C$503,_calc!$E$819))&amp;" – "&amp;IF(LEN(INDEX('Dealer pipeline'!$D$4:$D$503,_calc!$E$819))=0,"",INDEX('Dealer pipeline'!$D$4:$D$503,_calc!$E$819))&amp;" – "&amp;IF(LEN(INDEX('Dealer pipeline'!$A$4:$A$503,_calc!$E$819))=0,"",INDEX('Dealer pipeline'!$A$4:$A$503,_calc!$E$819)),"Warranty – "&amp;IF(LEN(INDEX('My equipment'!$A$4:$A$503,(_calc!$E$819-500)))=0,"",INDEX('My equipment'!$A$4:$A$503,(_calc!$E$819-500)))&amp;" – "&amp;IF(LEN(INDEX('My equipment'!$D$4:$D$503,(_calc!$E$819-500)))=0,"",INDEX('My equipment'!$D$4:$D$503,(_calc!$E$819-500)))))</f>
        <v/>
      </c>
      <c r="B817" s="54">
        <f>IF(_calc!$E$819="","",IF(_calc!$E$819&lt;=500,IF(ISNUMBER(INDEX('Dealer pipeline'!$M$4:$M$503,_calc!$E$819)),TEXT(INDEX('Dealer pipeline'!$M$4:$M$503,_calc!$E$819),"yyyy-mm-dd"),""),IF(ISNUMBER(INDEX('My equipment'!$M$4:$M$503,(_calc!$E$819-500))),TEXT(INDEX('My equipment'!$M$4:$M$503,(_calc!$E$819-500)),"yyyy-mm-dd"),"")))</f>
        <v/>
      </c>
      <c r="C817" s="54">
        <f>IF(_calc!$E$819="","",IF(_calc!$E$819&lt;=500,"Warranty","Warranty"))</f>
        <v/>
      </c>
      <c r="D817" s="54">
        <f>IF(_calc!$E$819="","",IF(_calc!$E$819&lt;=500,IF(ISNUMBER(INDEX('Dealer pipeline'!$H$4:$H$503,_calc!$E$819)),TEXT(INDEX('Dealer pipeline'!$H$4:$H$503,_calc!$E$819),"yyyy-mm-dd"),""),IF(ISNUMBER(INDEX('My equipment'!$H$4:$H$503,(_calc!$E$819-500))),TEXT(INDEX('My equipment'!$H$4:$H$503,(_calc!$E$819-500)),"yyyy-mm-dd"),"")))</f>
        <v/>
      </c>
      <c r="F817" s="54">
        <f>IF(_calc!$E$819="","",IF(_calc!$E$819&lt;=500,TRIM(IF(LEN(IF(LEN(INDEX('Dealer pipeline'!$A$4:$A$503,_calc!$E$819))=0,"",INDEX('Dealer pipeline'!$A$4:$A$503,_calc!$E$819)))=0,"","Customer: "&amp;IF(LEN(INDEX('Dealer pipeline'!$A$4:$A$503,_calc!$E$819))=0,"",INDEX('Dealer pipeline'!$A$4:$A$503,_calc!$E$819))&amp;". ")&amp;IF(LEN(IF(LEN(INDEX('Dealer pipeline'!$B$4:$B$503,_calc!$E$819))=0,"",INDEX('Dealer pipeline'!$B$4:$B$503,_calc!$E$819)))=0,"","Contact: "&amp;IF(LEN(INDEX('Dealer pipeline'!$B$4:$B$503,_calc!$E$819))=0,"",INDEX('Dealer pipeline'!$B$4:$B$503,_calc!$E$819))&amp;". ")&amp;IF(LEN(IF(LEN(INDEX('Dealer pipeline'!$D$4:$D$503,_calc!$E$819))=0,"",INDEX('Dealer pipeline'!$D$4:$D$503,_calc!$E$819)))=0,"","Serial: "&amp;IF(LEN(INDEX('Dealer pipeline'!$D$4:$D$503,_calc!$E$819))=0,"",INDEX('Dealer pipeline'!$D$4:$D$503,_calc!$E$819))&amp;". ")&amp;IF(LEN(IF(ISNUMBER(INDEX('Dealer pipeline'!$J$4:$J$503,_calc!$E$819)),TEXT(INDEX('Dealer pipeline'!$J$4:$J$503,_calc!$E$819),"yyyy-mm-dd"),""))=0,"","Parts end: "&amp;IF(ISNUMBER(INDEX('Dealer pipeline'!$J$4:$J$503,_calc!$E$819)),TEXT(INDEX('Dealer pipeline'!$J$4:$J$503,_calc!$E$819),"yyyy-mm-dd"),"")&amp;". ")&amp;IF(LEN(IF(ISNUMBER(INDEX('Dealer pipeline'!$L$4:$L$503,_calc!$E$819)),TEXT(INDEX('Dealer pipeline'!$L$4:$L$503,_calc!$E$819),"yyyy-mm-dd"),""))=0,"","Labor end: "&amp;IF(ISNUMBER(INDEX('Dealer pipeline'!$L$4:$L$503,_calc!$E$819)),TEXT(INDEX('Dealer pipeline'!$L$4:$L$503,_calc!$E$819),"yyyy-mm-dd"),"")&amp;". ")&amp;IF(LEN(IF(LEN(INDEX('Dealer pipeline'!$Q$4:$Q$503,_calc!$E$819))=0,"",INDEX('Dealer pipeline'!$Q$4:$Q$503,_calc!$E$819)))=0,"","Status: "&amp;IF(LEN(INDEX('Dealer pipeline'!$Q$4:$Q$503,_calc!$E$819))=0,"",INDEX('Dealer pipeline'!$Q$4:$Q$503,_calc!$E$819))&amp;". ")&amp;IF(LEN(IF(LEN(INDEX('Dealer pipeline'!$P$4:$P$503,_calc!$E$819))=0,"",INDEX('Dealer pipeline'!$P$4:$P$503,_calc!$E$819)))=0,"","Last touch: "&amp;IF(LEN(INDEX('Dealer pipeline'!$P$4:$P$503,_calc!$E$819))=0,"",INDEX('Dealer pipeline'!$P$4:$P$503,_calc!$E$819))&amp;". ")&amp;IF(LEN(IF(LEN(INDEX('Dealer pipeline'!$R$4:$R$503,_calc!$E$819))=0,"",INDEX('Dealer pipeline'!$R$4:$R$503,_calc!$E$819)))=0,"","Owner: "&amp;IF(LEN(INDEX('Dealer pipeline'!$R$4:$R$503,_calc!$E$819))=0,"",INDEX('Dealer pipeline'!$R$4:$R$503,_calc!$E$819))&amp;". ")&amp;IF(LEN(IF(LEN(INDEX('Dealer pipeline'!$S$4:$S$503,_calc!$E$819))=0,"",INDEX('Dealer pipeline'!$S$4:$S$503,_calc!$E$819)))=0,"","Backup: "&amp;IF(LEN(INDEX('Dealer pipeline'!$S$4:$S$503,_calc!$E$819))=0,"",INDEX('Dealer pipeline'!$S$4:$S$503,_calc!$E$819))&amp;". ")&amp;IF(LEN(IF(LEN(INDEX('Dealer pipeline'!$T$4:$T$503,_calc!$E$819))=0,"",INDEX('Dealer pipeline'!$T$4:$T$503,_calc!$E$819)))=0,"",IF(LEN(INDEX('Dealer pipeline'!$T$4:$T$503,_calc!$E$819))=0,"",INDEX('Dealer pipeline'!$T$4:$T$503,_calc!$E$819)))),TRIM(IF(LEN(IF(LEN(INDEX('My equipment'!$C$4:$C$503,(_calc!$E$819-500)))=0,"",INDEX('My equipment'!$C$4:$C$503,(_calc!$E$819-500))))=0,"","Model: "&amp;IF(LEN(INDEX('My equipment'!$C$4:$C$503,(_calc!$E$819-500)))=0,"",INDEX('My equipment'!$C$4:$C$503,(_calc!$E$819-500)))&amp;". ")&amp;IF(LEN(IF(LEN(INDEX('My equipment'!$D$4:$D$503,(_calc!$E$819-500)))=0,"",INDEX('My equipment'!$D$4:$D$503,(_calc!$E$819-500))))=0,"","Serial: "&amp;IF(LEN(INDEX('My equipment'!$D$4:$D$503,(_calc!$E$819-500)))=0,"",INDEX('My equipment'!$D$4:$D$503,(_calc!$E$819-500)))&amp;". ")&amp;IF(LEN(IF(ISNUMBER(INDEX('My equipment'!$J$4:$J$503,(_calc!$E$819-500))),TEXT(INDEX('My equipment'!$J$4:$J$503,(_calc!$E$819-500)),"yyyy-mm-dd"),""))=0,"","Parts end: "&amp;IF(ISNUMBER(INDEX('My equipment'!$J$4:$J$503,(_calc!$E$819-500))),TEXT(INDEX('My equipment'!$J$4:$J$503,(_calc!$E$819-500)),"yyyy-mm-dd"),"")&amp;". ")&amp;IF(LEN(IF(ISNUMBER(INDEX('My equipment'!$L$4:$L$503,(_calc!$E$819-500))),TEXT(INDEX('My equipment'!$L$4:$L$503,(_calc!$E$819-500)),"yyyy-mm-dd"),""))=0,"","Labor end: "&amp;IF(ISNUMBER(INDEX('My equipment'!$L$4:$L$503,(_calc!$E$819-500))),TEXT(INDEX('My equipment'!$L$4:$L$503,(_calc!$E$819-500)),"yyyy-mm-dd"),"")&amp;". ")&amp;IF(LEN(IF(ISNUMBER(INDEX('My equipment'!$P$4:$P$503,(_calc!$E$819-500))),TEXT(INDEX('My equipment'!$P$4:$P$503,(_calc!$E$819-500)),"yyyy-mm-dd"),""))=0,"","Check by: "&amp;IF(ISNUMBER(INDEX('My equipment'!$P$4:$P$503,(_calc!$E$819-500))),TEXT(INDEX('My equipment'!$P$4:$P$503,(_calc!$E$819-500)),"yyyy-mm-dd"),"")&amp;". ")&amp;IF(LEN(IF(LEN(INDEX('My equipment'!$Q$4:$Q$503,(_calc!$E$819-500)))=0,"",INDEX('My equipment'!$Q$4:$Q$503,(_calc!$E$819-500))))=0,"","Claim status: "&amp;IF(LEN(INDEX('My equipment'!$Q$4:$Q$503,(_calc!$E$819-500)))=0,"",INDEX('My equipment'!$Q$4:$Q$503,(_calc!$E$819-500)))&amp;". ")&amp;IF(LEN(IF(LEN(INDEX('My equipment'!$R$4:$R$503,(_calc!$E$819-500)))=0,"",INDEX('My equipment'!$R$4:$R$503,(_calc!$E$819-500))))=0,"","Claims contact: "&amp;IF(LEN(INDEX('My equipment'!$R$4:$R$503,(_calc!$E$819-500)))=0,"",INDEX('My equipment'!$R$4:$R$503,(_calc!$E$819-500)))&amp;". ")&amp;IF(LEN(IF(LEN(INDEX('My equipment'!$S$4:$S$503,(_calc!$E$819-500)))=0,"",INDEX('My equipment'!$S$4:$S$503,(_calc!$E$819-500))))=0,"","Claims email: "&amp;IF(LEN(INDEX('My equipment'!$S$4:$S$503,(_calc!$E$819-500)))=0,"",INDEX('My equipment'!$S$4:$S$503,(_calc!$E$819-500)))&amp;". ")&amp;IF(LEN(IF(LEN(INDEX('My equipment'!$U$4:$U$503,(_calc!$E$819-500)))=0,"",INDEX('My equipment'!$U$4:$U$503,(_calc!$E$819-500))))=0,"","Registered: "&amp;IF(LEN(INDEX('My equipment'!$U$4:$U$503,(_calc!$E$819-500)))=0,"",INDEX('My equipment'!$U$4:$U$503,(_calc!$E$819-500)))&amp;". ")&amp;IF(LEN(IF(LEN(INDEX('My equipment'!$V$4:$V$503,(_calc!$E$819-500)))=0,"",INDEX('My equipment'!$V$4:$V$503,(_calc!$E$819-500))))=0,"","Proof on file: "&amp;IF(LEN(INDEX('My equipment'!$V$4:$V$503,(_calc!$E$819-500)))=0,"",INDEX('My equipment'!$V$4:$V$503,(_calc!$E$819-500)))&amp;". ")&amp;IF(LEN(IF(LEN(INDEX('My equipment'!$W$4:$W$503,(_calc!$E$819-500)))=0,"",INDEX('My equipment'!$W$4:$W$503,(_calc!$E$819-500))))=0,"","Claim ref: "&amp;IF(LEN(INDEX('My equipment'!$W$4:$W$503,(_calc!$E$819-500)))=0,"",INDEX('My equipment'!$W$4:$W$503,(_calc!$E$819-500)))&amp;". ")&amp;IF(LEN(IF(LEN(INDEX('My equipment'!$Y$4:$Y$503,(_calc!$E$819-500)))=0,"",INDEX('My equipment'!$Y$4:$Y$503,(_calc!$E$819-500))))=0,"",IF(LEN(INDEX('My equipment'!$Y$4:$Y$503,(_calc!$E$819-500)))=0,"",INDEX('My equipment'!$Y$4:$Y$503,(_calc!$E$819-500)))))))</f>
        <v/>
      </c>
      <c r="G817" s="54">
        <f>IF(_calc!$E$819="","",IF(_calc!$E$819&lt;=500,"",IF(LEN(INDEX('My equipment'!$X$4:$X$503,(_calc!$E$819-500)))=0,"",INDEX('My equipment'!$X$4:$X$503,(_calc!$E$819-500)))))</f>
        <v/>
      </c>
      <c r="K817" s="54">
        <f>IF(_calc!$E$819="","",IF(_calc!$E$819&lt;=500,"",IF(LEN(INDEX('My equipment'!$T$4:$T$503,(_calc!$E$819-500)))=0,"",INDEX('My equipment'!$T$4:$T$503,(_calc!$E$819-500)))))</f>
        <v/>
      </c>
    </row>
    <row r="818">
      <c r="A818" s="54">
        <f>IF(_calc!$E$820="","",IF(_calc!$E$820&lt;=500,"Warranty – "&amp;IF(LEN(INDEX('Dealer pipeline'!$C$4:$C$503,_calc!$E$820))=0,"",INDEX('Dealer pipeline'!$C$4:$C$503,_calc!$E$820))&amp;" – "&amp;IF(LEN(INDEX('Dealer pipeline'!$D$4:$D$503,_calc!$E$820))=0,"",INDEX('Dealer pipeline'!$D$4:$D$503,_calc!$E$820))&amp;" – "&amp;IF(LEN(INDEX('Dealer pipeline'!$A$4:$A$503,_calc!$E$820))=0,"",INDEX('Dealer pipeline'!$A$4:$A$503,_calc!$E$820)),"Warranty – "&amp;IF(LEN(INDEX('My equipment'!$A$4:$A$503,(_calc!$E$820-500)))=0,"",INDEX('My equipment'!$A$4:$A$503,(_calc!$E$820-500)))&amp;" – "&amp;IF(LEN(INDEX('My equipment'!$D$4:$D$503,(_calc!$E$820-500)))=0,"",INDEX('My equipment'!$D$4:$D$503,(_calc!$E$820-500)))))</f>
        <v/>
      </c>
      <c r="B818" s="54">
        <f>IF(_calc!$E$820="","",IF(_calc!$E$820&lt;=500,IF(ISNUMBER(INDEX('Dealer pipeline'!$M$4:$M$503,_calc!$E$820)),TEXT(INDEX('Dealer pipeline'!$M$4:$M$503,_calc!$E$820),"yyyy-mm-dd"),""),IF(ISNUMBER(INDEX('My equipment'!$M$4:$M$503,(_calc!$E$820-500))),TEXT(INDEX('My equipment'!$M$4:$M$503,(_calc!$E$820-500)),"yyyy-mm-dd"),"")))</f>
        <v/>
      </c>
      <c r="C818" s="54">
        <f>IF(_calc!$E$820="","",IF(_calc!$E$820&lt;=500,"Warranty","Warranty"))</f>
        <v/>
      </c>
      <c r="D818" s="54">
        <f>IF(_calc!$E$820="","",IF(_calc!$E$820&lt;=500,IF(ISNUMBER(INDEX('Dealer pipeline'!$H$4:$H$503,_calc!$E$820)),TEXT(INDEX('Dealer pipeline'!$H$4:$H$503,_calc!$E$820),"yyyy-mm-dd"),""),IF(ISNUMBER(INDEX('My equipment'!$H$4:$H$503,(_calc!$E$820-500))),TEXT(INDEX('My equipment'!$H$4:$H$503,(_calc!$E$820-500)),"yyyy-mm-dd"),"")))</f>
        <v/>
      </c>
      <c r="F818" s="54">
        <f>IF(_calc!$E$820="","",IF(_calc!$E$820&lt;=500,TRIM(IF(LEN(IF(LEN(INDEX('Dealer pipeline'!$A$4:$A$503,_calc!$E$820))=0,"",INDEX('Dealer pipeline'!$A$4:$A$503,_calc!$E$820)))=0,"","Customer: "&amp;IF(LEN(INDEX('Dealer pipeline'!$A$4:$A$503,_calc!$E$820))=0,"",INDEX('Dealer pipeline'!$A$4:$A$503,_calc!$E$820))&amp;". ")&amp;IF(LEN(IF(LEN(INDEX('Dealer pipeline'!$B$4:$B$503,_calc!$E$820))=0,"",INDEX('Dealer pipeline'!$B$4:$B$503,_calc!$E$820)))=0,"","Contact: "&amp;IF(LEN(INDEX('Dealer pipeline'!$B$4:$B$503,_calc!$E$820))=0,"",INDEX('Dealer pipeline'!$B$4:$B$503,_calc!$E$820))&amp;". ")&amp;IF(LEN(IF(LEN(INDEX('Dealer pipeline'!$D$4:$D$503,_calc!$E$820))=0,"",INDEX('Dealer pipeline'!$D$4:$D$503,_calc!$E$820)))=0,"","Serial: "&amp;IF(LEN(INDEX('Dealer pipeline'!$D$4:$D$503,_calc!$E$820))=0,"",INDEX('Dealer pipeline'!$D$4:$D$503,_calc!$E$820))&amp;". ")&amp;IF(LEN(IF(ISNUMBER(INDEX('Dealer pipeline'!$J$4:$J$503,_calc!$E$820)),TEXT(INDEX('Dealer pipeline'!$J$4:$J$503,_calc!$E$820),"yyyy-mm-dd"),""))=0,"","Parts end: "&amp;IF(ISNUMBER(INDEX('Dealer pipeline'!$J$4:$J$503,_calc!$E$820)),TEXT(INDEX('Dealer pipeline'!$J$4:$J$503,_calc!$E$820),"yyyy-mm-dd"),"")&amp;". ")&amp;IF(LEN(IF(ISNUMBER(INDEX('Dealer pipeline'!$L$4:$L$503,_calc!$E$820)),TEXT(INDEX('Dealer pipeline'!$L$4:$L$503,_calc!$E$820),"yyyy-mm-dd"),""))=0,"","Labor end: "&amp;IF(ISNUMBER(INDEX('Dealer pipeline'!$L$4:$L$503,_calc!$E$820)),TEXT(INDEX('Dealer pipeline'!$L$4:$L$503,_calc!$E$820),"yyyy-mm-dd"),"")&amp;". ")&amp;IF(LEN(IF(LEN(INDEX('Dealer pipeline'!$Q$4:$Q$503,_calc!$E$820))=0,"",INDEX('Dealer pipeline'!$Q$4:$Q$503,_calc!$E$820)))=0,"","Status: "&amp;IF(LEN(INDEX('Dealer pipeline'!$Q$4:$Q$503,_calc!$E$820))=0,"",INDEX('Dealer pipeline'!$Q$4:$Q$503,_calc!$E$820))&amp;". ")&amp;IF(LEN(IF(LEN(INDEX('Dealer pipeline'!$P$4:$P$503,_calc!$E$820))=0,"",INDEX('Dealer pipeline'!$P$4:$P$503,_calc!$E$820)))=0,"","Last touch: "&amp;IF(LEN(INDEX('Dealer pipeline'!$P$4:$P$503,_calc!$E$820))=0,"",INDEX('Dealer pipeline'!$P$4:$P$503,_calc!$E$820))&amp;". ")&amp;IF(LEN(IF(LEN(INDEX('Dealer pipeline'!$R$4:$R$503,_calc!$E$820))=0,"",INDEX('Dealer pipeline'!$R$4:$R$503,_calc!$E$820)))=0,"","Owner: "&amp;IF(LEN(INDEX('Dealer pipeline'!$R$4:$R$503,_calc!$E$820))=0,"",INDEX('Dealer pipeline'!$R$4:$R$503,_calc!$E$820))&amp;". ")&amp;IF(LEN(IF(LEN(INDEX('Dealer pipeline'!$S$4:$S$503,_calc!$E$820))=0,"",INDEX('Dealer pipeline'!$S$4:$S$503,_calc!$E$820)))=0,"","Backup: "&amp;IF(LEN(INDEX('Dealer pipeline'!$S$4:$S$503,_calc!$E$820))=0,"",INDEX('Dealer pipeline'!$S$4:$S$503,_calc!$E$820))&amp;". ")&amp;IF(LEN(IF(LEN(INDEX('Dealer pipeline'!$T$4:$T$503,_calc!$E$820))=0,"",INDEX('Dealer pipeline'!$T$4:$T$503,_calc!$E$820)))=0,"",IF(LEN(INDEX('Dealer pipeline'!$T$4:$T$503,_calc!$E$820))=0,"",INDEX('Dealer pipeline'!$T$4:$T$503,_calc!$E$820)))),TRIM(IF(LEN(IF(LEN(INDEX('My equipment'!$C$4:$C$503,(_calc!$E$820-500)))=0,"",INDEX('My equipment'!$C$4:$C$503,(_calc!$E$820-500))))=0,"","Model: "&amp;IF(LEN(INDEX('My equipment'!$C$4:$C$503,(_calc!$E$820-500)))=0,"",INDEX('My equipment'!$C$4:$C$503,(_calc!$E$820-500)))&amp;". ")&amp;IF(LEN(IF(LEN(INDEX('My equipment'!$D$4:$D$503,(_calc!$E$820-500)))=0,"",INDEX('My equipment'!$D$4:$D$503,(_calc!$E$820-500))))=0,"","Serial: "&amp;IF(LEN(INDEX('My equipment'!$D$4:$D$503,(_calc!$E$820-500)))=0,"",INDEX('My equipment'!$D$4:$D$503,(_calc!$E$820-500)))&amp;". ")&amp;IF(LEN(IF(ISNUMBER(INDEX('My equipment'!$J$4:$J$503,(_calc!$E$820-500))),TEXT(INDEX('My equipment'!$J$4:$J$503,(_calc!$E$820-500)),"yyyy-mm-dd"),""))=0,"","Parts end: "&amp;IF(ISNUMBER(INDEX('My equipment'!$J$4:$J$503,(_calc!$E$820-500))),TEXT(INDEX('My equipment'!$J$4:$J$503,(_calc!$E$820-500)),"yyyy-mm-dd"),"")&amp;". ")&amp;IF(LEN(IF(ISNUMBER(INDEX('My equipment'!$L$4:$L$503,(_calc!$E$820-500))),TEXT(INDEX('My equipment'!$L$4:$L$503,(_calc!$E$820-500)),"yyyy-mm-dd"),""))=0,"","Labor end: "&amp;IF(ISNUMBER(INDEX('My equipment'!$L$4:$L$503,(_calc!$E$820-500))),TEXT(INDEX('My equipment'!$L$4:$L$503,(_calc!$E$820-500)),"yyyy-mm-dd"),"")&amp;". ")&amp;IF(LEN(IF(ISNUMBER(INDEX('My equipment'!$P$4:$P$503,(_calc!$E$820-500))),TEXT(INDEX('My equipment'!$P$4:$P$503,(_calc!$E$820-500)),"yyyy-mm-dd"),""))=0,"","Check by: "&amp;IF(ISNUMBER(INDEX('My equipment'!$P$4:$P$503,(_calc!$E$820-500))),TEXT(INDEX('My equipment'!$P$4:$P$503,(_calc!$E$820-500)),"yyyy-mm-dd"),"")&amp;". ")&amp;IF(LEN(IF(LEN(INDEX('My equipment'!$Q$4:$Q$503,(_calc!$E$820-500)))=0,"",INDEX('My equipment'!$Q$4:$Q$503,(_calc!$E$820-500))))=0,"","Claim status: "&amp;IF(LEN(INDEX('My equipment'!$Q$4:$Q$503,(_calc!$E$820-500)))=0,"",INDEX('My equipment'!$Q$4:$Q$503,(_calc!$E$820-500)))&amp;". ")&amp;IF(LEN(IF(LEN(INDEX('My equipment'!$R$4:$R$503,(_calc!$E$820-500)))=0,"",INDEX('My equipment'!$R$4:$R$503,(_calc!$E$820-500))))=0,"","Claims contact: "&amp;IF(LEN(INDEX('My equipment'!$R$4:$R$503,(_calc!$E$820-500)))=0,"",INDEX('My equipment'!$R$4:$R$503,(_calc!$E$820-500)))&amp;". ")&amp;IF(LEN(IF(LEN(INDEX('My equipment'!$S$4:$S$503,(_calc!$E$820-500)))=0,"",INDEX('My equipment'!$S$4:$S$503,(_calc!$E$820-500))))=0,"","Claims email: "&amp;IF(LEN(INDEX('My equipment'!$S$4:$S$503,(_calc!$E$820-500)))=0,"",INDEX('My equipment'!$S$4:$S$503,(_calc!$E$820-500)))&amp;". ")&amp;IF(LEN(IF(LEN(INDEX('My equipment'!$U$4:$U$503,(_calc!$E$820-500)))=0,"",INDEX('My equipment'!$U$4:$U$503,(_calc!$E$820-500))))=0,"","Registered: "&amp;IF(LEN(INDEX('My equipment'!$U$4:$U$503,(_calc!$E$820-500)))=0,"",INDEX('My equipment'!$U$4:$U$503,(_calc!$E$820-500)))&amp;". ")&amp;IF(LEN(IF(LEN(INDEX('My equipment'!$V$4:$V$503,(_calc!$E$820-500)))=0,"",INDEX('My equipment'!$V$4:$V$503,(_calc!$E$820-500))))=0,"","Proof on file: "&amp;IF(LEN(INDEX('My equipment'!$V$4:$V$503,(_calc!$E$820-500)))=0,"",INDEX('My equipment'!$V$4:$V$503,(_calc!$E$820-500)))&amp;". ")&amp;IF(LEN(IF(LEN(INDEX('My equipment'!$W$4:$W$503,(_calc!$E$820-500)))=0,"",INDEX('My equipment'!$W$4:$W$503,(_calc!$E$820-500))))=0,"","Claim ref: "&amp;IF(LEN(INDEX('My equipment'!$W$4:$W$503,(_calc!$E$820-500)))=0,"",INDEX('My equipment'!$W$4:$W$503,(_calc!$E$820-500)))&amp;". ")&amp;IF(LEN(IF(LEN(INDEX('My equipment'!$Y$4:$Y$503,(_calc!$E$820-500)))=0,"",INDEX('My equipment'!$Y$4:$Y$503,(_calc!$E$820-500))))=0,"",IF(LEN(INDEX('My equipment'!$Y$4:$Y$503,(_calc!$E$820-500)))=0,"",INDEX('My equipment'!$Y$4:$Y$503,(_calc!$E$820-500)))))))</f>
        <v/>
      </c>
      <c r="G818" s="54">
        <f>IF(_calc!$E$820="","",IF(_calc!$E$820&lt;=500,"",IF(LEN(INDEX('My equipment'!$X$4:$X$503,(_calc!$E$820-500)))=0,"",INDEX('My equipment'!$X$4:$X$503,(_calc!$E$820-500)))))</f>
        <v/>
      </c>
      <c r="K818" s="54">
        <f>IF(_calc!$E$820="","",IF(_calc!$E$820&lt;=500,"",IF(LEN(INDEX('My equipment'!$T$4:$T$503,(_calc!$E$820-500)))=0,"",INDEX('My equipment'!$T$4:$T$503,(_calc!$E$820-500)))))</f>
        <v/>
      </c>
    </row>
    <row r="819">
      <c r="A819" s="54">
        <f>IF(_calc!$E$821="","",IF(_calc!$E$821&lt;=500,"Warranty – "&amp;IF(LEN(INDEX('Dealer pipeline'!$C$4:$C$503,_calc!$E$821))=0,"",INDEX('Dealer pipeline'!$C$4:$C$503,_calc!$E$821))&amp;" – "&amp;IF(LEN(INDEX('Dealer pipeline'!$D$4:$D$503,_calc!$E$821))=0,"",INDEX('Dealer pipeline'!$D$4:$D$503,_calc!$E$821))&amp;" – "&amp;IF(LEN(INDEX('Dealer pipeline'!$A$4:$A$503,_calc!$E$821))=0,"",INDEX('Dealer pipeline'!$A$4:$A$503,_calc!$E$821)),"Warranty – "&amp;IF(LEN(INDEX('My equipment'!$A$4:$A$503,(_calc!$E$821-500)))=0,"",INDEX('My equipment'!$A$4:$A$503,(_calc!$E$821-500)))&amp;" – "&amp;IF(LEN(INDEX('My equipment'!$D$4:$D$503,(_calc!$E$821-500)))=0,"",INDEX('My equipment'!$D$4:$D$503,(_calc!$E$821-500)))))</f>
        <v/>
      </c>
      <c r="B819" s="54">
        <f>IF(_calc!$E$821="","",IF(_calc!$E$821&lt;=500,IF(ISNUMBER(INDEX('Dealer pipeline'!$M$4:$M$503,_calc!$E$821)),TEXT(INDEX('Dealer pipeline'!$M$4:$M$503,_calc!$E$821),"yyyy-mm-dd"),""),IF(ISNUMBER(INDEX('My equipment'!$M$4:$M$503,(_calc!$E$821-500))),TEXT(INDEX('My equipment'!$M$4:$M$503,(_calc!$E$821-500)),"yyyy-mm-dd"),"")))</f>
        <v/>
      </c>
      <c r="C819" s="54">
        <f>IF(_calc!$E$821="","",IF(_calc!$E$821&lt;=500,"Warranty","Warranty"))</f>
        <v/>
      </c>
      <c r="D819" s="54">
        <f>IF(_calc!$E$821="","",IF(_calc!$E$821&lt;=500,IF(ISNUMBER(INDEX('Dealer pipeline'!$H$4:$H$503,_calc!$E$821)),TEXT(INDEX('Dealer pipeline'!$H$4:$H$503,_calc!$E$821),"yyyy-mm-dd"),""),IF(ISNUMBER(INDEX('My equipment'!$H$4:$H$503,(_calc!$E$821-500))),TEXT(INDEX('My equipment'!$H$4:$H$503,(_calc!$E$821-500)),"yyyy-mm-dd"),"")))</f>
        <v/>
      </c>
      <c r="F819" s="54">
        <f>IF(_calc!$E$821="","",IF(_calc!$E$821&lt;=500,TRIM(IF(LEN(IF(LEN(INDEX('Dealer pipeline'!$A$4:$A$503,_calc!$E$821))=0,"",INDEX('Dealer pipeline'!$A$4:$A$503,_calc!$E$821)))=0,"","Customer: "&amp;IF(LEN(INDEX('Dealer pipeline'!$A$4:$A$503,_calc!$E$821))=0,"",INDEX('Dealer pipeline'!$A$4:$A$503,_calc!$E$821))&amp;". ")&amp;IF(LEN(IF(LEN(INDEX('Dealer pipeline'!$B$4:$B$503,_calc!$E$821))=0,"",INDEX('Dealer pipeline'!$B$4:$B$503,_calc!$E$821)))=0,"","Contact: "&amp;IF(LEN(INDEX('Dealer pipeline'!$B$4:$B$503,_calc!$E$821))=0,"",INDEX('Dealer pipeline'!$B$4:$B$503,_calc!$E$821))&amp;". ")&amp;IF(LEN(IF(LEN(INDEX('Dealer pipeline'!$D$4:$D$503,_calc!$E$821))=0,"",INDEX('Dealer pipeline'!$D$4:$D$503,_calc!$E$821)))=0,"","Serial: "&amp;IF(LEN(INDEX('Dealer pipeline'!$D$4:$D$503,_calc!$E$821))=0,"",INDEX('Dealer pipeline'!$D$4:$D$503,_calc!$E$821))&amp;". ")&amp;IF(LEN(IF(ISNUMBER(INDEX('Dealer pipeline'!$J$4:$J$503,_calc!$E$821)),TEXT(INDEX('Dealer pipeline'!$J$4:$J$503,_calc!$E$821),"yyyy-mm-dd"),""))=0,"","Parts end: "&amp;IF(ISNUMBER(INDEX('Dealer pipeline'!$J$4:$J$503,_calc!$E$821)),TEXT(INDEX('Dealer pipeline'!$J$4:$J$503,_calc!$E$821),"yyyy-mm-dd"),"")&amp;". ")&amp;IF(LEN(IF(ISNUMBER(INDEX('Dealer pipeline'!$L$4:$L$503,_calc!$E$821)),TEXT(INDEX('Dealer pipeline'!$L$4:$L$503,_calc!$E$821),"yyyy-mm-dd"),""))=0,"","Labor end: "&amp;IF(ISNUMBER(INDEX('Dealer pipeline'!$L$4:$L$503,_calc!$E$821)),TEXT(INDEX('Dealer pipeline'!$L$4:$L$503,_calc!$E$821),"yyyy-mm-dd"),"")&amp;". ")&amp;IF(LEN(IF(LEN(INDEX('Dealer pipeline'!$Q$4:$Q$503,_calc!$E$821))=0,"",INDEX('Dealer pipeline'!$Q$4:$Q$503,_calc!$E$821)))=0,"","Status: "&amp;IF(LEN(INDEX('Dealer pipeline'!$Q$4:$Q$503,_calc!$E$821))=0,"",INDEX('Dealer pipeline'!$Q$4:$Q$503,_calc!$E$821))&amp;". ")&amp;IF(LEN(IF(LEN(INDEX('Dealer pipeline'!$P$4:$P$503,_calc!$E$821))=0,"",INDEX('Dealer pipeline'!$P$4:$P$503,_calc!$E$821)))=0,"","Last touch: "&amp;IF(LEN(INDEX('Dealer pipeline'!$P$4:$P$503,_calc!$E$821))=0,"",INDEX('Dealer pipeline'!$P$4:$P$503,_calc!$E$821))&amp;". ")&amp;IF(LEN(IF(LEN(INDEX('Dealer pipeline'!$R$4:$R$503,_calc!$E$821))=0,"",INDEX('Dealer pipeline'!$R$4:$R$503,_calc!$E$821)))=0,"","Owner: "&amp;IF(LEN(INDEX('Dealer pipeline'!$R$4:$R$503,_calc!$E$821))=0,"",INDEX('Dealer pipeline'!$R$4:$R$503,_calc!$E$821))&amp;". ")&amp;IF(LEN(IF(LEN(INDEX('Dealer pipeline'!$S$4:$S$503,_calc!$E$821))=0,"",INDEX('Dealer pipeline'!$S$4:$S$503,_calc!$E$821)))=0,"","Backup: "&amp;IF(LEN(INDEX('Dealer pipeline'!$S$4:$S$503,_calc!$E$821))=0,"",INDEX('Dealer pipeline'!$S$4:$S$503,_calc!$E$821))&amp;". ")&amp;IF(LEN(IF(LEN(INDEX('Dealer pipeline'!$T$4:$T$503,_calc!$E$821))=0,"",INDEX('Dealer pipeline'!$T$4:$T$503,_calc!$E$821)))=0,"",IF(LEN(INDEX('Dealer pipeline'!$T$4:$T$503,_calc!$E$821))=0,"",INDEX('Dealer pipeline'!$T$4:$T$503,_calc!$E$821)))),TRIM(IF(LEN(IF(LEN(INDEX('My equipment'!$C$4:$C$503,(_calc!$E$821-500)))=0,"",INDEX('My equipment'!$C$4:$C$503,(_calc!$E$821-500))))=0,"","Model: "&amp;IF(LEN(INDEX('My equipment'!$C$4:$C$503,(_calc!$E$821-500)))=0,"",INDEX('My equipment'!$C$4:$C$503,(_calc!$E$821-500)))&amp;". ")&amp;IF(LEN(IF(LEN(INDEX('My equipment'!$D$4:$D$503,(_calc!$E$821-500)))=0,"",INDEX('My equipment'!$D$4:$D$503,(_calc!$E$821-500))))=0,"","Serial: "&amp;IF(LEN(INDEX('My equipment'!$D$4:$D$503,(_calc!$E$821-500)))=0,"",INDEX('My equipment'!$D$4:$D$503,(_calc!$E$821-500)))&amp;". ")&amp;IF(LEN(IF(ISNUMBER(INDEX('My equipment'!$J$4:$J$503,(_calc!$E$821-500))),TEXT(INDEX('My equipment'!$J$4:$J$503,(_calc!$E$821-500)),"yyyy-mm-dd"),""))=0,"","Parts end: "&amp;IF(ISNUMBER(INDEX('My equipment'!$J$4:$J$503,(_calc!$E$821-500))),TEXT(INDEX('My equipment'!$J$4:$J$503,(_calc!$E$821-500)),"yyyy-mm-dd"),"")&amp;". ")&amp;IF(LEN(IF(ISNUMBER(INDEX('My equipment'!$L$4:$L$503,(_calc!$E$821-500))),TEXT(INDEX('My equipment'!$L$4:$L$503,(_calc!$E$821-500)),"yyyy-mm-dd"),""))=0,"","Labor end: "&amp;IF(ISNUMBER(INDEX('My equipment'!$L$4:$L$503,(_calc!$E$821-500))),TEXT(INDEX('My equipment'!$L$4:$L$503,(_calc!$E$821-500)),"yyyy-mm-dd"),"")&amp;". ")&amp;IF(LEN(IF(ISNUMBER(INDEX('My equipment'!$P$4:$P$503,(_calc!$E$821-500))),TEXT(INDEX('My equipment'!$P$4:$P$503,(_calc!$E$821-500)),"yyyy-mm-dd"),""))=0,"","Check by: "&amp;IF(ISNUMBER(INDEX('My equipment'!$P$4:$P$503,(_calc!$E$821-500))),TEXT(INDEX('My equipment'!$P$4:$P$503,(_calc!$E$821-500)),"yyyy-mm-dd"),"")&amp;". ")&amp;IF(LEN(IF(LEN(INDEX('My equipment'!$Q$4:$Q$503,(_calc!$E$821-500)))=0,"",INDEX('My equipment'!$Q$4:$Q$503,(_calc!$E$821-500))))=0,"","Claim status: "&amp;IF(LEN(INDEX('My equipment'!$Q$4:$Q$503,(_calc!$E$821-500)))=0,"",INDEX('My equipment'!$Q$4:$Q$503,(_calc!$E$821-500)))&amp;". ")&amp;IF(LEN(IF(LEN(INDEX('My equipment'!$R$4:$R$503,(_calc!$E$821-500)))=0,"",INDEX('My equipment'!$R$4:$R$503,(_calc!$E$821-500))))=0,"","Claims contact: "&amp;IF(LEN(INDEX('My equipment'!$R$4:$R$503,(_calc!$E$821-500)))=0,"",INDEX('My equipment'!$R$4:$R$503,(_calc!$E$821-500)))&amp;". ")&amp;IF(LEN(IF(LEN(INDEX('My equipment'!$S$4:$S$503,(_calc!$E$821-500)))=0,"",INDEX('My equipment'!$S$4:$S$503,(_calc!$E$821-500))))=0,"","Claims email: "&amp;IF(LEN(INDEX('My equipment'!$S$4:$S$503,(_calc!$E$821-500)))=0,"",INDEX('My equipment'!$S$4:$S$503,(_calc!$E$821-500)))&amp;". ")&amp;IF(LEN(IF(LEN(INDEX('My equipment'!$U$4:$U$503,(_calc!$E$821-500)))=0,"",INDEX('My equipment'!$U$4:$U$503,(_calc!$E$821-500))))=0,"","Registered: "&amp;IF(LEN(INDEX('My equipment'!$U$4:$U$503,(_calc!$E$821-500)))=0,"",INDEX('My equipment'!$U$4:$U$503,(_calc!$E$821-500)))&amp;". ")&amp;IF(LEN(IF(LEN(INDEX('My equipment'!$V$4:$V$503,(_calc!$E$821-500)))=0,"",INDEX('My equipment'!$V$4:$V$503,(_calc!$E$821-500))))=0,"","Proof on file: "&amp;IF(LEN(INDEX('My equipment'!$V$4:$V$503,(_calc!$E$821-500)))=0,"",INDEX('My equipment'!$V$4:$V$503,(_calc!$E$821-500)))&amp;". ")&amp;IF(LEN(IF(LEN(INDEX('My equipment'!$W$4:$W$503,(_calc!$E$821-500)))=0,"",INDEX('My equipment'!$W$4:$W$503,(_calc!$E$821-500))))=0,"","Claim ref: "&amp;IF(LEN(INDEX('My equipment'!$W$4:$W$503,(_calc!$E$821-500)))=0,"",INDEX('My equipment'!$W$4:$W$503,(_calc!$E$821-500)))&amp;". ")&amp;IF(LEN(IF(LEN(INDEX('My equipment'!$Y$4:$Y$503,(_calc!$E$821-500)))=0,"",INDEX('My equipment'!$Y$4:$Y$503,(_calc!$E$821-500))))=0,"",IF(LEN(INDEX('My equipment'!$Y$4:$Y$503,(_calc!$E$821-500)))=0,"",INDEX('My equipment'!$Y$4:$Y$503,(_calc!$E$821-500)))))))</f>
        <v/>
      </c>
      <c r="G819" s="54">
        <f>IF(_calc!$E$821="","",IF(_calc!$E$821&lt;=500,"",IF(LEN(INDEX('My equipment'!$X$4:$X$503,(_calc!$E$821-500)))=0,"",INDEX('My equipment'!$X$4:$X$503,(_calc!$E$821-500)))))</f>
        <v/>
      </c>
      <c r="K819" s="54">
        <f>IF(_calc!$E$821="","",IF(_calc!$E$821&lt;=500,"",IF(LEN(INDEX('My equipment'!$T$4:$T$503,(_calc!$E$821-500)))=0,"",INDEX('My equipment'!$T$4:$T$503,(_calc!$E$821-500)))))</f>
        <v/>
      </c>
    </row>
    <row r="820">
      <c r="A820" s="54">
        <f>IF(_calc!$E$822="","",IF(_calc!$E$822&lt;=500,"Warranty – "&amp;IF(LEN(INDEX('Dealer pipeline'!$C$4:$C$503,_calc!$E$822))=0,"",INDEX('Dealer pipeline'!$C$4:$C$503,_calc!$E$822))&amp;" – "&amp;IF(LEN(INDEX('Dealer pipeline'!$D$4:$D$503,_calc!$E$822))=0,"",INDEX('Dealer pipeline'!$D$4:$D$503,_calc!$E$822))&amp;" – "&amp;IF(LEN(INDEX('Dealer pipeline'!$A$4:$A$503,_calc!$E$822))=0,"",INDEX('Dealer pipeline'!$A$4:$A$503,_calc!$E$822)),"Warranty – "&amp;IF(LEN(INDEX('My equipment'!$A$4:$A$503,(_calc!$E$822-500)))=0,"",INDEX('My equipment'!$A$4:$A$503,(_calc!$E$822-500)))&amp;" – "&amp;IF(LEN(INDEX('My equipment'!$D$4:$D$503,(_calc!$E$822-500)))=0,"",INDEX('My equipment'!$D$4:$D$503,(_calc!$E$822-500)))))</f>
        <v/>
      </c>
      <c r="B820" s="54">
        <f>IF(_calc!$E$822="","",IF(_calc!$E$822&lt;=500,IF(ISNUMBER(INDEX('Dealer pipeline'!$M$4:$M$503,_calc!$E$822)),TEXT(INDEX('Dealer pipeline'!$M$4:$M$503,_calc!$E$822),"yyyy-mm-dd"),""),IF(ISNUMBER(INDEX('My equipment'!$M$4:$M$503,(_calc!$E$822-500))),TEXT(INDEX('My equipment'!$M$4:$M$503,(_calc!$E$822-500)),"yyyy-mm-dd"),"")))</f>
        <v/>
      </c>
      <c r="C820" s="54">
        <f>IF(_calc!$E$822="","",IF(_calc!$E$822&lt;=500,"Warranty","Warranty"))</f>
        <v/>
      </c>
      <c r="D820" s="54">
        <f>IF(_calc!$E$822="","",IF(_calc!$E$822&lt;=500,IF(ISNUMBER(INDEX('Dealer pipeline'!$H$4:$H$503,_calc!$E$822)),TEXT(INDEX('Dealer pipeline'!$H$4:$H$503,_calc!$E$822),"yyyy-mm-dd"),""),IF(ISNUMBER(INDEX('My equipment'!$H$4:$H$503,(_calc!$E$822-500))),TEXT(INDEX('My equipment'!$H$4:$H$503,(_calc!$E$822-500)),"yyyy-mm-dd"),"")))</f>
        <v/>
      </c>
      <c r="F820" s="54">
        <f>IF(_calc!$E$822="","",IF(_calc!$E$822&lt;=500,TRIM(IF(LEN(IF(LEN(INDEX('Dealer pipeline'!$A$4:$A$503,_calc!$E$822))=0,"",INDEX('Dealer pipeline'!$A$4:$A$503,_calc!$E$822)))=0,"","Customer: "&amp;IF(LEN(INDEX('Dealer pipeline'!$A$4:$A$503,_calc!$E$822))=0,"",INDEX('Dealer pipeline'!$A$4:$A$503,_calc!$E$822))&amp;". ")&amp;IF(LEN(IF(LEN(INDEX('Dealer pipeline'!$B$4:$B$503,_calc!$E$822))=0,"",INDEX('Dealer pipeline'!$B$4:$B$503,_calc!$E$822)))=0,"","Contact: "&amp;IF(LEN(INDEX('Dealer pipeline'!$B$4:$B$503,_calc!$E$822))=0,"",INDEX('Dealer pipeline'!$B$4:$B$503,_calc!$E$822))&amp;". ")&amp;IF(LEN(IF(LEN(INDEX('Dealer pipeline'!$D$4:$D$503,_calc!$E$822))=0,"",INDEX('Dealer pipeline'!$D$4:$D$503,_calc!$E$822)))=0,"","Serial: "&amp;IF(LEN(INDEX('Dealer pipeline'!$D$4:$D$503,_calc!$E$822))=0,"",INDEX('Dealer pipeline'!$D$4:$D$503,_calc!$E$822))&amp;". ")&amp;IF(LEN(IF(ISNUMBER(INDEX('Dealer pipeline'!$J$4:$J$503,_calc!$E$822)),TEXT(INDEX('Dealer pipeline'!$J$4:$J$503,_calc!$E$822),"yyyy-mm-dd"),""))=0,"","Parts end: "&amp;IF(ISNUMBER(INDEX('Dealer pipeline'!$J$4:$J$503,_calc!$E$822)),TEXT(INDEX('Dealer pipeline'!$J$4:$J$503,_calc!$E$822),"yyyy-mm-dd"),"")&amp;". ")&amp;IF(LEN(IF(ISNUMBER(INDEX('Dealer pipeline'!$L$4:$L$503,_calc!$E$822)),TEXT(INDEX('Dealer pipeline'!$L$4:$L$503,_calc!$E$822),"yyyy-mm-dd"),""))=0,"","Labor end: "&amp;IF(ISNUMBER(INDEX('Dealer pipeline'!$L$4:$L$503,_calc!$E$822)),TEXT(INDEX('Dealer pipeline'!$L$4:$L$503,_calc!$E$822),"yyyy-mm-dd"),"")&amp;". ")&amp;IF(LEN(IF(LEN(INDEX('Dealer pipeline'!$Q$4:$Q$503,_calc!$E$822))=0,"",INDEX('Dealer pipeline'!$Q$4:$Q$503,_calc!$E$822)))=0,"","Status: "&amp;IF(LEN(INDEX('Dealer pipeline'!$Q$4:$Q$503,_calc!$E$822))=0,"",INDEX('Dealer pipeline'!$Q$4:$Q$503,_calc!$E$822))&amp;". ")&amp;IF(LEN(IF(LEN(INDEX('Dealer pipeline'!$P$4:$P$503,_calc!$E$822))=0,"",INDEX('Dealer pipeline'!$P$4:$P$503,_calc!$E$822)))=0,"","Last touch: "&amp;IF(LEN(INDEX('Dealer pipeline'!$P$4:$P$503,_calc!$E$822))=0,"",INDEX('Dealer pipeline'!$P$4:$P$503,_calc!$E$822))&amp;". ")&amp;IF(LEN(IF(LEN(INDEX('Dealer pipeline'!$R$4:$R$503,_calc!$E$822))=0,"",INDEX('Dealer pipeline'!$R$4:$R$503,_calc!$E$822)))=0,"","Owner: "&amp;IF(LEN(INDEX('Dealer pipeline'!$R$4:$R$503,_calc!$E$822))=0,"",INDEX('Dealer pipeline'!$R$4:$R$503,_calc!$E$822))&amp;". ")&amp;IF(LEN(IF(LEN(INDEX('Dealer pipeline'!$S$4:$S$503,_calc!$E$822))=0,"",INDEX('Dealer pipeline'!$S$4:$S$503,_calc!$E$822)))=0,"","Backup: "&amp;IF(LEN(INDEX('Dealer pipeline'!$S$4:$S$503,_calc!$E$822))=0,"",INDEX('Dealer pipeline'!$S$4:$S$503,_calc!$E$822))&amp;". ")&amp;IF(LEN(IF(LEN(INDEX('Dealer pipeline'!$T$4:$T$503,_calc!$E$822))=0,"",INDEX('Dealer pipeline'!$T$4:$T$503,_calc!$E$822)))=0,"",IF(LEN(INDEX('Dealer pipeline'!$T$4:$T$503,_calc!$E$822))=0,"",INDEX('Dealer pipeline'!$T$4:$T$503,_calc!$E$822)))),TRIM(IF(LEN(IF(LEN(INDEX('My equipment'!$C$4:$C$503,(_calc!$E$822-500)))=0,"",INDEX('My equipment'!$C$4:$C$503,(_calc!$E$822-500))))=0,"","Model: "&amp;IF(LEN(INDEX('My equipment'!$C$4:$C$503,(_calc!$E$822-500)))=0,"",INDEX('My equipment'!$C$4:$C$503,(_calc!$E$822-500)))&amp;". ")&amp;IF(LEN(IF(LEN(INDEX('My equipment'!$D$4:$D$503,(_calc!$E$822-500)))=0,"",INDEX('My equipment'!$D$4:$D$503,(_calc!$E$822-500))))=0,"","Serial: "&amp;IF(LEN(INDEX('My equipment'!$D$4:$D$503,(_calc!$E$822-500)))=0,"",INDEX('My equipment'!$D$4:$D$503,(_calc!$E$822-500)))&amp;". ")&amp;IF(LEN(IF(ISNUMBER(INDEX('My equipment'!$J$4:$J$503,(_calc!$E$822-500))),TEXT(INDEX('My equipment'!$J$4:$J$503,(_calc!$E$822-500)),"yyyy-mm-dd"),""))=0,"","Parts end: "&amp;IF(ISNUMBER(INDEX('My equipment'!$J$4:$J$503,(_calc!$E$822-500))),TEXT(INDEX('My equipment'!$J$4:$J$503,(_calc!$E$822-500)),"yyyy-mm-dd"),"")&amp;". ")&amp;IF(LEN(IF(ISNUMBER(INDEX('My equipment'!$L$4:$L$503,(_calc!$E$822-500))),TEXT(INDEX('My equipment'!$L$4:$L$503,(_calc!$E$822-500)),"yyyy-mm-dd"),""))=0,"","Labor end: "&amp;IF(ISNUMBER(INDEX('My equipment'!$L$4:$L$503,(_calc!$E$822-500))),TEXT(INDEX('My equipment'!$L$4:$L$503,(_calc!$E$822-500)),"yyyy-mm-dd"),"")&amp;". ")&amp;IF(LEN(IF(ISNUMBER(INDEX('My equipment'!$P$4:$P$503,(_calc!$E$822-500))),TEXT(INDEX('My equipment'!$P$4:$P$503,(_calc!$E$822-500)),"yyyy-mm-dd"),""))=0,"","Check by: "&amp;IF(ISNUMBER(INDEX('My equipment'!$P$4:$P$503,(_calc!$E$822-500))),TEXT(INDEX('My equipment'!$P$4:$P$503,(_calc!$E$822-500)),"yyyy-mm-dd"),"")&amp;". ")&amp;IF(LEN(IF(LEN(INDEX('My equipment'!$Q$4:$Q$503,(_calc!$E$822-500)))=0,"",INDEX('My equipment'!$Q$4:$Q$503,(_calc!$E$822-500))))=0,"","Claim status: "&amp;IF(LEN(INDEX('My equipment'!$Q$4:$Q$503,(_calc!$E$822-500)))=0,"",INDEX('My equipment'!$Q$4:$Q$503,(_calc!$E$822-500)))&amp;". ")&amp;IF(LEN(IF(LEN(INDEX('My equipment'!$R$4:$R$503,(_calc!$E$822-500)))=0,"",INDEX('My equipment'!$R$4:$R$503,(_calc!$E$822-500))))=0,"","Claims contact: "&amp;IF(LEN(INDEX('My equipment'!$R$4:$R$503,(_calc!$E$822-500)))=0,"",INDEX('My equipment'!$R$4:$R$503,(_calc!$E$822-500)))&amp;". ")&amp;IF(LEN(IF(LEN(INDEX('My equipment'!$S$4:$S$503,(_calc!$E$822-500)))=0,"",INDEX('My equipment'!$S$4:$S$503,(_calc!$E$822-500))))=0,"","Claims email: "&amp;IF(LEN(INDEX('My equipment'!$S$4:$S$503,(_calc!$E$822-500)))=0,"",INDEX('My equipment'!$S$4:$S$503,(_calc!$E$822-500)))&amp;". ")&amp;IF(LEN(IF(LEN(INDEX('My equipment'!$U$4:$U$503,(_calc!$E$822-500)))=0,"",INDEX('My equipment'!$U$4:$U$503,(_calc!$E$822-500))))=0,"","Registered: "&amp;IF(LEN(INDEX('My equipment'!$U$4:$U$503,(_calc!$E$822-500)))=0,"",INDEX('My equipment'!$U$4:$U$503,(_calc!$E$822-500)))&amp;". ")&amp;IF(LEN(IF(LEN(INDEX('My equipment'!$V$4:$V$503,(_calc!$E$822-500)))=0,"",INDEX('My equipment'!$V$4:$V$503,(_calc!$E$822-500))))=0,"","Proof on file: "&amp;IF(LEN(INDEX('My equipment'!$V$4:$V$503,(_calc!$E$822-500)))=0,"",INDEX('My equipment'!$V$4:$V$503,(_calc!$E$822-500)))&amp;". ")&amp;IF(LEN(IF(LEN(INDEX('My equipment'!$W$4:$W$503,(_calc!$E$822-500)))=0,"",INDEX('My equipment'!$W$4:$W$503,(_calc!$E$822-500))))=0,"","Claim ref: "&amp;IF(LEN(INDEX('My equipment'!$W$4:$W$503,(_calc!$E$822-500)))=0,"",INDEX('My equipment'!$W$4:$W$503,(_calc!$E$822-500)))&amp;". ")&amp;IF(LEN(IF(LEN(INDEX('My equipment'!$Y$4:$Y$503,(_calc!$E$822-500)))=0,"",INDEX('My equipment'!$Y$4:$Y$503,(_calc!$E$822-500))))=0,"",IF(LEN(INDEX('My equipment'!$Y$4:$Y$503,(_calc!$E$822-500)))=0,"",INDEX('My equipment'!$Y$4:$Y$503,(_calc!$E$822-500)))))))</f>
        <v/>
      </c>
      <c r="G820" s="54">
        <f>IF(_calc!$E$822="","",IF(_calc!$E$822&lt;=500,"",IF(LEN(INDEX('My equipment'!$X$4:$X$503,(_calc!$E$822-500)))=0,"",INDEX('My equipment'!$X$4:$X$503,(_calc!$E$822-500)))))</f>
        <v/>
      </c>
      <c r="K820" s="54">
        <f>IF(_calc!$E$822="","",IF(_calc!$E$822&lt;=500,"",IF(LEN(INDEX('My equipment'!$T$4:$T$503,(_calc!$E$822-500)))=0,"",INDEX('My equipment'!$T$4:$T$503,(_calc!$E$822-500)))))</f>
        <v/>
      </c>
    </row>
    <row r="821">
      <c r="A821" s="54">
        <f>IF(_calc!$E$823="","",IF(_calc!$E$823&lt;=500,"Warranty – "&amp;IF(LEN(INDEX('Dealer pipeline'!$C$4:$C$503,_calc!$E$823))=0,"",INDEX('Dealer pipeline'!$C$4:$C$503,_calc!$E$823))&amp;" – "&amp;IF(LEN(INDEX('Dealer pipeline'!$D$4:$D$503,_calc!$E$823))=0,"",INDEX('Dealer pipeline'!$D$4:$D$503,_calc!$E$823))&amp;" – "&amp;IF(LEN(INDEX('Dealer pipeline'!$A$4:$A$503,_calc!$E$823))=0,"",INDEX('Dealer pipeline'!$A$4:$A$503,_calc!$E$823)),"Warranty – "&amp;IF(LEN(INDEX('My equipment'!$A$4:$A$503,(_calc!$E$823-500)))=0,"",INDEX('My equipment'!$A$4:$A$503,(_calc!$E$823-500)))&amp;" – "&amp;IF(LEN(INDEX('My equipment'!$D$4:$D$503,(_calc!$E$823-500)))=0,"",INDEX('My equipment'!$D$4:$D$503,(_calc!$E$823-500)))))</f>
        <v/>
      </c>
      <c r="B821" s="54">
        <f>IF(_calc!$E$823="","",IF(_calc!$E$823&lt;=500,IF(ISNUMBER(INDEX('Dealer pipeline'!$M$4:$M$503,_calc!$E$823)),TEXT(INDEX('Dealer pipeline'!$M$4:$M$503,_calc!$E$823),"yyyy-mm-dd"),""),IF(ISNUMBER(INDEX('My equipment'!$M$4:$M$503,(_calc!$E$823-500))),TEXT(INDEX('My equipment'!$M$4:$M$503,(_calc!$E$823-500)),"yyyy-mm-dd"),"")))</f>
        <v/>
      </c>
      <c r="C821" s="54">
        <f>IF(_calc!$E$823="","",IF(_calc!$E$823&lt;=500,"Warranty","Warranty"))</f>
        <v/>
      </c>
      <c r="D821" s="54">
        <f>IF(_calc!$E$823="","",IF(_calc!$E$823&lt;=500,IF(ISNUMBER(INDEX('Dealer pipeline'!$H$4:$H$503,_calc!$E$823)),TEXT(INDEX('Dealer pipeline'!$H$4:$H$503,_calc!$E$823),"yyyy-mm-dd"),""),IF(ISNUMBER(INDEX('My equipment'!$H$4:$H$503,(_calc!$E$823-500))),TEXT(INDEX('My equipment'!$H$4:$H$503,(_calc!$E$823-500)),"yyyy-mm-dd"),"")))</f>
        <v/>
      </c>
      <c r="F821" s="54">
        <f>IF(_calc!$E$823="","",IF(_calc!$E$823&lt;=500,TRIM(IF(LEN(IF(LEN(INDEX('Dealer pipeline'!$A$4:$A$503,_calc!$E$823))=0,"",INDEX('Dealer pipeline'!$A$4:$A$503,_calc!$E$823)))=0,"","Customer: "&amp;IF(LEN(INDEX('Dealer pipeline'!$A$4:$A$503,_calc!$E$823))=0,"",INDEX('Dealer pipeline'!$A$4:$A$503,_calc!$E$823))&amp;". ")&amp;IF(LEN(IF(LEN(INDEX('Dealer pipeline'!$B$4:$B$503,_calc!$E$823))=0,"",INDEX('Dealer pipeline'!$B$4:$B$503,_calc!$E$823)))=0,"","Contact: "&amp;IF(LEN(INDEX('Dealer pipeline'!$B$4:$B$503,_calc!$E$823))=0,"",INDEX('Dealer pipeline'!$B$4:$B$503,_calc!$E$823))&amp;". ")&amp;IF(LEN(IF(LEN(INDEX('Dealer pipeline'!$D$4:$D$503,_calc!$E$823))=0,"",INDEX('Dealer pipeline'!$D$4:$D$503,_calc!$E$823)))=0,"","Serial: "&amp;IF(LEN(INDEX('Dealer pipeline'!$D$4:$D$503,_calc!$E$823))=0,"",INDEX('Dealer pipeline'!$D$4:$D$503,_calc!$E$823))&amp;". ")&amp;IF(LEN(IF(ISNUMBER(INDEX('Dealer pipeline'!$J$4:$J$503,_calc!$E$823)),TEXT(INDEX('Dealer pipeline'!$J$4:$J$503,_calc!$E$823),"yyyy-mm-dd"),""))=0,"","Parts end: "&amp;IF(ISNUMBER(INDEX('Dealer pipeline'!$J$4:$J$503,_calc!$E$823)),TEXT(INDEX('Dealer pipeline'!$J$4:$J$503,_calc!$E$823),"yyyy-mm-dd"),"")&amp;". ")&amp;IF(LEN(IF(ISNUMBER(INDEX('Dealer pipeline'!$L$4:$L$503,_calc!$E$823)),TEXT(INDEX('Dealer pipeline'!$L$4:$L$503,_calc!$E$823),"yyyy-mm-dd"),""))=0,"","Labor end: "&amp;IF(ISNUMBER(INDEX('Dealer pipeline'!$L$4:$L$503,_calc!$E$823)),TEXT(INDEX('Dealer pipeline'!$L$4:$L$503,_calc!$E$823),"yyyy-mm-dd"),"")&amp;". ")&amp;IF(LEN(IF(LEN(INDEX('Dealer pipeline'!$Q$4:$Q$503,_calc!$E$823))=0,"",INDEX('Dealer pipeline'!$Q$4:$Q$503,_calc!$E$823)))=0,"","Status: "&amp;IF(LEN(INDEX('Dealer pipeline'!$Q$4:$Q$503,_calc!$E$823))=0,"",INDEX('Dealer pipeline'!$Q$4:$Q$503,_calc!$E$823))&amp;". ")&amp;IF(LEN(IF(LEN(INDEX('Dealer pipeline'!$P$4:$P$503,_calc!$E$823))=0,"",INDEX('Dealer pipeline'!$P$4:$P$503,_calc!$E$823)))=0,"","Last touch: "&amp;IF(LEN(INDEX('Dealer pipeline'!$P$4:$P$503,_calc!$E$823))=0,"",INDEX('Dealer pipeline'!$P$4:$P$503,_calc!$E$823))&amp;". ")&amp;IF(LEN(IF(LEN(INDEX('Dealer pipeline'!$R$4:$R$503,_calc!$E$823))=0,"",INDEX('Dealer pipeline'!$R$4:$R$503,_calc!$E$823)))=0,"","Owner: "&amp;IF(LEN(INDEX('Dealer pipeline'!$R$4:$R$503,_calc!$E$823))=0,"",INDEX('Dealer pipeline'!$R$4:$R$503,_calc!$E$823))&amp;". ")&amp;IF(LEN(IF(LEN(INDEX('Dealer pipeline'!$S$4:$S$503,_calc!$E$823))=0,"",INDEX('Dealer pipeline'!$S$4:$S$503,_calc!$E$823)))=0,"","Backup: "&amp;IF(LEN(INDEX('Dealer pipeline'!$S$4:$S$503,_calc!$E$823))=0,"",INDEX('Dealer pipeline'!$S$4:$S$503,_calc!$E$823))&amp;". ")&amp;IF(LEN(IF(LEN(INDEX('Dealer pipeline'!$T$4:$T$503,_calc!$E$823))=0,"",INDEX('Dealer pipeline'!$T$4:$T$503,_calc!$E$823)))=0,"",IF(LEN(INDEX('Dealer pipeline'!$T$4:$T$503,_calc!$E$823))=0,"",INDEX('Dealer pipeline'!$T$4:$T$503,_calc!$E$823)))),TRIM(IF(LEN(IF(LEN(INDEX('My equipment'!$C$4:$C$503,(_calc!$E$823-500)))=0,"",INDEX('My equipment'!$C$4:$C$503,(_calc!$E$823-500))))=0,"","Model: "&amp;IF(LEN(INDEX('My equipment'!$C$4:$C$503,(_calc!$E$823-500)))=0,"",INDEX('My equipment'!$C$4:$C$503,(_calc!$E$823-500)))&amp;". ")&amp;IF(LEN(IF(LEN(INDEX('My equipment'!$D$4:$D$503,(_calc!$E$823-500)))=0,"",INDEX('My equipment'!$D$4:$D$503,(_calc!$E$823-500))))=0,"","Serial: "&amp;IF(LEN(INDEX('My equipment'!$D$4:$D$503,(_calc!$E$823-500)))=0,"",INDEX('My equipment'!$D$4:$D$503,(_calc!$E$823-500)))&amp;". ")&amp;IF(LEN(IF(ISNUMBER(INDEX('My equipment'!$J$4:$J$503,(_calc!$E$823-500))),TEXT(INDEX('My equipment'!$J$4:$J$503,(_calc!$E$823-500)),"yyyy-mm-dd"),""))=0,"","Parts end: "&amp;IF(ISNUMBER(INDEX('My equipment'!$J$4:$J$503,(_calc!$E$823-500))),TEXT(INDEX('My equipment'!$J$4:$J$503,(_calc!$E$823-500)),"yyyy-mm-dd"),"")&amp;". ")&amp;IF(LEN(IF(ISNUMBER(INDEX('My equipment'!$L$4:$L$503,(_calc!$E$823-500))),TEXT(INDEX('My equipment'!$L$4:$L$503,(_calc!$E$823-500)),"yyyy-mm-dd"),""))=0,"","Labor end: "&amp;IF(ISNUMBER(INDEX('My equipment'!$L$4:$L$503,(_calc!$E$823-500))),TEXT(INDEX('My equipment'!$L$4:$L$503,(_calc!$E$823-500)),"yyyy-mm-dd"),"")&amp;". ")&amp;IF(LEN(IF(ISNUMBER(INDEX('My equipment'!$P$4:$P$503,(_calc!$E$823-500))),TEXT(INDEX('My equipment'!$P$4:$P$503,(_calc!$E$823-500)),"yyyy-mm-dd"),""))=0,"","Check by: "&amp;IF(ISNUMBER(INDEX('My equipment'!$P$4:$P$503,(_calc!$E$823-500))),TEXT(INDEX('My equipment'!$P$4:$P$503,(_calc!$E$823-500)),"yyyy-mm-dd"),"")&amp;". ")&amp;IF(LEN(IF(LEN(INDEX('My equipment'!$Q$4:$Q$503,(_calc!$E$823-500)))=0,"",INDEX('My equipment'!$Q$4:$Q$503,(_calc!$E$823-500))))=0,"","Claim status: "&amp;IF(LEN(INDEX('My equipment'!$Q$4:$Q$503,(_calc!$E$823-500)))=0,"",INDEX('My equipment'!$Q$4:$Q$503,(_calc!$E$823-500)))&amp;". ")&amp;IF(LEN(IF(LEN(INDEX('My equipment'!$R$4:$R$503,(_calc!$E$823-500)))=0,"",INDEX('My equipment'!$R$4:$R$503,(_calc!$E$823-500))))=0,"","Claims contact: "&amp;IF(LEN(INDEX('My equipment'!$R$4:$R$503,(_calc!$E$823-500)))=0,"",INDEX('My equipment'!$R$4:$R$503,(_calc!$E$823-500)))&amp;". ")&amp;IF(LEN(IF(LEN(INDEX('My equipment'!$S$4:$S$503,(_calc!$E$823-500)))=0,"",INDEX('My equipment'!$S$4:$S$503,(_calc!$E$823-500))))=0,"","Claims email: "&amp;IF(LEN(INDEX('My equipment'!$S$4:$S$503,(_calc!$E$823-500)))=0,"",INDEX('My equipment'!$S$4:$S$503,(_calc!$E$823-500)))&amp;". ")&amp;IF(LEN(IF(LEN(INDEX('My equipment'!$U$4:$U$503,(_calc!$E$823-500)))=0,"",INDEX('My equipment'!$U$4:$U$503,(_calc!$E$823-500))))=0,"","Registered: "&amp;IF(LEN(INDEX('My equipment'!$U$4:$U$503,(_calc!$E$823-500)))=0,"",INDEX('My equipment'!$U$4:$U$503,(_calc!$E$823-500)))&amp;". ")&amp;IF(LEN(IF(LEN(INDEX('My equipment'!$V$4:$V$503,(_calc!$E$823-500)))=0,"",INDEX('My equipment'!$V$4:$V$503,(_calc!$E$823-500))))=0,"","Proof on file: "&amp;IF(LEN(INDEX('My equipment'!$V$4:$V$503,(_calc!$E$823-500)))=0,"",INDEX('My equipment'!$V$4:$V$503,(_calc!$E$823-500)))&amp;". ")&amp;IF(LEN(IF(LEN(INDEX('My equipment'!$W$4:$W$503,(_calc!$E$823-500)))=0,"",INDEX('My equipment'!$W$4:$W$503,(_calc!$E$823-500))))=0,"","Claim ref: "&amp;IF(LEN(INDEX('My equipment'!$W$4:$W$503,(_calc!$E$823-500)))=0,"",INDEX('My equipment'!$W$4:$W$503,(_calc!$E$823-500)))&amp;". ")&amp;IF(LEN(IF(LEN(INDEX('My equipment'!$Y$4:$Y$503,(_calc!$E$823-500)))=0,"",INDEX('My equipment'!$Y$4:$Y$503,(_calc!$E$823-500))))=0,"",IF(LEN(INDEX('My equipment'!$Y$4:$Y$503,(_calc!$E$823-500)))=0,"",INDEX('My equipment'!$Y$4:$Y$503,(_calc!$E$823-500)))))))</f>
        <v/>
      </c>
      <c r="G821" s="54">
        <f>IF(_calc!$E$823="","",IF(_calc!$E$823&lt;=500,"",IF(LEN(INDEX('My equipment'!$X$4:$X$503,(_calc!$E$823-500)))=0,"",INDEX('My equipment'!$X$4:$X$503,(_calc!$E$823-500)))))</f>
        <v/>
      </c>
      <c r="K821" s="54">
        <f>IF(_calc!$E$823="","",IF(_calc!$E$823&lt;=500,"",IF(LEN(INDEX('My equipment'!$T$4:$T$503,(_calc!$E$823-500)))=0,"",INDEX('My equipment'!$T$4:$T$503,(_calc!$E$823-500)))))</f>
        <v/>
      </c>
    </row>
    <row r="822">
      <c r="A822" s="54">
        <f>IF(_calc!$E$824="","",IF(_calc!$E$824&lt;=500,"Warranty – "&amp;IF(LEN(INDEX('Dealer pipeline'!$C$4:$C$503,_calc!$E$824))=0,"",INDEX('Dealer pipeline'!$C$4:$C$503,_calc!$E$824))&amp;" – "&amp;IF(LEN(INDEX('Dealer pipeline'!$D$4:$D$503,_calc!$E$824))=0,"",INDEX('Dealer pipeline'!$D$4:$D$503,_calc!$E$824))&amp;" – "&amp;IF(LEN(INDEX('Dealer pipeline'!$A$4:$A$503,_calc!$E$824))=0,"",INDEX('Dealer pipeline'!$A$4:$A$503,_calc!$E$824)),"Warranty – "&amp;IF(LEN(INDEX('My equipment'!$A$4:$A$503,(_calc!$E$824-500)))=0,"",INDEX('My equipment'!$A$4:$A$503,(_calc!$E$824-500)))&amp;" – "&amp;IF(LEN(INDEX('My equipment'!$D$4:$D$503,(_calc!$E$824-500)))=0,"",INDEX('My equipment'!$D$4:$D$503,(_calc!$E$824-500)))))</f>
        <v/>
      </c>
      <c r="B822" s="54">
        <f>IF(_calc!$E$824="","",IF(_calc!$E$824&lt;=500,IF(ISNUMBER(INDEX('Dealer pipeline'!$M$4:$M$503,_calc!$E$824)),TEXT(INDEX('Dealer pipeline'!$M$4:$M$503,_calc!$E$824),"yyyy-mm-dd"),""),IF(ISNUMBER(INDEX('My equipment'!$M$4:$M$503,(_calc!$E$824-500))),TEXT(INDEX('My equipment'!$M$4:$M$503,(_calc!$E$824-500)),"yyyy-mm-dd"),"")))</f>
        <v/>
      </c>
      <c r="C822" s="54">
        <f>IF(_calc!$E$824="","",IF(_calc!$E$824&lt;=500,"Warranty","Warranty"))</f>
        <v/>
      </c>
      <c r="D822" s="54">
        <f>IF(_calc!$E$824="","",IF(_calc!$E$824&lt;=500,IF(ISNUMBER(INDEX('Dealer pipeline'!$H$4:$H$503,_calc!$E$824)),TEXT(INDEX('Dealer pipeline'!$H$4:$H$503,_calc!$E$824),"yyyy-mm-dd"),""),IF(ISNUMBER(INDEX('My equipment'!$H$4:$H$503,(_calc!$E$824-500))),TEXT(INDEX('My equipment'!$H$4:$H$503,(_calc!$E$824-500)),"yyyy-mm-dd"),"")))</f>
        <v/>
      </c>
      <c r="F822" s="54">
        <f>IF(_calc!$E$824="","",IF(_calc!$E$824&lt;=500,TRIM(IF(LEN(IF(LEN(INDEX('Dealer pipeline'!$A$4:$A$503,_calc!$E$824))=0,"",INDEX('Dealer pipeline'!$A$4:$A$503,_calc!$E$824)))=0,"","Customer: "&amp;IF(LEN(INDEX('Dealer pipeline'!$A$4:$A$503,_calc!$E$824))=0,"",INDEX('Dealer pipeline'!$A$4:$A$503,_calc!$E$824))&amp;". ")&amp;IF(LEN(IF(LEN(INDEX('Dealer pipeline'!$B$4:$B$503,_calc!$E$824))=0,"",INDEX('Dealer pipeline'!$B$4:$B$503,_calc!$E$824)))=0,"","Contact: "&amp;IF(LEN(INDEX('Dealer pipeline'!$B$4:$B$503,_calc!$E$824))=0,"",INDEX('Dealer pipeline'!$B$4:$B$503,_calc!$E$824))&amp;". ")&amp;IF(LEN(IF(LEN(INDEX('Dealer pipeline'!$D$4:$D$503,_calc!$E$824))=0,"",INDEX('Dealer pipeline'!$D$4:$D$503,_calc!$E$824)))=0,"","Serial: "&amp;IF(LEN(INDEX('Dealer pipeline'!$D$4:$D$503,_calc!$E$824))=0,"",INDEX('Dealer pipeline'!$D$4:$D$503,_calc!$E$824))&amp;". ")&amp;IF(LEN(IF(ISNUMBER(INDEX('Dealer pipeline'!$J$4:$J$503,_calc!$E$824)),TEXT(INDEX('Dealer pipeline'!$J$4:$J$503,_calc!$E$824),"yyyy-mm-dd"),""))=0,"","Parts end: "&amp;IF(ISNUMBER(INDEX('Dealer pipeline'!$J$4:$J$503,_calc!$E$824)),TEXT(INDEX('Dealer pipeline'!$J$4:$J$503,_calc!$E$824),"yyyy-mm-dd"),"")&amp;". ")&amp;IF(LEN(IF(ISNUMBER(INDEX('Dealer pipeline'!$L$4:$L$503,_calc!$E$824)),TEXT(INDEX('Dealer pipeline'!$L$4:$L$503,_calc!$E$824),"yyyy-mm-dd"),""))=0,"","Labor end: "&amp;IF(ISNUMBER(INDEX('Dealer pipeline'!$L$4:$L$503,_calc!$E$824)),TEXT(INDEX('Dealer pipeline'!$L$4:$L$503,_calc!$E$824),"yyyy-mm-dd"),"")&amp;". ")&amp;IF(LEN(IF(LEN(INDEX('Dealer pipeline'!$Q$4:$Q$503,_calc!$E$824))=0,"",INDEX('Dealer pipeline'!$Q$4:$Q$503,_calc!$E$824)))=0,"","Status: "&amp;IF(LEN(INDEX('Dealer pipeline'!$Q$4:$Q$503,_calc!$E$824))=0,"",INDEX('Dealer pipeline'!$Q$4:$Q$503,_calc!$E$824))&amp;". ")&amp;IF(LEN(IF(LEN(INDEX('Dealer pipeline'!$P$4:$P$503,_calc!$E$824))=0,"",INDEX('Dealer pipeline'!$P$4:$P$503,_calc!$E$824)))=0,"","Last touch: "&amp;IF(LEN(INDEX('Dealer pipeline'!$P$4:$P$503,_calc!$E$824))=0,"",INDEX('Dealer pipeline'!$P$4:$P$503,_calc!$E$824))&amp;". ")&amp;IF(LEN(IF(LEN(INDEX('Dealer pipeline'!$R$4:$R$503,_calc!$E$824))=0,"",INDEX('Dealer pipeline'!$R$4:$R$503,_calc!$E$824)))=0,"","Owner: "&amp;IF(LEN(INDEX('Dealer pipeline'!$R$4:$R$503,_calc!$E$824))=0,"",INDEX('Dealer pipeline'!$R$4:$R$503,_calc!$E$824))&amp;". ")&amp;IF(LEN(IF(LEN(INDEX('Dealer pipeline'!$S$4:$S$503,_calc!$E$824))=0,"",INDEX('Dealer pipeline'!$S$4:$S$503,_calc!$E$824)))=0,"","Backup: "&amp;IF(LEN(INDEX('Dealer pipeline'!$S$4:$S$503,_calc!$E$824))=0,"",INDEX('Dealer pipeline'!$S$4:$S$503,_calc!$E$824))&amp;". ")&amp;IF(LEN(IF(LEN(INDEX('Dealer pipeline'!$T$4:$T$503,_calc!$E$824))=0,"",INDEX('Dealer pipeline'!$T$4:$T$503,_calc!$E$824)))=0,"",IF(LEN(INDEX('Dealer pipeline'!$T$4:$T$503,_calc!$E$824))=0,"",INDEX('Dealer pipeline'!$T$4:$T$503,_calc!$E$824)))),TRIM(IF(LEN(IF(LEN(INDEX('My equipment'!$C$4:$C$503,(_calc!$E$824-500)))=0,"",INDEX('My equipment'!$C$4:$C$503,(_calc!$E$824-500))))=0,"","Model: "&amp;IF(LEN(INDEX('My equipment'!$C$4:$C$503,(_calc!$E$824-500)))=0,"",INDEX('My equipment'!$C$4:$C$503,(_calc!$E$824-500)))&amp;". ")&amp;IF(LEN(IF(LEN(INDEX('My equipment'!$D$4:$D$503,(_calc!$E$824-500)))=0,"",INDEX('My equipment'!$D$4:$D$503,(_calc!$E$824-500))))=0,"","Serial: "&amp;IF(LEN(INDEX('My equipment'!$D$4:$D$503,(_calc!$E$824-500)))=0,"",INDEX('My equipment'!$D$4:$D$503,(_calc!$E$824-500)))&amp;". ")&amp;IF(LEN(IF(ISNUMBER(INDEX('My equipment'!$J$4:$J$503,(_calc!$E$824-500))),TEXT(INDEX('My equipment'!$J$4:$J$503,(_calc!$E$824-500)),"yyyy-mm-dd"),""))=0,"","Parts end: "&amp;IF(ISNUMBER(INDEX('My equipment'!$J$4:$J$503,(_calc!$E$824-500))),TEXT(INDEX('My equipment'!$J$4:$J$503,(_calc!$E$824-500)),"yyyy-mm-dd"),"")&amp;". ")&amp;IF(LEN(IF(ISNUMBER(INDEX('My equipment'!$L$4:$L$503,(_calc!$E$824-500))),TEXT(INDEX('My equipment'!$L$4:$L$503,(_calc!$E$824-500)),"yyyy-mm-dd"),""))=0,"","Labor end: "&amp;IF(ISNUMBER(INDEX('My equipment'!$L$4:$L$503,(_calc!$E$824-500))),TEXT(INDEX('My equipment'!$L$4:$L$503,(_calc!$E$824-500)),"yyyy-mm-dd"),"")&amp;". ")&amp;IF(LEN(IF(ISNUMBER(INDEX('My equipment'!$P$4:$P$503,(_calc!$E$824-500))),TEXT(INDEX('My equipment'!$P$4:$P$503,(_calc!$E$824-500)),"yyyy-mm-dd"),""))=0,"","Check by: "&amp;IF(ISNUMBER(INDEX('My equipment'!$P$4:$P$503,(_calc!$E$824-500))),TEXT(INDEX('My equipment'!$P$4:$P$503,(_calc!$E$824-500)),"yyyy-mm-dd"),"")&amp;". ")&amp;IF(LEN(IF(LEN(INDEX('My equipment'!$Q$4:$Q$503,(_calc!$E$824-500)))=0,"",INDEX('My equipment'!$Q$4:$Q$503,(_calc!$E$824-500))))=0,"","Claim status: "&amp;IF(LEN(INDEX('My equipment'!$Q$4:$Q$503,(_calc!$E$824-500)))=0,"",INDEX('My equipment'!$Q$4:$Q$503,(_calc!$E$824-500)))&amp;". ")&amp;IF(LEN(IF(LEN(INDEX('My equipment'!$R$4:$R$503,(_calc!$E$824-500)))=0,"",INDEX('My equipment'!$R$4:$R$503,(_calc!$E$824-500))))=0,"","Claims contact: "&amp;IF(LEN(INDEX('My equipment'!$R$4:$R$503,(_calc!$E$824-500)))=0,"",INDEX('My equipment'!$R$4:$R$503,(_calc!$E$824-500)))&amp;". ")&amp;IF(LEN(IF(LEN(INDEX('My equipment'!$S$4:$S$503,(_calc!$E$824-500)))=0,"",INDEX('My equipment'!$S$4:$S$503,(_calc!$E$824-500))))=0,"","Claims email: "&amp;IF(LEN(INDEX('My equipment'!$S$4:$S$503,(_calc!$E$824-500)))=0,"",INDEX('My equipment'!$S$4:$S$503,(_calc!$E$824-500)))&amp;". ")&amp;IF(LEN(IF(LEN(INDEX('My equipment'!$U$4:$U$503,(_calc!$E$824-500)))=0,"",INDEX('My equipment'!$U$4:$U$503,(_calc!$E$824-500))))=0,"","Registered: "&amp;IF(LEN(INDEX('My equipment'!$U$4:$U$503,(_calc!$E$824-500)))=0,"",INDEX('My equipment'!$U$4:$U$503,(_calc!$E$824-500)))&amp;". ")&amp;IF(LEN(IF(LEN(INDEX('My equipment'!$V$4:$V$503,(_calc!$E$824-500)))=0,"",INDEX('My equipment'!$V$4:$V$503,(_calc!$E$824-500))))=0,"","Proof on file: "&amp;IF(LEN(INDEX('My equipment'!$V$4:$V$503,(_calc!$E$824-500)))=0,"",INDEX('My equipment'!$V$4:$V$503,(_calc!$E$824-500)))&amp;". ")&amp;IF(LEN(IF(LEN(INDEX('My equipment'!$W$4:$W$503,(_calc!$E$824-500)))=0,"",INDEX('My equipment'!$W$4:$W$503,(_calc!$E$824-500))))=0,"","Claim ref: "&amp;IF(LEN(INDEX('My equipment'!$W$4:$W$503,(_calc!$E$824-500)))=0,"",INDEX('My equipment'!$W$4:$W$503,(_calc!$E$824-500)))&amp;". ")&amp;IF(LEN(IF(LEN(INDEX('My equipment'!$Y$4:$Y$503,(_calc!$E$824-500)))=0,"",INDEX('My equipment'!$Y$4:$Y$503,(_calc!$E$824-500))))=0,"",IF(LEN(INDEX('My equipment'!$Y$4:$Y$503,(_calc!$E$824-500)))=0,"",INDEX('My equipment'!$Y$4:$Y$503,(_calc!$E$824-500)))))))</f>
        <v/>
      </c>
      <c r="G822" s="54">
        <f>IF(_calc!$E$824="","",IF(_calc!$E$824&lt;=500,"",IF(LEN(INDEX('My equipment'!$X$4:$X$503,(_calc!$E$824-500)))=0,"",INDEX('My equipment'!$X$4:$X$503,(_calc!$E$824-500)))))</f>
        <v/>
      </c>
      <c r="K822" s="54">
        <f>IF(_calc!$E$824="","",IF(_calc!$E$824&lt;=500,"",IF(LEN(INDEX('My equipment'!$T$4:$T$503,(_calc!$E$824-500)))=0,"",INDEX('My equipment'!$T$4:$T$503,(_calc!$E$824-500)))))</f>
        <v/>
      </c>
    </row>
    <row r="823">
      <c r="A823" s="54">
        <f>IF(_calc!$E$825="","",IF(_calc!$E$825&lt;=500,"Warranty – "&amp;IF(LEN(INDEX('Dealer pipeline'!$C$4:$C$503,_calc!$E$825))=0,"",INDEX('Dealer pipeline'!$C$4:$C$503,_calc!$E$825))&amp;" – "&amp;IF(LEN(INDEX('Dealer pipeline'!$D$4:$D$503,_calc!$E$825))=0,"",INDEX('Dealer pipeline'!$D$4:$D$503,_calc!$E$825))&amp;" – "&amp;IF(LEN(INDEX('Dealer pipeline'!$A$4:$A$503,_calc!$E$825))=0,"",INDEX('Dealer pipeline'!$A$4:$A$503,_calc!$E$825)),"Warranty – "&amp;IF(LEN(INDEX('My equipment'!$A$4:$A$503,(_calc!$E$825-500)))=0,"",INDEX('My equipment'!$A$4:$A$503,(_calc!$E$825-500)))&amp;" – "&amp;IF(LEN(INDEX('My equipment'!$D$4:$D$503,(_calc!$E$825-500)))=0,"",INDEX('My equipment'!$D$4:$D$503,(_calc!$E$825-500)))))</f>
        <v/>
      </c>
      <c r="B823" s="54">
        <f>IF(_calc!$E$825="","",IF(_calc!$E$825&lt;=500,IF(ISNUMBER(INDEX('Dealer pipeline'!$M$4:$M$503,_calc!$E$825)),TEXT(INDEX('Dealer pipeline'!$M$4:$M$503,_calc!$E$825),"yyyy-mm-dd"),""),IF(ISNUMBER(INDEX('My equipment'!$M$4:$M$503,(_calc!$E$825-500))),TEXT(INDEX('My equipment'!$M$4:$M$503,(_calc!$E$825-500)),"yyyy-mm-dd"),"")))</f>
        <v/>
      </c>
      <c r="C823" s="54">
        <f>IF(_calc!$E$825="","",IF(_calc!$E$825&lt;=500,"Warranty","Warranty"))</f>
        <v/>
      </c>
      <c r="D823" s="54">
        <f>IF(_calc!$E$825="","",IF(_calc!$E$825&lt;=500,IF(ISNUMBER(INDEX('Dealer pipeline'!$H$4:$H$503,_calc!$E$825)),TEXT(INDEX('Dealer pipeline'!$H$4:$H$503,_calc!$E$825),"yyyy-mm-dd"),""),IF(ISNUMBER(INDEX('My equipment'!$H$4:$H$503,(_calc!$E$825-500))),TEXT(INDEX('My equipment'!$H$4:$H$503,(_calc!$E$825-500)),"yyyy-mm-dd"),"")))</f>
        <v/>
      </c>
      <c r="F823" s="54">
        <f>IF(_calc!$E$825="","",IF(_calc!$E$825&lt;=500,TRIM(IF(LEN(IF(LEN(INDEX('Dealer pipeline'!$A$4:$A$503,_calc!$E$825))=0,"",INDEX('Dealer pipeline'!$A$4:$A$503,_calc!$E$825)))=0,"","Customer: "&amp;IF(LEN(INDEX('Dealer pipeline'!$A$4:$A$503,_calc!$E$825))=0,"",INDEX('Dealer pipeline'!$A$4:$A$503,_calc!$E$825))&amp;". ")&amp;IF(LEN(IF(LEN(INDEX('Dealer pipeline'!$B$4:$B$503,_calc!$E$825))=0,"",INDEX('Dealer pipeline'!$B$4:$B$503,_calc!$E$825)))=0,"","Contact: "&amp;IF(LEN(INDEX('Dealer pipeline'!$B$4:$B$503,_calc!$E$825))=0,"",INDEX('Dealer pipeline'!$B$4:$B$503,_calc!$E$825))&amp;". ")&amp;IF(LEN(IF(LEN(INDEX('Dealer pipeline'!$D$4:$D$503,_calc!$E$825))=0,"",INDEX('Dealer pipeline'!$D$4:$D$503,_calc!$E$825)))=0,"","Serial: "&amp;IF(LEN(INDEX('Dealer pipeline'!$D$4:$D$503,_calc!$E$825))=0,"",INDEX('Dealer pipeline'!$D$4:$D$503,_calc!$E$825))&amp;". ")&amp;IF(LEN(IF(ISNUMBER(INDEX('Dealer pipeline'!$J$4:$J$503,_calc!$E$825)),TEXT(INDEX('Dealer pipeline'!$J$4:$J$503,_calc!$E$825),"yyyy-mm-dd"),""))=0,"","Parts end: "&amp;IF(ISNUMBER(INDEX('Dealer pipeline'!$J$4:$J$503,_calc!$E$825)),TEXT(INDEX('Dealer pipeline'!$J$4:$J$503,_calc!$E$825),"yyyy-mm-dd"),"")&amp;". ")&amp;IF(LEN(IF(ISNUMBER(INDEX('Dealer pipeline'!$L$4:$L$503,_calc!$E$825)),TEXT(INDEX('Dealer pipeline'!$L$4:$L$503,_calc!$E$825),"yyyy-mm-dd"),""))=0,"","Labor end: "&amp;IF(ISNUMBER(INDEX('Dealer pipeline'!$L$4:$L$503,_calc!$E$825)),TEXT(INDEX('Dealer pipeline'!$L$4:$L$503,_calc!$E$825),"yyyy-mm-dd"),"")&amp;". ")&amp;IF(LEN(IF(LEN(INDEX('Dealer pipeline'!$Q$4:$Q$503,_calc!$E$825))=0,"",INDEX('Dealer pipeline'!$Q$4:$Q$503,_calc!$E$825)))=0,"","Status: "&amp;IF(LEN(INDEX('Dealer pipeline'!$Q$4:$Q$503,_calc!$E$825))=0,"",INDEX('Dealer pipeline'!$Q$4:$Q$503,_calc!$E$825))&amp;". ")&amp;IF(LEN(IF(LEN(INDEX('Dealer pipeline'!$P$4:$P$503,_calc!$E$825))=0,"",INDEX('Dealer pipeline'!$P$4:$P$503,_calc!$E$825)))=0,"","Last touch: "&amp;IF(LEN(INDEX('Dealer pipeline'!$P$4:$P$503,_calc!$E$825))=0,"",INDEX('Dealer pipeline'!$P$4:$P$503,_calc!$E$825))&amp;". ")&amp;IF(LEN(IF(LEN(INDEX('Dealer pipeline'!$R$4:$R$503,_calc!$E$825))=0,"",INDEX('Dealer pipeline'!$R$4:$R$503,_calc!$E$825)))=0,"","Owner: "&amp;IF(LEN(INDEX('Dealer pipeline'!$R$4:$R$503,_calc!$E$825))=0,"",INDEX('Dealer pipeline'!$R$4:$R$503,_calc!$E$825))&amp;". ")&amp;IF(LEN(IF(LEN(INDEX('Dealer pipeline'!$S$4:$S$503,_calc!$E$825))=0,"",INDEX('Dealer pipeline'!$S$4:$S$503,_calc!$E$825)))=0,"","Backup: "&amp;IF(LEN(INDEX('Dealer pipeline'!$S$4:$S$503,_calc!$E$825))=0,"",INDEX('Dealer pipeline'!$S$4:$S$503,_calc!$E$825))&amp;". ")&amp;IF(LEN(IF(LEN(INDEX('Dealer pipeline'!$T$4:$T$503,_calc!$E$825))=0,"",INDEX('Dealer pipeline'!$T$4:$T$503,_calc!$E$825)))=0,"",IF(LEN(INDEX('Dealer pipeline'!$T$4:$T$503,_calc!$E$825))=0,"",INDEX('Dealer pipeline'!$T$4:$T$503,_calc!$E$825)))),TRIM(IF(LEN(IF(LEN(INDEX('My equipment'!$C$4:$C$503,(_calc!$E$825-500)))=0,"",INDEX('My equipment'!$C$4:$C$503,(_calc!$E$825-500))))=0,"","Model: "&amp;IF(LEN(INDEX('My equipment'!$C$4:$C$503,(_calc!$E$825-500)))=0,"",INDEX('My equipment'!$C$4:$C$503,(_calc!$E$825-500)))&amp;". ")&amp;IF(LEN(IF(LEN(INDEX('My equipment'!$D$4:$D$503,(_calc!$E$825-500)))=0,"",INDEX('My equipment'!$D$4:$D$503,(_calc!$E$825-500))))=0,"","Serial: "&amp;IF(LEN(INDEX('My equipment'!$D$4:$D$503,(_calc!$E$825-500)))=0,"",INDEX('My equipment'!$D$4:$D$503,(_calc!$E$825-500)))&amp;". ")&amp;IF(LEN(IF(ISNUMBER(INDEX('My equipment'!$J$4:$J$503,(_calc!$E$825-500))),TEXT(INDEX('My equipment'!$J$4:$J$503,(_calc!$E$825-500)),"yyyy-mm-dd"),""))=0,"","Parts end: "&amp;IF(ISNUMBER(INDEX('My equipment'!$J$4:$J$503,(_calc!$E$825-500))),TEXT(INDEX('My equipment'!$J$4:$J$503,(_calc!$E$825-500)),"yyyy-mm-dd"),"")&amp;". ")&amp;IF(LEN(IF(ISNUMBER(INDEX('My equipment'!$L$4:$L$503,(_calc!$E$825-500))),TEXT(INDEX('My equipment'!$L$4:$L$503,(_calc!$E$825-500)),"yyyy-mm-dd"),""))=0,"","Labor end: "&amp;IF(ISNUMBER(INDEX('My equipment'!$L$4:$L$503,(_calc!$E$825-500))),TEXT(INDEX('My equipment'!$L$4:$L$503,(_calc!$E$825-500)),"yyyy-mm-dd"),"")&amp;". ")&amp;IF(LEN(IF(ISNUMBER(INDEX('My equipment'!$P$4:$P$503,(_calc!$E$825-500))),TEXT(INDEX('My equipment'!$P$4:$P$503,(_calc!$E$825-500)),"yyyy-mm-dd"),""))=0,"","Check by: "&amp;IF(ISNUMBER(INDEX('My equipment'!$P$4:$P$503,(_calc!$E$825-500))),TEXT(INDEX('My equipment'!$P$4:$P$503,(_calc!$E$825-500)),"yyyy-mm-dd"),"")&amp;". ")&amp;IF(LEN(IF(LEN(INDEX('My equipment'!$Q$4:$Q$503,(_calc!$E$825-500)))=0,"",INDEX('My equipment'!$Q$4:$Q$503,(_calc!$E$825-500))))=0,"","Claim status: "&amp;IF(LEN(INDEX('My equipment'!$Q$4:$Q$503,(_calc!$E$825-500)))=0,"",INDEX('My equipment'!$Q$4:$Q$503,(_calc!$E$825-500)))&amp;". ")&amp;IF(LEN(IF(LEN(INDEX('My equipment'!$R$4:$R$503,(_calc!$E$825-500)))=0,"",INDEX('My equipment'!$R$4:$R$503,(_calc!$E$825-500))))=0,"","Claims contact: "&amp;IF(LEN(INDEX('My equipment'!$R$4:$R$503,(_calc!$E$825-500)))=0,"",INDEX('My equipment'!$R$4:$R$503,(_calc!$E$825-500)))&amp;". ")&amp;IF(LEN(IF(LEN(INDEX('My equipment'!$S$4:$S$503,(_calc!$E$825-500)))=0,"",INDEX('My equipment'!$S$4:$S$503,(_calc!$E$825-500))))=0,"","Claims email: "&amp;IF(LEN(INDEX('My equipment'!$S$4:$S$503,(_calc!$E$825-500)))=0,"",INDEX('My equipment'!$S$4:$S$503,(_calc!$E$825-500)))&amp;". ")&amp;IF(LEN(IF(LEN(INDEX('My equipment'!$U$4:$U$503,(_calc!$E$825-500)))=0,"",INDEX('My equipment'!$U$4:$U$503,(_calc!$E$825-500))))=0,"","Registered: "&amp;IF(LEN(INDEX('My equipment'!$U$4:$U$503,(_calc!$E$825-500)))=0,"",INDEX('My equipment'!$U$4:$U$503,(_calc!$E$825-500)))&amp;". ")&amp;IF(LEN(IF(LEN(INDEX('My equipment'!$V$4:$V$503,(_calc!$E$825-500)))=0,"",INDEX('My equipment'!$V$4:$V$503,(_calc!$E$825-500))))=0,"","Proof on file: "&amp;IF(LEN(INDEX('My equipment'!$V$4:$V$503,(_calc!$E$825-500)))=0,"",INDEX('My equipment'!$V$4:$V$503,(_calc!$E$825-500)))&amp;". ")&amp;IF(LEN(IF(LEN(INDEX('My equipment'!$W$4:$W$503,(_calc!$E$825-500)))=0,"",INDEX('My equipment'!$W$4:$W$503,(_calc!$E$825-500))))=0,"","Claim ref: "&amp;IF(LEN(INDEX('My equipment'!$W$4:$W$503,(_calc!$E$825-500)))=0,"",INDEX('My equipment'!$W$4:$W$503,(_calc!$E$825-500)))&amp;". ")&amp;IF(LEN(IF(LEN(INDEX('My equipment'!$Y$4:$Y$503,(_calc!$E$825-500)))=0,"",INDEX('My equipment'!$Y$4:$Y$503,(_calc!$E$825-500))))=0,"",IF(LEN(INDEX('My equipment'!$Y$4:$Y$503,(_calc!$E$825-500)))=0,"",INDEX('My equipment'!$Y$4:$Y$503,(_calc!$E$825-500)))))))</f>
        <v/>
      </c>
      <c r="G823" s="54">
        <f>IF(_calc!$E$825="","",IF(_calc!$E$825&lt;=500,"",IF(LEN(INDEX('My equipment'!$X$4:$X$503,(_calc!$E$825-500)))=0,"",INDEX('My equipment'!$X$4:$X$503,(_calc!$E$825-500)))))</f>
        <v/>
      </c>
      <c r="K823" s="54">
        <f>IF(_calc!$E$825="","",IF(_calc!$E$825&lt;=500,"",IF(LEN(INDEX('My equipment'!$T$4:$T$503,(_calc!$E$825-500)))=0,"",INDEX('My equipment'!$T$4:$T$503,(_calc!$E$825-500)))))</f>
        <v/>
      </c>
    </row>
    <row r="824">
      <c r="A824" s="54">
        <f>IF(_calc!$E$826="","",IF(_calc!$E$826&lt;=500,"Warranty – "&amp;IF(LEN(INDEX('Dealer pipeline'!$C$4:$C$503,_calc!$E$826))=0,"",INDEX('Dealer pipeline'!$C$4:$C$503,_calc!$E$826))&amp;" – "&amp;IF(LEN(INDEX('Dealer pipeline'!$D$4:$D$503,_calc!$E$826))=0,"",INDEX('Dealer pipeline'!$D$4:$D$503,_calc!$E$826))&amp;" – "&amp;IF(LEN(INDEX('Dealer pipeline'!$A$4:$A$503,_calc!$E$826))=0,"",INDEX('Dealer pipeline'!$A$4:$A$503,_calc!$E$826)),"Warranty – "&amp;IF(LEN(INDEX('My equipment'!$A$4:$A$503,(_calc!$E$826-500)))=0,"",INDEX('My equipment'!$A$4:$A$503,(_calc!$E$826-500)))&amp;" – "&amp;IF(LEN(INDEX('My equipment'!$D$4:$D$503,(_calc!$E$826-500)))=0,"",INDEX('My equipment'!$D$4:$D$503,(_calc!$E$826-500)))))</f>
        <v/>
      </c>
      <c r="B824" s="54">
        <f>IF(_calc!$E$826="","",IF(_calc!$E$826&lt;=500,IF(ISNUMBER(INDEX('Dealer pipeline'!$M$4:$M$503,_calc!$E$826)),TEXT(INDEX('Dealer pipeline'!$M$4:$M$503,_calc!$E$826),"yyyy-mm-dd"),""),IF(ISNUMBER(INDEX('My equipment'!$M$4:$M$503,(_calc!$E$826-500))),TEXT(INDEX('My equipment'!$M$4:$M$503,(_calc!$E$826-500)),"yyyy-mm-dd"),"")))</f>
        <v/>
      </c>
      <c r="C824" s="54">
        <f>IF(_calc!$E$826="","",IF(_calc!$E$826&lt;=500,"Warranty","Warranty"))</f>
        <v/>
      </c>
      <c r="D824" s="54">
        <f>IF(_calc!$E$826="","",IF(_calc!$E$826&lt;=500,IF(ISNUMBER(INDEX('Dealer pipeline'!$H$4:$H$503,_calc!$E$826)),TEXT(INDEX('Dealer pipeline'!$H$4:$H$503,_calc!$E$826),"yyyy-mm-dd"),""),IF(ISNUMBER(INDEX('My equipment'!$H$4:$H$503,(_calc!$E$826-500))),TEXT(INDEX('My equipment'!$H$4:$H$503,(_calc!$E$826-500)),"yyyy-mm-dd"),"")))</f>
        <v/>
      </c>
      <c r="F824" s="54">
        <f>IF(_calc!$E$826="","",IF(_calc!$E$826&lt;=500,TRIM(IF(LEN(IF(LEN(INDEX('Dealer pipeline'!$A$4:$A$503,_calc!$E$826))=0,"",INDEX('Dealer pipeline'!$A$4:$A$503,_calc!$E$826)))=0,"","Customer: "&amp;IF(LEN(INDEX('Dealer pipeline'!$A$4:$A$503,_calc!$E$826))=0,"",INDEX('Dealer pipeline'!$A$4:$A$503,_calc!$E$826))&amp;". ")&amp;IF(LEN(IF(LEN(INDEX('Dealer pipeline'!$B$4:$B$503,_calc!$E$826))=0,"",INDEX('Dealer pipeline'!$B$4:$B$503,_calc!$E$826)))=0,"","Contact: "&amp;IF(LEN(INDEX('Dealer pipeline'!$B$4:$B$503,_calc!$E$826))=0,"",INDEX('Dealer pipeline'!$B$4:$B$503,_calc!$E$826))&amp;". ")&amp;IF(LEN(IF(LEN(INDEX('Dealer pipeline'!$D$4:$D$503,_calc!$E$826))=0,"",INDEX('Dealer pipeline'!$D$4:$D$503,_calc!$E$826)))=0,"","Serial: "&amp;IF(LEN(INDEX('Dealer pipeline'!$D$4:$D$503,_calc!$E$826))=0,"",INDEX('Dealer pipeline'!$D$4:$D$503,_calc!$E$826))&amp;". ")&amp;IF(LEN(IF(ISNUMBER(INDEX('Dealer pipeline'!$J$4:$J$503,_calc!$E$826)),TEXT(INDEX('Dealer pipeline'!$J$4:$J$503,_calc!$E$826),"yyyy-mm-dd"),""))=0,"","Parts end: "&amp;IF(ISNUMBER(INDEX('Dealer pipeline'!$J$4:$J$503,_calc!$E$826)),TEXT(INDEX('Dealer pipeline'!$J$4:$J$503,_calc!$E$826),"yyyy-mm-dd"),"")&amp;". ")&amp;IF(LEN(IF(ISNUMBER(INDEX('Dealer pipeline'!$L$4:$L$503,_calc!$E$826)),TEXT(INDEX('Dealer pipeline'!$L$4:$L$503,_calc!$E$826),"yyyy-mm-dd"),""))=0,"","Labor end: "&amp;IF(ISNUMBER(INDEX('Dealer pipeline'!$L$4:$L$503,_calc!$E$826)),TEXT(INDEX('Dealer pipeline'!$L$4:$L$503,_calc!$E$826),"yyyy-mm-dd"),"")&amp;". ")&amp;IF(LEN(IF(LEN(INDEX('Dealer pipeline'!$Q$4:$Q$503,_calc!$E$826))=0,"",INDEX('Dealer pipeline'!$Q$4:$Q$503,_calc!$E$826)))=0,"","Status: "&amp;IF(LEN(INDEX('Dealer pipeline'!$Q$4:$Q$503,_calc!$E$826))=0,"",INDEX('Dealer pipeline'!$Q$4:$Q$503,_calc!$E$826))&amp;". ")&amp;IF(LEN(IF(LEN(INDEX('Dealer pipeline'!$P$4:$P$503,_calc!$E$826))=0,"",INDEX('Dealer pipeline'!$P$4:$P$503,_calc!$E$826)))=0,"","Last touch: "&amp;IF(LEN(INDEX('Dealer pipeline'!$P$4:$P$503,_calc!$E$826))=0,"",INDEX('Dealer pipeline'!$P$4:$P$503,_calc!$E$826))&amp;". ")&amp;IF(LEN(IF(LEN(INDEX('Dealer pipeline'!$R$4:$R$503,_calc!$E$826))=0,"",INDEX('Dealer pipeline'!$R$4:$R$503,_calc!$E$826)))=0,"","Owner: "&amp;IF(LEN(INDEX('Dealer pipeline'!$R$4:$R$503,_calc!$E$826))=0,"",INDEX('Dealer pipeline'!$R$4:$R$503,_calc!$E$826))&amp;". ")&amp;IF(LEN(IF(LEN(INDEX('Dealer pipeline'!$S$4:$S$503,_calc!$E$826))=0,"",INDEX('Dealer pipeline'!$S$4:$S$503,_calc!$E$826)))=0,"","Backup: "&amp;IF(LEN(INDEX('Dealer pipeline'!$S$4:$S$503,_calc!$E$826))=0,"",INDEX('Dealer pipeline'!$S$4:$S$503,_calc!$E$826))&amp;". ")&amp;IF(LEN(IF(LEN(INDEX('Dealer pipeline'!$T$4:$T$503,_calc!$E$826))=0,"",INDEX('Dealer pipeline'!$T$4:$T$503,_calc!$E$826)))=0,"",IF(LEN(INDEX('Dealer pipeline'!$T$4:$T$503,_calc!$E$826))=0,"",INDEX('Dealer pipeline'!$T$4:$T$503,_calc!$E$826)))),TRIM(IF(LEN(IF(LEN(INDEX('My equipment'!$C$4:$C$503,(_calc!$E$826-500)))=0,"",INDEX('My equipment'!$C$4:$C$503,(_calc!$E$826-500))))=0,"","Model: "&amp;IF(LEN(INDEX('My equipment'!$C$4:$C$503,(_calc!$E$826-500)))=0,"",INDEX('My equipment'!$C$4:$C$503,(_calc!$E$826-500)))&amp;". ")&amp;IF(LEN(IF(LEN(INDEX('My equipment'!$D$4:$D$503,(_calc!$E$826-500)))=0,"",INDEX('My equipment'!$D$4:$D$503,(_calc!$E$826-500))))=0,"","Serial: "&amp;IF(LEN(INDEX('My equipment'!$D$4:$D$503,(_calc!$E$826-500)))=0,"",INDEX('My equipment'!$D$4:$D$503,(_calc!$E$826-500)))&amp;". ")&amp;IF(LEN(IF(ISNUMBER(INDEX('My equipment'!$J$4:$J$503,(_calc!$E$826-500))),TEXT(INDEX('My equipment'!$J$4:$J$503,(_calc!$E$826-500)),"yyyy-mm-dd"),""))=0,"","Parts end: "&amp;IF(ISNUMBER(INDEX('My equipment'!$J$4:$J$503,(_calc!$E$826-500))),TEXT(INDEX('My equipment'!$J$4:$J$503,(_calc!$E$826-500)),"yyyy-mm-dd"),"")&amp;". ")&amp;IF(LEN(IF(ISNUMBER(INDEX('My equipment'!$L$4:$L$503,(_calc!$E$826-500))),TEXT(INDEX('My equipment'!$L$4:$L$503,(_calc!$E$826-500)),"yyyy-mm-dd"),""))=0,"","Labor end: "&amp;IF(ISNUMBER(INDEX('My equipment'!$L$4:$L$503,(_calc!$E$826-500))),TEXT(INDEX('My equipment'!$L$4:$L$503,(_calc!$E$826-500)),"yyyy-mm-dd"),"")&amp;". ")&amp;IF(LEN(IF(ISNUMBER(INDEX('My equipment'!$P$4:$P$503,(_calc!$E$826-500))),TEXT(INDEX('My equipment'!$P$4:$P$503,(_calc!$E$826-500)),"yyyy-mm-dd"),""))=0,"","Check by: "&amp;IF(ISNUMBER(INDEX('My equipment'!$P$4:$P$503,(_calc!$E$826-500))),TEXT(INDEX('My equipment'!$P$4:$P$503,(_calc!$E$826-500)),"yyyy-mm-dd"),"")&amp;". ")&amp;IF(LEN(IF(LEN(INDEX('My equipment'!$Q$4:$Q$503,(_calc!$E$826-500)))=0,"",INDEX('My equipment'!$Q$4:$Q$503,(_calc!$E$826-500))))=0,"","Claim status: "&amp;IF(LEN(INDEX('My equipment'!$Q$4:$Q$503,(_calc!$E$826-500)))=0,"",INDEX('My equipment'!$Q$4:$Q$503,(_calc!$E$826-500)))&amp;". ")&amp;IF(LEN(IF(LEN(INDEX('My equipment'!$R$4:$R$503,(_calc!$E$826-500)))=0,"",INDEX('My equipment'!$R$4:$R$503,(_calc!$E$826-500))))=0,"","Claims contact: "&amp;IF(LEN(INDEX('My equipment'!$R$4:$R$503,(_calc!$E$826-500)))=0,"",INDEX('My equipment'!$R$4:$R$503,(_calc!$E$826-500)))&amp;". ")&amp;IF(LEN(IF(LEN(INDEX('My equipment'!$S$4:$S$503,(_calc!$E$826-500)))=0,"",INDEX('My equipment'!$S$4:$S$503,(_calc!$E$826-500))))=0,"","Claims email: "&amp;IF(LEN(INDEX('My equipment'!$S$4:$S$503,(_calc!$E$826-500)))=0,"",INDEX('My equipment'!$S$4:$S$503,(_calc!$E$826-500)))&amp;". ")&amp;IF(LEN(IF(LEN(INDEX('My equipment'!$U$4:$U$503,(_calc!$E$826-500)))=0,"",INDEX('My equipment'!$U$4:$U$503,(_calc!$E$826-500))))=0,"","Registered: "&amp;IF(LEN(INDEX('My equipment'!$U$4:$U$503,(_calc!$E$826-500)))=0,"",INDEX('My equipment'!$U$4:$U$503,(_calc!$E$826-500)))&amp;". ")&amp;IF(LEN(IF(LEN(INDEX('My equipment'!$V$4:$V$503,(_calc!$E$826-500)))=0,"",INDEX('My equipment'!$V$4:$V$503,(_calc!$E$826-500))))=0,"","Proof on file: "&amp;IF(LEN(INDEX('My equipment'!$V$4:$V$503,(_calc!$E$826-500)))=0,"",INDEX('My equipment'!$V$4:$V$503,(_calc!$E$826-500)))&amp;". ")&amp;IF(LEN(IF(LEN(INDEX('My equipment'!$W$4:$W$503,(_calc!$E$826-500)))=0,"",INDEX('My equipment'!$W$4:$W$503,(_calc!$E$826-500))))=0,"","Claim ref: "&amp;IF(LEN(INDEX('My equipment'!$W$4:$W$503,(_calc!$E$826-500)))=0,"",INDEX('My equipment'!$W$4:$W$503,(_calc!$E$826-500)))&amp;". ")&amp;IF(LEN(IF(LEN(INDEX('My equipment'!$Y$4:$Y$503,(_calc!$E$826-500)))=0,"",INDEX('My equipment'!$Y$4:$Y$503,(_calc!$E$826-500))))=0,"",IF(LEN(INDEX('My equipment'!$Y$4:$Y$503,(_calc!$E$826-500)))=0,"",INDEX('My equipment'!$Y$4:$Y$503,(_calc!$E$826-500)))))))</f>
        <v/>
      </c>
      <c r="G824" s="54">
        <f>IF(_calc!$E$826="","",IF(_calc!$E$826&lt;=500,"",IF(LEN(INDEX('My equipment'!$X$4:$X$503,(_calc!$E$826-500)))=0,"",INDEX('My equipment'!$X$4:$X$503,(_calc!$E$826-500)))))</f>
        <v/>
      </c>
      <c r="K824" s="54">
        <f>IF(_calc!$E$826="","",IF(_calc!$E$826&lt;=500,"",IF(LEN(INDEX('My equipment'!$T$4:$T$503,(_calc!$E$826-500)))=0,"",INDEX('My equipment'!$T$4:$T$503,(_calc!$E$826-500)))))</f>
        <v/>
      </c>
    </row>
    <row r="825">
      <c r="A825" s="54">
        <f>IF(_calc!$E$827="","",IF(_calc!$E$827&lt;=500,"Warranty – "&amp;IF(LEN(INDEX('Dealer pipeline'!$C$4:$C$503,_calc!$E$827))=0,"",INDEX('Dealer pipeline'!$C$4:$C$503,_calc!$E$827))&amp;" – "&amp;IF(LEN(INDEX('Dealer pipeline'!$D$4:$D$503,_calc!$E$827))=0,"",INDEX('Dealer pipeline'!$D$4:$D$503,_calc!$E$827))&amp;" – "&amp;IF(LEN(INDEX('Dealer pipeline'!$A$4:$A$503,_calc!$E$827))=0,"",INDEX('Dealer pipeline'!$A$4:$A$503,_calc!$E$827)),"Warranty – "&amp;IF(LEN(INDEX('My equipment'!$A$4:$A$503,(_calc!$E$827-500)))=0,"",INDEX('My equipment'!$A$4:$A$503,(_calc!$E$827-500)))&amp;" – "&amp;IF(LEN(INDEX('My equipment'!$D$4:$D$503,(_calc!$E$827-500)))=0,"",INDEX('My equipment'!$D$4:$D$503,(_calc!$E$827-500)))))</f>
        <v/>
      </c>
      <c r="B825" s="54">
        <f>IF(_calc!$E$827="","",IF(_calc!$E$827&lt;=500,IF(ISNUMBER(INDEX('Dealer pipeline'!$M$4:$M$503,_calc!$E$827)),TEXT(INDEX('Dealer pipeline'!$M$4:$M$503,_calc!$E$827),"yyyy-mm-dd"),""),IF(ISNUMBER(INDEX('My equipment'!$M$4:$M$503,(_calc!$E$827-500))),TEXT(INDEX('My equipment'!$M$4:$M$503,(_calc!$E$827-500)),"yyyy-mm-dd"),"")))</f>
        <v/>
      </c>
      <c r="C825" s="54">
        <f>IF(_calc!$E$827="","",IF(_calc!$E$827&lt;=500,"Warranty","Warranty"))</f>
        <v/>
      </c>
      <c r="D825" s="54">
        <f>IF(_calc!$E$827="","",IF(_calc!$E$827&lt;=500,IF(ISNUMBER(INDEX('Dealer pipeline'!$H$4:$H$503,_calc!$E$827)),TEXT(INDEX('Dealer pipeline'!$H$4:$H$503,_calc!$E$827),"yyyy-mm-dd"),""),IF(ISNUMBER(INDEX('My equipment'!$H$4:$H$503,(_calc!$E$827-500))),TEXT(INDEX('My equipment'!$H$4:$H$503,(_calc!$E$827-500)),"yyyy-mm-dd"),"")))</f>
        <v/>
      </c>
      <c r="F825" s="54">
        <f>IF(_calc!$E$827="","",IF(_calc!$E$827&lt;=500,TRIM(IF(LEN(IF(LEN(INDEX('Dealer pipeline'!$A$4:$A$503,_calc!$E$827))=0,"",INDEX('Dealer pipeline'!$A$4:$A$503,_calc!$E$827)))=0,"","Customer: "&amp;IF(LEN(INDEX('Dealer pipeline'!$A$4:$A$503,_calc!$E$827))=0,"",INDEX('Dealer pipeline'!$A$4:$A$503,_calc!$E$827))&amp;". ")&amp;IF(LEN(IF(LEN(INDEX('Dealer pipeline'!$B$4:$B$503,_calc!$E$827))=0,"",INDEX('Dealer pipeline'!$B$4:$B$503,_calc!$E$827)))=0,"","Contact: "&amp;IF(LEN(INDEX('Dealer pipeline'!$B$4:$B$503,_calc!$E$827))=0,"",INDEX('Dealer pipeline'!$B$4:$B$503,_calc!$E$827))&amp;". ")&amp;IF(LEN(IF(LEN(INDEX('Dealer pipeline'!$D$4:$D$503,_calc!$E$827))=0,"",INDEX('Dealer pipeline'!$D$4:$D$503,_calc!$E$827)))=0,"","Serial: "&amp;IF(LEN(INDEX('Dealer pipeline'!$D$4:$D$503,_calc!$E$827))=0,"",INDEX('Dealer pipeline'!$D$4:$D$503,_calc!$E$827))&amp;". ")&amp;IF(LEN(IF(ISNUMBER(INDEX('Dealer pipeline'!$J$4:$J$503,_calc!$E$827)),TEXT(INDEX('Dealer pipeline'!$J$4:$J$503,_calc!$E$827),"yyyy-mm-dd"),""))=0,"","Parts end: "&amp;IF(ISNUMBER(INDEX('Dealer pipeline'!$J$4:$J$503,_calc!$E$827)),TEXT(INDEX('Dealer pipeline'!$J$4:$J$503,_calc!$E$827),"yyyy-mm-dd"),"")&amp;". ")&amp;IF(LEN(IF(ISNUMBER(INDEX('Dealer pipeline'!$L$4:$L$503,_calc!$E$827)),TEXT(INDEX('Dealer pipeline'!$L$4:$L$503,_calc!$E$827),"yyyy-mm-dd"),""))=0,"","Labor end: "&amp;IF(ISNUMBER(INDEX('Dealer pipeline'!$L$4:$L$503,_calc!$E$827)),TEXT(INDEX('Dealer pipeline'!$L$4:$L$503,_calc!$E$827),"yyyy-mm-dd"),"")&amp;". ")&amp;IF(LEN(IF(LEN(INDEX('Dealer pipeline'!$Q$4:$Q$503,_calc!$E$827))=0,"",INDEX('Dealer pipeline'!$Q$4:$Q$503,_calc!$E$827)))=0,"","Status: "&amp;IF(LEN(INDEX('Dealer pipeline'!$Q$4:$Q$503,_calc!$E$827))=0,"",INDEX('Dealer pipeline'!$Q$4:$Q$503,_calc!$E$827))&amp;". ")&amp;IF(LEN(IF(LEN(INDEX('Dealer pipeline'!$P$4:$P$503,_calc!$E$827))=0,"",INDEX('Dealer pipeline'!$P$4:$P$503,_calc!$E$827)))=0,"","Last touch: "&amp;IF(LEN(INDEX('Dealer pipeline'!$P$4:$P$503,_calc!$E$827))=0,"",INDEX('Dealer pipeline'!$P$4:$P$503,_calc!$E$827))&amp;". ")&amp;IF(LEN(IF(LEN(INDEX('Dealer pipeline'!$R$4:$R$503,_calc!$E$827))=0,"",INDEX('Dealer pipeline'!$R$4:$R$503,_calc!$E$827)))=0,"","Owner: "&amp;IF(LEN(INDEX('Dealer pipeline'!$R$4:$R$503,_calc!$E$827))=0,"",INDEX('Dealer pipeline'!$R$4:$R$503,_calc!$E$827))&amp;". ")&amp;IF(LEN(IF(LEN(INDEX('Dealer pipeline'!$S$4:$S$503,_calc!$E$827))=0,"",INDEX('Dealer pipeline'!$S$4:$S$503,_calc!$E$827)))=0,"","Backup: "&amp;IF(LEN(INDEX('Dealer pipeline'!$S$4:$S$503,_calc!$E$827))=0,"",INDEX('Dealer pipeline'!$S$4:$S$503,_calc!$E$827))&amp;". ")&amp;IF(LEN(IF(LEN(INDEX('Dealer pipeline'!$T$4:$T$503,_calc!$E$827))=0,"",INDEX('Dealer pipeline'!$T$4:$T$503,_calc!$E$827)))=0,"",IF(LEN(INDEX('Dealer pipeline'!$T$4:$T$503,_calc!$E$827))=0,"",INDEX('Dealer pipeline'!$T$4:$T$503,_calc!$E$827)))),TRIM(IF(LEN(IF(LEN(INDEX('My equipment'!$C$4:$C$503,(_calc!$E$827-500)))=0,"",INDEX('My equipment'!$C$4:$C$503,(_calc!$E$827-500))))=0,"","Model: "&amp;IF(LEN(INDEX('My equipment'!$C$4:$C$503,(_calc!$E$827-500)))=0,"",INDEX('My equipment'!$C$4:$C$503,(_calc!$E$827-500)))&amp;". ")&amp;IF(LEN(IF(LEN(INDEX('My equipment'!$D$4:$D$503,(_calc!$E$827-500)))=0,"",INDEX('My equipment'!$D$4:$D$503,(_calc!$E$827-500))))=0,"","Serial: "&amp;IF(LEN(INDEX('My equipment'!$D$4:$D$503,(_calc!$E$827-500)))=0,"",INDEX('My equipment'!$D$4:$D$503,(_calc!$E$827-500)))&amp;". ")&amp;IF(LEN(IF(ISNUMBER(INDEX('My equipment'!$J$4:$J$503,(_calc!$E$827-500))),TEXT(INDEX('My equipment'!$J$4:$J$503,(_calc!$E$827-500)),"yyyy-mm-dd"),""))=0,"","Parts end: "&amp;IF(ISNUMBER(INDEX('My equipment'!$J$4:$J$503,(_calc!$E$827-500))),TEXT(INDEX('My equipment'!$J$4:$J$503,(_calc!$E$827-500)),"yyyy-mm-dd"),"")&amp;". ")&amp;IF(LEN(IF(ISNUMBER(INDEX('My equipment'!$L$4:$L$503,(_calc!$E$827-500))),TEXT(INDEX('My equipment'!$L$4:$L$503,(_calc!$E$827-500)),"yyyy-mm-dd"),""))=0,"","Labor end: "&amp;IF(ISNUMBER(INDEX('My equipment'!$L$4:$L$503,(_calc!$E$827-500))),TEXT(INDEX('My equipment'!$L$4:$L$503,(_calc!$E$827-500)),"yyyy-mm-dd"),"")&amp;". ")&amp;IF(LEN(IF(ISNUMBER(INDEX('My equipment'!$P$4:$P$503,(_calc!$E$827-500))),TEXT(INDEX('My equipment'!$P$4:$P$503,(_calc!$E$827-500)),"yyyy-mm-dd"),""))=0,"","Check by: "&amp;IF(ISNUMBER(INDEX('My equipment'!$P$4:$P$503,(_calc!$E$827-500))),TEXT(INDEX('My equipment'!$P$4:$P$503,(_calc!$E$827-500)),"yyyy-mm-dd"),"")&amp;". ")&amp;IF(LEN(IF(LEN(INDEX('My equipment'!$Q$4:$Q$503,(_calc!$E$827-500)))=0,"",INDEX('My equipment'!$Q$4:$Q$503,(_calc!$E$827-500))))=0,"","Claim status: "&amp;IF(LEN(INDEX('My equipment'!$Q$4:$Q$503,(_calc!$E$827-500)))=0,"",INDEX('My equipment'!$Q$4:$Q$503,(_calc!$E$827-500)))&amp;". ")&amp;IF(LEN(IF(LEN(INDEX('My equipment'!$R$4:$R$503,(_calc!$E$827-500)))=0,"",INDEX('My equipment'!$R$4:$R$503,(_calc!$E$827-500))))=0,"","Claims contact: "&amp;IF(LEN(INDEX('My equipment'!$R$4:$R$503,(_calc!$E$827-500)))=0,"",INDEX('My equipment'!$R$4:$R$503,(_calc!$E$827-500)))&amp;". ")&amp;IF(LEN(IF(LEN(INDEX('My equipment'!$S$4:$S$503,(_calc!$E$827-500)))=0,"",INDEX('My equipment'!$S$4:$S$503,(_calc!$E$827-500))))=0,"","Claims email: "&amp;IF(LEN(INDEX('My equipment'!$S$4:$S$503,(_calc!$E$827-500)))=0,"",INDEX('My equipment'!$S$4:$S$503,(_calc!$E$827-500)))&amp;". ")&amp;IF(LEN(IF(LEN(INDEX('My equipment'!$U$4:$U$503,(_calc!$E$827-500)))=0,"",INDEX('My equipment'!$U$4:$U$503,(_calc!$E$827-500))))=0,"","Registered: "&amp;IF(LEN(INDEX('My equipment'!$U$4:$U$503,(_calc!$E$827-500)))=0,"",INDEX('My equipment'!$U$4:$U$503,(_calc!$E$827-500)))&amp;". ")&amp;IF(LEN(IF(LEN(INDEX('My equipment'!$V$4:$V$503,(_calc!$E$827-500)))=0,"",INDEX('My equipment'!$V$4:$V$503,(_calc!$E$827-500))))=0,"","Proof on file: "&amp;IF(LEN(INDEX('My equipment'!$V$4:$V$503,(_calc!$E$827-500)))=0,"",INDEX('My equipment'!$V$4:$V$503,(_calc!$E$827-500)))&amp;". ")&amp;IF(LEN(IF(LEN(INDEX('My equipment'!$W$4:$W$503,(_calc!$E$827-500)))=0,"",INDEX('My equipment'!$W$4:$W$503,(_calc!$E$827-500))))=0,"","Claim ref: "&amp;IF(LEN(INDEX('My equipment'!$W$4:$W$503,(_calc!$E$827-500)))=0,"",INDEX('My equipment'!$W$4:$W$503,(_calc!$E$827-500)))&amp;". ")&amp;IF(LEN(IF(LEN(INDEX('My equipment'!$Y$4:$Y$503,(_calc!$E$827-500)))=0,"",INDEX('My equipment'!$Y$4:$Y$503,(_calc!$E$827-500))))=0,"",IF(LEN(INDEX('My equipment'!$Y$4:$Y$503,(_calc!$E$827-500)))=0,"",INDEX('My equipment'!$Y$4:$Y$503,(_calc!$E$827-500)))))))</f>
        <v/>
      </c>
      <c r="G825" s="54">
        <f>IF(_calc!$E$827="","",IF(_calc!$E$827&lt;=500,"",IF(LEN(INDEX('My equipment'!$X$4:$X$503,(_calc!$E$827-500)))=0,"",INDEX('My equipment'!$X$4:$X$503,(_calc!$E$827-500)))))</f>
        <v/>
      </c>
      <c r="K825" s="54">
        <f>IF(_calc!$E$827="","",IF(_calc!$E$827&lt;=500,"",IF(LEN(INDEX('My equipment'!$T$4:$T$503,(_calc!$E$827-500)))=0,"",INDEX('My equipment'!$T$4:$T$503,(_calc!$E$827-500)))))</f>
        <v/>
      </c>
    </row>
    <row r="826">
      <c r="A826" s="54">
        <f>IF(_calc!$E$828="","",IF(_calc!$E$828&lt;=500,"Warranty – "&amp;IF(LEN(INDEX('Dealer pipeline'!$C$4:$C$503,_calc!$E$828))=0,"",INDEX('Dealer pipeline'!$C$4:$C$503,_calc!$E$828))&amp;" – "&amp;IF(LEN(INDEX('Dealer pipeline'!$D$4:$D$503,_calc!$E$828))=0,"",INDEX('Dealer pipeline'!$D$4:$D$503,_calc!$E$828))&amp;" – "&amp;IF(LEN(INDEX('Dealer pipeline'!$A$4:$A$503,_calc!$E$828))=0,"",INDEX('Dealer pipeline'!$A$4:$A$503,_calc!$E$828)),"Warranty – "&amp;IF(LEN(INDEX('My equipment'!$A$4:$A$503,(_calc!$E$828-500)))=0,"",INDEX('My equipment'!$A$4:$A$503,(_calc!$E$828-500)))&amp;" – "&amp;IF(LEN(INDEX('My equipment'!$D$4:$D$503,(_calc!$E$828-500)))=0,"",INDEX('My equipment'!$D$4:$D$503,(_calc!$E$828-500)))))</f>
        <v/>
      </c>
      <c r="B826" s="54">
        <f>IF(_calc!$E$828="","",IF(_calc!$E$828&lt;=500,IF(ISNUMBER(INDEX('Dealer pipeline'!$M$4:$M$503,_calc!$E$828)),TEXT(INDEX('Dealer pipeline'!$M$4:$M$503,_calc!$E$828),"yyyy-mm-dd"),""),IF(ISNUMBER(INDEX('My equipment'!$M$4:$M$503,(_calc!$E$828-500))),TEXT(INDEX('My equipment'!$M$4:$M$503,(_calc!$E$828-500)),"yyyy-mm-dd"),"")))</f>
        <v/>
      </c>
      <c r="C826" s="54">
        <f>IF(_calc!$E$828="","",IF(_calc!$E$828&lt;=500,"Warranty","Warranty"))</f>
        <v/>
      </c>
      <c r="D826" s="54">
        <f>IF(_calc!$E$828="","",IF(_calc!$E$828&lt;=500,IF(ISNUMBER(INDEX('Dealer pipeline'!$H$4:$H$503,_calc!$E$828)),TEXT(INDEX('Dealer pipeline'!$H$4:$H$503,_calc!$E$828),"yyyy-mm-dd"),""),IF(ISNUMBER(INDEX('My equipment'!$H$4:$H$503,(_calc!$E$828-500))),TEXT(INDEX('My equipment'!$H$4:$H$503,(_calc!$E$828-500)),"yyyy-mm-dd"),"")))</f>
        <v/>
      </c>
      <c r="F826" s="54">
        <f>IF(_calc!$E$828="","",IF(_calc!$E$828&lt;=500,TRIM(IF(LEN(IF(LEN(INDEX('Dealer pipeline'!$A$4:$A$503,_calc!$E$828))=0,"",INDEX('Dealer pipeline'!$A$4:$A$503,_calc!$E$828)))=0,"","Customer: "&amp;IF(LEN(INDEX('Dealer pipeline'!$A$4:$A$503,_calc!$E$828))=0,"",INDEX('Dealer pipeline'!$A$4:$A$503,_calc!$E$828))&amp;". ")&amp;IF(LEN(IF(LEN(INDEX('Dealer pipeline'!$B$4:$B$503,_calc!$E$828))=0,"",INDEX('Dealer pipeline'!$B$4:$B$503,_calc!$E$828)))=0,"","Contact: "&amp;IF(LEN(INDEX('Dealer pipeline'!$B$4:$B$503,_calc!$E$828))=0,"",INDEX('Dealer pipeline'!$B$4:$B$503,_calc!$E$828))&amp;". ")&amp;IF(LEN(IF(LEN(INDEX('Dealer pipeline'!$D$4:$D$503,_calc!$E$828))=0,"",INDEX('Dealer pipeline'!$D$4:$D$503,_calc!$E$828)))=0,"","Serial: "&amp;IF(LEN(INDEX('Dealer pipeline'!$D$4:$D$503,_calc!$E$828))=0,"",INDEX('Dealer pipeline'!$D$4:$D$503,_calc!$E$828))&amp;". ")&amp;IF(LEN(IF(ISNUMBER(INDEX('Dealer pipeline'!$J$4:$J$503,_calc!$E$828)),TEXT(INDEX('Dealer pipeline'!$J$4:$J$503,_calc!$E$828),"yyyy-mm-dd"),""))=0,"","Parts end: "&amp;IF(ISNUMBER(INDEX('Dealer pipeline'!$J$4:$J$503,_calc!$E$828)),TEXT(INDEX('Dealer pipeline'!$J$4:$J$503,_calc!$E$828),"yyyy-mm-dd"),"")&amp;". ")&amp;IF(LEN(IF(ISNUMBER(INDEX('Dealer pipeline'!$L$4:$L$503,_calc!$E$828)),TEXT(INDEX('Dealer pipeline'!$L$4:$L$503,_calc!$E$828),"yyyy-mm-dd"),""))=0,"","Labor end: "&amp;IF(ISNUMBER(INDEX('Dealer pipeline'!$L$4:$L$503,_calc!$E$828)),TEXT(INDEX('Dealer pipeline'!$L$4:$L$503,_calc!$E$828),"yyyy-mm-dd"),"")&amp;". ")&amp;IF(LEN(IF(LEN(INDEX('Dealer pipeline'!$Q$4:$Q$503,_calc!$E$828))=0,"",INDEX('Dealer pipeline'!$Q$4:$Q$503,_calc!$E$828)))=0,"","Status: "&amp;IF(LEN(INDEX('Dealer pipeline'!$Q$4:$Q$503,_calc!$E$828))=0,"",INDEX('Dealer pipeline'!$Q$4:$Q$503,_calc!$E$828))&amp;". ")&amp;IF(LEN(IF(LEN(INDEX('Dealer pipeline'!$P$4:$P$503,_calc!$E$828))=0,"",INDEX('Dealer pipeline'!$P$4:$P$503,_calc!$E$828)))=0,"","Last touch: "&amp;IF(LEN(INDEX('Dealer pipeline'!$P$4:$P$503,_calc!$E$828))=0,"",INDEX('Dealer pipeline'!$P$4:$P$503,_calc!$E$828))&amp;". ")&amp;IF(LEN(IF(LEN(INDEX('Dealer pipeline'!$R$4:$R$503,_calc!$E$828))=0,"",INDEX('Dealer pipeline'!$R$4:$R$503,_calc!$E$828)))=0,"","Owner: "&amp;IF(LEN(INDEX('Dealer pipeline'!$R$4:$R$503,_calc!$E$828))=0,"",INDEX('Dealer pipeline'!$R$4:$R$503,_calc!$E$828))&amp;". ")&amp;IF(LEN(IF(LEN(INDEX('Dealer pipeline'!$S$4:$S$503,_calc!$E$828))=0,"",INDEX('Dealer pipeline'!$S$4:$S$503,_calc!$E$828)))=0,"","Backup: "&amp;IF(LEN(INDEX('Dealer pipeline'!$S$4:$S$503,_calc!$E$828))=0,"",INDEX('Dealer pipeline'!$S$4:$S$503,_calc!$E$828))&amp;". ")&amp;IF(LEN(IF(LEN(INDEX('Dealer pipeline'!$T$4:$T$503,_calc!$E$828))=0,"",INDEX('Dealer pipeline'!$T$4:$T$503,_calc!$E$828)))=0,"",IF(LEN(INDEX('Dealer pipeline'!$T$4:$T$503,_calc!$E$828))=0,"",INDEX('Dealer pipeline'!$T$4:$T$503,_calc!$E$828)))),TRIM(IF(LEN(IF(LEN(INDEX('My equipment'!$C$4:$C$503,(_calc!$E$828-500)))=0,"",INDEX('My equipment'!$C$4:$C$503,(_calc!$E$828-500))))=0,"","Model: "&amp;IF(LEN(INDEX('My equipment'!$C$4:$C$503,(_calc!$E$828-500)))=0,"",INDEX('My equipment'!$C$4:$C$503,(_calc!$E$828-500)))&amp;". ")&amp;IF(LEN(IF(LEN(INDEX('My equipment'!$D$4:$D$503,(_calc!$E$828-500)))=0,"",INDEX('My equipment'!$D$4:$D$503,(_calc!$E$828-500))))=0,"","Serial: "&amp;IF(LEN(INDEX('My equipment'!$D$4:$D$503,(_calc!$E$828-500)))=0,"",INDEX('My equipment'!$D$4:$D$503,(_calc!$E$828-500)))&amp;". ")&amp;IF(LEN(IF(ISNUMBER(INDEX('My equipment'!$J$4:$J$503,(_calc!$E$828-500))),TEXT(INDEX('My equipment'!$J$4:$J$503,(_calc!$E$828-500)),"yyyy-mm-dd"),""))=0,"","Parts end: "&amp;IF(ISNUMBER(INDEX('My equipment'!$J$4:$J$503,(_calc!$E$828-500))),TEXT(INDEX('My equipment'!$J$4:$J$503,(_calc!$E$828-500)),"yyyy-mm-dd"),"")&amp;". ")&amp;IF(LEN(IF(ISNUMBER(INDEX('My equipment'!$L$4:$L$503,(_calc!$E$828-500))),TEXT(INDEX('My equipment'!$L$4:$L$503,(_calc!$E$828-500)),"yyyy-mm-dd"),""))=0,"","Labor end: "&amp;IF(ISNUMBER(INDEX('My equipment'!$L$4:$L$503,(_calc!$E$828-500))),TEXT(INDEX('My equipment'!$L$4:$L$503,(_calc!$E$828-500)),"yyyy-mm-dd"),"")&amp;". ")&amp;IF(LEN(IF(ISNUMBER(INDEX('My equipment'!$P$4:$P$503,(_calc!$E$828-500))),TEXT(INDEX('My equipment'!$P$4:$P$503,(_calc!$E$828-500)),"yyyy-mm-dd"),""))=0,"","Check by: "&amp;IF(ISNUMBER(INDEX('My equipment'!$P$4:$P$503,(_calc!$E$828-500))),TEXT(INDEX('My equipment'!$P$4:$P$503,(_calc!$E$828-500)),"yyyy-mm-dd"),"")&amp;". ")&amp;IF(LEN(IF(LEN(INDEX('My equipment'!$Q$4:$Q$503,(_calc!$E$828-500)))=0,"",INDEX('My equipment'!$Q$4:$Q$503,(_calc!$E$828-500))))=0,"","Claim status: "&amp;IF(LEN(INDEX('My equipment'!$Q$4:$Q$503,(_calc!$E$828-500)))=0,"",INDEX('My equipment'!$Q$4:$Q$503,(_calc!$E$828-500)))&amp;". ")&amp;IF(LEN(IF(LEN(INDEX('My equipment'!$R$4:$R$503,(_calc!$E$828-500)))=0,"",INDEX('My equipment'!$R$4:$R$503,(_calc!$E$828-500))))=0,"","Claims contact: "&amp;IF(LEN(INDEX('My equipment'!$R$4:$R$503,(_calc!$E$828-500)))=0,"",INDEX('My equipment'!$R$4:$R$503,(_calc!$E$828-500)))&amp;". ")&amp;IF(LEN(IF(LEN(INDEX('My equipment'!$S$4:$S$503,(_calc!$E$828-500)))=0,"",INDEX('My equipment'!$S$4:$S$503,(_calc!$E$828-500))))=0,"","Claims email: "&amp;IF(LEN(INDEX('My equipment'!$S$4:$S$503,(_calc!$E$828-500)))=0,"",INDEX('My equipment'!$S$4:$S$503,(_calc!$E$828-500)))&amp;". ")&amp;IF(LEN(IF(LEN(INDEX('My equipment'!$U$4:$U$503,(_calc!$E$828-500)))=0,"",INDEX('My equipment'!$U$4:$U$503,(_calc!$E$828-500))))=0,"","Registered: "&amp;IF(LEN(INDEX('My equipment'!$U$4:$U$503,(_calc!$E$828-500)))=0,"",INDEX('My equipment'!$U$4:$U$503,(_calc!$E$828-500)))&amp;". ")&amp;IF(LEN(IF(LEN(INDEX('My equipment'!$V$4:$V$503,(_calc!$E$828-500)))=0,"",INDEX('My equipment'!$V$4:$V$503,(_calc!$E$828-500))))=0,"","Proof on file: "&amp;IF(LEN(INDEX('My equipment'!$V$4:$V$503,(_calc!$E$828-500)))=0,"",INDEX('My equipment'!$V$4:$V$503,(_calc!$E$828-500)))&amp;". ")&amp;IF(LEN(IF(LEN(INDEX('My equipment'!$W$4:$W$503,(_calc!$E$828-500)))=0,"",INDEX('My equipment'!$W$4:$W$503,(_calc!$E$828-500))))=0,"","Claim ref: "&amp;IF(LEN(INDEX('My equipment'!$W$4:$W$503,(_calc!$E$828-500)))=0,"",INDEX('My equipment'!$W$4:$W$503,(_calc!$E$828-500)))&amp;". ")&amp;IF(LEN(IF(LEN(INDEX('My equipment'!$Y$4:$Y$503,(_calc!$E$828-500)))=0,"",INDEX('My equipment'!$Y$4:$Y$503,(_calc!$E$828-500))))=0,"",IF(LEN(INDEX('My equipment'!$Y$4:$Y$503,(_calc!$E$828-500)))=0,"",INDEX('My equipment'!$Y$4:$Y$503,(_calc!$E$828-500)))))))</f>
        <v/>
      </c>
      <c r="G826" s="54">
        <f>IF(_calc!$E$828="","",IF(_calc!$E$828&lt;=500,"",IF(LEN(INDEX('My equipment'!$X$4:$X$503,(_calc!$E$828-500)))=0,"",INDEX('My equipment'!$X$4:$X$503,(_calc!$E$828-500)))))</f>
        <v/>
      </c>
      <c r="K826" s="54">
        <f>IF(_calc!$E$828="","",IF(_calc!$E$828&lt;=500,"",IF(LEN(INDEX('My equipment'!$T$4:$T$503,(_calc!$E$828-500)))=0,"",INDEX('My equipment'!$T$4:$T$503,(_calc!$E$828-500)))))</f>
        <v/>
      </c>
    </row>
    <row r="827">
      <c r="A827" s="54">
        <f>IF(_calc!$E$829="","",IF(_calc!$E$829&lt;=500,"Warranty – "&amp;IF(LEN(INDEX('Dealer pipeline'!$C$4:$C$503,_calc!$E$829))=0,"",INDEX('Dealer pipeline'!$C$4:$C$503,_calc!$E$829))&amp;" – "&amp;IF(LEN(INDEX('Dealer pipeline'!$D$4:$D$503,_calc!$E$829))=0,"",INDEX('Dealer pipeline'!$D$4:$D$503,_calc!$E$829))&amp;" – "&amp;IF(LEN(INDEX('Dealer pipeline'!$A$4:$A$503,_calc!$E$829))=0,"",INDEX('Dealer pipeline'!$A$4:$A$503,_calc!$E$829)),"Warranty – "&amp;IF(LEN(INDEX('My equipment'!$A$4:$A$503,(_calc!$E$829-500)))=0,"",INDEX('My equipment'!$A$4:$A$503,(_calc!$E$829-500)))&amp;" – "&amp;IF(LEN(INDEX('My equipment'!$D$4:$D$503,(_calc!$E$829-500)))=0,"",INDEX('My equipment'!$D$4:$D$503,(_calc!$E$829-500)))))</f>
        <v/>
      </c>
      <c r="B827" s="54">
        <f>IF(_calc!$E$829="","",IF(_calc!$E$829&lt;=500,IF(ISNUMBER(INDEX('Dealer pipeline'!$M$4:$M$503,_calc!$E$829)),TEXT(INDEX('Dealer pipeline'!$M$4:$M$503,_calc!$E$829),"yyyy-mm-dd"),""),IF(ISNUMBER(INDEX('My equipment'!$M$4:$M$503,(_calc!$E$829-500))),TEXT(INDEX('My equipment'!$M$4:$M$503,(_calc!$E$829-500)),"yyyy-mm-dd"),"")))</f>
        <v/>
      </c>
      <c r="C827" s="54">
        <f>IF(_calc!$E$829="","",IF(_calc!$E$829&lt;=500,"Warranty","Warranty"))</f>
        <v/>
      </c>
      <c r="D827" s="54">
        <f>IF(_calc!$E$829="","",IF(_calc!$E$829&lt;=500,IF(ISNUMBER(INDEX('Dealer pipeline'!$H$4:$H$503,_calc!$E$829)),TEXT(INDEX('Dealer pipeline'!$H$4:$H$503,_calc!$E$829),"yyyy-mm-dd"),""),IF(ISNUMBER(INDEX('My equipment'!$H$4:$H$503,(_calc!$E$829-500))),TEXT(INDEX('My equipment'!$H$4:$H$503,(_calc!$E$829-500)),"yyyy-mm-dd"),"")))</f>
        <v/>
      </c>
      <c r="F827" s="54">
        <f>IF(_calc!$E$829="","",IF(_calc!$E$829&lt;=500,TRIM(IF(LEN(IF(LEN(INDEX('Dealer pipeline'!$A$4:$A$503,_calc!$E$829))=0,"",INDEX('Dealer pipeline'!$A$4:$A$503,_calc!$E$829)))=0,"","Customer: "&amp;IF(LEN(INDEX('Dealer pipeline'!$A$4:$A$503,_calc!$E$829))=0,"",INDEX('Dealer pipeline'!$A$4:$A$503,_calc!$E$829))&amp;". ")&amp;IF(LEN(IF(LEN(INDEX('Dealer pipeline'!$B$4:$B$503,_calc!$E$829))=0,"",INDEX('Dealer pipeline'!$B$4:$B$503,_calc!$E$829)))=0,"","Contact: "&amp;IF(LEN(INDEX('Dealer pipeline'!$B$4:$B$503,_calc!$E$829))=0,"",INDEX('Dealer pipeline'!$B$4:$B$503,_calc!$E$829))&amp;". ")&amp;IF(LEN(IF(LEN(INDEX('Dealer pipeline'!$D$4:$D$503,_calc!$E$829))=0,"",INDEX('Dealer pipeline'!$D$4:$D$503,_calc!$E$829)))=0,"","Serial: "&amp;IF(LEN(INDEX('Dealer pipeline'!$D$4:$D$503,_calc!$E$829))=0,"",INDEX('Dealer pipeline'!$D$4:$D$503,_calc!$E$829))&amp;". ")&amp;IF(LEN(IF(ISNUMBER(INDEX('Dealer pipeline'!$J$4:$J$503,_calc!$E$829)),TEXT(INDEX('Dealer pipeline'!$J$4:$J$503,_calc!$E$829),"yyyy-mm-dd"),""))=0,"","Parts end: "&amp;IF(ISNUMBER(INDEX('Dealer pipeline'!$J$4:$J$503,_calc!$E$829)),TEXT(INDEX('Dealer pipeline'!$J$4:$J$503,_calc!$E$829),"yyyy-mm-dd"),"")&amp;". ")&amp;IF(LEN(IF(ISNUMBER(INDEX('Dealer pipeline'!$L$4:$L$503,_calc!$E$829)),TEXT(INDEX('Dealer pipeline'!$L$4:$L$503,_calc!$E$829),"yyyy-mm-dd"),""))=0,"","Labor end: "&amp;IF(ISNUMBER(INDEX('Dealer pipeline'!$L$4:$L$503,_calc!$E$829)),TEXT(INDEX('Dealer pipeline'!$L$4:$L$503,_calc!$E$829),"yyyy-mm-dd"),"")&amp;". ")&amp;IF(LEN(IF(LEN(INDEX('Dealer pipeline'!$Q$4:$Q$503,_calc!$E$829))=0,"",INDEX('Dealer pipeline'!$Q$4:$Q$503,_calc!$E$829)))=0,"","Status: "&amp;IF(LEN(INDEX('Dealer pipeline'!$Q$4:$Q$503,_calc!$E$829))=0,"",INDEX('Dealer pipeline'!$Q$4:$Q$503,_calc!$E$829))&amp;". ")&amp;IF(LEN(IF(LEN(INDEX('Dealer pipeline'!$P$4:$P$503,_calc!$E$829))=0,"",INDEX('Dealer pipeline'!$P$4:$P$503,_calc!$E$829)))=0,"","Last touch: "&amp;IF(LEN(INDEX('Dealer pipeline'!$P$4:$P$503,_calc!$E$829))=0,"",INDEX('Dealer pipeline'!$P$4:$P$503,_calc!$E$829))&amp;". ")&amp;IF(LEN(IF(LEN(INDEX('Dealer pipeline'!$R$4:$R$503,_calc!$E$829))=0,"",INDEX('Dealer pipeline'!$R$4:$R$503,_calc!$E$829)))=0,"","Owner: "&amp;IF(LEN(INDEX('Dealer pipeline'!$R$4:$R$503,_calc!$E$829))=0,"",INDEX('Dealer pipeline'!$R$4:$R$503,_calc!$E$829))&amp;". ")&amp;IF(LEN(IF(LEN(INDEX('Dealer pipeline'!$S$4:$S$503,_calc!$E$829))=0,"",INDEX('Dealer pipeline'!$S$4:$S$503,_calc!$E$829)))=0,"","Backup: "&amp;IF(LEN(INDEX('Dealer pipeline'!$S$4:$S$503,_calc!$E$829))=0,"",INDEX('Dealer pipeline'!$S$4:$S$503,_calc!$E$829))&amp;". ")&amp;IF(LEN(IF(LEN(INDEX('Dealer pipeline'!$T$4:$T$503,_calc!$E$829))=0,"",INDEX('Dealer pipeline'!$T$4:$T$503,_calc!$E$829)))=0,"",IF(LEN(INDEX('Dealer pipeline'!$T$4:$T$503,_calc!$E$829))=0,"",INDEX('Dealer pipeline'!$T$4:$T$503,_calc!$E$829)))),TRIM(IF(LEN(IF(LEN(INDEX('My equipment'!$C$4:$C$503,(_calc!$E$829-500)))=0,"",INDEX('My equipment'!$C$4:$C$503,(_calc!$E$829-500))))=0,"","Model: "&amp;IF(LEN(INDEX('My equipment'!$C$4:$C$503,(_calc!$E$829-500)))=0,"",INDEX('My equipment'!$C$4:$C$503,(_calc!$E$829-500)))&amp;". ")&amp;IF(LEN(IF(LEN(INDEX('My equipment'!$D$4:$D$503,(_calc!$E$829-500)))=0,"",INDEX('My equipment'!$D$4:$D$503,(_calc!$E$829-500))))=0,"","Serial: "&amp;IF(LEN(INDEX('My equipment'!$D$4:$D$503,(_calc!$E$829-500)))=0,"",INDEX('My equipment'!$D$4:$D$503,(_calc!$E$829-500)))&amp;". ")&amp;IF(LEN(IF(ISNUMBER(INDEX('My equipment'!$J$4:$J$503,(_calc!$E$829-500))),TEXT(INDEX('My equipment'!$J$4:$J$503,(_calc!$E$829-500)),"yyyy-mm-dd"),""))=0,"","Parts end: "&amp;IF(ISNUMBER(INDEX('My equipment'!$J$4:$J$503,(_calc!$E$829-500))),TEXT(INDEX('My equipment'!$J$4:$J$503,(_calc!$E$829-500)),"yyyy-mm-dd"),"")&amp;". ")&amp;IF(LEN(IF(ISNUMBER(INDEX('My equipment'!$L$4:$L$503,(_calc!$E$829-500))),TEXT(INDEX('My equipment'!$L$4:$L$503,(_calc!$E$829-500)),"yyyy-mm-dd"),""))=0,"","Labor end: "&amp;IF(ISNUMBER(INDEX('My equipment'!$L$4:$L$503,(_calc!$E$829-500))),TEXT(INDEX('My equipment'!$L$4:$L$503,(_calc!$E$829-500)),"yyyy-mm-dd"),"")&amp;". ")&amp;IF(LEN(IF(ISNUMBER(INDEX('My equipment'!$P$4:$P$503,(_calc!$E$829-500))),TEXT(INDEX('My equipment'!$P$4:$P$503,(_calc!$E$829-500)),"yyyy-mm-dd"),""))=0,"","Check by: "&amp;IF(ISNUMBER(INDEX('My equipment'!$P$4:$P$503,(_calc!$E$829-500))),TEXT(INDEX('My equipment'!$P$4:$P$503,(_calc!$E$829-500)),"yyyy-mm-dd"),"")&amp;". ")&amp;IF(LEN(IF(LEN(INDEX('My equipment'!$Q$4:$Q$503,(_calc!$E$829-500)))=0,"",INDEX('My equipment'!$Q$4:$Q$503,(_calc!$E$829-500))))=0,"","Claim status: "&amp;IF(LEN(INDEX('My equipment'!$Q$4:$Q$503,(_calc!$E$829-500)))=0,"",INDEX('My equipment'!$Q$4:$Q$503,(_calc!$E$829-500)))&amp;". ")&amp;IF(LEN(IF(LEN(INDEX('My equipment'!$R$4:$R$503,(_calc!$E$829-500)))=0,"",INDEX('My equipment'!$R$4:$R$503,(_calc!$E$829-500))))=0,"","Claims contact: "&amp;IF(LEN(INDEX('My equipment'!$R$4:$R$503,(_calc!$E$829-500)))=0,"",INDEX('My equipment'!$R$4:$R$503,(_calc!$E$829-500)))&amp;". ")&amp;IF(LEN(IF(LEN(INDEX('My equipment'!$S$4:$S$503,(_calc!$E$829-500)))=0,"",INDEX('My equipment'!$S$4:$S$503,(_calc!$E$829-500))))=0,"","Claims email: "&amp;IF(LEN(INDEX('My equipment'!$S$4:$S$503,(_calc!$E$829-500)))=0,"",INDEX('My equipment'!$S$4:$S$503,(_calc!$E$829-500)))&amp;". ")&amp;IF(LEN(IF(LEN(INDEX('My equipment'!$U$4:$U$503,(_calc!$E$829-500)))=0,"",INDEX('My equipment'!$U$4:$U$503,(_calc!$E$829-500))))=0,"","Registered: "&amp;IF(LEN(INDEX('My equipment'!$U$4:$U$503,(_calc!$E$829-500)))=0,"",INDEX('My equipment'!$U$4:$U$503,(_calc!$E$829-500)))&amp;". ")&amp;IF(LEN(IF(LEN(INDEX('My equipment'!$V$4:$V$503,(_calc!$E$829-500)))=0,"",INDEX('My equipment'!$V$4:$V$503,(_calc!$E$829-500))))=0,"","Proof on file: "&amp;IF(LEN(INDEX('My equipment'!$V$4:$V$503,(_calc!$E$829-500)))=0,"",INDEX('My equipment'!$V$4:$V$503,(_calc!$E$829-500)))&amp;". ")&amp;IF(LEN(IF(LEN(INDEX('My equipment'!$W$4:$W$503,(_calc!$E$829-500)))=0,"",INDEX('My equipment'!$W$4:$W$503,(_calc!$E$829-500))))=0,"","Claim ref: "&amp;IF(LEN(INDEX('My equipment'!$W$4:$W$503,(_calc!$E$829-500)))=0,"",INDEX('My equipment'!$W$4:$W$503,(_calc!$E$829-500)))&amp;". ")&amp;IF(LEN(IF(LEN(INDEX('My equipment'!$Y$4:$Y$503,(_calc!$E$829-500)))=0,"",INDEX('My equipment'!$Y$4:$Y$503,(_calc!$E$829-500))))=0,"",IF(LEN(INDEX('My equipment'!$Y$4:$Y$503,(_calc!$E$829-500)))=0,"",INDEX('My equipment'!$Y$4:$Y$503,(_calc!$E$829-500)))))))</f>
        <v/>
      </c>
      <c r="G827" s="54">
        <f>IF(_calc!$E$829="","",IF(_calc!$E$829&lt;=500,"",IF(LEN(INDEX('My equipment'!$X$4:$X$503,(_calc!$E$829-500)))=0,"",INDEX('My equipment'!$X$4:$X$503,(_calc!$E$829-500)))))</f>
        <v/>
      </c>
      <c r="K827" s="54">
        <f>IF(_calc!$E$829="","",IF(_calc!$E$829&lt;=500,"",IF(LEN(INDEX('My equipment'!$T$4:$T$503,(_calc!$E$829-500)))=0,"",INDEX('My equipment'!$T$4:$T$503,(_calc!$E$829-500)))))</f>
        <v/>
      </c>
    </row>
    <row r="828">
      <c r="A828" s="54">
        <f>IF(_calc!$E$830="","",IF(_calc!$E$830&lt;=500,"Warranty – "&amp;IF(LEN(INDEX('Dealer pipeline'!$C$4:$C$503,_calc!$E$830))=0,"",INDEX('Dealer pipeline'!$C$4:$C$503,_calc!$E$830))&amp;" – "&amp;IF(LEN(INDEX('Dealer pipeline'!$D$4:$D$503,_calc!$E$830))=0,"",INDEX('Dealer pipeline'!$D$4:$D$503,_calc!$E$830))&amp;" – "&amp;IF(LEN(INDEX('Dealer pipeline'!$A$4:$A$503,_calc!$E$830))=0,"",INDEX('Dealer pipeline'!$A$4:$A$503,_calc!$E$830)),"Warranty – "&amp;IF(LEN(INDEX('My equipment'!$A$4:$A$503,(_calc!$E$830-500)))=0,"",INDEX('My equipment'!$A$4:$A$503,(_calc!$E$830-500)))&amp;" – "&amp;IF(LEN(INDEX('My equipment'!$D$4:$D$503,(_calc!$E$830-500)))=0,"",INDEX('My equipment'!$D$4:$D$503,(_calc!$E$830-500)))))</f>
        <v/>
      </c>
      <c r="B828" s="54">
        <f>IF(_calc!$E$830="","",IF(_calc!$E$830&lt;=500,IF(ISNUMBER(INDEX('Dealer pipeline'!$M$4:$M$503,_calc!$E$830)),TEXT(INDEX('Dealer pipeline'!$M$4:$M$503,_calc!$E$830),"yyyy-mm-dd"),""),IF(ISNUMBER(INDEX('My equipment'!$M$4:$M$503,(_calc!$E$830-500))),TEXT(INDEX('My equipment'!$M$4:$M$503,(_calc!$E$830-500)),"yyyy-mm-dd"),"")))</f>
        <v/>
      </c>
      <c r="C828" s="54">
        <f>IF(_calc!$E$830="","",IF(_calc!$E$830&lt;=500,"Warranty","Warranty"))</f>
        <v/>
      </c>
      <c r="D828" s="54">
        <f>IF(_calc!$E$830="","",IF(_calc!$E$830&lt;=500,IF(ISNUMBER(INDEX('Dealer pipeline'!$H$4:$H$503,_calc!$E$830)),TEXT(INDEX('Dealer pipeline'!$H$4:$H$503,_calc!$E$830),"yyyy-mm-dd"),""),IF(ISNUMBER(INDEX('My equipment'!$H$4:$H$503,(_calc!$E$830-500))),TEXT(INDEX('My equipment'!$H$4:$H$503,(_calc!$E$830-500)),"yyyy-mm-dd"),"")))</f>
        <v/>
      </c>
      <c r="F828" s="54">
        <f>IF(_calc!$E$830="","",IF(_calc!$E$830&lt;=500,TRIM(IF(LEN(IF(LEN(INDEX('Dealer pipeline'!$A$4:$A$503,_calc!$E$830))=0,"",INDEX('Dealer pipeline'!$A$4:$A$503,_calc!$E$830)))=0,"","Customer: "&amp;IF(LEN(INDEX('Dealer pipeline'!$A$4:$A$503,_calc!$E$830))=0,"",INDEX('Dealer pipeline'!$A$4:$A$503,_calc!$E$830))&amp;". ")&amp;IF(LEN(IF(LEN(INDEX('Dealer pipeline'!$B$4:$B$503,_calc!$E$830))=0,"",INDEX('Dealer pipeline'!$B$4:$B$503,_calc!$E$830)))=0,"","Contact: "&amp;IF(LEN(INDEX('Dealer pipeline'!$B$4:$B$503,_calc!$E$830))=0,"",INDEX('Dealer pipeline'!$B$4:$B$503,_calc!$E$830))&amp;". ")&amp;IF(LEN(IF(LEN(INDEX('Dealer pipeline'!$D$4:$D$503,_calc!$E$830))=0,"",INDEX('Dealer pipeline'!$D$4:$D$503,_calc!$E$830)))=0,"","Serial: "&amp;IF(LEN(INDEX('Dealer pipeline'!$D$4:$D$503,_calc!$E$830))=0,"",INDEX('Dealer pipeline'!$D$4:$D$503,_calc!$E$830))&amp;". ")&amp;IF(LEN(IF(ISNUMBER(INDEX('Dealer pipeline'!$J$4:$J$503,_calc!$E$830)),TEXT(INDEX('Dealer pipeline'!$J$4:$J$503,_calc!$E$830),"yyyy-mm-dd"),""))=0,"","Parts end: "&amp;IF(ISNUMBER(INDEX('Dealer pipeline'!$J$4:$J$503,_calc!$E$830)),TEXT(INDEX('Dealer pipeline'!$J$4:$J$503,_calc!$E$830),"yyyy-mm-dd"),"")&amp;". ")&amp;IF(LEN(IF(ISNUMBER(INDEX('Dealer pipeline'!$L$4:$L$503,_calc!$E$830)),TEXT(INDEX('Dealer pipeline'!$L$4:$L$503,_calc!$E$830),"yyyy-mm-dd"),""))=0,"","Labor end: "&amp;IF(ISNUMBER(INDEX('Dealer pipeline'!$L$4:$L$503,_calc!$E$830)),TEXT(INDEX('Dealer pipeline'!$L$4:$L$503,_calc!$E$830),"yyyy-mm-dd"),"")&amp;". ")&amp;IF(LEN(IF(LEN(INDEX('Dealer pipeline'!$Q$4:$Q$503,_calc!$E$830))=0,"",INDEX('Dealer pipeline'!$Q$4:$Q$503,_calc!$E$830)))=0,"","Status: "&amp;IF(LEN(INDEX('Dealer pipeline'!$Q$4:$Q$503,_calc!$E$830))=0,"",INDEX('Dealer pipeline'!$Q$4:$Q$503,_calc!$E$830))&amp;". ")&amp;IF(LEN(IF(LEN(INDEX('Dealer pipeline'!$P$4:$P$503,_calc!$E$830))=0,"",INDEX('Dealer pipeline'!$P$4:$P$503,_calc!$E$830)))=0,"","Last touch: "&amp;IF(LEN(INDEX('Dealer pipeline'!$P$4:$P$503,_calc!$E$830))=0,"",INDEX('Dealer pipeline'!$P$4:$P$503,_calc!$E$830))&amp;". ")&amp;IF(LEN(IF(LEN(INDEX('Dealer pipeline'!$R$4:$R$503,_calc!$E$830))=0,"",INDEX('Dealer pipeline'!$R$4:$R$503,_calc!$E$830)))=0,"","Owner: "&amp;IF(LEN(INDEX('Dealer pipeline'!$R$4:$R$503,_calc!$E$830))=0,"",INDEX('Dealer pipeline'!$R$4:$R$503,_calc!$E$830))&amp;". ")&amp;IF(LEN(IF(LEN(INDEX('Dealer pipeline'!$S$4:$S$503,_calc!$E$830))=0,"",INDEX('Dealer pipeline'!$S$4:$S$503,_calc!$E$830)))=0,"","Backup: "&amp;IF(LEN(INDEX('Dealer pipeline'!$S$4:$S$503,_calc!$E$830))=0,"",INDEX('Dealer pipeline'!$S$4:$S$503,_calc!$E$830))&amp;". ")&amp;IF(LEN(IF(LEN(INDEX('Dealer pipeline'!$T$4:$T$503,_calc!$E$830))=0,"",INDEX('Dealer pipeline'!$T$4:$T$503,_calc!$E$830)))=0,"",IF(LEN(INDEX('Dealer pipeline'!$T$4:$T$503,_calc!$E$830))=0,"",INDEX('Dealer pipeline'!$T$4:$T$503,_calc!$E$830)))),TRIM(IF(LEN(IF(LEN(INDEX('My equipment'!$C$4:$C$503,(_calc!$E$830-500)))=0,"",INDEX('My equipment'!$C$4:$C$503,(_calc!$E$830-500))))=0,"","Model: "&amp;IF(LEN(INDEX('My equipment'!$C$4:$C$503,(_calc!$E$830-500)))=0,"",INDEX('My equipment'!$C$4:$C$503,(_calc!$E$830-500)))&amp;". ")&amp;IF(LEN(IF(LEN(INDEX('My equipment'!$D$4:$D$503,(_calc!$E$830-500)))=0,"",INDEX('My equipment'!$D$4:$D$503,(_calc!$E$830-500))))=0,"","Serial: "&amp;IF(LEN(INDEX('My equipment'!$D$4:$D$503,(_calc!$E$830-500)))=0,"",INDEX('My equipment'!$D$4:$D$503,(_calc!$E$830-500)))&amp;". ")&amp;IF(LEN(IF(ISNUMBER(INDEX('My equipment'!$J$4:$J$503,(_calc!$E$830-500))),TEXT(INDEX('My equipment'!$J$4:$J$503,(_calc!$E$830-500)),"yyyy-mm-dd"),""))=0,"","Parts end: "&amp;IF(ISNUMBER(INDEX('My equipment'!$J$4:$J$503,(_calc!$E$830-500))),TEXT(INDEX('My equipment'!$J$4:$J$503,(_calc!$E$830-500)),"yyyy-mm-dd"),"")&amp;". ")&amp;IF(LEN(IF(ISNUMBER(INDEX('My equipment'!$L$4:$L$503,(_calc!$E$830-500))),TEXT(INDEX('My equipment'!$L$4:$L$503,(_calc!$E$830-500)),"yyyy-mm-dd"),""))=0,"","Labor end: "&amp;IF(ISNUMBER(INDEX('My equipment'!$L$4:$L$503,(_calc!$E$830-500))),TEXT(INDEX('My equipment'!$L$4:$L$503,(_calc!$E$830-500)),"yyyy-mm-dd"),"")&amp;". ")&amp;IF(LEN(IF(ISNUMBER(INDEX('My equipment'!$P$4:$P$503,(_calc!$E$830-500))),TEXT(INDEX('My equipment'!$P$4:$P$503,(_calc!$E$830-500)),"yyyy-mm-dd"),""))=0,"","Check by: "&amp;IF(ISNUMBER(INDEX('My equipment'!$P$4:$P$503,(_calc!$E$830-500))),TEXT(INDEX('My equipment'!$P$4:$P$503,(_calc!$E$830-500)),"yyyy-mm-dd"),"")&amp;". ")&amp;IF(LEN(IF(LEN(INDEX('My equipment'!$Q$4:$Q$503,(_calc!$E$830-500)))=0,"",INDEX('My equipment'!$Q$4:$Q$503,(_calc!$E$830-500))))=0,"","Claim status: "&amp;IF(LEN(INDEX('My equipment'!$Q$4:$Q$503,(_calc!$E$830-500)))=0,"",INDEX('My equipment'!$Q$4:$Q$503,(_calc!$E$830-500)))&amp;". ")&amp;IF(LEN(IF(LEN(INDEX('My equipment'!$R$4:$R$503,(_calc!$E$830-500)))=0,"",INDEX('My equipment'!$R$4:$R$503,(_calc!$E$830-500))))=0,"","Claims contact: "&amp;IF(LEN(INDEX('My equipment'!$R$4:$R$503,(_calc!$E$830-500)))=0,"",INDEX('My equipment'!$R$4:$R$503,(_calc!$E$830-500)))&amp;". ")&amp;IF(LEN(IF(LEN(INDEX('My equipment'!$S$4:$S$503,(_calc!$E$830-500)))=0,"",INDEX('My equipment'!$S$4:$S$503,(_calc!$E$830-500))))=0,"","Claims email: "&amp;IF(LEN(INDEX('My equipment'!$S$4:$S$503,(_calc!$E$830-500)))=0,"",INDEX('My equipment'!$S$4:$S$503,(_calc!$E$830-500)))&amp;". ")&amp;IF(LEN(IF(LEN(INDEX('My equipment'!$U$4:$U$503,(_calc!$E$830-500)))=0,"",INDEX('My equipment'!$U$4:$U$503,(_calc!$E$830-500))))=0,"","Registered: "&amp;IF(LEN(INDEX('My equipment'!$U$4:$U$503,(_calc!$E$830-500)))=0,"",INDEX('My equipment'!$U$4:$U$503,(_calc!$E$830-500)))&amp;". ")&amp;IF(LEN(IF(LEN(INDEX('My equipment'!$V$4:$V$503,(_calc!$E$830-500)))=0,"",INDEX('My equipment'!$V$4:$V$503,(_calc!$E$830-500))))=0,"","Proof on file: "&amp;IF(LEN(INDEX('My equipment'!$V$4:$V$503,(_calc!$E$830-500)))=0,"",INDEX('My equipment'!$V$4:$V$503,(_calc!$E$830-500)))&amp;". ")&amp;IF(LEN(IF(LEN(INDEX('My equipment'!$W$4:$W$503,(_calc!$E$830-500)))=0,"",INDEX('My equipment'!$W$4:$W$503,(_calc!$E$830-500))))=0,"","Claim ref: "&amp;IF(LEN(INDEX('My equipment'!$W$4:$W$503,(_calc!$E$830-500)))=0,"",INDEX('My equipment'!$W$4:$W$503,(_calc!$E$830-500)))&amp;". ")&amp;IF(LEN(IF(LEN(INDEX('My equipment'!$Y$4:$Y$503,(_calc!$E$830-500)))=0,"",INDEX('My equipment'!$Y$4:$Y$503,(_calc!$E$830-500))))=0,"",IF(LEN(INDEX('My equipment'!$Y$4:$Y$503,(_calc!$E$830-500)))=0,"",INDEX('My equipment'!$Y$4:$Y$503,(_calc!$E$830-500)))))))</f>
        <v/>
      </c>
      <c r="G828" s="54">
        <f>IF(_calc!$E$830="","",IF(_calc!$E$830&lt;=500,"",IF(LEN(INDEX('My equipment'!$X$4:$X$503,(_calc!$E$830-500)))=0,"",INDEX('My equipment'!$X$4:$X$503,(_calc!$E$830-500)))))</f>
        <v/>
      </c>
      <c r="K828" s="54">
        <f>IF(_calc!$E$830="","",IF(_calc!$E$830&lt;=500,"",IF(LEN(INDEX('My equipment'!$T$4:$T$503,(_calc!$E$830-500)))=0,"",INDEX('My equipment'!$T$4:$T$503,(_calc!$E$830-500)))))</f>
        <v/>
      </c>
    </row>
    <row r="829">
      <c r="A829" s="54">
        <f>IF(_calc!$E$831="","",IF(_calc!$E$831&lt;=500,"Warranty – "&amp;IF(LEN(INDEX('Dealer pipeline'!$C$4:$C$503,_calc!$E$831))=0,"",INDEX('Dealer pipeline'!$C$4:$C$503,_calc!$E$831))&amp;" – "&amp;IF(LEN(INDEX('Dealer pipeline'!$D$4:$D$503,_calc!$E$831))=0,"",INDEX('Dealer pipeline'!$D$4:$D$503,_calc!$E$831))&amp;" – "&amp;IF(LEN(INDEX('Dealer pipeline'!$A$4:$A$503,_calc!$E$831))=0,"",INDEX('Dealer pipeline'!$A$4:$A$503,_calc!$E$831)),"Warranty – "&amp;IF(LEN(INDEX('My equipment'!$A$4:$A$503,(_calc!$E$831-500)))=0,"",INDEX('My equipment'!$A$4:$A$503,(_calc!$E$831-500)))&amp;" – "&amp;IF(LEN(INDEX('My equipment'!$D$4:$D$503,(_calc!$E$831-500)))=0,"",INDEX('My equipment'!$D$4:$D$503,(_calc!$E$831-500)))))</f>
        <v/>
      </c>
      <c r="B829" s="54">
        <f>IF(_calc!$E$831="","",IF(_calc!$E$831&lt;=500,IF(ISNUMBER(INDEX('Dealer pipeline'!$M$4:$M$503,_calc!$E$831)),TEXT(INDEX('Dealer pipeline'!$M$4:$M$503,_calc!$E$831),"yyyy-mm-dd"),""),IF(ISNUMBER(INDEX('My equipment'!$M$4:$M$503,(_calc!$E$831-500))),TEXT(INDEX('My equipment'!$M$4:$M$503,(_calc!$E$831-500)),"yyyy-mm-dd"),"")))</f>
        <v/>
      </c>
      <c r="C829" s="54">
        <f>IF(_calc!$E$831="","",IF(_calc!$E$831&lt;=500,"Warranty","Warranty"))</f>
        <v/>
      </c>
      <c r="D829" s="54">
        <f>IF(_calc!$E$831="","",IF(_calc!$E$831&lt;=500,IF(ISNUMBER(INDEX('Dealer pipeline'!$H$4:$H$503,_calc!$E$831)),TEXT(INDEX('Dealer pipeline'!$H$4:$H$503,_calc!$E$831),"yyyy-mm-dd"),""),IF(ISNUMBER(INDEX('My equipment'!$H$4:$H$503,(_calc!$E$831-500))),TEXT(INDEX('My equipment'!$H$4:$H$503,(_calc!$E$831-500)),"yyyy-mm-dd"),"")))</f>
        <v/>
      </c>
      <c r="F829" s="54">
        <f>IF(_calc!$E$831="","",IF(_calc!$E$831&lt;=500,TRIM(IF(LEN(IF(LEN(INDEX('Dealer pipeline'!$A$4:$A$503,_calc!$E$831))=0,"",INDEX('Dealer pipeline'!$A$4:$A$503,_calc!$E$831)))=0,"","Customer: "&amp;IF(LEN(INDEX('Dealer pipeline'!$A$4:$A$503,_calc!$E$831))=0,"",INDEX('Dealer pipeline'!$A$4:$A$503,_calc!$E$831))&amp;". ")&amp;IF(LEN(IF(LEN(INDEX('Dealer pipeline'!$B$4:$B$503,_calc!$E$831))=0,"",INDEX('Dealer pipeline'!$B$4:$B$503,_calc!$E$831)))=0,"","Contact: "&amp;IF(LEN(INDEX('Dealer pipeline'!$B$4:$B$503,_calc!$E$831))=0,"",INDEX('Dealer pipeline'!$B$4:$B$503,_calc!$E$831))&amp;". ")&amp;IF(LEN(IF(LEN(INDEX('Dealer pipeline'!$D$4:$D$503,_calc!$E$831))=0,"",INDEX('Dealer pipeline'!$D$4:$D$503,_calc!$E$831)))=0,"","Serial: "&amp;IF(LEN(INDEX('Dealer pipeline'!$D$4:$D$503,_calc!$E$831))=0,"",INDEX('Dealer pipeline'!$D$4:$D$503,_calc!$E$831))&amp;". ")&amp;IF(LEN(IF(ISNUMBER(INDEX('Dealer pipeline'!$J$4:$J$503,_calc!$E$831)),TEXT(INDEX('Dealer pipeline'!$J$4:$J$503,_calc!$E$831),"yyyy-mm-dd"),""))=0,"","Parts end: "&amp;IF(ISNUMBER(INDEX('Dealer pipeline'!$J$4:$J$503,_calc!$E$831)),TEXT(INDEX('Dealer pipeline'!$J$4:$J$503,_calc!$E$831),"yyyy-mm-dd"),"")&amp;". ")&amp;IF(LEN(IF(ISNUMBER(INDEX('Dealer pipeline'!$L$4:$L$503,_calc!$E$831)),TEXT(INDEX('Dealer pipeline'!$L$4:$L$503,_calc!$E$831),"yyyy-mm-dd"),""))=0,"","Labor end: "&amp;IF(ISNUMBER(INDEX('Dealer pipeline'!$L$4:$L$503,_calc!$E$831)),TEXT(INDEX('Dealer pipeline'!$L$4:$L$503,_calc!$E$831),"yyyy-mm-dd"),"")&amp;". ")&amp;IF(LEN(IF(LEN(INDEX('Dealer pipeline'!$Q$4:$Q$503,_calc!$E$831))=0,"",INDEX('Dealer pipeline'!$Q$4:$Q$503,_calc!$E$831)))=0,"","Status: "&amp;IF(LEN(INDEX('Dealer pipeline'!$Q$4:$Q$503,_calc!$E$831))=0,"",INDEX('Dealer pipeline'!$Q$4:$Q$503,_calc!$E$831))&amp;". ")&amp;IF(LEN(IF(LEN(INDEX('Dealer pipeline'!$P$4:$P$503,_calc!$E$831))=0,"",INDEX('Dealer pipeline'!$P$4:$P$503,_calc!$E$831)))=0,"","Last touch: "&amp;IF(LEN(INDEX('Dealer pipeline'!$P$4:$P$503,_calc!$E$831))=0,"",INDEX('Dealer pipeline'!$P$4:$P$503,_calc!$E$831))&amp;". ")&amp;IF(LEN(IF(LEN(INDEX('Dealer pipeline'!$R$4:$R$503,_calc!$E$831))=0,"",INDEX('Dealer pipeline'!$R$4:$R$503,_calc!$E$831)))=0,"","Owner: "&amp;IF(LEN(INDEX('Dealer pipeline'!$R$4:$R$503,_calc!$E$831))=0,"",INDEX('Dealer pipeline'!$R$4:$R$503,_calc!$E$831))&amp;". ")&amp;IF(LEN(IF(LEN(INDEX('Dealer pipeline'!$S$4:$S$503,_calc!$E$831))=0,"",INDEX('Dealer pipeline'!$S$4:$S$503,_calc!$E$831)))=0,"","Backup: "&amp;IF(LEN(INDEX('Dealer pipeline'!$S$4:$S$503,_calc!$E$831))=0,"",INDEX('Dealer pipeline'!$S$4:$S$503,_calc!$E$831))&amp;". ")&amp;IF(LEN(IF(LEN(INDEX('Dealer pipeline'!$T$4:$T$503,_calc!$E$831))=0,"",INDEX('Dealer pipeline'!$T$4:$T$503,_calc!$E$831)))=0,"",IF(LEN(INDEX('Dealer pipeline'!$T$4:$T$503,_calc!$E$831))=0,"",INDEX('Dealer pipeline'!$T$4:$T$503,_calc!$E$831)))),TRIM(IF(LEN(IF(LEN(INDEX('My equipment'!$C$4:$C$503,(_calc!$E$831-500)))=0,"",INDEX('My equipment'!$C$4:$C$503,(_calc!$E$831-500))))=0,"","Model: "&amp;IF(LEN(INDEX('My equipment'!$C$4:$C$503,(_calc!$E$831-500)))=0,"",INDEX('My equipment'!$C$4:$C$503,(_calc!$E$831-500)))&amp;". ")&amp;IF(LEN(IF(LEN(INDEX('My equipment'!$D$4:$D$503,(_calc!$E$831-500)))=0,"",INDEX('My equipment'!$D$4:$D$503,(_calc!$E$831-500))))=0,"","Serial: "&amp;IF(LEN(INDEX('My equipment'!$D$4:$D$503,(_calc!$E$831-500)))=0,"",INDEX('My equipment'!$D$4:$D$503,(_calc!$E$831-500)))&amp;". ")&amp;IF(LEN(IF(ISNUMBER(INDEX('My equipment'!$J$4:$J$503,(_calc!$E$831-500))),TEXT(INDEX('My equipment'!$J$4:$J$503,(_calc!$E$831-500)),"yyyy-mm-dd"),""))=0,"","Parts end: "&amp;IF(ISNUMBER(INDEX('My equipment'!$J$4:$J$503,(_calc!$E$831-500))),TEXT(INDEX('My equipment'!$J$4:$J$503,(_calc!$E$831-500)),"yyyy-mm-dd"),"")&amp;". ")&amp;IF(LEN(IF(ISNUMBER(INDEX('My equipment'!$L$4:$L$503,(_calc!$E$831-500))),TEXT(INDEX('My equipment'!$L$4:$L$503,(_calc!$E$831-500)),"yyyy-mm-dd"),""))=0,"","Labor end: "&amp;IF(ISNUMBER(INDEX('My equipment'!$L$4:$L$503,(_calc!$E$831-500))),TEXT(INDEX('My equipment'!$L$4:$L$503,(_calc!$E$831-500)),"yyyy-mm-dd"),"")&amp;". ")&amp;IF(LEN(IF(ISNUMBER(INDEX('My equipment'!$P$4:$P$503,(_calc!$E$831-500))),TEXT(INDEX('My equipment'!$P$4:$P$503,(_calc!$E$831-500)),"yyyy-mm-dd"),""))=0,"","Check by: "&amp;IF(ISNUMBER(INDEX('My equipment'!$P$4:$P$503,(_calc!$E$831-500))),TEXT(INDEX('My equipment'!$P$4:$P$503,(_calc!$E$831-500)),"yyyy-mm-dd"),"")&amp;". ")&amp;IF(LEN(IF(LEN(INDEX('My equipment'!$Q$4:$Q$503,(_calc!$E$831-500)))=0,"",INDEX('My equipment'!$Q$4:$Q$503,(_calc!$E$831-500))))=0,"","Claim status: "&amp;IF(LEN(INDEX('My equipment'!$Q$4:$Q$503,(_calc!$E$831-500)))=0,"",INDEX('My equipment'!$Q$4:$Q$503,(_calc!$E$831-500)))&amp;". ")&amp;IF(LEN(IF(LEN(INDEX('My equipment'!$R$4:$R$503,(_calc!$E$831-500)))=0,"",INDEX('My equipment'!$R$4:$R$503,(_calc!$E$831-500))))=0,"","Claims contact: "&amp;IF(LEN(INDEX('My equipment'!$R$4:$R$503,(_calc!$E$831-500)))=0,"",INDEX('My equipment'!$R$4:$R$503,(_calc!$E$831-500)))&amp;". ")&amp;IF(LEN(IF(LEN(INDEX('My equipment'!$S$4:$S$503,(_calc!$E$831-500)))=0,"",INDEX('My equipment'!$S$4:$S$503,(_calc!$E$831-500))))=0,"","Claims email: "&amp;IF(LEN(INDEX('My equipment'!$S$4:$S$503,(_calc!$E$831-500)))=0,"",INDEX('My equipment'!$S$4:$S$503,(_calc!$E$831-500)))&amp;". ")&amp;IF(LEN(IF(LEN(INDEX('My equipment'!$U$4:$U$503,(_calc!$E$831-500)))=0,"",INDEX('My equipment'!$U$4:$U$503,(_calc!$E$831-500))))=0,"","Registered: "&amp;IF(LEN(INDEX('My equipment'!$U$4:$U$503,(_calc!$E$831-500)))=0,"",INDEX('My equipment'!$U$4:$U$503,(_calc!$E$831-500)))&amp;". ")&amp;IF(LEN(IF(LEN(INDEX('My equipment'!$V$4:$V$503,(_calc!$E$831-500)))=0,"",INDEX('My equipment'!$V$4:$V$503,(_calc!$E$831-500))))=0,"","Proof on file: "&amp;IF(LEN(INDEX('My equipment'!$V$4:$V$503,(_calc!$E$831-500)))=0,"",INDEX('My equipment'!$V$4:$V$503,(_calc!$E$831-500)))&amp;". ")&amp;IF(LEN(IF(LEN(INDEX('My equipment'!$W$4:$W$503,(_calc!$E$831-500)))=0,"",INDEX('My equipment'!$W$4:$W$503,(_calc!$E$831-500))))=0,"","Claim ref: "&amp;IF(LEN(INDEX('My equipment'!$W$4:$W$503,(_calc!$E$831-500)))=0,"",INDEX('My equipment'!$W$4:$W$503,(_calc!$E$831-500)))&amp;". ")&amp;IF(LEN(IF(LEN(INDEX('My equipment'!$Y$4:$Y$503,(_calc!$E$831-500)))=0,"",INDEX('My equipment'!$Y$4:$Y$503,(_calc!$E$831-500))))=0,"",IF(LEN(INDEX('My equipment'!$Y$4:$Y$503,(_calc!$E$831-500)))=0,"",INDEX('My equipment'!$Y$4:$Y$503,(_calc!$E$831-500)))))))</f>
        <v/>
      </c>
      <c r="G829" s="54">
        <f>IF(_calc!$E$831="","",IF(_calc!$E$831&lt;=500,"",IF(LEN(INDEX('My equipment'!$X$4:$X$503,(_calc!$E$831-500)))=0,"",INDEX('My equipment'!$X$4:$X$503,(_calc!$E$831-500)))))</f>
        <v/>
      </c>
      <c r="K829" s="54">
        <f>IF(_calc!$E$831="","",IF(_calc!$E$831&lt;=500,"",IF(LEN(INDEX('My equipment'!$T$4:$T$503,(_calc!$E$831-500)))=0,"",INDEX('My equipment'!$T$4:$T$503,(_calc!$E$831-500)))))</f>
        <v/>
      </c>
    </row>
    <row r="830">
      <c r="A830" s="54">
        <f>IF(_calc!$E$832="","",IF(_calc!$E$832&lt;=500,"Warranty – "&amp;IF(LEN(INDEX('Dealer pipeline'!$C$4:$C$503,_calc!$E$832))=0,"",INDEX('Dealer pipeline'!$C$4:$C$503,_calc!$E$832))&amp;" – "&amp;IF(LEN(INDEX('Dealer pipeline'!$D$4:$D$503,_calc!$E$832))=0,"",INDEX('Dealer pipeline'!$D$4:$D$503,_calc!$E$832))&amp;" – "&amp;IF(LEN(INDEX('Dealer pipeline'!$A$4:$A$503,_calc!$E$832))=0,"",INDEX('Dealer pipeline'!$A$4:$A$503,_calc!$E$832)),"Warranty – "&amp;IF(LEN(INDEX('My equipment'!$A$4:$A$503,(_calc!$E$832-500)))=0,"",INDEX('My equipment'!$A$4:$A$503,(_calc!$E$832-500)))&amp;" – "&amp;IF(LEN(INDEX('My equipment'!$D$4:$D$503,(_calc!$E$832-500)))=0,"",INDEX('My equipment'!$D$4:$D$503,(_calc!$E$832-500)))))</f>
        <v/>
      </c>
      <c r="B830" s="54">
        <f>IF(_calc!$E$832="","",IF(_calc!$E$832&lt;=500,IF(ISNUMBER(INDEX('Dealer pipeline'!$M$4:$M$503,_calc!$E$832)),TEXT(INDEX('Dealer pipeline'!$M$4:$M$503,_calc!$E$832),"yyyy-mm-dd"),""),IF(ISNUMBER(INDEX('My equipment'!$M$4:$M$503,(_calc!$E$832-500))),TEXT(INDEX('My equipment'!$M$4:$M$503,(_calc!$E$832-500)),"yyyy-mm-dd"),"")))</f>
        <v/>
      </c>
      <c r="C830" s="54">
        <f>IF(_calc!$E$832="","",IF(_calc!$E$832&lt;=500,"Warranty","Warranty"))</f>
        <v/>
      </c>
      <c r="D830" s="54">
        <f>IF(_calc!$E$832="","",IF(_calc!$E$832&lt;=500,IF(ISNUMBER(INDEX('Dealer pipeline'!$H$4:$H$503,_calc!$E$832)),TEXT(INDEX('Dealer pipeline'!$H$4:$H$503,_calc!$E$832),"yyyy-mm-dd"),""),IF(ISNUMBER(INDEX('My equipment'!$H$4:$H$503,(_calc!$E$832-500))),TEXT(INDEX('My equipment'!$H$4:$H$503,(_calc!$E$832-500)),"yyyy-mm-dd"),"")))</f>
        <v/>
      </c>
      <c r="F830" s="54">
        <f>IF(_calc!$E$832="","",IF(_calc!$E$832&lt;=500,TRIM(IF(LEN(IF(LEN(INDEX('Dealer pipeline'!$A$4:$A$503,_calc!$E$832))=0,"",INDEX('Dealer pipeline'!$A$4:$A$503,_calc!$E$832)))=0,"","Customer: "&amp;IF(LEN(INDEX('Dealer pipeline'!$A$4:$A$503,_calc!$E$832))=0,"",INDEX('Dealer pipeline'!$A$4:$A$503,_calc!$E$832))&amp;". ")&amp;IF(LEN(IF(LEN(INDEX('Dealer pipeline'!$B$4:$B$503,_calc!$E$832))=0,"",INDEX('Dealer pipeline'!$B$4:$B$503,_calc!$E$832)))=0,"","Contact: "&amp;IF(LEN(INDEX('Dealer pipeline'!$B$4:$B$503,_calc!$E$832))=0,"",INDEX('Dealer pipeline'!$B$4:$B$503,_calc!$E$832))&amp;". ")&amp;IF(LEN(IF(LEN(INDEX('Dealer pipeline'!$D$4:$D$503,_calc!$E$832))=0,"",INDEX('Dealer pipeline'!$D$4:$D$503,_calc!$E$832)))=0,"","Serial: "&amp;IF(LEN(INDEX('Dealer pipeline'!$D$4:$D$503,_calc!$E$832))=0,"",INDEX('Dealer pipeline'!$D$4:$D$503,_calc!$E$832))&amp;". ")&amp;IF(LEN(IF(ISNUMBER(INDEX('Dealer pipeline'!$J$4:$J$503,_calc!$E$832)),TEXT(INDEX('Dealer pipeline'!$J$4:$J$503,_calc!$E$832),"yyyy-mm-dd"),""))=0,"","Parts end: "&amp;IF(ISNUMBER(INDEX('Dealer pipeline'!$J$4:$J$503,_calc!$E$832)),TEXT(INDEX('Dealer pipeline'!$J$4:$J$503,_calc!$E$832),"yyyy-mm-dd"),"")&amp;". ")&amp;IF(LEN(IF(ISNUMBER(INDEX('Dealer pipeline'!$L$4:$L$503,_calc!$E$832)),TEXT(INDEX('Dealer pipeline'!$L$4:$L$503,_calc!$E$832),"yyyy-mm-dd"),""))=0,"","Labor end: "&amp;IF(ISNUMBER(INDEX('Dealer pipeline'!$L$4:$L$503,_calc!$E$832)),TEXT(INDEX('Dealer pipeline'!$L$4:$L$503,_calc!$E$832),"yyyy-mm-dd"),"")&amp;". ")&amp;IF(LEN(IF(LEN(INDEX('Dealer pipeline'!$Q$4:$Q$503,_calc!$E$832))=0,"",INDEX('Dealer pipeline'!$Q$4:$Q$503,_calc!$E$832)))=0,"","Status: "&amp;IF(LEN(INDEX('Dealer pipeline'!$Q$4:$Q$503,_calc!$E$832))=0,"",INDEX('Dealer pipeline'!$Q$4:$Q$503,_calc!$E$832))&amp;". ")&amp;IF(LEN(IF(LEN(INDEX('Dealer pipeline'!$P$4:$P$503,_calc!$E$832))=0,"",INDEX('Dealer pipeline'!$P$4:$P$503,_calc!$E$832)))=0,"","Last touch: "&amp;IF(LEN(INDEX('Dealer pipeline'!$P$4:$P$503,_calc!$E$832))=0,"",INDEX('Dealer pipeline'!$P$4:$P$503,_calc!$E$832))&amp;". ")&amp;IF(LEN(IF(LEN(INDEX('Dealer pipeline'!$R$4:$R$503,_calc!$E$832))=0,"",INDEX('Dealer pipeline'!$R$4:$R$503,_calc!$E$832)))=0,"","Owner: "&amp;IF(LEN(INDEX('Dealer pipeline'!$R$4:$R$503,_calc!$E$832))=0,"",INDEX('Dealer pipeline'!$R$4:$R$503,_calc!$E$832))&amp;". ")&amp;IF(LEN(IF(LEN(INDEX('Dealer pipeline'!$S$4:$S$503,_calc!$E$832))=0,"",INDEX('Dealer pipeline'!$S$4:$S$503,_calc!$E$832)))=0,"","Backup: "&amp;IF(LEN(INDEX('Dealer pipeline'!$S$4:$S$503,_calc!$E$832))=0,"",INDEX('Dealer pipeline'!$S$4:$S$503,_calc!$E$832))&amp;". ")&amp;IF(LEN(IF(LEN(INDEX('Dealer pipeline'!$T$4:$T$503,_calc!$E$832))=0,"",INDEX('Dealer pipeline'!$T$4:$T$503,_calc!$E$832)))=0,"",IF(LEN(INDEX('Dealer pipeline'!$T$4:$T$503,_calc!$E$832))=0,"",INDEX('Dealer pipeline'!$T$4:$T$503,_calc!$E$832)))),TRIM(IF(LEN(IF(LEN(INDEX('My equipment'!$C$4:$C$503,(_calc!$E$832-500)))=0,"",INDEX('My equipment'!$C$4:$C$503,(_calc!$E$832-500))))=0,"","Model: "&amp;IF(LEN(INDEX('My equipment'!$C$4:$C$503,(_calc!$E$832-500)))=0,"",INDEX('My equipment'!$C$4:$C$503,(_calc!$E$832-500)))&amp;". ")&amp;IF(LEN(IF(LEN(INDEX('My equipment'!$D$4:$D$503,(_calc!$E$832-500)))=0,"",INDEX('My equipment'!$D$4:$D$503,(_calc!$E$832-500))))=0,"","Serial: "&amp;IF(LEN(INDEX('My equipment'!$D$4:$D$503,(_calc!$E$832-500)))=0,"",INDEX('My equipment'!$D$4:$D$503,(_calc!$E$832-500)))&amp;". ")&amp;IF(LEN(IF(ISNUMBER(INDEX('My equipment'!$J$4:$J$503,(_calc!$E$832-500))),TEXT(INDEX('My equipment'!$J$4:$J$503,(_calc!$E$832-500)),"yyyy-mm-dd"),""))=0,"","Parts end: "&amp;IF(ISNUMBER(INDEX('My equipment'!$J$4:$J$503,(_calc!$E$832-500))),TEXT(INDEX('My equipment'!$J$4:$J$503,(_calc!$E$832-500)),"yyyy-mm-dd"),"")&amp;". ")&amp;IF(LEN(IF(ISNUMBER(INDEX('My equipment'!$L$4:$L$503,(_calc!$E$832-500))),TEXT(INDEX('My equipment'!$L$4:$L$503,(_calc!$E$832-500)),"yyyy-mm-dd"),""))=0,"","Labor end: "&amp;IF(ISNUMBER(INDEX('My equipment'!$L$4:$L$503,(_calc!$E$832-500))),TEXT(INDEX('My equipment'!$L$4:$L$503,(_calc!$E$832-500)),"yyyy-mm-dd"),"")&amp;". ")&amp;IF(LEN(IF(ISNUMBER(INDEX('My equipment'!$P$4:$P$503,(_calc!$E$832-500))),TEXT(INDEX('My equipment'!$P$4:$P$503,(_calc!$E$832-500)),"yyyy-mm-dd"),""))=0,"","Check by: "&amp;IF(ISNUMBER(INDEX('My equipment'!$P$4:$P$503,(_calc!$E$832-500))),TEXT(INDEX('My equipment'!$P$4:$P$503,(_calc!$E$832-500)),"yyyy-mm-dd"),"")&amp;". ")&amp;IF(LEN(IF(LEN(INDEX('My equipment'!$Q$4:$Q$503,(_calc!$E$832-500)))=0,"",INDEX('My equipment'!$Q$4:$Q$503,(_calc!$E$832-500))))=0,"","Claim status: "&amp;IF(LEN(INDEX('My equipment'!$Q$4:$Q$503,(_calc!$E$832-500)))=0,"",INDEX('My equipment'!$Q$4:$Q$503,(_calc!$E$832-500)))&amp;". ")&amp;IF(LEN(IF(LEN(INDEX('My equipment'!$R$4:$R$503,(_calc!$E$832-500)))=0,"",INDEX('My equipment'!$R$4:$R$503,(_calc!$E$832-500))))=0,"","Claims contact: "&amp;IF(LEN(INDEX('My equipment'!$R$4:$R$503,(_calc!$E$832-500)))=0,"",INDEX('My equipment'!$R$4:$R$503,(_calc!$E$832-500)))&amp;". ")&amp;IF(LEN(IF(LEN(INDEX('My equipment'!$S$4:$S$503,(_calc!$E$832-500)))=0,"",INDEX('My equipment'!$S$4:$S$503,(_calc!$E$832-500))))=0,"","Claims email: "&amp;IF(LEN(INDEX('My equipment'!$S$4:$S$503,(_calc!$E$832-500)))=0,"",INDEX('My equipment'!$S$4:$S$503,(_calc!$E$832-500)))&amp;". ")&amp;IF(LEN(IF(LEN(INDEX('My equipment'!$U$4:$U$503,(_calc!$E$832-500)))=0,"",INDEX('My equipment'!$U$4:$U$503,(_calc!$E$832-500))))=0,"","Registered: "&amp;IF(LEN(INDEX('My equipment'!$U$4:$U$503,(_calc!$E$832-500)))=0,"",INDEX('My equipment'!$U$4:$U$503,(_calc!$E$832-500)))&amp;". ")&amp;IF(LEN(IF(LEN(INDEX('My equipment'!$V$4:$V$503,(_calc!$E$832-500)))=0,"",INDEX('My equipment'!$V$4:$V$503,(_calc!$E$832-500))))=0,"","Proof on file: "&amp;IF(LEN(INDEX('My equipment'!$V$4:$V$503,(_calc!$E$832-500)))=0,"",INDEX('My equipment'!$V$4:$V$503,(_calc!$E$832-500)))&amp;". ")&amp;IF(LEN(IF(LEN(INDEX('My equipment'!$W$4:$W$503,(_calc!$E$832-500)))=0,"",INDEX('My equipment'!$W$4:$W$503,(_calc!$E$832-500))))=0,"","Claim ref: "&amp;IF(LEN(INDEX('My equipment'!$W$4:$W$503,(_calc!$E$832-500)))=0,"",INDEX('My equipment'!$W$4:$W$503,(_calc!$E$832-500)))&amp;". ")&amp;IF(LEN(IF(LEN(INDEX('My equipment'!$Y$4:$Y$503,(_calc!$E$832-500)))=0,"",INDEX('My equipment'!$Y$4:$Y$503,(_calc!$E$832-500))))=0,"",IF(LEN(INDEX('My equipment'!$Y$4:$Y$503,(_calc!$E$832-500)))=0,"",INDEX('My equipment'!$Y$4:$Y$503,(_calc!$E$832-500)))))))</f>
        <v/>
      </c>
      <c r="G830" s="54">
        <f>IF(_calc!$E$832="","",IF(_calc!$E$832&lt;=500,"",IF(LEN(INDEX('My equipment'!$X$4:$X$503,(_calc!$E$832-500)))=0,"",INDEX('My equipment'!$X$4:$X$503,(_calc!$E$832-500)))))</f>
        <v/>
      </c>
      <c r="K830" s="54">
        <f>IF(_calc!$E$832="","",IF(_calc!$E$832&lt;=500,"",IF(LEN(INDEX('My equipment'!$T$4:$T$503,(_calc!$E$832-500)))=0,"",INDEX('My equipment'!$T$4:$T$503,(_calc!$E$832-500)))))</f>
        <v/>
      </c>
    </row>
    <row r="831">
      <c r="A831" s="54">
        <f>IF(_calc!$E$833="","",IF(_calc!$E$833&lt;=500,"Warranty – "&amp;IF(LEN(INDEX('Dealer pipeline'!$C$4:$C$503,_calc!$E$833))=0,"",INDEX('Dealer pipeline'!$C$4:$C$503,_calc!$E$833))&amp;" – "&amp;IF(LEN(INDEX('Dealer pipeline'!$D$4:$D$503,_calc!$E$833))=0,"",INDEX('Dealer pipeline'!$D$4:$D$503,_calc!$E$833))&amp;" – "&amp;IF(LEN(INDEX('Dealer pipeline'!$A$4:$A$503,_calc!$E$833))=0,"",INDEX('Dealer pipeline'!$A$4:$A$503,_calc!$E$833)),"Warranty – "&amp;IF(LEN(INDEX('My equipment'!$A$4:$A$503,(_calc!$E$833-500)))=0,"",INDEX('My equipment'!$A$4:$A$503,(_calc!$E$833-500)))&amp;" – "&amp;IF(LEN(INDEX('My equipment'!$D$4:$D$503,(_calc!$E$833-500)))=0,"",INDEX('My equipment'!$D$4:$D$503,(_calc!$E$833-500)))))</f>
        <v/>
      </c>
      <c r="B831" s="54">
        <f>IF(_calc!$E$833="","",IF(_calc!$E$833&lt;=500,IF(ISNUMBER(INDEX('Dealer pipeline'!$M$4:$M$503,_calc!$E$833)),TEXT(INDEX('Dealer pipeline'!$M$4:$M$503,_calc!$E$833),"yyyy-mm-dd"),""),IF(ISNUMBER(INDEX('My equipment'!$M$4:$M$503,(_calc!$E$833-500))),TEXT(INDEX('My equipment'!$M$4:$M$503,(_calc!$E$833-500)),"yyyy-mm-dd"),"")))</f>
        <v/>
      </c>
      <c r="C831" s="54">
        <f>IF(_calc!$E$833="","",IF(_calc!$E$833&lt;=500,"Warranty","Warranty"))</f>
        <v/>
      </c>
      <c r="D831" s="54">
        <f>IF(_calc!$E$833="","",IF(_calc!$E$833&lt;=500,IF(ISNUMBER(INDEX('Dealer pipeline'!$H$4:$H$503,_calc!$E$833)),TEXT(INDEX('Dealer pipeline'!$H$4:$H$503,_calc!$E$833),"yyyy-mm-dd"),""),IF(ISNUMBER(INDEX('My equipment'!$H$4:$H$503,(_calc!$E$833-500))),TEXT(INDEX('My equipment'!$H$4:$H$503,(_calc!$E$833-500)),"yyyy-mm-dd"),"")))</f>
        <v/>
      </c>
      <c r="F831" s="54">
        <f>IF(_calc!$E$833="","",IF(_calc!$E$833&lt;=500,TRIM(IF(LEN(IF(LEN(INDEX('Dealer pipeline'!$A$4:$A$503,_calc!$E$833))=0,"",INDEX('Dealer pipeline'!$A$4:$A$503,_calc!$E$833)))=0,"","Customer: "&amp;IF(LEN(INDEX('Dealer pipeline'!$A$4:$A$503,_calc!$E$833))=0,"",INDEX('Dealer pipeline'!$A$4:$A$503,_calc!$E$833))&amp;". ")&amp;IF(LEN(IF(LEN(INDEX('Dealer pipeline'!$B$4:$B$503,_calc!$E$833))=0,"",INDEX('Dealer pipeline'!$B$4:$B$503,_calc!$E$833)))=0,"","Contact: "&amp;IF(LEN(INDEX('Dealer pipeline'!$B$4:$B$503,_calc!$E$833))=0,"",INDEX('Dealer pipeline'!$B$4:$B$503,_calc!$E$833))&amp;". ")&amp;IF(LEN(IF(LEN(INDEX('Dealer pipeline'!$D$4:$D$503,_calc!$E$833))=0,"",INDEX('Dealer pipeline'!$D$4:$D$503,_calc!$E$833)))=0,"","Serial: "&amp;IF(LEN(INDEX('Dealer pipeline'!$D$4:$D$503,_calc!$E$833))=0,"",INDEX('Dealer pipeline'!$D$4:$D$503,_calc!$E$833))&amp;". ")&amp;IF(LEN(IF(ISNUMBER(INDEX('Dealer pipeline'!$J$4:$J$503,_calc!$E$833)),TEXT(INDEX('Dealer pipeline'!$J$4:$J$503,_calc!$E$833),"yyyy-mm-dd"),""))=0,"","Parts end: "&amp;IF(ISNUMBER(INDEX('Dealer pipeline'!$J$4:$J$503,_calc!$E$833)),TEXT(INDEX('Dealer pipeline'!$J$4:$J$503,_calc!$E$833),"yyyy-mm-dd"),"")&amp;". ")&amp;IF(LEN(IF(ISNUMBER(INDEX('Dealer pipeline'!$L$4:$L$503,_calc!$E$833)),TEXT(INDEX('Dealer pipeline'!$L$4:$L$503,_calc!$E$833),"yyyy-mm-dd"),""))=0,"","Labor end: "&amp;IF(ISNUMBER(INDEX('Dealer pipeline'!$L$4:$L$503,_calc!$E$833)),TEXT(INDEX('Dealer pipeline'!$L$4:$L$503,_calc!$E$833),"yyyy-mm-dd"),"")&amp;". ")&amp;IF(LEN(IF(LEN(INDEX('Dealer pipeline'!$Q$4:$Q$503,_calc!$E$833))=0,"",INDEX('Dealer pipeline'!$Q$4:$Q$503,_calc!$E$833)))=0,"","Status: "&amp;IF(LEN(INDEX('Dealer pipeline'!$Q$4:$Q$503,_calc!$E$833))=0,"",INDEX('Dealer pipeline'!$Q$4:$Q$503,_calc!$E$833))&amp;". ")&amp;IF(LEN(IF(LEN(INDEX('Dealer pipeline'!$P$4:$P$503,_calc!$E$833))=0,"",INDEX('Dealer pipeline'!$P$4:$P$503,_calc!$E$833)))=0,"","Last touch: "&amp;IF(LEN(INDEX('Dealer pipeline'!$P$4:$P$503,_calc!$E$833))=0,"",INDEX('Dealer pipeline'!$P$4:$P$503,_calc!$E$833))&amp;". ")&amp;IF(LEN(IF(LEN(INDEX('Dealer pipeline'!$R$4:$R$503,_calc!$E$833))=0,"",INDEX('Dealer pipeline'!$R$4:$R$503,_calc!$E$833)))=0,"","Owner: "&amp;IF(LEN(INDEX('Dealer pipeline'!$R$4:$R$503,_calc!$E$833))=0,"",INDEX('Dealer pipeline'!$R$4:$R$503,_calc!$E$833))&amp;". ")&amp;IF(LEN(IF(LEN(INDEX('Dealer pipeline'!$S$4:$S$503,_calc!$E$833))=0,"",INDEX('Dealer pipeline'!$S$4:$S$503,_calc!$E$833)))=0,"","Backup: "&amp;IF(LEN(INDEX('Dealer pipeline'!$S$4:$S$503,_calc!$E$833))=0,"",INDEX('Dealer pipeline'!$S$4:$S$503,_calc!$E$833))&amp;". ")&amp;IF(LEN(IF(LEN(INDEX('Dealer pipeline'!$T$4:$T$503,_calc!$E$833))=0,"",INDEX('Dealer pipeline'!$T$4:$T$503,_calc!$E$833)))=0,"",IF(LEN(INDEX('Dealer pipeline'!$T$4:$T$503,_calc!$E$833))=0,"",INDEX('Dealer pipeline'!$T$4:$T$503,_calc!$E$833)))),TRIM(IF(LEN(IF(LEN(INDEX('My equipment'!$C$4:$C$503,(_calc!$E$833-500)))=0,"",INDEX('My equipment'!$C$4:$C$503,(_calc!$E$833-500))))=0,"","Model: "&amp;IF(LEN(INDEX('My equipment'!$C$4:$C$503,(_calc!$E$833-500)))=0,"",INDEX('My equipment'!$C$4:$C$503,(_calc!$E$833-500)))&amp;". ")&amp;IF(LEN(IF(LEN(INDEX('My equipment'!$D$4:$D$503,(_calc!$E$833-500)))=0,"",INDEX('My equipment'!$D$4:$D$503,(_calc!$E$833-500))))=0,"","Serial: "&amp;IF(LEN(INDEX('My equipment'!$D$4:$D$503,(_calc!$E$833-500)))=0,"",INDEX('My equipment'!$D$4:$D$503,(_calc!$E$833-500)))&amp;". ")&amp;IF(LEN(IF(ISNUMBER(INDEX('My equipment'!$J$4:$J$503,(_calc!$E$833-500))),TEXT(INDEX('My equipment'!$J$4:$J$503,(_calc!$E$833-500)),"yyyy-mm-dd"),""))=0,"","Parts end: "&amp;IF(ISNUMBER(INDEX('My equipment'!$J$4:$J$503,(_calc!$E$833-500))),TEXT(INDEX('My equipment'!$J$4:$J$503,(_calc!$E$833-500)),"yyyy-mm-dd"),"")&amp;". ")&amp;IF(LEN(IF(ISNUMBER(INDEX('My equipment'!$L$4:$L$503,(_calc!$E$833-500))),TEXT(INDEX('My equipment'!$L$4:$L$503,(_calc!$E$833-500)),"yyyy-mm-dd"),""))=0,"","Labor end: "&amp;IF(ISNUMBER(INDEX('My equipment'!$L$4:$L$503,(_calc!$E$833-500))),TEXT(INDEX('My equipment'!$L$4:$L$503,(_calc!$E$833-500)),"yyyy-mm-dd"),"")&amp;". ")&amp;IF(LEN(IF(ISNUMBER(INDEX('My equipment'!$P$4:$P$503,(_calc!$E$833-500))),TEXT(INDEX('My equipment'!$P$4:$P$503,(_calc!$E$833-500)),"yyyy-mm-dd"),""))=0,"","Check by: "&amp;IF(ISNUMBER(INDEX('My equipment'!$P$4:$P$503,(_calc!$E$833-500))),TEXT(INDEX('My equipment'!$P$4:$P$503,(_calc!$E$833-500)),"yyyy-mm-dd"),"")&amp;". ")&amp;IF(LEN(IF(LEN(INDEX('My equipment'!$Q$4:$Q$503,(_calc!$E$833-500)))=0,"",INDEX('My equipment'!$Q$4:$Q$503,(_calc!$E$833-500))))=0,"","Claim status: "&amp;IF(LEN(INDEX('My equipment'!$Q$4:$Q$503,(_calc!$E$833-500)))=0,"",INDEX('My equipment'!$Q$4:$Q$503,(_calc!$E$833-500)))&amp;". ")&amp;IF(LEN(IF(LEN(INDEX('My equipment'!$R$4:$R$503,(_calc!$E$833-500)))=0,"",INDEX('My equipment'!$R$4:$R$503,(_calc!$E$833-500))))=0,"","Claims contact: "&amp;IF(LEN(INDEX('My equipment'!$R$4:$R$503,(_calc!$E$833-500)))=0,"",INDEX('My equipment'!$R$4:$R$503,(_calc!$E$833-500)))&amp;". ")&amp;IF(LEN(IF(LEN(INDEX('My equipment'!$S$4:$S$503,(_calc!$E$833-500)))=0,"",INDEX('My equipment'!$S$4:$S$503,(_calc!$E$833-500))))=0,"","Claims email: "&amp;IF(LEN(INDEX('My equipment'!$S$4:$S$503,(_calc!$E$833-500)))=0,"",INDEX('My equipment'!$S$4:$S$503,(_calc!$E$833-500)))&amp;". ")&amp;IF(LEN(IF(LEN(INDEX('My equipment'!$U$4:$U$503,(_calc!$E$833-500)))=0,"",INDEX('My equipment'!$U$4:$U$503,(_calc!$E$833-500))))=0,"","Registered: "&amp;IF(LEN(INDEX('My equipment'!$U$4:$U$503,(_calc!$E$833-500)))=0,"",INDEX('My equipment'!$U$4:$U$503,(_calc!$E$833-500)))&amp;". ")&amp;IF(LEN(IF(LEN(INDEX('My equipment'!$V$4:$V$503,(_calc!$E$833-500)))=0,"",INDEX('My equipment'!$V$4:$V$503,(_calc!$E$833-500))))=0,"","Proof on file: "&amp;IF(LEN(INDEX('My equipment'!$V$4:$V$503,(_calc!$E$833-500)))=0,"",INDEX('My equipment'!$V$4:$V$503,(_calc!$E$833-500)))&amp;". ")&amp;IF(LEN(IF(LEN(INDEX('My equipment'!$W$4:$W$503,(_calc!$E$833-500)))=0,"",INDEX('My equipment'!$W$4:$W$503,(_calc!$E$833-500))))=0,"","Claim ref: "&amp;IF(LEN(INDEX('My equipment'!$W$4:$W$503,(_calc!$E$833-500)))=0,"",INDEX('My equipment'!$W$4:$W$503,(_calc!$E$833-500)))&amp;". ")&amp;IF(LEN(IF(LEN(INDEX('My equipment'!$Y$4:$Y$503,(_calc!$E$833-500)))=0,"",INDEX('My equipment'!$Y$4:$Y$503,(_calc!$E$833-500))))=0,"",IF(LEN(INDEX('My equipment'!$Y$4:$Y$503,(_calc!$E$833-500)))=0,"",INDEX('My equipment'!$Y$4:$Y$503,(_calc!$E$833-500)))))))</f>
        <v/>
      </c>
      <c r="G831" s="54">
        <f>IF(_calc!$E$833="","",IF(_calc!$E$833&lt;=500,"",IF(LEN(INDEX('My equipment'!$X$4:$X$503,(_calc!$E$833-500)))=0,"",INDEX('My equipment'!$X$4:$X$503,(_calc!$E$833-500)))))</f>
        <v/>
      </c>
      <c r="K831" s="54">
        <f>IF(_calc!$E$833="","",IF(_calc!$E$833&lt;=500,"",IF(LEN(INDEX('My equipment'!$T$4:$T$503,(_calc!$E$833-500)))=0,"",INDEX('My equipment'!$T$4:$T$503,(_calc!$E$833-500)))))</f>
        <v/>
      </c>
    </row>
    <row r="832">
      <c r="A832" s="54">
        <f>IF(_calc!$E$834="","",IF(_calc!$E$834&lt;=500,"Warranty – "&amp;IF(LEN(INDEX('Dealer pipeline'!$C$4:$C$503,_calc!$E$834))=0,"",INDEX('Dealer pipeline'!$C$4:$C$503,_calc!$E$834))&amp;" – "&amp;IF(LEN(INDEX('Dealer pipeline'!$D$4:$D$503,_calc!$E$834))=0,"",INDEX('Dealer pipeline'!$D$4:$D$503,_calc!$E$834))&amp;" – "&amp;IF(LEN(INDEX('Dealer pipeline'!$A$4:$A$503,_calc!$E$834))=0,"",INDEX('Dealer pipeline'!$A$4:$A$503,_calc!$E$834)),"Warranty – "&amp;IF(LEN(INDEX('My equipment'!$A$4:$A$503,(_calc!$E$834-500)))=0,"",INDEX('My equipment'!$A$4:$A$503,(_calc!$E$834-500)))&amp;" – "&amp;IF(LEN(INDEX('My equipment'!$D$4:$D$503,(_calc!$E$834-500)))=0,"",INDEX('My equipment'!$D$4:$D$503,(_calc!$E$834-500)))))</f>
        <v/>
      </c>
      <c r="B832" s="54">
        <f>IF(_calc!$E$834="","",IF(_calc!$E$834&lt;=500,IF(ISNUMBER(INDEX('Dealer pipeline'!$M$4:$M$503,_calc!$E$834)),TEXT(INDEX('Dealer pipeline'!$M$4:$M$503,_calc!$E$834),"yyyy-mm-dd"),""),IF(ISNUMBER(INDEX('My equipment'!$M$4:$M$503,(_calc!$E$834-500))),TEXT(INDEX('My equipment'!$M$4:$M$503,(_calc!$E$834-500)),"yyyy-mm-dd"),"")))</f>
        <v/>
      </c>
      <c r="C832" s="54">
        <f>IF(_calc!$E$834="","",IF(_calc!$E$834&lt;=500,"Warranty","Warranty"))</f>
        <v/>
      </c>
      <c r="D832" s="54">
        <f>IF(_calc!$E$834="","",IF(_calc!$E$834&lt;=500,IF(ISNUMBER(INDEX('Dealer pipeline'!$H$4:$H$503,_calc!$E$834)),TEXT(INDEX('Dealer pipeline'!$H$4:$H$503,_calc!$E$834),"yyyy-mm-dd"),""),IF(ISNUMBER(INDEX('My equipment'!$H$4:$H$503,(_calc!$E$834-500))),TEXT(INDEX('My equipment'!$H$4:$H$503,(_calc!$E$834-500)),"yyyy-mm-dd"),"")))</f>
        <v/>
      </c>
      <c r="F832" s="54">
        <f>IF(_calc!$E$834="","",IF(_calc!$E$834&lt;=500,TRIM(IF(LEN(IF(LEN(INDEX('Dealer pipeline'!$A$4:$A$503,_calc!$E$834))=0,"",INDEX('Dealer pipeline'!$A$4:$A$503,_calc!$E$834)))=0,"","Customer: "&amp;IF(LEN(INDEX('Dealer pipeline'!$A$4:$A$503,_calc!$E$834))=0,"",INDEX('Dealer pipeline'!$A$4:$A$503,_calc!$E$834))&amp;". ")&amp;IF(LEN(IF(LEN(INDEX('Dealer pipeline'!$B$4:$B$503,_calc!$E$834))=0,"",INDEX('Dealer pipeline'!$B$4:$B$503,_calc!$E$834)))=0,"","Contact: "&amp;IF(LEN(INDEX('Dealer pipeline'!$B$4:$B$503,_calc!$E$834))=0,"",INDEX('Dealer pipeline'!$B$4:$B$503,_calc!$E$834))&amp;". ")&amp;IF(LEN(IF(LEN(INDEX('Dealer pipeline'!$D$4:$D$503,_calc!$E$834))=0,"",INDEX('Dealer pipeline'!$D$4:$D$503,_calc!$E$834)))=0,"","Serial: "&amp;IF(LEN(INDEX('Dealer pipeline'!$D$4:$D$503,_calc!$E$834))=0,"",INDEX('Dealer pipeline'!$D$4:$D$503,_calc!$E$834))&amp;". ")&amp;IF(LEN(IF(ISNUMBER(INDEX('Dealer pipeline'!$J$4:$J$503,_calc!$E$834)),TEXT(INDEX('Dealer pipeline'!$J$4:$J$503,_calc!$E$834),"yyyy-mm-dd"),""))=0,"","Parts end: "&amp;IF(ISNUMBER(INDEX('Dealer pipeline'!$J$4:$J$503,_calc!$E$834)),TEXT(INDEX('Dealer pipeline'!$J$4:$J$503,_calc!$E$834),"yyyy-mm-dd"),"")&amp;". ")&amp;IF(LEN(IF(ISNUMBER(INDEX('Dealer pipeline'!$L$4:$L$503,_calc!$E$834)),TEXT(INDEX('Dealer pipeline'!$L$4:$L$503,_calc!$E$834),"yyyy-mm-dd"),""))=0,"","Labor end: "&amp;IF(ISNUMBER(INDEX('Dealer pipeline'!$L$4:$L$503,_calc!$E$834)),TEXT(INDEX('Dealer pipeline'!$L$4:$L$503,_calc!$E$834),"yyyy-mm-dd"),"")&amp;". ")&amp;IF(LEN(IF(LEN(INDEX('Dealer pipeline'!$Q$4:$Q$503,_calc!$E$834))=0,"",INDEX('Dealer pipeline'!$Q$4:$Q$503,_calc!$E$834)))=0,"","Status: "&amp;IF(LEN(INDEX('Dealer pipeline'!$Q$4:$Q$503,_calc!$E$834))=0,"",INDEX('Dealer pipeline'!$Q$4:$Q$503,_calc!$E$834))&amp;". ")&amp;IF(LEN(IF(LEN(INDEX('Dealer pipeline'!$P$4:$P$503,_calc!$E$834))=0,"",INDEX('Dealer pipeline'!$P$4:$P$503,_calc!$E$834)))=0,"","Last touch: "&amp;IF(LEN(INDEX('Dealer pipeline'!$P$4:$P$503,_calc!$E$834))=0,"",INDEX('Dealer pipeline'!$P$4:$P$503,_calc!$E$834))&amp;". ")&amp;IF(LEN(IF(LEN(INDEX('Dealer pipeline'!$R$4:$R$503,_calc!$E$834))=0,"",INDEX('Dealer pipeline'!$R$4:$R$503,_calc!$E$834)))=0,"","Owner: "&amp;IF(LEN(INDEX('Dealer pipeline'!$R$4:$R$503,_calc!$E$834))=0,"",INDEX('Dealer pipeline'!$R$4:$R$503,_calc!$E$834))&amp;". ")&amp;IF(LEN(IF(LEN(INDEX('Dealer pipeline'!$S$4:$S$503,_calc!$E$834))=0,"",INDEX('Dealer pipeline'!$S$4:$S$503,_calc!$E$834)))=0,"","Backup: "&amp;IF(LEN(INDEX('Dealer pipeline'!$S$4:$S$503,_calc!$E$834))=0,"",INDEX('Dealer pipeline'!$S$4:$S$503,_calc!$E$834))&amp;". ")&amp;IF(LEN(IF(LEN(INDEX('Dealer pipeline'!$T$4:$T$503,_calc!$E$834))=0,"",INDEX('Dealer pipeline'!$T$4:$T$503,_calc!$E$834)))=0,"",IF(LEN(INDEX('Dealer pipeline'!$T$4:$T$503,_calc!$E$834))=0,"",INDEX('Dealer pipeline'!$T$4:$T$503,_calc!$E$834)))),TRIM(IF(LEN(IF(LEN(INDEX('My equipment'!$C$4:$C$503,(_calc!$E$834-500)))=0,"",INDEX('My equipment'!$C$4:$C$503,(_calc!$E$834-500))))=0,"","Model: "&amp;IF(LEN(INDEX('My equipment'!$C$4:$C$503,(_calc!$E$834-500)))=0,"",INDEX('My equipment'!$C$4:$C$503,(_calc!$E$834-500)))&amp;". ")&amp;IF(LEN(IF(LEN(INDEX('My equipment'!$D$4:$D$503,(_calc!$E$834-500)))=0,"",INDEX('My equipment'!$D$4:$D$503,(_calc!$E$834-500))))=0,"","Serial: "&amp;IF(LEN(INDEX('My equipment'!$D$4:$D$503,(_calc!$E$834-500)))=0,"",INDEX('My equipment'!$D$4:$D$503,(_calc!$E$834-500)))&amp;". ")&amp;IF(LEN(IF(ISNUMBER(INDEX('My equipment'!$J$4:$J$503,(_calc!$E$834-500))),TEXT(INDEX('My equipment'!$J$4:$J$503,(_calc!$E$834-500)),"yyyy-mm-dd"),""))=0,"","Parts end: "&amp;IF(ISNUMBER(INDEX('My equipment'!$J$4:$J$503,(_calc!$E$834-500))),TEXT(INDEX('My equipment'!$J$4:$J$503,(_calc!$E$834-500)),"yyyy-mm-dd"),"")&amp;". ")&amp;IF(LEN(IF(ISNUMBER(INDEX('My equipment'!$L$4:$L$503,(_calc!$E$834-500))),TEXT(INDEX('My equipment'!$L$4:$L$503,(_calc!$E$834-500)),"yyyy-mm-dd"),""))=0,"","Labor end: "&amp;IF(ISNUMBER(INDEX('My equipment'!$L$4:$L$503,(_calc!$E$834-500))),TEXT(INDEX('My equipment'!$L$4:$L$503,(_calc!$E$834-500)),"yyyy-mm-dd"),"")&amp;". ")&amp;IF(LEN(IF(ISNUMBER(INDEX('My equipment'!$P$4:$P$503,(_calc!$E$834-500))),TEXT(INDEX('My equipment'!$P$4:$P$503,(_calc!$E$834-500)),"yyyy-mm-dd"),""))=0,"","Check by: "&amp;IF(ISNUMBER(INDEX('My equipment'!$P$4:$P$503,(_calc!$E$834-500))),TEXT(INDEX('My equipment'!$P$4:$P$503,(_calc!$E$834-500)),"yyyy-mm-dd"),"")&amp;". ")&amp;IF(LEN(IF(LEN(INDEX('My equipment'!$Q$4:$Q$503,(_calc!$E$834-500)))=0,"",INDEX('My equipment'!$Q$4:$Q$503,(_calc!$E$834-500))))=0,"","Claim status: "&amp;IF(LEN(INDEX('My equipment'!$Q$4:$Q$503,(_calc!$E$834-500)))=0,"",INDEX('My equipment'!$Q$4:$Q$503,(_calc!$E$834-500)))&amp;". ")&amp;IF(LEN(IF(LEN(INDEX('My equipment'!$R$4:$R$503,(_calc!$E$834-500)))=0,"",INDEX('My equipment'!$R$4:$R$503,(_calc!$E$834-500))))=0,"","Claims contact: "&amp;IF(LEN(INDEX('My equipment'!$R$4:$R$503,(_calc!$E$834-500)))=0,"",INDEX('My equipment'!$R$4:$R$503,(_calc!$E$834-500)))&amp;". ")&amp;IF(LEN(IF(LEN(INDEX('My equipment'!$S$4:$S$503,(_calc!$E$834-500)))=0,"",INDEX('My equipment'!$S$4:$S$503,(_calc!$E$834-500))))=0,"","Claims email: "&amp;IF(LEN(INDEX('My equipment'!$S$4:$S$503,(_calc!$E$834-500)))=0,"",INDEX('My equipment'!$S$4:$S$503,(_calc!$E$834-500)))&amp;". ")&amp;IF(LEN(IF(LEN(INDEX('My equipment'!$U$4:$U$503,(_calc!$E$834-500)))=0,"",INDEX('My equipment'!$U$4:$U$503,(_calc!$E$834-500))))=0,"","Registered: "&amp;IF(LEN(INDEX('My equipment'!$U$4:$U$503,(_calc!$E$834-500)))=0,"",INDEX('My equipment'!$U$4:$U$503,(_calc!$E$834-500)))&amp;". ")&amp;IF(LEN(IF(LEN(INDEX('My equipment'!$V$4:$V$503,(_calc!$E$834-500)))=0,"",INDEX('My equipment'!$V$4:$V$503,(_calc!$E$834-500))))=0,"","Proof on file: "&amp;IF(LEN(INDEX('My equipment'!$V$4:$V$503,(_calc!$E$834-500)))=0,"",INDEX('My equipment'!$V$4:$V$503,(_calc!$E$834-500)))&amp;". ")&amp;IF(LEN(IF(LEN(INDEX('My equipment'!$W$4:$W$503,(_calc!$E$834-500)))=0,"",INDEX('My equipment'!$W$4:$W$503,(_calc!$E$834-500))))=0,"","Claim ref: "&amp;IF(LEN(INDEX('My equipment'!$W$4:$W$503,(_calc!$E$834-500)))=0,"",INDEX('My equipment'!$W$4:$W$503,(_calc!$E$834-500)))&amp;". ")&amp;IF(LEN(IF(LEN(INDEX('My equipment'!$Y$4:$Y$503,(_calc!$E$834-500)))=0,"",INDEX('My equipment'!$Y$4:$Y$503,(_calc!$E$834-500))))=0,"",IF(LEN(INDEX('My equipment'!$Y$4:$Y$503,(_calc!$E$834-500)))=0,"",INDEX('My equipment'!$Y$4:$Y$503,(_calc!$E$834-500)))))))</f>
        <v/>
      </c>
      <c r="G832" s="54">
        <f>IF(_calc!$E$834="","",IF(_calc!$E$834&lt;=500,"",IF(LEN(INDEX('My equipment'!$X$4:$X$503,(_calc!$E$834-500)))=0,"",INDEX('My equipment'!$X$4:$X$503,(_calc!$E$834-500)))))</f>
        <v/>
      </c>
      <c r="K832" s="54">
        <f>IF(_calc!$E$834="","",IF(_calc!$E$834&lt;=500,"",IF(LEN(INDEX('My equipment'!$T$4:$T$503,(_calc!$E$834-500)))=0,"",INDEX('My equipment'!$T$4:$T$503,(_calc!$E$834-500)))))</f>
        <v/>
      </c>
    </row>
    <row r="833">
      <c r="A833" s="54">
        <f>IF(_calc!$E$835="","",IF(_calc!$E$835&lt;=500,"Warranty – "&amp;IF(LEN(INDEX('Dealer pipeline'!$C$4:$C$503,_calc!$E$835))=0,"",INDEX('Dealer pipeline'!$C$4:$C$503,_calc!$E$835))&amp;" – "&amp;IF(LEN(INDEX('Dealer pipeline'!$D$4:$D$503,_calc!$E$835))=0,"",INDEX('Dealer pipeline'!$D$4:$D$503,_calc!$E$835))&amp;" – "&amp;IF(LEN(INDEX('Dealer pipeline'!$A$4:$A$503,_calc!$E$835))=0,"",INDEX('Dealer pipeline'!$A$4:$A$503,_calc!$E$835)),"Warranty – "&amp;IF(LEN(INDEX('My equipment'!$A$4:$A$503,(_calc!$E$835-500)))=0,"",INDEX('My equipment'!$A$4:$A$503,(_calc!$E$835-500)))&amp;" – "&amp;IF(LEN(INDEX('My equipment'!$D$4:$D$503,(_calc!$E$835-500)))=0,"",INDEX('My equipment'!$D$4:$D$503,(_calc!$E$835-500)))))</f>
        <v/>
      </c>
      <c r="B833" s="54">
        <f>IF(_calc!$E$835="","",IF(_calc!$E$835&lt;=500,IF(ISNUMBER(INDEX('Dealer pipeline'!$M$4:$M$503,_calc!$E$835)),TEXT(INDEX('Dealer pipeline'!$M$4:$M$503,_calc!$E$835),"yyyy-mm-dd"),""),IF(ISNUMBER(INDEX('My equipment'!$M$4:$M$503,(_calc!$E$835-500))),TEXT(INDEX('My equipment'!$M$4:$M$503,(_calc!$E$835-500)),"yyyy-mm-dd"),"")))</f>
        <v/>
      </c>
      <c r="C833" s="54">
        <f>IF(_calc!$E$835="","",IF(_calc!$E$835&lt;=500,"Warranty","Warranty"))</f>
        <v/>
      </c>
      <c r="D833" s="54">
        <f>IF(_calc!$E$835="","",IF(_calc!$E$835&lt;=500,IF(ISNUMBER(INDEX('Dealer pipeline'!$H$4:$H$503,_calc!$E$835)),TEXT(INDEX('Dealer pipeline'!$H$4:$H$503,_calc!$E$835),"yyyy-mm-dd"),""),IF(ISNUMBER(INDEX('My equipment'!$H$4:$H$503,(_calc!$E$835-500))),TEXT(INDEX('My equipment'!$H$4:$H$503,(_calc!$E$835-500)),"yyyy-mm-dd"),"")))</f>
        <v/>
      </c>
      <c r="F833" s="54">
        <f>IF(_calc!$E$835="","",IF(_calc!$E$835&lt;=500,TRIM(IF(LEN(IF(LEN(INDEX('Dealer pipeline'!$A$4:$A$503,_calc!$E$835))=0,"",INDEX('Dealer pipeline'!$A$4:$A$503,_calc!$E$835)))=0,"","Customer: "&amp;IF(LEN(INDEX('Dealer pipeline'!$A$4:$A$503,_calc!$E$835))=0,"",INDEX('Dealer pipeline'!$A$4:$A$503,_calc!$E$835))&amp;". ")&amp;IF(LEN(IF(LEN(INDEX('Dealer pipeline'!$B$4:$B$503,_calc!$E$835))=0,"",INDEX('Dealer pipeline'!$B$4:$B$503,_calc!$E$835)))=0,"","Contact: "&amp;IF(LEN(INDEX('Dealer pipeline'!$B$4:$B$503,_calc!$E$835))=0,"",INDEX('Dealer pipeline'!$B$4:$B$503,_calc!$E$835))&amp;". ")&amp;IF(LEN(IF(LEN(INDEX('Dealer pipeline'!$D$4:$D$503,_calc!$E$835))=0,"",INDEX('Dealer pipeline'!$D$4:$D$503,_calc!$E$835)))=0,"","Serial: "&amp;IF(LEN(INDEX('Dealer pipeline'!$D$4:$D$503,_calc!$E$835))=0,"",INDEX('Dealer pipeline'!$D$4:$D$503,_calc!$E$835))&amp;". ")&amp;IF(LEN(IF(ISNUMBER(INDEX('Dealer pipeline'!$J$4:$J$503,_calc!$E$835)),TEXT(INDEX('Dealer pipeline'!$J$4:$J$503,_calc!$E$835),"yyyy-mm-dd"),""))=0,"","Parts end: "&amp;IF(ISNUMBER(INDEX('Dealer pipeline'!$J$4:$J$503,_calc!$E$835)),TEXT(INDEX('Dealer pipeline'!$J$4:$J$503,_calc!$E$835),"yyyy-mm-dd"),"")&amp;". ")&amp;IF(LEN(IF(ISNUMBER(INDEX('Dealer pipeline'!$L$4:$L$503,_calc!$E$835)),TEXT(INDEX('Dealer pipeline'!$L$4:$L$503,_calc!$E$835),"yyyy-mm-dd"),""))=0,"","Labor end: "&amp;IF(ISNUMBER(INDEX('Dealer pipeline'!$L$4:$L$503,_calc!$E$835)),TEXT(INDEX('Dealer pipeline'!$L$4:$L$503,_calc!$E$835),"yyyy-mm-dd"),"")&amp;". ")&amp;IF(LEN(IF(LEN(INDEX('Dealer pipeline'!$Q$4:$Q$503,_calc!$E$835))=0,"",INDEX('Dealer pipeline'!$Q$4:$Q$503,_calc!$E$835)))=0,"","Status: "&amp;IF(LEN(INDEX('Dealer pipeline'!$Q$4:$Q$503,_calc!$E$835))=0,"",INDEX('Dealer pipeline'!$Q$4:$Q$503,_calc!$E$835))&amp;". ")&amp;IF(LEN(IF(LEN(INDEX('Dealer pipeline'!$P$4:$P$503,_calc!$E$835))=0,"",INDEX('Dealer pipeline'!$P$4:$P$503,_calc!$E$835)))=0,"","Last touch: "&amp;IF(LEN(INDEX('Dealer pipeline'!$P$4:$P$503,_calc!$E$835))=0,"",INDEX('Dealer pipeline'!$P$4:$P$503,_calc!$E$835))&amp;". ")&amp;IF(LEN(IF(LEN(INDEX('Dealer pipeline'!$R$4:$R$503,_calc!$E$835))=0,"",INDEX('Dealer pipeline'!$R$4:$R$503,_calc!$E$835)))=0,"","Owner: "&amp;IF(LEN(INDEX('Dealer pipeline'!$R$4:$R$503,_calc!$E$835))=0,"",INDEX('Dealer pipeline'!$R$4:$R$503,_calc!$E$835))&amp;". ")&amp;IF(LEN(IF(LEN(INDEX('Dealer pipeline'!$S$4:$S$503,_calc!$E$835))=0,"",INDEX('Dealer pipeline'!$S$4:$S$503,_calc!$E$835)))=0,"","Backup: "&amp;IF(LEN(INDEX('Dealer pipeline'!$S$4:$S$503,_calc!$E$835))=0,"",INDEX('Dealer pipeline'!$S$4:$S$503,_calc!$E$835))&amp;". ")&amp;IF(LEN(IF(LEN(INDEX('Dealer pipeline'!$T$4:$T$503,_calc!$E$835))=0,"",INDEX('Dealer pipeline'!$T$4:$T$503,_calc!$E$835)))=0,"",IF(LEN(INDEX('Dealer pipeline'!$T$4:$T$503,_calc!$E$835))=0,"",INDEX('Dealer pipeline'!$T$4:$T$503,_calc!$E$835)))),TRIM(IF(LEN(IF(LEN(INDEX('My equipment'!$C$4:$C$503,(_calc!$E$835-500)))=0,"",INDEX('My equipment'!$C$4:$C$503,(_calc!$E$835-500))))=0,"","Model: "&amp;IF(LEN(INDEX('My equipment'!$C$4:$C$503,(_calc!$E$835-500)))=0,"",INDEX('My equipment'!$C$4:$C$503,(_calc!$E$835-500)))&amp;". ")&amp;IF(LEN(IF(LEN(INDEX('My equipment'!$D$4:$D$503,(_calc!$E$835-500)))=0,"",INDEX('My equipment'!$D$4:$D$503,(_calc!$E$835-500))))=0,"","Serial: "&amp;IF(LEN(INDEX('My equipment'!$D$4:$D$503,(_calc!$E$835-500)))=0,"",INDEX('My equipment'!$D$4:$D$503,(_calc!$E$835-500)))&amp;". ")&amp;IF(LEN(IF(ISNUMBER(INDEX('My equipment'!$J$4:$J$503,(_calc!$E$835-500))),TEXT(INDEX('My equipment'!$J$4:$J$503,(_calc!$E$835-500)),"yyyy-mm-dd"),""))=0,"","Parts end: "&amp;IF(ISNUMBER(INDEX('My equipment'!$J$4:$J$503,(_calc!$E$835-500))),TEXT(INDEX('My equipment'!$J$4:$J$503,(_calc!$E$835-500)),"yyyy-mm-dd"),"")&amp;". ")&amp;IF(LEN(IF(ISNUMBER(INDEX('My equipment'!$L$4:$L$503,(_calc!$E$835-500))),TEXT(INDEX('My equipment'!$L$4:$L$503,(_calc!$E$835-500)),"yyyy-mm-dd"),""))=0,"","Labor end: "&amp;IF(ISNUMBER(INDEX('My equipment'!$L$4:$L$503,(_calc!$E$835-500))),TEXT(INDEX('My equipment'!$L$4:$L$503,(_calc!$E$835-500)),"yyyy-mm-dd"),"")&amp;". ")&amp;IF(LEN(IF(ISNUMBER(INDEX('My equipment'!$P$4:$P$503,(_calc!$E$835-500))),TEXT(INDEX('My equipment'!$P$4:$P$503,(_calc!$E$835-500)),"yyyy-mm-dd"),""))=0,"","Check by: "&amp;IF(ISNUMBER(INDEX('My equipment'!$P$4:$P$503,(_calc!$E$835-500))),TEXT(INDEX('My equipment'!$P$4:$P$503,(_calc!$E$835-500)),"yyyy-mm-dd"),"")&amp;". ")&amp;IF(LEN(IF(LEN(INDEX('My equipment'!$Q$4:$Q$503,(_calc!$E$835-500)))=0,"",INDEX('My equipment'!$Q$4:$Q$503,(_calc!$E$835-500))))=0,"","Claim status: "&amp;IF(LEN(INDEX('My equipment'!$Q$4:$Q$503,(_calc!$E$835-500)))=0,"",INDEX('My equipment'!$Q$4:$Q$503,(_calc!$E$835-500)))&amp;". ")&amp;IF(LEN(IF(LEN(INDEX('My equipment'!$R$4:$R$503,(_calc!$E$835-500)))=0,"",INDEX('My equipment'!$R$4:$R$503,(_calc!$E$835-500))))=0,"","Claims contact: "&amp;IF(LEN(INDEX('My equipment'!$R$4:$R$503,(_calc!$E$835-500)))=0,"",INDEX('My equipment'!$R$4:$R$503,(_calc!$E$835-500)))&amp;". ")&amp;IF(LEN(IF(LEN(INDEX('My equipment'!$S$4:$S$503,(_calc!$E$835-500)))=0,"",INDEX('My equipment'!$S$4:$S$503,(_calc!$E$835-500))))=0,"","Claims email: "&amp;IF(LEN(INDEX('My equipment'!$S$4:$S$503,(_calc!$E$835-500)))=0,"",INDEX('My equipment'!$S$4:$S$503,(_calc!$E$835-500)))&amp;". ")&amp;IF(LEN(IF(LEN(INDEX('My equipment'!$U$4:$U$503,(_calc!$E$835-500)))=0,"",INDEX('My equipment'!$U$4:$U$503,(_calc!$E$835-500))))=0,"","Registered: "&amp;IF(LEN(INDEX('My equipment'!$U$4:$U$503,(_calc!$E$835-500)))=0,"",INDEX('My equipment'!$U$4:$U$503,(_calc!$E$835-500)))&amp;". ")&amp;IF(LEN(IF(LEN(INDEX('My equipment'!$V$4:$V$503,(_calc!$E$835-500)))=0,"",INDEX('My equipment'!$V$4:$V$503,(_calc!$E$835-500))))=0,"","Proof on file: "&amp;IF(LEN(INDEX('My equipment'!$V$4:$V$503,(_calc!$E$835-500)))=0,"",INDEX('My equipment'!$V$4:$V$503,(_calc!$E$835-500)))&amp;". ")&amp;IF(LEN(IF(LEN(INDEX('My equipment'!$W$4:$W$503,(_calc!$E$835-500)))=0,"",INDEX('My equipment'!$W$4:$W$503,(_calc!$E$835-500))))=0,"","Claim ref: "&amp;IF(LEN(INDEX('My equipment'!$W$4:$W$503,(_calc!$E$835-500)))=0,"",INDEX('My equipment'!$W$4:$W$503,(_calc!$E$835-500)))&amp;". ")&amp;IF(LEN(IF(LEN(INDEX('My equipment'!$Y$4:$Y$503,(_calc!$E$835-500)))=0,"",INDEX('My equipment'!$Y$4:$Y$503,(_calc!$E$835-500))))=0,"",IF(LEN(INDEX('My equipment'!$Y$4:$Y$503,(_calc!$E$835-500)))=0,"",INDEX('My equipment'!$Y$4:$Y$503,(_calc!$E$835-500)))))))</f>
        <v/>
      </c>
      <c r="G833" s="54">
        <f>IF(_calc!$E$835="","",IF(_calc!$E$835&lt;=500,"",IF(LEN(INDEX('My equipment'!$X$4:$X$503,(_calc!$E$835-500)))=0,"",INDEX('My equipment'!$X$4:$X$503,(_calc!$E$835-500)))))</f>
        <v/>
      </c>
      <c r="K833" s="54">
        <f>IF(_calc!$E$835="","",IF(_calc!$E$835&lt;=500,"",IF(LEN(INDEX('My equipment'!$T$4:$T$503,(_calc!$E$835-500)))=0,"",INDEX('My equipment'!$T$4:$T$503,(_calc!$E$835-500)))))</f>
        <v/>
      </c>
    </row>
    <row r="834">
      <c r="A834" s="54">
        <f>IF(_calc!$E$836="","",IF(_calc!$E$836&lt;=500,"Warranty – "&amp;IF(LEN(INDEX('Dealer pipeline'!$C$4:$C$503,_calc!$E$836))=0,"",INDEX('Dealer pipeline'!$C$4:$C$503,_calc!$E$836))&amp;" – "&amp;IF(LEN(INDEX('Dealer pipeline'!$D$4:$D$503,_calc!$E$836))=0,"",INDEX('Dealer pipeline'!$D$4:$D$503,_calc!$E$836))&amp;" – "&amp;IF(LEN(INDEX('Dealer pipeline'!$A$4:$A$503,_calc!$E$836))=0,"",INDEX('Dealer pipeline'!$A$4:$A$503,_calc!$E$836)),"Warranty – "&amp;IF(LEN(INDEX('My equipment'!$A$4:$A$503,(_calc!$E$836-500)))=0,"",INDEX('My equipment'!$A$4:$A$503,(_calc!$E$836-500)))&amp;" – "&amp;IF(LEN(INDEX('My equipment'!$D$4:$D$503,(_calc!$E$836-500)))=0,"",INDEX('My equipment'!$D$4:$D$503,(_calc!$E$836-500)))))</f>
        <v/>
      </c>
      <c r="B834" s="54">
        <f>IF(_calc!$E$836="","",IF(_calc!$E$836&lt;=500,IF(ISNUMBER(INDEX('Dealer pipeline'!$M$4:$M$503,_calc!$E$836)),TEXT(INDEX('Dealer pipeline'!$M$4:$M$503,_calc!$E$836),"yyyy-mm-dd"),""),IF(ISNUMBER(INDEX('My equipment'!$M$4:$M$503,(_calc!$E$836-500))),TEXT(INDEX('My equipment'!$M$4:$M$503,(_calc!$E$836-500)),"yyyy-mm-dd"),"")))</f>
        <v/>
      </c>
      <c r="C834" s="54">
        <f>IF(_calc!$E$836="","",IF(_calc!$E$836&lt;=500,"Warranty","Warranty"))</f>
        <v/>
      </c>
      <c r="D834" s="54">
        <f>IF(_calc!$E$836="","",IF(_calc!$E$836&lt;=500,IF(ISNUMBER(INDEX('Dealer pipeline'!$H$4:$H$503,_calc!$E$836)),TEXT(INDEX('Dealer pipeline'!$H$4:$H$503,_calc!$E$836),"yyyy-mm-dd"),""),IF(ISNUMBER(INDEX('My equipment'!$H$4:$H$503,(_calc!$E$836-500))),TEXT(INDEX('My equipment'!$H$4:$H$503,(_calc!$E$836-500)),"yyyy-mm-dd"),"")))</f>
        <v/>
      </c>
      <c r="F834" s="54">
        <f>IF(_calc!$E$836="","",IF(_calc!$E$836&lt;=500,TRIM(IF(LEN(IF(LEN(INDEX('Dealer pipeline'!$A$4:$A$503,_calc!$E$836))=0,"",INDEX('Dealer pipeline'!$A$4:$A$503,_calc!$E$836)))=0,"","Customer: "&amp;IF(LEN(INDEX('Dealer pipeline'!$A$4:$A$503,_calc!$E$836))=0,"",INDEX('Dealer pipeline'!$A$4:$A$503,_calc!$E$836))&amp;". ")&amp;IF(LEN(IF(LEN(INDEX('Dealer pipeline'!$B$4:$B$503,_calc!$E$836))=0,"",INDEX('Dealer pipeline'!$B$4:$B$503,_calc!$E$836)))=0,"","Contact: "&amp;IF(LEN(INDEX('Dealer pipeline'!$B$4:$B$503,_calc!$E$836))=0,"",INDEX('Dealer pipeline'!$B$4:$B$503,_calc!$E$836))&amp;". ")&amp;IF(LEN(IF(LEN(INDEX('Dealer pipeline'!$D$4:$D$503,_calc!$E$836))=0,"",INDEX('Dealer pipeline'!$D$4:$D$503,_calc!$E$836)))=0,"","Serial: "&amp;IF(LEN(INDEX('Dealer pipeline'!$D$4:$D$503,_calc!$E$836))=0,"",INDEX('Dealer pipeline'!$D$4:$D$503,_calc!$E$836))&amp;". ")&amp;IF(LEN(IF(ISNUMBER(INDEX('Dealer pipeline'!$J$4:$J$503,_calc!$E$836)),TEXT(INDEX('Dealer pipeline'!$J$4:$J$503,_calc!$E$836),"yyyy-mm-dd"),""))=0,"","Parts end: "&amp;IF(ISNUMBER(INDEX('Dealer pipeline'!$J$4:$J$503,_calc!$E$836)),TEXT(INDEX('Dealer pipeline'!$J$4:$J$503,_calc!$E$836),"yyyy-mm-dd"),"")&amp;". ")&amp;IF(LEN(IF(ISNUMBER(INDEX('Dealer pipeline'!$L$4:$L$503,_calc!$E$836)),TEXT(INDEX('Dealer pipeline'!$L$4:$L$503,_calc!$E$836),"yyyy-mm-dd"),""))=0,"","Labor end: "&amp;IF(ISNUMBER(INDEX('Dealer pipeline'!$L$4:$L$503,_calc!$E$836)),TEXT(INDEX('Dealer pipeline'!$L$4:$L$503,_calc!$E$836),"yyyy-mm-dd"),"")&amp;". ")&amp;IF(LEN(IF(LEN(INDEX('Dealer pipeline'!$Q$4:$Q$503,_calc!$E$836))=0,"",INDEX('Dealer pipeline'!$Q$4:$Q$503,_calc!$E$836)))=0,"","Status: "&amp;IF(LEN(INDEX('Dealer pipeline'!$Q$4:$Q$503,_calc!$E$836))=0,"",INDEX('Dealer pipeline'!$Q$4:$Q$503,_calc!$E$836))&amp;". ")&amp;IF(LEN(IF(LEN(INDEX('Dealer pipeline'!$P$4:$P$503,_calc!$E$836))=0,"",INDEX('Dealer pipeline'!$P$4:$P$503,_calc!$E$836)))=0,"","Last touch: "&amp;IF(LEN(INDEX('Dealer pipeline'!$P$4:$P$503,_calc!$E$836))=0,"",INDEX('Dealer pipeline'!$P$4:$P$503,_calc!$E$836))&amp;". ")&amp;IF(LEN(IF(LEN(INDEX('Dealer pipeline'!$R$4:$R$503,_calc!$E$836))=0,"",INDEX('Dealer pipeline'!$R$4:$R$503,_calc!$E$836)))=0,"","Owner: "&amp;IF(LEN(INDEX('Dealer pipeline'!$R$4:$R$503,_calc!$E$836))=0,"",INDEX('Dealer pipeline'!$R$4:$R$503,_calc!$E$836))&amp;". ")&amp;IF(LEN(IF(LEN(INDEX('Dealer pipeline'!$S$4:$S$503,_calc!$E$836))=0,"",INDEX('Dealer pipeline'!$S$4:$S$503,_calc!$E$836)))=0,"","Backup: "&amp;IF(LEN(INDEX('Dealer pipeline'!$S$4:$S$503,_calc!$E$836))=0,"",INDEX('Dealer pipeline'!$S$4:$S$503,_calc!$E$836))&amp;". ")&amp;IF(LEN(IF(LEN(INDEX('Dealer pipeline'!$T$4:$T$503,_calc!$E$836))=0,"",INDEX('Dealer pipeline'!$T$4:$T$503,_calc!$E$836)))=0,"",IF(LEN(INDEX('Dealer pipeline'!$T$4:$T$503,_calc!$E$836))=0,"",INDEX('Dealer pipeline'!$T$4:$T$503,_calc!$E$836)))),TRIM(IF(LEN(IF(LEN(INDEX('My equipment'!$C$4:$C$503,(_calc!$E$836-500)))=0,"",INDEX('My equipment'!$C$4:$C$503,(_calc!$E$836-500))))=0,"","Model: "&amp;IF(LEN(INDEX('My equipment'!$C$4:$C$503,(_calc!$E$836-500)))=0,"",INDEX('My equipment'!$C$4:$C$503,(_calc!$E$836-500)))&amp;". ")&amp;IF(LEN(IF(LEN(INDEX('My equipment'!$D$4:$D$503,(_calc!$E$836-500)))=0,"",INDEX('My equipment'!$D$4:$D$503,(_calc!$E$836-500))))=0,"","Serial: "&amp;IF(LEN(INDEX('My equipment'!$D$4:$D$503,(_calc!$E$836-500)))=0,"",INDEX('My equipment'!$D$4:$D$503,(_calc!$E$836-500)))&amp;". ")&amp;IF(LEN(IF(ISNUMBER(INDEX('My equipment'!$J$4:$J$503,(_calc!$E$836-500))),TEXT(INDEX('My equipment'!$J$4:$J$503,(_calc!$E$836-500)),"yyyy-mm-dd"),""))=0,"","Parts end: "&amp;IF(ISNUMBER(INDEX('My equipment'!$J$4:$J$503,(_calc!$E$836-500))),TEXT(INDEX('My equipment'!$J$4:$J$503,(_calc!$E$836-500)),"yyyy-mm-dd"),"")&amp;". ")&amp;IF(LEN(IF(ISNUMBER(INDEX('My equipment'!$L$4:$L$503,(_calc!$E$836-500))),TEXT(INDEX('My equipment'!$L$4:$L$503,(_calc!$E$836-500)),"yyyy-mm-dd"),""))=0,"","Labor end: "&amp;IF(ISNUMBER(INDEX('My equipment'!$L$4:$L$503,(_calc!$E$836-500))),TEXT(INDEX('My equipment'!$L$4:$L$503,(_calc!$E$836-500)),"yyyy-mm-dd"),"")&amp;". ")&amp;IF(LEN(IF(ISNUMBER(INDEX('My equipment'!$P$4:$P$503,(_calc!$E$836-500))),TEXT(INDEX('My equipment'!$P$4:$P$503,(_calc!$E$836-500)),"yyyy-mm-dd"),""))=0,"","Check by: "&amp;IF(ISNUMBER(INDEX('My equipment'!$P$4:$P$503,(_calc!$E$836-500))),TEXT(INDEX('My equipment'!$P$4:$P$503,(_calc!$E$836-500)),"yyyy-mm-dd"),"")&amp;". ")&amp;IF(LEN(IF(LEN(INDEX('My equipment'!$Q$4:$Q$503,(_calc!$E$836-500)))=0,"",INDEX('My equipment'!$Q$4:$Q$503,(_calc!$E$836-500))))=0,"","Claim status: "&amp;IF(LEN(INDEX('My equipment'!$Q$4:$Q$503,(_calc!$E$836-500)))=0,"",INDEX('My equipment'!$Q$4:$Q$503,(_calc!$E$836-500)))&amp;". ")&amp;IF(LEN(IF(LEN(INDEX('My equipment'!$R$4:$R$503,(_calc!$E$836-500)))=0,"",INDEX('My equipment'!$R$4:$R$503,(_calc!$E$836-500))))=0,"","Claims contact: "&amp;IF(LEN(INDEX('My equipment'!$R$4:$R$503,(_calc!$E$836-500)))=0,"",INDEX('My equipment'!$R$4:$R$503,(_calc!$E$836-500)))&amp;". ")&amp;IF(LEN(IF(LEN(INDEX('My equipment'!$S$4:$S$503,(_calc!$E$836-500)))=0,"",INDEX('My equipment'!$S$4:$S$503,(_calc!$E$836-500))))=0,"","Claims email: "&amp;IF(LEN(INDEX('My equipment'!$S$4:$S$503,(_calc!$E$836-500)))=0,"",INDEX('My equipment'!$S$4:$S$503,(_calc!$E$836-500)))&amp;". ")&amp;IF(LEN(IF(LEN(INDEX('My equipment'!$U$4:$U$503,(_calc!$E$836-500)))=0,"",INDEX('My equipment'!$U$4:$U$503,(_calc!$E$836-500))))=0,"","Registered: "&amp;IF(LEN(INDEX('My equipment'!$U$4:$U$503,(_calc!$E$836-500)))=0,"",INDEX('My equipment'!$U$4:$U$503,(_calc!$E$836-500)))&amp;". ")&amp;IF(LEN(IF(LEN(INDEX('My equipment'!$V$4:$V$503,(_calc!$E$836-500)))=0,"",INDEX('My equipment'!$V$4:$V$503,(_calc!$E$836-500))))=0,"","Proof on file: "&amp;IF(LEN(INDEX('My equipment'!$V$4:$V$503,(_calc!$E$836-500)))=0,"",INDEX('My equipment'!$V$4:$V$503,(_calc!$E$836-500)))&amp;". ")&amp;IF(LEN(IF(LEN(INDEX('My equipment'!$W$4:$W$503,(_calc!$E$836-500)))=0,"",INDEX('My equipment'!$W$4:$W$503,(_calc!$E$836-500))))=0,"","Claim ref: "&amp;IF(LEN(INDEX('My equipment'!$W$4:$W$503,(_calc!$E$836-500)))=0,"",INDEX('My equipment'!$W$4:$W$503,(_calc!$E$836-500)))&amp;". ")&amp;IF(LEN(IF(LEN(INDEX('My equipment'!$Y$4:$Y$503,(_calc!$E$836-500)))=0,"",INDEX('My equipment'!$Y$4:$Y$503,(_calc!$E$836-500))))=0,"",IF(LEN(INDEX('My equipment'!$Y$4:$Y$503,(_calc!$E$836-500)))=0,"",INDEX('My equipment'!$Y$4:$Y$503,(_calc!$E$836-500)))))))</f>
        <v/>
      </c>
      <c r="G834" s="54">
        <f>IF(_calc!$E$836="","",IF(_calc!$E$836&lt;=500,"",IF(LEN(INDEX('My equipment'!$X$4:$X$503,(_calc!$E$836-500)))=0,"",INDEX('My equipment'!$X$4:$X$503,(_calc!$E$836-500)))))</f>
        <v/>
      </c>
      <c r="K834" s="54">
        <f>IF(_calc!$E$836="","",IF(_calc!$E$836&lt;=500,"",IF(LEN(INDEX('My equipment'!$T$4:$T$503,(_calc!$E$836-500)))=0,"",INDEX('My equipment'!$T$4:$T$503,(_calc!$E$836-500)))))</f>
        <v/>
      </c>
    </row>
    <row r="835">
      <c r="A835" s="54">
        <f>IF(_calc!$E$837="","",IF(_calc!$E$837&lt;=500,"Warranty – "&amp;IF(LEN(INDEX('Dealer pipeline'!$C$4:$C$503,_calc!$E$837))=0,"",INDEX('Dealer pipeline'!$C$4:$C$503,_calc!$E$837))&amp;" – "&amp;IF(LEN(INDEX('Dealer pipeline'!$D$4:$D$503,_calc!$E$837))=0,"",INDEX('Dealer pipeline'!$D$4:$D$503,_calc!$E$837))&amp;" – "&amp;IF(LEN(INDEX('Dealer pipeline'!$A$4:$A$503,_calc!$E$837))=0,"",INDEX('Dealer pipeline'!$A$4:$A$503,_calc!$E$837)),"Warranty – "&amp;IF(LEN(INDEX('My equipment'!$A$4:$A$503,(_calc!$E$837-500)))=0,"",INDEX('My equipment'!$A$4:$A$503,(_calc!$E$837-500)))&amp;" – "&amp;IF(LEN(INDEX('My equipment'!$D$4:$D$503,(_calc!$E$837-500)))=0,"",INDEX('My equipment'!$D$4:$D$503,(_calc!$E$837-500)))))</f>
        <v/>
      </c>
      <c r="B835" s="54">
        <f>IF(_calc!$E$837="","",IF(_calc!$E$837&lt;=500,IF(ISNUMBER(INDEX('Dealer pipeline'!$M$4:$M$503,_calc!$E$837)),TEXT(INDEX('Dealer pipeline'!$M$4:$M$503,_calc!$E$837),"yyyy-mm-dd"),""),IF(ISNUMBER(INDEX('My equipment'!$M$4:$M$503,(_calc!$E$837-500))),TEXT(INDEX('My equipment'!$M$4:$M$503,(_calc!$E$837-500)),"yyyy-mm-dd"),"")))</f>
        <v/>
      </c>
      <c r="C835" s="54">
        <f>IF(_calc!$E$837="","",IF(_calc!$E$837&lt;=500,"Warranty","Warranty"))</f>
        <v/>
      </c>
      <c r="D835" s="54">
        <f>IF(_calc!$E$837="","",IF(_calc!$E$837&lt;=500,IF(ISNUMBER(INDEX('Dealer pipeline'!$H$4:$H$503,_calc!$E$837)),TEXT(INDEX('Dealer pipeline'!$H$4:$H$503,_calc!$E$837),"yyyy-mm-dd"),""),IF(ISNUMBER(INDEX('My equipment'!$H$4:$H$503,(_calc!$E$837-500))),TEXT(INDEX('My equipment'!$H$4:$H$503,(_calc!$E$837-500)),"yyyy-mm-dd"),"")))</f>
        <v/>
      </c>
      <c r="F835" s="54">
        <f>IF(_calc!$E$837="","",IF(_calc!$E$837&lt;=500,TRIM(IF(LEN(IF(LEN(INDEX('Dealer pipeline'!$A$4:$A$503,_calc!$E$837))=0,"",INDEX('Dealer pipeline'!$A$4:$A$503,_calc!$E$837)))=0,"","Customer: "&amp;IF(LEN(INDEX('Dealer pipeline'!$A$4:$A$503,_calc!$E$837))=0,"",INDEX('Dealer pipeline'!$A$4:$A$503,_calc!$E$837))&amp;". ")&amp;IF(LEN(IF(LEN(INDEX('Dealer pipeline'!$B$4:$B$503,_calc!$E$837))=0,"",INDEX('Dealer pipeline'!$B$4:$B$503,_calc!$E$837)))=0,"","Contact: "&amp;IF(LEN(INDEX('Dealer pipeline'!$B$4:$B$503,_calc!$E$837))=0,"",INDEX('Dealer pipeline'!$B$4:$B$503,_calc!$E$837))&amp;". ")&amp;IF(LEN(IF(LEN(INDEX('Dealer pipeline'!$D$4:$D$503,_calc!$E$837))=0,"",INDEX('Dealer pipeline'!$D$4:$D$503,_calc!$E$837)))=0,"","Serial: "&amp;IF(LEN(INDEX('Dealer pipeline'!$D$4:$D$503,_calc!$E$837))=0,"",INDEX('Dealer pipeline'!$D$4:$D$503,_calc!$E$837))&amp;". ")&amp;IF(LEN(IF(ISNUMBER(INDEX('Dealer pipeline'!$J$4:$J$503,_calc!$E$837)),TEXT(INDEX('Dealer pipeline'!$J$4:$J$503,_calc!$E$837),"yyyy-mm-dd"),""))=0,"","Parts end: "&amp;IF(ISNUMBER(INDEX('Dealer pipeline'!$J$4:$J$503,_calc!$E$837)),TEXT(INDEX('Dealer pipeline'!$J$4:$J$503,_calc!$E$837),"yyyy-mm-dd"),"")&amp;". ")&amp;IF(LEN(IF(ISNUMBER(INDEX('Dealer pipeline'!$L$4:$L$503,_calc!$E$837)),TEXT(INDEX('Dealer pipeline'!$L$4:$L$503,_calc!$E$837),"yyyy-mm-dd"),""))=0,"","Labor end: "&amp;IF(ISNUMBER(INDEX('Dealer pipeline'!$L$4:$L$503,_calc!$E$837)),TEXT(INDEX('Dealer pipeline'!$L$4:$L$503,_calc!$E$837),"yyyy-mm-dd"),"")&amp;". ")&amp;IF(LEN(IF(LEN(INDEX('Dealer pipeline'!$Q$4:$Q$503,_calc!$E$837))=0,"",INDEX('Dealer pipeline'!$Q$4:$Q$503,_calc!$E$837)))=0,"","Status: "&amp;IF(LEN(INDEX('Dealer pipeline'!$Q$4:$Q$503,_calc!$E$837))=0,"",INDEX('Dealer pipeline'!$Q$4:$Q$503,_calc!$E$837))&amp;". ")&amp;IF(LEN(IF(LEN(INDEX('Dealer pipeline'!$P$4:$P$503,_calc!$E$837))=0,"",INDEX('Dealer pipeline'!$P$4:$P$503,_calc!$E$837)))=0,"","Last touch: "&amp;IF(LEN(INDEX('Dealer pipeline'!$P$4:$P$503,_calc!$E$837))=0,"",INDEX('Dealer pipeline'!$P$4:$P$503,_calc!$E$837))&amp;". ")&amp;IF(LEN(IF(LEN(INDEX('Dealer pipeline'!$R$4:$R$503,_calc!$E$837))=0,"",INDEX('Dealer pipeline'!$R$4:$R$503,_calc!$E$837)))=0,"","Owner: "&amp;IF(LEN(INDEX('Dealer pipeline'!$R$4:$R$503,_calc!$E$837))=0,"",INDEX('Dealer pipeline'!$R$4:$R$503,_calc!$E$837))&amp;". ")&amp;IF(LEN(IF(LEN(INDEX('Dealer pipeline'!$S$4:$S$503,_calc!$E$837))=0,"",INDEX('Dealer pipeline'!$S$4:$S$503,_calc!$E$837)))=0,"","Backup: "&amp;IF(LEN(INDEX('Dealer pipeline'!$S$4:$S$503,_calc!$E$837))=0,"",INDEX('Dealer pipeline'!$S$4:$S$503,_calc!$E$837))&amp;". ")&amp;IF(LEN(IF(LEN(INDEX('Dealer pipeline'!$T$4:$T$503,_calc!$E$837))=0,"",INDEX('Dealer pipeline'!$T$4:$T$503,_calc!$E$837)))=0,"",IF(LEN(INDEX('Dealer pipeline'!$T$4:$T$503,_calc!$E$837))=0,"",INDEX('Dealer pipeline'!$T$4:$T$503,_calc!$E$837)))),TRIM(IF(LEN(IF(LEN(INDEX('My equipment'!$C$4:$C$503,(_calc!$E$837-500)))=0,"",INDEX('My equipment'!$C$4:$C$503,(_calc!$E$837-500))))=0,"","Model: "&amp;IF(LEN(INDEX('My equipment'!$C$4:$C$503,(_calc!$E$837-500)))=0,"",INDEX('My equipment'!$C$4:$C$503,(_calc!$E$837-500)))&amp;". ")&amp;IF(LEN(IF(LEN(INDEX('My equipment'!$D$4:$D$503,(_calc!$E$837-500)))=0,"",INDEX('My equipment'!$D$4:$D$503,(_calc!$E$837-500))))=0,"","Serial: "&amp;IF(LEN(INDEX('My equipment'!$D$4:$D$503,(_calc!$E$837-500)))=0,"",INDEX('My equipment'!$D$4:$D$503,(_calc!$E$837-500)))&amp;". ")&amp;IF(LEN(IF(ISNUMBER(INDEX('My equipment'!$J$4:$J$503,(_calc!$E$837-500))),TEXT(INDEX('My equipment'!$J$4:$J$503,(_calc!$E$837-500)),"yyyy-mm-dd"),""))=0,"","Parts end: "&amp;IF(ISNUMBER(INDEX('My equipment'!$J$4:$J$503,(_calc!$E$837-500))),TEXT(INDEX('My equipment'!$J$4:$J$503,(_calc!$E$837-500)),"yyyy-mm-dd"),"")&amp;". ")&amp;IF(LEN(IF(ISNUMBER(INDEX('My equipment'!$L$4:$L$503,(_calc!$E$837-500))),TEXT(INDEX('My equipment'!$L$4:$L$503,(_calc!$E$837-500)),"yyyy-mm-dd"),""))=0,"","Labor end: "&amp;IF(ISNUMBER(INDEX('My equipment'!$L$4:$L$503,(_calc!$E$837-500))),TEXT(INDEX('My equipment'!$L$4:$L$503,(_calc!$E$837-500)),"yyyy-mm-dd"),"")&amp;". ")&amp;IF(LEN(IF(ISNUMBER(INDEX('My equipment'!$P$4:$P$503,(_calc!$E$837-500))),TEXT(INDEX('My equipment'!$P$4:$P$503,(_calc!$E$837-500)),"yyyy-mm-dd"),""))=0,"","Check by: "&amp;IF(ISNUMBER(INDEX('My equipment'!$P$4:$P$503,(_calc!$E$837-500))),TEXT(INDEX('My equipment'!$P$4:$P$503,(_calc!$E$837-500)),"yyyy-mm-dd"),"")&amp;". ")&amp;IF(LEN(IF(LEN(INDEX('My equipment'!$Q$4:$Q$503,(_calc!$E$837-500)))=0,"",INDEX('My equipment'!$Q$4:$Q$503,(_calc!$E$837-500))))=0,"","Claim status: "&amp;IF(LEN(INDEX('My equipment'!$Q$4:$Q$503,(_calc!$E$837-500)))=0,"",INDEX('My equipment'!$Q$4:$Q$503,(_calc!$E$837-500)))&amp;". ")&amp;IF(LEN(IF(LEN(INDEX('My equipment'!$R$4:$R$503,(_calc!$E$837-500)))=0,"",INDEX('My equipment'!$R$4:$R$503,(_calc!$E$837-500))))=0,"","Claims contact: "&amp;IF(LEN(INDEX('My equipment'!$R$4:$R$503,(_calc!$E$837-500)))=0,"",INDEX('My equipment'!$R$4:$R$503,(_calc!$E$837-500)))&amp;". ")&amp;IF(LEN(IF(LEN(INDEX('My equipment'!$S$4:$S$503,(_calc!$E$837-500)))=0,"",INDEX('My equipment'!$S$4:$S$503,(_calc!$E$837-500))))=0,"","Claims email: "&amp;IF(LEN(INDEX('My equipment'!$S$4:$S$503,(_calc!$E$837-500)))=0,"",INDEX('My equipment'!$S$4:$S$503,(_calc!$E$837-500)))&amp;". ")&amp;IF(LEN(IF(LEN(INDEX('My equipment'!$U$4:$U$503,(_calc!$E$837-500)))=0,"",INDEX('My equipment'!$U$4:$U$503,(_calc!$E$837-500))))=0,"","Registered: "&amp;IF(LEN(INDEX('My equipment'!$U$4:$U$503,(_calc!$E$837-500)))=0,"",INDEX('My equipment'!$U$4:$U$503,(_calc!$E$837-500)))&amp;". ")&amp;IF(LEN(IF(LEN(INDEX('My equipment'!$V$4:$V$503,(_calc!$E$837-500)))=0,"",INDEX('My equipment'!$V$4:$V$503,(_calc!$E$837-500))))=0,"","Proof on file: "&amp;IF(LEN(INDEX('My equipment'!$V$4:$V$503,(_calc!$E$837-500)))=0,"",INDEX('My equipment'!$V$4:$V$503,(_calc!$E$837-500)))&amp;". ")&amp;IF(LEN(IF(LEN(INDEX('My equipment'!$W$4:$W$503,(_calc!$E$837-500)))=0,"",INDEX('My equipment'!$W$4:$W$503,(_calc!$E$837-500))))=0,"","Claim ref: "&amp;IF(LEN(INDEX('My equipment'!$W$4:$W$503,(_calc!$E$837-500)))=0,"",INDEX('My equipment'!$W$4:$W$503,(_calc!$E$837-500)))&amp;". ")&amp;IF(LEN(IF(LEN(INDEX('My equipment'!$Y$4:$Y$503,(_calc!$E$837-500)))=0,"",INDEX('My equipment'!$Y$4:$Y$503,(_calc!$E$837-500))))=0,"",IF(LEN(INDEX('My equipment'!$Y$4:$Y$503,(_calc!$E$837-500)))=0,"",INDEX('My equipment'!$Y$4:$Y$503,(_calc!$E$837-500)))))))</f>
        <v/>
      </c>
      <c r="G835" s="54">
        <f>IF(_calc!$E$837="","",IF(_calc!$E$837&lt;=500,"",IF(LEN(INDEX('My equipment'!$X$4:$X$503,(_calc!$E$837-500)))=0,"",INDEX('My equipment'!$X$4:$X$503,(_calc!$E$837-500)))))</f>
        <v/>
      </c>
      <c r="K835" s="54">
        <f>IF(_calc!$E$837="","",IF(_calc!$E$837&lt;=500,"",IF(LEN(INDEX('My equipment'!$T$4:$T$503,(_calc!$E$837-500)))=0,"",INDEX('My equipment'!$T$4:$T$503,(_calc!$E$837-500)))))</f>
        <v/>
      </c>
    </row>
    <row r="836">
      <c r="A836" s="54">
        <f>IF(_calc!$E$838="","",IF(_calc!$E$838&lt;=500,"Warranty – "&amp;IF(LEN(INDEX('Dealer pipeline'!$C$4:$C$503,_calc!$E$838))=0,"",INDEX('Dealer pipeline'!$C$4:$C$503,_calc!$E$838))&amp;" – "&amp;IF(LEN(INDEX('Dealer pipeline'!$D$4:$D$503,_calc!$E$838))=0,"",INDEX('Dealer pipeline'!$D$4:$D$503,_calc!$E$838))&amp;" – "&amp;IF(LEN(INDEX('Dealer pipeline'!$A$4:$A$503,_calc!$E$838))=0,"",INDEX('Dealer pipeline'!$A$4:$A$503,_calc!$E$838)),"Warranty – "&amp;IF(LEN(INDEX('My equipment'!$A$4:$A$503,(_calc!$E$838-500)))=0,"",INDEX('My equipment'!$A$4:$A$503,(_calc!$E$838-500)))&amp;" – "&amp;IF(LEN(INDEX('My equipment'!$D$4:$D$503,(_calc!$E$838-500)))=0,"",INDEX('My equipment'!$D$4:$D$503,(_calc!$E$838-500)))))</f>
        <v/>
      </c>
      <c r="B836" s="54">
        <f>IF(_calc!$E$838="","",IF(_calc!$E$838&lt;=500,IF(ISNUMBER(INDEX('Dealer pipeline'!$M$4:$M$503,_calc!$E$838)),TEXT(INDEX('Dealer pipeline'!$M$4:$M$503,_calc!$E$838),"yyyy-mm-dd"),""),IF(ISNUMBER(INDEX('My equipment'!$M$4:$M$503,(_calc!$E$838-500))),TEXT(INDEX('My equipment'!$M$4:$M$503,(_calc!$E$838-500)),"yyyy-mm-dd"),"")))</f>
        <v/>
      </c>
      <c r="C836" s="54">
        <f>IF(_calc!$E$838="","",IF(_calc!$E$838&lt;=500,"Warranty","Warranty"))</f>
        <v/>
      </c>
      <c r="D836" s="54">
        <f>IF(_calc!$E$838="","",IF(_calc!$E$838&lt;=500,IF(ISNUMBER(INDEX('Dealer pipeline'!$H$4:$H$503,_calc!$E$838)),TEXT(INDEX('Dealer pipeline'!$H$4:$H$503,_calc!$E$838),"yyyy-mm-dd"),""),IF(ISNUMBER(INDEX('My equipment'!$H$4:$H$503,(_calc!$E$838-500))),TEXT(INDEX('My equipment'!$H$4:$H$503,(_calc!$E$838-500)),"yyyy-mm-dd"),"")))</f>
        <v/>
      </c>
      <c r="F836" s="54">
        <f>IF(_calc!$E$838="","",IF(_calc!$E$838&lt;=500,TRIM(IF(LEN(IF(LEN(INDEX('Dealer pipeline'!$A$4:$A$503,_calc!$E$838))=0,"",INDEX('Dealer pipeline'!$A$4:$A$503,_calc!$E$838)))=0,"","Customer: "&amp;IF(LEN(INDEX('Dealer pipeline'!$A$4:$A$503,_calc!$E$838))=0,"",INDEX('Dealer pipeline'!$A$4:$A$503,_calc!$E$838))&amp;". ")&amp;IF(LEN(IF(LEN(INDEX('Dealer pipeline'!$B$4:$B$503,_calc!$E$838))=0,"",INDEX('Dealer pipeline'!$B$4:$B$503,_calc!$E$838)))=0,"","Contact: "&amp;IF(LEN(INDEX('Dealer pipeline'!$B$4:$B$503,_calc!$E$838))=0,"",INDEX('Dealer pipeline'!$B$4:$B$503,_calc!$E$838))&amp;". ")&amp;IF(LEN(IF(LEN(INDEX('Dealer pipeline'!$D$4:$D$503,_calc!$E$838))=0,"",INDEX('Dealer pipeline'!$D$4:$D$503,_calc!$E$838)))=0,"","Serial: "&amp;IF(LEN(INDEX('Dealer pipeline'!$D$4:$D$503,_calc!$E$838))=0,"",INDEX('Dealer pipeline'!$D$4:$D$503,_calc!$E$838))&amp;". ")&amp;IF(LEN(IF(ISNUMBER(INDEX('Dealer pipeline'!$J$4:$J$503,_calc!$E$838)),TEXT(INDEX('Dealer pipeline'!$J$4:$J$503,_calc!$E$838),"yyyy-mm-dd"),""))=0,"","Parts end: "&amp;IF(ISNUMBER(INDEX('Dealer pipeline'!$J$4:$J$503,_calc!$E$838)),TEXT(INDEX('Dealer pipeline'!$J$4:$J$503,_calc!$E$838),"yyyy-mm-dd"),"")&amp;". ")&amp;IF(LEN(IF(ISNUMBER(INDEX('Dealer pipeline'!$L$4:$L$503,_calc!$E$838)),TEXT(INDEX('Dealer pipeline'!$L$4:$L$503,_calc!$E$838),"yyyy-mm-dd"),""))=0,"","Labor end: "&amp;IF(ISNUMBER(INDEX('Dealer pipeline'!$L$4:$L$503,_calc!$E$838)),TEXT(INDEX('Dealer pipeline'!$L$4:$L$503,_calc!$E$838),"yyyy-mm-dd"),"")&amp;". ")&amp;IF(LEN(IF(LEN(INDEX('Dealer pipeline'!$Q$4:$Q$503,_calc!$E$838))=0,"",INDEX('Dealer pipeline'!$Q$4:$Q$503,_calc!$E$838)))=0,"","Status: "&amp;IF(LEN(INDEX('Dealer pipeline'!$Q$4:$Q$503,_calc!$E$838))=0,"",INDEX('Dealer pipeline'!$Q$4:$Q$503,_calc!$E$838))&amp;". ")&amp;IF(LEN(IF(LEN(INDEX('Dealer pipeline'!$P$4:$P$503,_calc!$E$838))=0,"",INDEX('Dealer pipeline'!$P$4:$P$503,_calc!$E$838)))=0,"","Last touch: "&amp;IF(LEN(INDEX('Dealer pipeline'!$P$4:$P$503,_calc!$E$838))=0,"",INDEX('Dealer pipeline'!$P$4:$P$503,_calc!$E$838))&amp;". ")&amp;IF(LEN(IF(LEN(INDEX('Dealer pipeline'!$R$4:$R$503,_calc!$E$838))=0,"",INDEX('Dealer pipeline'!$R$4:$R$503,_calc!$E$838)))=0,"","Owner: "&amp;IF(LEN(INDEX('Dealer pipeline'!$R$4:$R$503,_calc!$E$838))=0,"",INDEX('Dealer pipeline'!$R$4:$R$503,_calc!$E$838))&amp;". ")&amp;IF(LEN(IF(LEN(INDEX('Dealer pipeline'!$S$4:$S$503,_calc!$E$838))=0,"",INDEX('Dealer pipeline'!$S$4:$S$503,_calc!$E$838)))=0,"","Backup: "&amp;IF(LEN(INDEX('Dealer pipeline'!$S$4:$S$503,_calc!$E$838))=0,"",INDEX('Dealer pipeline'!$S$4:$S$503,_calc!$E$838))&amp;". ")&amp;IF(LEN(IF(LEN(INDEX('Dealer pipeline'!$T$4:$T$503,_calc!$E$838))=0,"",INDEX('Dealer pipeline'!$T$4:$T$503,_calc!$E$838)))=0,"",IF(LEN(INDEX('Dealer pipeline'!$T$4:$T$503,_calc!$E$838))=0,"",INDEX('Dealer pipeline'!$T$4:$T$503,_calc!$E$838)))),TRIM(IF(LEN(IF(LEN(INDEX('My equipment'!$C$4:$C$503,(_calc!$E$838-500)))=0,"",INDEX('My equipment'!$C$4:$C$503,(_calc!$E$838-500))))=0,"","Model: "&amp;IF(LEN(INDEX('My equipment'!$C$4:$C$503,(_calc!$E$838-500)))=0,"",INDEX('My equipment'!$C$4:$C$503,(_calc!$E$838-500)))&amp;". ")&amp;IF(LEN(IF(LEN(INDEX('My equipment'!$D$4:$D$503,(_calc!$E$838-500)))=0,"",INDEX('My equipment'!$D$4:$D$503,(_calc!$E$838-500))))=0,"","Serial: "&amp;IF(LEN(INDEX('My equipment'!$D$4:$D$503,(_calc!$E$838-500)))=0,"",INDEX('My equipment'!$D$4:$D$503,(_calc!$E$838-500)))&amp;". ")&amp;IF(LEN(IF(ISNUMBER(INDEX('My equipment'!$J$4:$J$503,(_calc!$E$838-500))),TEXT(INDEX('My equipment'!$J$4:$J$503,(_calc!$E$838-500)),"yyyy-mm-dd"),""))=0,"","Parts end: "&amp;IF(ISNUMBER(INDEX('My equipment'!$J$4:$J$503,(_calc!$E$838-500))),TEXT(INDEX('My equipment'!$J$4:$J$503,(_calc!$E$838-500)),"yyyy-mm-dd"),"")&amp;". ")&amp;IF(LEN(IF(ISNUMBER(INDEX('My equipment'!$L$4:$L$503,(_calc!$E$838-500))),TEXT(INDEX('My equipment'!$L$4:$L$503,(_calc!$E$838-500)),"yyyy-mm-dd"),""))=0,"","Labor end: "&amp;IF(ISNUMBER(INDEX('My equipment'!$L$4:$L$503,(_calc!$E$838-500))),TEXT(INDEX('My equipment'!$L$4:$L$503,(_calc!$E$838-500)),"yyyy-mm-dd"),"")&amp;". ")&amp;IF(LEN(IF(ISNUMBER(INDEX('My equipment'!$P$4:$P$503,(_calc!$E$838-500))),TEXT(INDEX('My equipment'!$P$4:$P$503,(_calc!$E$838-500)),"yyyy-mm-dd"),""))=0,"","Check by: "&amp;IF(ISNUMBER(INDEX('My equipment'!$P$4:$P$503,(_calc!$E$838-500))),TEXT(INDEX('My equipment'!$P$4:$P$503,(_calc!$E$838-500)),"yyyy-mm-dd"),"")&amp;". ")&amp;IF(LEN(IF(LEN(INDEX('My equipment'!$Q$4:$Q$503,(_calc!$E$838-500)))=0,"",INDEX('My equipment'!$Q$4:$Q$503,(_calc!$E$838-500))))=0,"","Claim status: "&amp;IF(LEN(INDEX('My equipment'!$Q$4:$Q$503,(_calc!$E$838-500)))=0,"",INDEX('My equipment'!$Q$4:$Q$503,(_calc!$E$838-500)))&amp;". ")&amp;IF(LEN(IF(LEN(INDEX('My equipment'!$R$4:$R$503,(_calc!$E$838-500)))=0,"",INDEX('My equipment'!$R$4:$R$503,(_calc!$E$838-500))))=0,"","Claims contact: "&amp;IF(LEN(INDEX('My equipment'!$R$4:$R$503,(_calc!$E$838-500)))=0,"",INDEX('My equipment'!$R$4:$R$503,(_calc!$E$838-500)))&amp;". ")&amp;IF(LEN(IF(LEN(INDEX('My equipment'!$S$4:$S$503,(_calc!$E$838-500)))=0,"",INDEX('My equipment'!$S$4:$S$503,(_calc!$E$838-500))))=0,"","Claims email: "&amp;IF(LEN(INDEX('My equipment'!$S$4:$S$503,(_calc!$E$838-500)))=0,"",INDEX('My equipment'!$S$4:$S$503,(_calc!$E$838-500)))&amp;". ")&amp;IF(LEN(IF(LEN(INDEX('My equipment'!$U$4:$U$503,(_calc!$E$838-500)))=0,"",INDEX('My equipment'!$U$4:$U$503,(_calc!$E$838-500))))=0,"","Registered: "&amp;IF(LEN(INDEX('My equipment'!$U$4:$U$503,(_calc!$E$838-500)))=0,"",INDEX('My equipment'!$U$4:$U$503,(_calc!$E$838-500)))&amp;". ")&amp;IF(LEN(IF(LEN(INDEX('My equipment'!$V$4:$V$503,(_calc!$E$838-500)))=0,"",INDEX('My equipment'!$V$4:$V$503,(_calc!$E$838-500))))=0,"","Proof on file: "&amp;IF(LEN(INDEX('My equipment'!$V$4:$V$503,(_calc!$E$838-500)))=0,"",INDEX('My equipment'!$V$4:$V$503,(_calc!$E$838-500)))&amp;". ")&amp;IF(LEN(IF(LEN(INDEX('My equipment'!$W$4:$W$503,(_calc!$E$838-500)))=0,"",INDEX('My equipment'!$W$4:$W$503,(_calc!$E$838-500))))=0,"","Claim ref: "&amp;IF(LEN(INDEX('My equipment'!$W$4:$W$503,(_calc!$E$838-500)))=0,"",INDEX('My equipment'!$W$4:$W$503,(_calc!$E$838-500)))&amp;". ")&amp;IF(LEN(IF(LEN(INDEX('My equipment'!$Y$4:$Y$503,(_calc!$E$838-500)))=0,"",INDEX('My equipment'!$Y$4:$Y$503,(_calc!$E$838-500))))=0,"",IF(LEN(INDEX('My equipment'!$Y$4:$Y$503,(_calc!$E$838-500)))=0,"",INDEX('My equipment'!$Y$4:$Y$503,(_calc!$E$838-500)))))))</f>
        <v/>
      </c>
      <c r="G836" s="54">
        <f>IF(_calc!$E$838="","",IF(_calc!$E$838&lt;=500,"",IF(LEN(INDEX('My equipment'!$X$4:$X$503,(_calc!$E$838-500)))=0,"",INDEX('My equipment'!$X$4:$X$503,(_calc!$E$838-500)))))</f>
        <v/>
      </c>
      <c r="K836" s="54">
        <f>IF(_calc!$E$838="","",IF(_calc!$E$838&lt;=500,"",IF(LEN(INDEX('My equipment'!$T$4:$T$503,(_calc!$E$838-500)))=0,"",INDEX('My equipment'!$T$4:$T$503,(_calc!$E$838-500)))))</f>
        <v/>
      </c>
    </row>
    <row r="837">
      <c r="A837" s="54">
        <f>IF(_calc!$E$839="","",IF(_calc!$E$839&lt;=500,"Warranty – "&amp;IF(LEN(INDEX('Dealer pipeline'!$C$4:$C$503,_calc!$E$839))=0,"",INDEX('Dealer pipeline'!$C$4:$C$503,_calc!$E$839))&amp;" – "&amp;IF(LEN(INDEX('Dealer pipeline'!$D$4:$D$503,_calc!$E$839))=0,"",INDEX('Dealer pipeline'!$D$4:$D$503,_calc!$E$839))&amp;" – "&amp;IF(LEN(INDEX('Dealer pipeline'!$A$4:$A$503,_calc!$E$839))=0,"",INDEX('Dealer pipeline'!$A$4:$A$503,_calc!$E$839)),"Warranty – "&amp;IF(LEN(INDEX('My equipment'!$A$4:$A$503,(_calc!$E$839-500)))=0,"",INDEX('My equipment'!$A$4:$A$503,(_calc!$E$839-500)))&amp;" – "&amp;IF(LEN(INDEX('My equipment'!$D$4:$D$503,(_calc!$E$839-500)))=0,"",INDEX('My equipment'!$D$4:$D$503,(_calc!$E$839-500)))))</f>
        <v/>
      </c>
      <c r="B837" s="54">
        <f>IF(_calc!$E$839="","",IF(_calc!$E$839&lt;=500,IF(ISNUMBER(INDEX('Dealer pipeline'!$M$4:$M$503,_calc!$E$839)),TEXT(INDEX('Dealer pipeline'!$M$4:$M$503,_calc!$E$839),"yyyy-mm-dd"),""),IF(ISNUMBER(INDEX('My equipment'!$M$4:$M$503,(_calc!$E$839-500))),TEXT(INDEX('My equipment'!$M$4:$M$503,(_calc!$E$839-500)),"yyyy-mm-dd"),"")))</f>
        <v/>
      </c>
      <c r="C837" s="54">
        <f>IF(_calc!$E$839="","",IF(_calc!$E$839&lt;=500,"Warranty","Warranty"))</f>
        <v/>
      </c>
      <c r="D837" s="54">
        <f>IF(_calc!$E$839="","",IF(_calc!$E$839&lt;=500,IF(ISNUMBER(INDEX('Dealer pipeline'!$H$4:$H$503,_calc!$E$839)),TEXT(INDEX('Dealer pipeline'!$H$4:$H$503,_calc!$E$839),"yyyy-mm-dd"),""),IF(ISNUMBER(INDEX('My equipment'!$H$4:$H$503,(_calc!$E$839-500))),TEXT(INDEX('My equipment'!$H$4:$H$503,(_calc!$E$839-500)),"yyyy-mm-dd"),"")))</f>
        <v/>
      </c>
      <c r="F837" s="54">
        <f>IF(_calc!$E$839="","",IF(_calc!$E$839&lt;=500,TRIM(IF(LEN(IF(LEN(INDEX('Dealer pipeline'!$A$4:$A$503,_calc!$E$839))=0,"",INDEX('Dealer pipeline'!$A$4:$A$503,_calc!$E$839)))=0,"","Customer: "&amp;IF(LEN(INDEX('Dealer pipeline'!$A$4:$A$503,_calc!$E$839))=0,"",INDEX('Dealer pipeline'!$A$4:$A$503,_calc!$E$839))&amp;". ")&amp;IF(LEN(IF(LEN(INDEX('Dealer pipeline'!$B$4:$B$503,_calc!$E$839))=0,"",INDEX('Dealer pipeline'!$B$4:$B$503,_calc!$E$839)))=0,"","Contact: "&amp;IF(LEN(INDEX('Dealer pipeline'!$B$4:$B$503,_calc!$E$839))=0,"",INDEX('Dealer pipeline'!$B$4:$B$503,_calc!$E$839))&amp;". ")&amp;IF(LEN(IF(LEN(INDEX('Dealer pipeline'!$D$4:$D$503,_calc!$E$839))=0,"",INDEX('Dealer pipeline'!$D$4:$D$503,_calc!$E$839)))=0,"","Serial: "&amp;IF(LEN(INDEX('Dealer pipeline'!$D$4:$D$503,_calc!$E$839))=0,"",INDEX('Dealer pipeline'!$D$4:$D$503,_calc!$E$839))&amp;". ")&amp;IF(LEN(IF(ISNUMBER(INDEX('Dealer pipeline'!$J$4:$J$503,_calc!$E$839)),TEXT(INDEX('Dealer pipeline'!$J$4:$J$503,_calc!$E$839),"yyyy-mm-dd"),""))=0,"","Parts end: "&amp;IF(ISNUMBER(INDEX('Dealer pipeline'!$J$4:$J$503,_calc!$E$839)),TEXT(INDEX('Dealer pipeline'!$J$4:$J$503,_calc!$E$839),"yyyy-mm-dd"),"")&amp;". ")&amp;IF(LEN(IF(ISNUMBER(INDEX('Dealer pipeline'!$L$4:$L$503,_calc!$E$839)),TEXT(INDEX('Dealer pipeline'!$L$4:$L$503,_calc!$E$839),"yyyy-mm-dd"),""))=0,"","Labor end: "&amp;IF(ISNUMBER(INDEX('Dealer pipeline'!$L$4:$L$503,_calc!$E$839)),TEXT(INDEX('Dealer pipeline'!$L$4:$L$503,_calc!$E$839),"yyyy-mm-dd"),"")&amp;". ")&amp;IF(LEN(IF(LEN(INDEX('Dealer pipeline'!$Q$4:$Q$503,_calc!$E$839))=0,"",INDEX('Dealer pipeline'!$Q$4:$Q$503,_calc!$E$839)))=0,"","Status: "&amp;IF(LEN(INDEX('Dealer pipeline'!$Q$4:$Q$503,_calc!$E$839))=0,"",INDEX('Dealer pipeline'!$Q$4:$Q$503,_calc!$E$839))&amp;". ")&amp;IF(LEN(IF(LEN(INDEX('Dealer pipeline'!$P$4:$P$503,_calc!$E$839))=0,"",INDEX('Dealer pipeline'!$P$4:$P$503,_calc!$E$839)))=0,"","Last touch: "&amp;IF(LEN(INDEX('Dealer pipeline'!$P$4:$P$503,_calc!$E$839))=0,"",INDEX('Dealer pipeline'!$P$4:$P$503,_calc!$E$839))&amp;". ")&amp;IF(LEN(IF(LEN(INDEX('Dealer pipeline'!$R$4:$R$503,_calc!$E$839))=0,"",INDEX('Dealer pipeline'!$R$4:$R$503,_calc!$E$839)))=0,"","Owner: "&amp;IF(LEN(INDEX('Dealer pipeline'!$R$4:$R$503,_calc!$E$839))=0,"",INDEX('Dealer pipeline'!$R$4:$R$503,_calc!$E$839))&amp;". ")&amp;IF(LEN(IF(LEN(INDEX('Dealer pipeline'!$S$4:$S$503,_calc!$E$839))=0,"",INDEX('Dealer pipeline'!$S$4:$S$503,_calc!$E$839)))=0,"","Backup: "&amp;IF(LEN(INDEX('Dealer pipeline'!$S$4:$S$503,_calc!$E$839))=0,"",INDEX('Dealer pipeline'!$S$4:$S$503,_calc!$E$839))&amp;". ")&amp;IF(LEN(IF(LEN(INDEX('Dealer pipeline'!$T$4:$T$503,_calc!$E$839))=0,"",INDEX('Dealer pipeline'!$T$4:$T$503,_calc!$E$839)))=0,"",IF(LEN(INDEX('Dealer pipeline'!$T$4:$T$503,_calc!$E$839))=0,"",INDEX('Dealer pipeline'!$T$4:$T$503,_calc!$E$839)))),TRIM(IF(LEN(IF(LEN(INDEX('My equipment'!$C$4:$C$503,(_calc!$E$839-500)))=0,"",INDEX('My equipment'!$C$4:$C$503,(_calc!$E$839-500))))=0,"","Model: "&amp;IF(LEN(INDEX('My equipment'!$C$4:$C$503,(_calc!$E$839-500)))=0,"",INDEX('My equipment'!$C$4:$C$503,(_calc!$E$839-500)))&amp;". ")&amp;IF(LEN(IF(LEN(INDEX('My equipment'!$D$4:$D$503,(_calc!$E$839-500)))=0,"",INDEX('My equipment'!$D$4:$D$503,(_calc!$E$839-500))))=0,"","Serial: "&amp;IF(LEN(INDEX('My equipment'!$D$4:$D$503,(_calc!$E$839-500)))=0,"",INDEX('My equipment'!$D$4:$D$503,(_calc!$E$839-500)))&amp;". ")&amp;IF(LEN(IF(ISNUMBER(INDEX('My equipment'!$J$4:$J$503,(_calc!$E$839-500))),TEXT(INDEX('My equipment'!$J$4:$J$503,(_calc!$E$839-500)),"yyyy-mm-dd"),""))=0,"","Parts end: "&amp;IF(ISNUMBER(INDEX('My equipment'!$J$4:$J$503,(_calc!$E$839-500))),TEXT(INDEX('My equipment'!$J$4:$J$503,(_calc!$E$839-500)),"yyyy-mm-dd"),"")&amp;". ")&amp;IF(LEN(IF(ISNUMBER(INDEX('My equipment'!$L$4:$L$503,(_calc!$E$839-500))),TEXT(INDEX('My equipment'!$L$4:$L$503,(_calc!$E$839-500)),"yyyy-mm-dd"),""))=0,"","Labor end: "&amp;IF(ISNUMBER(INDEX('My equipment'!$L$4:$L$503,(_calc!$E$839-500))),TEXT(INDEX('My equipment'!$L$4:$L$503,(_calc!$E$839-500)),"yyyy-mm-dd"),"")&amp;". ")&amp;IF(LEN(IF(ISNUMBER(INDEX('My equipment'!$P$4:$P$503,(_calc!$E$839-500))),TEXT(INDEX('My equipment'!$P$4:$P$503,(_calc!$E$839-500)),"yyyy-mm-dd"),""))=0,"","Check by: "&amp;IF(ISNUMBER(INDEX('My equipment'!$P$4:$P$503,(_calc!$E$839-500))),TEXT(INDEX('My equipment'!$P$4:$P$503,(_calc!$E$839-500)),"yyyy-mm-dd"),"")&amp;". ")&amp;IF(LEN(IF(LEN(INDEX('My equipment'!$Q$4:$Q$503,(_calc!$E$839-500)))=0,"",INDEX('My equipment'!$Q$4:$Q$503,(_calc!$E$839-500))))=0,"","Claim status: "&amp;IF(LEN(INDEX('My equipment'!$Q$4:$Q$503,(_calc!$E$839-500)))=0,"",INDEX('My equipment'!$Q$4:$Q$503,(_calc!$E$839-500)))&amp;". ")&amp;IF(LEN(IF(LEN(INDEX('My equipment'!$R$4:$R$503,(_calc!$E$839-500)))=0,"",INDEX('My equipment'!$R$4:$R$503,(_calc!$E$839-500))))=0,"","Claims contact: "&amp;IF(LEN(INDEX('My equipment'!$R$4:$R$503,(_calc!$E$839-500)))=0,"",INDEX('My equipment'!$R$4:$R$503,(_calc!$E$839-500)))&amp;". ")&amp;IF(LEN(IF(LEN(INDEX('My equipment'!$S$4:$S$503,(_calc!$E$839-500)))=0,"",INDEX('My equipment'!$S$4:$S$503,(_calc!$E$839-500))))=0,"","Claims email: "&amp;IF(LEN(INDEX('My equipment'!$S$4:$S$503,(_calc!$E$839-500)))=0,"",INDEX('My equipment'!$S$4:$S$503,(_calc!$E$839-500)))&amp;". ")&amp;IF(LEN(IF(LEN(INDEX('My equipment'!$U$4:$U$503,(_calc!$E$839-500)))=0,"",INDEX('My equipment'!$U$4:$U$503,(_calc!$E$839-500))))=0,"","Registered: "&amp;IF(LEN(INDEX('My equipment'!$U$4:$U$503,(_calc!$E$839-500)))=0,"",INDEX('My equipment'!$U$4:$U$503,(_calc!$E$839-500)))&amp;". ")&amp;IF(LEN(IF(LEN(INDEX('My equipment'!$V$4:$V$503,(_calc!$E$839-500)))=0,"",INDEX('My equipment'!$V$4:$V$503,(_calc!$E$839-500))))=0,"","Proof on file: "&amp;IF(LEN(INDEX('My equipment'!$V$4:$V$503,(_calc!$E$839-500)))=0,"",INDEX('My equipment'!$V$4:$V$503,(_calc!$E$839-500)))&amp;". ")&amp;IF(LEN(IF(LEN(INDEX('My equipment'!$W$4:$W$503,(_calc!$E$839-500)))=0,"",INDEX('My equipment'!$W$4:$W$503,(_calc!$E$839-500))))=0,"","Claim ref: "&amp;IF(LEN(INDEX('My equipment'!$W$4:$W$503,(_calc!$E$839-500)))=0,"",INDEX('My equipment'!$W$4:$W$503,(_calc!$E$839-500)))&amp;". ")&amp;IF(LEN(IF(LEN(INDEX('My equipment'!$Y$4:$Y$503,(_calc!$E$839-500)))=0,"",INDEX('My equipment'!$Y$4:$Y$503,(_calc!$E$839-500))))=0,"",IF(LEN(INDEX('My equipment'!$Y$4:$Y$503,(_calc!$E$839-500)))=0,"",INDEX('My equipment'!$Y$4:$Y$503,(_calc!$E$839-500)))))))</f>
        <v/>
      </c>
      <c r="G837" s="54">
        <f>IF(_calc!$E$839="","",IF(_calc!$E$839&lt;=500,"",IF(LEN(INDEX('My equipment'!$X$4:$X$503,(_calc!$E$839-500)))=0,"",INDEX('My equipment'!$X$4:$X$503,(_calc!$E$839-500)))))</f>
        <v/>
      </c>
      <c r="K837" s="54">
        <f>IF(_calc!$E$839="","",IF(_calc!$E$839&lt;=500,"",IF(LEN(INDEX('My equipment'!$T$4:$T$503,(_calc!$E$839-500)))=0,"",INDEX('My equipment'!$T$4:$T$503,(_calc!$E$839-500)))))</f>
        <v/>
      </c>
    </row>
    <row r="838">
      <c r="A838" s="54">
        <f>IF(_calc!$E$840="","",IF(_calc!$E$840&lt;=500,"Warranty – "&amp;IF(LEN(INDEX('Dealer pipeline'!$C$4:$C$503,_calc!$E$840))=0,"",INDEX('Dealer pipeline'!$C$4:$C$503,_calc!$E$840))&amp;" – "&amp;IF(LEN(INDEX('Dealer pipeline'!$D$4:$D$503,_calc!$E$840))=0,"",INDEX('Dealer pipeline'!$D$4:$D$503,_calc!$E$840))&amp;" – "&amp;IF(LEN(INDEX('Dealer pipeline'!$A$4:$A$503,_calc!$E$840))=0,"",INDEX('Dealer pipeline'!$A$4:$A$503,_calc!$E$840)),"Warranty – "&amp;IF(LEN(INDEX('My equipment'!$A$4:$A$503,(_calc!$E$840-500)))=0,"",INDEX('My equipment'!$A$4:$A$503,(_calc!$E$840-500)))&amp;" – "&amp;IF(LEN(INDEX('My equipment'!$D$4:$D$503,(_calc!$E$840-500)))=0,"",INDEX('My equipment'!$D$4:$D$503,(_calc!$E$840-500)))))</f>
        <v/>
      </c>
      <c r="B838" s="54">
        <f>IF(_calc!$E$840="","",IF(_calc!$E$840&lt;=500,IF(ISNUMBER(INDEX('Dealer pipeline'!$M$4:$M$503,_calc!$E$840)),TEXT(INDEX('Dealer pipeline'!$M$4:$M$503,_calc!$E$840),"yyyy-mm-dd"),""),IF(ISNUMBER(INDEX('My equipment'!$M$4:$M$503,(_calc!$E$840-500))),TEXT(INDEX('My equipment'!$M$4:$M$503,(_calc!$E$840-500)),"yyyy-mm-dd"),"")))</f>
        <v/>
      </c>
      <c r="C838" s="54">
        <f>IF(_calc!$E$840="","",IF(_calc!$E$840&lt;=500,"Warranty","Warranty"))</f>
        <v/>
      </c>
      <c r="D838" s="54">
        <f>IF(_calc!$E$840="","",IF(_calc!$E$840&lt;=500,IF(ISNUMBER(INDEX('Dealer pipeline'!$H$4:$H$503,_calc!$E$840)),TEXT(INDEX('Dealer pipeline'!$H$4:$H$503,_calc!$E$840),"yyyy-mm-dd"),""),IF(ISNUMBER(INDEX('My equipment'!$H$4:$H$503,(_calc!$E$840-500))),TEXT(INDEX('My equipment'!$H$4:$H$503,(_calc!$E$840-500)),"yyyy-mm-dd"),"")))</f>
        <v/>
      </c>
      <c r="F838" s="54">
        <f>IF(_calc!$E$840="","",IF(_calc!$E$840&lt;=500,TRIM(IF(LEN(IF(LEN(INDEX('Dealer pipeline'!$A$4:$A$503,_calc!$E$840))=0,"",INDEX('Dealer pipeline'!$A$4:$A$503,_calc!$E$840)))=0,"","Customer: "&amp;IF(LEN(INDEX('Dealer pipeline'!$A$4:$A$503,_calc!$E$840))=0,"",INDEX('Dealer pipeline'!$A$4:$A$503,_calc!$E$840))&amp;". ")&amp;IF(LEN(IF(LEN(INDEX('Dealer pipeline'!$B$4:$B$503,_calc!$E$840))=0,"",INDEX('Dealer pipeline'!$B$4:$B$503,_calc!$E$840)))=0,"","Contact: "&amp;IF(LEN(INDEX('Dealer pipeline'!$B$4:$B$503,_calc!$E$840))=0,"",INDEX('Dealer pipeline'!$B$4:$B$503,_calc!$E$840))&amp;". ")&amp;IF(LEN(IF(LEN(INDEX('Dealer pipeline'!$D$4:$D$503,_calc!$E$840))=0,"",INDEX('Dealer pipeline'!$D$4:$D$503,_calc!$E$840)))=0,"","Serial: "&amp;IF(LEN(INDEX('Dealer pipeline'!$D$4:$D$503,_calc!$E$840))=0,"",INDEX('Dealer pipeline'!$D$4:$D$503,_calc!$E$840))&amp;". ")&amp;IF(LEN(IF(ISNUMBER(INDEX('Dealer pipeline'!$J$4:$J$503,_calc!$E$840)),TEXT(INDEX('Dealer pipeline'!$J$4:$J$503,_calc!$E$840),"yyyy-mm-dd"),""))=0,"","Parts end: "&amp;IF(ISNUMBER(INDEX('Dealer pipeline'!$J$4:$J$503,_calc!$E$840)),TEXT(INDEX('Dealer pipeline'!$J$4:$J$503,_calc!$E$840),"yyyy-mm-dd"),"")&amp;". ")&amp;IF(LEN(IF(ISNUMBER(INDEX('Dealer pipeline'!$L$4:$L$503,_calc!$E$840)),TEXT(INDEX('Dealer pipeline'!$L$4:$L$503,_calc!$E$840),"yyyy-mm-dd"),""))=0,"","Labor end: "&amp;IF(ISNUMBER(INDEX('Dealer pipeline'!$L$4:$L$503,_calc!$E$840)),TEXT(INDEX('Dealer pipeline'!$L$4:$L$503,_calc!$E$840),"yyyy-mm-dd"),"")&amp;". ")&amp;IF(LEN(IF(LEN(INDEX('Dealer pipeline'!$Q$4:$Q$503,_calc!$E$840))=0,"",INDEX('Dealer pipeline'!$Q$4:$Q$503,_calc!$E$840)))=0,"","Status: "&amp;IF(LEN(INDEX('Dealer pipeline'!$Q$4:$Q$503,_calc!$E$840))=0,"",INDEX('Dealer pipeline'!$Q$4:$Q$503,_calc!$E$840))&amp;". ")&amp;IF(LEN(IF(LEN(INDEX('Dealer pipeline'!$P$4:$P$503,_calc!$E$840))=0,"",INDEX('Dealer pipeline'!$P$4:$P$503,_calc!$E$840)))=0,"","Last touch: "&amp;IF(LEN(INDEX('Dealer pipeline'!$P$4:$P$503,_calc!$E$840))=0,"",INDEX('Dealer pipeline'!$P$4:$P$503,_calc!$E$840))&amp;". ")&amp;IF(LEN(IF(LEN(INDEX('Dealer pipeline'!$R$4:$R$503,_calc!$E$840))=0,"",INDEX('Dealer pipeline'!$R$4:$R$503,_calc!$E$840)))=0,"","Owner: "&amp;IF(LEN(INDEX('Dealer pipeline'!$R$4:$R$503,_calc!$E$840))=0,"",INDEX('Dealer pipeline'!$R$4:$R$503,_calc!$E$840))&amp;". ")&amp;IF(LEN(IF(LEN(INDEX('Dealer pipeline'!$S$4:$S$503,_calc!$E$840))=0,"",INDEX('Dealer pipeline'!$S$4:$S$503,_calc!$E$840)))=0,"","Backup: "&amp;IF(LEN(INDEX('Dealer pipeline'!$S$4:$S$503,_calc!$E$840))=0,"",INDEX('Dealer pipeline'!$S$4:$S$503,_calc!$E$840))&amp;". ")&amp;IF(LEN(IF(LEN(INDEX('Dealer pipeline'!$T$4:$T$503,_calc!$E$840))=0,"",INDEX('Dealer pipeline'!$T$4:$T$503,_calc!$E$840)))=0,"",IF(LEN(INDEX('Dealer pipeline'!$T$4:$T$503,_calc!$E$840))=0,"",INDEX('Dealer pipeline'!$T$4:$T$503,_calc!$E$840)))),TRIM(IF(LEN(IF(LEN(INDEX('My equipment'!$C$4:$C$503,(_calc!$E$840-500)))=0,"",INDEX('My equipment'!$C$4:$C$503,(_calc!$E$840-500))))=0,"","Model: "&amp;IF(LEN(INDEX('My equipment'!$C$4:$C$503,(_calc!$E$840-500)))=0,"",INDEX('My equipment'!$C$4:$C$503,(_calc!$E$840-500)))&amp;". ")&amp;IF(LEN(IF(LEN(INDEX('My equipment'!$D$4:$D$503,(_calc!$E$840-500)))=0,"",INDEX('My equipment'!$D$4:$D$503,(_calc!$E$840-500))))=0,"","Serial: "&amp;IF(LEN(INDEX('My equipment'!$D$4:$D$503,(_calc!$E$840-500)))=0,"",INDEX('My equipment'!$D$4:$D$503,(_calc!$E$840-500)))&amp;". ")&amp;IF(LEN(IF(ISNUMBER(INDEX('My equipment'!$J$4:$J$503,(_calc!$E$840-500))),TEXT(INDEX('My equipment'!$J$4:$J$503,(_calc!$E$840-500)),"yyyy-mm-dd"),""))=0,"","Parts end: "&amp;IF(ISNUMBER(INDEX('My equipment'!$J$4:$J$503,(_calc!$E$840-500))),TEXT(INDEX('My equipment'!$J$4:$J$503,(_calc!$E$840-500)),"yyyy-mm-dd"),"")&amp;". ")&amp;IF(LEN(IF(ISNUMBER(INDEX('My equipment'!$L$4:$L$503,(_calc!$E$840-500))),TEXT(INDEX('My equipment'!$L$4:$L$503,(_calc!$E$840-500)),"yyyy-mm-dd"),""))=0,"","Labor end: "&amp;IF(ISNUMBER(INDEX('My equipment'!$L$4:$L$503,(_calc!$E$840-500))),TEXT(INDEX('My equipment'!$L$4:$L$503,(_calc!$E$840-500)),"yyyy-mm-dd"),"")&amp;". ")&amp;IF(LEN(IF(ISNUMBER(INDEX('My equipment'!$P$4:$P$503,(_calc!$E$840-500))),TEXT(INDEX('My equipment'!$P$4:$P$503,(_calc!$E$840-500)),"yyyy-mm-dd"),""))=0,"","Check by: "&amp;IF(ISNUMBER(INDEX('My equipment'!$P$4:$P$503,(_calc!$E$840-500))),TEXT(INDEX('My equipment'!$P$4:$P$503,(_calc!$E$840-500)),"yyyy-mm-dd"),"")&amp;". ")&amp;IF(LEN(IF(LEN(INDEX('My equipment'!$Q$4:$Q$503,(_calc!$E$840-500)))=0,"",INDEX('My equipment'!$Q$4:$Q$503,(_calc!$E$840-500))))=0,"","Claim status: "&amp;IF(LEN(INDEX('My equipment'!$Q$4:$Q$503,(_calc!$E$840-500)))=0,"",INDEX('My equipment'!$Q$4:$Q$503,(_calc!$E$840-500)))&amp;". ")&amp;IF(LEN(IF(LEN(INDEX('My equipment'!$R$4:$R$503,(_calc!$E$840-500)))=0,"",INDEX('My equipment'!$R$4:$R$503,(_calc!$E$840-500))))=0,"","Claims contact: "&amp;IF(LEN(INDEX('My equipment'!$R$4:$R$503,(_calc!$E$840-500)))=0,"",INDEX('My equipment'!$R$4:$R$503,(_calc!$E$840-500)))&amp;". ")&amp;IF(LEN(IF(LEN(INDEX('My equipment'!$S$4:$S$503,(_calc!$E$840-500)))=0,"",INDEX('My equipment'!$S$4:$S$503,(_calc!$E$840-500))))=0,"","Claims email: "&amp;IF(LEN(INDEX('My equipment'!$S$4:$S$503,(_calc!$E$840-500)))=0,"",INDEX('My equipment'!$S$4:$S$503,(_calc!$E$840-500)))&amp;". ")&amp;IF(LEN(IF(LEN(INDEX('My equipment'!$U$4:$U$503,(_calc!$E$840-500)))=0,"",INDEX('My equipment'!$U$4:$U$503,(_calc!$E$840-500))))=0,"","Registered: "&amp;IF(LEN(INDEX('My equipment'!$U$4:$U$503,(_calc!$E$840-500)))=0,"",INDEX('My equipment'!$U$4:$U$503,(_calc!$E$840-500)))&amp;". ")&amp;IF(LEN(IF(LEN(INDEX('My equipment'!$V$4:$V$503,(_calc!$E$840-500)))=0,"",INDEX('My equipment'!$V$4:$V$503,(_calc!$E$840-500))))=0,"","Proof on file: "&amp;IF(LEN(INDEX('My equipment'!$V$4:$V$503,(_calc!$E$840-500)))=0,"",INDEX('My equipment'!$V$4:$V$503,(_calc!$E$840-500)))&amp;". ")&amp;IF(LEN(IF(LEN(INDEX('My equipment'!$W$4:$W$503,(_calc!$E$840-500)))=0,"",INDEX('My equipment'!$W$4:$W$503,(_calc!$E$840-500))))=0,"","Claim ref: "&amp;IF(LEN(INDEX('My equipment'!$W$4:$W$503,(_calc!$E$840-500)))=0,"",INDEX('My equipment'!$W$4:$W$503,(_calc!$E$840-500)))&amp;". ")&amp;IF(LEN(IF(LEN(INDEX('My equipment'!$Y$4:$Y$503,(_calc!$E$840-500)))=0,"",INDEX('My equipment'!$Y$4:$Y$503,(_calc!$E$840-500))))=0,"",IF(LEN(INDEX('My equipment'!$Y$4:$Y$503,(_calc!$E$840-500)))=0,"",INDEX('My equipment'!$Y$4:$Y$503,(_calc!$E$840-500)))))))</f>
        <v/>
      </c>
      <c r="G838" s="54">
        <f>IF(_calc!$E$840="","",IF(_calc!$E$840&lt;=500,"",IF(LEN(INDEX('My equipment'!$X$4:$X$503,(_calc!$E$840-500)))=0,"",INDEX('My equipment'!$X$4:$X$503,(_calc!$E$840-500)))))</f>
        <v/>
      </c>
      <c r="K838" s="54">
        <f>IF(_calc!$E$840="","",IF(_calc!$E$840&lt;=500,"",IF(LEN(INDEX('My equipment'!$T$4:$T$503,(_calc!$E$840-500)))=0,"",INDEX('My equipment'!$T$4:$T$503,(_calc!$E$840-500)))))</f>
        <v/>
      </c>
    </row>
    <row r="839">
      <c r="A839" s="54">
        <f>IF(_calc!$E$841="","",IF(_calc!$E$841&lt;=500,"Warranty – "&amp;IF(LEN(INDEX('Dealer pipeline'!$C$4:$C$503,_calc!$E$841))=0,"",INDEX('Dealer pipeline'!$C$4:$C$503,_calc!$E$841))&amp;" – "&amp;IF(LEN(INDEX('Dealer pipeline'!$D$4:$D$503,_calc!$E$841))=0,"",INDEX('Dealer pipeline'!$D$4:$D$503,_calc!$E$841))&amp;" – "&amp;IF(LEN(INDEX('Dealer pipeline'!$A$4:$A$503,_calc!$E$841))=0,"",INDEX('Dealer pipeline'!$A$4:$A$503,_calc!$E$841)),"Warranty – "&amp;IF(LEN(INDEX('My equipment'!$A$4:$A$503,(_calc!$E$841-500)))=0,"",INDEX('My equipment'!$A$4:$A$503,(_calc!$E$841-500)))&amp;" – "&amp;IF(LEN(INDEX('My equipment'!$D$4:$D$503,(_calc!$E$841-500)))=0,"",INDEX('My equipment'!$D$4:$D$503,(_calc!$E$841-500)))))</f>
        <v/>
      </c>
      <c r="B839" s="54">
        <f>IF(_calc!$E$841="","",IF(_calc!$E$841&lt;=500,IF(ISNUMBER(INDEX('Dealer pipeline'!$M$4:$M$503,_calc!$E$841)),TEXT(INDEX('Dealer pipeline'!$M$4:$M$503,_calc!$E$841),"yyyy-mm-dd"),""),IF(ISNUMBER(INDEX('My equipment'!$M$4:$M$503,(_calc!$E$841-500))),TEXT(INDEX('My equipment'!$M$4:$M$503,(_calc!$E$841-500)),"yyyy-mm-dd"),"")))</f>
        <v/>
      </c>
      <c r="C839" s="54">
        <f>IF(_calc!$E$841="","",IF(_calc!$E$841&lt;=500,"Warranty","Warranty"))</f>
        <v/>
      </c>
      <c r="D839" s="54">
        <f>IF(_calc!$E$841="","",IF(_calc!$E$841&lt;=500,IF(ISNUMBER(INDEX('Dealer pipeline'!$H$4:$H$503,_calc!$E$841)),TEXT(INDEX('Dealer pipeline'!$H$4:$H$503,_calc!$E$841),"yyyy-mm-dd"),""),IF(ISNUMBER(INDEX('My equipment'!$H$4:$H$503,(_calc!$E$841-500))),TEXT(INDEX('My equipment'!$H$4:$H$503,(_calc!$E$841-500)),"yyyy-mm-dd"),"")))</f>
        <v/>
      </c>
      <c r="F839" s="54">
        <f>IF(_calc!$E$841="","",IF(_calc!$E$841&lt;=500,TRIM(IF(LEN(IF(LEN(INDEX('Dealer pipeline'!$A$4:$A$503,_calc!$E$841))=0,"",INDEX('Dealer pipeline'!$A$4:$A$503,_calc!$E$841)))=0,"","Customer: "&amp;IF(LEN(INDEX('Dealer pipeline'!$A$4:$A$503,_calc!$E$841))=0,"",INDEX('Dealer pipeline'!$A$4:$A$503,_calc!$E$841))&amp;". ")&amp;IF(LEN(IF(LEN(INDEX('Dealer pipeline'!$B$4:$B$503,_calc!$E$841))=0,"",INDEX('Dealer pipeline'!$B$4:$B$503,_calc!$E$841)))=0,"","Contact: "&amp;IF(LEN(INDEX('Dealer pipeline'!$B$4:$B$503,_calc!$E$841))=0,"",INDEX('Dealer pipeline'!$B$4:$B$503,_calc!$E$841))&amp;". ")&amp;IF(LEN(IF(LEN(INDEX('Dealer pipeline'!$D$4:$D$503,_calc!$E$841))=0,"",INDEX('Dealer pipeline'!$D$4:$D$503,_calc!$E$841)))=0,"","Serial: "&amp;IF(LEN(INDEX('Dealer pipeline'!$D$4:$D$503,_calc!$E$841))=0,"",INDEX('Dealer pipeline'!$D$4:$D$503,_calc!$E$841))&amp;". ")&amp;IF(LEN(IF(ISNUMBER(INDEX('Dealer pipeline'!$J$4:$J$503,_calc!$E$841)),TEXT(INDEX('Dealer pipeline'!$J$4:$J$503,_calc!$E$841),"yyyy-mm-dd"),""))=0,"","Parts end: "&amp;IF(ISNUMBER(INDEX('Dealer pipeline'!$J$4:$J$503,_calc!$E$841)),TEXT(INDEX('Dealer pipeline'!$J$4:$J$503,_calc!$E$841),"yyyy-mm-dd"),"")&amp;". ")&amp;IF(LEN(IF(ISNUMBER(INDEX('Dealer pipeline'!$L$4:$L$503,_calc!$E$841)),TEXT(INDEX('Dealer pipeline'!$L$4:$L$503,_calc!$E$841),"yyyy-mm-dd"),""))=0,"","Labor end: "&amp;IF(ISNUMBER(INDEX('Dealer pipeline'!$L$4:$L$503,_calc!$E$841)),TEXT(INDEX('Dealer pipeline'!$L$4:$L$503,_calc!$E$841),"yyyy-mm-dd"),"")&amp;". ")&amp;IF(LEN(IF(LEN(INDEX('Dealer pipeline'!$Q$4:$Q$503,_calc!$E$841))=0,"",INDEX('Dealer pipeline'!$Q$4:$Q$503,_calc!$E$841)))=0,"","Status: "&amp;IF(LEN(INDEX('Dealer pipeline'!$Q$4:$Q$503,_calc!$E$841))=0,"",INDEX('Dealer pipeline'!$Q$4:$Q$503,_calc!$E$841))&amp;". ")&amp;IF(LEN(IF(LEN(INDEX('Dealer pipeline'!$P$4:$P$503,_calc!$E$841))=0,"",INDEX('Dealer pipeline'!$P$4:$P$503,_calc!$E$841)))=0,"","Last touch: "&amp;IF(LEN(INDEX('Dealer pipeline'!$P$4:$P$503,_calc!$E$841))=0,"",INDEX('Dealer pipeline'!$P$4:$P$503,_calc!$E$841))&amp;". ")&amp;IF(LEN(IF(LEN(INDEX('Dealer pipeline'!$R$4:$R$503,_calc!$E$841))=0,"",INDEX('Dealer pipeline'!$R$4:$R$503,_calc!$E$841)))=0,"","Owner: "&amp;IF(LEN(INDEX('Dealer pipeline'!$R$4:$R$503,_calc!$E$841))=0,"",INDEX('Dealer pipeline'!$R$4:$R$503,_calc!$E$841))&amp;". ")&amp;IF(LEN(IF(LEN(INDEX('Dealer pipeline'!$S$4:$S$503,_calc!$E$841))=0,"",INDEX('Dealer pipeline'!$S$4:$S$503,_calc!$E$841)))=0,"","Backup: "&amp;IF(LEN(INDEX('Dealer pipeline'!$S$4:$S$503,_calc!$E$841))=0,"",INDEX('Dealer pipeline'!$S$4:$S$503,_calc!$E$841))&amp;". ")&amp;IF(LEN(IF(LEN(INDEX('Dealer pipeline'!$T$4:$T$503,_calc!$E$841))=0,"",INDEX('Dealer pipeline'!$T$4:$T$503,_calc!$E$841)))=0,"",IF(LEN(INDEX('Dealer pipeline'!$T$4:$T$503,_calc!$E$841))=0,"",INDEX('Dealer pipeline'!$T$4:$T$503,_calc!$E$841)))),TRIM(IF(LEN(IF(LEN(INDEX('My equipment'!$C$4:$C$503,(_calc!$E$841-500)))=0,"",INDEX('My equipment'!$C$4:$C$503,(_calc!$E$841-500))))=0,"","Model: "&amp;IF(LEN(INDEX('My equipment'!$C$4:$C$503,(_calc!$E$841-500)))=0,"",INDEX('My equipment'!$C$4:$C$503,(_calc!$E$841-500)))&amp;". ")&amp;IF(LEN(IF(LEN(INDEX('My equipment'!$D$4:$D$503,(_calc!$E$841-500)))=0,"",INDEX('My equipment'!$D$4:$D$503,(_calc!$E$841-500))))=0,"","Serial: "&amp;IF(LEN(INDEX('My equipment'!$D$4:$D$503,(_calc!$E$841-500)))=0,"",INDEX('My equipment'!$D$4:$D$503,(_calc!$E$841-500)))&amp;". ")&amp;IF(LEN(IF(ISNUMBER(INDEX('My equipment'!$J$4:$J$503,(_calc!$E$841-500))),TEXT(INDEX('My equipment'!$J$4:$J$503,(_calc!$E$841-500)),"yyyy-mm-dd"),""))=0,"","Parts end: "&amp;IF(ISNUMBER(INDEX('My equipment'!$J$4:$J$503,(_calc!$E$841-500))),TEXT(INDEX('My equipment'!$J$4:$J$503,(_calc!$E$841-500)),"yyyy-mm-dd"),"")&amp;". ")&amp;IF(LEN(IF(ISNUMBER(INDEX('My equipment'!$L$4:$L$503,(_calc!$E$841-500))),TEXT(INDEX('My equipment'!$L$4:$L$503,(_calc!$E$841-500)),"yyyy-mm-dd"),""))=0,"","Labor end: "&amp;IF(ISNUMBER(INDEX('My equipment'!$L$4:$L$503,(_calc!$E$841-500))),TEXT(INDEX('My equipment'!$L$4:$L$503,(_calc!$E$841-500)),"yyyy-mm-dd"),"")&amp;". ")&amp;IF(LEN(IF(ISNUMBER(INDEX('My equipment'!$P$4:$P$503,(_calc!$E$841-500))),TEXT(INDEX('My equipment'!$P$4:$P$503,(_calc!$E$841-500)),"yyyy-mm-dd"),""))=0,"","Check by: "&amp;IF(ISNUMBER(INDEX('My equipment'!$P$4:$P$503,(_calc!$E$841-500))),TEXT(INDEX('My equipment'!$P$4:$P$503,(_calc!$E$841-500)),"yyyy-mm-dd"),"")&amp;". ")&amp;IF(LEN(IF(LEN(INDEX('My equipment'!$Q$4:$Q$503,(_calc!$E$841-500)))=0,"",INDEX('My equipment'!$Q$4:$Q$503,(_calc!$E$841-500))))=0,"","Claim status: "&amp;IF(LEN(INDEX('My equipment'!$Q$4:$Q$503,(_calc!$E$841-500)))=0,"",INDEX('My equipment'!$Q$4:$Q$503,(_calc!$E$841-500)))&amp;". ")&amp;IF(LEN(IF(LEN(INDEX('My equipment'!$R$4:$R$503,(_calc!$E$841-500)))=0,"",INDEX('My equipment'!$R$4:$R$503,(_calc!$E$841-500))))=0,"","Claims contact: "&amp;IF(LEN(INDEX('My equipment'!$R$4:$R$503,(_calc!$E$841-500)))=0,"",INDEX('My equipment'!$R$4:$R$503,(_calc!$E$841-500)))&amp;". ")&amp;IF(LEN(IF(LEN(INDEX('My equipment'!$S$4:$S$503,(_calc!$E$841-500)))=0,"",INDEX('My equipment'!$S$4:$S$503,(_calc!$E$841-500))))=0,"","Claims email: "&amp;IF(LEN(INDEX('My equipment'!$S$4:$S$503,(_calc!$E$841-500)))=0,"",INDEX('My equipment'!$S$4:$S$503,(_calc!$E$841-500)))&amp;". ")&amp;IF(LEN(IF(LEN(INDEX('My equipment'!$U$4:$U$503,(_calc!$E$841-500)))=0,"",INDEX('My equipment'!$U$4:$U$503,(_calc!$E$841-500))))=0,"","Registered: "&amp;IF(LEN(INDEX('My equipment'!$U$4:$U$503,(_calc!$E$841-500)))=0,"",INDEX('My equipment'!$U$4:$U$503,(_calc!$E$841-500)))&amp;". ")&amp;IF(LEN(IF(LEN(INDEX('My equipment'!$V$4:$V$503,(_calc!$E$841-500)))=0,"",INDEX('My equipment'!$V$4:$V$503,(_calc!$E$841-500))))=0,"","Proof on file: "&amp;IF(LEN(INDEX('My equipment'!$V$4:$V$503,(_calc!$E$841-500)))=0,"",INDEX('My equipment'!$V$4:$V$503,(_calc!$E$841-500)))&amp;". ")&amp;IF(LEN(IF(LEN(INDEX('My equipment'!$W$4:$W$503,(_calc!$E$841-500)))=0,"",INDEX('My equipment'!$W$4:$W$503,(_calc!$E$841-500))))=0,"","Claim ref: "&amp;IF(LEN(INDEX('My equipment'!$W$4:$W$503,(_calc!$E$841-500)))=0,"",INDEX('My equipment'!$W$4:$W$503,(_calc!$E$841-500)))&amp;". ")&amp;IF(LEN(IF(LEN(INDEX('My equipment'!$Y$4:$Y$503,(_calc!$E$841-500)))=0,"",INDEX('My equipment'!$Y$4:$Y$503,(_calc!$E$841-500))))=0,"",IF(LEN(INDEX('My equipment'!$Y$4:$Y$503,(_calc!$E$841-500)))=0,"",INDEX('My equipment'!$Y$4:$Y$503,(_calc!$E$841-500)))))))</f>
        <v/>
      </c>
      <c r="G839" s="54">
        <f>IF(_calc!$E$841="","",IF(_calc!$E$841&lt;=500,"",IF(LEN(INDEX('My equipment'!$X$4:$X$503,(_calc!$E$841-500)))=0,"",INDEX('My equipment'!$X$4:$X$503,(_calc!$E$841-500)))))</f>
        <v/>
      </c>
      <c r="K839" s="54">
        <f>IF(_calc!$E$841="","",IF(_calc!$E$841&lt;=500,"",IF(LEN(INDEX('My equipment'!$T$4:$T$503,(_calc!$E$841-500)))=0,"",INDEX('My equipment'!$T$4:$T$503,(_calc!$E$841-500)))))</f>
        <v/>
      </c>
    </row>
    <row r="840">
      <c r="A840" s="54">
        <f>IF(_calc!$E$842="","",IF(_calc!$E$842&lt;=500,"Warranty – "&amp;IF(LEN(INDEX('Dealer pipeline'!$C$4:$C$503,_calc!$E$842))=0,"",INDEX('Dealer pipeline'!$C$4:$C$503,_calc!$E$842))&amp;" – "&amp;IF(LEN(INDEX('Dealer pipeline'!$D$4:$D$503,_calc!$E$842))=0,"",INDEX('Dealer pipeline'!$D$4:$D$503,_calc!$E$842))&amp;" – "&amp;IF(LEN(INDEX('Dealer pipeline'!$A$4:$A$503,_calc!$E$842))=0,"",INDEX('Dealer pipeline'!$A$4:$A$503,_calc!$E$842)),"Warranty – "&amp;IF(LEN(INDEX('My equipment'!$A$4:$A$503,(_calc!$E$842-500)))=0,"",INDEX('My equipment'!$A$4:$A$503,(_calc!$E$842-500)))&amp;" – "&amp;IF(LEN(INDEX('My equipment'!$D$4:$D$503,(_calc!$E$842-500)))=0,"",INDEX('My equipment'!$D$4:$D$503,(_calc!$E$842-500)))))</f>
        <v/>
      </c>
      <c r="B840" s="54">
        <f>IF(_calc!$E$842="","",IF(_calc!$E$842&lt;=500,IF(ISNUMBER(INDEX('Dealer pipeline'!$M$4:$M$503,_calc!$E$842)),TEXT(INDEX('Dealer pipeline'!$M$4:$M$503,_calc!$E$842),"yyyy-mm-dd"),""),IF(ISNUMBER(INDEX('My equipment'!$M$4:$M$503,(_calc!$E$842-500))),TEXT(INDEX('My equipment'!$M$4:$M$503,(_calc!$E$842-500)),"yyyy-mm-dd"),"")))</f>
        <v/>
      </c>
      <c r="C840" s="54">
        <f>IF(_calc!$E$842="","",IF(_calc!$E$842&lt;=500,"Warranty","Warranty"))</f>
        <v/>
      </c>
      <c r="D840" s="54">
        <f>IF(_calc!$E$842="","",IF(_calc!$E$842&lt;=500,IF(ISNUMBER(INDEX('Dealer pipeline'!$H$4:$H$503,_calc!$E$842)),TEXT(INDEX('Dealer pipeline'!$H$4:$H$503,_calc!$E$842),"yyyy-mm-dd"),""),IF(ISNUMBER(INDEX('My equipment'!$H$4:$H$503,(_calc!$E$842-500))),TEXT(INDEX('My equipment'!$H$4:$H$503,(_calc!$E$842-500)),"yyyy-mm-dd"),"")))</f>
        <v/>
      </c>
      <c r="F840" s="54">
        <f>IF(_calc!$E$842="","",IF(_calc!$E$842&lt;=500,TRIM(IF(LEN(IF(LEN(INDEX('Dealer pipeline'!$A$4:$A$503,_calc!$E$842))=0,"",INDEX('Dealer pipeline'!$A$4:$A$503,_calc!$E$842)))=0,"","Customer: "&amp;IF(LEN(INDEX('Dealer pipeline'!$A$4:$A$503,_calc!$E$842))=0,"",INDEX('Dealer pipeline'!$A$4:$A$503,_calc!$E$842))&amp;". ")&amp;IF(LEN(IF(LEN(INDEX('Dealer pipeline'!$B$4:$B$503,_calc!$E$842))=0,"",INDEX('Dealer pipeline'!$B$4:$B$503,_calc!$E$842)))=0,"","Contact: "&amp;IF(LEN(INDEX('Dealer pipeline'!$B$4:$B$503,_calc!$E$842))=0,"",INDEX('Dealer pipeline'!$B$4:$B$503,_calc!$E$842))&amp;". ")&amp;IF(LEN(IF(LEN(INDEX('Dealer pipeline'!$D$4:$D$503,_calc!$E$842))=0,"",INDEX('Dealer pipeline'!$D$4:$D$503,_calc!$E$842)))=0,"","Serial: "&amp;IF(LEN(INDEX('Dealer pipeline'!$D$4:$D$503,_calc!$E$842))=0,"",INDEX('Dealer pipeline'!$D$4:$D$503,_calc!$E$842))&amp;". ")&amp;IF(LEN(IF(ISNUMBER(INDEX('Dealer pipeline'!$J$4:$J$503,_calc!$E$842)),TEXT(INDEX('Dealer pipeline'!$J$4:$J$503,_calc!$E$842),"yyyy-mm-dd"),""))=0,"","Parts end: "&amp;IF(ISNUMBER(INDEX('Dealer pipeline'!$J$4:$J$503,_calc!$E$842)),TEXT(INDEX('Dealer pipeline'!$J$4:$J$503,_calc!$E$842),"yyyy-mm-dd"),"")&amp;". ")&amp;IF(LEN(IF(ISNUMBER(INDEX('Dealer pipeline'!$L$4:$L$503,_calc!$E$842)),TEXT(INDEX('Dealer pipeline'!$L$4:$L$503,_calc!$E$842),"yyyy-mm-dd"),""))=0,"","Labor end: "&amp;IF(ISNUMBER(INDEX('Dealer pipeline'!$L$4:$L$503,_calc!$E$842)),TEXT(INDEX('Dealer pipeline'!$L$4:$L$503,_calc!$E$842),"yyyy-mm-dd"),"")&amp;". ")&amp;IF(LEN(IF(LEN(INDEX('Dealer pipeline'!$Q$4:$Q$503,_calc!$E$842))=0,"",INDEX('Dealer pipeline'!$Q$4:$Q$503,_calc!$E$842)))=0,"","Status: "&amp;IF(LEN(INDEX('Dealer pipeline'!$Q$4:$Q$503,_calc!$E$842))=0,"",INDEX('Dealer pipeline'!$Q$4:$Q$503,_calc!$E$842))&amp;". ")&amp;IF(LEN(IF(LEN(INDEX('Dealer pipeline'!$P$4:$P$503,_calc!$E$842))=0,"",INDEX('Dealer pipeline'!$P$4:$P$503,_calc!$E$842)))=0,"","Last touch: "&amp;IF(LEN(INDEX('Dealer pipeline'!$P$4:$P$503,_calc!$E$842))=0,"",INDEX('Dealer pipeline'!$P$4:$P$503,_calc!$E$842))&amp;". ")&amp;IF(LEN(IF(LEN(INDEX('Dealer pipeline'!$R$4:$R$503,_calc!$E$842))=0,"",INDEX('Dealer pipeline'!$R$4:$R$503,_calc!$E$842)))=0,"","Owner: "&amp;IF(LEN(INDEX('Dealer pipeline'!$R$4:$R$503,_calc!$E$842))=0,"",INDEX('Dealer pipeline'!$R$4:$R$503,_calc!$E$842))&amp;". ")&amp;IF(LEN(IF(LEN(INDEX('Dealer pipeline'!$S$4:$S$503,_calc!$E$842))=0,"",INDEX('Dealer pipeline'!$S$4:$S$503,_calc!$E$842)))=0,"","Backup: "&amp;IF(LEN(INDEX('Dealer pipeline'!$S$4:$S$503,_calc!$E$842))=0,"",INDEX('Dealer pipeline'!$S$4:$S$503,_calc!$E$842))&amp;". ")&amp;IF(LEN(IF(LEN(INDEX('Dealer pipeline'!$T$4:$T$503,_calc!$E$842))=0,"",INDEX('Dealer pipeline'!$T$4:$T$503,_calc!$E$842)))=0,"",IF(LEN(INDEX('Dealer pipeline'!$T$4:$T$503,_calc!$E$842))=0,"",INDEX('Dealer pipeline'!$T$4:$T$503,_calc!$E$842)))),TRIM(IF(LEN(IF(LEN(INDEX('My equipment'!$C$4:$C$503,(_calc!$E$842-500)))=0,"",INDEX('My equipment'!$C$4:$C$503,(_calc!$E$842-500))))=0,"","Model: "&amp;IF(LEN(INDEX('My equipment'!$C$4:$C$503,(_calc!$E$842-500)))=0,"",INDEX('My equipment'!$C$4:$C$503,(_calc!$E$842-500)))&amp;". ")&amp;IF(LEN(IF(LEN(INDEX('My equipment'!$D$4:$D$503,(_calc!$E$842-500)))=0,"",INDEX('My equipment'!$D$4:$D$503,(_calc!$E$842-500))))=0,"","Serial: "&amp;IF(LEN(INDEX('My equipment'!$D$4:$D$503,(_calc!$E$842-500)))=0,"",INDEX('My equipment'!$D$4:$D$503,(_calc!$E$842-500)))&amp;". ")&amp;IF(LEN(IF(ISNUMBER(INDEX('My equipment'!$J$4:$J$503,(_calc!$E$842-500))),TEXT(INDEX('My equipment'!$J$4:$J$503,(_calc!$E$842-500)),"yyyy-mm-dd"),""))=0,"","Parts end: "&amp;IF(ISNUMBER(INDEX('My equipment'!$J$4:$J$503,(_calc!$E$842-500))),TEXT(INDEX('My equipment'!$J$4:$J$503,(_calc!$E$842-500)),"yyyy-mm-dd"),"")&amp;". ")&amp;IF(LEN(IF(ISNUMBER(INDEX('My equipment'!$L$4:$L$503,(_calc!$E$842-500))),TEXT(INDEX('My equipment'!$L$4:$L$503,(_calc!$E$842-500)),"yyyy-mm-dd"),""))=0,"","Labor end: "&amp;IF(ISNUMBER(INDEX('My equipment'!$L$4:$L$503,(_calc!$E$842-500))),TEXT(INDEX('My equipment'!$L$4:$L$503,(_calc!$E$842-500)),"yyyy-mm-dd"),"")&amp;". ")&amp;IF(LEN(IF(ISNUMBER(INDEX('My equipment'!$P$4:$P$503,(_calc!$E$842-500))),TEXT(INDEX('My equipment'!$P$4:$P$503,(_calc!$E$842-500)),"yyyy-mm-dd"),""))=0,"","Check by: "&amp;IF(ISNUMBER(INDEX('My equipment'!$P$4:$P$503,(_calc!$E$842-500))),TEXT(INDEX('My equipment'!$P$4:$P$503,(_calc!$E$842-500)),"yyyy-mm-dd"),"")&amp;". ")&amp;IF(LEN(IF(LEN(INDEX('My equipment'!$Q$4:$Q$503,(_calc!$E$842-500)))=0,"",INDEX('My equipment'!$Q$4:$Q$503,(_calc!$E$842-500))))=0,"","Claim status: "&amp;IF(LEN(INDEX('My equipment'!$Q$4:$Q$503,(_calc!$E$842-500)))=0,"",INDEX('My equipment'!$Q$4:$Q$503,(_calc!$E$842-500)))&amp;". ")&amp;IF(LEN(IF(LEN(INDEX('My equipment'!$R$4:$R$503,(_calc!$E$842-500)))=0,"",INDEX('My equipment'!$R$4:$R$503,(_calc!$E$842-500))))=0,"","Claims contact: "&amp;IF(LEN(INDEX('My equipment'!$R$4:$R$503,(_calc!$E$842-500)))=0,"",INDEX('My equipment'!$R$4:$R$503,(_calc!$E$842-500)))&amp;". ")&amp;IF(LEN(IF(LEN(INDEX('My equipment'!$S$4:$S$503,(_calc!$E$842-500)))=0,"",INDEX('My equipment'!$S$4:$S$503,(_calc!$E$842-500))))=0,"","Claims email: "&amp;IF(LEN(INDEX('My equipment'!$S$4:$S$503,(_calc!$E$842-500)))=0,"",INDEX('My equipment'!$S$4:$S$503,(_calc!$E$842-500)))&amp;". ")&amp;IF(LEN(IF(LEN(INDEX('My equipment'!$U$4:$U$503,(_calc!$E$842-500)))=0,"",INDEX('My equipment'!$U$4:$U$503,(_calc!$E$842-500))))=0,"","Registered: "&amp;IF(LEN(INDEX('My equipment'!$U$4:$U$503,(_calc!$E$842-500)))=0,"",INDEX('My equipment'!$U$4:$U$503,(_calc!$E$842-500)))&amp;". ")&amp;IF(LEN(IF(LEN(INDEX('My equipment'!$V$4:$V$503,(_calc!$E$842-500)))=0,"",INDEX('My equipment'!$V$4:$V$503,(_calc!$E$842-500))))=0,"","Proof on file: "&amp;IF(LEN(INDEX('My equipment'!$V$4:$V$503,(_calc!$E$842-500)))=0,"",INDEX('My equipment'!$V$4:$V$503,(_calc!$E$842-500)))&amp;". ")&amp;IF(LEN(IF(LEN(INDEX('My equipment'!$W$4:$W$503,(_calc!$E$842-500)))=0,"",INDEX('My equipment'!$W$4:$W$503,(_calc!$E$842-500))))=0,"","Claim ref: "&amp;IF(LEN(INDEX('My equipment'!$W$4:$W$503,(_calc!$E$842-500)))=0,"",INDEX('My equipment'!$W$4:$W$503,(_calc!$E$842-500)))&amp;". ")&amp;IF(LEN(IF(LEN(INDEX('My equipment'!$Y$4:$Y$503,(_calc!$E$842-500)))=0,"",INDEX('My equipment'!$Y$4:$Y$503,(_calc!$E$842-500))))=0,"",IF(LEN(INDEX('My equipment'!$Y$4:$Y$503,(_calc!$E$842-500)))=0,"",INDEX('My equipment'!$Y$4:$Y$503,(_calc!$E$842-500)))))))</f>
        <v/>
      </c>
      <c r="G840" s="54">
        <f>IF(_calc!$E$842="","",IF(_calc!$E$842&lt;=500,"",IF(LEN(INDEX('My equipment'!$X$4:$X$503,(_calc!$E$842-500)))=0,"",INDEX('My equipment'!$X$4:$X$503,(_calc!$E$842-500)))))</f>
        <v/>
      </c>
      <c r="K840" s="54">
        <f>IF(_calc!$E$842="","",IF(_calc!$E$842&lt;=500,"",IF(LEN(INDEX('My equipment'!$T$4:$T$503,(_calc!$E$842-500)))=0,"",INDEX('My equipment'!$T$4:$T$503,(_calc!$E$842-500)))))</f>
        <v/>
      </c>
    </row>
    <row r="841">
      <c r="A841" s="54">
        <f>IF(_calc!$E$843="","",IF(_calc!$E$843&lt;=500,"Warranty – "&amp;IF(LEN(INDEX('Dealer pipeline'!$C$4:$C$503,_calc!$E$843))=0,"",INDEX('Dealer pipeline'!$C$4:$C$503,_calc!$E$843))&amp;" – "&amp;IF(LEN(INDEX('Dealer pipeline'!$D$4:$D$503,_calc!$E$843))=0,"",INDEX('Dealer pipeline'!$D$4:$D$503,_calc!$E$843))&amp;" – "&amp;IF(LEN(INDEX('Dealer pipeline'!$A$4:$A$503,_calc!$E$843))=0,"",INDEX('Dealer pipeline'!$A$4:$A$503,_calc!$E$843)),"Warranty – "&amp;IF(LEN(INDEX('My equipment'!$A$4:$A$503,(_calc!$E$843-500)))=0,"",INDEX('My equipment'!$A$4:$A$503,(_calc!$E$843-500)))&amp;" – "&amp;IF(LEN(INDEX('My equipment'!$D$4:$D$503,(_calc!$E$843-500)))=0,"",INDEX('My equipment'!$D$4:$D$503,(_calc!$E$843-500)))))</f>
        <v/>
      </c>
      <c r="B841" s="54">
        <f>IF(_calc!$E$843="","",IF(_calc!$E$843&lt;=500,IF(ISNUMBER(INDEX('Dealer pipeline'!$M$4:$M$503,_calc!$E$843)),TEXT(INDEX('Dealer pipeline'!$M$4:$M$503,_calc!$E$843),"yyyy-mm-dd"),""),IF(ISNUMBER(INDEX('My equipment'!$M$4:$M$503,(_calc!$E$843-500))),TEXT(INDEX('My equipment'!$M$4:$M$503,(_calc!$E$843-500)),"yyyy-mm-dd"),"")))</f>
        <v/>
      </c>
      <c r="C841" s="54">
        <f>IF(_calc!$E$843="","",IF(_calc!$E$843&lt;=500,"Warranty","Warranty"))</f>
        <v/>
      </c>
      <c r="D841" s="54">
        <f>IF(_calc!$E$843="","",IF(_calc!$E$843&lt;=500,IF(ISNUMBER(INDEX('Dealer pipeline'!$H$4:$H$503,_calc!$E$843)),TEXT(INDEX('Dealer pipeline'!$H$4:$H$503,_calc!$E$843),"yyyy-mm-dd"),""),IF(ISNUMBER(INDEX('My equipment'!$H$4:$H$503,(_calc!$E$843-500))),TEXT(INDEX('My equipment'!$H$4:$H$503,(_calc!$E$843-500)),"yyyy-mm-dd"),"")))</f>
        <v/>
      </c>
      <c r="F841" s="54">
        <f>IF(_calc!$E$843="","",IF(_calc!$E$843&lt;=500,TRIM(IF(LEN(IF(LEN(INDEX('Dealer pipeline'!$A$4:$A$503,_calc!$E$843))=0,"",INDEX('Dealer pipeline'!$A$4:$A$503,_calc!$E$843)))=0,"","Customer: "&amp;IF(LEN(INDEX('Dealer pipeline'!$A$4:$A$503,_calc!$E$843))=0,"",INDEX('Dealer pipeline'!$A$4:$A$503,_calc!$E$843))&amp;". ")&amp;IF(LEN(IF(LEN(INDEX('Dealer pipeline'!$B$4:$B$503,_calc!$E$843))=0,"",INDEX('Dealer pipeline'!$B$4:$B$503,_calc!$E$843)))=0,"","Contact: "&amp;IF(LEN(INDEX('Dealer pipeline'!$B$4:$B$503,_calc!$E$843))=0,"",INDEX('Dealer pipeline'!$B$4:$B$503,_calc!$E$843))&amp;". ")&amp;IF(LEN(IF(LEN(INDEX('Dealer pipeline'!$D$4:$D$503,_calc!$E$843))=0,"",INDEX('Dealer pipeline'!$D$4:$D$503,_calc!$E$843)))=0,"","Serial: "&amp;IF(LEN(INDEX('Dealer pipeline'!$D$4:$D$503,_calc!$E$843))=0,"",INDEX('Dealer pipeline'!$D$4:$D$503,_calc!$E$843))&amp;". ")&amp;IF(LEN(IF(ISNUMBER(INDEX('Dealer pipeline'!$J$4:$J$503,_calc!$E$843)),TEXT(INDEX('Dealer pipeline'!$J$4:$J$503,_calc!$E$843),"yyyy-mm-dd"),""))=0,"","Parts end: "&amp;IF(ISNUMBER(INDEX('Dealer pipeline'!$J$4:$J$503,_calc!$E$843)),TEXT(INDEX('Dealer pipeline'!$J$4:$J$503,_calc!$E$843),"yyyy-mm-dd"),"")&amp;". ")&amp;IF(LEN(IF(ISNUMBER(INDEX('Dealer pipeline'!$L$4:$L$503,_calc!$E$843)),TEXT(INDEX('Dealer pipeline'!$L$4:$L$503,_calc!$E$843),"yyyy-mm-dd"),""))=0,"","Labor end: "&amp;IF(ISNUMBER(INDEX('Dealer pipeline'!$L$4:$L$503,_calc!$E$843)),TEXT(INDEX('Dealer pipeline'!$L$4:$L$503,_calc!$E$843),"yyyy-mm-dd"),"")&amp;". ")&amp;IF(LEN(IF(LEN(INDEX('Dealer pipeline'!$Q$4:$Q$503,_calc!$E$843))=0,"",INDEX('Dealer pipeline'!$Q$4:$Q$503,_calc!$E$843)))=0,"","Status: "&amp;IF(LEN(INDEX('Dealer pipeline'!$Q$4:$Q$503,_calc!$E$843))=0,"",INDEX('Dealer pipeline'!$Q$4:$Q$503,_calc!$E$843))&amp;". ")&amp;IF(LEN(IF(LEN(INDEX('Dealer pipeline'!$P$4:$P$503,_calc!$E$843))=0,"",INDEX('Dealer pipeline'!$P$4:$P$503,_calc!$E$843)))=0,"","Last touch: "&amp;IF(LEN(INDEX('Dealer pipeline'!$P$4:$P$503,_calc!$E$843))=0,"",INDEX('Dealer pipeline'!$P$4:$P$503,_calc!$E$843))&amp;". ")&amp;IF(LEN(IF(LEN(INDEX('Dealer pipeline'!$R$4:$R$503,_calc!$E$843))=0,"",INDEX('Dealer pipeline'!$R$4:$R$503,_calc!$E$843)))=0,"","Owner: "&amp;IF(LEN(INDEX('Dealer pipeline'!$R$4:$R$503,_calc!$E$843))=0,"",INDEX('Dealer pipeline'!$R$4:$R$503,_calc!$E$843))&amp;". ")&amp;IF(LEN(IF(LEN(INDEX('Dealer pipeline'!$S$4:$S$503,_calc!$E$843))=0,"",INDEX('Dealer pipeline'!$S$4:$S$503,_calc!$E$843)))=0,"","Backup: "&amp;IF(LEN(INDEX('Dealer pipeline'!$S$4:$S$503,_calc!$E$843))=0,"",INDEX('Dealer pipeline'!$S$4:$S$503,_calc!$E$843))&amp;". ")&amp;IF(LEN(IF(LEN(INDEX('Dealer pipeline'!$T$4:$T$503,_calc!$E$843))=0,"",INDEX('Dealer pipeline'!$T$4:$T$503,_calc!$E$843)))=0,"",IF(LEN(INDEX('Dealer pipeline'!$T$4:$T$503,_calc!$E$843))=0,"",INDEX('Dealer pipeline'!$T$4:$T$503,_calc!$E$843)))),TRIM(IF(LEN(IF(LEN(INDEX('My equipment'!$C$4:$C$503,(_calc!$E$843-500)))=0,"",INDEX('My equipment'!$C$4:$C$503,(_calc!$E$843-500))))=0,"","Model: "&amp;IF(LEN(INDEX('My equipment'!$C$4:$C$503,(_calc!$E$843-500)))=0,"",INDEX('My equipment'!$C$4:$C$503,(_calc!$E$843-500)))&amp;". ")&amp;IF(LEN(IF(LEN(INDEX('My equipment'!$D$4:$D$503,(_calc!$E$843-500)))=0,"",INDEX('My equipment'!$D$4:$D$503,(_calc!$E$843-500))))=0,"","Serial: "&amp;IF(LEN(INDEX('My equipment'!$D$4:$D$503,(_calc!$E$843-500)))=0,"",INDEX('My equipment'!$D$4:$D$503,(_calc!$E$843-500)))&amp;". ")&amp;IF(LEN(IF(ISNUMBER(INDEX('My equipment'!$J$4:$J$503,(_calc!$E$843-500))),TEXT(INDEX('My equipment'!$J$4:$J$503,(_calc!$E$843-500)),"yyyy-mm-dd"),""))=0,"","Parts end: "&amp;IF(ISNUMBER(INDEX('My equipment'!$J$4:$J$503,(_calc!$E$843-500))),TEXT(INDEX('My equipment'!$J$4:$J$503,(_calc!$E$843-500)),"yyyy-mm-dd"),"")&amp;". ")&amp;IF(LEN(IF(ISNUMBER(INDEX('My equipment'!$L$4:$L$503,(_calc!$E$843-500))),TEXT(INDEX('My equipment'!$L$4:$L$503,(_calc!$E$843-500)),"yyyy-mm-dd"),""))=0,"","Labor end: "&amp;IF(ISNUMBER(INDEX('My equipment'!$L$4:$L$503,(_calc!$E$843-500))),TEXT(INDEX('My equipment'!$L$4:$L$503,(_calc!$E$843-500)),"yyyy-mm-dd"),"")&amp;". ")&amp;IF(LEN(IF(ISNUMBER(INDEX('My equipment'!$P$4:$P$503,(_calc!$E$843-500))),TEXT(INDEX('My equipment'!$P$4:$P$503,(_calc!$E$843-500)),"yyyy-mm-dd"),""))=0,"","Check by: "&amp;IF(ISNUMBER(INDEX('My equipment'!$P$4:$P$503,(_calc!$E$843-500))),TEXT(INDEX('My equipment'!$P$4:$P$503,(_calc!$E$843-500)),"yyyy-mm-dd"),"")&amp;". ")&amp;IF(LEN(IF(LEN(INDEX('My equipment'!$Q$4:$Q$503,(_calc!$E$843-500)))=0,"",INDEX('My equipment'!$Q$4:$Q$503,(_calc!$E$843-500))))=0,"","Claim status: "&amp;IF(LEN(INDEX('My equipment'!$Q$4:$Q$503,(_calc!$E$843-500)))=0,"",INDEX('My equipment'!$Q$4:$Q$503,(_calc!$E$843-500)))&amp;". ")&amp;IF(LEN(IF(LEN(INDEX('My equipment'!$R$4:$R$503,(_calc!$E$843-500)))=0,"",INDEX('My equipment'!$R$4:$R$503,(_calc!$E$843-500))))=0,"","Claims contact: "&amp;IF(LEN(INDEX('My equipment'!$R$4:$R$503,(_calc!$E$843-500)))=0,"",INDEX('My equipment'!$R$4:$R$503,(_calc!$E$843-500)))&amp;". ")&amp;IF(LEN(IF(LEN(INDEX('My equipment'!$S$4:$S$503,(_calc!$E$843-500)))=0,"",INDEX('My equipment'!$S$4:$S$503,(_calc!$E$843-500))))=0,"","Claims email: "&amp;IF(LEN(INDEX('My equipment'!$S$4:$S$503,(_calc!$E$843-500)))=0,"",INDEX('My equipment'!$S$4:$S$503,(_calc!$E$843-500)))&amp;". ")&amp;IF(LEN(IF(LEN(INDEX('My equipment'!$U$4:$U$503,(_calc!$E$843-500)))=0,"",INDEX('My equipment'!$U$4:$U$503,(_calc!$E$843-500))))=0,"","Registered: "&amp;IF(LEN(INDEX('My equipment'!$U$4:$U$503,(_calc!$E$843-500)))=0,"",INDEX('My equipment'!$U$4:$U$503,(_calc!$E$843-500)))&amp;". ")&amp;IF(LEN(IF(LEN(INDEX('My equipment'!$V$4:$V$503,(_calc!$E$843-500)))=0,"",INDEX('My equipment'!$V$4:$V$503,(_calc!$E$843-500))))=0,"","Proof on file: "&amp;IF(LEN(INDEX('My equipment'!$V$4:$V$503,(_calc!$E$843-500)))=0,"",INDEX('My equipment'!$V$4:$V$503,(_calc!$E$843-500)))&amp;". ")&amp;IF(LEN(IF(LEN(INDEX('My equipment'!$W$4:$W$503,(_calc!$E$843-500)))=0,"",INDEX('My equipment'!$W$4:$W$503,(_calc!$E$843-500))))=0,"","Claim ref: "&amp;IF(LEN(INDEX('My equipment'!$W$4:$W$503,(_calc!$E$843-500)))=0,"",INDEX('My equipment'!$W$4:$W$503,(_calc!$E$843-500)))&amp;". ")&amp;IF(LEN(IF(LEN(INDEX('My equipment'!$Y$4:$Y$503,(_calc!$E$843-500)))=0,"",INDEX('My equipment'!$Y$4:$Y$503,(_calc!$E$843-500))))=0,"",IF(LEN(INDEX('My equipment'!$Y$4:$Y$503,(_calc!$E$843-500)))=0,"",INDEX('My equipment'!$Y$4:$Y$503,(_calc!$E$843-500)))))))</f>
        <v/>
      </c>
      <c r="G841" s="54">
        <f>IF(_calc!$E$843="","",IF(_calc!$E$843&lt;=500,"",IF(LEN(INDEX('My equipment'!$X$4:$X$503,(_calc!$E$843-500)))=0,"",INDEX('My equipment'!$X$4:$X$503,(_calc!$E$843-500)))))</f>
        <v/>
      </c>
      <c r="K841" s="54">
        <f>IF(_calc!$E$843="","",IF(_calc!$E$843&lt;=500,"",IF(LEN(INDEX('My equipment'!$T$4:$T$503,(_calc!$E$843-500)))=0,"",INDEX('My equipment'!$T$4:$T$503,(_calc!$E$843-500)))))</f>
        <v/>
      </c>
    </row>
    <row r="842">
      <c r="A842" s="54">
        <f>IF(_calc!$E$844="","",IF(_calc!$E$844&lt;=500,"Warranty – "&amp;IF(LEN(INDEX('Dealer pipeline'!$C$4:$C$503,_calc!$E$844))=0,"",INDEX('Dealer pipeline'!$C$4:$C$503,_calc!$E$844))&amp;" – "&amp;IF(LEN(INDEX('Dealer pipeline'!$D$4:$D$503,_calc!$E$844))=0,"",INDEX('Dealer pipeline'!$D$4:$D$503,_calc!$E$844))&amp;" – "&amp;IF(LEN(INDEX('Dealer pipeline'!$A$4:$A$503,_calc!$E$844))=0,"",INDEX('Dealer pipeline'!$A$4:$A$503,_calc!$E$844)),"Warranty – "&amp;IF(LEN(INDEX('My equipment'!$A$4:$A$503,(_calc!$E$844-500)))=0,"",INDEX('My equipment'!$A$4:$A$503,(_calc!$E$844-500)))&amp;" – "&amp;IF(LEN(INDEX('My equipment'!$D$4:$D$503,(_calc!$E$844-500)))=0,"",INDEX('My equipment'!$D$4:$D$503,(_calc!$E$844-500)))))</f>
        <v/>
      </c>
      <c r="B842" s="54">
        <f>IF(_calc!$E$844="","",IF(_calc!$E$844&lt;=500,IF(ISNUMBER(INDEX('Dealer pipeline'!$M$4:$M$503,_calc!$E$844)),TEXT(INDEX('Dealer pipeline'!$M$4:$M$503,_calc!$E$844),"yyyy-mm-dd"),""),IF(ISNUMBER(INDEX('My equipment'!$M$4:$M$503,(_calc!$E$844-500))),TEXT(INDEX('My equipment'!$M$4:$M$503,(_calc!$E$844-500)),"yyyy-mm-dd"),"")))</f>
        <v/>
      </c>
      <c r="C842" s="54">
        <f>IF(_calc!$E$844="","",IF(_calc!$E$844&lt;=500,"Warranty","Warranty"))</f>
        <v/>
      </c>
      <c r="D842" s="54">
        <f>IF(_calc!$E$844="","",IF(_calc!$E$844&lt;=500,IF(ISNUMBER(INDEX('Dealer pipeline'!$H$4:$H$503,_calc!$E$844)),TEXT(INDEX('Dealer pipeline'!$H$4:$H$503,_calc!$E$844),"yyyy-mm-dd"),""),IF(ISNUMBER(INDEX('My equipment'!$H$4:$H$503,(_calc!$E$844-500))),TEXT(INDEX('My equipment'!$H$4:$H$503,(_calc!$E$844-500)),"yyyy-mm-dd"),"")))</f>
        <v/>
      </c>
      <c r="F842" s="54">
        <f>IF(_calc!$E$844="","",IF(_calc!$E$844&lt;=500,TRIM(IF(LEN(IF(LEN(INDEX('Dealer pipeline'!$A$4:$A$503,_calc!$E$844))=0,"",INDEX('Dealer pipeline'!$A$4:$A$503,_calc!$E$844)))=0,"","Customer: "&amp;IF(LEN(INDEX('Dealer pipeline'!$A$4:$A$503,_calc!$E$844))=0,"",INDEX('Dealer pipeline'!$A$4:$A$503,_calc!$E$844))&amp;". ")&amp;IF(LEN(IF(LEN(INDEX('Dealer pipeline'!$B$4:$B$503,_calc!$E$844))=0,"",INDEX('Dealer pipeline'!$B$4:$B$503,_calc!$E$844)))=0,"","Contact: "&amp;IF(LEN(INDEX('Dealer pipeline'!$B$4:$B$503,_calc!$E$844))=0,"",INDEX('Dealer pipeline'!$B$4:$B$503,_calc!$E$844))&amp;". ")&amp;IF(LEN(IF(LEN(INDEX('Dealer pipeline'!$D$4:$D$503,_calc!$E$844))=0,"",INDEX('Dealer pipeline'!$D$4:$D$503,_calc!$E$844)))=0,"","Serial: "&amp;IF(LEN(INDEX('Dealer pipeline'!$D$4:$D$503,_calc!$E$844))=0,"",INDEX('Dealer pipeline'!$D$4:$D$503,_calc!$E$844))&amp;". ")&amp;IF(LEN(IF(ISNUMBER(INDEX('Dealer pipeline'!$J$4:$J$503,_calc!$E$844)),TEXT(INDEX('Dealer pipeline'!$J$4:$J$503,_calc!$E$844),"yyyy-mm-dd"),""))=0,"","Parts end: "&amp;IF(ISNUMBER(INDEX('Dealer pipeline'!$J$4:$J$503,_calc!$E$844)),TEXT(INDEX('Dealer pipeline'!$J$4:$J$503,_calc!$E$844),"yyyy-mm-dd"),"")&amp;". ")&amp;IF(LEN(IF(ISNUMBER(INDEX('Dealer pipeline'!$L$4:$L$503,_calc!$E$844)),TEXT(INDEX('Dealer pipeline'!$L$4:$L$503,_calc!$E$844),"yyyy-mm-dd"),""))=0,"","Labor end: "&amp;IF(ISNUMBER(INDEX('Dealer pipeline'!$L$4:$L$503,_calc!$E$844)),TEXT(INDEX('Dealer pipeline'!$L$4:$L$503,_calc!$E$844),"yyyy-mm-dd"),"")&amp;". ")&amp;IF(LEN(IF(LEN(INDEX('Dealer pipeline'!$Q$4:$Q$503,_calc!$E$844))=0,"",INDEX('Dealer pipeline'!$Q$4:$Q$503,_calc!$E$844)))=0,"","Status: "&amp;IF(LEN(INDEX('Dealer pipeline'!$Q$4:$Q$503,_calc!$E$844))=0,"",INDEX('Dealer pipeline'!$Q$4:$Q$503,_calc!$E$844))&amp;". ")&amp;IF(LEN(IF(LEN(INDEX('Dealer pipeline'!$P$4:$P$503,_calc!$E$844))=0,"",INDEX('Dealer pipeline'!$P$4:$P$503,_calc!$E$844)))=0,"","Last touch: "&amp;IF(LEN(INDEX('Dealer pipeline'!$P$4:$P$503,_calc!$E$844))=0,"",INDEX('Dealer pipeline'!$P$4:$P$503,_calc!$E$844))&amp;". ")&amp;IF(LEN(IF(LEN(INDEX('Dealer pipeline'!$R$4:$R$503,_calc!$E$844))=0,"",INDEX('Dealer pipeline'!$R$4:$R$503,_calc!$E$844)))=0,"","Owner: "&amp;IF(LEN(INDEX('Dealer pipeline'!$R$4:$R$503,_calc!$E$844))=0,"",INDEX('Dealer pipeline'!$R$4:$R$503,_calc!$E$844))&amp;". ")&amp;IF(LEN(IF(LEN(INDEX('Dealer pipeline'!$S$4:$S$503,_calc!$E$844))=0,"",INDEX('Dealer pipeline'!$S$4:$S$503,_calc!$E$844)))=0,"","Backup: "&amp;IF(LEN(INDEX('Dealer pipeline'!$S$4:$S$503,_calc!$E$844))=0,"",INDEX('Dealer pipeline'!$S$4:$S$503,_calc!$E$844))&amp;". ")&amp;IF(LEN(IF(LEN(INDEX('Dealer pipeline'!$T$4:$T$503,_calc!$E$844))=0,"",INDEX('Dealer pipeline'!$T$4:$T$503,_calc!$E$844)))=0,"",IF(LEN(INDEX('Dealer pipeline'!$T$4:$T$503,_calc!$E$844))=0,"",INDEX('Dealer pipeline'!$T$4:$T$503,_calc!$E$844)))),TRIM(IF(LEN(IF(LEN(INDEX('My equipment'!$C$4:$C$503,(_calc!$E$844-500)))=0,"",INDEX('My equipment'!$C$4:$C$503,(_calc!$E$844-500))))=0,"","Model: "&amp;IF(LEN(INDEX('My equipment'!$C$4:$C$503,(_calc!$E$844-500)))=0,"",INDEX('My equipment'!$C$4:$C$503,(_calc!$E$844-500)))&amp;". ")&amp;IF(LEN(IF(LEN(INDEX('My equipment'!$D$4:$D$503,(_calc!$E$844-500)))=0,"",INDEX('My equipment'!$D$4:$D$503,(_calc!$E$844-500))))=0,"","Serial: "&amp;IF(LEN(INDEX('My equipment'!$D$4:$D$503,(_calc!$E$844-500)))=0,"",INDEX('My equipment'!$D$4:$D$503,(_calc!$E$844-500)))&amp;". ")&amp;IF(LEN(IF(ISNUMBER(INDEX('My equipment'!$J$4:$J$503,(_calc!$E$844-500))),TEXT(INDEX('My equipment'!$J$4:$J$503,(_calc!$E$844-500)),"yyyy-mm-dd"),""))=0,"","Parts end: "&amp;IF(ISNUMBER(INDEX('My equipment'!$J$4:$J$503,(_calc!$E$844-500))),TEXT(INDEX('My equipment'!$J$4:$J$503,(_calc!$E$844-500)),"yyyy-mm-dd"),"")&amp;". ")&amp;IF(LEN(IF(ISNUMBER(INDEX('My equipment'!$L$4:$L$503,(_calc!$E$844-500))),TEXT(INDEX('My equipment'!$L$4:$L$503,(_calc!$E$844-500)),"yyyy-mm-dd"),""))=0,"","Labor end: "&amp;IF(ISNUMBER(INDEX('My equipment'!$L$4:$L$503,(_calc!$E$844-500))),TEXT(INDEX('My equipment'!$L$4:$L$503,(_calc!$E$844-500)),"yyyy-mm-dd"),"")&amp;". ")&amp;IF(LEN(IF(ISNUMBER(INDEX('My equipment'!$P$4:$P$503,(_calc!$E$844-500))),TEXT(INDEX('My equipment'!$P$4:$P$503,(_calc!$E$844-500)),"yyyy-mm-dd"),""))=0,"","Check by: "&amp;IF(ISNUMBER(INDEX('My equipment'!$P$4:$P$503,(_calc!$E$844-500))),TEXT(INDEX('My equipment'!$P$4:$P$503,(_calc!$E$844-500)),"yyyy-mm-dd"),"")&amp;". ")&amp;IF(LEN(IF(LEN(INDEX('My equipment'!$Q$4:$Q$503,(_calc!$E$844-500)))=0,"",INDEX('My equipment'!$Q$4:$Q$503,(_calc!$E$844-500))))=0,"","Claim status: "&amp;IF(LEN(INDEX('My equipment'!$Q$4:$Q$503,(_calc!$E$844-500)))=0,"",INDEX('My equipment'!$Q$4:$Q$503,(_calc!$E$844-500)))&amp;". ")&amp;IF(LEN(IF(LEN(INDEX('My equipment'!$R$4:$R$503,(_calc!$E$844-500)))=0,"",INDEX('My equipment'!$R$4:$R$503,(_calc!$E$844-500))))=0,"","Claims contact: "&amp;IF(LEN(INDEX('My equipment'!$R$4:$R$503,(_calc!$E$844-500)))=0,"",INDEX('My equipment'!$R$4:$R$503,(_calc!$E$844-500)))&amp;". ")&amp;IF(LEN(IF(LEN(INDEX('My equipment'!$S$4:$S$503,(_calc!$E$844-500)))=0,"",INDEX('My equipment'!$S$4:$S$503,(_calc!$E$844-500))))=0,"","Claims email: "&amp;IF(LEN(INDEX('My equipment'!$S$4:$S$503,(_calc!$E$844-500)))=0,"",INDEX('My equipment'!$S$4:$S$503,(_calc!$E$844-500)))&amp;". ")&amp;IF(LEN(IF(LEN(INDEX('My equipment'!$U$4:$U$503,(_calc!$E$844-500)))=0,"",INDEX('My equipment'!$U$4:$U$503,(_calc!$E$844-500))))=0,"","Registered: "&amp;IF(LEN(INDEX('My equipment'!$U$4:$U$503,(_calc!$E$844-500)))=0,"",INDEX('My equipment'!$U$4:$U$503,(_calc!$E$844-500)))&amp;". ")&amp;IF(LEN(IF(LEN(INDEX('My equipment'!$V$4:$V$503,(_calc!$E$844-500)))=0,"",INDEX('My equipment'!$V$4:$V$503,(_calc!$E$844-500))))=0,"","Proof on file: "&amp;IF(LEN(INDEX('My equipment'!$V$4:$V$503,(_calc!$E$844-500)))=0,"",INDEX('My equipment'!$V$4:$V$503,(_calc!$E$844-500)))&amp;". ")&amp;IF(LEN(IF(LEN(INDEX('My equipment'!$W$4:$W$503,(_calc!$E$844-500)))=0,"",INDEX('My equipment'!$W$4:$W$503,(_calc!$E$844-500))))=0,"","Claim ref: "&amp;IF(LEN(INDEX('My equipment'!$W$4:$W$503,(_calc!$E$844-500)))=0,"",INDEX('My equipment'!$W$4:$W$503,(_calc!$E$844-500)))&amp;". ")&amp;IF(LEN(IF(LEN(INDEX('My equipment'!$Y$4:$Y$503,(_calc!$E$844-500)))=0,"",INDEX('My equipment'!$Y$4:$Y$503,(_calc!$E$844-500))))=0,"",IF(LEN(INDEX('My equipment'!$Y$4:$Y$503,(_calc!$E$844-500)))=0,"",INDEX('My equipment'!$Y$4:$Y$503,(_calc!$E$844-500)))))))</f>
        <v/>
      </c>
      <c r="G842" s="54">
        <f>IF(_calc!$E$844="","",IF(_calc!$E$844&lt;=500,"",IF(LEN(INDEX('My equipment'!$X$4:$X$503,(_calc!$E$844-500)))=0,"",INDEX('My equipment'!$X$4:$X$503,(_calc!$E$844-500)))))</f>
        <v/>
      </c>
      <c r="K842" s="54">
        <f>IF(_calc!$E$844="","",IF(_calc!$E$844&lt;=500,"",IF(LEN(INDEX('My equipment'!$T$4:$T$503,(_calc!$E$844-500)))=0,"",INDEX('My equipment'!$T$4:$T$503,(_calc!$E$844-500)))))</f>
        <v/>
      </c>
    </row>
    <row r="843">
      <c r="A843" s="54">
        <f>IF(_calc!$E$845="","",IF(_calc!$E$845&lt;=500,"Warranty – "&amp;IF(LEN(INDEX('Dealer pipeline'!$C$4:$C$503,_calc!$E$845))=0,"",INDEX('Dealer pipeline'!$C$4:$C$503,_calc!$E$845))&amp;" – "&amp;IF(LEN(INDEX('Dealer pipeline'!$D$4:$D$503,_calc!$E$845))=0,"",INDEX('Dealer pipeline'!$D$4:$D$503,_calc!$E$845))&amp;" – "&amp;IF(LEN(INDEX('Dealer pipeline'!$A$4:$A$503,_calc!$E$845))=0,"",INDEX('Dealer pipeline'!$A$4:$A$503,_calc!$E$845)),"Warranty – "&amp;IF(LEN(INDEX('My equipment'!$A$4:$A$503,(_calc!$E$845-500)))=0,"",INDEX('My equipment'!$A$4:$A$503,(_calc!$E$845-500)))&amp;" – "&amp;IF(LEN(INDEX('My equipment'!$D$4:$D$503,(_calc!$E$845-500)))=0,"",INDEX('My equipment'!$D$4:$D$503,(_calc!$E$845-500)))))</f>
        <v/>
      </c>
      <c r="B843" s="54">
        <f>IF(_calc!$E$845="","",IF(_calc!$E$845&lt;=500,IF(ISNUMBER(INDEX('Dealer pipeline'!$M$4:$M$503,_calc!$E$845)),TEXT(INDEX('Dealer pipeline'!$M$4:$M$503,_calc!$E$845),"yyyy-mm-dd"),""),IF(ISNUMBER(INDEX('My equipment'!$M$4:$M$503,(_calc!$E$845-500))),TEXT(INDEX('My equipment'!$M$4:$M$503,(_calc!$E$845-500)),"yyyy-mm-dd"),"")))</f>
        <v/>
      </c>
      <c r="C843" s="54">
        <f>IF(_calc!$E$845="","",IF(_calc!$E$845&lt;=500,"Warranty","Warranty"))</f>
        <v/>
      </c>
      <c r="D843" s="54">
        <f>IF(_calc!$E$845="","",IF(_calc!$E$845&lt;=500,IF(ISNUMBER(INDEX('Dealer pipeline'!$H$4:$H$503,_calc!$E$845)),TEXT(INDEX('Dealer pipeline'!$H$4:$H$503,_calc!$E$845),"yyyy-mm-dd"),""),IF(ISNUMBER(INDEX('My equipment'!$H$4:$H$503,(_calc!$E$845-500))),TEXT(INDEX('My equipment'!$H$4:$H$503,(_calc!$E$845-500)),"yyyy-mm-dd"),"")))</f>
        <v/>
      </c>
      <c r="F843" s="54">
        <f>IF(_calc!$E$845="","",IF(_calc!$E$845&lt;=500,TRIM(IF(LEN(IF(LEN(INDEX('Dealer pipeline'!$A$4:$A$503,_calc!$E$845))=0,"",INDEX('Dealer pipeline'!$A$4:$A$503,_calc!$E$845)))=0,"","Customer: "&amp;IF(LEN(INDEX('Dealer pipeline'!$A$4:$A$503,_calc!$E$845))=0,"",INDEX('Dealer pipeline'!$A$4:$A$503,_calc!$E$845))&amp;". ")&amp;IF(LEN(IF(LEN(INDEX('Dealer pipeline'!$B$4:$B$503,_calc!$E$845))=0,"",INDEX('Dealer pipeline'!$B$4:$B$503,_calc!$E$845)))=0,"","Contact: "&amp;IF(LEN(INDEX('Dealer pipeline'!$B$4:$B$503,_calc!$E$845))=0,"",INDEX('Dealer pipeline'!$B$4:$B$503,_calc!$E$845))&amp;". ")&amp;IF(LEN(IF(LEN(INDEX('Dealer pipeline'!$D$4:$D$503,_calc!$E$845))=0,"",INDEX('Dealer pipeline'!$D$4:$D$503,_calc!$E$845)))=0,"","Serial: "&amp;IF(LEN(INDEX('Dealer pipeline'!$D$4:$D$503,_calc!$E$845))=0,"",INDEX('Dealer pipeline'!$D$4:$D$503,_calc!$E$845))&amp;". ")&amp;IF(LEN(IF(ISNUMBER(INDEX('Dealer pipeline'!$J$4:$J$503,_calc!$E$845)),TEXT(INDEX('Dealer pipeline'!$J$4:$J$503,_calc!$E$845),"yyyy-mm-dd"),""))=0,"","Parts end: "&amp;IF(ISNUMBER(INDEX('Dealer pipeline'!$J$4:$J$503,_calc!$E$845)),TEXT(INDEX('Dealer pipeline'!$J$4:$J$503,_calc!$E$845),"yyyy-mm-dd"),"")&amp;". ")&amp;IF(LEN(IF(ISNUMBER(INDEX('Dealer pipeline'!$L$4:$L$503,_calc!$E$845)),TEXT(INDEX('Dealer pipeline'!$L$4:$L$503,_calc!$E$845),"yyyy-mm-dd"),""))=0,"","Labor end: "&amp;IF(ISNUMBER(INDEX('Dealer pipeline'!$L$4:$L$503,_calc!$E$845)),TEXT(INDEX('Dealer pipeline'!$L$4:$L$503,_calc!$E$845),"yyyy-mm-dd"),"")&amp;". ")&amp;IF(LEN(IF(LEN(INDEX('Dealer pipeline'!$Q$4:$Q$503,_calc!$E$845))=0,"",INDEX('Dealer pipeline'!$Q$4:$Q$503,_calc!$E$845)))=0,"","Status: "&amp;IF(LEN(INDEX('Dealer pipeline'!$Q$4:$Q$503,_calc!$E$845))=0,"",INDEX('Dealer pipeline'!$Q$4:$Q$503,_calc!$E$845))&amp;". ")&amp;IF(LEN(IF(LEN(INDEX('Dealer pipeline'!$P$4:$P$503,_calc!$E$845))=0,"",INDEX('Dealer pipeline'!$P$4:$P$503,_calc!$E$845)))=0,"","Last touch: "&amp;IF(LEN(INDEX('Dealer pipeline'!$P$4:$P$503,_calc!$E$845))=0,"",INDEX('Dealer pipeline'!$P$4:$P$503,_calc!$E$845))&amp;". ")&amp;IF(LEN(IF(LEN(INDEX('Dealer pipeline'!$R$4:$R$503,_calc!$E$845))=0,"",INDEX('Dealer pipeline'!$R$4:$R$503,_calc!$E$845)))=0,"","Owner: "&amp;IF(LEN(INDEX('Dealer pipeline'!$R$4:$R$503,_calc!$E$845))=0,"",INDEX('Dealer pipeline'!$R$4:$R$503,_calc!$E$845))&amp;". ")&amp;IF(LEN(IF(LEN(INDEX('Dealer pipeline'!$S$4:$S$503,_calc!$E$845))=0,"",INDEX('Dealer pipeline'!$S$4:$S$503,_calc!$E$845)))=0,"","Backup: "&amp;IF(LEN(INDEX('Dealer pipeline'!$S$4:$S$503,_calc!$E$845))=0,"",INDEX('Dealer pipeline'!$S$4:$S$503,_calc!$E$845))&amp;". ")&amp;IF(LEN(IF(LEN(INDEX('Dealer pipeline'!$T$4:$T$503,_calc!$E$845))=0,"",INDEX('Dealer pipeline'!$T$4:$T$503,_calc!$E$845)))=0,"",IF(LEN(INDEX('Dealer pipeline'!$T$4:$T$503,_calc!$E$845))=0,"",INDEX('Dealer pipeline'!$T$4:$T$503,_calc!$E$845)))),TRIM(IF(LEN(IF(LEN(INDEX('My equipment'!$C$4:$C$503,(_calc!$E$845-500)))=0,"",INDEX('My equipment'!$C$4:$C$503,(_calc!$E$845-500))))=0,"","Model: "&amp;IF(LEN(INDEX('My equipment'!$C$4:$C$503,(_calc!$E$845-500)))=0,"",INDEX('My equipment'!$C$4:$C$503,(_calc!$E$845-500)))&amp;". ")&amp;IF(LEN(IF(LEN(INDEX('My equipment'!$D$4:$D$503,(_calc!$E$845-500)))=0,"",INDEX('My equipment'!$D$4:$D$503,(_calc!$E$845-500))))=0,"","Serial: "&amp;IF(LEN(INDEX('My equipment'!$D$4:$D$503,(_calc!$E$845-500)))=0,"",INDEX('My equipment'!$D$4:$D$503,(_calc!$E$845-500)))&amp;". ")&amp;IF(LEN(IF(ISNUMBER(INDEX('My equipment'!$J$4:$J$503,(_calc!$E$845-500))),TEXT(INDEX('My equipment'!$J$4:$J$503,(_calc!$E$845-500)),"yyyy-mm-dd"),""))=0,"","Parts end: "&amp;IF(ISNUMBER(INDEX('My equipment'!$J$4:$J$503,(_calc!$E$845-500))),TEXT(INDEX('My equipment'!$J$4:$J$503,(_calc!$E$845-500)),"yyyy-mm-dd"),"")&amp;". ")&amp;IF(LEN(IF(ISNUMBER(INDEX('My equipment'!$L$4:$L$503,(_calc!$E$845-500))),TEXT(INDEX('My equipment'!$L$4:$L$503,(_calc!$E$845-500)),"yyyy-mm-dd"),""))=0,"","Labor end: "&amp;IF(ISNUMBER(INDEX('My equipment'!$L$4:$L$503,(_calc!$E$845-500))),TEXT(INDEX('My equipment'!$L$4:$L$503,(_calc!$E$845-500)),"yyyy-mm-dd"),"")&amp;". ")&amp;IF(LEN(IF(ISNUMBER(INDEX('My equipment'!$P$4:$P$503,(_calc!$E$845-500))),TEXT(INDEX('My equipment'!$P$4:$P$503,(_calc!$E$845-500)),"yyyy-mm-dd"),""))=0,"","Check by: "&amp;IF(ISNUMBER(INDEX('My equipment'!$P$4:$P$503,(_calc!$E$845-500))),TEXT(INDEX('My equipment'!$P$4:$P$503,(_calc!$E$845-500)),"yyyy-mm-dd"),"")&amp;". ")&amp;IF(LEN(IF(LEN(INDEX('My equipment'!$Q$4:$Q$503,(_calc!$E$845-500)))=0,"",INDEX('My equipment'!$Q$4:$Q$503,(_calc!$E$845-500))))=0,"","Claim status: "&amp;IF(LEN(INDEX('My equipment'!$Q$4:$Q$503,(_calc!$E$845-500)))=0,"",INDEX('My equipment'!$Q$4:$Q$503,(_calc!$E$845-500)))&amp;". ")&amp;IF(LEN(IF(LEN(INDEX('My equipment'!$R$4:$R$503,(_calc!$E$845-500)))=0,"",INDEX('My equipment'!$R$4:$R$503,(_calc!$E$845-500))))=0,"","Claims contact: "&amp;IF(LEN(INDEX('My equipment'!$R$4:$R$503,(_calc!$E$845-500)))=0,"",INDEX('My equipment'!$R$4:$R$503,(_calc!$E$845-500)))&amp;". ")&amp;IF(LEN(IF(LEN(INDEX('My equipment'!$S$4:$S$503,(_calc!$E$845-500)))=0,"",INDEX('My equipment'!$S$4:$S$503,(_calc!$E$845-500))))=0,"","Claims email: "&amp;IF(LEN(INDEX('My equipment'!$S$4:$S$503,(_calc!$E$845-500)))=0,"",INDEX('My equipment'!$S$4:$S$503,(_calc!$E$845-500)))&amp;". ")&amp;IF(LEN(IF(LEN(INDEX('My equipment'!$U$4:$U$503,(_calc!$E$845-500)))=0,"",INDEX('My equipment'!$U$4:$U$503,(_calc!$E$845-500))))=0,"","Registered: "&amp;IF(LEN(INDEX('My equipment'!$U$4:$U$503,(_calc!$E$845-500)))=0,"",INDEX('My equipment'!$U$4:$U$503,(_calc!$E$845-500)))&amp;". ")&amp;IF(LEN(IF(LEN(INDEX('My equipment'!$V$4:$V$503,(_calc!$E$845-500)))=0,"",INDEX('My equipment'!$V$4:$V$503,(_calc!$E$845-500))))=0,"","Proof on file: "&amp;IF(LEN(INDEX('My equipment'!$V$4:$V$503,(_calc!$E$845-500)))=0,"",INDEX('My equipment'!$V$4:$V$503,(_calc!$E$845-500)))&amp;". ")&amp;IF(LEN(IF(LEN(INDEX('My equipment'!$W$4:$W$503,(_calc!$E$845-500)))=0,"",INDEX('My equipment'!$W$4:$W$503,(_calc!$E$845-500))))=0,"","Claim ref: "&amp;IF(LEN(INDEX('My equipment'!$W$4:$W$503,(_calc!$E$845-500)))=0,"",INDEX('My equipment'!$W$4:$W$503,(_calc!$E$845-500)))&amp;". ")&amp;IF(LEN(IF(LEN(INDEX('My equipment'!$Y$4:$Y$503,(_calc!$E$845-500)))=0,"",INDEX('My equipment'!$Y$4:$Y$503,(_calc!$E$845-500))))=0,"",IF(LEN(INDEX('My equipment'!$Y$4:$Y$503,(_calc!$E$845-500)))=0,"",INDEX('My equipment'!$Y$4:$Y$503,(_calc!$E$845-500)))))))</f>
        <v/>
      </c>
      <c r="G843" s="54">
        <f>IF(_calc!$E$845="","",IF(_calc!$E$845&lt;=500,"",IF(LEN(INDEX('My equipment'!$X$4:$X$503,(_calc!$E$845-500)))=0,"",INDEX('My equipment'!$X$4:$X$503,(_calc!$E$845-500)))))</f>
        <v/>
      </c>
      <c r="K843" s="54">
        <f>IF(_calc!$E$845="","",IF(_calc!$E$845&lt;=500,"",IF(LEN(INDEX('My equipment'!$T$4:$T$503,(_calc!$E$845-500)))=0,"",INDEX('My equipment'!$T$4:$T$503,(_calc!$E$845-500)))))</f>
        <v/>
      </c>
    </row>
    <row r="844">
      <c r="A844" s="54">
        <f>IF(_calc!$E$846="","",IF(_calc!$E$846&lt;=500,"Warranty – "&amp;IF(LEN(INDEX('Dealer pipeline'!$C$4:$C$503,_calc!$E$846))=0,"",INDEX('Dealer pipeline'!$C$4:$C$503,_calc!$E$846))&amp;" – "&amp;IF(LEN(INDEX('Dealer pipeline'!$D$4:$D$503,_calc!$E$846))=0,"",INDEX('Dealer pipeline'!$D$4:$D$503,_calc!$E$846))&amp;" – "&amp;IF(LEN(INDEX('Dealer pipeline'!$A$4:$A$503,_calc!$E$846))=0,"",INDEX('Dealer pipeline'!$A$4:$A$503,_calc!$E$846)),"Warranty – "&amp;IF(LEN(INDEX('My equipment'!$A$4:$A$503,(_calc!$E$846-500)))=0,"",INDEX('My equipment'!$A$4:$A$503,(_calc!$E$846-500)))&amp;" – "&amp;IF(LEN(INDEX('My equipment'!$D$4:$D$503,(_calc!$E$846-500)))=0,"",INDEX('My equipment'!$D$4:$D$503,(_calc!$E$846-500)))))</f>
        <v/>
      </c>
      <c r="B844" s="54">
        <f>IF(_calc!$E$846="","",IF(_calc!$E$846&lt;=500,IF(ISNUMBER(INDEX('Dealer pipeline'!$M$4:$M$503,_calc!$E$846)),TEXT(INDEX('Dealer pipeline'!$M$4:$M$503,_calc!$E$846),"yyyy-mm-dd"),""),IF(ISNUMBER(INDEX('My equipment'!$M$4:$M$503,(_calc!$E$846-500))),TEXT(INDEX('My equipment'!$M$4:$M$503,(_calc!$E$846-500)),"yyyy-mm-dd"),"")))</f>
        <v/>
      </c>
      <c r="C844" s="54">
        <f>IF(_calc!$E$846="","",IF(_calc!$E$846&lt;=500,"Warranty","Warranty"))</f>
        <v/>
      </c>
      <c r="D844" s="54">
        <f>IF(_calc!$E$846="","",IF(_calc!$E$846&lt;=500,IF(ISNUMBER(INDEX('Dealer pipeline'!$H$4:$H$503,_calc!$E$846)),TEXT(INDEX('Dealer pipeline'!$H$4:$H$503,_calc!$E$846),"yyyy-mm-dd"),""),IF(ISNUMBER(INDEX('My equipment'!$H$4:$H$503,(_calc!$E$846-500))),TEXT(INDEX('My equipment'!$H$4:$H$503,(_calc!$E$846-500)),"yyyy-mm-dd"),"")))</f>
        <v/>
      </c>
      <c r="F844" s="54">
        <f>IF(_calc!$E$846="","",IF(_calc!$E$846&lt;=500,TRIM(IF(LEN(IF(LEN(INDEX('Dealer pipeline'!$A$4:$A$503,_calc!$E$846))=0,"",INDEX('Dealer pipeline'!$A$4:$A$503,_calc!$E$846)))=0,"","Customer: "&amp;IF(LEN(INDEX('Dealer pipeline'!$A$4:$A$503,_calc!$E$846))=0,"",INDEX('Dealer pipeline'!$A$4:$A$503,_calc!$E$846))&amp;". ")&amp;IF(LEN(IF(LEN(INDEX('Dealer pipeline'!$B$4:$B$503,_calc!$E$846))=0,"",INDEX('Dealer pipeline'!$B$4:$B$503,_calc!$E$846)))=0,"","Contact: "&amp;IF(LEN(INDEX('Dealer pipeline'!$B$4:$B$503,_calc!$E$846))=0,"",INDEX('Dealer pipeline'!$B$4:$B$503,_calc!$E$846))&amp;". ")&amp;IF(LEN(IF(LEN(INDEX('Dealer pipeline'!$D$4:$D$503,_calc!$E$846))=0,"",INDEX('Dealer pipeline'!$D$4:$D$503,_calc!$E$846)))=0,"","Serial: "&amp;IF(LEN(INDEX('Dealer pipeline'!$D$4:$D$503,_calc!$E$846))=0,"",INDEX('Dealer pipeline'!$D$4:$D$503,_calc!$E$846))&amp;". ")&amp;IF(LEN(IF(ISNUMBER(INDEX('Dealer pipeline'!$J$4:$J$503,_calc!$E$846)),TEXT(INDEX('Dealer pipeline'!$J$4:$J$503,_calc!$E$846),"yyyy-mm-dd"),""))=0,"","Parts end: "&amp;IF(ISNUMBER(INDEX('Dealer pipeline'!$J$4:$J$503,_calc!$E$846)),TEXT(INDEX('Dealer pipeline'!$J$4:$J$503,_calc!$E$846),"yyyy-mm-dd"),"")&amp;". ")&amp;IF(LEN(IF(ISNUMBER(INDEX('Dealer pipeline'!$L$4:$L$503,_calc!$E$846)),TEXT(INDEX('Dealer pipeline'!$L$4:$L$503,_calc!$E$846),"yyyy-mm-dd"),""))=0,"","Labor end: "&amp;IF(ISNUMBER(INDEX('Dealer pipeline'!$L$4:$L$503,_calc!$E$846)),TEXT(INDEX('Dealer pipeline'!$L$4:$L$503,_calc!$E$846),"yyyy-mm-dd"),"")&amp;". ")&amp;IF(LEN(IF(LEN(INDEX('Dealer pipeline'!$Q$4:$Q$503,_calc!$E$846))=0,"",INDEX('Dealer pipeline'!$Q$4:$Q$503,_calc!$E$846)))=0,"","Status: "&amp;IF(LEN(INDEX('Dealer pipeline'!$Q$4:$Q$503,_calc!$E$846))=0,"",INDEX('Dealer pipeline'!$Q$4:$Q$503,_calc!$E$846))&amp;". ")&amp;IF(LEN(IF(LEN(INDEX('Dealer pipeline'!$P$4:$P$503,_calc!$E$846))=0,"",INDEX('Dealer pipeline'!$P$4:$P$503,_calc!$E$846)))=0,"","Last touch: "&amp;IF(LEN(INDEX('Dealer pipeline'!$P$4:$P$503,_calc!$E$846))=0,"",INDEX('Dealer pipeline'!$P$4:$P$503,_calc!$E$846))&amp;". ")&amp;IF(LEN(IF(LEN(INDEX('Dealer pipeline'!$R$4:$R$503,_calc!$E$846))=0,"",INDEX('Dealer pipeline'!$R$4:$R$503,_calc!$E$846)))=0,"","Owner: "&amp;IF(LEN(INDEX('Dealer pipeline'!$R$4:$R$503,_calc!$E$846))=0,"",INDEX('Dealer pipeline'!$R$4:$R$503,_calc!$E$846))&amp;". ")&amp;IF(LEN(IF(LEN(INDEX('Dealer pipeline'!$S$4:$S$503,_calc!$E$846))=0,"",INDEX('Dealer pipeline'!$S$4:$S$503,_calc!$E$846)))=0,"","Backup: "&amp;IF(LEN(INDEX('Dealer pipeline'!$S$4:$S$503,_calc!$E$846))=0,"",INDEX('Dealer pipeline'!$S$4:$S$503,_calc!$E$846))&amp;". ")&amp;IF(LEN(IF(LEN(INDEX('Dealer pipeline'!$T$4:$T$503,_calc!$E$846))=0,"",INDEX('Dealer pipeline'!$T$4:$T$503,_calc!$E$846)))=0,"",IF(LEN(INDEX('Dealer pipeline'!$T$4:$T$503,_calc!$E$846))=0,"",INDEX('Dealer pipeline'!$T$4:$T$503,_calc!$E$846)))),TRIM(IF(LEN(IF(LEN(INDEX('My equipment'!$C$4:$C$503,(_calc!$E$846-500)))=0,"",INDEX('My equipment'!$C$4:$C$503,(_calc!$E$846-500))))=0,"","Model: "&amp;IF(LEN(INDEX('My equipment'!$C$4:$C$503,(_calc!$E$846-500)))=0,"",INDEX('My equipment'!$C$4:$C$503,(_calc!$E$846-500)))&amp;". ")&amp;IF(LEN(IF(LEN(INDEX('My equipment'!$D$4:$D$503,(_calc!$E$846-500)))=0,"",INDEX('My equipment'!$D$4:$D$503,(_calc!$E$846-500))))=0,"","Serial: "&amp;IF(LEN(INDEX('My equipment'!$D$4:$D$503,(_calc!$E$846-500)))=0,"",INDEX('My equipment'!$D$4:$D$503,(_calc!$E$846-500)))&amp;". ")&amp;IF(LEN(IF(ISNUMBER(INDEX('My equipment'!$J$4:$J$503,(_calc!$E$846-500))),TEXT(INDEX('My equipment'!$J$4:$J$503,(_calc!$E$846-500)),"yyyy-mm-dd"),""))=0,"","Parts end: "&amp;IF(ISNUMBER(INDEX('My equipment'!$J$4:$J$503,(_calc!$E$846-500))),TEXT(INDEX('My equipment'!$J$4:$J$503,(_calc!$E$846-500)),"yyyy-mm-dd"),"")&amp;". ")&amp;IF(LEN(IF(ISNUMBER(INDEX('My equipment'!$L$4:$L$503,(_calc!$E$846-500))),TEXT(INDEX('My equipment'!$L$4:$L$503,(_calc!$E$846-500)),"yyyy-mm-dd"),""))=0,"","Labor end: "&amp;IF(ISNUMBER(INDEX('My equipment'!$L$4:$L$503,(_calc!$E$846-500))),TEXT(INDEX('My equipment'!$L$4:$L$503,(_calc!$E$846-500)),"yyyy-mm-dd"),"")&amp;". ")&amp;IF(LEN(IF(ISNUMBER(INDEX('My equipment'!$P$4:$P$503,(_calc!$E$846-500))),TEXT(INDEX('My equipment'!$P$4:$P$503,(_calc!$E$846-500)),"yyyy-mm-dd"),""))=0,"","Check by: "&amp;IF(ISNUMBER(INDEX('My equipment'!$P$4:$P$503,(_calc!$E$846-500))),TEXT(INDEX('My equipment'!$P$4:$P$503,(_calc!$E$846-500)),"yyyy-mm-dd"),"")&amp;". ")&amp;IF(LEN(IF(LEN(INDEX('My equipment'!$Q$4:$Q$503,(_calc!$E$846-500)))=0,"",INDEX('My equipment'!$Q$4:$Q$503,(_calc!$E$846-500))))=0,"","Claim status: "&amp;IF(LEN(INDEX('My equipment'!$Q$4:$Q$503,(_calc!$E$846-500)))=0,"",INDEX('My equipment'!$Q$4:$Q$503,(_calc!$E$846-500)))&amp;". ")&amp;IF(LEN(IF(LEN(INDEX('My equipment'!$R$4:$R$503,(_calc!$E$846-500)))=0,"",INDEX('My equipment'!$R$4:$R$503,(_calc!$E$846-500))))=0,"","Claims contact: "&amp;IF(LEN(INDEX('My equipment'!$R$4:$R$503,(_calc!$E$846-500)))=0,"",INDEX('My equipment'!$R$4:$R$503,(_calc!$E$846-500)))&amp;". ")&amp;IF(LEN(IF(LEN(INDEX('My equipment'!$S$4:$S$503,(_calc!$E$846-500)))=0,"",INDEX('My equipment'!$S$4:$S$503,(_calc!$E$846-500))))=0,"","Claims email: "&amp;IF(LEN(INDEX('My equipment'!$S$4:$S$503,(_calc!$E$846-500)))=0,"",INDEX('My equipment'!$S$4:$S$503,(_calc!$E$846-500)))&amp;". ")&amp;IF(LEN(IF(LEN(INDEX('My equipment'!$U$4:$U$503,(_calc!$E$846-500)))=0,"",INDEX('My equipment'!$U$4:$U$503,(_calc!$E$846-500))))=0,"","Registered: "&amp;IF(LEN(INDEX('My equipment'!$U$4:$U$503,(_calc!$E$846-500)))=0,"",INDEX('My equipment'!$U$4:$U$503,(_calc!$E$846-500)))&amp;". ")&amp;IF(LEN(IF(LEN(INDEX('My equipment'!$V$4:$V$503,(_calc!$E$846-500)))=0,"",INDEX('My equipment'!$V$4:$V$503,(_calc!$E$846-500))))=0,"","Proof on file: "&amp;IF(LEN(INDEX('My equipment'!$V$4:$V$503,(_calc!$E$846-500)))=0,"",INDEX('My equipment'!$V$4:$V$503,(_calc!$E$846-500)))&amp;". ")&amp;IF(LEN(IF(LEN(INDEX('My equipment'!$W$4:$W$503,(_calc!$E$846-500)))=0,"",INDEX('My equipment'!$W$4:$W$503,(_calc!$E$846-500))))=0,"","Claim ref: "&amp;IF(LEN(INDEX('My equipment'!$W$4:$W$503,(_calc!$E$846-500)))=0,"",INDEX('My equipment'!$W$4:$W$503,(_calc!$E$846-500)))&amp;". ")&amp;IF(LEN(IF(LEN(INDEX('My equipment'!$Y$4:$Y$503,(_calc!$E$846-500)))=0,"",INDEX('My equipment'!$Y$4:$Y$503,(_calc!$E$846-500))))=0,"",IF(LEN(INDEX('My equipment'!$Y$4:$Y$503,(_calc!$E$846-500)))=0,"",INDEX('My equipment'!$Y$4:$Y$503,(_calc!$E$846-500)))))))</f>
        <v/>
      </c>
      <c r="G844" s="54">
        <f>IF(_calc!$E$846="","",IF(_calc!$E$846&lt;=500,"",IF(LEN(INDEX('My equipment'!$X$4:$X$503,(_calc!$E$846-500)))=0,"",INDEX('My equipment'!$X$4:$X$503,(_calc!$E$846-500)))))</f>
        <v/>
      </c>
      <c r="K844" s="54">
        <f>IF(_calc!$E$846="","",IF(_calc!$E$846&lt;=500,"",IF(LEN(INDEX('My equipment'!$T$4:$T$503,(_calc!$E$846-500)))=0,"",INDEX('My equipment'!$T$4:$T$503,(_calc!$E$846-500)))))</f>
        <v/>
      </c>
    </row>
    <row r="845">
      <c r="A845" s="54">
        <f>IF(_calc!$E$847="","",IF(_calc!$E$847&lt;=500,"Warranty – "&amp;IF(LEN(INDEX('Dealer pipeline'!$C$4:$C$503,_calc!$E$847))=0,"",INDEX('Dealer pipeline'!$C$4:$C$503,_calc!$E$847))&amp;" – "&amp;IF(LEN(INDEX('Dealer pipeline'!$D$4:$D$503,_calc!$E$847))=0,"",INDEX('Dealer pipeline'!$D$4:$D$503,_calc!$E$847))&amp;" – "&amp;IF(LEN(INDEX('Dealer pipeline'!$A$4:$A$503,_calc!$E$847))=0,"",INDEX('Dealer pipeline'!$A$4:$A$503,_calc!$E$847)),"Warranty – "&amp;IF(LEN(INDEX('My equipment'!$A$4:$A$503,(_calc!$E$847-500)))=0,"",INDEX('My equipment'!$A$4:$A$503,(_calc!$E$847-500)))&amp;" – "&amp;IF(LEN(INDEX('My equipment'!$D$4:$D$503,(_calc!$E$847-500)))=0,"",INDEX('My equipment'!$D$4:$D$503,(_calc!$E$847-500)))))</f>
        <v/>
      </c>
      <c r="B845" s="54">
        <f>IF(_calc!$E$847="","",IF(_calc!$E$847&lt;=500,IF(ISNUMBER(INDEX('Dealer pipeline'!$M$4:$M$503,_calc!$E$847)),TEXT(INDEX('Dealer pipeline'!$M$4:$M$503,_calc!$E$847),"yyyy-mm-dd"),""),IF(ISNUMBER(INDEX('My equipment'!$M$4:$M$503,(_calc!$E$847-500))),TEXT(INDEX('My equipment'!$M$4:$M$503,(_calc!$E$847-500)),"yyyy-mm-dd"),"")))</f>
        <v/>
      </c>
      <c r="C845" s="54">
        <f>IF(_calc!$E$847="","",IF(_calc!$E$847&lt;=500,"Warranty","Warranty"))</f>
        <v/>
      </c>
      <c r="D845" s="54">
        <f>IF(_calc!$E$847="","",IF(_calc!$E$847&lt;=500,IF(ISNUMBER(INDEX('Dealer pipeline'!$H$4:$H$503,_calc!$E$847)),TEXT(INDEX('Dealer pipeline'!$H$4:$H$503,_calc!$E$847),"yyyy-mm-dd"),""),IF(ISNUMBER(INDEX('My equipment'!$H$4:$H$503,(_calc!$E$847-500))),TEXT(INDEX('My equipment'!$H$4:$H$503,(_calc!$E$847-500)),"yyyy-mm-dd"),"")))</f>
        <v/>
      </c>
      <c r="F845" s="54">
        <f>IF(_calc!$E$847="","",IF(_calc!$E$847&lt;=500,TRIM(IF(LEN(IF(LEN(INDEX('Dealer pipeline'!$A$4:$A$503,_calc!$E$847))=0,"",INDEX('Dealer pipeline'!$A$4:$A$503,_calc!$E$847)))=0,"","Customer: "&amp;IF(LEN(INDEX('Dealer pipeline'!$A$4:$A$503,_calc!$E$847))=0,"",INDEX('Dealer pipeline'!$A$4:$A$503,_calc!$E$847))&amp;". ")&amp;IF(LEN(IF(LEN(INDEX('Dealer pipeline'!$B$4:$B$503,_calc!$E$847))=0,"",INDEX('Dealer pipeline'!$B$4:$B$503,_calc!$E$847)))=0,"","Contact: "&amp;IF(LEN(INDEX('Dealer pipeline'!$B$4:$B$503,_calc!$E$847))=0,"",INDEX('Dealer pipeline'!$B$4:$B$503,_calc!$E$847))&amp;". ")&amp;IF(LEN(IF(LEN(INDEX('Dealer pipeline'!$D$4:$D$503,_calc!$E$847))=0,"",INDEX('Dealer pipeline'!$D$4:$D$503,_calc!$E$847)))=0,"","Serial: "&amp;IF(LEN(INDEX('Dealer pipeline'!$D$4:$D$503,_calc!$E$847))=0,"",INDEX('Dealer pipeline'!$D$4:$D$503,_calc!$E$847))&amp;". ")&amp;IF(LEN(IF(ISNUMBER(INDEX('Dealer pipeline'!$J$4:$J$503,_calc!$E$847)),TEXT(INDEX('Dealer pipeline'!$J$4:$J$503,_calc!$E$847),"yyyy-mm-dd"),""))=0,"","Parts end: "&amp;IF(ISNUMBER(INDEX('Dealer pipeline'!$J$4:$J$503,_calc!$E$847)),TEXT(INDEX('Dealer pipeline'!$J$4:$J$503,_calc!$E$847),"yyyy-mm-dd"),"")&amp;". ")&amp;IF(LEN(IF(ISNUMBER(INDEX('Dealer pipeline'!$L$4:$L$503,_calc!$E$847)),TEXT(INDEX('Dealer pipeline'!$L$4:$L$503,_calc!$E$847),"yyyy-mm-dd"),""))=0,"","Labor end: "&amp;IF(ISNUMBER(INDEX('Dealer pipeline'!$L$4:$L$503,_calc!$E$847)),TEXT(INDEX('Dealer pipeline'!$L$4:$L$503,_calc!$E$847),"yyyy-mm-dd"),"")&amp;". ")&amp;IF(LEN(IF(LEN(INDEX('Dealer pipeline'!$Q$4:$Q$503,_calc!$E$847))=0,"",INDEX('Dealer pipeline'!$Q$4:$Q$503,_calc!$E$847)))=0,"","Status: "&amp;IF(LEN(INDEX('Dealer pipeline'!$Q$4:$Q$503,_calc!$E$847))=0,"",INDEX('Dealer pipeline'!$Q$4:$Q$503,_calc!$E$847))&amp;". ")&amp;IF(LEN(IF(LEN(INDEX('Dealer pipeline'!$P$4:$P$503,_calc!$E$847))=0,"",INDEX('Dealer pipeline'!$P$4:$P$503,_calc!$E$847)))=0,"","Last touch: "&amp;IF(LEN(INDEX('Dealer pipeline'!$P$4:$P$503,_calc!$E$847))=0,"",INDEX('Dealer pipeline'!$P$4:$P$503,_calc!$E$847))&amp;". ")&amp;IF(LEN(IF(LEN(INDEX('Dealer pipeline'!$R$4:$R$503,_calc!$E$847))=0,"",INDEX('Dealer pipeline'!$R$4:$R$503,_calc!$E$847)))=0,"","Owner: "&amp;IF(LEN(INDEX('Dealer pipeline'!$R$4:$R$503,_calc!$E$847))=0,"",INDEX('Dealer pipeline'!$R$4:$R$503,_calc!$E$847))&amp;". ")&amp;IF(LEN(IF(LEN(INDEX('Dealer pipeline'!$S$4:$S$503,_calc!$E$847))=0,"",INDEX('Dealer pipeline'!$S$4:$S$503,_calc!$E$847)))=0,"","Backup: "&amp;IF(LEN(INDEX('Dealer pipeline'!$S$4:$S$503,_calc!$E$847))=0,"",INDEX('Dealer pipeline'!$S$4:$S$503,_calc!$E$847))&amp;". ")&amp;IF(LEN(IF(LEN(INDEX('Dealer pipeline'!$T$4:$T$503,_calc!$E$847))=0,"",INDEX('Dealer pipeline'!$T$4:$T$503,_calc!$E$847)))=0,"",IF(LEN(INDEX('Dealer pipeline'!$T$4:$T$503,_calc!$E$847))=0,"",INDEX('Dealer pipeline'!$T$4:$T$503,_calc!$E$847)))),TRIM(IF(LEN(IF(LEN(INDEX('My equipment'!$C$4:$C$503,(_calc!$E$847-500)))=0,"",INDEX('My equipment'!$C$4:$C$503,(_calc!$E$847-500))))=0,"","Model: "&amp;IF(LEN(INDEX('My equipment'!$C$4:$C$503,(_calc!$E$847-500)))=0,"",INDEX('My equipment'!$C$4:$C$503,(_calc!$E$847-500)))&amp;". ")&amp;IF(LEN(IF(LEN(INDEX('My equipment'!$D$4:$D$503,(_calc!$E$847-500)))=0,"",INDEX('My equipment'!$D$4:$D$503,(_calc!$E$847-500))))=0,"","Serial: "&amp;IF(LEN(INDEX('My equipment'!$D$4:$D$503,(_calc!$E$847-500)))=0,"",INDEX('My equipment'!$D$4:$D$503,(_calc!$E$847-500)))&amp;". ")&amp;IF(LEN(IF(ISNUMBER(INDEX('My equipment'!$J$4:$J$503,(_calc!$E$847-500))),TEXT(INDEX('My equipment'!$J$4:$J$503,(_calc!$E$847-500)),"yyyy-mm-dd"),""))=0,"","Parts end: "&amp;IF(ISNUMBER(INDEX('My equipment'!$J$4:$J$503,(_calc!$E$847-500))),TEXT(INDEX('My equipment'!$J$4:$J$503,(_calc!$E$847-500)),"yyyy-mm-dd"),"")&amp;". ")&amp;IF(LEN(IF(ISNUMBER(INDEX('My equipment'!$L$4:$L$503,(_calc!$E$847-500))),TEXT(INDEX('My equipment'!$L$4:$L$503,(_calc!$E$847-500)),"yyyy-mm-dd"),""))=0,"","Labor end: "&amp;IF(ISNUMBER(INDEX('My equipment'!$L$4:$L$503,(_calc!$E$847-500))),TEXT(INDEX('My equipment'!$L$4:$L$503,(_calc!$E$847-500)),"yyyy-mm-dd"),"")&amp;". ")&amp;IF(LEN(IF(ISNUMBER(INDEX('My equipment'!$P$4:$P$503,(_calc!$E$847-500))),TEXT(INDEX('My equipment'!$P$4:$P$503,(_calc!$E$847-500)),"yyyy-mm-dd"),""))=0,"","Check by: "&amp;IF(ISNUMBER(INDEX('My equipment'!$P$4:$P$503,(_calc!$E$847-500))),TEXT(INDEX('My equipment'!$P$4:$P$503,(_calc!$E$847-500)),"yyyy-mm-dd"),"")&amp;". ")&amp;IF(LEN(IF(LEN(INDEX('My equipment'!$Q$4:$Q$503,(_calc!$E$847-500)))=0,"",INDEX('My equipment'!$Q$4:$Q$503,(_calc!$E$847-500))))=0,"","Claim status: "&amp;IF(LEN(INDEX('My equipment'!$Q$4:$Q$503,(_calc!$E$847-500)))=0,"",INDEX('My equipment'!$Q$4:$Q$503,(_calc!$E$847-500)))&amp;". ")&amp;IF(LEN(IF(LEN(INDEX('My equipment'!$R$4:$R$503,(_calc!$E$847-500)))=0,"",INDEX('My equipment'!$R$4:$R$503,(_calc!$E$847-500))))=0,"","Claims contact: "&amp;IF(LEN(INDEX('My equipment'!$R$4:$R$503,(_calc!$E$847-500)))=0,"",INDEX('My equipment'!$R$4:$R$503,(_calc!$E$847-500)))&amp;". ")&amp;IF(LEN(IF(LEN(INDEX('My equipment'!$S$4:$S$503,(_calc!$E$847-500)))=0,"",INDEX('My equipment'!$S$4:$S$503,(_calc!$E$847-500))))=0,"","Claims email: "&amp;IF(LEN(INDEX('My equipment'!$S$4:$S$503,(_calc!$E$847-500)))=0,"",INDEX('My equipment'!$S$4:$S$503,(_calc!$E$847-500)))&amp;". ")&amp;IF(LEN(IF(LEN(INDEX('My equipment'!$U$4:$U$503,(_calc!$E$847-500)))=0,"",INDEX('My equipment'!$U$4:$U$503,(_calc!$E$847-500))))=0,"","Registered: "&amp;IF(LEN(INDEX('My equipment'!$U$4:$U$503,(_calc!$E$847-500)))=0,"",INDEX('My equipment'!$U$4:$U$503,(_calc!$E$847-500)))&amp;". ")&amp;IF(LEN(IF(LEN(INDEX('My equipment'!$V$4:$V$503,(_calc!$E$847-500)))=0,"",INDEX('My equipment'!$V$4:$V$503,(_calc!$E$847-500))))=0,"","Proof on file: "&amp;IF(LEN(INDEX('My equipment'!$V$4:$V$503,(_calc!$E$847-500)))=0,"",INDEX('My equipment'!$V$4:$V$503,(_calc!$E$847-500)))&amp;". ")&amp;IF(LEN(IF(LEN(INDEX('My equipment'!$W$4:$W$503,(_calc!$E$847-500)))=0,"",INDEX('My equipment'!$W$4:$W$503,(_calc!$E$847-500))))=0,"","Claim ref: "&amp;IF(LEN(INDEX('My equipment'!$W$4:$W$503,(_calc!$E$847-500)))=0,"",INDEX('My equipment'!$W$4:$W$503,(_calc!$E$847-500)))&amp;". ")&amp;IF(LEN(IF(LEN(INDEX('My equipment'!$Y$4:$Y$503,(_calc!$E$847-500)))=0,"",INDEX('My equipment'!$Y$4:$Y$503,(_calc!$E$847-500))))=0,"",IF(LEN(INDEX('My equipment'!$Y$4:$Y$503,(_calc!$E$847-500)))=0,"",INDEX('My equipment'!$Y$4:$Y$503,(_calc!$E$847-500)))))))</f>
        <v/>
      </c>
      <c r="G845" s="54">
        <f>IF(_calc!$E$847="","",IF(_calc!$E$847&lt;=500,"",IF(LEN(INDEX('My equipment'!$X$4:$X$503,(_calc!$E$847-500)))=0,"",INDEX('My equipment'!$X$4:$X$503,(_calc!$E$847-500)))))</f>
        <v/>
      </c>
      <c r="K845" s="54">
        <f>IF(_calc!$E$847="","",IF(_calc!$E$847&lt;=500,"",IF(LEN(INDEX('My equipment'!$T$4:$T$503,(_calc!$E$847-500)))=0,"",INDEX('My equipment'!$T$4:$T$503,(_calc!$E$847-500)))))</f>
        <v/>
      </c>
    </row>
    <row r="846">
      <c r="A846" s="54">
        <f>IF(_calc!$E$848="","",IF(_calc!$E$848&lt;=500,"Warranty – "&amp;IF(LEN(INDEX('Dealer pipeline'!$C$4:$C$503,_calc!$E$848))=0,"",INDEX('Dealer pipeline'!$C$4:$C$503,_calc!$E$848))&amp;" – "&amp;IF(LEN(INDEX('Dealer pipeline'!$D$4:$D$503,_calc!$E$848))=0,"",INDEX('Dealer pipeline'!$D$4:$D$503,_calc!$E$848))&amp;" – "&amp;IF(LEN(INDEX('Dealer pipeline'!$A$4:$A$503,_calc!$E$848))=0,"",INDEX('Dealer pipeline'!$A$4:$A$503,_calc!$E$848)),"Warranty – "&amp;IF(LEN(INDEX('My equipment'!$A$4:$A$503,(_calc!$E$848-500)))=0,"",INDEX('My equipment'!$A$4:$A$503,(_calc!$E$848-500)))&amp;" – "&amp;IF(LEN(INDEX('My equipment'!$D$4:$D$503,(_calc!$E$848-500)))=0,"",INDEX('My equipment'!$D$4:$D$503,(_calc!$E$848-500)))))</f>
        <v/>
      </c>
      <c r="B846" s="54">
        <f>IF(_calc!$E$848="","",IF(_calc!$E$848&lt;=500,IF(ISNUMBER(INDEX('Dealer pipeline'!$M$4:$M$503,_calc!$E$848)),TEXT(INDEX('Dealer pipeline'!$M$4:$M$503,_calc!$E$848),"yyyy-mm-dd"),""),IF(ISNUMBER(INDEX('My equipment'!$M$4:$M$503,(_calc!$E$848-500))),TEXT(INDEX('My equipment'!$M$4:$M$503,(_calc!$E$848-500)),"yyyy-mm-dd"),"")))</f>
        <v/>
      </c>
      <c r="C846" s="54">
        <f>IF(_calc!$E$848="","",IF(_calc!$E$848&lt;=500,"Warranty","Warranty"))</f>
        <v/>
      </c>
      <c r="D846" s="54">
        <f>IF(_calc!$E$848="","",IF(_calc!$E$848&lt;=500,IF(ISNUMBER(INDEX('Dealer pipeline'!$H$4:$H$503,_calc!$E$848)),TEXT(INDEX('Dealer pipeline'!$H$4:$H$503,_calc!$E$848),"yyyy-mm-dd"),""),IF(ISNUMBER(INDEX('My equipment'!$H$4:$H$503,(_calc!$E$848-500))),TEXT(INDEX('My equipment'!$H$4:$H$503,(_calc!$E$848-500)),"yyyy-mm-dd"),"")))</f>
        <v/>
      </c>
      <c r="F846" s="54">
        <f>IF(_calc!$E$848="","",IF(_calc!$E$848&lt;=500,TRIM(IF(LEN(IF(LEN(INDEX('Dealer pipeline'!$A$4:$A$503,_calc!$E$848))=0,"",INDEX('Dealer pipeline'!$A$4:$A$503,_calc!$E$848)))=0,"","Customer: "&amp;IF(LEN(INDEX('Dealer pipeline'!$A$4:$A$503,_calc!$E$848))=0,"",INDEX('Dealer pipeline'!$A$4:$A$503,_calc!$E$848))&amp;". ")&amp;IF(LEN(IF(LEN(INDEX('Dealer pipeline'!$B$4:$B$503,_calc!$E$848))=0,"",INDEX('Dealer pipeline'!$B$4:$B$503,_calc!$E$848)))=0,"","Contact: "&amp;IF(LEN(INDEX('Dealer pipeline'!$B$4:$B$503,_calc!$E$848))=0,"",INDEX('Dealer pipeline'!$B$4:$B$503,_calc!$E$848))&amp;". ")&amp;IF(LEN(IF(LEN(INDEX('Dealer pipeline'!$D$4:$D$503,_calc!$E$848))=0,"",INDEX('Dealer pipeline'!$D$4:$D$503,_calc!$E$848)))=0,"","Serial: "&amp;IF(LEN(INDEX('Dealer pipeline'!$D$4:$D$503,_calc!$E$848))=0,"",INDEX('Dealer pipeline'!$D$4:$D$503,_calc!$E$848))&amp;". ")&amp;IF(LEN(IF(ISNUMBER(INDEX('Dealer pipeline'!$J$4:$J$503,_calc!$E$848)),TEXT(INDEX('Dealer pipeline'!$J$4:$J$503,_calc!$E$848),"yyyy-mm-dd"),""))=0,"","Parts end: "&amp;IF(ISNUMBER(INDEX('Dealer pipeline'!$J$4:$J$503,_calc!$E$848)),TEXT(INDEX('Dealer pipeline'!$J$4:$J$503,_calc!$E$848),"yyyy-mm-dd"),"")&amp;". ")&amp;IF(LEN(IF(ISNUMBER(INDEX('Dealer pipeline'!$L$4:$L$503,_calc!$E$848)),TEXT(INDEX('Dealer pipeline'!$L$4:$L$503,_calc!$E$848),"yyyy-mm-dd"),""))=0,"","Labor end: "&amp;IF(ISNUMBER(INDEX('Dealer pipeline'!$L$4:$L$503,_calc!$E$848)),TEXT(INDEX('Dealer pipeline'!$L$4:$L$503,_calc!$E$848),"yyyy-mm-dd"),"")&amp;". ")&amp;IF(LEN(IF(LEN(INDEX('Dealer pipeline'!$Q$4:$Q$503,_calc!$E$848))=0,"",INDEX('Dealer pipeline'!$Q$4:$Q$503,_calc!$E$848)))=0,"","Status: "&amp;IF(LEN(INDEX('Dealer pipeline'!$Q$4:$Q$503,_calc!$E$848))=0,"",INDEX('Dealer pipeline'!$Q$4:$Q$503,_calc!$E$848))&amp;". ")&amp;IF(LEN(IF(LEN(INDEX('Dealer pipeline'!$P$4:$P$503,_calc!$E$848))=0,"",INDEX('Dealer pipeline'!$P$4:$P$503,_calc!$E$848)))=0,"","Last touch: "&amp;IF(LEN(INDEX('Dealer pipeline'!$P$4:$P$503,_calc!$E$848))=0,"",INDEX('Dealer pipeline'!$P$4:$P$503,_calc!$E$848))&amp;". ")&amp;IF(LEN(IF(LEN(INDEX('Dealer pipeline'!$R$4:$R$503,_calc!$E$848))=0,"",INDEX('Dealer pipeline'!$R$4:$R$503,_calc!$E$848)))=0,"","Owner: "&amp;IF(LEN(INDEX('Dealer pipeline'!$R$4:$R$503,_calc!$E$848))=0,"",INDEX('Dealer pipeline'!$R$4:$R$503,_calc!$E$848))&amp;". ")&amp;IF(LEN(IF(LEN(INDEX('Dealer pipeline'!$S$4:$S$503,_calc!$E$848))=0,"",INDEX('Dealer pipeline'!$S$4:$S$503,_calc!$E$848)))=0,"","Backup: "&amp;IF(LEN(INDEX('Dealer pipeline'!$S$4:$S$503,_calc!$E$848))=0,"",INDEX('Dealer pipeline'!$S$4:$S$503,_calc!$E$848))&amp;". ")&amp;IF(LEN(IF(LEN(INDEX('Dealer pipeline'!$T$4:$T$503,_calc!$E$848))=0,"",INDEX('Dealer pipeline'!$T$4:$T$503,_calc!$E$848)))=0,"",IF(LEN(INDEX('Dealer pipeline'!$T$4:$T$503,_calc!$E$848))=0,"",INDEX('Dealer pipeline'!$T$4:$T$503,_calc!$E$848)))),TRIM(IF(LEN(IF(LEN(INDEX('My equipment'!$C$4:$C$503,(_calc!$E$848-500)))=0,"",INDEX('My equipment'!$C$4:$C$503,(_calc!$E$848-500))))=0,"","Model: "&amp;IF(LEN(INDEX('My equipment'!$C$4:$C$503,(_calc!$E$848-500)))=0,"",INDEX('My equipment'!$C$4:$C$503,(_calc!$E$848-500)))&amp;". ")&amp;IF(LEN(IF(LEN(INDEX('My equipment'!$D$4:$D$503,(_calc!$E$848-500)))=0,"",INDEX('My equipment'!$D$4:$D$503,(_calc!$E$848-500))))=0,"","Serial: "&amp;IF(LEN(INDEX('My equipment'!$D$4:$D$503,(_calc!$E$848-500)))=0,"",INDEX('My equipment'!$D$4:$D$503,(_calc!$E$848-500)))&amp;". ")&amp;IF(LEN(IF(ISNUMBER(INDEX('My equipment'!$J$4:$J$503,(_calc!$E$848-500))),TEXT(INDEX('My equipment'!$J$4:$J$503,(_calc!$E$848-500)),"yyyy-mm-dd"),""))=0,"","Parts end: "&amp;IF(ISNUMBER(INDEX('My equipment'!$J$4:$J$503,(_calc!$E$848-500))),TEXT(INDEX('My equipment'!$J$4:$J$503,(_calc!$E$848-500)),"yyyy-mm-dd"),"")&amp;". ")&amp;IF(LEN(IF(ISNUMBER(INDEX('My equipment'!$L$4:$L$503,(_calc!$E$848-500))),TEXT(INDEX('My equipment'!$L$4:$L$503,(_calc!$E$848-500)),"yyyy-mm-dd"),""))=0,"","Labor end: "&amp;IF(ISNUMBER(INDEX('My equipment'!$L$4:$L$503,(_calc!$E$848-500))),TEXT(INDEX('My equipment'!$L$4:$L$503,(_calc!$E$848-500)),"yyyy-mm-dd"),"")&amp;". ")&amp;IF(LEN(IF(ISNUMBER(INDEX('My equipment'!$P$4:$P$503,(_calc!$E$848-500))),TEXT(INDEX('My equipment'!$P$4:$P$503,(_calc!$E$848-500)),"yyyy-mm-dd"),""))=0,"","Check by: "&amp;IF(ISNUMBER(INDEX('My equipment'!$P$4:$P$503,(_calc!$E$848-500))),TEXT(INDEX('My equipment'!$P$4:$P$503,(_calc!$E$848-500)),"yyyy-mm-dd"),"")&amp;". ")&amp;IF(LEN(IF(LEN(INDEX('My equipment'!$Q$4:$Q$503,(_calc!$E$848-500)))=0,"",INDEX('My equipment'!$Q$4:$Q$503,(_calc!$E$848-500))))=0,"","Claim status: "&amp;IF(LEN(INDEX('My equipment'!$Q$4:$Q$503,(_calc!$E$848-500)))=0,"",INDEX('My equipment'!$Q$4:$Q$503,(_calc!$E$848-500)))&amp;". ")&amp;IF(LEN(IF(LEN(INDEX('My equipment'!$R$4:$R$503,(_calc!$E$848-500)))=0,"",INDEX('My equipment'!$R$4:$R$503,(_calc!$E$848-500))))=0,"","Claims contact: "&amp;IF(LEN(INDEX('My equipment'!$R$4:$R$503,(_calc!$E$848-500)))=0,"",INDEX('My equipment'!$R$4:$R$503,(_calc!$E$848-500)))&amp;". ")&amp;IF(LEN(IF(LEN(INDEX('My equipment'!$S$4:$S$503,(_calc!$E$848-500)))=0,"",INDEX('My equipment'!$S$4:$S$503,(_calc!$E$848-500))))=0,"","Claims email: "&amp;IF(LEN(INDEX('My equipment'!$S$4:$S$503,(_calc!$E$848-500)))=0,"",INDEX('My equipment'!$S$4:$S$503,(_calc!$E$848-500)))&amp;". ")&amp;IF(LEN(IF(LEN(INDEX('My equipment'!$U$4:$U$503,(_calc!$E$848-500)))=0,"",INDEX('My equipment'!$U$4:$U$503,(_calc!$E$848-500))))=0,"","Registered: "&amp;IF(LEN(INDEX('My equipment'!$U$4:$U$503,(_calc!$E$848-500)))=0,"",INDEX('My equipment'!$U$4:$U$503,(_calc!$E$848-500)))&amp;". ")&amp;IF(LEN(IF(LEN(INDEX('My equipment'!$V$4:$V$503,(_calc!$E$848-500)))=0,"",INDEX('My equipment'!$V$4:$V$503,(_calc!$E$848-500))))=0,"","Proof on file: "&amp;IF(LEN(INDEX('My equipment'!$V$4:$V$503,(_calc!$E$848-500)))=0,"",INDEX('My equipment'!$V$4:$V$503,(_calc!$E$848-500)))&amp;". ")&amp;IF(LEN(IF(LEN(INDEX('My equipment'!$W$4:$W$503,(_calc!$E$848-500)))=0,"",INDEX('My equipment'!$W$4:$W$503,(_calc!$E$848-500))))=0,"","Claim ref: "&amp;IF(LEN(INDEX('My equipment'!$W$4:$W$503,(_calc!$E$848-500)))=0,"",INDEX('My equipment'!$W$4:$W$503,(_calc!$E$848-500)))&amp;". ")&amp;IF(LEN(IF(LEN(INDEX('My equipment'!$Y$4:$Y$503,(_calc!$E$848-500)))=0,"",INDEX('My equipment'!$Y$4:$Y$503,(_calc!$E$848-500))))=0,"",IF(LEN(INDEX('My equipment'!$Y$4:$Y$503,(_calc!$E$848-500)))=0,"",INDEX('My equipment'!$Y$4:$Y$503,(_calc!$E$848-500)))))))</f>
        <v/>
      </c>
      <c r="G846" s="54">
        <f>IF(_calc!$E$848="","",IF(_calc!$E$848&lt;=500,"",IF(LEN(INDEX('My equipment'!$X$4:$X$503,(_calc!$E$848-500)))=0,"",INDEX('My equipment'!$X$4:$X$503,(_calc!$E$848-500)))))</f>
        <v/>
      </c>
      <c r="K846" s="54">
        <f>IF(_calc!$E$848="","",IF(_calc!$E$848&lt;=500,"",IF(LEN(INDEX('My equipment'!$T$4:$T$503,(_calc!$E$848-500)))=0,"",INDEX('My equipment'!$T$4:$T$503,(_calc!$E$848-500)))))</f>
        <v/>
      </c>
    </row>
    <row r="847">
      <c r="A847" s="54">
        <f>IF(_calc!$E$849="","",IF(_calc!$E$849&lt;=500,"Warranty – "&amp;IF(LEN(INDEX('Dealer pipeline'!$C$4:$C$503,_calc!$E$849))=0,"",INDEX('Dealer pipeline'!$C$4:$C$503,_calc!$E$849))&amp;" – "&amp;IF(LEN(INDEX('Dealer pipeline'!$D$4:$D$503,_calc!$E$849))=0,"",INDEX('Dealer pipeline'!$D$4:$D$503,_calc!$E$849))&amp;" – "&amp;IF(LEN(INDEX('Dealer pipeline'!$A$4:$A$503,_calc!$E$849))=0,"",INDEX('Dealer pipeline'!$A$4:$A$503,_calc!$E$849)),"Warranty – "&amp;IF(LEN(INDEX('My equipment'!$A$4:$A$503,(_calc!$E$849-500)))=0,"",INDEX('My equipment'!$A$4:$A$503,(_calc!$E$849-500)))&amp;" – "&amp;IF(LEN(INDEX('My equipment'!$D$4:$D$503,(_calc!$E$849-500)))=0,"",INDEX('My equipment'!$D$4:$D$503,(_calc!$E$849-500)))))</f>
        <v/>
      </c>
      <c r="B847" s="54">
        <f>IF(_calc!$E$849="","",IF(_calc!$E$849&lt;=500,IF(ISNUMBER(INDEX('Dealer pipeline'!$M$4:$M$503,_calc!$E$849)),TEXT(INDEX('Dealer pipeline'!$M$4:$M$503,_calc!$E$849),"yyyy-mm-dd"),""),IF(ISNUMBER(INDEX('My equipment'!$M$4:$M$503,(_calc!$E$849-500))),TEXT(INDEX('My equipment'!$M$4:$M$503,(_calc!$E$849-500)),"yyyy-mm-dd"),"")))</f>
        <v/>
      </c>
      <c r="C847" s="54">
        <f>IF(_calc!$E$849="","",IF(_calc!$E$849&lt;=500,"Warranty","Warranty"))</f>
        <v/>
      </c>
      <c r="D847" s="54">
        <f>IF(_calc!$E$849="","",IF(_calc!$E$849&lt;=500,IF(ISNUMBER(INDEX('Dealer pipeline'!$H$4:$H$503,_calc!$E$849)),TEXT(INDEX('Dealer pipeline'!$H$4:$H$503,_calc!$E$849),"yyyy-mm-dd"),""),IF(ISNUMBER(INDEX('My equipment'!$H$4:$H$503,(_calc!$E$849-500))),TEXT(INDEX('My equipment'!$H$4:$H$503,(_calc!$E$849-500)),"yyyy-mm-dd"),"")))</f>
        <v/>
      </c>
      <c r="F847" s="54">
        <f>IF(_calc!$E$849="","",IF(_calc!$E$849&lt;=500,TRIM(IF(LEN(IF(LEN(INDEX('Dealer pipeline'!$A$4:$A$503,_calc!$E$849))=0,"",INDEX('Dealer pipeline'!$A$4:$A$503,_calc!$E$849)))=0,"","Customer: "&amp;IF(LEN(INDEX('Dealer pipeline'!$A$4:$A$503,_calc!$E$849))=0,"",INDEX('Dealer pipeline'!$A$4:$A$503,_calc!$E$849))&amp;". ")&amp;IF(LEN(IF(LEN(INDEX('Dealer pipeline'!$B$4:$B$503,_calc!$E$849))=0,"",INDEX('Dealer pipeline'!$B$4:$B$503,_calc!$E$849)))=0,"","Contact: "&amp;IF(LEN(INDEX('Dealer pipeline'!$B$4:$B$503,_calc!$E$849))=0,"",INDEX('Dealer pipeline'!$B$4:$B$503,_calc!$E$849))&amp;". ")&amp;IF(LEN(IF(LEN(INDEX('Dealer pipeline'!$D$4:$D$503,_calc!$E$849))=0,"",INDEX('Dealer pipeline'!$D$4:$D$503,_calc!$E$849)))=0,"","Serial: "&amp;IF(LEN(INDEX('Dealer pipeline'!$D$4:$D$503,_calc!$E$849))=0,"",INDEX('Dealer pipeline'!$D$4:$D$503,_calc!$E$849))&amp;". ")&amp;IF(LEN(IF(ISNUMBER(INDEX('Dealer pipeline'!$J$4:$J$503,_calc!$E$849)),TEXT(INDEX('Dealer pipeline'!$J$4:$J$503,_calc!$E$849),"yyyy-mm-dd"),""))=0,"","Parts end: "&amp;IF(ISNUMBER(INDEX('Dealer pipeline'!$J$4:$J$503,_calc!$E$849)),TEXT(INDEX('Dealer pipeline'!$J$4:$J$503,_calc!$E$849),"yyyy-mm-dd"),"")&amp;". ")&amp;IF(LEN(IF(ISNUMBER(INDEX('Dealer pipeline'!$L$4:$L$503,_calc!$E$849)),TEXT(INDEX('Dealer pipeline'!$L$4:$L$503,_calc!$E$849),"yyyy-mm-dd"),""))=0,"","Labor end: "&amp;IF(ISNUMBER(INDEX('Dealer pipeline'!$L$4:$L$503,_calc!$E$849)),TEXT(INDEX('Dealer pipeline'!$L$4:$L$503,_calc!$E$849),"yyyy-mm-dd"),"")&amp;". ")&amp;IF(LEN(IF(LEN(INDEX('Dealer pipeline'!$Q$4:$Q$503,_calc!$E$849))=0,"",INDEX('Dealer pipeline'!$Q$4:$Q$503,_calc!$E$849)))=0,"","Status: "&amp;IF(LEN(INDEX('Dealer pipeline'!$Q$4:$Q$503,_calc!$E$849))=0,"",INDEX('Dealer pipeline'!$Q$4:$Q$503,_calc!$E$849))&amp;". ")&amp;IF(LEN(IF(LEN(INDEX('Dealer pipeline'!$P$4:$P$503,_calc!$E$849))=0,"",INDEX('Dealer pipeline'!$P$4:$P$503,_calc!$E$849)))=0,"","Last touch: "&amp;IF(LEN(INDEX('Dealer pipeline'!$P$4:$P$503,_calc!$E$849))=0,"",INDEX('Dealer pipeline'!$P$4:$P$503,_calc!$E$849))&amp;". ")&amp;IF(LEN(IF(LEN(INDEX('Dealer pipeline'!$R$4:$R$503,_calc!$E$849))=0,"",INDEX('Dealer pipeline'!$R$4:$R$503,_calc!$E$849)))=0,"","Owner: "&amp;IF(LEN(INDEX('Dealer pipeline'!$R$4:$R$503,_calc!$E$849))=0,"",INDEX('Dealer pipeline'!$R$4:$R$503,_calc!$E$849))&amp;". ")&amp;IF(LEN(IF(LEN(INDEX('Dealer pipeline'!$S$4:$S$503,_calc!$E$849))=0,"",INDEX('Dealer pipeline'!$S$4:$S$503,_calc!$E$849)))=0,"","Backup: "&amp;IF(LEN(INDEX('Dealer pipeline'!$S$4:$S$503,_calc!$E$849))=0,"",INDEX('Dealer pipeline'!$S$4:$S$503,_calc!$E$849))&amp;". ")&amp;IF(LEN(IF(LEN(INDEX('Dealer pipeline'!$T$4:$T$503,_calc!$E$849))=0,"",INDEX('Dealer pipeline'!$T$4:$T$503,_calc!$E$849)))=0,"",IF(LEN(INDEX('Dealer pipeline'!$T$4:$T$503,_calc!$E$849))=0,"",INDEX('Dealer pipeline'!$T$4:$T$503,_calc!$E$849)))),TRIM(IF(LEN(IF(LEN(INDEX('My equipment'!$C$4:$C$503,(_calc!$E$849-500)))=0,"",INDEX('My equipment'!$C$4:$C$503,(_calc!$E$849-500))))=0,"","Model: "&amp;IF(LEN(INDEX('My equipment'!$C$4:$C$503,(_calc!$E$849-500)))=0,"",INDEX('My equipment'!$C$4:$C$503,(_calc!$E$849-500)))&amp;". ")&amp;IF(LEN(IF(LEN(INDEX('My equipment'!$D$4:$D$503,(_calc!$E$849-500)))=0,"",INDEX('My equipment'!$D$4:$D$503,(_calc!$E$849-500))))=0,"","Serial: "&amp;IF(LEN(INDEX('My equipment'!$D$4:$D$503,(_calc!$E$849-500)))=0,"",INDEX('My equipment'!$D$4:$D$503,(_calc!$E$849-500)))&amp;". ")&amp;IF(LEN(IF(ISNUMBER(INDEX('My equipment'!$J$4:$J$503,(_calc!$E$849-500))),TEXT(INDEX('My equipment'!$J$4:$J$503,(_calc!$E$849-500)),"yyyy-mm-dd"),""))=0,"","Parts end: "&amp;IF(ISNUMBER(INDEX('My equipment'!$J$4:$J$503,(_calc!$E$849-500))),TEXT(INDEX('My equipment'!$J$4:$J$503,(_calc!$E$849-500)),"yyyy-mm-dd"),"")&amp;". ")&amp;IF(LEN(IF(ISNUMBER(INDEX('My equipment'!$L$4:$L$503,(_calc!$E$849-500))),TEXT(INDEX('My equipment'!$L$4:$L$503,(_calc!$E$849-500)),"yyyy-mm-dd"),""))=0,"","Labor end: "&amp;IF(ISNUMBER(INDEX('My equipment'!$L$4:$L$503,(_calc!$E$849-500))),TEXT(INDEX('My equipment'!$L$4:$L$503,(_calc!$E$849-500)),"yyyy-mm-dd"),"")&amp;". ")&amp;IF(LEN(IF(ISNUMBER(INDEX('My equipment'!$P$4:$P$503,(_calc!$E$849-500))),TEXT(INDEX('My equipment'!$P$4:$P$503,(_calc!$E$849-500)),"yyyy-mm-dd"),""))=0,"","Check by: "&amp;IF(ISNUMBER(INDEX('My equipment'!$P$4:$P$503,(_calc!$E$849-500))),TEXT(INDEX('My equipment'!$P$4:$P$503,(_calc!$E$849-500)),"yyyy-mm-dd"),"")&amp;". ")&amp;IF(LEN(IF(LEN(INDEX('My equipment'!$Q$4:$Q$503,(_calc!$E$849-500)))=0,"",INDEX('My equipment'!$Q$4:$Q$503,(_calc!$E$849-500))))=0,"","Claim status: "&amp;IF(LEN(INDEX('My equipment'!$Q$4:$Q$503,(_calc!$E$849-500)))=0,"",INDEX('My equipment'!$Q$4:$Q$503,(_calc!$E$849-500)))&amp;". ")&amp;IF(LEN(IF(LEN(INDEX('My equipment'!$R$4:$R$503,(_calc!$E$849-500)))=0,"",INDEX('My equipment'!$R$4:$R$503,(_calc!$E$849-500))))=0,"","Claims contact: "&amp;IF(LEN(INDEX('My equipment'!$R$4:$R$503,(_calc!$E$849-500)))=0,"",INDEX('My equipment'!$R$4:$R$503,(_calc!$E$849-500)))&amp;". ")&amp;IF(LEN(IF(LEN(INDEX('My equipment'!$S$4:$S$503,(_calc!$E$849-500)))=0,"",INDEX('My equipment'!$S$4:$S$503,(_calc!$E$849-500))))=0,"","Claims email: "&amp;IF(LEN(INDEX('My equipment'!$S$4:$S$503,(_calc!$E$849-500)))=0,"",INDEX('My equipment'!$S$4:$S$503,(_calc!$E$849-500)))&amp;". ")&amp;IF(LEN(IF(LEN(INDEX('My equipment'!$U$4:$U$503,(_calc!$E$849-500)))=0,"",INDEX('My equipment'!$U$4:$U$503,(_calc!$E$849-500))))=0,"","Registered: "&amp;IF(LEN(INDEX('My equipment'!$U$4:$U$503,(_calc!$E$849-500)))=0,"",INDEX('My equipment'!$U$4:$U$503,(_calc!$E$849-500)))&amp;". ")&amp;IF(LEN(IF(LEN(INDEX('My equipment'!$V$4:$V$503,(_calc!$E$849-500)))=0,"",INDEX('My equipment'!$V$4:$V$503,(_calc!$E$849-500))))=0,"","Proof on file: "&amp;IF(LEN(INDEX('My equipment'!$V$4:$V$503,(_calc!$E$849-500)))=0,"",INDEX('My equipment'!$V$4:$V$503,(_calc!$E$849-500)))&amp;". ")&amp;IF(LEN(IF(LEN(INDEX('My equipment'!$W$4:$W$503,(_calc!$E$849-500)))=0,"",INDEX('My equipment'!$W$4:$W$503,(_calc!$E$849-500))))=0,"","Claim ref: "&amp;IF(LEN(INDEX('My equipment'!$W$4:$W$503,(_calc!$E$849-500)))=0,"",INDEX('My equipment'!$W$4:$W$503,(_calc!$E$849-500)))&amp;". ")&amp;IF(LEN(IF(LEN(INDEX('My equipment'!$Y$4:$Y$503,(_calc!$E$849-500)))=0,"",INDEX('My equipment'!$Y$4:$Y$503,(_calc!$E$849-500))))=0,"",IF(LEN(INDEX('My equipment'!$Y$4:$Y$503,(_calc!$E$849-500)))=0,"",INDEX('My equipment'!$Y$4:$Y$503,(_calc!$E$849-500)))))))</f>
        <v/>
      </c>
      <c r="G847" s="54">
        <f>IF(_calc!$E$849="","",IF(_calc!$E$849&lt;=500,"",IF(LEN(INDEX('My equipment'!$X$4:$X$503,(_calc!$E$849-500)))=0,"",INDEX('My equipment'!$X$4:$X$503,(_calc!$E$849-500)))))</f>
        <v/>
      </c>
      <c r="K847" s="54">
        <f>IF(_calc!$E$849="","",IF(_calc!$E$849&lt;=500,"",IF(LEN(INDEX('My equipment'!$T$4:$T$503,(_calc!$E$849-500)))=0,"",INDEX('My equipment'!$T$4:$T$503,(_calc!$E$849-500)))))</f>
        <v/>
      </c>
    </row>
    <row r="848">
      <c r="A848" s="54">
        <f>IF(_calc!$E$850="","",IF(_calc!$E$850&lt;=500,"Warranty – "&amp;IF(LEN(INDEX('Dealer pipeline'!$C$4:$C$503,_calc!$E$850))=0,"",INDEX('Dealer pipeline'!$C$4:$C$503,_calc!$E$850))&amp;" – "&amp;IF(LEN(INDEX('Dealer pipeline'!$D$4:$D$503,_calc!$E$850))=0,"",INDEX('Dealer pipeline'!$D$4:$D$503,_calc!$E$850))&amp;" – "&amp;IF(LEN(INDEX('Dealer pipeline'!$A$4:$A$503,_calc!$E$850))=0,"",INDEX('Dealer pipeline'!$A$4:$A$503,_calc!$E$850)),"Warranty – "&amp;IF(LEN(INDEX('My equipment'!$A$4:$A$503,(_calc!$E$850-500)))=0,"",INDEX('My equipment'!$A$4:$A$503,(_calc!$E$850-500)))&amp;" – "&amp;IF(LEN(INDEX('My equipment'!$D$4:$D$503,(_calc!$E$850-500)))=0,"",INDEX('My equipment'!$D$4:$D$503,(_calc!$E$850-500)))))</f>
        <v/>
      </c>
      <c r="B848" s="54">
        <f>IF(_calc!$E$850="","",IF(_calc!$E$850&lt;=500,IF(ISNUMBER(INDEX('Dealer pipeline'!$M$4:$M$503,_calc!$E$850)),TEXT(INDEX('Dealer pipeline'!$M$4:$M$503,_calc!$E$850),"yyyy-mm-dd"),""),IF(ISNUMBER(INDEX('My equipment'!$M$4:$M$503,(_calc!$E$850-500))),TEXT(INDEX('My equipment'!$M$4:$M$503,(_calc!$E$850-500)),"yyyy-mm-dd"),"")))</f>
        <v/>
      </c>
      <c r="C848" s="54">
        <f>IF(_calc!$E$850="","",IF(_calc!$E$850&lt;=500,"Warranty","Warranty"))</f>
        <v/>
      </c>
      <c r="D848" s="54">
        <f>IF(_calc!$E$850="","",IF(_calc!$E$850&lt;=500,IF(ISNUMBER(INDEX('Dealer pipeline'!$H$4:$H$503,_calc!$E$850)),TEXT(INDEX('Dealer pipeline'!$H$4:$H$503,_calc!$E$850),"yyyy-mm-dd"),""),IF(ISNUMBER(INDEX('My equipment'!$H$4:$H$503,(_calc!$E$850-500))),TEXT(INDEX('My equipment'!$H$4:$H$503,(_calc!$E$850-500)),"yyyy-mm-dd"),"")))</f>
        <v/>
      </c>
      <c r="F848" s="54">
        <f>IF(_calc!$E$850="","",IF(_calc!$E$850&lt;=500,TRIM(IF(LEN(IF(LEN(INDEX('Dealer pipeline'!$A$4:$A$503,_calc!$E$850))=0,"",INDEX('Dealer pipeline'!$A$4:$A$503,_calc!$E$850)))=0,"","Customer: "&amp;IF(LEN(INDEX('Dealer pipeline'!$A$4:$A$503,_calc!$E$850))=0,"",INDEX('Dealer pipeline'!$A$4:$A$503,_calc!$E$850))&amp;". ")&amp;IF(LEN(IF(LEN(INDEX('Dealer pipeline'!$B$4:$B$503,_calc!$E$850))=0,"",INDEX('Dealer pipeline'!$B$4:$B$503,_calc!$E$850)))=0,"","Contact: "&amp;IF(LEN(INDEX('Dealer pipeline'!$B$4:$B$503,_calc!$E$850))=0,"",INDEX('Dealer pipeline'!$B$4:$B$503,_calc!$E$850))&amp;". ")&amp;IF(LEN(IF(LEN(INDEX('Dealer pipeline'!$D$4:$D$503,_calc!$E$850))=0,"",INDEX('Dealer pipeline'!$D$4:$D$503,_calc!$E$850)))=0,"","Serial: "&amp;IF(LEN(INDEX('Dealer pipeline'!$D$4:$D$503,_calc!$E$850))=0,"",INDEX('Dealer pipeline'!$D$4:$D$503,_calc!$E$850))&amp;". ")&amp;IF(LEN(IF(ISNUMBER(INDEX('Dealer pipeline'!$J$4:$J$503,_calc!$E$850)),TEXT(INDEX('Dealer pipeline'!$J$4:$J$503,_calc!$E$850),"yyyy-mm-dd"),""))=0,"","Parts end: "&amp;IF(ISNUMBER(INDEX('Dealer pipeline'!$J$4:$J$503,_calc!$E$850)),TEXT(INDEX('Dealer pipeline'!$J$4:$J$503,_calc!$E$850),"yyyy-mm-dd"),"")&amp;". ")&amp;IF(LEN(IF(ISNUMBER(INDEX('Dealer pipeline'!$L$4:$L$503,_calc!$E$850)),TEXT(INDEX('Dealer pipeline'!$L$4:$L$503,_calc!$E$850),"yyyy-mm-dd"),""))=0,"","Labor end: "&amp;IF(ISNUMBER(INDEX('Dealer pipeline'!$L$4:$L$503,_calc!$E$850)),TEXT(INDEX('Dealer pipeline'!$L$4:$L$503,_calc!$E$850),"yyyy-mm-dd"),"")&amp;". ")&amp;IF(LEN(IF(LEN(INDEX('Dealer pipeline'!$Q$4:$Q$503,_calc!$E$850))=0,"",INDEX('Dealer pipeline'!$Q$4:$Q$503,_calc!$E$850)))=0,"","Status: "&amp;IF(LEN(INDEX('Dealer pipeline'!$Q$4:$Q$503,_calc!$E$850))=0,"",INDEX('Dealer pipeline'!$Q$4:$Q$503,_calc!$E$850))&amp;". ")&amp;IF(LEN(IF(LEN(INDEX('Dealer pipeline'!$P$4:$P$503,_calc!$E$850))=0,"",INDEX('Dealer pipeline'!$P$4:$P$503,_calc!$E$850)))=0,"","Last touch: "&amp;IF(LEN(INDEX('Dealer pipeline'!$P$4:$P$503,_calc!$E$850))=0,"",INDEX('Dealer pipeline'!$P$4:$P$503,_calc!$E$850))&amp;". ")&amp;IF(LEN(IF(LEN(INDEX('Dealer pipeline'!$R$4:$R$503,_calc!$E$850))=0,"",INDEX('Dealer pipeline'!$R$4:$R$503,_calc!$E$850)))=0,"","Owner: "&amp;IF(LEN(INDEX('Dealer pipeline'!$R$4:$R$503,_calc!$E$850))=0,"",INDEX('Dealer pipeline'!$R$4:$R$503,_calc!$E$850))&amp;". ")&amp;IF(LEN(IF(LEN(INDEX('Dealer pipeline'!$S$4:$S$503,_calc!$E$850))=0,"",INDEX('Dealer pipeline'!$S$4:$S$503,_calc!$E$850)))=0,"","Backup: "&amp;IF(LEN(INDEX('Dealer pipeline'!$S$4:$S$503,_calc!$E$850))=0,"",INDEX('Dealer pipeline'!$S$4:$S$503,_calc!$E$850))&amp;". ")&amp;IF(LEN(IF(LEN(INDEX('Dealer pipeline'!$T$4:$T$503,_calc!$E$850))=0,"",INDEX('Dealer pipeline'!$T$4:$T$503,_calc!$E$850)))=0,"",IF(LEN(INDEX('Dealer pipeline'!$T$4:$T$503,_calc!$E$850))=0,"",INDEX('Dealer pipeline'!$T$4:$T$503,_calc!$E$850)))),TRIM(IF(LEN(IF(LEN(INDEX('My equipment'!$C$4:$C$503,(_calc!$E$850-500)))=0,"",INDEX('My equipment'!$C$4:$C$503,(_calc!$E$850-500))))=0,"","Model: "&amp;IF(LEN(INDEX('My equipment'!$C$4:$C$503,(_calc!$E$850-500)))=0,"",INDEX('My equipment'!$C$4:$C$503,(_calc!$E$850-500)))&amp;". ")&amp;IF(LEN(IF(LEN(INDEX('My equipment'!$D$4:$D$503,(_calc!$E$850-500)))=0,"",INDEX('My equipment'!$D$4:$D$503,(_calc!$E$850-500))))=0,"","Serial: "&amp;IF(LEN(INDEX('My equipment'!$D$4:$D$503,(_calc!$E$850-500)))=0,"",INDEX('My equipment'!$D$4:$D$503,(_calc!$E$850-500)))&amp;". ")&amp;IF(LEN(IF(ISNUMBER(INDEX('My equipment'!$J$4:$J$503,(_calc!$E$850-500))),TEXT(INDEX('My equipment'!$J$4:$J$503,(_calc!$E$850-500)),"yyyy-mm-dd"),""))=0,"","Parts end: "&amp;IF(ISNUMBER(INDEX('My equipment'!$J$4:$J$503,(_calc!$E$850-500))),TEXT(INDEX('My equipment'!$J$4:$J$503,(_calc!$E$850-500)),"yyyy-mm-dd"),"")&amp;". ")&amp;IF(LEN(IF(ISNUMBER(INDEX('My equipment'!$L$4:$L$503,(_calc!$E$850-500))),TEXT(INDEX('My equipment'!$L$4:$L$503,(_calc!$E$850-500)),"yyyy-mm-dd"),""))=0,"","Labor end: "&amp;IF(ISNUMBER(INDEX('My equipment'!$L$4:$L$503,(_calc!$E$850-500))),TEXT(INDEX('My equipment'!$L$4:$L$503,(_calc!$E$850-500)),"yyyy-mm-dd"),"")&amp;". ")&amp;IF(LEN(IF(ISNUMBER(INDEX('My equipment'!$P$4:$P$503,(_calc!$E$850-500))),TEXT(INDEX('My equipment'!$P$4:$P$503,(_calc!$E$850-500)),"yyyy-mm-dd"),""))=0,"","Check by: "&amp;IF(ISNUMBER(INDEX('My equipment'!$P$4:$P$503,(_calc!$E$850-500))),TEXT(INDEX('My equipment'!$P$4:$P$503,(_calc!$E$850-500)),"yyyy-mm-dd"),"")&amp;". ")&amp;IF(LEN(IF(LEN(INDEX('My equipment'!$Q$4:$Q$503,(_calc!$E$850-500)))=0,"",INDEX('My equipment'!$Q$4:$Q$503,(_calc!$E$850-500))))=0,"","Claim status: "&amp;IF(LEN(INDEX('My equipment'!$Q$4:$Q$503,(_calc!$E$850-500)))=0,"",INDEX('My equipment'!$Q$4:$Q$503,(_calc!$E$850-500)))&amp;". ")&amp;IF(LEN(IF(LEN(INDEX('My equipment'!$R$4:$R$503,(_calc!$E$850-500)))=0,"",INDEX('My equipment'!$R$4:$R$503,(_calc!$E$850-500))))=0,"","Claims contact: "&amp;IF(LEN(INDEX('My equipment'!$R$4:$R$503,(_calc!$E$850-500)))=0,"",INDEX('My equipment'!$R$4:$R$503,(_calc!$E$850-500)))&amp;". ")&amp;IF(LEN(IF(LEN(INDEX('My equipment'!$S$4:$S$503,(_calc!$E$850-500)))=0,"",INDEX('My equipment'!$S$4:$S$503,(_calc!$E$850-500))))=0,"","Claims email: "&amp;IF(LEN(INDEX('My equipment'!$S$4:$S$503,(_calc!$E$850-500)))=0,"",INDEX('My equipment'!$S$4:$S$503,(_calc!$E$850-500)))&amp;". ")&amp;IF(LEN(IF(LEN(INDEX('My equipment'!$U$4:$U$503,(_calc!$E$850-500)))=0,"",INDEX('My equipment'!$U$4:$U$503,(_calc!$E$850-500))))=0,"","Registered: "&amp;IF(LEN(INDEX('My equipment'!$U$4:$U$503,(_calc!$E$850-500)))=0,"",INDEX('My equipment'!$U$4:$U$503,(_calc!$E$850-500)))&amp;". ")&amp;IF(LEN(IF(LEN(INDEX('My equipment'!$V$4:$V$503,(_calc!$E$850-500)))=0,"",INDEX('My equipment'!$V$4:$V$503,(_calc!$E$850-500))))=0,"","Proof on file: "&amp;IF(LEN(INDEX('My equipment'!$V$4:$V$503,(_calc!$E$850-500)))=0,"",INDEX('My equipment'!$V$4:$V$503,(_calc!$E$850-500)))&amp;". ")&amp;IF(LEN(IF(LEN(INDEX('My equipment'!$W$4:$W$503,(_calc!$E$850-500)))=0,"",INDEX('My equipment'!$W$4:$W$503,(_calc!$E$850-500))))=0,"","Claim ref: "&amp;IF(LEN(INDEX('My equipment'!$W$4:$W$503,(_calc!$E$850-500)))=0,"",INDEX('My equipment'!$W$4:$W$503,(_calc!$E$850-500)))&amp;". ")&amp;IF(LEN(IF(LEN(INDEX('My equipment'!$Y$4:$Y$503,(_calc!$E$850-500)))=0,"",INDEX('My equipment'!$Y$4:$Y$503,(_calc!$E$850-500))))=0,"",IF(LEN(INDEX('My equipment'!$Y$4:$Y$503,(_calc!$E$850-500)))=0,"",INDEX('My equipment'!$Y$4:$Y$503,(_calc!$E$850-500)))))))</f>
        <v/>
      </c>
      <c r="G848" s="54">
        <f>IF(_calc!$E$850="","",IF(_calc!$E$850&lt;=500,"",IF(LEN(INDEX('My equipment'!$X$4:$X$503,(_calc!$E$850-500)))=0,"",INDEX('My equipment'!$X$4:$X$503,(_calc!$E$850-500)))))</f>
        <v/>
      </c>
      <c r="K848" s="54">
        <f>IF(_calc!$E$850="","",IF(_calc!$E$850&lt;=500,"",IF(LEN(INDEX('My equipment'!$T$4:$T$503,(_calc!$E$850-500)))=0,"",INDEX('My equipment'!$T$4:$T$503,(_calc!$E$850-500)))))</f>
        <v/>
      </c>
    </row>
    <row r="849">
      <c r="A849" s="54">
        <f>IF(_calc!$E$851="","",IF(_calc!$E$851&lt;=500,"Warranty – "&amp;IF(LEN(INDEX('Dealer pipeline'!$C$4:$C$503,_calc!$E$851))=0,"",INDEX('Dealer pipeline'!$C$4:$C$503,_calc!$E$851))&amp;" – "&amp;IF(LEN(INDEX('Dealer pipeline'!$D$4:$D$503,_calc!$E$851))=0,"",INDEX('Dealer pipeline'!$D$4:$D$503,_calc!$E$851))&amp;" – "&amp;IF(LEN(INDEX('Dealer pipeline'!$A$4:$A$503,_calc!$E$851))=0,"",INDEX('Dealer pipeline'!$A$4:$A$503,_calc!$E$851)),"Warranty – "&amp;IF(LEN(INDEX('My equipment'!$A$4:$A$503,(_calc!$E$851-500)))=0,"",INDEX('My equipment'!$A$4:$A$503,(_calc!$E$851-500)))&amp;" – "&amp;IF(LEN(INDEX('My equipment'!$D$4:$D$503,(_calc!$E$851-500)))=0,"",INDEX('My equipment'!$D$4:$D$503,(_calc!$E$851-500)))))</f>
        <v/>
      </c>
      <c r="B849" s="54">
        <f>IF(_calc!$E$851="","",IF(_calc!$E$851&lt;=500,IF(ISNUMBER(INDEX('Dealer pipeline'!$M$4:$M$503,_calc!$E$851)),TEXT(INDEX('Dealer pipeline'!$M$4:$M$503,_calc!$E$851),"yyyy-mm-dd"),""),IF(ISNUMBER(INDEX('My equipment'!$M$4:$M$503,(_calc!$E$851-500))),TEXT(INDEX('My equipment'!$M$4:$M$503,(_calc!$E$851-500)),"yyyy-mm-dd"),"")))</f>
        <v/>
      </c>
      <c r="C849" s="54">
        <f>IF(_calc!$E$851="","",IF(_calc!$E$851&lt;=500,"Warranty","Warranty"))</f>
        <v/>
      </c>
      <c r="D849" s="54">
        <f>IF(_calc!$E$851="","",IF(_calc!$E$851&lt;=500,IF(ISNUMBER(INDEX('Dealer pipeline'!$H$4:$H$503,_calc!$E$851)),TEXT(INDEX('Dealer pipeline'!$H$4:$H$503,_calc!$E$851),"yyyy-mm-dd"),""),IF(ISNUMBER(INDEX('My equipment'!$H$4:$H$503,(_calc!$E$851-500))),TEXT(INDEX('My equipment'!$H$4:$H$503,(_calc!$E$851-500)),"yyyy-mm-dd"),"")))</f>
        <v/>
      </c>
      <c r="F849" s="54">
        <f>IF(_calc!$E$851="","",IF(_calc!$E$851&lt;=500,TRIM(IF(LEN(IF(LEN(INDEX('Dealer pipeline'!$A$4:$A$503,_calc!$E$851))=0,"",INDEX('Dealer pipeline'!$A$4:$A$503,_calc!$E$851)))=0,"","Customer: "&amp;IF(LEN(INDEX('Dealer pipeline'!$A$4:$A$503,_calc!$E$851))=0,"",INDEX('Dealer pipeline'!$A$4:$A$503,_calc!$E$851))&amp;". ")&amp;IF(LEN(IF(LEN(INDEX('Dealer pipeline'!$B$4:$B$503,_calc!$E$851))=0,"",INDEX('Dealer pipeline'!$B$4:$B$503,_calc!$E$851)))=0,"","Contact: "&amp;IF(LEN(INDEX('Dealer pipeline'!$B$4:$B$503,_calc!$E$851))=0,"",INDEX('Dealer pipeline'!$B$4:$B$503,_calc!$E$851))&amp;". ")&amp;IF(LEN(IF(LEN(INDEX('Dealer pipeline'!$D$4:$D$503,_calc!$E$851))=0,"",INDEX('Dealer pipeline'!$D$4:$D$503,_calc!$E$851)))=0,"","Serial: "&amp;IF(LEN(INDEX('Dealer pipeline'!$D$4:$D$503,_calc!$E$851))=0,"",INDEX('Dealer pipeline'!$D$4:$D$503,_calc!$E$851))&amp;". ")&amp;IF(LEN(IF(ISNUMBER(INDEX('Dealer pipeline'!$J$4:$J$503,_calc!$E$851)),TEXT(INDEX('Dealer pipeline'!$J$4:$J$503,_calc!$E$851),"yyyy-mm-dd"),""))=0,"","Parts end: "&amp;IF(ISNUMBER(INDEX('Dealer pipeline'!$J$4:$J$503,_calc!$E$851)),TEXT(INDEX('Dealer pipeline'!$J$4:$J$503,_calc!$E$851),"yyyy-mm-dd"),"")&amp;". ")&amp;IF(LEN(IF(ISNUMBER(INDEX('Dealer pipeline'!$L$4:$L$503,_calc!$E$851)),TEXT(INDEX('Dealer pipeline'!$L$4:$L$503,_calc!$E$851),"yyyy-mm-dd"),""))=0,"","Labor end: "&amp;IF(ISNUMBER(INDEX('Dealer pipeline'!$L$4:$L$503,_calc!$E$851)),TEXT(INDEX('Dealer pipeline'!$L$4:$L$503,_calc!$E$851),"yyyy-mm-dd"),"")&amp;". ")&amp;IF(LEN(IF(LEN(INDEX('Dealer pipeline'!$Q$4:$Q$503,_calc!$E$851))=0,"",INDEX('Dealer pipeline'!$Q$4:$Q$503,_calc!$E$851)))=0,"","Status: "&amp;IF(LEN(INDEX('Dealer pipeline'!$Q$4:$Q$503,_calc!$E$851))=0,"",INDEX('Dealer pipeline'!$Q$4:$Q$503,_calc!$E$851))&amp;". ")&amp;IF(LEN(IF(LEN(INDEX('Dealer pipeline'!$P$4:$P$503,_calc!$E$851))=0,"",INDEX('Dealer pipeline'!$P$4:$P$503,_calc!$E$851)))=0,"","Last touch: "&amp;IF(LEN(INDEX('Dealer pipeline'!$P$4:$P$503,_calc!$E$851))=0,"",INDEX('Dealer pipeline'!$P$4:$P$503,_calc!$E$851))&amp;". ")&amp;IF(LEN(IF(LEN(INDEX('Dealer pipeline'!$R$4:$R$503,_calc!$E$851))=0,"",INDEX('Dealer pipeline'!$R$4:$R$503,_calc!$E$851)))=0,"","Owner: "&amp;IF(LEN(INDEX('Dealer pipeline'!$R$4:$R$503,_calc!$E$851))=0,"",INDEX('Dealer pipeline'!$R$4:$R$503,_calc!$E$851))&amp;". ")&amp;IF(LEN(IF(LEN(INDEX('Dealer pipeline'!$S$4:$S$503,_calc!$E$851))=0,"",INDEX('Dealer pipeline'!$S$4:$S$503,_calc!$E$851)))=0,"","Backup: "&amp;IF(LEN(INDEX('Dealer pipeline'!$S$4:$S$503,_calc!$E$851))=0,"",INDEX('Dealer pipeline'!$S$4:$S$503,_calc!$E$851))&amp;". ")&amp;IF(LEN(IF(LEN(INDEX('Dealer pipeline'!$T$4:$T$503,_calc!$E$851))=0,"",INDEX('Dealer pipeline'!$T$4:$T$503,_calc!$E$851)))=0,"",IF(LEN(INDEX('Dealer pipeline'!$T$4:$T$503,_calc!$E$851))=0,"",INDEX('Dealer pipeline'!$T$4:$T$503,_calc!$E$851)))),TRIM(IF(LEN(IF(LEN(INDEX('My equipment'!$C$4:$C$503,(_calc!$E$851-500)))=0,"",INDEX('My equipment'!$C$4:$C$503,(_calc!$E$851-500))))=0,"","Model: "&amp;IF(LEN(INDEX('My equipment'!$C$4:$C$503,(_calc!$E$851-500)))=0,"",INDEX('My equipment'!$C$4:$C$503,(_calc!$E$851-500)))&amp;". ")&amp;IF(LEN(IF(LEN(INDEX('My equipment'!$D$4:$D$503,(_calc!$E$851-500)))=0,"",INDEX('My equipment'!$D$4:$D$503,(_calc!$E$851-500))))=0,"","Serial: "&amp;IF(LEN(INDEX('My equipment'!$D$4:$D$503,(_calc!$E$851-500)))=0,"",INDEX('My equipment'!$D$4:$D$503,(_calc!$E$851-500)))&amp;". ")&amp;IF(LEN(IF(ISNUMBER(INDEX('My equipment'!$J$4:$J$503,(_calc!$E$851-500))),TEXT(INDEX('My equipment'!$J$4:$J$503,(_calc!$E$851-500)),"yyyy-mm-dd"),""))=0,"","Parts end: "&amp;IF(ISNUMBER(INDEX('My equipment'!$J$4:$J$503,(_calc!$E$851-500))),TEXT(INDEX('My equipment'!$J$4:$J$503,(_calc!$E$851-500)),"yyyy-mm-dd"),"")&amp;". ")&amp;IF(LEN(IF(ISNUMBER(INDEX('My equipment'!$L$4:$L$503,(_calc!$E$851-500))),TEXT(INDEX('My equipment'!$L$4:$L$503,(_calc!$E$851-500)),"yyyy-mm-dd"),""))=0,"","Labor end: "&amp;IF(ISNUMBER(INDEX('My equipment'!$L$4:$L$503,(_calc!$E$851-500))),TEXT(INDEX('My equipment'!$L$4:$L$503,(_calc!$E$851-500)),"yyyy-mm-dd"),"")&amp;". ")&amp;IF(LEN(IF(ISNUMBER(INDEX('My equipment'!$P$4:$P$503,(_calc!$E$851-500))),TEXT(INDEX('My equipment'!$P$4:$P$503,(_calc!$E$851-500)),"yyyy-mm-dd"),""))=0,"","Check by: "&amp;IF(ISNUMBER(INDEX('My equipment'!$P$4:$P$503,(_calc!$E$851-500))),TEXT(INDEX('My equipment'!$P$4:$P$503,(_calc!$E$851-500)),"yyyy-mm-dd"),"")&amp;". ")&amp;IF(LEN(IF(LEN(INDEX('My equipment'!$Q$4:$Q$503,(_calc!$E$851-500)))=0,"",INDEX('My equipment'!$Q$4:$Q$503,(_calc!$E$851-500))))=0,"","Claim status: "&amp;IF(LEN(INDEX('My equipment'!$Q$4:$Q$503,(_calc!$E$851-500)))=0,"",INDEX('My equipment'!$Q$4:$Q$503,(_calc!$E$851-500)))&amp;". ")&amp;IF(LEN(IF(LEN(INDEX('My equipment'!$R$4:$R$503,(_calc!$E$851-500)))=0,"",INDEX('My equipment'!$R$4:$R$503,(_calc!$E$851-500))))=0,"","Claims contact: "&amp;IF(LEN(INDEX('My equipment'!$R$4:$R$503,(_calc!$E$851-500)))=0,"",INDEX('My equipment'!$R$4:$R$503,(_calc!$E$851-500)))&amp;". ")&amp;IF(LEN(IF(LEN(INDEX('My equipment'!$S$4:$S$503,(_calc!$E$851-500)))=0,"",INDEX('My equipment'!$S$4:$S$503,(_calc!$E$851-500))))=0,"","Claims email: "&amp;IF(LEN(INDEX('My equipment'!$S$4:$S$503,(_calc!$E$851-500)))=0,"",INDEX('My equipment'!$S$4:$S$503,(_calc!$E$851-500)))&amp;". ")&amp;IF(LEN(IF(LEN(INDEX('My equipment'!$U$4:$U$503,(_calc!$E$851-500)))=0,"",INDEX('My equipment'!$U$4:$U$503,(_calc!$E$851-500))))=0,"","Registered: "&amp;IF(LEN(INDEX('My equipment'!$U$4:$U$503,(_calc!$E$851-500)))=0,"",INDEX('My equipment'!$U$4:$U$503,(_calc!$E$851-500)))&amp;". ")&amp;IF(LEN(IF(LEN(INDEX('My equipment'!$V$4:$V$503,(_calc!$E$851-500)))=0,"",INDEX('My equipment'!$V$4:$V$503,(_calc!$E$851-500))))=0,"","Proof on file: "&amp;IF(LEN(INDEX('My equipment'!$V$4:$V$503,(_calc!$E$851-500)))=0,"",INDEX('My equipment'!$V$4:$V$503,(_calc!$E$851-500)))&amp;". ")&amp;IF(LEN(IF(LEN(INDEX('My equipment'!$W$4:$W$503,(_calc!$E$851-500)))=0,"",INDEX('My equipment'!$W$4:$W$503,(_calc!$E$851-500))))=0,"","Claim ref: "&amp;IF(LEN(INDEX('My equipment'!$W$4:$W$503,(_calc!$E$851-500)))=0,"",INDEX('My equipment'!$W$4:$W$503,(_calc!$E$851-500)))&amp;". ")&amp;IF(LEN(IF(LEN(INDEX('My equipment'!$Y$4:$Y$503,(_calc!$E$851-500)))=0,"",INDEX('My equipment'!$Y$4:$Y$503,(_calc!$E$851-500))))=0,"",IF(LEN(INDEX('My equipment'!$Y$4:$Y$503,(_calc!$E$851-500)))=0,"",INDEX('My equipment'!$Y$4:$Y$503,(_calc!$E$851-500)))))))</f>
        <v/>
      </c>
      <c r="G849" s="54">
        <f>IF(_calc!$E$851="","",IF(_calc!$E$851&lt;=500,"",IF(LEN(INDEX('My equipment'!$X$4:$X$503,(_calc!$E$851-500)))=0,"",INDEX('My equipment'!$X$4:$X$503,(_calc!$E$851-500)))))</f>
        <v/>
      </c>
      <c r="K849" s="54">
        <f>IF(_calc!$E$851="","",IF(_calc!$E$851&lt;=500,"",IF(LEN(INDEX('My equipment'!$T$4:$T$503,(_calc!$E$851-500)))=0,"",INDEX('My equipment'!$T$4:$T$503,(_calc!$E$851-500)))))</f>
        <v/>
      </c>
    </row>
    <row r="850">
      <c r="A850" s="54">
        <f>IF(_calc!$E$852="","",IF(_calc!$E$852&lt;=500,"Warranty – "&amp;IF(LEN(INDEX('Dealer pipeline'!$C$4:$C$503,_calc!$E$852))=0,"",INDEX('Dealer pipeline'!$C$4:$C$503,_calc!$E$852))&amp;" – "&amp;IF(LEN(INDEX('Dealer pipeline'!$D$4:$D$503,_calc!$E$852))=0,"",INDEX('Dealer pipeline'!$D$4:$D$503,_calc!$E$852))&amp;" – "&amp;IF(LEN(INDEX('Dealer pipeline'!$A$4:$A$503,_calc!$E$852))=0,"",INDEX('Dealer pipeline'!$A$4:$A$503,_calc!$E$852)),"Warranty – "&amp;IF(LEN(INDEX('My equipment'!$A$4:$A$503,(_calc!$E$852-500)))=0,"",INDEX('My equipment'!$A$4:$A$503,(_calc!$E$852-500)))&amp;" – "&amp;IF(LEN(INDEX('My equipment'!$D$4:$D$503,(_calc!$E$852-500)))=0,"",INDEX('My equipment'!$D$4:$D$503,(_calc!$E$852-500)))))</f>
        <v/>
      </c>
      <c r="B850" s="54">
        <f>IF(_calc!$E$852="","",IF(_calc!$E$852&lt;=500,IF(ISNUMBER(INDEX('Dealer pipeline'!$M$4:$M$503,_calc!$E$852)),TEXT(INDEX('Dealer pipeline'!$M$4:$M$503,_calc!$E$852),"yyyy-mm-dd"),""),IF(ISNUMBER(INDEX('My equipment'!$M$4:$M$503,(_calc!$E$852-500))),TEXT(INDEX('My equipment'!$M$4:$M$503,(_calc!$E$852-500)),"yyyy-mm-dd"),"")))</f>
        <v/>
      </c>
      <c r="C850" s="54">
        <f>IF(_calc!$E$852="","",IF(_calc!$E$852&lt;=500,"Warranty","Warranty"))</f>
        <v/>
      </c>
      <c r="D850" s="54">
        <f>IF(_calc!$E$852="","",IF(_calc!$E$852&lt;=500,IF(ISNUMBER(INDEX('Dealer pipeline'!$H$4:$H$503,_calc!$E$852)),TEXT(INDEX('Dealer pipeline'!$H$4:$H$503,_calc!$E$852),"yyyy-mm-dd"),""),IF(ISNUMBER(INDEX('My equipment'!$H$4:$H$503,(_calc!$E$852-500))),TEXT(INDEX('My equipment'!$H$4:$H$503,(_calc!$E$852-500)),"yyyy-mm-dd"),"")))</f>
        <v/>
      </c>
      <c r="F850" s="54">
        <f>IF(_calc!$E$852="","",IF(_calc!$E$852&lt;=500,TRIM(IF(LEN(IF(LEN(INDEX('Dealer pipeline'!$A$4:$A$503,_calc!$E$852))=0,"",INDEX('Dealer pipeline'!$A$4:$A$503,_calc!$E$852)))=0,"","Customer: "&amp;IF(LEN(INDEX('Dealer pipeline'!$A$4:$A$503,_calc!$E$852))=0,"",INDEX('Dealer pipeline'!$A$4:$A$503,_calc!$E$852))&amp;". ")&amp;IF(LEN(IF(LEN(INDEX('Dealer pipeline'!$B$4:$B$503,_calc!$E$852))=0,"",INDEX('Dealer pipeline'!$B$4:$B$503,_calc!$E$852)))=0,"","Contact: "&amp;IF(LEN(INDEX('Dealer pipeline'!$B$4:$B$503,_calc!$E$852))=0,"",INDEX('Dealer pipeline'!$B$4:$B$503,_calc!$E$852))&amp;". ")&amp;IF(LEN(IF(LEN(INDEX('Dealer pipeline'!$D$4:$D$503,_calc!$E$852))=0,"",INDEX('Dealer pipeline'!$D$4:$D$503,_calc!$E$852)))=0,"","Serial: "&amp;IF(LEN(INDEX('Dealer pipeline'!$D$4:$D$503,_calc!$E$852))=0,"",INDEX('Dealer pipeline'!$D$4:$D$503,_calc!$E$852))&amp;". ")&amp;IF(LEN(IF(ISNUMBER(INDEX('Dealer pipeline'!$J$4:$J$503,_calc!$E$852)),TEXT(INDEX('Dealer pipeline'!$J$4:$J$503,_calc!$E$852),"yyyy-mm-dd"),""))=0,"","Parts end: "&amp;IF(ISNUMBER(INDEX('Dealer pipeline'!$J$4:$J$503,_calc!$E$852)),TEXT(INDEX('Dealer pipeline'!$J$4:$J$503,_calc!$E$852),"yyyy-mm-dd"),"")&amp;". ")&amp;IF(LEN(IF(ISNUMBER(INDEX('Dealer pipeline'!$L$4:$L$503,_calc!$E$852)),TEXT(INDEX('Dealer pipeline'!$L$4:$L$503,_calc!$E$852),"yyyy-mm-dd"),""))=0,"","Labor end: "&amp;IF(ISNUMBER(INDEX('Dealer pipeline'!$L$4:$L$503,_calc!$E$852)),TEXT(INDEX('Dealer pipeline'!$L$4:$L$503,_calc!$E$852),"yyyy-mm-dd"),"")&amp;". ")&amp;IF(LEN(IF(LEN(INDEX('Dealer pipeline'!$Q$4:$Q$503,_calc!$E$852))=0,"",INDEX('Dealer pipeline'!$Q$4:$Q$503,_calc!$E$852)))=0,"","Status: "&amp;IF(LEN(INDEX('Dealer pipeline'!$Q$4:$Q$503,_calc!$E$852))=0,"",INDEX('Dealer pipeline'!$Q$4:$Q$503,_calc!$E$852))&amp;". ")&amp;IF(LEN(IF(LEN(INDEX('Dealer pipeline'!$P$4:$P$503,_calc!$E$852))=0,"",INDEX('Dealer pipeline'!$P$4:$P$503,_calc!$E$852)))=0,"","Last touch: "&amp;IF(LEN(INDEX('Dealer pipeline'!$P$4:$P$503,_calc!$E$852))=0,"",INDEX('Dealer pipeline'!$P$4:$P$503,_calc!$E$852))&amp;". ")&amp;IF(LEN(IF(LEN(INDEX('Dealer pipeline'!$R$4:$R$503,_calc!$E$852))=0,"",INDEX('Dealer pipeline'!$R$4:$R$503,_calc!$E$852)))=0,"","Owner: "&amp;IF(LEN(INDEX('Dealer pipeline'!$R$4:$R$503,_calc!$E$852))=0,"",INDEX('Dealer pipeline'!$R$4:$R$503,_calc!$E$852))&amp;". ")&amp;IF(LEN(IF(LEN(INDEX('Dealer pipeline'!$S$4:$S$503,_calc!$E$852))=0,"",INDEX('Dealer pipeline'!$S$4:$S$503,_calc!$E$852)))=0,"","Backup: "&amp;IF(LEN(INDEX('Dealer pipeline'!$S$4:$S$503,_calc!$E$852))=0,"",INDEX('Dealer pipeline'!$S$4:$S$503,_calc!$E$852))&amp;". ")&amp;IF(LEN(IF(LEN(INDEX('Dealer pipeline'!$T$4:$T$503,_calc!$E$852))=0,"",INDEX('Dealer pipeline'!$T$4:$T$503,_calc!$E$852)))=0,"",IF(LEN(INDEX('Dealer pipeline'!$T$4:$T$503,_calc!$E$852))=0,"",INDEX('Dealer pipeline'!$T$4:$T$503,_calc!$E$852)))),TRIM(IF(LEN(IF(LEN(INDEX('My equipment'!$C$4:$C$503,(_calc!$E$852-500)))=0,"",INDEX('My equipment'!$C$4:$C$503,(_calc!$E$852-500))))=0,"","Model: "&amp;IF(LEN(INDEX('My equipment'!$C$4:$C$503,(_calc!$E$852-500)))=0,"",INDEX('My equipment'!$C$4:$C$503,(_calc!$E$852-500)))&amp;". ")&amp;IF(LEN(IF(LEN(INDEX('My equipment'!$D$4:$D$503,(_calc!$E$852-500)))=0,"",INDEX('My equipment'!$D$4:$D$503,(_calc!$E$852-500))))=0,"","Serial: "&amp;IF(LEN(INDEX('My equipment'!$D$4:$D$503,(_calc!$E$852-500)))=0,"",INDEX('My equipment'!$D$4:$D$503,(_calc!$E$852-500)))&amp;". ")&amp;IF(LEN(IF(ISNUMBER(INDEX('My equipment'!$J$4:$J$503,(_calc!$E$852-500))),TEXT(INDEX('My equipment'!$J$4:$J$503,(_calc!$E$852-500)),"yyyy-mm-dd"),""))=0,"","Parts end: "&amp;IF(ISNUMBER(INDEX('My equipment'!$J$4:$J$503,(_calc!$E$852-500))),TEXT(INDEX('My equipment'!$J$4:$J$503,(_calc!$E$852-500)),"yyyy-mm-dd"),"")&amp;". ")&amp;IF(LEN(IF(ISNUMBER(INDEX('My equipment'!$L$4:$L$503,(_calc!$E$852-500))),TEXT(INDEX('My equipment'!$L$4:$L$503,(_calc!$E$852-500)),"yyyy-mm-dd"),""))=0,"","Labor end: "&amp;IF(ISNUMBER(INDEX('My equipment'!$L$4:$L$503,(_calc!$E$852-500))),TEXT(INDEX('My equipment'!$L$4:$L$503,(_calc!$E$852-500)),"yyyy-mm-dd"),"")&amp;". ")&amp;IF(LEN(IF(ISNUMBER(INDEX('My equipment'!$P$4:$P$503,(_calc!$E$852-500))),TEXT(INDEX('My equipment'!$P$4:$P$503,(_calc!$E$852-500)),"yyyy-mm-dd"),""))=0,"","Check by: "&amp;IF(ISNUMBER(INDEX('My equipment'!$P$4:$P$503,(_calc!$E$852-500))),TEXT(INDEX('My equipment'!$P$4:$P$503,(_calc!$E$852-500)),"yyyy-mm-dd"),"")&amp;". ")&amp;IF(LEN(IF(LEN(INDEX('My equipment'!$Q$4:$Q$503,(_calc!$E$852-500)))=0,"",INDEX('My equipment'!$Q$4:$Q$503,(_calc!$E$852-500))))=0,"","Claim status: "&amp;IF(LEN(INDEX('My equipment'!$Q$4:$Q$503,(_calc!$E$852-500)))=0,"",INDEX('My equipment'!$Q$4:$Q$503,(_calc!$E$852-500)))&amp;". ")&amp;IF(LEN(IF(LEN(INDEX('My equipment'!$R$4:$R$503,(_calc!$E$852-500)))=0,"",INDEX('My equipment'!$R$4:$R$503,(_calc!$E$852-500))))=0,"","Claims contact: "&amp;IF(LEN(INDEX('My equipment'!$R$4:$R$503,(_calc!$E$852-500)))=0,"",INDEX('My equipment'!$R$4:$R$503,(_calc!$E$852-500)))&amp;". ")&amp;IF(LEN(IF(LEN(INDEX('My equipment'!$S$4:$S$503,(_calc!$E$852-500)))=0,"",INDEX('My equipment'!$S$4:$S$503,(_calc!$E$852-500))))=0,"","Claims email: "&amp;IF(LEN(INDEX('My equipment'!$S$4:$S$503,(_calc!$E$852-500)))=0,"",INDEX('My equipment'!$S$4:$S$503,(_calc!$E$852-500)))&amp;". ")&amp;IF(LEN(IF(LEN(INDEX('My equipment'!$U$4:$U$503,(_calc!$E$852-500)))=0,"",INDEX('My equipment'!$U$4:$U$503,(_calc!$E$852-500))))=0,"","Registered: "&amp;IF(LEN(INDEX('My equipment'!$U$4:$U$503,(_calc!$E$852-500)))=0,"",INDEX('My equipment'!$U$4:$U$503,(_calc!$E$852-500)))&amp;". ")&amp;IF(LEN(IF(LEN(INDEX('My equipment'!$V$4:$V$503,(_calc!$E$852-500)))=0,"",INDEX('My equipment'!$V$4:$V$503,(_calc!$E$852-500))))=0,"","Proof on file: "&amp;IF(LEN(INDEX('My equipment'!$V$4:$V$503,(_calc!$E$852-500)))=0,"",INDEX('My equipment'!$V$4:$V$503,(_calc!$E$852-500)))&amp;". ")&amp;IF(LEN(IF(LEN(INDEX('My equipment'!$W$4:$W$503,(_calc!$E$852-500)))=0,"",INDEX('My equipment'!$W$4:$W$503,(_calc!$E$852-500))))=0,"","Claim ref: "&amp;IF(LEN(INDEX('My equipment'!$W$4:$W$503,(_calc!$E$852-500)))=0,"",INDEX('My equipment'!$W$4:$W$503,(_calc!$E$852-500)))&amp;". ")&amp;IF(LEN(IF(LEN(INDEX('My equipment'!$Y$4:$Y$503,(_calc!$E$852-500)))=0,"",INDEX('My equipment'!$Y$4:$Y$503,(_calc!$E$852-500))))=0,"",IF(LEN(INDEX('My equipment'!$Y$4:$Y$503,(_calc!$E$852-500)))=0,"",INDEX('My equipment'!$Y$4:$Y$503,(_calc!$E$852-500)))))))</f>
        <v/>
      </c>
      <c r="G850" s="54">
        <f>IF(_calc!$E$852="","",IF(_calc!$E$852&lt;=500,"",IF(LEN(INDEX('My equipment'!$X$4:$X$503,(_calc!$E$852-500)))=0,"",INDEX('My equipment'!$X$4:$X$503,(_calc!$E$852-500)))))</f>
        <v/>
      </c>
      <c r="K850" s="54">
        <f>IF(_calc!$E$852="","",IF(_calc!$E$852&lt;=500,"",IF(LEN(INDEX('My equipment'!$T$4:$T$503,(_calc!$E$852-500)))=0,"",INDEX('My equipment'!$T$4:$T$503,(_calc!$E$852-500)))))</f>
        <v/>
      </c>
    </row>
    <row r="851">
      <c r="A851" s="54">
        <f>IF(_calc!$E$853="","",IF(_calc!$E$853&lt;=500,"Warranty – "&amp;IF(LEN(INDEX('Dealer pipeline'!$C$4:$C$503,_calc!$E$853))=0,"",INDEX('Dealer pipeline'!$C$4:$C$503,_calc!$E$853))&amp;" – "&amp;IF(LEN(INDEX('Dealer pipeline'!$D$4:$D$503,_calc!$E$853))=0,"",INDEX('Dealer pipeline'!$D$4:$D$503,_calc!$E$853))&amp;" – "&amp;IF(LEN(INDEX('Dealer pipeline'!$A$4:$A$503,_calc!$E$853))=0,"",INDEX('Dealer pipeline'!$A$4:$A$503,_calc!$E$853)),"Warranty – "&amp;IF(LEN(INDEX('My equipment'!$A$4:$A$503,(_calc!$E$853-500)))=0,"",INDEX('My equipment'!$A$4:$A$503,(_calc!$E$853-500)))&amp;" – "&amp;IF(LEN(INDEX('My equipment'!$D$4:$D$503,(_calc!$E$853-500)))=0,"",INDEX('My equipment'!$D$4:$D$503,(_calc!$E$853-500)))))</f>
        <v/>
      </c>
      <c r="B851" s="54">
        <f>IF(_calc!$E$853="","",IF(_calc!$E$853&lt;=500,IF(ISNUMBER(INDEX('Dealer pipeline'!$M$4:$M$503,_calc!$E$853)),TEXT(INDEX('Dealer pipeline'!$M$4:$M$503,_calc!$E$853),"yyyy-mm-dd"),""),IF(ISNUMBER(INDEX('My equipment'!$M$4:$M$503,(_calc!$E$853-500))),TEXT(INDEX('My equipment'!$M$4:$M$503,(_calc!$E$853-500)),"yyyy-mm-dd"),"")))</f>
        <v/>
      </c>
      <c r="C851" s="54">
        <f>IF(_calc!$E$853="","",IF(_calc!$E$853&lt;=500,"Warranty","Warranty"))</f>
        <v/>
      </c>
      <c r="D851" s="54">
        <f>IF(_calc!$E$853="","",IF(_calc!$E$853&lt;=500,IF(ISNUMBER(INDEX('Dealer pipeline'!$H$4:$H$503,_calc!$E$853)),TEXT(INDEX('Dealer pipeline'!$H$4:$H$503,_calc!$E$853),"yyyy-mm-dd"),""),IF(ISNUMBER(INDEX('My equipment'!$H$4:$H$503,(_calc!$E$853-500))),TEXT(INDEX('My equipment'!$H$4:$H$503,(_calc!$E$853-500)),"yyyy-mm-dd"),"")))</f>
        <v/>
      </c>
      <c r="F851" s="54">
        <f>IF(_calc!$E$853="","",IF(_calc!$E$853&lt;=500,TRIM(IF(LEN(IF(LEN(INDEX('Dealer pipeline'!$A$4:$A$503,_calc!$E$853))=0,"",INDEX('Dealer pipeline'!$A$4:$A$503,_calc!$E$853)))=0,"","Customer: "&amp;IF(LEN(INDEX('Dealer pipeline'!$A$4:$A$503,_calc!$E$853))=0,"",INDEX('Dealer pipeline'!$A$4:$A$503,_calc!$E$853))&amp;". ")&amp;IF(LEN(IF(LEN(INDEX('Dealer pipeline'!$B$4:$B$503,_calc!$E$853))=0,"",INDEX('Dealer pipeline'!$B$4:$B$503,_calc!$E$853)))=0,"","Contact: "&amp;IF(LEN(INDEX('Dealer pipeline'!$B$4:$B$503,_calc!$E$853))=0,"",INDEX('Dealer pipeline'!$B$4:$B$503,_calc!$E$853))&amp;". ")&amp;IF(LEN(IF(LEN(INDEX('Dealer pipeline'!$D$4:$D$503,_calc!$E$853))=0,"",INDEX('Dealer pipeline'!$D$4:$D$503,_calc!$E$853)))=0,"","Serial: "&amp;IF(LEN(INDEX('Dealer pipeline'!$D$4:$D$503,_calc!$E$853))=0,"",INDEX('Dealer pipeline'!$D$4:$D$503,_calc!$E$853))&amp;". ")&amp;IF(LEN(IF(ISNUMBER(INDEX('Dealer pipeline'!$J$4:$J$503,_calc!$E$853)),TEXT(INDEX('Dealer pipeline'!$J$4:$J$503,_calc!$E$853),"yyyy-mm-dd"),""))=0,"","Parts end: "&amp;IF(ISNUMBER(INDEX('Dealer pipeline'!$J$4:$J$503,_calc!$E$853)),TEXT(INDEX('Dealer pipeline'!$J$4:$J$503,_calc!$E$853),"yyyy-mm-dd"),"")&amp;". ")&amp;IF(LEN(IF(ISNUMBER(INDEX('Dealer pipeline'!$L$4:$L$503,_calc!$E$853)),TEXT(INDEX('Dealer pipeline'!$L$4:$L$503,_calc!$E$853),"yyyy-mm-dd"),""))=0,"","Labor end: "&amp;IF(ISNUMBER(INDEX('Dealer pipeline'!$L$4:$L$503,_calc!$E$853)),TEXT(INDEX('Dealer pipeline'!$L$4:$L$503,_calc!$E$853),"yyyy-mm-dd"),"")&amp;". ")&amp;IF(LEN(IF(LEN(INDEX('Dealer pipeline'!$Q$4:$Q$503,_calc!$E$853))=0,"",INDEX('Dealer pipeline'!$Q$4:$Q$503,_calc!$E$853)))=0,"","Status: "&amp;IF(LEN(INDEX('Dealer pipeline'!$Q$4:$Q$503,_calc!$E$853))=0,"",INDEX('Dealer pipeline'!$Q$4:$Q$503,_calc!$E$853))&amp;". ")&amp;IF(LEN(IF(LEN(INDEX('Dealer pipeline'!$P$4:$P$503,_calc!$E$853))=0,"",INDEX('Dealer pipeline'!$P$4:$P$503,_calc!$E$853)))=0,"","Last touch: "&amp;IF(LEN(INDEX('Dealer pipeline'!$P$4:$P$503,_calc!$E$853))=0,"",INDEX('Dealer pipeline'!$P$4:$P$503,_calc!$E$853))&amp;". ")&amp;IF(LEN(IF(LEN(INDEX('Dealer pipeline'!$R$4:$R$503,_calc!$E$853))=0,"",INDEX('Dealer pipeline'!$R$4:$R$503,_calc!$E$853)))=0,"","Owner: "&amp;IF(LEN(INDEX('Dealer pipeline'!$R$4:$R$503,_calc!$E$853))=0,"",INDEX('Dealer pipeline'!$R$4:$R$503,_calc!$E$853))&amp;". ")&amp;IF(LEN(IF(LEN(INDEX('Dealer pipeline'!$S$4:$S$503,_calc!$E$853))=0,"",INDEX('Dealer pipeline'!$S$4:$S$503,_calc!$E$853)))=0,"","Backup: "&amp;IF(LEN(INDEX('Dealer pipeline'!$S$4:$S$503,_calc!$E$853))=0,"",INDEX('Dealer pipeline'!$S$4:$S$503,_calc!$E$853))&amp;". ")&amp;IF(LEN(IF(LEN(INDEX('Dealer pipeline'!$T$4:$T$503,_calc!$E$853))=0,"",INDEX('Dealer pipeline'!$T$4:$T$503,_calc!$E$853)))=0,"",IF(LEN(INDEX('Dealer pipeline'!$T$4:$T$503,_calc!$E$853))=0,"",INDEX('Dealer pipeline'!$T$4:$T$503,_calc!$E$853)))),TRIM(IF(LEN(IF(LEN(INDEX('My equipment'!$C$4:$C$503,(_calc!$E$853-500)))=0,"",INDEX('My equipment'!$C$4:$C$503,(_calc!$E$853-500))))=0,"","Model: "&amp;IF(LEN(INDEX('My equipment'!$C$4:$C$503,(_calc!$E$853-500)))=0,"",INDEX('My equipment'!$C$4:$C$503,(_calc!$E$853-500)))&amp;". ")&amp;IF(LEN(IF(LEN(INDEX('My equipment'!$D$4:$D$503,(_calc!$E$853-500)))=0,"",INDEX('My equipment'!$D$4:$D$503,(_calc!$E$853-500))))=0,"","Serial: "&amp;IF(LEN(INDEX('My equipment'!$D$4:$D$503,(_calc!$E$853-500)))=0,"",INDEX('My equipment'!$D$4:$D$503,(_calc!$E$853-500)))&amp;". ")&amp;IF(LEN(IF(ISNUMBER(INDEX('My equipment'!$J$4:$J$503,(_calc!$E$853-500))),TEXT(INDEX('My equipment'!$J$4:$J$503,(_calc!$E$853-500)),"yyyy-mm-dd"),""))=0,"","Parts end: "&amp;IF(ISNUMBER(INDEX('My equipment'!$J$4:$J$503,(_calc!$E$853-500))),TEXT(INDEX('My equipment'!$J$4:$J$503,(_calc!$E$853-500)),"yyyy-mm-dd"),"")&amp;". ")&amp;IF(LEN(IF(ISNUMBER(INDEX('My equipment'!$L$4:$L$503,(_calc!$E$853-500))),TEXT(INDEX('My equipment'!$L$4:$L$503,(_calc!$E$853-500)),"yyyy-mm-dd"),""))=0,"","Labor end: "&amp;IF(ISNUMBER(INDEX('My equipment'!$L$4:$L$503,(_calc!$E$853-500))),TEXT(INDEX('My equipment'!$L$4:$L$503,(_calc!$E$853-500)),"yyyy-mm-dd"),"")&amp;". ")&amp;IF(LEN(IF(ISNUMBER(INDEX('My equipment'!$P$4:$P$503,(_calc!$E$853-500))),TEXT(INDEX('My equipment'!$P$4:$P$503,(_calc!$E$853-500)),"yyyy-mm-dd"),""))=0,"","Check by: "&amp;IF(ISNUMBER(INDEX('My equipment'!$P$4:$P$503,(_calc!$E$853-500))),TEXT(INDEX('My equipment'!$P$4:$P$503,(_calc!$E$853-500)),"yyyy-mm-dd"),"")&amp;". ")&amp;IF(LEN(IF(LEN(INDEX('My equipment'!$Q$4:$Q$503,(_calc!$E$853-500)))=0,"",INDEX('My equipment'!$Q$4:$Q$503,(_calc!$E$853-500))))=0,"","Claim status: "&amp;IF(LEN(INDEX('My equipment'!$Q$4:$Q$503,(_calc!$E$853-500)))=0,"",INDEX('My equipment'!$Q$4:$Q$503,(_calc!$E$853-500)))&amp;". ")&amp;IF(LEN(IF(LEN(INDEX('My equipment'!$R$4:$R$503,(_calc!$E$853-500)))=0,"",INDEX('My equipment'!$R$4:$R$503,(_calc!$E$853-500))))=0,"","Claims contact: "&amp;IF(LEN(INDEX('My equipment'!$R$4:$R$503,(_calc!$E$853-500)))=0,"",INDEX('My equipment'!$R$4:$R$503,(_calc!$E$853-500)))&amp;". ")&amp;IF(LEN(IF(LEN(INDEX('My equipment'!$S$4:$S$503,(_calc!$E$853-500)))=0,"",INDEX('My equipment'!$S$4:$S$503,(_calc!$E$853-500))))=0,"","Claims email: "&amp;IF(LEN(INDEX('My equipment'!$S$4:$S$503,(_calc!$E$853-500)))=0,"",INDEX('My equipment'!$S$4:$S$503,(_calc!$E$853-500)))&amp;". ")&amp;IF(LEN(IF(LEN(INDEX('My equipment'!$U$4:$U$503,(_calc!$E$853-500)))=0,"",INDEX('My equipment'!$U$4:$U$503,(_calc!$E$853-500))))=0,"","Registered: "&amp;IF(LEN(INDEX('My equipment'!$U$4:$U$503,(_calc!$E$853-500)))=0,"",INDEX('My equipment'!$U$4:$U$503,(_calc!$E$853-500)))&amp;". ")&amp;IF(LEN(IF(LEN(INDEX('My equipment'!$V$4:$V$503,(_calc!$E$853-500)))=0,"",INDEX('My equipment'!$V$4:$V$503,(_calc!$E$853-500))))=0,"","Proof on file: "&amp;IF(LEN(INDEX('My equipment'!$V$4:$V$503,(_calc!$E$853-500)))=0,"",INDEX('My equipment'!$V$4:$V$503,(_calc!$E$853-500)))&amp;". ")&amp;IF(LEN(IF(LEN(INDEX('My equipment'!$W$4:$W$503,(_calc!$E$853-500)))=0,"",INDEX('My equipment'!$W$4:$W$503,(_calc!$E$853-500))))=0,"","Claim ref: "&amp;IF(LEN(INDEX('My equipment'!$W$4:$W$503,(_calc!$E$853-500)))=0,"",INDEX('My equipment'!$W$4:$W$503,(_calc!$E$853-500)))&amp;". ")&amp;IF(LEN(IF(LEN(INDEX('My equipment'!$Y$4:$Y$503,(_calc!$E$853-500)))=0,"",INDEX('My equipment'!$Y$4:$Y$503,(_calc!$E$853-500))))=0,"",IF(LEN(INDEX('My equipment'!$Y$4:$Y$503,(_calc!$E$853-500)))=0,"",INDEX('My equipment'!$Y$4:$Y$503,(_calc!$E$853-500)))))))</f>
        <v/>
      </c>
      <c r="G851" s="54">
        <f>IF(_calc!$E$853="","",IF(_calc!$E$853&lt;=500,"",IF(LEN(INDEX('My equipment'!$X$4:$X$503,(_calc!$E$853-500)))=0,"",INDEX('My equipment'!$X$4:$X$503,(_calc!$E$853-500)))))</f>
        <v/>
      </c>
      <c r="K851" s="54">
        <f>IF(_calc!$E$853="","",IF(_calc!$E$853&lt;=500,"",IF(LEN(INDEX('My equipment'!$T$4:$T$503,(_calc!$E$853-500)))=0,"",INDEX('My equipment'!$T$4:$T$503,(_calc!$E$853-500)))))</f>
        <v/>
      </c>
    </row>
    <row r="852">
      <c r="A852" s="54">
        <f>IF(_calc!$E$854="","",IF(_calc!$E$854&lt;=500,"Warranty – "&amp;IF(LEN(INDEX('Dealer pipeline'!$C$4:$C$503,_calc!$E$854))=0,"",INDEX('Dealer pipeline'!$C$4:$C$503,_calc!$E$854))&amp;" – "&amp;IF(LEN(INDEX('Dealer pipeline'!$D$4:$D$503,_calc!$E$854))=0,"",INDEX('Dealer pipeline'!$D$4:$D$503,_calc!$E$854))&amp;" – "&amp;IF(LEN(INDEX('Dealer pipeline'!$A$4:$A$503,_calc!$E$854))=0,"",INDEX('Dealer pipeline'!$A$4:$A$503,_calc!$E$854)),"Warranty – "&amp;IF(LEN(INDEX('My equipment'!$A$4:$A$503,(_calc!$E$854-500)))=0,"",INDEX('My equipment'!$A$4:$A$503,(_calc!$E$854-500)))&amp;" – "&amp;IF(LEN(INDEX('My equipment'!$D$4:$D$503,(_calc!$E$854-500)))=0,"",INDEX('My equipment'!$D$4:$D$503,(_calc!$E$854-500)))))</f>
        <v/>
      </c>
      <c r="B852" s="54">
        <f>IF(_calc!$E$854="","",IF(_calc!$E$854&lt;=500,IF(ISNUMBER(INDEX('Dealer pipeline'!$M$4:$M$503,_calc!$E$854)),TEXT(INDEX('Dealer pipeline'!$M$4:$M$503,_calc!$E$854),"yyyy-mm-dd"),""),IF(ISNUMBER(INDEX('My equipment'!$M$4:$M$503,(_calc!$E$854-500))),TEXT(INDEX('My equipment'!$M$4:$M$503,(_calc!$E$854-500)),"yyyy-mm-dd"),"")))</f>
        <v/>
      </c>
      <c r="C852" s="54">
        <f>IF(_calc!$E$854="","",IF(_calc!$E$854&lt;=500,"Warranty","Warranty"))</f>
        <v/>
      </c>
      <c r="D852" s="54">
        <f>IF(_calc!$E$854="","",IF(_calc!$E$854&lt;=500,IF(ISNUMBER(INDEX('Dealer pipeline'!$H$4:$H$503,_calc!$E$854)),TEXT(INDEX('Dealer pipeline'!$H$4:$H$503,_calc!$E$854),"yyyy-mm-dd"),""),IF(ISNUMBER(INDEX('My equipment'!$H$4:$H$503,(_calc!$E$854-500))),TEXT(INDEX('My equipment'!$H$4:$H$503,(_calc!$E$854-500)),"yyyy-mm-dd"),"")))</f>
        <v/>
      </c>
      <c r="F852" s="54">
        <f>IF(_calc!$E$854="","",IF(_calc!$E$854&lt;=500,TRIM(IF(LEN(IF(LEN(INDEX('Dealer pipeline'!$A$4:$A$503,_calc!$E$854))=0,"",INDEX('Dealer pipeline'!$A$4:$A$503,_calc!$E$854)))=0,"","Customer: "&amp;IF(LEN(INDEX('Dealer pipeline'!$A$4:$A$503,_calc!$E$854))=0,"",INDEX('Dealer pipeline'!$A$4:$A$503,_calc!$E$854))&amp;". ")&amp;IF(LEN(IF(LEN(INDEX('Dealer pipeline'!$B$4:$B$503,_calc!$E$854))=0,"",INDEX('Dealer pipeline'!$B$4:$B$503,_calc!$E$854)))=0,"","Contact: "&amp;IF(LEN(INDEX('Dealer pipeline'!$B$4:$B$503,_calc!$E$854))=0,"",INDEX('Dealer pipeline'!$B$4:$B$503,_calc!$E$854))&amp;". ")&amp;IF(LEN(IF(LEN(INDEX('Dealer pipeline'!$D$4:$D$503,_calc!$E$854))=0,"",INDEX('Dealer pipeline'!$D$4:$D$503,_calc!$E$854)))=0,"","Serial: "&amp;IF(LEN(INDEX('Dealer pipeline'!$D$4:$D$503,_calc!$E$854))=0,"",INDEX('Dealer pipeline'!$D$4:$D$503,_calc!$E$854))&amp;". ")&amp;IF(LEN(IF(ISNUMBER(INDEX('Dealer pipeline'!$J$4:$J$503,_calc!$E$854)),TEXT(INDEX('Dealer pipeline'!$J$4:$J$503,_calc!$E$854),"yyyy-mm-dd"),""))=0,"","Parts end: "&amp;IF(ISNUMBER(INDEX('Dealer pipeline'!$J$4:$J$503,_calc!$E$854)),TEXT(INDEX('Dealer pipeline'!$J$4:$J$503,_calc!$E$854),"yyyy-mm-dd"),"")&amp;". ")&amp;IF(LEN(IF(ISNUMBER(INDEX('Dealer pipeline'!$L$4:$L$503,_calc!$E$854)),TEXT(INDEX('Dealer pipeline'!$L$4:$L$503,_calc!$E$854),"yyyy-mm-dd"),""))=0,"","Labor end: "&amp;IF(ISNUMBER(INDEX('Dealer pipeline'!$L$4:$L$503,_calc!$E$854)),TEXT(INDEX('Dealer pipeline'!$L$4:$L$503,_calc!$E$854),"yyyy-mm-dd"),"")&amp;". ")&amp;IF(LEN(IF(LEN(INDEX('Dealer pipeline'!$Q$4:$Q$503,_calc!$E$854))=0,"",INDEX('Dealer pipeline'!$Q$4:$Q$503,_calc!$E$854)))=0,"","Status: "&amp;IF(LEN(INDEX('Dealer pipeline'!$Q$4:$Q$503,_calc!$E$854))=0,"",INDEX('Dealer pipeline'!$Q$4:$Q$503,_calc!$E$854))&amp;". ")&amp;IF(LEN(IF(LEN(INDEX('Dealer pipeline'!$P$4:$P$503,_calc!$E$854))=0,"",INDEX('Dealer pipeline'!$P$4:$P$503,_calc!$E$854)))=0,"","Last touch: "&amp;IF(LEN(INDEX('Dealer pipeline'!$P$4:$P$503,_calc!$E$854))=0,"",INDEX('Dealer pipeline'!$P$4:$P$503,_calc!$E$854))&amp;". ")&amp;IF(LEN(IF(LEN(INDEX('Dealer pipeline'!$R$4:$R$503,_calc!$E$854))=0,"",INDEX('Dealer pipeline'!$R$4:$R$503,_calc!$E$854)))=0,"","Owner: "&amp;IF(LEN(INDEX('Dealer pipeline'!$R$4:$R$503,_calc!$E$854))=0,"",INDEX('Dealer pipeline'!$R$4:$R$503,_calc!$E$854))&amp;". ")&amp;IF(LEN(IF(LEN(INDEX('Dealer pipeline'!$S$4:$S$503,_calc!$E$854))=0,"",INDEX('Dealer pipeline'!$S$4:$S$503,_calc!$E$854)))=0,"","Backup: "&amp;IF(LEN(INDEX('Dealer pipeline'!$S$4:$S$503,_calc!$E$854))=0,"",INDEX('Dealer pipeline'!$S$4:$S$503,_calc!$E$854))&amp;". ")&amp;IF(LEN(IF(LEN(INDEX('Dealer pipeline'!$T$4:$T$503,_calc!$E$854))=0,"",INDEX('Dealer pipeline'!$T$4:$T$503,_calc!$E$854)))=0,"",IF(LEN(INDEX('Dealer pipeline'!$T$4:$T$503,_calc!$E$854))=0,"",INDEX('Dealer pipeline'!$T$4:$T$503,_calc!$E$854)))),TRIM(IF(LEN(IF(LEN(INDEX('My equipment'!$C$4:$C$503,(_calc!$E$854-500)))=0,"",INDEX('My equipment'!$C$4:$C$503,(_calc!$E$854-500))))=0,"","Model: "&amp;IF(LEN(INDEX('My equipment'!$C$4:$C$503,(_calc!$E$854-500)))=0,"",INDEX('My equipment'!$C$4:$C$503,(_calc!$E$854-500)))&amp;". ")&amp;IF(LEN(IF(LEN(INDEX('My equipment'!$D$4:$D$503,(_calc!$E$854-500)))=0,"",INDEX('My equipment'!$D$4:$D$503,(_calc!$E$854-500))))=0,"","Serial: "&amp;IF(LEN(INDEX('My equipment'!$D$4:$D$503,(_calc!$E$854-500)))=0,"",INDEX('My equipment'!$D$4:$D$503,(_calc!$E$854-500)))&amp;". ")&amp;IF(LEN(IF(ISNUMBER(INDEX('My equipment'!$J$4:$J$503,(_calc!$E$854-500))),TEXT(INDEX('My equipment'!$J$4:$J$503,(_calc!$E$854-500)),"yyyy-mm-dd"),""))=0,"","Parts end: "&amp;IF(ISNUMBER(INDEX('My equipment'!$J$4:$J$503,(_calc!$E$854-500))),TEXT(INDEX('My equipment'!$J$4:$J$503,(_calc!$E$854-500)),"yyyy-mm-dd"),"")&amp;". ")&amp;IF(LEN(IF(ISNUMBER(INDEX('My equipment'!$L$4:$L$503,(_calc!$E$854-500))),TEXT(INDEX('My equipment'!$L$4:$L$503,(_calc!$E$854-500)),"yyyy-mm-dd"),""))=0,"","Labor end: "&amp;IF(ISNUMBER(INDEX('My equipment'!$L$4:$L$503,(_calc!$E$854-500))),TEXT(INDEX('My equipment'!$L$4:$L$503,(_calc!$E$854-500)),"yyyy-mm-dd"),"")&amp;". ")&amp;IF(LEN(IF(ISNUMBER(INDEX('My equipment'!$P$4:$P$503,(_calc!$E$854-500))),TEXT(INDEX('My equipment'!$P$4:$P$503,(_calc!$E$854-500)),"yyyy-mm-dd"),""))=0,"","Check by: "&amp;IF(ISNUMBER(INDEX('My equipment'!$P$4:$P$503,(_calc!$E$854-500))),TEXT(INDEX('My equipment'!$P$4:$P$503,(_calc!$E$854-500)),"yyyy-mm-dd"),"")&amp;". ")&amp;IF(LEN(IF(LEN(INDEX('My equipment'!$Q$4:$Q$503,(_calc!$E$854-500)))=0,"",INDEX('My equipment'!$Q$4:$Q$503,(_calc!$E$854-500))))=0,"","Claim status: "&amp;IF(LEN(INDEX('My equipment'!$Q$4:$Q$503,(_calc!$E$854-500)))=0,"",INDEX('My equipment'!$Q$4:$Q$503,(_calc!$E$854-500)))&amp;". ")&amp;IF(LEN(IF(LEN(INDEX('My equipment'!$R$4:$R$503,(_calc!$E$854-500)))=0,"",INDEX('My equipment'!$R$4:$R$503,(_calc!$E$854-500))))=0,"","Claims contact: "&amp;IF(LEN(INDEX('My equipment'!$R$4:$R$503,(_calc!$E$854-500)))=0,"",INDEX('My equipment'!$R$4:$R$503,(_calc!$E$854-500)))&amp;". ")&amp;IF(LEN(IF(LEN(INDEX('My equipment'!$S$4:$S$503,(_calc!$E$854-500)))=0,"",INDEX('My equipment'!$S$4:$S$503,(_calc!$E$854-500))))=0,"","Claims email: "&amp;IF(LEN(INDEX('My equipment'!$S$4:$S$503,(_calc!$E$854-500)))=0,"",INDEX('My equipment'!$S$4:$S$503,(_calc!$E$854-500)))&amp;". ")&amp;IF(LEN(IF(LEN(INDEX('My equipment'!$U$4:$U$503,(_calc!$E$854-500)))=0,"",INDEX('My equipment'!$U$4:$U$503,(_calc!$E$854-500))))=0,"","Registered: "&amp;IF(LEN(INDEX('My equipment'!$U$4:$U$503,(_calc!$E$854-500)))=0,"",INDEX('My equipment'!$U$4:$U$503,(_calc!$E$854-500)))&amp;". ")&amp;IF(LEN(IF(LEN(INDEX('My equipment'!$V$4:$V$503,(_calc!$E$854-500)))=0,"",INDEX('My equipment'!$V$4:$V$503,(_calc!$E$854-500))))=0,"","Proof on file: "&amp;IF(LEN(INDEX('My equipment'!$V$4:$V$503,(_calc!$E$854-500)))=0,"",INDEX('My equipment'!$V$4:$V$503,(_calc!$E$854-500)))&amp;". ")&amp;IF(LEN(IF(LEN(INDEX('My equipment'!$W$4:$W$503,(_calc!$E$854-500)))=0,"",INDEX('My equipment'!$W$4:$W$503,(_calc!$E$854-500))))=0,"","Claim ref: "&amp;IF(LEN(INDEX('My equipment'!$W$4:$W$503,(_calc!$E$854-500)))=0,"",INDEX('My equipment'!$W$4:$W$503,(_calc!$E$854-500)))&amp;". ")&amp;IF(LEN(IF(LEN(INDEX('My equipment'!$Y$4:$Y$503,(_calc!$E$854-500)))=0,"",INDEX('My equipment'!$Y$4:$Y$503,(_calc!$E$854-500))))=0,"",IF(LEN(INDEX('My equipment'!$Y$4:$Y$503,(_calc!$E$854-500)))=0,"",INDEX('My equipment'!$Y$4:$Y$503,(_calc!$E$854-500)))))))</f>
        <v/>
      </c>
      <c r="G852" s="54">
        <f>IF(_calc!$E$854="","",IF(_calc!$E$854&lt;=500,"",IF(LEN(INDEX('My equipment'!$X$4:$X$503,(_calc!$E$854-500)))=0,"",INDEX('My equipment'!$X$4:$X$503,(_calc!$E$854-500)))))</f>
        <v/>
      </c>
      <c r="K852" s="54">
        <f>IF(_calc!$E$854="","",IF(_calc!$E$854&lt;=500,"",IF(LEN(INDEX('My equipment'!$T$4:$T$503,(_calc!$E$854-500)))=0,"",INDEX('My equipment'!$T$4:$T$503,(_calc!$E$854-500)))))</f>
        <v/>
      </c>
    </row>
    <row r="853">
      <c r="A853" s="54">
        <f>IF(_calc!$E$855="","",IF(_calc!$E$855&lt;=500,"Warranty – "&amp;IF(LEN(INDEX('Dealer pipeline'!$C$4:$C$503,_calc!$E$855))=0,"",INDEX('Dealer pipeline'!$C$4:$C$503,_calc!$E$855))&amp;" – "&amp;IF(LEN(INDEX('Dealer pipeline'!$D$4:$D$503,_calc!$E$855))=0,"",INDEX('Dealer pipeline'!$D$4:$D$503,_calc!$E$855))&amp;" – "&amp;IF(LEN(INDEX('Dealer pipeline'!$A$4:$A$503,_calc!$E$855))=0,"",INDEX('Dealer pipeline'!$A$4:$A$503,_calc!$E$855)),"Warranty – "&amp;IF(LEN(INDEX('My equipment'!$A$4:$A$503,(_calc!$E$855-500)))=0,"",INDEX('My equipment'!$A$4:$A$503,(_calc!$E$855-500)))&amp;" – "&amp;IF(LEN(INDEX('My equipment'!$D$4:$D$503,(_calc!$E$855-500)))=0,"",INDEX('My equipment'!$D$4:$D$503,(_calc!$E$855-500)))))</f>
        <v/>
      </c>
      <c r="B853" s="54">
        <f>IF(_calc!$E$855="","",IF(_calc!$E$855&lt;=500,IF(ISNUMBER(INDEX('Dealer pipeline'!$M$4:$M$503,_calc!$E$855)),TEXT(INDEX('Dealer pipeline'!$M$4:$M$503,_calc!$E$855),"yyyy-mm-dd"),""),IF(ISNUMBER(INDEX('My equipment'!$M$4:$M$503,(_calc!$E$855-500))),TEXT(INDEX('My equipment'!$M$4:$M$503,(_calc!$E$855-500)),"yyyy-mm-dd"),"")))</f>
        <v/>
      </c>
      <c r="C853" s="54">
        <f>IF(_calc!$E$855="","",IF(_calc!$E$855&lt;=500,"Warranty","Warranty"))</f>
        <v/>
      </c>
      <c r="D853" s="54">
        <f>IF(_calc!$E$855="","",IF(_calc!$E$855&lt;=500,IF(ISNUMBER(INDEX('Dealer pipeline'!$H$4:$H$503,_calc!$E$855)),TEXT(INDEX('Dealer pipeline'!$H$4:$H$503,_calc!$E$855),"yyyy-mm-dd"),""),IF(ISNUMBER(INDEX('My equipment'!$H$4:$H$503,(_calc!$E$855-500))),TEXT(INDEX('My equipment'!$H$4:$H$503,(_calc!$E$855-500)),"yyyy-mm-dd"),"")))</f>
        <v/>
      </c>
      <c r="F853" s="54">
        <f>IF(_calc!$E$855="","",IF(_calc!$E$855&lt;=500,TRIM(IF(LEN(IF(LEN(INDEX('Dealer pipeline'!$A$4:$A$503,_calc!$E$855))=0,"",INDEX('Dealer pipeline'!$A$4:$A$503,_calc!$E$855)))=0,"","Customer: "&amp;IF(LEN(INDEX('Dealer pipeline'!$A$4:$A$503,_calc!$E$855))=0,"",INDEX('Dealer pipeline'!$A$4:$A$503,_calc!$E$855))&amp;". ")&amp;IF(LEN(IF(LEN(INDEX('Dealer pipeline'!$B$4:$B$503,_calc!$E$855))=0,"",INDEX('Dealer pipeline'!$B$4:$B$503,_calc!$E$855)))=0,"","Contact: "&amp;IF(LEN(INDEX('Dealer pipeline'!$B$4:$B$503,_calc!$E$855))=0,"",INDEX('Dealer pipeline'!$B$4:$B$503,_calc!$E$855))&amp;". ")&amp;IF(LEN(IF(LEN(INDEX('Dealer pipeline'!$D$4:$D$503,_calc!$E$855))=0,"",INDEX('Dealer pipeline'!$D$4:$D$503,_calc!$E$855)))=0,"","Serial: "&amp;IF(LEN(INDEX('Dealer pipeline'!$D$4:$D$503,_calc!$E$855))=0,"",INDEX('Dealer pipeline'!$D$4:$D$503,_calc!$E$855))&amp;". ")&amp;IF(LEN(IF(ISNUMBER(INDEX('Dealer pipeline'!$J$4:$J$503,_calc!$E$855)),TEXT(INDEX('Dealer pipeline'!$J$4:$J$503,_calc!$E$855),"yyyy-mm-dd"),""))=0,"","Parts end: "&amp;IF(ISNUMBER(INDEX('Dealer pipeline'!$J$4:$J$503,_calc!$E$855)),TEXT(INDEX('Dealer pipeline'!$J$4:$J$503,_calc!$E$855),"yyyy-mm-dd"),"")&amp;". ")&amp;IF(LEN(IF(ISNUMBER(INDEX('Dealer pipeline'!$L$4:$L$503,_calc!$E$855)),TEXT(INDEX('Dealer pipeline'!$L$4:$L$503,_calc!$E$855),"yyyy-mm-dd"),""))=0,"","Labor end: "&amp;IF(ISNUMBER(INDEX('Dealer pipeline'!$L$4:$L$503,_calc!$E$855)),TEXT(INDEX('Dealer pipeline'!$L$4:$L$503,_calc!$E$855),"yyyy-mm-dd"),"")&amp;". ")&amp;IF(LEN(IF(LEN(INDEX('Dealer pipeline'!$Q$4:$Q$503,_calc!$E$855))=0,"",INDEX('Dealer pipeline'!$Q$4:$Q$503,_calc!$E$855)))=0,"","Status: "&amp;IF(LEN(INDEX('Dealer pipeline'!$Q$4:$Q$503,_calc!$E$855))=0,"",INDEX('Dealer pipeline'!$Q$4:$Q$503,_calc!$E$855))&amp;". ")&amp;IF(LEN(IF(LEN(INDEX('Dealer pipeline'!$P$4:$P$503,_calc!$E$855))=0,"",INDEX('Dealer pipeline'!$P$4:$P$503,_calc!$E$855)))=0,"","Last touch: "&amp;IF(LEN(INDEX('Dealer pipeline'!$P$4:$P$503,_calc!$E$855))=0,"",INDEX('Dealer pipeline'!$P$4:$P$503,_calc!$E$855))&amp;". ")&amp;IF(LEN(IF(LEN(INDEX('Dealer pipeline'!$R$4:$R$503,_calc!$E$855))=0,"",INDEX('Dealer pipeline'!$R$4:$R$503,_calc!$E$855)))=0,"","Owner: "&amp;IF(LEN(INDEX('Dealer pipeline'!$R$4:$R$503,_calc!$E$855))=0,"",INDEX('Dealer pipeline'!$R$4:$R$503,_calc!$E$855))&amp;". ")&amp;IF(LEN(IF(LEN(INDEX('Dealer pipeline'!$S$4:$S$503,_calc!$E$855))=0,"",INDEX('Dealer pipeline'!$S$4:$S$503,_calc!$E$855)))=0,"","Backup: "&amp;IF(LEN(INDEX('Dealer pipeline'!$S$4:$S$503,_calc!$E$855))=0,"",INDEX('Dealer pipeline'!$S$4:$S$503,_calc!$E$855))&amp;". ")&amp;IF(LEN(IF(LEN(INDEX('Dealer pipeline'!$T$4:$T$503,_calc!$E$855))=0,"",INDEX('Dealer pipeline'!$T$4:$T$503,_calc!$E$855)))=0,"",IF(LEN(INDEX('Dealer pipeline'!$T$4:$T$503,_calc!$E$855))=0,"",INDEX('Dealer pipeline'!$T$4:$T$503,_calc!$E$855)))),TRIM(IF(LEN(IF(LEN(INDEX('My equipment'!$C$4:$C$503,(_calc!$E$855-500)))=0,"",INDEX('My equipment'!$C$4:$C$503,(_calc!$E$855-500))))=0,"","Model: "&amp;IF(LEN(INDEX('My equipment'!$C$4:$C$503,(_calc!$E$855-500)))=0,"",INDEX('My equipment'!$C$4:$C$503,(_calc!$E$855-500)))&amp;". ")&amp;IF(LEN(IF(LEN(INDEX('My equipment'!$D$4:$D$503,(_calc!$E$855-500)))=0,"",INDEX('My equipment'!$D$4:$D$503,(_calc!$E$855-500))))=0,"","Serial: "&amp;IF(LEN(INDEX('My equipment'!$D$4:$D$503,(_calc!$E$855-500)))=0,"",INDEX('My equipment'!$D$4:$D$503,(_calc!$E$855-500)))&amp;". ")&amp;IF(LEN(IF(ISNUMBER(INDEX('My equipment'!$J$4:$J$503,(_calc!$E$855-500))),TEXT(INDEX('My equipment'!$J$4:$J$503,(_calc!$E$855-500)),"yyyy-mm-dd"),""))=0,"","Parts end: "&amp;IF(ISNUMBER(INDEX('My equipment'!$J$4:$J$503,(_calc!$E$855-500))),TEXT(INDEX('My equipment'!$J$4:$J$503,(_calc!$E$855-500)),"yyyy-mm-dd"),"")&amp;". ")&amp;IF(LEN(IF(ISNUMBER(INDEX('My equipment'!$L$4:$L$503,(_calc!$E$855-500))),TEXT(INDEX('My equipment'!$L$4:$L$503,(_calc!$E$855-500)),"yyyy-mm-dd"),""))=0,"","Labor end: "&amp;IF(ISNUMBER(INDEX('My equipment'!$L$4:$L$503,(_calc!$E$855-500))),TEXT(INDEX('My equipment'!$L$4:$L$503,(_calc!$E$855-500)),"yyyy-mm-dd"),"")&amp;". ")&amp;IF(LEN(IF(ISNUMBER(INDEX('My equipment'!$P$4:$P$503,(_calc!$E$855-500))),TEXT(INDEX('My equipment'!$P$4:$P$503,(_calc!$E$855-500)),"yyyy-mm-dd"),""))=0,"","Check by: "&amp;IF(ISNUMBER(INDEX('My equipment'!$P$4:$P$503,(_calc!$E$855-500))),TEXT(INDEX('My equipment'!$P$4:$P$503,(_calc!$E$855-500)),"yyyy-mm-dd"),"")&amp;". ")&amp;IF(LEN(IF(LEN(INDEX('My equipment'!$Q$4:$Q$503,(_calc!$E$855-500)))=0,"",INDEX('My equipment'!$Q$4:$Q$503,(_calc!$E$855-500))))=0,"","Claim status: "&amp;IF(LEN(INDEX('My equipment'!$Q$4:$Q$503,(_calc!$E$855-500)))=0,"",INDEX('My equipment'!$Q$4:$Q$503,(_calc!$E$855-500)))&amp;". ")&amp;IF(LEN(IF(LEN(INDEX('My equipment'!$R$4:$R$503,(_calc!$E$855-500)))=0,"",INDEX('My equipment'!$R$4:$R$503,(_calc!$E$855-500))))=0,"","Claims contact: "&amp;IF(LEN(INDEX('My equipment'!$R$4:$R$503,(_calc!$E$855-500)))=0,"",INDEX('My equipment'!$R$4:$R$503,(_calc!$E$855-500)))&amp;". ")&amp;IF(LEN(IF(LEN(INDEX('My equipment'!$S$4:$S$503,(_calc!$E$855-500)))=0,"",INDEX('My equipment'!$S$4:$S$503,(_calc!$E$855-500))))=0,"","Claims email: "&amp;IF(LEN(INDEX('My equipment'!$S$4:$S$503,(_calc!$E$855-500)))=0,"",INDEX('My equipment'!$S$4:$S$503,(_calc!$E$855-500)))&amp;". ")&amp;IF(LEN(IF(LEN(INDEX('My equipment'!$U$4:$U$503,(_calc!$E$855-500)))=0,"",INDEX('My equipment'!$U$4:$U$503,(_calc!$E$855-500))))=0,"","Registered: "&amp;IF(LEN(INDEX('My equipment'!$U$4:$U$503,(_calc!$E$855-500)))=0,"",INDEX('My equipment'!$U$4:$U$503,(_calc!$E$855-500)))&amp;". ")&amp;IF(LEN(IF(LEN(INDEX('My equipment'!$V$4:$V$503,(_calc!$E$855-500)))=0,"",INDEX('My equipment'!$V$4:$V$503,(_calc!$E$855-500))))=0,"","Proof on file: "&amp;IF(LEN(INDEX('My equipment'!$V$4:$V$503,(_calc!$E$855-500)))=0,"",INDEX('My equipment'!$V$4:$V$503,(_calc!$E$855-500)))&amp;". ")&amp;IF(LEN(IF(LEN(INDEX('My equipment'!$W$4:$W$503,(_calc!$E$855-500)))=0,"",INDEX('My equipment'!$W$4:$W$503,(_calc!$E$855-500))))=0,"","Claim ref: "&amp;IF(LEN(INDEX('My equipment'!$W$4:$W$503,(_calc!$E$855-500)))=0,"",INDEX('My equipment'!$W$4:$W$503,(_calc!$E$855-500)))&amp;". ")&amp;IF(LEN(IF(LEN(INDEX('My equipment'!$Y$4:$Y$503,(_calc!$E$855-500)))=0,"",INDEX('My equipment'!$Y$4:$Y$503,(_calc!$E$855-500))))=0,"",IF(LEN(INDEX('My equipment'!$Y$4:$Y$503,(_calc!$E$855-500)))=0,"",INDEX('My equipment'!$Y$4:$Y$503,(_calc!$E$855-500)))))))</f>
        <v/>
      </c>
      <c r="G853" s="54">
        <f>IF(_calc!$E$855="","",IF(_calc!$E$855&lt;=500,"",IF(LEN(INDEX('My equipment'!$X$4:$X$503,(_calc!$E$855-500)))=0,"",INDEX('My equipment'!$X$4:$X$503,(_calc!$E$855-500)))))</f>
        <v/>
      </c>
      <c r="K853" s="54">
        <f>IF(_calc!$E$855="","",IF(_calc!$E$855&lt;=500,"",IF(LEN(INDEX('My equipment'!$T$4:$T$503,(_calc!$E$855-500)))=0,"",INDEX('My equipment'!$T$4:$T$503,(_calc!$E$855-500)))))</f>
        <v/>
      </c>
    </row>
    <row r="854">
      <c r="A854" s="54">
        <f>IF(_calc!$E$856="","",IF(_calc!$E$856&lt;=500,"Warranty – "&amp;IF(LEN(INDEX('Dealer pipeline'!$C$4:$C$503,_calc!$E$856))=0,"",INDEX('Dealer pipeline'!$C$4:$C$503,_calc!$E$856))&amp;" – "&amp;IF(LEN(INDEX('Dealer pipeline'!$D$4:$D$503,_calc!$E$856))=0,"",INDEX('Dealer pipeline'!$D$4:$D$503,_calc!$E$856))&amp;" – "&amp;IF(LEN(INDEX('Dealer pipeline'!$A$4:$A$503,_calc!$E$856))=0,"",INDEX('Dealer pipeline'!$A$4:$A$503,_calc!$E$856)),"Warranty – "&amp;IF(LEN(INDEX('My equipment'!$A$4:$A$503,(_calc!$E$856-500)))=0,"",INDEX('My equipment'!$A$4:$A$503,(_calc!$E$856-500)))&amp;" – "&amp;IF(LEN(INDEX('My equipment'!$D$4:$D$503,(_calc!$E$856-500)))=0,"",INDEX('My equipment'!$D$4:$D$503,(_calc!$E$856-500)))))</f>
        <v/>
      </c>
      <c r="B854" s="54">
        <f>IF(_calc!$E$856="","",IF(_calc!$E$856&lt;=500,IF(ISNUMBER(INDEX('Dealer pipeline'!$M$4:$M$503,_calc!$E$856)),TEXT(INDEX('Dealer pipeline'!$M$4:$M$503,_calc!$E$856),"yyyy-mm-dd"),""),IF(ISNUMBER(INDEX('My equipment'!$M$4:$M$503,(_calc!$E$856-500))),TEXT(INDEX('My equipment'!$M$4:$M$503,(_calc!$E$856-500)),"yyyy-mm-dd"),"")))</f>
        <v/>
      </c>
      <c r="C854" s="54">
        <f>IF(_calc!$E$856="","",IF(_calc!$E$856&lt;=500,"Warranty","Warranty"))</f>
        <v/>
      </c>
      <c r="D854" s="54">
        <f>IF(_calc!$E$856="","",IF(_calc!$E$856&lt;=500,IF(ISNUMBER(INDEX('Dealer pipeline'!$H$4:$H$503,_calc!$E$856)),TEXT(INDEX('Dealer pipeline'!$H$4:$H$503,_calc!$E$856),"yyyy-mm-dd"),""),IF(ISNUMBER(INDEX('My equipment'!$H$4:$H$503,(_calc!$E$856-500))),TEXT(INDEX('My equipment'!$H$4:$H$503,(_calc!$E$856-500)),"yyyy-mm-dd"),"")))</f>
        <v/>
      </c>
      <c r="F854" s="54">
        <f>IF(_calc!$E$856="","",IF(_calc!$E$856&lt;=500,TRIM(IF(LEN(IF(LEN(INDEX('Dealer pipeline'!$A$4:$A$503,_calc!$E$856))=0,"",INDEX('Dealer pipeline'!$A$4:$A$503,_calc!$E$856)))=0,"","Customer: "&amp;IF(LEN(INDEX('Dealer pipeline'!$A$4:$A$503,_calc!$E$856))=0,"",INDEX('Dealer pipeline'!$A$4:$A$503,_calc!$E$856))&amp;". ")&amp;IF(LEN(IF(LEN(INDEX('Dealer pipeline'!$B$4:$B$503,_calc!$E$856))=0,"",INDEX('Dealer pipeline'!$B$4:$B$503,_calc!$E$856)))=0,"","Contact: "&amp;IF(LEN(INDEX('Dealer pipeline'!$B$4:$B$503,_calc!$E$856))=0,"",INDEX('Dealer pipeline'!$B$4:$B$503,_calc!$E$856))&amp;". ")&amp;IF(LEN(IF(LEN(INDEX('Dealer pipeline'!$D$4:$D$503,_calc!$E$856))=0,"",INDEX('Dealer pipeline'!$D$4:$D$503,_calc!$E$856)))=0,"","Serial: "&amp;IF(LEN(INDEX('Dealer pipeline'!$D$4:$D$503,_calc!$E$856))=0,"",INDEX('Dealer pipeline'!$D$4:$D$503,_calc!$E$856))&amp;". ")&amp;IF(LEN(IF(ISNUMBER(INDEX('Dealer pipeline'!$J$4:$J$503,_calc!$E$856)),TEXT(INDEX('Dealer pipeline'!$J$4:$J$503,_calc!$E$856),"yyyy-mm-dd"),""))=0,"","Parts end: "&amp;IF(ISNUMBER(INDEX('Dealer pipeline'!$J$4:$J$503,_calc!$E$856)),TEXT(INDEX('Dealer pipeline'!$J$4:$J$503,_calc!$E$856),"yyyy-mm-dd"),"")&amp;". ")&amp;IF(LEN(IF(ISNUMBER(INDEX('Dealer pipeline'!$L$4:$L$503,_calc!$E$856)),TEXT(INDEX('Dealer pipeline'!$L$4:$L$503,_calc!$E$856),"yyyy-mm-dd"),""))=0,"","Labor end: "&amp;IF(ISNUMBER(INDEX('Dealer pipeline'!$L$4:$L$503,_calc!$E$856)),TEXT(INDEX('Dealer pipeline'!$L$4:$L$503,_calc!$E$856),"yyyy-mm-dd"),"")&amp;". ")&amp;IF(LEN(IF(LEN(INDEX('Dealer pipeline'!$Q$4:$Q$503,_calc!$E$856))=0,"",INDEX('Dealer pipeline'!$Q$4:$Q$503,_calc!$E$856)))=0,"","Status: "&amp;IF(LEN(INDEX('Dealer pipeline'!$Q$4:$Q$503,_calc!$E$856))=0,"",INDEX('Dealer pipeline'!$Q$4:$Q$503,_calc!$E$856))&amp;". ")&amp;IF(LEN(IF(LEN(INDEX('Dealer pipeline'!$P$4:$P$503,_calc!$E$856))=0,"",INDEX('Dealer pipeline'!$P$4:$P$503,_calc!$E$856)))=0,"","Last touch: "&amp;IF(LEN(INDEX('Dealer pipeline'!$P$4:$P$503,_calc!$E$856))=0,"",INDEX('Dealer pipeline'!$P$4:$P$503,_calc!$E$856))&amp;". ")&amp;IF(LEN(IF(LEN(INDEX('Dealer pipeline'!$R$4:$R$503,_calc!$E$856))=0,"",INDEX('Dealer pipeline'!$R$4:$R$503,_calc!$E$856)))=0,"","Owner: "&amp;IF(LEN(INDEX('Dealer pipeline'!$R$4:$R$503,_calc!$E$856))=0,"",INDEX('Dealer pipeline'!$R$4:$R$503,_calc!$E$856))&amp;". ")&amp;IF(LEN(IF(LEN(INDEX('Dealer pipeline'!$S$4:$S$503,_calc!$E$856))=0,"",INDEX('Dealer pipeline'!$S$4:$S$503,_calc!$E$856)))=0,"","Backup: "&amp;IF(LEN(INDEX('Dealer pipeline'!$S$4:$S$503,_calc!$E$856))=0,"",INDEX('Dealer pipeline'!$S$4:$S$503,_calc!$E$856))&amp;". ")&amp;IF(LEN(IF(LEN(INDEX('Dealer pipeline'!$T$4:$T$503,_calc!$E$856))=0,"",INDEX('Dealer pipeline'!$T$4:$T$503,_calc!$E$856)))=0,"",IF(LEN(INDEX('Dealer pipeline'!$T$4:$T$503,_calc!$E$856))=0,"",INDEX('Dealer pipeline'!$T$4:$T$503,_calc!$E$856)))),TRIM(IF(LEN(IF(LEN(INDEX('My equipment'!$C$4:$C$503,(_calc!$E$856-500)))=0,"",INDEX('My equipment'!$C$4:$C$503,(_calc!$E$856-500))))=0,"","Model: "&amp;IF(LEN(INDEX('My equipment'!$C$4:$C$503,(_calc!$E$856-500)))=0,"",INDEX('My equipment'!$C$4:$C$503,(_calc!$E$856-500)))&amp;". ")&amp;IF(LEN(IF(LEN(INDEX('My equipment'!$D$4:$D$503,(_calc!$E$856-500)))=0,"",INDEX('My equipment'!$D$4:$D$503,(_calc!$E$856-500))))=0,"","Serial: "&amp;IF(LEN(INDEX('My equipment'!$D$4:$D$503,(_calc!$E$856-500)))=0,"",INDEX('My equipment'!$D$4:$D$503,(_calc!$E$856-500)))&amp;". ")&amp;IF(LEN(IF(ISNUMBER(INDEX('My equipment'!$J$4:$J$503,(_calc!$E$856-500))),TEXT(INDEX('My equipment'!$J$4:$J$503,(_calc!$E$856-500)),"yyyy-mm-dd"),""))=0,"","Parts end: "&amp;IF(ISNUMBER(INDEX('My equipment'!$J$4:$J$503,(_calc!$E$856-500))),TEXT(INDEX('My equipment'!$J$4:$J$503,(_calc!$E$856-500)),"yyyy-mm-dd"),"")&amp;". ")&amp;IF(LEN(IF(ISNUMBER(INDEX('My equipment'!$L$4:$L$503,(_calc!$E$856-500))),TEXT(INDEX('My equipment'!$L$4:$L$503,(_calc!$E$856-500)),"yyyy-mm-dd"),""))=0,"","Labor end: "&amp;IF(ISNUMBER(INDEX('My equipment'!$L$4:$L$503,(_calc!$E$856-500))),TEXT(INDEX('My equipment'!$L$4:$L$503,(_calc!$E$856-500)),"yyyy-mm-dd"),"")&amp;". ")&amp;IF(LEN(IF(ISNUMBER(INDEX('My equipment'!$P$4:$P$503,(_calc!$E$856-500))),TEXT(INDEX('My equipment'!$P$4:$P$503,(_calc!$E$856-500)),"yyyy-mm-dd"),""))=0,"","Check by: "&amp;IF(ISNUMBER(INDEX('My equipment'!$P$4:$P$503,(_calc!$E$856-500))),TEXT(INDEX('My equipment'!$P$4:$P$503,(_calc!$E$856-500)),"yyyy-mm-dd"),"")&amp;". ")&amp;IF(LEN(IF(LEN(INDEX('My equipment'!$Q$4:$Q$503,(_calc!$E$856-500)))=0,"",INDEX('My equipment'!$Q$4:$Q$503,(_calc!$E$856-500))))=0,"","Claim status: "&amp;IF(LEN(INDEX('My equipment'!$Q$4:$Q$503,(_calc!$E$856-500)))=0,"",INDEX('My equipment'!$Q$4:$Q$503,(_calc!$E$856-500)))&amp;". ")&amp;IF(LEN(IF(LEN(INDEX('My equipment'!$R$4:$R$503,(_calc!$E$856-500)))=0,"",INDEX('My equipment'!$R$4:$R$503,(_calc!$E$856-500))))=0,"","Claims contact: "&amp;IF(LEN(INDEX('My equipment'!$R$4:$R$503,(_calc!$E$856-500)))=0,"",INDEX('My equipment'!$R$4:$R$503,(_calc!$E$856-500)))&amp;". ")&amp;IF(LEN(IF(LEN(INDEX('My equipment'!$S$4:$S$503,(_calc!$E$856-500)))=0,"",INDEX('My equipment'!$S$4:$S$503,(_calc!$E$856-500))))=0,"","Claims email: "&amp;IF(LEN(INDEX('My equipment'!$S$4:$S$503,(_calc!$E$856-500)))=0,"",INDEX('My equipment'!$S$4:$S$503,(_calc!$E$856-500)))&amp;". ")&amp;IF(LEN(IF(LEN(INDEX('My equipment'!$U$4:$U$503,(_calc!$E$856-500)))=0,"",INDEX('My equipment'!$U$4:$U$503,(_calc!$E$856-500))))=0,"","Registered: "&amp;IF(LEN(INDEX('My equipment'!$U$4:$U$503,(_calc!$E$856-500)))=0,"",INDEX('My equipment'!$U$4:$U$503,(_calc!$E$856-500)))&amp;". ")&amp;IF(LEN(IF(LEN(INDEX('My equipment'!$V$4:$V$503,(_calc!$E$856-500)))=0,"",INDEX('My equipment'!$V$4:$V$503,(_calc!$E$856-500))))=0,"","Proof on file: "&amp;IF(LEN(INDEX('My equipment'!$V$4:$V$503,(_calc!$E$856-500)))=0,"",INDEX('My equipment'!$V$4:$V$503,(_calc!$E$856-500)))&amp;". ")&amp;IF(LEN(IF(LEN(INDEX('My equipment'!$W$4:$W$503,(_calc!$E$856-500)))=0,"",INDEX('My equipment'!$W$4:$W$503,(_calc!$E$856-500))))=0,"","Claim ref: "&amp;IF(LEN(INDEX('My equipment'!$W$4:$W$503,(_calc!$E$856-500)))=0,"",INDEX('My equipment'!$W$4:$W$503,(_calc!$E$856-500)))&amp;". ")&amp;IF(LEN(IF(LEN(INDEX('My equipment'!$Y$4:$Y$503,(_calc!$E$856-500)))=0,"",INDEX('My equipment'!$Y$4:$Y$503,(_calc!$E$856-500))))=0,"",IF(LEN(INDEX('My equipment'!$Y$4:$Y$503,(_calc!$E$856-500)))=0,"",INDEX('My equipment'!$Y$4:$Y$503,(_calc!$E$856-500)))))))</f>
        <v/>
      </c>
      <c r="G854" s="54">
        <f>IF(_calc!$E$856="","",IF(_calc!$E$856&lt;=500,"",IF(LEN(INDEX('My equipment'!$X$4:$X$503,(_calc!$E$856-500)))=0,"",INDEX('My equipment'!$X$4:$X$503,(_calc!$E$856-500)))))</f>
        <v/>
      </c>
      <c r="K854" s="54">
        <f>IF(_calc!$E$856="","",IF(_calc!$E$856&lt;=500,"",IF(LEN(INDEX('My equipment'!$T$4:$T$503,(_calc!$E$856-500)))=0,"",INDEX('My equipment'!$T$4:$T$503,(_calc!$E$856-500)))))</f>
        <v/>
      </c>
    </row>
    <row r="855">
      <c r="A855" s="54">
        <f>IF(_calc!$E$857="","",IF(_calc!$E$857&lt;=500,"Warranty – "&amp;IF(LEN(INDEX('Dealer pipeline'!$C$4:$C$503,_calc!$E$857))=0,"",INDEX('Dealer pipeline'!$C$4:$C$503,_calc!$E$857))&amp;" – "&amp;IF(LEN(INDEX('Dealer pipeline'!$D$4:$D$503,_calc!$E$857))=0,"",INDEX('Dealer pipeline'!$D$4:$D$503,_calc!$E$857))&amp;" – "&amp;IF(LEN(INDEX('Dealer pipeline'!$A$4:$A$503,_calc!$E$857))=0,"",INDEX('Dealer pipeline'!$A$4:$A$503,_calc!$E$857)),"Warranty – "&amp;IF(LEN(INDEX('My equipment'!$A$4:$A$503,(_calc!$E$857-500)))=0,"",INDEX('My equipment'!$A$4:$A$503,(_calc!$E$857-500)))&amp;" – "&amp;IF(LEN(INDEX('My equipment'!$D$4:$D$503,(_calc!$E$857-500)))=0,"",INDEX('My equipment'!$D$4:$D$503,(_calc!$E$857-500)))))</f>
        <v/>
      </c>
      <c r="B855" s="54">
        <f>IF(_calc!$E$857="","",IF(_calc!$E$857&lt;=500,IF(ISNUMBER(INDEX('Dealer pipeline'!$M$4:$M$503,_calc!$E$857)),TEXT(INDEX('Dealer pipeline'!$M$4:$M$503,_calc!$E$857),"yyyy-mm-dd"),""),IF(ISNUMBER(INDEX('My equipment'!$M$4:$M$503,(_calc!$E$857-500))),TEXT(INDEX('My equipment'!$M$4:$M$503,(_calc!$E$857-500)),"yyyy-mm-dd"),"")))</f>
        <v/>
      </c>
      <c r="C855" s="54">
        <f>IF(_calc!$E$857="","",IF(_calc!$E$857&lt;=500,"Warranty","Warranty"))</f>
        <v/>
      </c>
      <c r="D855" s="54">
        <f>IF(_calc!$E$857="","",IF(_calc!$E$857&lt;=500,IF(ISNUMBER(INDEX('Dealer pipeline'!$H$4:$H$503,_calc!$E$857)),TEXT(INDEX('Dealer pipeline'!$H$4:$H$503,_calc!$E$857),"yyyy-mm-dd"),""),IF(ISNUMBER(INDEX('My equipment'!$H$4:$H$503,(_calc!$E$857-500))),TEXT(INDEX('My equipment'!$H$4:$H$503,(_calc!$E$857-500)),"yyyy-mm-dd"),"")))</f>
        <v/>
      </c>
      <c r="F855" s="54">
        <f>IF(_calc!$E$857="","",IF(_calc!$E$857&lt;=500,TRIM(IF(LEN(IF(LEN(INDEX('Dealer pipeline'!$A$4:$A$503,_calc!$E$857))=0,"",INDEX('Dealer pipeline'!$A$4:$A$503,_calc!$E$857)))=0,"","Customer: "&amp;IF(LEN(INDEX('Dealer pipeline'!$A$4:$A$503,_calc!$E$857))=0,"",INDEX('Dealer pipeline'!$A$4:$A$503,_calc!$E$857))&amp;". ")&amp;IF(LEN(IF(LEN(INDEX('Dealer pipeline'!$B$4:$B$503,_calc!$E$857))=0,"",INDEX('Dealer pipeline'!$B$4:$B$503,_calc!$E$857)))=0,"","Contact: "&amp;IF(LEN(INDEX('Dealer pipeline'!$B$4:$B$503,_calc!$E$857))=0,"",INDEX('Dealer pipeline'!$B$4:$B$503,_calc!$E$857))&amp;". ")&amp;IF(LEN(IF(LEN(INDEX('Dealer pipeline'!$D$4:$D$503,_calc!$E$857))=0,"",INDEX('Dealer pipeline'!$D$4:$D$503,_calc!$E$857)))=0,"","Serial: "&amp;IF(LEN(INDEX('Dealer pipeline'!$D$4:$D$503,_calc!$E$857))=0,"",INDEX('Dealer pipeline'!$D$4:$D$503,_calc!$E$857))&amp;". ")&amp;IF(LEN(IF(ISNUMBER(INDEX('Dealer pipeline'!$J$4:$J$503,_calc!$E$857)),TEXT(INDEX('Dealer pipeline'!$J$4:$J$503,_calc!$E$857),"yyyy-mm-dd"),""))=0,"","Parts end: "&amp;IF(ISNUMBER(INDEX('Dealer pipeline'!$J$4:$J$503,_calc!$E$857)),TEXT(INDEX('Dealer pipeline'!$J$4:$J$503,_calc!$E$857),"yyyy-mm-dd"),"")&amp;". ")&amp;IF(LEN(IF(ISNUMBER(INDEX('Dealer pipeline'!$L$4:$L$503,_calc!$E$857)),TEXT(INDEX('Dealer pipeline'!$L$4:$L$503,_calc!$E$857),"yyyy-mm-dd"),""))=0,"","Labor end: "&amp;IF(ISNUMBER(INDEX('Dealer pipeline'!$L$4:$L$503,_calc!$E$857)),TEXT(INDEX('Dealer pipeline'!$L$4:$L$503,_calc!$E$857),"yyyy-mm-dd"),"")&amp;". ")&amp;IF(LEN(IF(LEN(INDEX('Dealer pipeline'!$Q$4:$Q$503,_calc!$E$857))=0,"",INDEX('Dealer pipeline'!$Q$4:$Q$503,_calc!$E$857)))=0,"","Status: "&amp;IF(LEN(INDEX('Dealer pipeline'!$Q$4:$Q$503,_calc!$E$857))=0,"",INDEX('Dealer pipeline'!$Q$4:$Q$503,_calc!$E$857))&amp;". ")&amp;IF(LEN(IF(LEN(INDEX('Dealer pipeline'!$P$4:$P$503,_calc!$E$857))=0,"",INDEX('Dealer pipeline'!$P$4:$P$503,_calc!$E$857)))=0,"","Last touch: "&amp;IF(LEN(INDEX('Dealer pipeline'!$P$4:$P$503,_calc!$E$857))=0,"",INDEX('Dealer pipeline'!$P$4:$P$503,_calc!$E$857))&amp;". ")&amp;IF(LEN(IF(LEN(INDEX('Dealer pipeline'!$R$4:$R$503,_calc!$E$857))=0,"",INDEX('Dealer pipeline'!$R$4:$R$503,_calc!$E$857)))=0,"","Owner: "&amp;IF(LEN(INDEX('Dealer pipeline'!$R$4:$R$503,_calc!$E$857))=0,"",INDEX('Dealer pipeline'!$R$4:$R$503,_calc!$E$857))&amp;". ")&amp;IF(LEN(IF(LEN(INDEX('Dealer pipeline'!$S$4:$S$503,_calc!$E$857))=0,"",INDEX('Dealer pipeline'!$S$4:$S$503,_calc!$E$857)))=0,"","Backup: "&amp;IF(LEN(INDEX('Dealer pipeline'!$S$4:$S$503,_calc!$E$857))=0,"",INDEX('Dealer pipeline'!$S$4:$S$503,_calc!$E$857))&amp;". ")&amp;IF(LEN(IF(LEN(INDEX('Dealer pipeline'!$T$4:$T$503,_calc!$E$857))=0,"",INDEX('Dealer pipeline'!$T$4:$T$503,_calc!$E$857)))=0,"",IF(LEN(INDEX('Dealer pipeline'!$T$4:$T$503,_calc!$E$857))=0,"",INDEX('Dealer pipeline'!$T$4:$T$503,_calc!$E$857)))),TRIM(IF(LEN(IF(LEN(INDEX('My equipment'!$C$4:$C$503,(_calc!$E$857-500)))=0,"",INDEX('My equipment'!$C$4:$C$503,(_calc!$E$857-500))))=0,"","Model: "&amp;IF(LEN(INDEX('My equipment'!$C$4:$C$503,(_calc!$E$857-500)))=0,"",INDEX('My equipment'!$C$4:$C$503,(_calc!$E$857-500)))&amp;". ")&amp;IF(LEN(IF(LEN(INDEX('My equipment'!$D$4:$D$503,(_calc!$E$857-500)))=0,"",INDEX('My equipment'!$D$4:$D$503,(_calc!$E$857-500))))=0,"","Serial: "&amp;IF(LEN(INDEX('My equipment'!$D$4:$D$503,(_calc!$E$857-500)))=0,"",INDEX('My equipment'!$D$4:$D$503,(_calc!$E$857-500)))&amp;". ")&amp;IF(LEN(IF(ISNUMBER(INDEX('My equipment'!$J$4:$J$503,(_calc!$E$857-500))),TEXT(INDEX('My equipment'!$J$4:$J$503,(_calc!$E$857-500)),"yyyy-mm-dd"),""))=0,"","Parts end: "&amp;IF(ISNUMBER(INDEX('My equipment'!$J$4:$J$503,(_calc!$E$857-500))),TEXT(INDEX('My equipment'!$J$4:$J$503,(_calc!$E$857-500)),"yyyy-mm-dd"),"")&amp;". ")&amp;IF(LEN(IF(ISNUMBER(INDEX('My equipment'!$L$4:$L$503,(_calc!$E$857-500))),TEXT(INDEX('My equipment'!$L$4:$L$503,(_calc!$E$857-500)),"yyyy-mm-dd"),""))=0,"","Labor end: "&amp;IF(ISNUMBER(INDEX('My equipment'!$L$4:$L$503,(_calc!$E$857-500))),TEXT(INDEX('My equipment'!$L$4:$L$503,(_calc!$E$857-500)),"yyyy-mm-dd"),"")&amp;". ")&amp;IF(LEN(IF(ISNUMBER(INDEX('My equipment'!$P$4:$P$503,(_calc!$E$857-500))),TEXT(INDEX('My equipment'!$P$4:$P$503,(_calc!$E$857-500)),"yyyy-mm-dd"),""))=0,"","Check by: "&amp;IF(ISNUMBER(INDEX('My equipment'!$P$4:$P$503,(_calc!$E$857-500))),TEXT(INDEX('My equipment'!$P$4:$P$503,(_calc!$E$857-500)),"yyyy-mm-dd"),"")&amp;". ")&amp;IF(LEN(IF(LEN(INDEX('My equipment'!$Q$4:$Q$503,(_calc!$E$857-500)))=0,"",INDEX('My equipment'!$Q$4:$Q$503,(_calc!$E$857-500))))=0,"","Claim status: "&amp;IF(LEN(INDEX('My equipment'!$Q$4:$Q$503,(_calc!$E$857-500)))=0,"",INDEX('My equipment'!$Q$4:$Q$503,(_calc!$E$857-500)))&amp;". ")&amp;IF(LEN(IF(LEN(INDEX('My equipment'!$R$4:$R$503,(_calc!$E$857-500)))=0,"",INDEX('My equipment'!$R$4:$R$503,(_calc!$E$857-500))))=0,"","Claims contact: "&amp;IF(LEN(INDEX('My equipment'!$R$4:$R$503,(_calc!$E$857-500)))=0,"",INDEX('My equipment'!$R$4:$R$503,(_calc!$E$857-500)))&amp;". ")&amp;IF(LEN(IF(LEN(INDEX('My equipment'!$S$4:$S$503,(_calc!$E$857-500)))=0,"",INDEX('My equipment'!$S$4:$S$503,(_calc!$E$857-500))))=0,"","Claims email: "&amp;IF(LEN(INDEX('My equipment'!$S$4:$S$503,(_calc!$E$857-500)))=0,"",INDEX('My equipment'!$S$4:$S$503,(_calc!$E$857-500)))&amp;". ")&amp;IF(LEN(IF(LEN(INDEX('My equipment'!$U$4:$U$503,(_calc!$E$857-500)))=0,"",INDEX('My equipment'!$U$4:$U$503,(_calc!$E$857-500))))=0,"","Registered: "&amp;IF(LEN(INDEX('My equipment'!$U$4:$U$503,(_calc!$E$857-500)))=0,"",INDEX('My equipment'!$U$4:$U$503,(_calc!$E$857-500)))&amp;". ")&amp;IF(LEN(IF(LEN(INDEX('My equipment'!$V$4:$V$503,(_calc!$E$857-500)))=0,"",INDEX('My equipment'!$V$4:$V$503,(_calc!$E$857-500))))=0,"","Proof on file: "&amp;IF(LEN(INDEX('My equipment'!$V$4:$V$503,(_calc!$E$857-500)))=0,"",INDEX('My equipment'!$V$4:$V$503,(_calc!$E$857-500)))&amp;". ")&amp;IF(LEN(IF(LEN(INDEX('My equipment'!$W$4:$W$503,(_calc!$E$857-500)))=0,"",INDEX('My equipment'!$W$4:$W$503,(_calc!$E$857-500))))=0,"","Claim ref: "&amp;IF(LEN(INDEX('My equipment'!$W$4:$W$503,(_calc!$E$857-500)))=0,"",INDEX('My equipment'!$W$4:$W$503,(_calc!$E$857-500)))&amp;". ")&amp;IF(LEN(IF(LEN(INDEX('My equipment'!$Y$4:$Y$503,(_calc!$E$857-500)))=0,"",INDEX('My equipment'!$Y$4:$Y$503,(_calc!$E$857-500))))=0,"",IF(LEN(INDEX('My equipment'!$Y$4:$Y$503,(_calc!$E$857-500)))=0,"",INDEX('My equipment'!$Y$4:$Y$503,(_calc!$E$857-500)))))))</f>
        <v/>
      </c>
      <c r="G855" s="54">
        <f>IF(_calc!$E$857="","",IF(_calc!$E$857&lt;=500,"",IF(LEN(INDEX('My equipment'!$X$4:$X$503,(_calc!$E$857-500)))=0,"",INDEX('My equipment'!$X$4:$X$503,(_calc!$E$857-500)))))</f>
        <v/>
      </c>
      <c r="K855" s="54">
        <f>IF(_calc!$E$857="","",IF(_calc!$E$857&lt;=500,"",IF(LEN(INDEX('My equipment'!$T$4:$T$503,(_calc!$E$857-500)))=0,"",INDEX('My equipment'!$T$4:$T$503,(_calc!$E$857-500)))))</f>
        <v/>
      </c>
    </row>
    <row r="856">
      <c r="A856" s="54">
        <f>IF(_calc!$E$858="","",IF(_calc!$E$858&lt;=500,"Warranty – "&amp;IF(LEN(INDEX('Dealer pipeline'!$C$4:$C$503,_calc!$E$858))=0,"",INDEX('Dealer pipeline'!$C$4:$C$503,_calc!$E$858))&amp;" – "&amp;IF(LEN(INDEX('Dealer pipeline'!$D$4:$D$503,_calc!$E$858))=0,"",INDEX('Dealer pipeline'!$D$4:$D$503,_calc!$E$858))&amp;" – "&amp;IF(LEN(INDEX('Dealer pipeline'!$A$4:$A$503,_calc!$E$858))=0,"",INDEX('Dealer pipeline'!$A$4:$A$503,_calc!$E$858)),"Warranty – "&amp;IF(LEN(INDEX('My equipment'!$A$4:$A$503,(_calc!$E$858-500)))=0,"",INDEX('My equipment'!$A$4:$A$503,(_calc!$E$858-500)))&amp;" – "&amp;IF(LEN(INDEX('My equipment'!$D$4:$D$503,(_calc!$E$858-500)))=0,"",INDEX('My equipment'!$D$4:$D$503,(_calc!$E$858-500)))))</f>
        <v/>
      </c>
      <c r="B856" s="54">
        <f>IF(_calc!$E$858="","",IF(_calc!$E$858&lt;=500,IF(ISNUMBER(INDEX('Dealer pipeline'!$M$4:$M$503,_calc!$E$858)),TEXT(INDEX('Dealer pipeline'!$M$4:$M$503,_calc!$E$858),"yyyy-mm-dd"),""),IF(ISNUMBER(INDEX('My equipment'!$M$4:$M$503,(_calc!$E$858-500))),TEXT(INDEX('My equipment'!$M$4:$M$503,(_calc!$E$858-500)),"yyyy-mm-dd"),"")))</f>
        <v/>
      </c>
      <c r="C856" s="54">
        <f>IF(_calc!$E$858="","",IF(_calc!$E$858&lt;=500,"Warranty","Warranty"))</f>
        <v/>
      </c>
      <c r="D856" s="54">
        <f>IF(_calc!$E$858="","",IF(_calc!$E$858&lt;=500,IF(ISNUMBER(INDEX('Dealer pipeline'!$H$4:$H$503,_calc!$E$858)),TEXT(INDEX('Dealer pipeline'!$H$4:$H$503,_calc!$E$858),"yyyy-mm-dd"),""),IF(ISNUMBER(INDEX('My equipment'!$H$4:$H$503,(_calc!$E$858-500))),TEXT(INDEX('My equipment'!$H$4:$H$503,(_calc!$E$858-500)),"yyyy-mm-dd"),"")))</f>
        <v/>
      </c>
      <c r="F856" s="54">
        <f>IF(_calc!$E$858="","",IF(_calc!$E$858&lt;=500,TRIM(IF(LEN(IF(LEN(INDEX('Dealer pipeline'!$A$4:$A$503,_calc!$E$858))=0,"",INDEX('Dealer pipeline'!$A$4:$A$503,_calc!$E$858)))=0,"","Customer: "&amp;IF(LEN(INDEX('Dealer pipeline'!$A$4:$A$503,_calc!$E$858))=0,"",INDEX('Dealer pipeline'!$A$4:$A$503,_calc!$E$858))&amp;". ")&amp;IF(LEN(IF(LEN(INDEX('Dealer pipeline'!$B$4:$B$503,_calc!$E$858))=0,"",INDEX('Dealer pipeline'!$B$4:$B$503,_calc!$E$858)))=0,"","Contact: "&amp;IF(LEN(INDEX('Dealer pipeline'!$B$4:$B$503,_calc!$E$858))=0,"",INDEX('Dealer pipeline'!$B$4:$B$503,_calc!$E$858))&amp;". ")&amp;IF(LEN(IF(LEN(INDEX('Dealer pipeline'!$D$4:$D$503,_calc!$E$858))=0,"",INDEX('Dealer pipeline'!$D$4:$D$503,_calc!$E$858)))=0,"","Serial: "&amp;IF(LEN(INDEX('Dealer pipeline'!$D$4:$D$503,_calc!$E$858))=0,"",INDEX('Dealer pipeline'!$D$4:$D$503,_calc!$E$858))&amp;". ")&amp;IF(LEN(IF(ISNUMBER(INDEX('Dealer pipeline'!$J$4:$J$503,_calc!$E$858)),TEXT(INDEX('Dealer pipeline'!$J$4:$J$503,_calc!$E$858),"yyyy-mm-dd"),""))=0,"","Parts end: "&amp;IF(ISNUMBER(INDEX('Dealer pipeline'!$J$4:$J$503,_calc!$E$858)),TEXT(INDEX('Dealer pipeline'!$J$4:$J$503,_calc!$E$858),"yyyy-mm-dd"),"")&amp;". ")&amp;IF(LEN(IF(ISNUMBER(INDEX('Dealer pipeline'!$L$4:$L$503,_calc!$E$858)),TEXT(INDEX('Dealer pipeline'!$L$4:$L$503,_calc!$E$858),"yyyy-mm-dd"),""))=0,"","Labor end: "&amp;IF(ISNUMBER(INDEX('Dealer pipeline'!$L$4:$L$503,_calc!$E$858)),TEXT(INDEX('Dealer pipeline'!$L$4:$L$503,_calc!$E$858),"yyyy-mm-dd"),"")&amp;". ")&amp;IF(LEN(IF(LEN(INDEX('Dealer pipeline'!$Q$4:$Q$503,_calc!$E$858))=0,"",INDEX('Dealer pipeline'!$Q$4:$Q$503,_calc!$E$858)))=0,"","Status: "&amp;IF(LEN(INDEX('Dealer pipeline'!$Q$4:$Q$503,_calc!$E$858))=0,"",INDEX('Dealer pipeline'!$Q$4:$Q$503,_calc!$E$858))&amp;". ")&amp;IF(LEN(IF(LEN(INDEX('Dealer pipeline'!$P$4:$P$503,_calc!$E$858))=0,"",INDEX('Dealer pipeline'!$P$4:$P$503,_calc!$E$858)))=0,"","Last touch: "&amp;IF(LEN(INDEX('Dealer pipeline'!$P$4:$P$503,_calc!$E$858))=0,"",INDEX('Dealer pipeline'!$P$4:$P$503,_calc!$E$858))&amp;". ")&amp;IF(LEN(IF(LEN(INDEX('Dealer pipeline'!$R$4:$R$503,_calc!$E$858))=0,"",INDEX('Dealer pipeline'!$R$4:$R$503,_calc!$E$858)))=0,"","Owner: "&amp;IF(LEN(INDEX('Dealer pipeline'!$R$4:$R$503,_calc!$E$858))=0,"",INDEX('Dealer pipeline'!$R$4:$R$503,_calc!$E$858))&amp;". ")&amp;IF(LEN(IF(LEN(INDEX('Dealer pipeline'!$S$4:$S$503,_calc!$E$858))=0,"",INDEX('Dealer pipeline'!$S$4:$S$503,_calc!$E$858)))=0,"","Backup: "&amp;IF(LEN(INDEX('Dealer pipeline'!$S$4:$S$503,_calc!$E$858))=0,"",INDEX('Dealer pipeline'!$S$4:$S$503,_calc!$E$858))&amp;". ")&amp;IF(LEN(IF(LEN(INDEX('Dealer pipeline'!$T$4:$T$503,_calc!$E$858))=0,"",INDEX('Dealer pipeline'!$T$4:$T$503,_calc!$E$858)))=0,"",IF(LEN(INDEX('Dealer pipeline'!$T$4:$T$503,_calc!$E$858))=0,"",INDEX('Dealer pipeline'!$T$4:$T$503,_calc!$E$858)))),TRIM(IF(LEN(IF(LEN(INDEX('My equipment'!$C$4:$C$503,(_calc!$E$858-500)))=0,"",INDEX('My equipment'!$C$4:$C$503,(_calc!$E$858-500))))=0,"","Model: "&amp;IF(LEN(INDEX('My equipment'!$C$4:$C$503,(_calc!$E$858-500)))=0,"",INDEX('My equipment'!$C$4:$C$503,(_calc!$E$858-500)))&amp;". ")&amp;IF(LEN(IF(LEN(INDEX('My equipment'!$D$4:$D$503,(_calc!$E$858-500)))=0,"",INDEX('My equipment'!$D$4:$D$503,(_calc!$E$858-500))))=0,"","Serial: "&amp;IF(LEN(INDEX('My equipment'!$D$4:$D$503,(_calc!$E$858-500)))=0,"",INDEX('My equipment'!$D$4:$D$503,(_calc!$E$858-500)))&amp;". ")&amp;IF(LEN(IF(ISNUMBER(INDEX('My equipment'!$J$4:$J$503,(_calc!$E$858-500))),TEXT(INDEX('My equipment'!$J$4:$J$503,(_calc!$E$858-500)),"yyyy-mm-dd"),""))=0,"","Parts end: "&amp;IF(ISNUMBER(INDEX('My equipment'!$J$4:$J$503,(_calc!$E$858-500))),TEXT(INDEX('My equipment'!$J$4:$J$503,(_calc!$E$858-500)),"yyyy-mm-dd"),"")&amp;". ")&amp;IF(LEN(IF(ISNUMBER(INDEX('My equipment'!$L$4:$L$503,(_calc!$E$858-500))),TEXT(INDEX('My equipment'!$L$4:$L$503,(_calc!$E$858-500)),"yyyy-mm-dd"),""))=0,"","Labor end: "&amp;IF(ISNUMBER(INDEX('My equipment'!$L$4:$L$503,(_calc!$E$858-500))),TEXT(INDEX('My equipment'!$L$4:$L$503,(_calc!$E$858-500)),"yyyy-mm-dd"),"")&amp;". ")&amp;IF(LEN(IF(ISNUMBER(INDEX('My equipment'!$P$4:$P$503,(_calc!$E$858-500))),TEXT(INDEX('My equipment'!$P$4:$P$503,(_calc!$E$858-500)),"yyyy-mm-dd"),""))=0,"","Check by: "&amp;IF(ISNUMBER(INDEX('My equipment'!$P$4:$P$503,(_calc!$E$858-500))),TEXT(INDEX('My equipment'!$P$4:$P$503,(_calc!$E$858-500)),"yyyy-mm-dd"),"")&amp;". ")&amp;IF(LEN(IF(LEN(INDEX('My equipment'!$Q$4:$Q$503,(_calc!$E$858-500)))=0,"",INDEX('My equipment'!$Q$4:$Q$503,(_calc!$E$858-500))))=0,"","Claim status: "&amp;IF(LEN(INDEX('My equipment'!$Q$4:$Q$503,(_calc!$E$858-500)))=0,"",INDEX('My equipment'!$Q$4:$Q$503,(_calc!$E$858-500)))&amp;". ")&amp;IF(LEN(IF(LEN(INDEX('My equipment'!$R$4:$R$503,(_calc!$E$858-500)))=0,"",INDEX('My equipment'!$R$4:$R$503,(_calc!$E$858-500))))=0,"","Claims contact: "&amp;IF(LEN(INDEX('My equipment'!$R$4:$R$503,(_calc!$E$858-500)))=0,"",INDEX('My equipment'!$R$4:$R$503,(_calc!$E$858-500)))&amp;". ")&amp;IF(LEN(IF(LEN(INDEX('My equipment'!$S$4:$S$503,(_calc!$E$858-500)))=0,"",INDEX('My equipment'!$S$4:$S$503,(_calc!$E$858-500))))=0,"","Claims email: "&amp;IF(LEN(INDEX('My equipment'!$S$4:$S$503,(_calc!$E$858-500)))=0,"",INDEX('My equipment'!$S$4:$S$503,(_calc!$E$858-500)))&amp;". ")&amp;IF(LEN(IF(LEN(INDEX('My equipment'!$U$4:$U$503,(_calc!$E$858-500)))=0,"",INDEX('My equipment'!$U$4:$U$503,(_calc!$E$858-500))))=0,"","Registered: "&amp;IF(LEN(INDEX('My equipment'!$U$4:$U$503,(_calc!$E$858-500)))=0,"",INDEX('My equipment'!$U$4:$U$503,(_calc!$E$858-500)))&amp;". ")&amp;IF(LEN(IF(LEN(INDEX('My equipment'!$V$4:$V$503,(_calc!$E$858-500)))=0,"",INDEX('My equipment'!$V$4:$V$503,(_calc!$E$858-500))))=0,"","Proof on file: "&amp;IF(LEN(INDEX('My equipment'!$V$4:$V$503,(_calc!$E$858-500)))=0,"",INDEX('My equipment'!$V$4:$V$503,(_calc!$E$858-500)))&amp;". ")&amp;IF(LEN(IF(LEN(INDEX('My equipment'!$W$4:$W$503,(_calc!$E$858-500)))=0,"",INDEX('My equipment'!$W$4:$W$503,(_calc!$E$858-500))))=0,"","Claim ref: "&amp;IF(LEN(INDEX('My equipment'!$W$4:$W$503,(_calc!$E$858-500)))=0,"",INDEX('My equipment'!$W$4:$W$503,(_calc!$E$858-500)))&amp;". ")&amp;IF(LEN(IF(LEN(INDEX('My equipment'!$Y$4:$Y$503,(_calc!$E$858-500)))=0,"",INDEX('My equipment'!$Y$4:$Y$503,(_calc!$E$858-500))))=0,"",IF(LEN(INDEX('My equipment'!$Y$4:$Y$503,(_calc!$E$858-500)))=0,"",INDEX('My equipment'!$Y$4:$Y$503,(_calc!$E$858-500)))))))</f>
        <v/>
      </c>
      <c r="G856" s="54">
        <f>IF(_calc!$E$858="","",IF(_calc!$E$858&lt;=500,"",IF(LEN(INDEX('My equipment'!$X$4:$X$503,(_calc!$E$858-500)))=0,"",INDEX('My equipment'!$X$4:$X$503,(_calc!$E$858-500)))))</f>
        <v/>
      </c>
      <c r="K856" s="54">
        <f>IF(_calc!$E$858="","",IF(_calc!$E$858&lt;=500,"",IF(LEN(INDEX('My equipment'!$T$4:$T$503,(_calc!$E$858-500)))=0,"",INDEX('My equipment'!$T$4:$T$503,(_calc!$E$858-500)))))</f>
        <v/>
      </c>
    </row>
    <row r="857">
      <c r="A857" s="54">
        <f>IF(_calc!$E$859="","",IF(_calc!$E$859&lt;=500,"Warranty – "&amp;IF(LEN(INDEX('Dealer pipeline'!$C$4:$C$503,_calc!$E$859))=0,"",INDEX('Dealer pipeline'!$C$4:$C$503,_calc!$E$859))&amp;" – "&amp;IF(LEN(INDEX('Dealer pipeline'!$D$4:$D$503,_calc!$E$859))=0,"",INDEX('Dealer pipeline'!$D$4:$D$503,_calc!$E$859))&amp;" – "&amp;IF(LEN(INDEX('Dealer pipeline'!$A$4:$A$503,_calc!$E$859))=0,"",INDEX('Dealer pipeline'!$A$4:$A$503,_calc!$E$859)),"Warranty – "&amp;IF(LEN(INDEX('My equipment'!$A$4:$A$503,(_calc!$E$859-500)))=0,"",INDEX('My equipment'!$A$4:$A$503,(_calc!$E$859-500)))&amp;" – "&amp;IF(LEN(INDEX('My equipment'!$D$4:$D$503,(_calc!$E$859-500)))=0,"",INDEX('My equipment'!$D$4:$D$503,(_calc!$E$859-500)))))</f>
        <v/>
      </c>
      <c r="B857" s="54">
        <f>IF(_calc!$E$859="","",IF(_calc!$E$859&lt;=500,IF(ISNUMBER(INDEX('Dealer pipeline'!$M$4:$M$503,_calc!$E$859)),TEXT(INDEX('Dealer pipeline'!$M$4:$M$503,_calc!$E$859),"yyyy-mm-dd"),""),IF(ISNUMBER(INDEX('My equipment'!$M$4:$M$503,(_calc!$E$859-500))),TEXT(INDEX('My equipment'!$M$4:$M$503,(_calc!$E$859-500)),"yyyy-mm-dd"),"")))</f>
        <v/>
      </c>
      <c r="C857" s="54">
        <f>IF(_calc!$E$859="","",IF(_calc!$E$859&lt;=500,"Warranty","Warranty"))</f>
        <v/>
      </c>
      <c r="D857" s="54">
        <f>IF(_calc!$E$859="","",IF(_calc!$E$859&lt;=500,IF(ISNUMBER(INDEX('Dealer pipeline'!$H$4:$H$503,_calc!$E$859)),TEXT(INDEX('Dealer pipeline'!$H$4:$H$503,_calc!$E$859),"yyyy-mm-dd"),""),IF(ISNUMBER(INDEX('My equipment'!$H$4:$H$503,(_calc!$E$859-500))),TEXT(INDEX('My equipment'!$H$4:$H$503,(_calc!$E$859-500)),"yyyy-mm-dd"),"")))</f>
        <v/>
      </c>
      <c r="F857" s="54">
        <f>IF(_calc!$E$859="","",IF(_calc!$E$859&lt;=500,TRIM(IF(LEN(IF(LEN(INDEX('Dealer pipeline'!$A$4:$A$503,_calc!$E$859))=0,"",INDEX('Dealer pipeline'!$A$4:$A$503,_calc!$E$859)))=0,"","Customer: "&amp;IF(LEN(INDEX('Dealer pipeline'!$A$4:$A$503,_calc!$E$859))=0,"",INDEX('Dealer pipeline'!$A$4:$A$503,_calc!$E$859))&amp;". ")&amp;IF(LEN(IF(LEN(INDEX('Dealer pipeline'!$B$4:$B$503,_calc!$E$859))=0,"",INDEX('Dealer pipeline'!$B$4:$B$503,_calc!$E$859)))=0,"","Contact: "&amp;IF(LEN(INDEX('Dealer pipeline'!$B$4:$B$503,_calc!$E$859))=0,"",INDEX('Dealer pipeline'!$B$4:$B$503,_calc!$E$859))&amp;". ")&amp;IF(LEN(IF(LEN(INDEX('Dealer pipeline'!$D$4:$D$503,_calc!$E$859))=0,"",INDEX('Dealer pipeline'!$D$4:$D$503,_calc!$E$859)))=0,"","Serial: "&amp;IF(LEN(INDEX('Dealer pipeline'!$D$4:$D$503,_calc!$E$859))=0,"",INDEX('Dealer pipeline'!$D$4:$D$503,_calc!$E$859))&amp;". ")&amp;IF(LEN(IF(ISNUMBER(INDEX('Dealer pipeline'!$J$4:$J$503,_calc!$E$859)),TEXT(INDEX('Dealer pipeline'!$J$4:$J$503,_calc!$E$859),"yyyy-mm-dd"),""))=0,"","Parts end: "&amp;IF(ISNUMBER(INDEX('Dealer pipeline'!$J$4:$J$503,_calc!$E$859)),TEXT(INDEX('Dealer pipeline'!$J$4:$J$503,_calc!$E$859),"yyyy-mm-dd"),"")&amp;". ")&amp;IF(LEN(IF(ISNUMBER(INDEX('Dealer pipeline'!$L$4:$L$503,_calc!$E$859)),TEXT(INDEX('Dealer pipeline'!$L$4:$L$503,_calc!$E$859),"yyyy-mm-dd"),""))=0,"","Labor end: "&amp;IF(ISNUMBER(INDEX('Dealer pipeline'!$L$4:$L$503,_calc!$E$859)),TEXT(INDEX('Dealer pipeline'!$L$4:$L$503,_calc!$E$859),"yyyy-mm-dd"),"")&amp;". ")&amp;IF(LEN(IF(LEN(INDEX('Dealer pipeline'!$Q$4:$Q$503,_calc!$E$859))=0,"",INDEX('Dealer pipeline'!$Q$4:$Q$503,_calc!$E$859)))=0,"","Status: "&amp;IF(LEN(INDEX('Dealer pipeline'!$Q$4:$Q$503,_calc!$E$859))=0,"",INDEX('Dealer pipeline'!$Q$4:$Q$503,_calc!$E$859))&amp;". ")&amp;IF(LEN(IF(LEN(INDEX('Dealer pipeline'!$P$4:$P$503,_calc!$E$859))=0,"",INDEX('Dealer pipeline'!$P$4:$P$503,_calc!$E$859)))=0,"","Last touch: "&amp;IF(LEN(INDEX('Dealer pipeline'!$P$4:$P$503,_calc!$E$859))=0,"",INDEX('Dealer pipeline'!$P$4:$P$503,_calc!$E$859))&amp;". ")&amp;IF(LEN(IF(LEN(INDEX('Dealer pipeline'!$R$4:$R$503,_calc!$E$859))=0,"",INDEX('Dealer pipeline'!$R$4:$R$503,_calc!$E$859)))=0,"","Owner: "&amp;IF(LEN(INDEX('Dealer pipeline'!$R$4:$R$503,_calc!$E$859))=0,"",INDEX('Dealer pipeline'!$R$4:$R$503,_calc!$E$859))&amp;". ")&amp;IF(LEN(IF(LEN(INDEX('Dealer pipeline'!$S$4:$S$503,_calc!$E$859))=0,"",INDEX('Dealer pipeline'!$S$4:$S$503,_calc!$E$859)))=0,"","Backup: "&amp;IF(LEN(INDEX('Dealer pipeline'!$S$4:$S$503,_calc!$E$859))=0,"",INDEX('Dealer pipeline'!$S$4:$S$503,_calc!$E$859))&amp;". ")&amp;IF(LEN(IF(LEN(INDEX('Dealer pipeline'!$T$4:$T$503,_calc!$E$859))=0,"",INDEX('Dealer pipeline'!$T$4:$T$503,_calc!$E$859)))=0,"",IF(LEN(INDEX('Dealer pipeline'!$T$4:$T$503,_calc!$E$859))=0,"",INDEX('Dealer pipeline'!$T$4:$T$503,_calc!$E$859)))),TRIM(IF(LEN(IF(LEN(INDEX('My equipment'!$C$4:$C$503,(_calc!$E$859-500)))=0,"",INDEX('My equipment'!$C$4:$C$503,(_calc!$E$859-500))))=0,"","Model: "&amp;IF(LEN(INDEX('My equipment'!$C$4:$C$503,(_calc!$E$859-500)))=0,"",INDEX('My equipment'!$C$4:$C$503,(_calc!$E$859-500)))&amp;". ")&amp;IF(LEN(IF(LEN(INDEX('My equipment'!$D$4:$D$503,(_calc!$E$859-500)))=0,"",INDEX('My equipment'!$D$4:$D$503,(_calc!$E$859-500))))=0,"","Serial: "&amp;IF(LEN(INDEX('My equipment'!$D$4:$D$503,(_calc!$E$859-500)))=0,"",INDEX('My equipment'!$D$4:$D$503,(_calc!$E$859-500)))&amp;". ")&amp;IF(LEN(IF(ISNUMBER(INDEX('My equipment'!$J$4:$J$503,(_calc!$E$859-500))),TEXT(INDEX('My equipment'!$J$4:$J$503,(_calc!$E$859-500)),"yyyy-mm-dd"),""))=0,"","Parts end: "&amp;IF(ISNUMBER(INDEX('My equipment'!$J$4:$J$503,(_calc!$E$859-500))),TEXT(INDEX('My equipment'!$J$4:$J$503,(_calc!$E$859-500)),"yyyy-mm-dd"),"")&amp;". ")&amp;IF(LEN(IF(ISNUMBER(INDEX('My equipment'!$L$4:$L$503,(_calc!$E$859-500))),TEXT(INDEX('My equipment'!$L$4:$L$503,(_calc!$E$859-500)),"yyyy-mm-dd"),""))=0,"","Labor end: "&amp;IF(ISNUMBER(INDEX('My equipment'!$L$4:$L$503,(_calc!$E$859-500))),TEXT(INDEX('My equipment'!$L$4:$L$503,(_calc!$E$859-500)),"yyyy-mm-dd"),"")&amp;". ")&amp;IF(LEN(IF(ISNUMBER(INDEX('My equipment'!$P$4:$P$503,(_calc!$E$859-500))),TEXT(INDEX('My equipment'!$P$4:$P$503,(_calc!$E$859-500)),"yyyy-mm-dd"),""))=0,"","Check by: "&amp;IF(ISNUMBER(INDEX('My equipment'!$P$4:$P$503,(_calc!$E$859-500))),TEXT(INDEX('My equipment'!$P$4:$P$503,(_calc!$E$859-500)),"yyyy-mm-dd"),"")&amp;". ")&amp;IF(LEN(IF(LEN(INDEX('My equipment'!$Q$4:$Q$503,(_calc!$E$859-500)))=0,"",INDEX('My equipment'!$Q$4:$Q$503,(_calc!$E$859-500))))=0,"","Claim status: "&amp;IF(LEN(INDEX('My equipment'!$Q$4:$Q$503,(_calc!$E$859-500)))=0,"",INDEX('My equipment'!$Q$4:$Q$503,(_calc!$E$859-500)))&amp;". ")&amp;IF(LEN(IF(LEN(INDEX('My equipment'!$R$4:$R$503,(_calc!$E$859-500)))=0,"",INDEX('My equipment'!$R$4:$R$503,(_calc!$E$859-500))))=0,"","Claims contact: "&amp;IF(LEN(INDEX('My equipment'!$R$4:$R$503,(_calc!$E$859-500)))=0,"",INDEX('My equipment'!$R$4:$R$503,(_calc!$E$859-500)))&amp;". ")&amp;IF(LEN(IF(LEN(INDEX('My equipment'!$S$4:$S$503,(_calc!$E$859-500)))=0,"",INDEX('My equipment'!$S$4:$S$503,(_calc!$E$859-500))))=0,"","Claims email: "&amp;IF(LEN(INDEX('My equipment'!$S$4:$S$503,(_calc!$E$859-500)))=0,"",INDEX('My equipment'!$S$4:$S$503,(_calc!$E$859-500)))&amp;". ")&amp;IF(LEN(IF(LEN(INDEX('My equipment'!$U$4:$U$503,(_calc!$E$859-500)))=0,"",INDEX('My equipment'!$U$4:$U$503,(_calc!$E$859-500))))=0,"","Registered: "&amp;IF(LEN(INDEX('My equipment'!$U$4:$U$503,(_calc!$E$859-500)))=0,"",INDEX('My equipment'!$U$4:$U$503,(_calc!$E$859-500)))&amp;". ")&amp;IF(LEN(IF(LEN(INDEX('My equipment'!$V$4:$V$503,(_calc!$E$859-500)))=0,"",INDEX('My equipment'!$V$4:$V$503,(_calc!$E$859-500))))=0,"","Proof on file: "&amp;IF(LEN(INDEX('My equipment'!$V$4:$V$503,(_calc!$E$859-500)))=0,"",INDEX('My equipment'!$V$4:$V$503,(_calc!$E$859-500)))&amp;". ")&amp;IF(LEN(IF(LEN(INDEX('My equipment'!$W$4:$W$503,(_calc!$E$859-500)))=0,"",INDEX('My equipment'!$W$4:$W$503,(_calc!$E$859-500))))=0,"","Claim ref: "&amp;IF(LEN(INDEX('My equipment'!$W$4:$W$503,(_calc!$E$859-500)))=0,"",INDEX('My equipment'!$W$4:$W$503,(_calc!$E$859-500)))&amp;". ")&amp;IF(LEN(IF(LEN(INDEX('My equipment'!$Y$4:$Y$503,(_calc!$E$859-500)))=0,"",INDEX('My equipment'!$Y$4:$Y$503,(_calc!$E$859-500))))=0,"",IF(LEN(INDEX('My equipment'!$Y$4:$Y$503,(_calc!$E$859-500)))=0,"",INDEX('My equipment'!$Y$4:$Y$503,(_calc!$E$859-500)))))))</f>
        <v/>
      </c>
      <c r="G857" s="54">
        <f>IF(_calc!$E$859="","",IF(_calc!$E$859&lt;=500,"",IF(LEN(INDEX('My equipment'!$X$4:$X$503,(_calc!$E$859-500)))=0,"",INDEX('My equipment'!$X$4:$X$503,(_calc!$E$859-500)))))</f>
        <v/>
      </c>
      <c r="K857" s="54">
        <f>IF(_calc!$E$859="","",IF(_calc!$E$859&lt;=500,"",IF(LEN(INDEX('My equipment'!$T$4:$T$503,(_calc!$E$859-500)))=0,"",INDEX('My equipment'!$T$4:$T$503,(_calc!$E$859-500)))))</f>
        <v/>
      </c>
    </row>
    <row r="858">
      <c r="A858" s="54">
        <f>IF(_calc!$E$860="","",IF(_calc!$E$860&lt;=500,"Warranty – "&amp;IF(LEN(INDEX('Dealer pipeline'!$C$4:$C$503,_calc!$E$860))=0,"",INDEX('Dealer pipeline'!$C$4:$C$503,_calc!$E$860))&amp;" – "&amp;IF(LEN(INDEX('Dealer pipeline'!$D$4:$D$503,_calc!$E$860))=0,"",INDEX('Dealer pipeline'!$D$4:$D$503,_calc!$E$860))&amp;" – "&amp;IF(LEN(INDEX('Dealer pipeline'!$A$4:$A$503,_calc!$E$860))=0,"",INDEX('Dealer pipeline'!$A$4:$A$503,_calc!$E$860)),"Warranty – "&amp;IF(LEN(INDEX('My equipment'!$A$4:$A$503,(_calc!$E$860-500)))=0,"",INDEX('My equipment'!$A$4:$A$503,(_calc!$E$860-500)))&amp;" – "&amp;IF(LEN(INDEX('My equipment'!$D$4:$D$503,(_calc!$E$860-500)))=0,"",INDEX('My equipment'!$D$4:$D$503,(_calc!$E$860-500)))))</f>
        <v/>
      </c>
      <c r="B858" s="54">
        <f>IF(_calc!$E$860="","",IF(_calc!$E$860&lt;=500,IF(ISNUMBER(INDEX('Dealer pipeline'!$M$4:$M$503,_calc!$E$860)),TEXT(INDEX('Dealer pipeline'!$M$4:$M$503,_calc!$E$860),"yyyy-mm-dd"),""),IF(ISNUMBER(INDEX('My equipment'!$M$4:$M$503,(_calc!$E$860-500))),TEXT(INDEX('My equipment'!$M$4:$M$503,(_calc!$E$860-500)),"yyyy-mm-dd"),"")))</f>
        <v/>
      </c>
      <c r="C858" s="54">
        <f>IF(_calc!$E$860="","",IF(_calc!$E$860&lt;=500,"Warranty","Warranty"))</f>
        <v/>
      </c>
      <c r="D858" s="54">
        <f>IF(_calc!$E$860="","",IF(_calc!$E$860&lt;=500,IF(ISNUMBER(INDEX('Dealer pipeline'!$H$4:$H$503,_calc!$E$860)),TEXT(INDEX('Dealer pipeline'!$H$4:$H$503,_calc!$E$860),"yyyy-mm-dd"),""),IF(ISNUMBER(INDEX('My equipment'!$H$4:$H$503,(_calc!$E$860-500))),TEXT(INDEX('My equipment'!$H$4:$H$503,(_calc!$E$860-500)),"yyyy-mm-dd"),"")))</f>
        <v/>
      </c>
      <c r="F858" s="54">
        <f>IF(_calc!$E$860="","",IF(_calc!$E$860&lt;=500,TRIM(IF(LEN(IF(LEN(INDEX('Dealer pipeline'!$A$4:$A$503,_calc!$E$860))=0,"",INDEX('Dealer pipeline'!$A$4:$A$503,_calc!$E$860)))=0,"","Customer: "&amp;IF(LEN(INDEX('Dealer pipeline'!$A$4:$A$503,_calc!$E$860))=0,"",INDEX('Dealer pipeline'!$A$4:$A$503,_calc!$E$860))&amp;". ")&amp;IF(LEN(IF(LEN(INDEX('Dealer pipeline'!$B$4:$B$503,_calc!$E$860))=0,"",INDEX('Dealer pipeline'!$B$4:$B$503,_calc!$E$860)))=0,"","Contact: "&amp;IF(LEN(INDEX('Dealer pipeline'!$B$4:$B$503,_calc!$E$860))=0,"",INDEX('Dealer pipeline'!$B$4:$B$503,_calc!$E$860))&amp;". ")&amp;IF(LEN(IF(LEN(INDEX('Dealer pipeline'!$D$4:$D$503,_calc!$E$860))=0,"",INDEX('Dealer pipeline'!$D$4:$D$503,_calc!$E$860)))=0,"","Serial: "&amp;IF(LEN(INDEX('Dealer pipeline'!$D$4:$D$503,_calc!$E$860))=0,"",INDEX('Dealer pipeline'!$D$4:$D$503,_calc!$E$860))&amp;". ")&amp;IF(LEN(IF(ISNUMBER(INDEX('Dealer pipeline'!$J$4:$J$503,_calc!$E$860)),TEXT(INDEX('Dealer pipeline'!$J$4:$J$503,_calc!$E$860),"yyyy-mm-dd"),""))=0,"","Parts end: "&amp;IF(ISNUMBER(INDEX('Dealer pipeline'!$J$4:$J$503,_calc!$E$860)),TEXT(INDEX('Dealer pipeline'!$J$4:$J$503,_calc!$E$860),"yyyy-mm-dd"),"")&amp;". ")&amp;IF(LEN(IF(ISNUMBER(INDEX('Dealer pipeline'!$L$4:$L$503,_calc!$E$860)),TEXT(INDEX('Dealer pipeline'!$L$4:$L$503,_calc!$E$860),"yyyy-mm-dd"),""))=0,"","Labor end: "&amp;IF(ISNUMBER(INDEX('Dealer pipeline'!$L$4:$L$503,_calc!$E$860)),TEXT(INDEX('Dealer pipeline'!$L$4:$L$503,_calc!$E$860),"yyyy-mm-dd"),"")&amp;". ")&amp;IF(LEN(IF(LEN(INDEX('Dealer pipeline'!$Q$4:$Q$503,_calc!$E$860))=0,"",INDEX('Dealer pipeline'!$Q$4:$Q$503,_calc!$E$860)))=0,"","Status: "&amp;IF(LEN(INDEX('Dealer pipeline'!$Q$4:$Q$503,_calc!$E$860))=0,"",INDEX('Dealer pipeline'!$Q$4:$Q$503,_calc!$E$860))&amp;". ")&amp;IF(LEN(IF(LEN(INDEX('Dealer pipeline'!$P$4:$P$503,_calc!$E$860))=0,"",INDEX('Dealer pipeline'!$P$4:$P$503,_calc!$E$860)))=0,"","Last touch: "&amp;IF(LEN(INDEX('Dealer pipeline'!$P$4:$P$503,_calc!$E$860))=0,"",INDEX('Dealer pipeline'!$P$4:$P$503,_calc!$E$860))&amp;". ")&amp;IF(LEN(IF(LEN(INDEX('Dealer pipeline'!$R$4:$R$503,_calc!$E$860))=0,"",INDEX('Dealer pipeline'!$R$4:$R$503,_calc!$E$860)))=0,"","Owner: "&amp;IF(LEN(INDEX('Dealer pipeline'!$R$4:$R$503,_calc!$E$860))=0,"",INDEX('Dealer pipeline'!$R$4:$R$503,_calc!$E$860))&amp;". ")&amp;IF(LEN(IF(LEN(INDEX('Dealer pipeline'!$S$4:$S$503,_calc!$E$860))=0,"",INDEX('Dealer pipeline'!$S$4:$S$503,_calc!$E$860)))=0,"","Backup: "&amp;IF(LEN(INDEX('Dealer pipeline'!$S$4:$S$503,_calc!$E$860))=0,"",INDEX('Dealer pipeline'!$S$4:$S$503,_calc!$E$860))&amp;". ")&amp;IF(LEN(IF(LEN(INDEX('Dealer pipeline'!$T$4:$T$503,_calc!$E$860))=0,"",INDEX('Dealer pipeline'!$T$4:$T$503,_calc!$E$860)))=0,"",IF(LEN(INDEX('Dealer pipeline'!$T$4:$T$503,_calc!$E$860))=0,"",INDEX('Dealer pipeline'!$T$4:$T$503,_calc!$E$860)))),TRIM(IF(LEN(IF(LEN(INDEX('My equipment'!$C$4:$C$503,(_calc!$E$860-500)))=0,"",INDEX('My equipment'!$C$4:$C$503,(_calc!$E$860-500))))=0,"","Model: "&amp;IF(LEN(INDEX('My equipment'!$C$4:$C$503,(_calc!$E$860-500)))=0,"",INDEX('My equipment'!$C$4:$C$503,(_calc!$E$860-500)))&amp;". ")&amp;IF(LEN(IF(LEN(INDEX('My equipment'!$D$4:$D$503,(_calc!$E$860-500)))=0,"",INDEX('My equipment'!$D$4:$D$503,(_calc!$E$860-500))))=0,"","Serial: "&amp;IF(LEN(INDEX('My equipment'!$D$4:$D$503,(_calc!$E$860-500)))=0,"",INDEX('My equipment'!$D$4:$D$503,(_calc!$E$860-500)))&amp;". ")&amp;IF(LEN(IF(ISNUMBER(INDEX('My equipment'!$J$4:$J$503,(_calc!$E$860-500))),TEXT(INDEX('My equipment'!$J$4:$J$503,(_calc!$E$860-500)),"yyyy-mm-dd"),""))=0,"","Parts end: "&amp;IF(ISNUMBER(INDEX('My equipment'!$J$4:$J$503,(_calc!$E$860-500))),TEXT(INDEX('My equipment'!$J$4:$J$503,(_calc!$E$860-500)),"yyyy-mm-dd"),"")&amp;". ")&amp;IF(LEN(IF(ISNUMBER(INDEX('My equipment'!$L$4:$L$503,(_calc!$E$860-500))),TEXT(INDEX('My equipment'!$L$4:$L$503,(_calc!$E$860-500)),"yyyy-mm-dd"),""))=0,"","Labor end: "&amp;IF(ISNUMBER(INDEX('My equipment'!$L$4:$L$503,(_calc!$E$860-500))),TEXT(INDEX('My equipment'!$L$4:$L$503,(_calc!$E$860-500)),"yyyy-mm-dd"),"")&amp;". ")&amp;IF(LEN(IF(ISNUMBER(INDEX('My equipment'!$P$4:$P$503,(_calc!$E$860-500))),TEXT(INDEX('My equipment'!$P$4:$P$503,(_calc!$E$860-500)),"yyyy-mm-dd"),""))=0,"","Check by: "&amp;IF(ISNUMBER(INDEX('My equipment'!$P$4:$P$503,(_calc!$E$860-500))),TEXT(INDEX('My equipment'!$P$4:$P$503,(_calc!$E$860-500)),"yyyy-mm-dd"),"")&amp;". ")&amp;IF(LEN(IF(LEN(INDEX('My equipment'!$Q$4:$Q$503,(_calc!$E$860-500)))=0,"",INDEX('My equipment'!$Q$4:$Q$503,(_calc!$E$860-500))))=0,"","Claim status: "&amp;IF(LEN(INDEX('My equipment'!$Q$4:$Q$503,(_calc!$E$860-500)))=0,"",INDEX('My equipment'!$Q$4:$Q$503,(_calc!$E$860-500)))&amp;". ")&amp;IF(LEN(IF(LEN(INDEX('My equipment'!$R$4:$R$503,(_calc!$E$860-500)))=0,"",INDEX('My equipment'!$R$4:$R$503,(_calc!$E$860-500))))=0,"","Claims contact: "&amp;IF(LEN(INDEX('My equipment'!$R$4:$R$503,(_calc!$E$860-500)))=0,"",INDEX('My equipment'!$R$4:$R$503,(_calc!$E$860-500)))&amp;". ")&amp;IF(LEN(IF(LEN(INDEX('My equipment'!$S$4:$S$503,(_calc!$E$860-500)))=0,"",INDEX('My equipment'!$S$4:$S$503,(_calc!$E$860-500))))=0,"","Claims email: "&amp;IF(LEN(INDEX('My equipment'!$S$4:$S$503,(_calc!$E$860-500)))=0,"",INDEX('My equipment'!$S$4:$S$503,(_calc!$E$860-500)))&amp;". ")&amp;IF(LEN(IF(LEN(INDEX('My equipment'!$U$4:$U$503,(_calc!$E$860-500)))=0,"",INDEX('My equipment'!$U$4:$U$503,(_calc!$E$860-500))))=0,"","Registered: "&amp;IF(LEN(INDEX('My equipment'!$U$4:$U$503,(_calc!$E$860-500)))=0,"",INDEX('My equipment'!$U$4:$U$503,(_calc!$E$860-500)))&amp;". ")&amp;IF(LEN(IF(LEN(INDEX('My equipment'!$V$4:$V$503,(_calc!$E$860-500)))=0,"",INDEX('My equipment'!$V$4:$V$503,(_calc!$E$860-500))))=0,"","Proof on file: "&amp;IF(LEN(INDEX('My equipment'!$V$4:$V$503,(_calc!$E$860-500)))=0,"",INDEX('My equipment'!$V$4:$V$503,(_calc!$E$860-500)))&amp;". ")&amp;IF(LEN(IF(LEN(INDEX('My equipment'!$W$4:$W$503,(_calc!$E$860-500)))=0,"",INDEX('My equipment'!$W$4:$W$503,(_calc!$E$860-500))))=0,"","Claim ref: "&amp;IF(LEN(INDEX('My equipment'!$W$4:$W$503,(_calc!$E$860-500)))=0,"",INDEX('My equipment'!$W$4:$W$503,(_calc!$E$860-500)))&amp;". ")&amp;IF(LEN(IF(LEN(INDEX('My equipment'!$Y$4:$Y$503,(_calc!$E$860-500)))=0,"",INDEX('My equipment'!$Y$4:$Y$503,(_calc!$E$860-500))))=0,"",IF(LEN(INDEX('My equipment'!$Y$4:$Y$503,(_calc!$E$860-500)))=0,"",INDEX('My equipment'!$Y$4:$Y$503,(_calc!$E$860-500)))))))</f>
        <v/>
      </c>
      <c r="G858" s="54">
        <f>IF(_calc!$E$860="","",IF(_calc!$E$860&lt;=500,"",IF(LEN(INDEX('My equipment'!$X$4:$X$503,(_calc!$E$860-500)))=0,"",INDEX('My equipment'!$X$4:$X$503,(_calc!$E$860-500)))))</f>
        <v/>
      </c>
      <c r="K858" s="54">
        <f>IF(_calc!$E$860="","",IF(_calc!$E$860&lt;=500,"",IF(LEN(INDEX('My equipment'!$T$4:$T$503,(_calc!$E$860-500)))=0,"",INDEX('My equipment'!$T$4:$T$503,(_calc!$E$860-500)))))</f>
        <v/>
      </c>
    </row>
    <row r="859">
      <c r="A859" s="54">
        <f>IF(_calc!$E$861="","",IF(_calc!$E$861&lt;=500,"Warranty – "&amp;IF(LEN(INDEX('Dealer pipeline'!$C$4:$C$503,_calc!$E$861))=0,"",INDEX('Dealer pipeline'!$C$4:$C$503,_calc!$E$861))&amp;" – "&amp;IF(LEN(INDEX('Dealer pipeline'!$D$4:$D$503,_calc!$E$861))=0,"",INDEX('Dealer pipeline'!$D$4:$D$503,_calc!$E$861))&amp;" – "&amp;IF(LEN(INDEX('Dealer pipeline'!$A$4:$A$503,_calc!$E$861))=0,"",INDEX('Dealer pipeline'!$A$4:$A$503,_calc!$E$861)),"Warranty – "&amp;IF(LEN(INDEX('My equipment'!$A$4:$A$503,(_calc!$E$861-500)))=0,"",INDEX('My equipment'!$A$4:$A$503,(_calc!$E$861-500)))&amp;" – "&amp;IF(LEN(INDEX('My equipment'!$D$4:$D$503,(_calc!$E$861-500)))=0,"",INDEX('My equipment'!$D$4:$D$503,(_calc!$E$861-500)))))</f>
        <v/>
      </c>
      <c r="B859" s="54">
        <f>IF(_calc!$E$861="","",IF(_calc!$E$861&lt;=500,IF(ISNUMBER(INDEX('Dealer pipeline'!$M$4:$M$503,_calc!$E$861)),TEXT(INDEX('Dealer pipeline'!$M$4:$M$503,_calc!$E$861),"yyyy-mm-dd"),""),IF(ISNUMBER(INDEX('My equipment'!$M$4:$M$503,(_calc!$E$861-500))),TEXT(INDEX('My equipment'!$M$4:$M$503,(_calc!$E$861-500)),"yyyy-mm-dd"),"")))</f>
        <v/>
      </c>
      <c r="C859" s="54">
        <f>IF(_calc!$E$861="","",IF(_calc!$E$861&lt;=500,"Warranty","Warranty"))</f>
        <v/>
      </c>
      <c r="D859" s="54">
        <f>IF(_calc!$E$861="","",IF(_calc!$E$861&lt;=500,IF(ISNUMBER(INDEX('Dealer pipeline'!$H$4:$H$503,_calc!$E$861)),TEXT(INDEX('Dealer pipeline'!$H$4:$H$503,_calc!$E$861),"yyyy-mm-dd"),""),IF(ISNUMBER(INDEX('My equipment'!$H$4:$H$503,(_calc!$E$861-500))),TEXT(INDEX('My equipment'!$H$4:$H$503,(_calc!$E$861-500)),"yyyy-mm-dd"),"")))</f>
        <v/>
      </c>
      <c r="F859" s="54">
        <f>IF(_calc!$E$861="","",IF(_calc!$E$861&lt;=500,TRIM(IF(LEN(IF(LEN(INDEX('Dealer pipeline'!$A$4:$A$503,_calc!$E$861))=0,"",INDEX('Dealer pipeline'!$A$4:$A$503,_calc!$E$861)))=0,"","Customer: "&amp;IF(LEN(INDEX('Dealer pipeline'!$A$4:$A$503,_calc!$E$861))=0,"",INDEX('Dealer pipeline'!$A$4:$A$503,_calc!$E$861))&amp;". ")&amp;IF(LEN(IF(LEN(INDEX('Dealer pipeline'!$B$4:$B$503,_calc!$E$861))=0,"",INDEX('Dealer pipeline'!$B$4:$B$503,_calc!$E$861)))=0,"","Contact: "&amp;IF(LEN(INDEX('Dealer pipeline'!$B$4:$B$503,_calc!$E$861))=0,"",INDEX('Dealer pipeline'!$B$4:$B$503,_calc!$E$861))&amp;". ")&amp;IF(LEN(IF(LEN(INDEX('Dealer pipeline'!$D$4:$D$503,_calc!$E$861))=0,"",INDEX('Dealer pipeline'!$D$4:$D$503,_calc!$E$861)))=0,"","Serial: "&amp;IF(LEN(INDEX('Dealer pipeline'!$D$4:$D$503,_calc!$E$861))=0,"",INDEX('Dealer pipeline'!$D$4:$D$503,_calc!$E$861))&amp;". ")&amp;IF(LEN(IF(ISNUMBER(INDEX('Dealer pipeline'!$J$4:$J$503,_calc!$E$861)),TEXT(INDEX('Dealer pipeline'!$J$4:$J$503,_calc!$E$861),"yyyy-mm-dd"),""))=0,"","Parts end: "&amp;IF(ISNUMBER(INDEX('Dealer pipeline'!$J$4:$J$503,_calc!$E$861)),TEXT(INDEX('Dealer pipeline'!$J$4:$J$503,_calc!$E$861),"yyyy-mm-dd"),"")&amp;". ")&amp;IF(LEN(IF(ISNUMBER(INDEX('Dealer pipeline'!$L$4:$L$503,_calc!$E$861)),TEXT(INDEX('Dealer pipeline'!$L$4:$L$503,_calc!$E$861),"yyyy-mm-dd"),""))=0,"","Labor end: "&amp;IF(ISNUMBER(INDEX('Dealer pipeline'!$L$4:$L$503,_calc!$E$861)),TEXT(INDEX('Dealer pipeline'!$L$4:$L$503,_calc!$E$861),"yyyy-mm-dd"),"")&amp;". ")&amp;IF(LEN(IF(LEN(INDEX('Dealer pipeline'!$Q$4:$Q$503,_calc!$E$861))=0,"",INDEX('Dealer pipeline'!$Q$4:$Q$503,_calc!$E$861)))=0,"","Status: "&amp;IF(LEN(INDEX('Dealer pipeline'!$Q$4:$Q$503,_calc!$E$861))=0,"",INDEX('Dealer pipeline'!$Q$4:$Q$503,_calc!$E$861))&amp;". ")&amp;IF(LEN(IF(LEN(INDEX('Dealer pipeline'!$P$4:$P$503,_calc!$E$861))=0,"",INDEX('Dealer pipeline'!$P$4:$P$503,_calc!$E$861)))=0,"","Last touch: "&amp;IF(LEN(INDEX('Dealer pipeline'!$P$4:$P$503,_calc!$E$861))=0,"",INDEX('Dealer pipeline'!$P$4:$P$503,_calc!$E$861))&amp;". ")&amp;IF(LEN(IF(LEN(INDEX('Dealer pipeline'!$R$4:$R$503,_calc!$E$861))=0,"",INDEX('Dealer pipeline'!$R$4:$R$503,_calc!$E$861)))=0,"","Owner: "&amp;IF(LEN(INDEX('Dealer pipeline'!$R$4:$R$503,_calc!$E$861))=0,"",INDEX('Dealer pipeline'!$R$4:$R$503,_calc!$E$861))&amp;". ")&amp;IF(LEN(IF(LEN(INDEX('Dealer pipeline'!$S$4:$S$503,_calc!$E$861))=0,"",INDEX('Dealer pipeline'!$S$4:$S$503,_calc!$E$861)))=0,"","Backup: "&amp;IF(LEN(INDEX('Dealer pipeline'!$S$4:$S$503,_calc!$E$861))=0,"",INDEX('Dealer pipeline'!$S$4:$S$503,_calc!$E$861))&amp;". ")&amp;IF(LEN(IF(LEN(INDEX('Dealer pipeline'!$T$4:$T$503,_calc!$E$861))=0,"",INDEX('Dealer pipeline'!$T$4:$T$503,_calc!$E$861)))=0,"",IF(LEN(INDEX('Dealer pipeline'!$T$4:$T$503,_calc!$E$861))=0,"",INDEX('Dealer pipeline'!$T$4:$T$503,_calc!$E$861)))),TRIM(IF(LEN(IF(LEN(INDEX('My equipment'!$C$4:$C$503,(_calc!$E$861-500)))=0,"",INDEX('My equipment'!$C$4:$C$503,(_calc!$E$861-500))))=0,"","Model: "&amp;IF(LEN(INDEX('My equipment'!$C$4:$C$503,(_calc!$E$861-500)))=0,"",INDEX('My equipment'!$C$4:$C$503,(_calc!$E$861-500)))&amp;". ")&amp;IF(LEN(IF(LEN(INDEX('My equipment'!$D$4:$D$503,(_calc!$E$861-500)))=0,"",INDEX('My equipment'!$D$4:$D$503,(_calc!$E$861-500))))=0,"","Serial: "&amp;IF(LEN(INDEX('My equipment'!$D$4:$D$503,(_calc!$E$861-500)))=0,"",INDEX('My equipment'!$D$4:$D$503,(_calc!$E$861-500)))&amp;". ")&amp;IF(LEN(IF(ISNUMBER(INDEX('My equipment'!$J$4:$J$503,(_calc!$E$861-500))),TEXT(INDEX('My equipment'!$J$4:$J$503,(_calc!$E$861-500)),"yyyy-mm-dd"),""))=0,"","Parts end: "&amp;IF(ISNUMBER(INDEX('My equipment'!$J$4:$J$503,(_calc!$E$861-500))),TEXT(INDEX('My equipment'!$J$4:$J$503,(_calc!$E$861-500)),"yyyy-mm-dd"),"")&amp;". ")&amp;IF(LEN(IF(ISNUMBER(INDEX('My equipment'!$L$4:$L$503,(_calc!$E$861-500))),TEXT(INDEX('My equipment'!$L$4:$L$503,(_calc!$E$861-500)),"yyyy-mm-dd"),""))=0,"","Labor end: "&amp;IF(ISNUMBER(INDEX('My equipment'!$L$4:$L$503,(_calc!$E$861-500))),TEXT(INDEX('My equipment'!$L$4:$L$503,(_calc!$E$861-500)),"yyyy-mm-dd"),"")&amp;". ")&amp;IF(LEN(IF(ISNUMBER(INDEX('My equipment'!$P$4:$P$503,(_calc!$E$861-500))),TEXT(INDEX('My equipment'!$P$4:$P$503,(_calc!$E$861-500)),"yyyy-mm-dd"),""))=0,"","Check by: "&amp;IF(ISNUMBER(INDEX('My equipment'!$P$4:$P$503,(_calc!$E$861-500))),TEXT(INDEX('My equipment'!$P$4:$P$503,(_calc!$E$861-500)),"yyyy-mm-dd"),"")&amp;". ")&amp;IF(LEN(IF(LEN(INDEX('My equipment'!$Q$4:$Q$503,(_calc!$E$861-500)))=0,"",INDEX('My equipment'!$Q$4:$Q$503,(_calc!$E$861-500))))=0,"","Claim status: "&amp;IF(LEN(INDEX('My equipment'!$Q$4:$Q$503,(_calc!$E$861-500)))=0,"",INDEX('My equipment'!$Q$4:$Q$503,(_calc!$E$861-500)))&amp;". ")&amp;IF(LEN(IF(LEN(INDEX('My equipment'!$R$4:$R$503,(_calc!$E$861-500)))=0,"",INDEX('My equipment'!$R$4:$R$503,(_calc!$E$861-500))))=0,"","Claims contact: "&amp;IF(LEN(INDEX('My equipment'!$R$4:$R$503,(_calc!$E$861-500)))=0,"",INDEX('My equipment'!$R$4:$R$503,(_calc!$E$861-500)))&amp;". ")&amp;IF(LEN(IF(LEN(INDEX('My equipment'!$S$4:$S$503,(_calc!$E$861-500)))=0,"",INDEX('My equipment'!$S$4:$S$503,(_calc!$E$861-500))))=0,"","Claims email: "&amp;IF(LEN(INDEX('My equipment'!$S$4:$S$503,(_calc!$E$861-500)))=0,"",INDEX('My equipment'!$S$4:$S$503,(_calc!$E$861-500)))&amp;". ")&amp;IF(LEN(IF(LEN(INDEX('My equipment'!$U$4:$U$503,(_calc!$E$861-500)))=0,"",INDEX('My equipment'!$U$4:$U$503,(_calc!$E$861-500))))=0,"","Registered: "&amp;IF(LEN(INDEX('My equipment'!$U$4:$U$503,(_calc!$E$861-500)))=0,"",INDEX('My equipment'!$U$4:$U$503,(_calc!$E$861-500)))&amp;". ")&amp;IF(LEN(IF(LEN(INDEX('My equipment'!$V$4:$V$503,(_calc!$E$861-500)))=0,"",INDEX('My equipment'!$V$4:$V$503,(_calc!$E$861-500))))=0,"","Proof on file: "&amp;IF(LEN(INDEX('My equipment'!$V$4:$V$503,(_calc!$E$861-500)))=0,"",INDEX('My equipment'!$V$4:$V$503,(_calc!$E$861-500)))&amp;". ")&amp;IF(LEN(IF(LEN(INDEX('My equipment'!$W$4:$W$503,(_calc!$E$861-500)))=0,"",INDEX('My equipment'!$W$4:$W$503,(_calc!$E$861-500))))=0,"","Claim ref: "&amp;IF(LEN(INDEX('My equipment'!$W$4:$W$503,(_calc!$E$861-500)))=0,"",INDEX('My equipment'!$W$4:$W$503,(_calc!$E$861-500)))&amp;". ")&amp;IF(LEN(IF(LEN(INDEX('My equipment'!$Y$4:$Y$503,(_calc!$E$861-500)))=0,"",INDEX('My equipment'!$Y$4:$Y$503,(_calc!$E$861-500))))=0,"",IF(LEN(INDEX('My equipment'!$Y$4:$Y$503,(_calc!$E$861-500)))=0,"",INDEX('My equipment'!$Y$4:$Y$503,(_calc!$E$861-500)))))))</f>
        <v/>
      </c>
      <c r="G859" s="54">
        <f>IF(_calc!$E$861="","",IF(_calc!$E$861&lt;=500,"",IF(LEN(INDEX('My equipment'!$X$4:$X$503,(_calc!$E$861-500)))=0,"",INDEX('My equipment'!$X$4:$X$503,(_calc!$E$861-500)))))</f>
        <v/>
      </c>
      <c r="K859" s="54">
        <f>IF(_calc!$E$861="","",IF(_calc!$E$861&lt;=500,"",IF(LEN(INDEX('My equipment'!$T$4:$T$503,(_calc!$E$861-500)))=0,"",INDEX('My equipment'!$T$4:$T$503,(_calc!$E$861-500)))))</f>
        <v/>
      </c>
    </row>
    <row r="860">
      <c r="A860" s="54">
        <f>IF(_calc!$E$862="","",IF(_calc!$E$862&lt;=500,"Warranty – "&amp;IF(LEN(INDEX('Dealer pipeline'!$C$4:$C$503,_calc!$E$862))=0,"",INDEX('Dealer pipeline'!$C$4:$C$503,_calc!$E$862))&amp;" – "&amp;IF(LEN(INDEX('Dealer pipeline'!$D$4:$D$503,_calc!$E$862))=0,"",INDEX('Dealer pipeline'!$D$4:$D$503,_calc!$E$862))&amp;" – "&amp;IF(LEN(INDEX('Dealer pipeline'!$A$4:$A$503,_calc!$E$862))=0,"",INDEX('Dealer pipeline'!$A$4:$A$503,_calc!$E$862)),"Warranty – "&amp;IF(LEN(INDEX('My equipment'!$A$4:$A$503,(_calc!$E$862-500)))=0,"",INDEX('My equipment'!$A$4:$A$503,(_calc!$E$862-500)))&amp;" – "&amp;IF(LEN(INDEX('My equipment'!$D$4:$D$503,(_calc!$E$862-500)))=0,"",INDEX('My equipment'!$D$4:$D$503,(_calc!$E$862-500)))))</f>
        <v/>
      </c>
      <c r="B860" s="54">
        <f>IF(_calc!$E$862="","",IF(_calc!$E$862&lt;=500,IF(ISNUMBER(INDEX('Dealer pipeline'!$M$4:$M$503,_calc!$E$862)),TEXT(INDEX('Dealer pipeline'!$M$4:$M$503,_calc!$E$862),"yyyy-mm-dd"),""),IF(ISNUMBER(INDEX('My equipment'!$M$4:$M$503,(_calc!$E$862-500))),TEXT(INDEX('My equipment'!$M$4:$M$503,(_calc!$E$862-500)),"yyyy-mm-dd"),"")))</f>
        <v/>
      </c>
      <c r="C860" s="54">
        <f>IF(_calc!$E$862="","",IF(_calc!$E$862&lt;=500,"Warranty","Warranty"))</f>
        <v/>
      </c>
      <c r="D860" s="54">
        <f>IF(_calc!$E$862="","",IF(_calc!$E$862&lt;=500,IF(ISNUMBER(INDEX('Dealer pipeline'!$H$4:$H$503,_calc!$E$862)),TEXT(INDEX('Dealer pipeline'!$H$4:$H$503,_calc!$E$862),"yyyy-mm-dd"),""),IF(ISNUMBER(INDEX('My equipment'!$H$4:$H$503,(_calc!$E$862-500))),TEXT(INDEX('My equipment'!$H$4:$H$503,(_calc!$E$862-500)),"yyyy-mm-dd"),"")))</f>
        <v/>
      </c>
      <c r="F860" s="54">
        <f>IF(_calc!$E$862="","",IF(_calc!$E$862&lt;=500,TRIM(IF(LEN(IF(LEN(INDEX('Dealer pipeline'!$A$4:$A$503,_calc!$E$862))=0,"",INDEX('Dealer pipeline'!$A$4:$A$503,_calc!$E$862)))=0,"","Customer: "&amp;IF(LEN(INDEX('Dealer pipeline'!$A$4:$A$503,_calc!$E$862))=0,"",INDEX('Dealer pipeline'!$A$4:$A$503,_calc!$E$862))&amp;". ")&amp;IF(LEN(IF(LEN(INDEX('Dealer pipeline'!$B$4:$B$503,_calc!$E$862))=0,"",INDEX('Dealer pipeline'!$B$4:$B$503,_calc!$E$862)))=0,"","Contact: "&amp;IF(LEN(INDEX('Dealer pipeline'!$B$4:$B$503,_calc!$E$862))=0,"",INDEX('Dealer pipeline'!$B$4:$B$503,_calc!$E$862))&amp;". ")&amp;IF(LEN(IF(LEN(INDEX('Dealer pipeline'!$D$4:$D$503,_calc!$E$862))=0,"",INDEX('Dealer pipeline'!$D$4:$D$503,_calc!$E$862)))=0,"","Serial: "&amp;IF(LEN(INDEX('Dealer pipeline'!$D$4:$D$503,_calc!$E$862))=0,"",INDEX('Dealer pipeline'!$D$4:$D$503,_calc!$E$862))&amp;". ")&amp;IF(LEN(IF(ISNUMBER(INDEX('Dealer pipeline'!$J$4:$J$503,_calc!$E$862)),TEXT(INDEX('Dealer pipeline'!$J$4:$J$503,_calc!$E$862),"yyyy-mm-dd"),""))=0,"","Parts end: "&amp;IF(ISNUMBER(INDEX('Dealer pipeline'!$J$4:$J$503,_calc!$E$862)),TEXT(INDEX('Dealer pipeline'!$J$4:$J$503,_calc!$E$862),"yyyy-mm-dd"),"")&amp;". ")&amp;IF(LEN(IF(ISNUMBER(INDEX('Dealer pipeline'!$L$4:$L$503,_calc!$E$862)),TEXT(INDEX('Dealer pipeline'!$L$4:$L$503,_calc!$E$862),"yyyy-mm-dd"),""))=0,"","Labor end: "&amp;IF(ISNUMBER(INDEX('Dealer pipeline'!$L$4:$L$503,_calc!$E$862)),TEXT(INDEX('Dealer pipeline'!$L$4:$L$503,_calc!$E$862),"yyyy-mm-dd"),"")&amp;". ")&amp;IF(LEN(IF(LEN(INDEX('Dealer pipeline'!$Q$4:$Q$503,_calc!$E$862))=0,"",INDEX('Dealer pipeline'!$Q$4:$Q$503,_calc!$E$862)))=0,"","Status: "&amp;IF(LEN(INDEX('Dealer pipeline'!$Q$4:$Q$503,_calc!$E$862))=0,"",INDEX('Dealer pipeline'!$Q$4:$Q$503,_calc!$E$862))&amp;". ")&amp;IF(LEN(IF(LEN(INDEX('Dealer pipeline'!$P$4:$P$503,_calc!$E$862))=0,"",INDEX('Dealer pipeline'!$P$4:$P$503,_calc!$E$862)))=0,"","Last touch: "&amp;IF(LEN(INDEX('Dealer pipeline'!$P$4:$P$503,_calc!$E$862))=0,"",INDEX('Dealer pipeline'!$P$4:$P$503,_calc!$E$862))&amp;". ")&amp;IF(LEN(IF(LEN(INDEX('Dealer pipeline'!$R$4:$R$503,_calc!$E$862))=0,"",INDEX('Dealer pipeline'!$R$4:$R$503,_calc!$E$862)))=0,"","Owner: "&amp;IF(LEN(INDEX('Dealer pipeline'!$R$4:$R$503,_calc!$E$862))=0,"",INDEX('Dealer pipeline'!$R$4:$R$503,_calc!$E$862))&amp;". ")&amp;IF(LEN(IF(LEN(INDEX('Dealer pipeline'!$S$4:$S$503,_calc!$E$862))=0,"",INDEX('Dealer pipeline'!$S$4:$S$503,_calc!$E$862)))=0,"","Backup: "&amp;IF(LEN(INDEX('Dealer pipeline'!$S$4:$S$503,_calc!$E$862))=0,"",INDEX('Dealer pipeline'!$S$4:$S$503,_calc!$E$862))&amp;". ")&amp;IF(LEN(IF(LEN(INDEX('Dealer pipeline'!$T$4:$T$503,_calc!$E$862))=0,"",INDEX('Dealer pipeline'!$T$4:$T$503,_calc!$E$862)))=0,"",IF(LEN(INDEX('Dealer pipeline'!$T$4:$T$503,_calc!$E$862))=0,"",INDEX('Dealer pipeline'!$T$4:$T$503,_calc!$E$862)))),TRIM(IF(LEN(IF(LEN(INDEX('My equipment'!$C$4:$C$503,(_calc!$E$862-500)))=0,"",INDEX('My equipment'!$C$4:$C$503,(_calc!$E$862-500))))=0,"","Model: "&amp;IF(LEN(INDEX('My equipment'!$C$4:$C$503,(_calc!$E$862-500)))=0,"",INDEX('My equipment'!$C$4:$C$503,(_calc!$E$862-500)))&amp;". ")&amp;IF(LEN(IF(LEN(INDEX('My equipment'!$D$4:$D$503,(_calc!$E$862-500)))=0,"",INDEX('My equipment'!$D$4:$D$503,(_calc!$E$862-500))))=0,"","Serial: "&amp;IF(LEN(INDEX('My equipment'!$D$4:$D$503,(_calc!$E$862-500)))=0,"",INDEX('My equipment'!$D$4:$D$503,(_calc!$E$862-500)))&amp;". ")&amp;IF(LEN(IF(ISNUMBER(INDEX('My equipment'!$J$4:$J$503,(_calc!$E$862-500))),TEXT(INDEX('My equipment'!$J$4:$J$503,(_calc!$E$862-500)),"yyyy-mm-dd"),""))=0,"","Parts end: "&amp;IF(ISNUMBER(INDEX('My equipment'!$J$4:$J$503,(_calc!$E$862-500))),TEXT(INDEX('My equipment'!$J$4:$J$503,(_calc!$E$862-500)),"yyyy-mm-dd"),"")&amp;". ")&amp;IF(LEN(IF(ISNUMBER(INDEX('My equipment'!$L$4:$L$503,(_calc!$E$862-500))),TEXT(INDEX('My equipment'!$L$4:$L$503,(_calc!$E$862-500)),"yyyy-mm-dd"),""))=0,"","Labor end: "&amp;IF(ISNUMBER(INDEX('My equipment'!$L$4:$L$503,(_calc!$E$862-500))),TEXT(INDEX('My equipment'!$L$4:$L$503,(_calc!$E$862-500)),"yyyy-mm-dd"),"")&amp;". ")&amp;IF(LEN(IF(ISNUMBER(INDEX('My equipment'!$P$4:$P$503,(_calc!$E$862-500))),TEXT(INDEX('My equipment'!$P$4:$P$503,(_calc!$E$862-500)),"yyyy-mm-dd"),""))=0,"","Check by: "&amp;IF(ISNUMBER(INDEX('My equipment'!$P$4:$P$503,(_calc!$E$862-500))),TEXT(INDEX('My equipment'!$P$4:$P$503,(_calc!$E$862-500)),"yyyy-mm-dd"),"")&amp;". ")&amp;IF(LEN(IF(LEN(INDEX('My equipment'!$Q$4:$Q$503,(_calc!$E$862-500)))=0,"",INDEX('My equipment'!$Q$4:$Q$503,(_calc!$E$862-500))))=0,"","Claim status: "&amp;IF(LEN(INDEX('My equipment'!$Q$4:$Q$503,(_calc!$E$862-500)))=0,"",INDEX('My equipment'!$Q$4:$Q$503,(_calc!$E$862-500)))&amp;". ")&amp;IF(LEN(IF(LEN(INDEX('My equipment'!$R$4:$R$503,(_calc!$E$862-500)))=0,"",INDEX('My equipment'!$R$4:$R$503,(_calc!$E$862-500))))=0,"","Claims contact: "&amp;IF(LEN(INDEX('My equipment'!$R$4:$R$503,(_calc!$E$862-500)))=0,"",INDEX('My equipment'!$R$4:$R$503,(_calc!$E$862-500)))&amp;". ")&amp;IF(LEN(IF(LEN(INDEX('My equipment'!$S$4:$S$503,(_calc!$E$862-500)))=0,"",INDEX('My equipment'!$S$4:$S$503,(_calc!$E$862-500))))=0,"","Claims email: "&amp;IF(LEN(INDEX('My equipment'!$S$4:$S$503,(_calc!$E$862-500)))=0,"",INDEX('My equipment'!$S$4:$S$503,(_calc!$E$862-500)))&amp;". ")&amp;IF(LEN(IF(LEN(INDEX('My equipment'!$U$4:$U$503,(_calc!$E$862-500)))=0,"",INDEX('My equipment'!$U$4:$U$503,(_calc!$E$862-500))))=0,"","Registered: "&amp;IF(LEN(INDEX('My equipment'!$U$4:$U$503,(_calc!$E$862-500)))=0,"",INDEX('My equipment'!$U$4:$U$503,(_calc!$E$862-500)))&amp;". ")&amp;IF(LEN(IF(LEN(INDEX('My equipment'!$V$4:$V$503,(_calc!$E$862-500)))=0,"",INDEX('My equipment'!$V$4:$V$503,(_calc!$E$862-500))))=0,"","Proof on file: "&amp;IF(LEN(INDEX('My equipment'!$V$4:$V$503,(_calc!$E$862-500)))=0,"",INDEX('My equipment'!$V$4:$V$503,(_calc!$E$862-500)))&amp;". ")&amp;IF(LEN(IF(LEN(INDEX('My equipment'!$W$4:$W$503,(_calc!$E$862-500)))=0,"",INDEX('My equipment'!$W$4:$W$503,(_calc!$E$862-500))))=0,"","Claim ref: "&amp;IF(LEN(INDEX('My equipment'!$W$4:$W$503,(_calc!$E$862-500)))=0,"",INDEX('My equipment'!$W$4:$W$503,(_calc!$E$862-500)))&amp;". ")&amp;IF(LEN(IF(LEN(INDEX('My equipment'!$Y$4:$Y$503,(_calc!$E$862-500)))=0,"",INDEX('My equipment'!$Y$4:$Y$503,(_calc!$E$862-500))))=0,"",IF(LEN(INDEX('My equipment'!$Y$4:$Y$503,(_calc!$E$862-500)))=0,"",INDEX('My equipment'!$Y$4:$Y$503,(_calc!$E$862-500)))))))</f>
        <v/>
      </c>
      <c r="G860" s="54">
        <f>IF(_calc!$E$862="","",IF(_calc!$E$862&lt;=500,"",IF(LEN(INDEX('My equipment'!$X$4:$X$503,(_calc!$E$862-500)))=0,"",INDEX('My equipment'!$X$4:$X$503,(_calc!$E$862-500)))))</f>
        <v/>
      </c>
      <c r="K860" s="54">
        <f>IF(_calc!$E$862="","",IF(_calc!$E$862&lt;=500,"",IF(LEN(INDEX('My equipment'!$T$4:$T$503,(_calc!$E$862-500)))=0,"",INDEX('My equipment'!$T$4:$T$503,(_calc!$E$862-500)))))</f>
        <v/>
      </c>
    </row>
    <row r="861">
      <c r="A861" s="54">
        <f>IF(_calc!$E$863="","",IF(_calc!$E$863&lt;=500,"Warranty – "&amp;IF(LEN(INDEX('Dealer pipeline'!$C$4:$C$503,_calc!$E$863))=0,"",INDEX('Dealer pipeline'!$C$4:$C$503,_calc!$E$863))&amp;" – "&amp;IF(LEN(INDEX('Dealer pipeline'!$D$4:$D$503,_calc!$E$863))=0,"",INDEX('Dealer pipeline'!$D$4:$D$503,_calc!$E$863))&amp;" – "&amp;IF(LEN(INDEX('Dealer pipeline'!$A$4:$A$503,_calc!$E$863))=0,"",INDEX('Dealer pipeline'!$A$4:$A$503,_calc!$E$863)),"Warranty – "&amp;IF(LEN(INDEX('My equipment'!$A$4:$A$503,(_calc!$E$863-500)))=0,"",INDEX('My equipment'!$A$4:$A$503,(_calc!$E$863-500)))&amp;" – "&amp;IF(LEN(INDEX('My equipment'!$D$4:$D$503,(_calc!$E$863-500)))=0,"",INDEX('My equipment'!$D$4:$D$503,(_calc!$E$863-500)))))</f>
        <v/>
      </c>
      <c r="B861" s="54">
        <f>IF(_calc!$E$863="","",IF(_calc!$E$863&lt;=500,IF(ISNUMBER(INDEX('Dealer pipeline'!$M$4:$M$503,_calc!$E$863)),TEXT(INDEX('Dealer pipeline'!$M$4:$M$503,_calc!$E$863),"yyyy-mm-dd"),""),IF(ISNUMBER(INDEX('My equipment'!$M$4:$M$503,(_calc!$E$863-500))),TEXT(INDEX('My equipment'!$M$4:$M$503,(_calc!$E$863-500)),"yyyy-mm-dd"),"")))</f>
        <v/>
      </c>
      <c r="C861" s="54">
        <f>IF(_calc!$E$863="","",IF(_calc!$E$863&lt;=500,"Warranty","Warranty"))</f>
        <v/>
      </c>
      <c r="D861" s="54">
        <f>IF(_calc!$E$863="","",IF(_calc!$E$863&lt;=500,IF(ISNUMBER(INDEX('Dealer pipeline'!$H$4:$H$503,_calc!$E$863)),TEXT(INDEX('Dealer pipeline'!$H$4:$H$503,_calc!$E$863),"yyyy-mm-dd"),""),IF(ISNUMBER(INDEX('My equipment'!$H$4:$H$503,(_calc!$E$863-500))),TEXT(INDEX('My equipment'!$H$4:$H$503,(_calc!$E$863-500)),"yyyy-mm-dd"),"")))</f>
        <v/>
      </c>
      <c r="F861" s="54">
        <f>IF(_calc!$E$863="","",IF(_calc!$E$863&lt;=500,TRIM(IF(LEN(IF(LEN(INDEX('Dealer pipeline'!$A$4:$A$503,_calc!$E$863))=0,"",INDEX('Dealer pipeline'!$A$4:$A$503,_calc!$E$863)))=0,"","Customer: "&amp;IF(LEN(INDEX('Dealer pipeline'!$A$4:$A$503,_calc!$E$863))=0,"",INDEX('Dealer pipeline'!$A$4:$A$503,_calc!$E$863))&amp;". ")&amp;IF(LEN(IF(LEN(INDEX('Dealer pipeline'!$B$4:$B$503,_calc!$E$863))=0,"",INDEX('Dealer pipeline'!$B$4:$B$503,_calc!$E$863)))=0,"","Contact: "&amp;IF(LEN(INDEX('Dealer pipeline'!$B$4:$B$503,_calc!$E$863))=0,"",INDEX('Dealer pipeline'!$B$4:$B$503,_calc!$E$863))&amp;". ")&amp;IF(LEN(IF(LEN(INDEX('Dealer pipeline'!$D$4:$D$503,_calc!$E$863))=0,"",INDEX('Dealer pipeline'!$D$4:$D$503,_calc!$E$863)))=0,"","Serial: "&amp;IF(LEN(INDEX('Dealer pipeline'!$D$4:$D$503,_calc!$E$863))=0,"",INDEX('Dealer pipeline'!$D$4:$D$503,_calc!$E$863))&amp;". ")&amp;IF(LEN(IF(ISNUMBER(INDEX('Dealer pipeline'!$J$4:$J$503,_calc!$E$863)),TEXT(INDEX('Dealer pipeline'!$J$4:$J$503,_calc!$E$863),"yyyy-mm-dd"),""))=0,"","Parts end: "&amp;IF(ISNUMBER(INDEX('Dealer pipeline'!$J$4:$J$503,_calc!$E$863)),TEXT(INDEX('Dealer pipeline'!$J$4:$J$503,_calc!$E$863),"yyyy-mm-dd"),"")&amp;". ")&amp;IF(LEN(IF(ISNUMBER(INDEX('Dealer pipeline'!$L$4:$L$503,_calc!$E$863)),TEXT(INDEX('Dealer pipeline'!$L$4:$L$503,_calc!$E$863),"yyyy-mm-dd"),""))=0,"","Labor end: "&amp;IF(ISNUMBER(INDEX('Dealer pipeline'!$L$4:$L$503,_calc!$E$863)),TEXT(INDEX('Dealer pipeline'!$L$4:$L$503,_calc!$E$863),"yyyy-mm-dd"),"")&amp;". ")&amp;IF(LEN(IF(LEN(INDEX('Dealer pipeline'!$Q$4:$Q$503,_calc!$E$863))=0,"",INDEX('Dealer pipeline'!$Q$4:$Q$503,_calc!$E$863)))=0,"","Status: "&amp;IF(LEN(INDEX('Dealer pipeline'!$Q$4:$Q$503,_calc!$E$863))=0,"",INDEX('Dealer pipeline'!$Q$4:$Q$503,_calc!$E$863))&amp;". ")&amp;IF(LEN(IF(LEN(INDEX('Dealer pipeline'!$P$4:$P$503,_calc!$E$863))=0,"",INDEX('Dealer pipeline'!$P$4:$P$503,_calc!$E$863)))=0,"","Last touch: "&amp;IF(LEN(INDEX('Dealer pipeline'!$P$4:$P$503,_calc!$E$863))=0,"",INDEX('Dealer pipeline'!$P$4:$P$503,_calc!$E$863))&amp;". ")&amp;IF(LEN(IF(LEN(INDEX('Dealer pipeline'!$R$4:$R$503,_calc!$E$863))=0,"",INDEX('Dealer pipeline'!$R$4:$R$503,_calc!$E$863)))=0,"","Owner: "&amp;IF(LEN(INDEX('Dealer pipeline'!$R$4:$R$503,_calc!$E$863))=0,"",INDEX('Dealer pipeline'!$R$4:$R$503,_calc!$E$863))&amp;". ")&amp;IF(LEN(IF(LEN(INDEX('Dealer pipeline'!$S$4:$S$503,_calc!$E$863))=0,"",INDEX('Dealer pipeline'!$S$4:$S$503,_calc!$E$863)))=0,"","Backup: "&amp;IF(LEN(INDEX('Dealer pipeline'!$S$4:$S$503,_calc!$E$863))=0,"",INDEX('Dealer pipeline'!$S$4:$S$503,_calc!$E$863))&amp;". ")&amp;IF(LEN(IF(LEN(INDEX('Dealer pipeline'!$T$4:$T$503,_calc!$E$863))=0,"",INDEX('Dealer pipeline'!$T$4:$T$503,_calc!$E$863)))=0,"",IF(LEN(INDEX('Dealer pipeline'!$T$4:$T$503,_calc!$E$863))=0,"",INDEX('Dealer pipeline'!$T$4:$T$503,_calc!$E$863)))),TRIM(IF(LEN(IF(LEN(INDEX('My equipment'!$C$4:$C$503,(_calc!$E$863-500)))=0,"",INDEX('My equipment'!$C$4:$C$503,(_calc!$E$863-500))))=0,"","Model: "&amp;IF(LEN(INDEX('My equipment'!$C$4:$C$503,(_calc!$E$863-500)))=0,"",INDEX('My equipment'!$C$4:$C$503,(_calc!$E$863-500)))&amp;". ")&amp;IF(LEN(IF(LEN(INDEX('My equipment'!$D$4:$D$503,(_calc!$E$863-500)))=0,"",INDEX('My equipment'!$D$4:$D$503,(_calc!$E$863-500))))=0,"","Serial: "&amp;IF(LEN(INDEX('My equipment'!$D$4:$D$503,(_calc!$E$863-500)))=0,"",INDEX('My equipment'!$D$4:$D$503,(_calc!$E$863-500)))&amp;". ")&amp;IF(LEN(IF(ISNUMBER(INDEX('My equipment'!$J$4:$J$503,(_calc!$E$863-500))),TEXT(INDEX('My equipment'!$J$4:$J$503,(_calc!$E$863-500)),"yyyy-mm-dd"),""))=0,"","Parts end: "&amp;IF(ISNUMBER(INDEX('My equipment'!$J$4:$J$503,(_calc!$E$863-500))),TEXT(INDEX('My equipment'!$J$4:$J$503,(_calc!$E$863-500)),"yyyy-mm-dd"),"")&amp;". ")&amp;IF(LEN(IF(ISNUMBER(INDEX('My equipment'!$L$4:$L$503,(_calc!$E$863-500))),TEXT(INDEX('My equipment'!$L$4:$L$503,(_calc!$E$863-500)),"yyyy-mm-dd"),""))=0,"","Labor end: "&amp;IF(ISNUMBER(INDEX('My equipment'!$L$4:$L$503,(_calc!$E$863-500))),TEXT(INDEX('My equipment'!$L$4:$L$503,(_calc!$E$863-500)),"yyyy-mm-dd"),"")&amp;". ")&amp;IF(LEN(IF(ISNUMBER(INDEX('My equipment'!$P$4:$P$503,(_calc!$E$863-500))),TEXT(INDEX('My equipment'!$P$4:$P$503,(_calc!$E$863-500)),"yyyy-mm-dd"),""))=0,"","Check by: "&amp;IF(ISNUMBER(INDEX('My equipment'!$P$4:$P$503,(_calc!$E$863-500))),TEXT(INDEX('My equipment'!$P$4:$P$503,(_calc!$E$863-500)),"yyyy-mm-dd"),"")&amp;". ")&amp;IF(LEN(IF(LEN(INDEX('My equipment'!$Q$4:$Q$503,(_calc!$E$863-500)))=0,"",INDEX('My equipment'!$Q$4:$Q$503,(_calc!$E$863-500))))=0,"","Claim status: "&amp;IF(LEN(INDEX('My equipment'!$Q$4:$Q$503,(_calc!$E$863-500)))=0,"",INDEX('My equipment'!$Q$4:$Q$503,(_calc!$E$863-500)))&amp;". ")&amp;IF(LEN(IF(LEN(INDEX('My equipment'!$R$4:$R$503,(_calc!$E$863-500)))=0,"",INDEX('My equipment'!$R$4:$R$503,(_calc!$E$863-500))))=0,"","Claims contact: "&amp;IF(LEN(INDEX('My equipment'!$R$4:$R$503,(_calc!$E$863-500)))=0,"",INDEX('My equipment'!$R$4:$R$503,(_calc!$E$863-500)))&amp;". ")&amp;IF(LEN(IF(LEN(INDEX('My equipment'!$S$4:$S$503,(_calc!$E$863-500)))=0,"",INDEX('My equipment'!$S$4:$S$503,(_calc!$E$863-500))))=0,"","Claims email: "&amp;IF(LEN(INDEX('My equipment'!$S$4:$S$503,(_calc!$E$863-500)))=0,"",INDEX('My equipment'!$S$4:$S$503,(_calc!$E$863-500)))&amp;". ")&amp;IF(LEN(IF(LEN(INDEX('My equipment'!$U$4:$U$503,(_calc!$E$863-500)))=0,"",INDEX('My equipment'!$U$4:$U$503,(_calc!$E$863-500))))=0,"","Registered: "&amp;IF(LEN(INDEX('My equipment'!$U$4:$U$503,(_calc!$E$863-500)))=0,"",INDEX('My equipment'!$U$4:$U$503,(_calc!$E$863-500)))&amp;". ")&amp;IF(LEN(IF(LEN(INDEX('My equipment'!$V$4:$V$503,(_calc!$E$863-500)))=0,"",INDEX('My equipment'!$V$4:$V$503,(_calc!$E$863-500))))=0,"","Proof on file: "&amp;IF(LEN(INDEX('My equipment'!$V$4:$V$503,(_calc!$E$863-500)))=0,"",INDEX('My equipment'!$V$4:$V$503,(_calc!$E$863-500)))&amp;". ")&amp;IF(LEN(IF(LEN(INDEX('My equipment'!$W$4:$W$503,(_calc!$E$863-500)))=0,"",INDEX('My equipment'!$W$4:$W$503,(_calc!$E$863-500))))=0,"","Claim ref: "&amp;IF(LEN(INDEX('My equipment'!$W$4:$W$503,(_calc!$E$863-500)))=0,"",INDEX('My equipment'!$W$4:$W$503,(_calc!$E$863-500)))&amp;". ")&amp;IF(LEN(IF(LEN(INDEX('My equipment'!$Y$4:$Y$503,(_calc!$E$863-500)))=0,"",INDEX('My equipment'!$Y$4:$Y$503,(_calc!$E$863-500))))=0,"",IF(LEN(INDEX('My equipment'!$Y$4:$Y$503,(_calc!$E$863-500)))=0,"",INDEX('My equipment'!$Y$4:$Y$503,(_calc!$E$863-500)))))))</f>
        <v/>
      </c>
      <c r="G861" s="54">
        <f>IF(_calc!$E$863="","",IF(_calc!$E$863&lt;=500,"",IF(LEN(INDEX('My equipment'!$X$4:$X$503,(_calc!$E$863-500)))=0,"",INDEX('My equipment'!$X$4:$X$503,(_calc!$E$863-500)))))</f>
        <v/>
      </c>
      <c r="K861" s="54">
        <f>IF(_calc!$E$863="","",IF(_calc!$E$863&lt;=500,"",IF(LEN(INDEX('My equipment'!$T$4:$T$503,(_calc!$E$863-500)))=0,"",INDEX('My equipment'!$T$4:$T$503,(_calc!$E$863-500)))))</f>
        <v/>
      </c>
    </row>
    <row r="862">
      <c r="A862" s="54">
        <f>IF(_calc!$E$864="","",IF(_calc!$E$864&lt;=500,"Warranty – "&amp;IF(LEN(INDEX('Dealer pipeline'!$C$4:$C$503,_calc!$E$864))=0,"",INDEX('Dealer pipeline'!$C$4:$C$503,_calc!$E$864))&amp;" – "&amp;IF(LEN(INDEX('Dealer pipeline'!$D$4:$D$503,_calc!$E$864))=0,"",INDEX('Dealer pipeline'!$D$4:$D$503,_calc!$E$864))&amp;" – "&amp;IF(LEN(INDEX('Dealer pipeline'!$A$4:$A$503,_calc!$E$864))=0,"",INDEX('Dealer pipeline'!$A$4:$A$503,_calc!$E$864)),"Warranty – "&amp;IF(LEN(INDEX('My equipment'!$A$4:$A$503,(_calc!$E$864-500)))=0,"",INDEX('My equipment'!$A$4:$A$503,(_calc!$E$864-500)))&amp;" – "&amp;IF(LEN(INDEX('My equipment'!$D$4:$D$503,(_calc!$E$864-500)))=0,"",INDEX('My equipment'!$D$4:$D$503,(_calc!$E$864-500)))))</f>
        <v/>
      </c>
      <c r="B862" s="54">
        <f>IF(_calc!$E$864="","",IF(_calc!$E$864&lt;=500,IF(ISNUMBER(INDEX('Dealer pipeline'!$M$4:$M$503,_calc!$E$864)),TEXT(INDEX('Dealer pipeline'!$M$4:$M$503,_calc!$E$864),"yyyy-mm-dd"),""),IF(ISNUMBER(INDEX('My equipment'!$M$4:$M$503,(_calc!$E$864-500))),TEXT(INDEX('My equipment'!$M$4:$M$503,(_calc!$E$864-500)),"yyyy-mm-dd"),"")))</f>
        <v/>
      </c>
      <c r="C862" s="54">
        <f>IF(_calc!$E$864="","",IF(_calc!$E$864&lt;=500,"Warranty","Warranty"))</f>
        <v/>
      </c>
      <c r="D862" s="54">
        <f>IF(_calc!$E$864="","",IF(_calc!$E$864&lt;=500,IF(ISNUMBER(INDEX('Dealer pipeline'!$H$4:$H$503,_calc!$E$864)),TEXT(INDEX('Dealer pipeline'!$H$4:$H$503,_calc!$E$864),"yyyy-mm-dd"),""),IF(ISNUMBER(INDEX('My equipment'!$H$4:$H$503,(_calc!$E$864-500))),TEXT(INDEX('My equipment'!$H$4:$H$503,(_calc!$E$864-500)),"yyyy-mm-dd"),"")))</f>
        <v/>
      </c>
      <c r="F862" s="54">
        <f>IF(_calc!$E$864="","",IF(_calc!$E$864&lt;=500,TRIM(IF(LEN(IF(LEN(INDEX('Dealer pipeline'!$A$4:$A$503,_calc!$E$864))=0,"",INDEX('Dealer pipeline'!$A$4:$A$503,_calc!$E$864)))=0,"","Customer: "&amp;IF(LEN(INDEX('Dealer pipeline'!$A$4:$A$503,_calc!$E$864))=0,"",INDEX('Dealer pipeline'!$A$4:$A$503,_calc!$E$864))&amp;". ")&amp;IF(LEN(IF(LEN(INDEX('Dealer pipeline'!$B$4:$B$503,_calc!$E$864))=0,"",INDEX('Dealer pipeline'!$B$4:$B$503,_calc!$E$864)))=0,"","Contact: "&amp;IF(LEN(INDEX('Dealer pipeline'!$B$4:$B$503,_calc!$E$864))=0,"",INDEX('Dealer pipeline'!$B$4:$B$503,_calc!$E$864))&amp;". ")&amp;IF(LEN(IF(LEN(INDEX('Dealer pipeline'!$D$4:$D$503,_calc!$E$864))=0,"",INDEX('Dealer pipeline'!$D$4:$D$503,_calc!$E$864)))=0,"","Serial: "&amp;IF(LEN(INDEX('Dealer pipeline'!$D$4:$D$503,_calc!$E$864))=0,"",INDEX('Dealer pipeline'!$D$4:$D$503,_calc!$E$864))&amp;". ")&amp;IF(LEN(IF(ISNUMBER(INDEX('Dealer pipeline'!$J$4:$J$503,_calc!$E$864)),TEXT(INDEX('Dealer pipeline'!$J$4:$J$503,_calc!$E$864),"yyyy-mm-dd"),""))=0,"","Parts end: "&amp;IF(ISNUMBER(INDEX('Dealer pipeline'!$J$4:$J$503,_calc!$E$864)),TEXT(INDEX('Dealer pipeline'!$J$4:$J$503,_calc!$E$864),"yyyy-mm-dd"),"")&amp;". ")&amp;IF(LEN(IF(ISNUMBER(INDEX('Dealer pipeline'!$L$4:$L$503,_calc!$E$864)),TEXT(INDEX('Dealer pipeline'!$L$4:$L$503,_calc!$E$864),"yyyy-mm-dd"),""))=0,"","Labor end: "&amp;IF(ISNUMBER(INDEX('Dealer pipeline'!$L$4:$L$503,_calc!$E$864)),TEXT(INDEX('Dealer pipeline'!$L$4:$L$503,_calc!$E$864),"yyyy-mm-dd"),"")&amp;". ")&amp;IF(LEN(IF(LEN(INDEX('Dealer pipeline'!$Q$4:$Q$503,_calc!$E$864))=0,"",INDEX('Dealer pipeline'!$Q$4:$Q$503,_calc!$E$864)))=0,"","Status: "&amp;IF(LEN(INDEX('Dealer pipeline'!$Q$4:$Q$503,_calc!$E$864))=0,"",INDEX('Dealer pipeline'!$Q$4:$Q$503,_calc!$E$864))&amp;". ")&amp;IF(LEN(IF(LEN(INDEX('Dealer pipeline'!$P$4:$P$503,_calc!$E$864))=0,"",INDEX('Dealer pipeline'!$P$4:$P$503,_calc!$E$864)))=0,"","Last touch: "&amp;IF(LEN(INDEX('Dealer pipeline'!$P$4:$P$503,_calc!$E$864))=0,"",INDEX('Dealer pipeline'!$P$4:$P$503,_calc!$E$864))&amp;". ")&amp;IF(LEN(IF(LEN(INDEX('Dealer pipeline'!$R$4:$R$503,_calc!$E$864))=0,"",INDEX('Dealer pipeline'!$R$4:$R$503,_calc!$E$864)))=0,"","Owner: "&amp;IF(LEN(INDEX('Dealer pipeline'!$R$4:$R$503,_calc!$E$864))=0,"",INDEX('Dealer pipeline'!$R$4:$R$503,_calc!$E$864))&amp;". ")&amp;IF(LEN(IF(LEN(INDEX('Dealer pipeline'!$S$4:$S$503,_calc!$E$864))=0,"",INDEX('Dealer pipeline'!$S$4:$S$503,_calc!$E$864)))=0,"","Backup: "&amp;IF(LEN(INDEX('Dealer pipeline'!$S$4:$S$503,_calc!$E$864))=0,"",INDEX('Dealer pipeline'!$S$4:$S$503,_calc!$E$864))&amp;". ")&amp;IF(LEN(IF(LEN(INDEX('Dealer pipeline'!$T$4:$T$503,_calc!$E$864))=0,"",INDEX('Dealer pipeline'!$T$4:$T$503,_calc!$E$864)))=0,"",IF(LEN(INDEX('Dealer pipeline'!$T$4:$T$503,_calc!$E$864))=0,"",INDEX('Dealer pipeline'!$T$4:$T$503,_calc!$E$864)))),TRIM(IF(LEN(IF(LEN(INDEX('My equipment'!$C$4:$C$503,(_calc!$E$864-500)))=0,"",INDEX('My equipment'!$C$4:$C$503,(_calc!$E$864-500))))=0,"","Model: "&amp;IF(LEN(INDEX('My equipment'!$C$4:$C$503,(_calc!$E$864-500)))=0,"",INDEX('My equipment'!$C$4:$C$503,(_calc!$E$864-500)))&amp;". ")&amp;IF(LEN(IF(LEN(INDEX('My equipment'!$D$4:$D$503,(_calc!$E$864-500)))=0,"",INDEX('My equipment'!$D$4:$D$503,(_calc!$E$864-500))))=0,"","Serial: "&amp;IF(LEN(INDEX('My equipment'!$D$4:$D$503,(_calc!$E$864-500)))=0,"",INDEX('My equipment'!$D$4:$D$503,(_calc!$E$864-500)))&amp;". ")&amp;IF(LEN(IF(ISNUMBER(INDEX('My equipment'!$J$4:$J$503,(_calc!$E$864-500))),TEXT(INDEX('My equipment'!$J$4:$J$503,(_calc!$E$864-500)),"yyyy-mm-dd"),""))=0,"","Parts end: "&amp;IF(ISNUMBER(INDEX('My equipment'!$J$4:$J$503,(_calc!$E$864-500))),TEXT(INDEX('My equipment'!$J$4:$J$503,(_calc!$E$864-500)),"yyyy-mm-dd"),"")&amp;". ")&amp;IF(LEN(IF(ISNUMBER(INDEX('My equipment'!$L$4:$L$503,(_calc!$E$864-500))),TEXT(INDEX('My equipment'!$L$4:$L$503,(_calc!$E$864-500)),"yyyy-mm-dd"),""))=0,"","Labor end: "&amp;IF(ISNUMBER(INDEX('My equipment'!$L$4:$L$503,(_calc!$E$864-500))),TEXT(INDEX('My equipment'!$L$4:$L$503,(_calc!$E$864-500)),"yyyy-mm-dd"),"")&amp;". ")&amp;IF(LEN(IF(ISNUMBER(INDEX('My equipment'!$P$4:$P$503,(_calc!$E$864-500))),TEXT(INDEX('My equipment'!$P$4:$P$503,(_calc!$E$864-500)),"yyyy-mm-dd"),""))=0,"","Check by: "&amp;IF(ISNUMBER(INDEX('My equipment'!$P$4:$P$503,(_calc!$E$864-500))),TEXT(INDEX('My equipment'!$P$4:$P$503,(_calc!$E$864-500)),"yyyy-mm-dd"),"")&amp;". ")&amp;IF(LEN(IF(LEN(INDEX('My equipment'!$Q$4:$Q$503,(_calc!$E$864-500)))=0,"",INDEX('My equipment'!$Q$4:$Q$503,(_calc!$E$864-500))))=0,"","Claim status: "&amp;IF(LEN(INDEX('My equipment'!$Q$4:$Q$503,(_calc!$E$864-500)))=0,"",INDEX('My equipment'!$Q$4:$Q$503,(_calc!$E$864-500)))&amp;". ")&amp;IF(LEN(IF(LEN(INDEX('My equipment'!$R$4:$R$503,(_calc!$E$864-500)))=0,"",INDEX('My equipment'!$R$4:$R$503,(_calc!$E$864-500))))=0,"","Claims contact: "&amp;IF(LEN(INDEX('My equipment'!$R$4:$R$503,(_calc!$E$864-500)))=0,"",INDEX('My equipment'!$R$4:$R$503,(_calc!$E$864-500)))&amp;". ")&amp;IF(LEN(IF(LEN(INDEX('My equipment'!$S$4:$S$503,(_calc!$E$864-500)))=0,"",INDEX('My equipment'!$S$4:$S$503,(_calc!$E$864-500))))=0,"","Claims email: "&amp;IF(LEN(INDEX('My equipment'!$S$4:$S$503,(_calc!$E$864-500)))=0,"",INDEX('My equipment'!$S$4:$S$503,(_calc!$E$864-500)))&amp;". ")&amp;IF(LEN(IF(LEN(INDEX('My equipment'!$U$4:$U$503,(_calc!$E$864-500)))=0,"",INDEX('My equipment'!$U$4:$U$503,(_calc!$E$864-500))))=0,"","Registered: "&amp;IF(LEN(INDEX('My equipment'!$U$4:$U$503,(_calc!$E$864-500)))=0,"",INDEX('My equipment'!$U$4:$U$503,(_calc!$E$864-500)))&amp;". ")&amp;IF(LEN(IF(LEN(INDEX('My equipment'!$V$4:$V$503,(_calc!$E$864-500)))=0,"",INDEX('My equipment'!$V$4:$V$503,(_calc!$E$864-500))))=0,"","Proof on file: "&amp;IF(LEN(INDEX('My equipment'!$V$4:$V$503,(_calc!$E$864-500)))=0,"",INDEX('My equipment'!$V$4:$V$503,(_calc!$E$864-500)))&amp;". ")&amp;IF(LEN(IF(LEN(INDEX('My equipment'!$W$4:$W$503,(_calc!$E$864-500)))=0,"",INDEX('My equipment'!$W$4:$W$503,(_calc!$E$864-500))))=0,"","Claim ref: "&amp;IF(LEN(INDEX('My equipment'!$W$4:$W$503,(_calc!$E$864-500)))=0,"",INDEX('My equipment'!$W$4:$W$503,(_calc!$E$864-500)))&amp;". ")&amp;IF(LEN(IF(LEN(INDEX('My equipment'!$Y$4:$Y$503,(_calc!$E$864-500)))=0,"",INDEX('My equipment'!$Y$4:$Y$503,(_calc!$E$864-500))))=0,"",IF(LEN(INDEX('My equipment'!$Y$4:$Y$503,(_calc!$E$864-500)))=0,"",INDEX('My equipment'!$Y$4:$Y$503,(_calc!$E$864-500)))))))</f>
        <v/>
      </c>
      <c r="G862" s="54">
        <f>IF(_calc!$E$864="","",IF(_calc!$E$864&lt;=500,"",IF(LEN(INDEX('My equipment'!$X$4:$X$503,(_calc!$E$864-500)))=0,"",INDEX('My equipment'!$X$4:$X$503,(_calc!$E$864-500)))))</f>
        <v/>
      </c>
      <c r="K862" s="54">
        <f>IF(_calc!$E$864="","",IF(_calc!$E$864&lt;=500,"",IF(LEN(INDEX('My equipment'!$T$4:$T$503,(_calc!$E$864-500)))=0,"",INDEX('My equipment'!$T$4:$T$503,(_calc!$E$864-500)))))</f>
        <v/>
      </c>
    </row>
    <row r="863">
      <c r="A863" s="54">
        <f>IF(_calc!$E$865="","",IF(_calc!$E$865&lt;=500,"Warranty – "&amp;IF(LEN(INDEX('Dealer pipeline'!$C$4:$C$503,_calc!$E$865))=0,"",INDEX('Dealer pipeline'!$C$4:$C$503,_calc!$E$865))&amp;" – "&amp;IF(LEN(INDEX('Dealer pipeline'!$D$4:$D$503,_calc!$E$865))=0,"",INDEX('Dealer pipeline'!$D$4:$D$503,_calc!$E$865))&amp;" – "&amp;IF(LEN(INDEX('Dealer pipeline'!$A$4:$A$503,_calc!$E$865))=0,"",INDEX('Dealer pipeline'!$A$4:$A$503,_calc!$E$865)),"Warranty – "&amp;IF(LEN(INDEX('My equipment'!$A$4:$A$503,(_calc!$E$865-500)))=0,"",INDEX('My equipment'!$A$4:$A$503,(_calc!$E$865-500)))&amp;" – "&amp;IF(LEN(INDEX('My equipment'!$D$4:$D$503,(_calc!$E$865-500)))=0,"",INDEX('My equipment'!$D$4:$D$503,(_calc!$E$865-500)))))</f>
        <v/>
      </c>
      <c r="B863" s="54">
        <f>IF(_calc!$E$865="","",IF(_calc!$E$865&lt;=500,IF(ISNUMBER(INDEX('Dealer pipeline'!$M$4:$M$503,_calc!$E$865)),TEXT(INDEX('Dealer pipeline'!$M$4:$M$503,_calc!$E$865),"yyyy-mm-dd"),""),IF(ISNUMBER(INDEX('My equipment'!$M$4:$M$503,(_calc!$E$865-500))),TEXT(INDEX('My equipment'!$M$4:$M$503,(_calc!$E$865-500)),"yyyy-mm-dd"),"")))</f>
        <v/>
      </c>
      <c r="C863" s="54">
        <f>IF(_calc!$E$865="","",IF(_calc!$E$865&lt;=500,"Warranty","Warranty"))</f>
        <v/>
      </c>
      <c r="D863" s="54">
        <f>IF(_calc!$E$865="","",IF(_calc!$E$865&lt;=500,IF(ISNUMBER(INDEX('Dealer pipeline'!$H$4:$H$503,_calc!$E$865)),TEXT(INDEX('Dealer pipeline'!$H$4:$H$503,_calc!$E$865),"yyyy-mm-dd"),""),IF(ISNUMBER(INDEX('My equipment'!$H$4:$H$503,(_calc!$E$865-500))),TEXT(INDEX('My equipment'!$H$4:$H$503,(_calc!$E$865-500)),"yyyy-mm-dd"),"")))</f>
        <v/>
      </c>
      <c r="F863" s="54">
        <f>IF(_calc!$E$865="","",IF(_calc!$E$865&lt;=500,TRIM(IF(LEN(IF(LEN(INDEX('Dealer pipeline'!$A$4:$A$503,_calc!$E$865))=0,"",INDEX('Dealer pipeline'!$A$4:$A$503,_calc!$E$865)))=0,"","Customer: "&amp;IF(LEN(INDEX('Dealer pipeline'!$A$4:$A$503,_calc!$E$865))=0,"",INDEX('Dealer pipeline'!$A$4:$A$503,_calc!$E$865))&amp;". ")&amp;IF(LEN(IF(LEN(INDEX('Dealer pipeline'!$B$4:$B$503,_calc!$E$865))=0,"",INDEX('Dealer pipeline'!$B$4:$B$503,_calc!$E$865)))=0,"","Contact: "&amp;IF(LEN(INDEX('Dealer pipeline'!$B$4:$B$503,_calc!$E$865))=0,"",INDEX('Dealer pipeline'!$B$4:$B$503,_calc!$E$865))&amp;". ")&amp;IF(LEN(IF(LEN(INDEX('Dealer pipeline'!$D$4:$D$503,_calc!$E$865))=0,"",INDEX('Dealer pipeline'!$D$4:$D$503,_calc!$E$865)))=0,"","Serial: "&amp;IF(LEN(INDEX('Dealer pipeline'!$D$4:$D$503,_calc!$E$865))=0,"",INDEX('Dealer pipeline'!$D$4:$D$503,_calc!$E$865))&amp;". ")&amp;IF(LEN(IF(ISNUMBER(INDEX('Dealer pipeline'!$J$4:$J$503,_calc!$E$865)),TEXT(INDEX('Dealer pipeline'!$J$4:$J$503,_calc!$E$865),"yyyy-mm-dd"),""))=0,"","Parts end: "&amp;IF(ISNUMBER(INDEX('Dealer pipeline'!$J$4:$J$503,_calc!$E$865)),TEXT(INDEX('Dealer pipeline'!$J$4:$J$503,_calc!$E$865),"yyyy-mm-dd"),"")&amp;". ")&amp;IF(LEN(IF(ISNUMBER(INDEX('Dealer pipeline'!$L$4:$L$503,_calc!$E$865)),TEXT(INDEX('Dealer pipeline'!$L$4:$L$503,_calc!$E$865),"yyyy-mm-dd"),""))=0,"","Labor end: "&amp;IF(ISNUMBER(INDEX('Dealer pipeline'!$L$4:$L$503,_calc!$E$865)),TEXT(INDEX('Dealer pipeline'!$L$4:$L$503,_calc!$E$865),"yyyy-mm-dd"),"")&amp;". ")&amp;IF(LEN(IF(LEN(INDEX('Dealer pipeline'!$Q$4:$Q$503,_calc!$E$865))=0,"",INDEX('Dealer pipeline'!$Q$4:$Q$503,_calc!$E$865)))=0,"","Status: "&amp;IF(LEN(INDEX('Dealer pipeline'!$Q$4:$Q$503,_calc!$E$865))=0,"",INDEX('Dealer pipeline'!$Q$4:$Q$503,_calc!$E$865))&amp;". ")&amp;IF(LEN(IF(LEN(INDEX('Dealer pipeline'!$P$4:$P$503,_calc!$E$865))=0,"",INDEX('Dealer pipeline'!$P$4:$P$503,_calc!$E$865)))=0,"","Last touch: "&amp;IF(LEN(INDEX('Dealer pipeline'!$P$4:$P$503,_calc!$E$865))=0,"",INDEX('Dealer pipeline'!$P$4:$P$503,_calc!$E$865))&amp;". ")&amp;IF(LEN(IF(LEN(INDEX('Dealer pipeline'!$R$4:$R$503,_calc!$E$865))=0,"",INDEX('Dealer pipeline'!$R$4:$R$503,_calc!$E$865)))=0,"","Owner: "&amp;IF(LEN(INDEX('Dealer pipeline'!$R$4:$R$503,_calc!$E$865))=0,"",INDEX('Dealer pipeline'!$R$4:$R$503,_calc!$E$865))&amp;". ")&amp;IF(LEN(IF(LEN(INDEX('Dealer pipeline'!$S$4:$S$503,_calc!$E$865))=0,"",INDEX('Dealer pipeline'!$S$4:$S$503,_calc!$E$865)))=0,"","Backup: "&amp;IF(LEN(INDEX('Dealer pipeline'!$S$4:$S$503,_calc!$E$865))=0,"",INDEX('Dealer pipeline'!$S$4:$S$503,_calc!$E$865))&amp;". ")&amp;IF(LEN(IF(LEN(INDEX('Dealer pipeline'!$T$4:$T$503,_calc!$E$865))=0,"",INDEX('Dealer pipeline'!$T$4:$T$503,_calc!$E$865)))=0,"",IF(LEN(INDEX('Dealer pipeline'!$T$4:$T$503,_calc!$E$865))=0,"",INDEX('Dealer pipeline'!$T$4:$T$503,_calc!$E$865)))),TRIM(IF(LEN(IF(LEN(INDEX('My equipment'!$C$4:$C$503,(_calc!$E$865-500)))=0,"",INDEX('My equipment'!$C$4:$C$503,(_calc!$E$865-500))))=0,"","Model: "&amp;IF(LEN(INDEX('My equipment'!$C$4:$C$503,(_calc!$E$865-500)))=0,"",INDEX('My equipment'!$C$4:$C$503,(_calc!$E$865-500)))&amp;". ")&amp;IF(LEN(IF(LEN(INDEX('My equipment'!$D$4:$D$503,(_calc!$E$865-500)))=0,"",INDEX('My equipment'!$D$4:$D$503,(_calc!$E$865-500))))=0,"","Serial: "&amp;IF(LEN(INDEX('My equipment'!$D$4:$D$503,(_calc!$E$865-500)))=0,"",INDEX('My equipment'!$D$4:$D$503,(_calc!$E$865-500)))&amp;". ")&amp;IF(LEN(IF(ISNUMBER(INDEX('My equipment'!$J$4:$J$503,(_calc!$E$865-500))),TEXT(INDEX('My equipment'!$J$4:$J$503,(_calc!$E$865-500)),"yyyy-mm-dd"),""))=0,"","Parts end: "&amp;IF(ISNUMBER(INDEX('My equipment'!$J$4:$J$503,(_calc!$E$865-500))),TEXT(INDEX('My equipment'!$J$4:$J$503,(_calc!$E$865-500)),"yyyy-mm-dd"),"")&amp;". ")&amp;IF(LEN(IF(ISNUMBER(INDEX('My equipment'!$L$4:$L$503,(_calc!$E$865-500))),TEXT(INDEX('My equipment'!$L$4:$L$503,(_calc!$E$865-500)),"yyyy-mm-dd"),""))=0,"","Labor end: "&amp;IF(ISNUMBER(INDEX('My equipment'!$L$4:$L$503,(_calc!$E$865-500))),TEXT(INDEX('My equipment'!$L$4:$L$503,(_calc!$E$865-500)),"yyyy-mm-dd"),"")&amp;". ")&amp;IF(LEN(IF(ISNUMBER(INDEX('My equipment'!$P$4:$P$503,(_calc!$E$865-500))),TEXT(INDEX('My equipment'!$P$4:$P$503,(_calc!$E$865-500)),"yyyy-mm-dd"),""))=0,"","Check by: "&amp;IF(ISNUMBER(INDEX('My equipment'!$P$4:$P$503,(_calc!$E$865-500))),TEXT(INDEX('My equipment'!$P$4:$P$503,(_calc!$E$865-500)),"yyyy-mm-dd"),"")&amp;". ")&amp;IF(LEN(IF(LEN(INDEX('My equipment'!$Q$4:$Q$503,(_calc!$E$865-500)))=0,"",INDEX('My equipment'!$Q$4:$Q$503,(_calc!$E$865-500))))=0,"","Claim status: "&amp;IF(LEN(INDEX('My equipment'!$Q$4:$Q$503,(_calc!$E$865-500)))=0,"",INDEX('My equipment'!$Q$4:$Q$503,(_calc!$E$865-500)))&amp;". ")&amp;IF(LEN(IF(LEN(INDEX('My equipment'!$R$4:$R$503,(_calc!$E$865-500)))=0,"",INDEX('My equipment'!$R$4:$R$503,(_calc!$E$865-500))))=0,"","Claims contact: "&amp;IF(LEN(INDEX('My equipment'!$R$4:$R$503,(_calc!$E$865-500)))=0,"",INDEX('My equipment'!$R$4:$R$503,(_calc!$E$865-500)))&amp;". ")&amp;IF(LEN(IF(LEN(INDEX('My equipment'!$S$4:$S$503,(_calc!$E$865-500)))=0,"",INDEX('My equipment'!$S$4:$S$503,(_calc!$E$865-500))))=0,"","Claims email: "&amp;IF(LEN(INDEX('My equipment'!$S$4:$S$503,(_calc!$E$865-500)))=0,"",INDEX('My equipment'!$S$4:$S$503,(_calc!$E$865-500)))&amp;". ")&amp;IF(LEN(IF(LEN(INDEX('My equipment'!$U$4:$U$503,(_calc!$E$865-500)))=0,"",INDEX('My equipment'!$U$4:$U$503,(_calc!$E$865-500))))=0,"","Registered: "&amp;IF(LEN(INDEX('My equipment'!$U$4:$U$503,(_calc!$E$865-500)))=0,"",INDEX('My equipment'!$U$4:$U$503,(_calc!$E$865-500)))&amp;". ")&amp;IF(LEN(IF(LEN(INDEX('My equipment'!$V$4:$V$503,(_calc!$E$865-500)))=0,"",INDEX('My equipment'!$V$4:$V$503,(_calc!$E$865-500))))=0,"","Proof on file: "&amp;IF(LEN(INDEX('My equipment'!$V$4:$V$503,(_calc!$E$865-500)))=0,"",INDEX('My equipment'!$V$4:$V$503,(_calc!$E$865-500)))&amp;". ")&amp;IF(LEN(IF(LEN(INDEX('My equipment'!$W$4:$W$503,(_calc!$E$865-500)))=0,"",INDEX('My equipment'!$W$4:$W$503,(_calc!$E$865-500))))=0,"","Claim ref: "&amp;IF(LEN(INDEX('My equipment'!$W$4:$W$503,(_calc!$E$865-500)))=0,"",INDEX('My equipment'!$W$4:$W$503,(_calc!$E$865-500)))&amp;". ")&amp;IF(LEN(IF(LEN(INDEX('My equipment'!$Y$4:$Y$503,(_calc!$E$865-500)))=0,"",INDEX('My equipment'!$Y$4:$Y$503,(_calc!$E$865-500))))=0,"",IF(LEN(INDEX('My equipment'!$Y$4:$Y$503,(_calc!$E$865-500)))=0,"",INDEX('My equipment'!$Y$4:$Y$503,(_calc!$E$865-500)))))))</f>
        <v/>
      </c>
      <c r="G863" s="54">
        <f>IF(_calc!$E$865="","",IF(_calc!$E$865&lt;=500,"",IF(LEN(INDEX('My equipment'!$X$4:$X$503,(_calc!$E$865-500)))=0,"",INDEX('My equipment'!$X$4:$X$503,(_calc!$E$865-500)))))</f>
        <v/>
      </c>
      <c r="K863" s="54">
        <f>IF(_calc!$E$865="","",IF(_calc!$E$865&lt;=500,"",IF(LEN(INDEX('My equipment'!$T$4:$T$503,(_calc!$E$865-500)))=0,"",INDEX('My equipment'!$T$4:$T$503,(_calc!$E$865-500)))))</f>
        <v/>
      </c>
    </row>
    <row r="864">
      <c r="A864" s="54">
        <f>IF(_calc!$E$866="","",IF(_calc!$E$866&lt;=500,"Warranty – "&amp;IF(LEN(INDEX('Dealer pipeline'!$C$4:$C$503,_calc!$E$866))=0,"",INDEX('Dealer pipeline'!$C$4:$C$503,_calc!$E$866))&amp;" – "&amp;IF(LEN(INDEX('Dealer pipeline'!$D$4:$D$503,_calc!$E$866))=0,"",INDEX('Dealer pipeline'!$D$4:$D$503,_calc!$E$866))&amp;" – "&amp;IF(LEN(INDEX('Dealer pipeline'!$A$4:$A$503,_calc!$E$866))=0,"",INDEX('Dealer pipeline'!$A$4:$A$503,_calc!$E$866)),"Warranty – "&amp;IF(LEN(INDEX('My equipment'!$A$4:$A$503,(_calc!$E$866-500)))=0,"",INDEX('My equipment'!$A$4:$A$503,(_calc!$E$866-500)))&amp;" – "&amp;IF(LEN(INDEX('My equipment'!$D$4:$D$503,(_calc!$E$866-500)))=0,"",INDEX('My equipment'!$D$4:$D$503,(_calc!$E$866-500)))))</f>
        <v/>
      </c>
      <c r="B864" s="54">
        <f>IF(_calc!$E$866="","",IF(_calc!$E$866&lt;=500,IF(ISNUMBER(INDEX('Dealer pipeline'!$M$4:$M$503,_calc!$E$866)),TEXT(INDEX('Dealer pipeline'!$M$4:$M$503,_calc!$E$866),"yyyy-mm-dd"),""),IF(ISNUMBER(INDEX('My equipment'!$M$4:$M$503,(_calc!$E$866-500))),TEXT(INDEX('My equipment'!$M$4:$M$503,(_calc!$E$866-500)),"yyyy-mm-dd"),"")))</f>
        <v/>
      </c>
      <c r="C864" s="54">
        <f>IF(_calc!$E$866="","",IF(_calc!$E$866&lt;=500,"Warranty","Warranty"))</f>
        <v/>
      </c>
      <c r="D864" s="54">
        <f>IF(_calc!$E$866="","",IF(_calc!$E$866&lt;=500,IF(ISNUMBER(INDEX('Dealer pipeline'!$H$4:$H$503,_calc!$E$866)),TEXT(INDEX('Dealer pipeline'!$H$4:$H$503,_calc!$E$866),"yyyy-mm-dd"),""),IF(ISNUMBER(INDEX('My equipment'!$H$4:$H$503,(_calc!$E$866-500))),TEXT(INDEX('My equipment'!$H$4:$H$503,(_calc!$E$866-500)),"yyyy-mm-dd"),"")))</f>
        <v/>
      </c>
      <c r="F864" s="54">
        <f>IF(_calc!$E$866="","",IF(_calc!$E$866&lt;=500,TRIM(IF(LEN(IF(LEN(INDEX('Dealer pipeline'!$A$4:$A$503,_calc!$E$866))=0,"",INDEX('Dealer pipeline'!$A$4:$A$503,_calc!$E$866)))=0,"","Customer: "&amp;IF(LEN(INDEX('Dealer pipeline'!$A$4:$A$503,_calc!$E$866))=0,"",INDEX('Dealer pipeline'!$A$4:$A$503,_calc!$E$866))&amp;". ")&amp;IF(LEN(IF(LEN(INDEX('Dealer pipeline'!$B$4:$B$503,_calc!$E$866))=0,"",INDEX('Dealer pipeline'!$B$4:$B$503,_calc!$E$866)))=0,"","Contact: "&amp;IF(LEN(INDEX('Dealer pipeline'!$B$4:$B$503,_calc!$E$866))=0,"",INDEX('Dealer pipeline'!$B$4:$B$503,_calc!$E$866))&amp;". ")&amp;IF(LEN(IF(LEN(INDEX('Dealer pipeline'!$D$4:$D$503,_calc!$E$866))=0,"",INDEX('Dealer pipeline'!$D$4:$D$503,_calc!$E$866)))=0,"","Serial: "&amp;IF(LEN(INDEX('Dealer pipeline'!$D$4:$D$503,_calc!$E$866))=0,"",INDEX('Dealer pipeline'!$D$4:$D$503,_calc!$E$866))&amp;". ")&amp;IF(LEN(IF(ISNUMBER(INDEX('Dealer pipeline'!$J$4:$J$503,_calc!$E$866)),TEXT(INDEX('Dealer pipeline'!$J$4:$J$503,_calc!$E$866),"yyyy-mm-dd"),""))=0,"","Parts end: "&amp;IF(ISNUMBER(INDEX('Dealer pipeline'!$J$4:$J$503,_calc!$E$866)),TEXT(INDEX('Dealer pipeline'!$J$4:$J$503,_calc!$E$866),"yyyy-mm-dd"),"")&amp;". ")&amp;IF(LEN(IF(ISNUMBER(INDEX('Dealer pipeline'!$L$4:$L$503,_calc!$E$866)),TEXT(INDEX('Dealer pipeline'!$L$4:$L$503,_calc!$E$866),"yyyy-mm-dd"),""))=0,"","Labor end: "&amp;IF(ISNUMBER(INDEX('Dealer pipeline'!$L$4:$L$503,_calc!$E$866)),TEXT(INDEX('Dealer pipeline'!$L$4:$L$503,_calc!$E$866),"yyyy-mm-dd"),"")&amp;". ")&amp;IF(LEN(IF(LEN(INDEX('Dealer pipeline'!$Q$4:$Q$503,_calc!$E$866))=0,"",INDEX('Dealer pipeline'!$Q$4:$Q$503,_calc!$E$866)))=0,"","Status: "&amp;IF(LEN(INDEX('Dealer pipeline'!$Q$4:$Q$503,_calc!$E$866))=0,"",INDEX('Dealer pipeline'!$Q$4:$Q$503,_calc!$E$866))&amp;". ")&amp;IF(LEN(IF(LEN(INDEX('Dealer pipeline'!$P$4:$P$503,_calc!$E$866))=0,"",INDEX('Dealer pipeline'!$P$4:$P$503,_calc!$E$866)))=0,"","Last touch: "&amp;IF(LEN(INDEX('Dealer pipeline'!$P$4:$P$503,_calc!$E$866))=0,"",INDEX('Dealer pipeline'!$P$4:$P$503,_calc!$E$866))&amp;". ")&amp;IF(LEN(IF(LEN(INDEX('Dealer pipeline'!$R$4:$R$503,_calc!$E$866))=0,"",INDEX('Dealer pipeline'!$R$4:$R$503,_calc!$E$866)))=0,"","Owner: "&amp;IF(LEN(INDEX('Dealer pipeline'!$R$4:$R$503,_calc!$E$866))=0,"",INDEX('Dealer pipeline'!$R$4:$R$503,_calc!$E$866))&amp;". ")&amp;IF(LEN(IF(LEN(INDEX('Dealer pipeline'!$S$4:$S$503,_calc!$E$866))=0,"",INDEX('Dealer pipeline'!$S$4:$S$503,_calc!$E$866)))=0,"","Backup: "&amp;IF(LEN(INDEX('Dealer pipeline'!$S$4:$S$503,_calc!$E$866))=0,"",INDEX('Dealer pipeline'!$S$4:$S$503,_calc!$E$866))&amp;". ")&amp;IF(LEN(IF(LEN(INDEX('Dealer pipeline'!$T$4:$T$503,_calc!$E$866))=0,"",INDEX('Dealer pipeline'!$T$4:$T$503,_calc!$E$866)))=0,"",IF(LEN(INDEX('Dealer pipeline'!$T$4:$T$503,_calc!$E$866))=0,"",INDEX('Dealer pipeline'!$T$4:$T$503,_calc!$E$866)))),TRIM(IF(LEN(IF(LEN(INDEX('My equipment'!$C$4:$C$503,(_calc!$E$866-500)))=0,"",INDEX('My equipment'!$C$4:$C$503,(_calc!$E$866-500))))=0,"","Model: "&amp;IF(LEN(INDEX('My equipment'!$C$4:$C$503,(_calc!$E$866-500)))=0,"",INDEX('My equipment'!$C$4:$C$503,(_calc!$E$866-500)))&amp;". ")&amp;IF(LEN(IF(LEN(INDEX('My equipment'!$D$4:$D$503,(_calc!$E$866-500)))=0,"",INDEX('My equipment'!$D$4:$D$503,(_calc!$E$866-500))))=0,"","Serial: "&amp;IF(LEN(INDEX('My equipment'!$D$4:$D$503,(_calc!$E$866-500)))=0,"",INDEX('My equipment'!$D$4:$D$503,(_calc!$E$866-500)))&amp;". ")&amp;IF(LEN(IF(ISNUMBER(INDEX('My equipment'!$J$4:$J$503,(_calc!$E$866-500))),TEXT(INDEX('My equipment'!$J$4:$J$503,(_calc!$E$866-500)),"yyyy-mm-dd"),""))=0,"","Parts end: "&amp;IF(ISNUMBER(INDEX('My equipment'!$J$4:$J$503,(_calc!$E$866-500))),TEXT(INDEX('My equipment'!$J$4:$J$503,(_calc!$E$866-500)),"yyyy-mm-dd"),"")&amp;". ")&amp;IF(LEN(IF(ISNUMBER(INDEX('My equipment'!$L$4:$L$503,(_calc!$E$866-500))),TEXT(INDEX('My equipment'!$L$4:$L$503,(_calc!$E$866-500)),"yyyy-mm-dd"),""))=0,"","Labor end: "&amp;IF(ISNUMBER(INDEX('My equipment'!$L$4:$L$503,(_calc!$E$866-500))),TEXT(INDEX('My equipment'!$L$4:$L$503,(_calc!$E$866-500)),"yyyy-mm-dd"),"")&amp;". ")&amp;IF(LEN(IF(ISNUMBER(INDEX('My equipment'!$P$4:$P$503,(_calc!$E$866-500))),TEXT(INDEX('My equipment'!$P$4:$P$503,(_calc!$E$866-500)),"yyyy-mm-dd"),""))=0,"","Check by: "&amp;IF(ISNUMBER(INDEX('My equipment'!$P$4:$P$503,(_calc!$E$866-500))),TEXT(INDEX('My equipment'!$P$4:$P$503,(_calc!$E$866-500)),"yyyy-mm-dd"),"")&amp;". ")&amp;IF(LEN(IF(LEN(INDEX('My equipment'!$Q$4:$Q$503,(_calc!$E$866-500)))=0,"",INDEX('My equipment'!$Q$4:$Q$503,(_calc!$E$866-500))))=0,"","Claim status: "&amp;IF(LEN(INDEX('My equipment'!$Q$4:$Q$503,(_calc!$E$866-500)))=0,"",INDEX('My equipment'!$Q$4:$Q$503,(_calc!$E$866-500)))&amp;". ")&amp;IF(LEN(IF(LEN(INDEX('My equipment'!$R$4:$R$503,(_calc!$E$866-500)))=0,"",INDEX('My equipment'!$R$4:$R$503,(_calc!$E$866-500))))=0,"","Claims contact: "&amp;IF(LEN(INDEX('My equipment'!$R$4:$R$503,(_calc!$E$866-500)))=0,"",INDEX('My equipment'!$R$4:$R$503,(_calc!$E$866-500)))&amp;". ")&amp;IF(LEN(IF(LEN(INDEX('My equipment'!$S$4:$S$503,(_calc!$E$866-500)))=0,"",INDEX('My equipment'!$S$4:$S$503,(_calc!$E$866-500))))=0,"","Claims email: "&amp;IF(LEN(INDEX('My equipment'!$S$4:$S$503,(_calc!$E$866-500)))=0,"",INDEX('My equipment'!$S$4:$S$503,(_calc!$E$866-500)))&amp;". ")&amp;IF(LEN(IF(LEN(INDEX('My equipment'!$U$4:$U$503,(_calc!$E$866-500)))=0,"",INDEX('My equipment'!$U$4:$U$503,(_calc!$E$866-500))))=0,"","Registered: "&amp;IF(LEN(INDEX('My equipment'!$U$4:$U$503,(_calc!$E$866-500)))=0,"",INDEX('My equipment'!$U$4:$U$503,(_calc!$E$866-500)))&amp;". ")&amp;IF(LEN(IF(LEN(INDEX('My equipment'!$V$4:$V$503,(_calc!$E$866-500)))=0,"",INDEX('My equipment'!$V$4:$V$503,(_calc!$E$866-500))))=0,"","Proof on file: "&amp;IF(LEN(INDEX('My equipment'!$V$4:$V$503,(_calc!$E$866-500)))=0,"",INDEX('My equipment'!$V$4:$V$503,(_calc!$E$866-500)))&amp;". ")&amp;IF(LEN(IF(LEN(INDEX('My equipment'!$W$4:$W$503,(_calc!$E$866-500)))=0,"",INDEX('My equipment'!$W$4:$W$503,(_calc!$E$866-500))))=0,"","Claim ref: "&amp;IF(LEN(INDEX('My equipment'!$W$4:$W$503,(_calc!$E$866-500)))=0,"",INDEX('My equipment'!$W$4:$W$503,(_calc!$E$866-500)))&amp;". ")&amp;IF(LEN(IF(LEN(INDEX('My equipment'!$Y$4:$Y$503,(_calc!$E$866-500)))=0,"",INDEX('My equipment'!$Y$4:$Y$503,(_calc!$E$866-500))))=0,"",IF(LEN(INDEX('My equipment'!$Y$4:$Y$503,(_calc!$E$866-500)))=0,"",INDEX('My equipment'!$Y$4:$Y$503,(_calc!$E$866-500)))))))</f>
        <v/>
      </c>
      <c r="G864" s="54">
        <f>IF(_calc!$E$866="","",IF(_calc!$E$866&lt;=500,"",IF(LEN(INDEX('My equipment'!$X$4:$X$503,(_calc!$E$866-500)))=0,"",INDEX('My equipment'!$X$4:$X$503,(_calc!$E$866-500)))))</f>
        <v/>
      </c>
      <c r="K864" s="54">
        <f>IF(_calc!$E$866="","",IF(_calc!$E$866&lt;=500,"",IF(LEN(INDEX('My equipment'!$T$4:$T$503,(_calc!$E$866-500)))=0,"",INDEX('My equipment'!$T$4:$T$503,(_calc!$E$866-500)))))</f>
        <v/>
      </c>
    </row>
    <row r="865">
      <c r="A865" s="54">
        <f>IF(_calc!$E$867="","",IF(_calc!$E$867&lt;=500,"Warranty – "&amp;IF(LEN(INDEX('Dealer pipeline'!$C$4:$C$503,_calc!$E$867))=0,"",INDEX('Dealer pipeline'!$C$4:$C$503,_calc!$E$867))&amp;" – "&amp;IF(LEN(INDEX('Dealer pipeline'!$D$4:$D$503,_calc!$E$867))=0,"",INDEX('Dealer pipeline'!$D$4:$D$503,_calc!$E$867))&amp;" – "&amp;IF(LEN(INDEX('Dealer pipeline'!$A$4:$A$503,_calc!$E$867))=0,"",INDEX('Dealer pipeline'!$A$4:$A$503,_calc!$E$867)),"Warranty – "&amp;IF(LEN(INDEX('My equipment'!$A$4:$A$503,(_calc!$E$867-500)))=0,"",INDEX('My equipment'!$A$4:$A$503,(_calc!$E$867-500)))&amp;" – "&amp;IF(LEN(INDEX('My equipment'!$D$4:$D$503,(_calc!$E$867-500)))=0,"",INDEX('My equipment'!$D$4:$D$503,(_calc!$E$867-500)))))</f>
        <v/>
      </c>
      <c r="B865" s="54">
        <f>IF(_calc!$E$867="","",IF(_calc!$E$867&lt;=500,IF(ISNUMBER(INDEX('Dealer pipeline'!$M$4:$M$503,_calc!$E$867)),TEXT(INDEX('Dealer pipeline'!$M$4:$M$503,_calc!$E$867),"yyyy-mm-dd"),""),IF(ISNUMBER(INDEX('My equipment'!$M$4:$M$503,(_calc!$E$867-500))),TEXT(INDEX('My equipment'!$M$4:$M$503,(_calc!$E$867-500)),"yyyy-mm-dd"),"")))</f>
        <v/>
      </c>
      <c r="C865" s="54">
        <f>IF(_calc!$E$867="","",IF(_calc!$E$867&lt;=500,"Warranty","Warranty"))</f>
        <v/>
      </c>
      <c r="D865" s="54">
        <f>IF(_calc!$E$867="","",IF(_calc!$E$867&lt;=500,IF(ISNUMBER(INDEX('Dealer pipeline'!$H$4:$H$503,_calc!$E$867)),TEXT(INDEX('Dealer pipeline'!$H$4:$H$503,_calc!$E$867),"yyyy-mm-dd"),""),IF(ISNUMBER(INDEX('My equipment'!$H$4:$H$503,(_calc!$E$867-500))),TEXT(INDEX('My equipment'!$H$4:$H$503,(_calc!$E$867-500)),"yyyy-mm-dd"),"")))</f>
        <v/>
      </c>
      <c r="F865" s="54">
        <f>IF(_calc!$E$867="","",IF(_calc!$E$867&lt;=500,TRIM(IF(LEN(IF(LEN(INDEX('Dealer pipeline'!$A$4:$A$503,_calc!$E$867))=0,"",INDEX('Dealer pipeline'!$A$4:$A$503,_calc!$E$867)))=0,"","Customer: "&amp;IF(LEN(INDEX('Dealer pipeline'!$A$4:$A$503,_calc!$E$867))=0,"",INDEX('Dealer pipeline'!$A$4:$A$503,_calc!$E$867))&amp;". ")&amp;IF(LEN(IF(LEN(INDEX('Dealer pipeline'!$B$4:$B$503,_calc!$E$867))=0,"",INDEX('Dealer pipeline'!$B$4:$B$503,_calc!$E$867)))=0,"","Contact: "&amp;IF(LEN(INDEX('Dealer pipeline'!$B$4:$B$503,_calc!$E$867))=0,"",INDEX('Dealer pipeline'!$B$4:$B$503,_calc!$E$867))&amp;". ")&amp;IF(LEN(IF(LEN(INDEX('Dealer pipeline'!$D$4:$D$503,_calc!$E$867))=0,"",INDEX('Dealer pipeline'!$D$4:$D$503,_calc!$E$867)))=0,"","Serial: "&amp;IF(LEN(INDEX('Dealer pipeline'!$D$4:$D$503,_calc!$E$867))=0,"",INDEX('Dealer pipeline'!$D$4:$D$503,_calc!$E$867))&amp;". ")&amp;IF(LEN(IF(ISNUMBER(INDEX('Dealer pipeline'!$J$4:$J$503,_calc!$E$867)),TEXT(INDEX('Dealer pipeline'!$J$4:$J$503,_calc!$E$867),"yyyy-mm-dd"),""))=0,"","Parts end: "&amp;IF(ISNUMBER(INDEX('Dealer pipeline'!$J$4:$J$503,_calc!$E$867)),TEXT(INDEX('Dealer pipeline'!$J$4:$J$503,_calc!$E$867),"yyyy-mm-dd"),"")&amp;". ")&amp;IF(LEN(IF(ISNUMBER(INDEX('Dealer pipeline'!$L$4:$L$503,_calc!$E$867)),TEXT(INDEX('Dealer pipeline'!$L$4:$L$503,_calc!$E$867),"yyyy-mm-dd"),""))=0,"","Labor end: "&amp;IF(ISNUMBER(INDEX('Dealer pipeline'!$L$4:$L$503,_calc!$E$867)),TEXT(INDEX('Dealer pipeline'!$L$4:$L$503,_calc!$E$867),"yyyy-mm-dd"),"")&amp;". ")&amp;IF(LEN(IF(LEN(INDEX('Dealer pipeline'!$Q$4:$Q$503,_calc!$E$867))=0,"",INDEX('Dealer pipeline'!$Q$4:$Q$503,_calc!$E$867)))=0,"","Status: "&amp;IF(LEN(INDEX('Dealer pipeline'!$Q$4:$Q$503,_calc!$E$867))=0,"",INDEX('Dealer pipeline'!$Q$4:$Q$503,_calc!$E$867))&amp;". ")&amp;IF(LEN(IF(LEN(INDEX('Dealer pipeline'!$P$4:$P$503,_calc!$E$867))=0,"",INDEX('Dealer pipeline'!$P$4:$P$503,_calc!$E$867)))=0,"","Last touch: "&amp;IF(LEN(INDEX('Dealer pipeline'!$P$4:$P$503,_calc!$E$867))=0,"",INDEX('Dealer pipeline'!$P$4:$P$503,_calc!$E$867))&amp;". ")&amp;IF(LEN(IF(LEN(INDEX('Dealer pipeline'!$R$4:$R$503,_calc!$E$867))=0,"",INDEX('Dealer pipeline'!$R$4:$R$503,_calc!$E$867)))=0,"","Owner: "&amp;IF(LEN(INDEX('Dealer pipeline'!$R$4:$R$503,_calc!$E$867))=0,"",INDEX('Dealer pipeline'!$R$4:$R$503,_calc!$E$867))&amp;". ")&amp;IF(LEN(IF(LEN(INDEX('Dealer pipeline'!$S$4:$S$503,_calc!$E$867))=0,"",INDEX('Dealer pipeline'!$S$4:$S$503,_calc!$E$867)))=0,"","Backup: "&amp;IF(LEN(INDEX('Dealer pipeline'!$S$4:$S$503,_calc!$E$867))=0,"",INDEX('Dealer pipeline'!$S$4:$S$503,_calc!$E$867))&amp;". ")&amp;IF(LEN(IF(LEN(INDEX('Dealer pipeline'!$T$4:$T$503,_calc!$E$867))=0,"",INDEX('Dealer pipeline'!$T$4:$T$503,_calc!$E$867)))=0,"",IF(LEN(INDEX('Dealer pipeline'!$T$4:$T$503,_calc!$E$867))=0,"",INDEX('Dealer pipeline'!$T$4:$T$503,_calc!$E$867)))),TRIM(IF(LEN(IF(LEN(INDEX('My equipment'!$C$4:$C$503,(_calc!$E$867-500)))=0,"",INDEX('My equipment'!$C$4:$C$503,(_calc!$E$867-500))))=0,"","Model: "&amp;IF(LEN(INDEX('My equipment'!$C$4:$C$503,(_calc!$E$867-500)))=0,"",INDEX('My equipment'!$C$4:$C$503,(_calc!$E$867-500)))&amp;". ")&amp;IF(LEN(IF(LEN(INDEX('My equipment'!$D$4:$D$503,(_calc!$E$867-500)))=0,"",INDEX('My equipment'!$D$4:$D$503,(_calc!$E$867-500))))=0,"","Serial: "&amp;IF(LEN(INDEX('My equipment'!$D$4:$D$503,(_calc!$E$867-500)))=0,"",INDEX('My equipment'!$D$4:$D$503,(_calc!$E$867-500)))&amp;". ")&amp;IF(LEN(IF(ISNUMBER(INDEX('My equipment'!$J$4:$J$503,(_calc!$E$867-500))),TEXT(INDEX('My equipment'!$J$4:$J$503,(_calc!$E$867-500)),"yyyy-mm-dd"),""))=0,"","Parts end: "&amp;IF(ISNUMBER(INDEX('My equipment'!$J$4:$J$503,(_calc!$E$867-500))),TEXT(INDEX('My equipment'!$J$4:$J$503,(_calc!$E$867-500)),"yyyy-mm-dd"),"")&amp;". ")&amp;IF(LEN(IF(ISNUMBER(INDEX('My equipment'!$L$4:$L$503,(_calc!$E$867-500))),TEXT(INDEX('My equipment'!$L$4:$L$503,(_calc!$E$867-500)),"yyyy-mm-dd"),""))=0,"","Labor end: "&amp;IF(ISNUMBER(INDEX('My equipment'!$L$4:$L$503,(_calc!$E$867-500))),TEXT(INDEX('My equipment'!$L$4:$L$503,(_calc!$E$867-500)),"yyyy-mm-dd"),"")&amp;". ")&amp;IF(LEN(IF(ISNUMBER(INDEX('My equipment'!$P$4:$P$503,(_calc!$E$867-500))),TEXT(INDEX('My equipment'!$P$4:$P$503,(_calc!$E$867-500)),"yyyy-mm-dd"),""))=0,"","Check by: "&amp;IF(ISNUMBER(INDEX('My equipment'!$P$4:$P$503,(_calc!$E$867-500))),TEXT(INDEX('My equipment'!$P$4:$P$503,(_calc!$E$867-500)),"yyyy-mm-dd"),"")&amp;". ")&amp;IF(LEN(IF(LEN(INDEX('My equipment'!$Q$4:$Q$503,(_calc!$E$867-500)))=0,"",INDEX('My equipment'!$Q$4:$Q$503,(_calc!$E$867-500))))=0,"","Claim status: "&amp;IF(LEN(INDEX('My equipment'!$Q$4:$Q$503,(_calc!$E$867-500)))=0,"",INDEX('My equipment'!$Q$4:$Q$503,(_calc!$E$867-500)))&amp;". ")&amp;IF(LEN(IF(LEN(INDEX('My equipment'!$R$4:$R$503,(_calc!$E$867-500)))=0,"",INDEX('My equipment'!$R$4:$R$503,(_calc!$E$867-500))))=0,"","Claims contact: "&amp;IF(LEN(INDEX('My equipment'!$R$4:$R$503,(_calc!$E$867-500)))=0,"",INDEX('My equipment'!$R$4:$R$503,(_calc!$E$867-500)))&amp;". ")&amp;IF(LEN(IF(LEN(INDEX('My equipment'!$S$4:$S$503,(_calc!$E$867-500)))=0,"",INDEX('My equipment'!$S$4:$S$503,(_calc!$E$867-500))))=0,"","Claims email: "&amp;IF(LEN(INDEX('My equipment'!$S$4:$S$503,(_calc!$E$867-500)))=0,"",INDEX('My equipment'!$S$4:$S$503,(_calc!$E$867-500)))&amp;". ")&amp;IF(LEN(IF(LEN(INDEX('My equipment'!$U$4:$U$503,(_calc!$E$867-500)))=0,"",INDEX('My equipment'!$U$4:$U$503,(_calc!$E$867-500))))=0,"","Registered: "&amp;IF(LEN(INDEX('My equipment'!$U$4:$U$503,(_calc!$E$867-500)))=0,"",INDEX('My equipment'!$U$4:$U$503,(_calc!$E$867-500)))&amp;". ")&amp;IF(LEN(IF(LEN(INDEX('My equipment'!$V$4:$V$503,(_calc!$E$867-500)))=0,"",INDEX('My equipment'!$V$4:$V$503,(_calc!$E$867-500))))=0,"","Proof on file: "&amp;IF(LEN(INDEX('My equipment'!$V$4:$V$503,(_calc!$E$867-500)))=0,"",INDEX('My equipment'!$V$4:$V$503,(_calc!$E$867-500)))&amp;". ")&amp;IF(LEN(IF(LEN(INDEX('My equipment'!$W$4:$W$503,(_calc!$E$867-500)))=0,"",INDEX('My equipment'!$W$4:$W$503,(_calc!$E$867-500))))=0,"","Claim ref: "&amp;IF(LEN(INDEX('My equipment'!$W$4:$W$503,(_calc!$E$867-500)))=0,"",INDEX('My equipment'!$W$4:$W$503,(_calc!$E$867-500)))&amp;". ")&amp;IF(LEN(IF(LEN(INDEX('My equipment'!$Y$4:$Y$503,(_calc!$E$867-500)))=0,"",INDEX('My equipment'!$Y$4:$Y$503,(_calc!$E$867-500))))=0,"",IF(LEN(INDEX('My equipment'!$Y$4:$Y$503,(_calc!$E$867-500)))=0,"",INDEX('My equipment'!$Y$4:$Y$503,(_calc!$E$867-500)))))))</f>
        <v/>
      </c>
      <c r="G865" s="54">
        <f>IF(_calc!$E$867="","",IF(_calc!$E$867&lt;=500,"",IF(LEN(INDEX('My equipment'!$X$4:$X$503,(_calc!$E$867-500)))=0,"",INDEX('My equipment'!$X$4:$X$503,(_calc!$E$867-500)))))</f>
        <v/>
      </c>
      <c r="K865" s="54">
        <f>IF(_calc!$E$867="","",IF(_calc!$E$867&lt;=500,"",IF(LEN(INDEX('My equipment'!$T$4:$T$503,(_calc!$E$867-500)))=0,"",INDEX('My equipment'!$T$4:$T$503,(_calc!$E$867-500)))))</f>
        <v/>
      </c>
    </row>
    <row r="866">
      <c r="A866" s="54">
        <f>IF(_calc!$E$868="","",IF(_calc!$E$868&lt;=500,"Warranty – "&amp;IF(LEN(INDEX('Dealer pipeline'!$C$4:$C$503,_calc!$E$868))=0,"",INDEX('Dealer pipeline'!$C$4:$C$503,_calc!$E$868))&amp;" – "&amp;IF(LEN(INDEX('Dealer pipeline'!$D$4:$D$503,_calc!$E$868))=0,"",INDEX('Dealer pipeline'!$D$4:$D$503,_calc!$E$868))&amp;" – "&amp;IF(LEN(INDEX('Dealer pipeline'!$A$4:$A$503,_calc!$E$868))=0,"",INDEX('Dealer pipeline'!$A$4:$A$503,_calc!$E$868)),"Warranty – "&amp;IF(LEN(INDEX('My equipment'!$A$4:$A$503,(_calc!$E$868-500)))=0,"",INDEX('My equipment'!$A$4:$A$503,(_calc!$E$868-500)))&amp;" – "&amp;IF(LEN(INDEX('My equipment'!$D$4:$D$503,(_calc!$E$868-500)))=0,"",INDEX('My equipment'!$D$4:$D$503,(_calc!$E$868-500)))))</f>
        <v/>
      </c>
      <c r="B866" s="54">
        <f>IF(_calc!$E$868="","",IF(_calc!$E$868&lt;=500,IF(ISNUMBER(INDEX('Dealer pipeline'!$M$4:$M$503,_calc!$E$868)),TEXT(INDEX('Dealer pipeline'!$M$4:$M$503,_calc!$E$868),"yyyy-mm-dd"),""),IF(ISNUMBER(INDEX('My equipment'!$M$4:$M$503,(_calc!$E$868-500))),TEXT(INDEX('My equipment'!$M$4:$M$503,(_calc!$E$868-500)),"yyyy-mm-dd"),"")))</f>
        <v/>
      </c>
      <c r="C866" s="54">
        <f>IF(_calc!$E$868="","",IF(_calc!$E$868&lt;=500,"Warranty","Warranty"))</f>
        <v/>
      </c>
      <c r="D866" s="54">
        <f>IF(_calc!$E$868="","",IF(_calc!$E$868&lt;=500,IF(ISNUMBER(INDEX('Dealer pipeline'!$H$4:$H$503,_calc!$E$868)),TEXT(INDEX('Dealer pipeline'!$H$4:$H$503,_calc!$E$868),"yyyy-mm-dd"),""),IF(ISNUMBER(INDEX('My equipment'!$H$4:$H$503,(_calc!$E$868-500))),TEXT(INDEX('My equipment'!$H$4:$H$503,(_calc!$E$868-500)),"yyyy-mm-dd"),"")))</f>
        <v/>
      </c>
      <c r="F866" s="54">
        <f>IF(_calc!$E$868="","",IF(_calc!$E$868&lt;=500,TRIM(IF(LEN(IF(LEN(INDEX('Dealer pipeline'!$A$4:$A$503,_calc!$E$868))=0,"",INDEX('Dealer pipeline'!$A$4:$A$503,_calc!$E$868)))=0,"","Customer: "&amp;IF(LEN(INDEX('Dealer pipeline'!$A$4:$A$503,_calc!$E$868))=0,"",INDEX('Dealer pipeline'!$A$4:$A$503,_calc!$E$868))&amp;". ")&amp;IF(LEN(IF(LEN(INDEX('Dealer pipeline'!$B$4:$B$503,_calc!$E$868))=0,"",INDEX('Dealer pipeline'!$B$4:$B$503,_calc!$E$868)))=0,"","Contact: "&amp;IF(LEN(INDEX('Dealer pipeline'!$B$4:$B$503,_calc!$E$868))=0,"",INDEX('Dealer pipeline'!$B$4:$B$503,_calc!$E$868))&amp;". ")&amp;IF(LEN(IF(LEN(INDEX('Dealer pipeline'!$D$4:$D$503,_calc!$E$868))=0,"",INDEX('Dealer pipeline'!$D$4:$D$503,_calc!$E$868)))=0,"","Serial: "&amp;IF(LEN(INDEX('Dealer pipeline'!$D$4:$D$503,_calc!$E$868))=0,"",INDEX('Dealer pipeline'!$D$4:$D$503,_calc!$E$868))&amp;". ")&amp;IF(LEN(IF(ISNUMBER(INDEX('Dealer pipeline'!$J$4:$J$503,_calc!$E$868)),TEXT(INDEX('Dealer pipeline'!$J$4:$J$503,_calc!$E$868),"yyyy-mm-dd"),""))=0,"","Parts end: "&amp;IF(ISNUMBER(INDEX('Dealer pipeline'!$J$4:$J$503,_calc!$E$868)),TEXT(INDEX('Dealer pipeline'!$J$4:$J$503,_calc!$E$868),"yyyy-mm-dd"),"")&amp;". ")&amp;IF(LEN(IF(ISNUMBER(INDEX('Dealer pipeline'!$L$4:$L$503,_calc!$E$868)),TEXT(INDEX('Dealer pipeline'!$L$4:$L$503,_calc!$E$868),"yyyy-mm-dd"),""))=0,"","Labor end: "&amp;IF(ISNUMBER(INDEX('Dealer pipeline'!$L$4:$L$503,_calc!$E$868)),TEXT(INDEX('Dealer pipeline'!$L$4:$L$503,_calc!$E$868),"yyyy-mm-dd"),"")&amp;". ")&amp;IF(LEN(IF(LEN(INDEX('Dealer pipeline'!$Q$4:$Q$503,_calc!$E$868))=0,"",INDEX('Dealer pipeline'!$Q$4:$Q$503,_calc!$E$868)))=0,"","Status: "&amp;IF(LEN(INDEX('Dealer pipeline'!$Q$4:$Q$503,_calc!$E$868))=0,"",INDEX('Dealer pipeline'!$Q$4:$Q$503,_calc!$E$868))&amp;". ")&amp;IF(LEN(IF(LEN(INDEX('Dealer pipeline'!$P$4:$P$503,_calc!$E$868))=0,"",INDEX('Dealer pipeline'!$P$4:$P$503,_calc!$E$868)))=0,"","Last touch: "&amp;IF(LEN(INDEX('Dealer pipeline'!$P$4:$P$503,_calc!$E$868))=0,"",INDEX('Dealer pipeline'!$P$4:$P$503,_calc!$E$868))&amp;". ")&amp;IF(LEN(IF(LEN(INDEX('Dealer pipeline'!$R$4:$R$503,_calc!$E$868))=0,"",INDEX('Dealer pipeline'!$R$4:$R$503,_calc!$E$868)))=0,"","Owner: "&amp;IF(LEN(INDEX('Dealer pipeline'!$R$4:$R$503,_calc!$E$868))=0,"",INDEX('Dealer pipeline'!$R$4:$R$503,_calc!$E$868))&amp;". ")&amp;IF(LEN(IF(LEN(INDEX('Dealer pipeline'!$S$4:$S$503,_calc!$E$868))=0,"",INDEX('Dealer pipeline'!$S$4:$S$503,_calc!$E$868)))=0,"","Backup: "&amp;IF(LEN(INDEX('Dealer pipeline'!$S$4:$S$503,_calc!$E$868))=0,"",INDEX('Dealer pipeline'!$S$4:$S$503,_calc!$E$868))&amp;". ")&amp;IF(LEN(IF(LEN(INDEX('Dealer pipeline'!$T$4:$T$503,_calc!$E$868))=0,"",INDEX('Dealer pipeline'!$T$4:$T$503,_calc!$E$868)))=0,"",IF(LEN(INDEX('Dealer pipeline'!$T$4:$T$503,_calc!$E$868))=0,"",INDEX('Dealer pipeline'!$T$4:$T$503,_calc!$E$868)))),TRIM(IF(LEN(IF(LEN(INDEX('My equipment'!$C$4:$C$503,(_calc!$E$868-500)))=0,"",INDEX('My equipment'!$C$4:$C$503,(_calc!$E$868-500))))=0,"","Model: "&amp;IF(LEN(INDEX('My equipment'!$C$4:$C$503,(_calc!$E$868-500)))=0,"",INDEX('My equipment'!$C$4:$C$503,(_calc!$E$868-500)))&amp;". ")&amp;IF(LEN(IF(LEN(INDEX('My equipment'!$D$4:$D$503,(_calc!$E$868-500)))=0,"",INDEX('My equipment'!$D$4:$D$503,(_calc!$E$868-500))))=0,"","Serial: "&amp;IF(LEN(INDEX('My equipment'!$D$4:$D$503,(_calc!$E$868-500)))=0,"",INDEX('My equipment'!$D$4:$D$503,(_calc!$E$868-500)))&amp;". ")&amp;IF(LEN(IF(ISNUMBER(INDEX('My equipment'!$J$4:$J$503,(_calc!$E$868-500))),TEXT(INDEX('My equipment'!$J$4:$J$503,(_calc!$E$868-500)),"yyyy-mm-dd"),""))=0,"","Parts end: "&amp;IF(ISNUMBER(INDEX('My equipment'!$J$4:$J$503,(_calc!$E$868-500))),TEXT(INDEX('My equipment'!$J$4:$J$503,(_calc!$E$868-500)),"yyyy-mm-dd"),"")&amp;". ")&amp;IF(LEN(IF(ISNUMBER(INDEX('My equipment'!$L$4:$L$503,(_calc!$E$868-500))),TEXT(INDEX('My equipment'!$L$4:$L$503,(_calc!$E$868-500)),"yyyy-mm-dd"),""))=0,"","Labor end: "&amp;IF(ISNUMBER(INDEX('My equipment'!$L$4:$L$503,(_calc!$E$868-500))),TEXT(INDEX('My equipment'!$L$4:$L$503,(_calc!$E$868-500)),"yyyy-mm-dd"),"")&amp;". ")&amp;IF(LEN(IF(ISNUMBER(INDEX('My equipment'!$P$4:$P$503,(_calc!$E$868-500))),TEXT(INDEX('My equipment'!$P$4:$P$503,(_calc!$E$868-500)),"yyyy-mm-dd"),""))=0,"","Check by: "&amp;IF(ISNUMBER(INDEX('My equipment'!$P$4:$P$503,(_calc!$E$868-500))),TEXT(INDEX('My equipment'!$P$4:$P$503,(_calc!$E$868-500)),"yyyy-mm-dd"),"")&amp;". ")&amp;IF(LEN(IF(LEN(INDEX('My equipment'!$Q$4:$Q$503,(_calc!$E$868-500)))=0,"",INDEX('My equipment'!$Q$4:$Q$503,(_calc!$E$868-500))))=0,"","Claim status: "&amp;IF(LEN(INDEX('My equipment'!$Q$4:$Q$503,(_calc!$E$868-500)))=0,"",INDEX('My equipment'!$Q$4:$Q$503,(_calc!$E$868-500)))&amp;". ")&amp;IF(LEN(IF(LEN(INDEX('My equipment'!$R$4:$R$503,(_calc!$E$868-500)))=0,"",INDEX('My equipment'!$R$4:$R$503,(_calc!$E$868-500))))=0,"","Claims contact: "&amp;IF(LEN(INDEX('My equipment'!$R$4:$R$503,(_calc!$E$868-500)))=0,"",INDEX('My equipment'!$R$4:$R$503,(_calc!$E$868-500)))&amp;". ")&amp;IF(LEN(IF(LEN(INDEX('My equipment'!$S$4:$S$503,(_calc!$E$868-500)))=0,"",INDEX('My equipment'!$S$4:$S$503,(_calc!$E$868-500))))=0,"","Claims email: "&amp;IF(LEN(INDEX('My equipment'!$S$4:$S$503,(_calc!$E$868-500)))=0,"",INDEX('My equipment'!$S$4:$S$503,(_calc!$E$868-500)))&amp;". ")&amp;IF(LEN(IF(LEN(INDEX('My equipment'!$U$4:$U$503,(_calc!$E$868-500)))=0,"",INDEX('My equipment'!$U$4:$U$503,(_calc!$E$868-500))))=0,"","Registered: "&amp;IF(LEN(INDEX('My equipment'!$U$4:$U$503,(_calc!$E$868-500)))=0,"",INDEX('My equipment'!$U$4:$U$503,(_calc!$E$868-500)))&amp;". ")&amp;IF(LEN(IF(LEN(INDEX('My equipment'!$V$4:$V$503,(_calc!$E$868-500)))=0,"",INDEX('My equipment'!$V$4:$V$503,(_calc!$E$868-500))))=0,"","Proof on file: "&amp;IF(LEN(INDEX('My equipment'!$V$4:$V$503,(_calc!$E$868-500)))=0,"",INDEX('My equipment'!$V$4:$V$503,(_calc!$E$868-500)))&amp;". ")&amp;IF(LEN(IF(LEN(INDEX('My equipment'!$W$4:$W$503,(_calc!$E$868-500)))=0,"",INDEX('My equipment'!$W$4:$W$503,(_calc!$E$868-500))))=0,"","Claim ref: "&amp;IF(LEN(INDEX('My equipment'!$W$4:$W$503,(_calc!$E$868-500)))=0,"",INDEX('My equipment'!$W$4:$W$503,(_calc!$E$868-500)))&amp;". ")&amp;IF(LEN(IF(LEN(INDEX('My equipment'!$Y$4:$Y$503,(_calc!$E$868-500)))=0,"",INDEX('My equipment'!$Y$4:$Y$503,(_calc!$E$868-500))))=0,"",IF(LEN(INDEX('My equipment'!$Y$4:$Y$503,(_calc!$E$868-500)))=0,"",INDEX('My equipment'!$Y$4:$Y$503,(_calc!$E$868-500)))))))</f>
        <v/>
      </c>
      <c r="G866" s="54">
        <f>IF(_calc!$E$868="","",IF(_calc!$E$868&lt;=500,"",IF(LEN(INDEX('My equipment'!$X$4:$X$503,(_calc!$E$868-500)))=0,"",INDEX('My equipment'!$X$4:$X$503,(_calc!$E$868-500)))))</f>
        <v/>
      </c>
      <c r="K866" s="54">
        <f>IF(_calc!$E$868="","",IF(_calc!$E$868&lt;=500,"",IF(LEN(INDEX('My equipment'!$T$4:$T$503,(_calc!$E$868-500)))=0,"",INDEX('My equipment'!$T$4:$T$503,(_calc!$E$868-500)))))</f>
        <v/>
      </c>
    </row>
    <row r="867">
      <c r="A867" s="54">
        <f>IF(_calc!$E$869="","",IF(_calc!$E$869&lt;=500,"Warranty – "&amp;IF(LEN(INDEX('Dealer pipeline'!$C$4:$C$503,_calc!$E$869))=0,"",INDEX('Dealer pipeline'!$C$4:$C$503,_calc!$E$869))&amp;" – "&amp;IF(LEN(INDEX('Dealer pipeline'!$D$4:$D$503,_calc!$E$869))=0,"",INDEX('Dealer pipeline'!$D$4:$D$503,_calc!$E$869))&amp;" – "&amp;IF(LEN(INDEX('Dealer pipeline'!$A$4:$A$503,_calc!$E$869))=0,"",INDEX('Dealer pipeline'!$A$4:$A$503,_calc!$E$869)),"Warranty – "&amp;IF(LEN(INDEX('My equipment'!$A$4:$A$503,(_calc!$E$869-500)))=0,"",INDEX('My equipment'!$A$4:$A$503,(_calc!$E$869-500)))&amp;" – "&amp;IF(LEN(INDEX('My equipment'!$D$4:$D$503,(_calc!$E$869-500)))=0,"",INDEX('My equipment'!$D$4:$D$503,(_calc!$E$869-500)))))</f>
        <v/>
      </c>
      <c r="B867" s="54">
        <f>IF(_calc!$E$869="","",IF(_calc!$E$869&lt;=500,IF(ISNUMBER(INDEX('Dealer pipeline'!$M$4:$M$503,_calc!$E$869)),TEXT(INDEX('Dealer pipeline'!$M$4:$M$503,_calc!$E$869),"yyyy-mm-dd"),""),IF(ISNUMBER(INDEX('My equipment'!$M$4:$M$503,(_calc!$E$869-500))),TEXT(INDEX('My equipment'!$M$4:$M$503,(_calc!$E$869-500)),"yyyy-mm-dd"),"")))</f>
        <v/>
      </c>
      <c r="C867" s="54">
        <f>IF(_calc!$E$869="","",IF(_calc!$E$869&lt;=500,"Warranty","Warranty"))</f>
        <v/>
      </c>
      <c r="D867" s="54">
        <f>IF(_calc!$E$869="","",IF(_calc!$E$869&lt;=500,IF(ISNUMBER(INDEX('Dealer pipeline'!$H$4:$H$503,_calc!$E$869)),TEXT(INDEX('Dealer pipeline'!$H$4:$H$503,_calc!$E$869),"yyyy-mm-dd"),""),IF(ISNUMBER(INDEX('My equipment'!$H$4:$H$503,(_calc!$E$869-500))),TEXT(INDEX('My equipment'!$H$4:$H$503,(_calc!$E$869-500)),"yyyy-mm-dd"),"")))</f>
        <v/>
      </c>
      <c r="F867" s="54">
        <f>IF(_calc!$E$869="","",IF(_calc!$E$869&lt;=500,TRIM(IF(LEN(IF(LEN(INDEX('Dealer pipeline'!$A$4:$A$503,_calc!$E$869))=0,"",INDEX('Dealer pipeline'!$A$4:$A$503,_calc!$E$869)))=0,"","Customer: "&amp;IF(LEN(INDEX('Dealer pipeline'!$A$4:$A$503,_calc!$E$869))=0,"",INDEX('Dealer pipeline'!$A$4:$A$503,_calc!$E$869))&amp;". ")&amp;IF(LEN(IF(LEN(INDEX('Dealer pipeline'!$B$4:$B$503,_calc!$E$869))=0,"",INDEX('Dealer pipeline'!$B$4:$B$503,_calc!$E$869)))=0,"","Contact: "&amp;IF(LEN(INDEX('Dealer pipeline'!$B$4:$B$503,_calc!$E$869))=0,"",INDEX('Dealer pipeline'!$B$4:$B$503,_calc!$E$869))&amp;". ")&amp;IF(LEN(IF(LEN(INDEX('Dealer pipeline'!$D$4:$D$503,_calc!$E$869))=0,"",INDEX('Dealer pipeline'!$D$4:$D$503,_calc!$E$869)))=0,"","Serial: "&amp;IF(LEN(INDEX('Dealer pipeline'!$D$4:$D$503,_calc!$E$869))=0,"",INDEX('Dealer pipeline'!$D$4:$D$503,_calc!$E$869))&amp;". ")&amp;IF(LEN(IF(ISNUMBER(INDEX('Dealer pipeline'!$J$4:$J$503,_calc!$E$869)),TEXT(INDEX('Dealer pipeline'!$J$4:$J$503,_calc!$E$869),"yyyy-mm-dd"),""))=0,"","Parts end: "&amp;IF(ISNUMBER(INDEX('Dealer pipeline'!$J$4:$J$503,_calc!$E$869)),TEXT(INDEX('Dealer pipeline'!$J$4:$J$503,_calc!$E$869),"yyyy-mm-dd"),"")&amp;". ")&amp;IF(LEN(IF(ISNUMBER(INDEX('Dealer pipeline'!$L$4:$L$503,_calc!$E$869)),TEXT(INDEX('Dealer pipeline'!$L$4:$L$503,_calc!$E$869),"yyyy-mm-dd"),""))=0,"","Labor end: "&amp;IF(ISNUMBER(INDEX('Dealer pipeline'!$L$4:$L$503,_calc!$E$869)),TEXT(INDEX('Dealer pipeline'!$L$4:$L$503,_calc!$E$869),"yyyy-mm-dd"),"")&amp;". ")&amp;IF(LEN(IF(LEN(INDEX('Dealer pipeline'!$Q$4:$Q$503,_calc!$E$869))=0,"",INDEX('Dealer pipeline'!$Q$4:$Q$503,_calc!$E$869)))=0,"","Status: "&amp;IF(LEN(INDEX('Dealer pipeline'!$Q$4:$Q$503,_calc!$E$869))=0,"",INDEX('Dealer pipeline'!$Q$4:$Q$503,_calc!$E$869))&amp;". ")&amp;IF(LEN(IF(LEN(INDEX('Dealer pipeline'!$P$4:$P$503,_calc!$E$869))=0,"",INDEX('Dealer pipeline'!$P$4:$P$503,_calc!$E$869)))=0,"","Last touch: "&amp;IF(LEN(INDEX('Dealer pipeline'!$P$4:$P$503,_calc!$E$869))=0,"",INDEX('Dealer pipeline'!$P$4:$P$503,_calc!$E$869))&amp;". ")&amp;IF(LEN(IF(LEN(INDEX('Dealer pipeline'!$R$4:$R$503,_calc!$E$869))=0,"",INDEX('Dealer pipeline'!$R$4:$R$503,_calc!$E$869)))=0,"","Owner: "&amp;IF(LEN(INDEX('Dealer pipeline'!$R$4:$R$503,_calc!$E$869))=0,"",INDEX('Dealer pipeline'!$R$4:$R$503,_calc!$E$869))&amp;". ")&amp;IF(LEN(IF(LEN(INDEX('Dealer pipeline'!$S$4:$S$503,_calc!$E$869))=0,"",INDEX('Dealer pipeline'!$S$4:$S$503,_calc!$E$869)))=0,"","Backup: "&amp;IF(LEN(INDEX('Dealer pipeline'!$S$4:$S$503,_calc!$E$869))=0,"",INDEX('Dealer pipeline'!$S$4:$S$503,_calc!$E$869))&amp;". ")&amp;IF(LEN(IF(LEN(INDEX('Dealer pipeline'!$T$4:$T$503,_calc!$E$869))=0,"",INDEX('Dealer pipeline'!$T$4:$T$503,_calc!$E$869)))=0,"",IF(LEN(INDEX('Dealer pipeline'!$T$4:$T$503,_calc!$E$869))=0,"",INDEX('Dealer pipeline'!$T$4:$T$503,_calc!$E$869)))),TRIM(IF(LEN(IF(LEN(INDEX('My equipment'!$C$4:$C$503,(_calc!$E$869-500)))=0,"",INDEX('My equipment'!$C$4:$C$503,(_calc!$E$869-500))))=0,"","Model: "&amp;IF(LEN(INDEX('My equipment'!$C$4:$C$503,(_calc!$E$869-500)))=0,"",INDEX('My equipment'!$C$4:$C$503,(_calc!$E$869-500)))&amp;". ")&amp;IF(LEN(IF(LEN(INDEX('My equipment'!$D$4:$D$503,(_calc!$E$869-500)))=0,"",INDEX('My equipment'!$D$4:$D$503,(_calc!$E$869-500))))=0,"","Serial: "&amp;IF(LEN(INDEX('My equipment'!$D$4:$D$503,(_calc!$E$869-500)))=0,"",INDEX('My equipment'!$D$4:$D$503,(_calc!$E$869-500)))&amp;". ")&amp;IF(LEN(IF(ISNUMBER(INDEX('My equipment'!$J$4:$J$503,(_calc!$E$869-500))),TEXT(INDEX('My equipment'!$J$4:$J$503,(_calc!$E$869-500)),"yyyy-mm-dd"),""))=0,"","Parts end: "&amp;IF(ISNUMBER(INDEX('My equipment'!$J$4:$J$503,(_calc!$E$869-500))),TEXT(INDEX('My equipment'!$J$4:$J$503,(_calc!$E$869-500)),"yyyy-mm-dd"),"")&amp;". ")&amp;IF(LEN(IF(ISNUMBER(INDEX('My equipment'!$L$4:$L$503,(_calc!$E$869-500))),TEXT(INDEX('My equipment'!$L$4:$L$503,(_calc!$E$869-500)),"yyyy-mm-dd"),""))=0,"","Labor end: "&amp;IF(ISNUMBER(INDEX('My equipment'!$L$4:$L$503,(_calc!$E$869-500))),TEXT(INDEX('My equipment'!$L$4:$L$503,(_calc!$E$869-500)),"yyyy-mm-dd"),"")&amp;". ")&amp;IF(LEN(IF(ISNUMBER(INDEX('My equipment'!$P$4:$P$503,(_calc!$E$869-500))),TEXT(INDEX('My equipment'!$P$4:$P$503,(_calc!$E$869-500)),"yyyy-mm-dd"),""))=0,"","Check by: "&amp;IF(ISNUMBER(INDEX('My equipment'!$P$4:$P$503,(_calc!$E$869-500))),TEXT(INDEX('My equipment'!$P$4:$P$503,(_calc!$E$869-500)),"yyyy-mm-dd"),"")&amp;". ")&amp;IF(LEN(IF(LEN(INDEX('My equipment'!$Q$4:$Q$503,(_calc!$E$869-500)))=0,"",INDEX('My equipment'!$Q$4:$Q$503,(_calc!$E$869-500))))=0,"","Claim status: "&amp;IF(LEN(INDEX('My equipment'!$Q$4:$Q$503,(_calc!$E$869-500)))=0,"",INDEX('My equipment'!$Q$4:$Q$503,(_calc!$E$869-500)))&amp;". ")&amp;IF(LEN(IF(LEN(INDEX('My equipment'!$R$4:$R$503,(_calc!$E$869-500)))=0,"",INDEX('My equipment'!$R$4:$R$503,(_calc!$E$869-500))))=0,"","Claims contact: "&amp;IF(LEN(INDEX('My equipment'!$R$4:$R$503,(_calc!$E$869-500)))=0,"",INDEX('My equipment'!$R$4:$R$503,(_calc!$E$869-500)))&amp;". ")&amp;IF(LEN(IF(LEN(INDEX('My equipment'!$S$4:$S$503,(_calc!$E$869-500)))=0,"",INDEX('My equipment'!$S$4:$S$503,(_calc!$E$869-500))))=0,"","Claims email: "&amp;IF(LEN(INDEX('My equipment'!$S$4:$S$503,(_calc!$E$869-500)))=0,"",INDEX('My equipment'!$S$4:$S$503,(_calc!$E$869-500)))&amp;". ")&amp;IF(LEN(IF(LEN(INDEX('My equipment'!$U$4:$U$503,(_calc!$E$869-500)))=0,"",INDEX('My equipment'!$U$4:$U$503,(_calc!$E$869-500))))=0,"","Registered: "&amp;IF(LEN(INDEX('My equipment'!$U$4:$U$503,(_calc!$E$869-500)))=0,"",INDEX('My equipment'!$U$4:$U$503,(_calc!$E$869-500)))&amp;". ")&amp;IF(LEN(IF(LEN(INDEX('My equipment'!$V$4:$V$503,(_calc!$E$869-500)))=0,"",INDEX('My equipment'!$V$4:$V$503,(_calc!$E$869-500))))=0,"","Proof on file: "&amp;IF(LEN(INDEX('My equipment'!$V$4:$V$503,(_calc!$E$869-500)))=0,"",INDEX('My equipment'!$V$4:$V$503,(_calc!$E$869-500)))&amp;". ")&amp;IF(LEN(IF(LEN(INDEX('My equipment'!$W$4:$W$503,(_calc!$E$869-500)))=0,"",INDEX('My equipment'!$W$4:$W$503,(_calc!$E$869-500))))=0,"","Claim ref: "&amp;IF(LEN(INDEX('My equipment'!$W$4:$W$503,(_calc!$E$869-500)))=0,"",INDEX('My equipment'!$W$4:$W$503,(_calc!$E$869-500)))&amp;". ")&amp;IF(LEN(IF(LEN(INDEX('My equipment'!$Y$4:$Y$503,(_calc!$E$869-500)))=0,"",INDEX('My equipment'!$Y$4:$Y$503,(_calc!$E$869-500))))=0,"",IF(LEN(INDEX('My equipment'!$Y$4:$Y$503,(_calc!$E$869-500)))=0,"",INDEX('My equipment'!$Y$4:$Y$503,(_calc!$E$869-500)))))))</f>
        <v/>
      </c>
      <c r="G867" s="54">
        <f>IF(_calc!$E$869="","",IF(_calc!$E$869&lt;=500,"",IF(LEN(INDEX('My equipment'!$X$4:$X$503,(_calc!$E$869-500)))=0,"",INDEX('My equipment'!$X$4:$X$503,(_calc!$E$869-500)))))</f>
        <v/>
      </c>
      <c r="K867" s="54">
        <f>IF(_calc!$E$869="","",IF(_calc!$E$869&lt;=500,"",IF(LEN(INDEX('My equipment'!$T$4:$T$503,(_calc!$E$869-500)))=0,"",INDEX('My equipment'!$T$4:$T$503,(_calc!$E$869-500)))))</f>
        <v/>
      </c>
    </row>
    <row r="868">
      <c r="A868" s="54">
        <f>IF(_calc!$E$870="","",IF(_calc!$E$870&lt;=500,"Warranty – "&amp;IF(LEN(INDEX('Dealer pipeline'!$C$4:$C$503,_calc!$E$870))=0,"",INDEX('Dealer pipeline'!$C$4:$C$503,_calc!$E$870))&amp;" – "&amp;IF(LEN(INDEX('Dealer pipeline'!$D$4:$D$503,_calc!$E$870))=0,"",INDEX('Dealer pipeline'!$D$4:$D$503,_calc!$E$870))&amp;" – "&amp;IF(LEN(INDEX('Dealer pipeline'!$A$4:$A$503,_calc!$E$870))=0,"",INDEX('Dealer pipeline'!$A$4:$A$503,_calc!$E$870)),"Warranty – "&amp;IF(LEN(INDEX('My equipment'!$A$4:$A$503,(_calc!$E$870-500)))=0,"",INDEX('My equipment'!$A$4:$A$503,(_calc!$E$870-500)))&amp;" – "&amp;IF(LEN(INDEX('My equipment'!$D$4:$D$503,(_calc!$E$870-500)))=0,"",INDEX('My equipment'!$D$4:$D$503,(_calc!$E$870-500)))))</f>
        <v/>
      </c>
      <c r="B868" s="54">
        <f>IF(_calc!$E$870="","",IF(_calc!$E$870&lt;=500,IF(ISNUMBER(INDEX('Dealer pipeline'!$M$4:$M$503,_calc!$E$870)),TEXT(INDEX('Dealer pipeline'!$M$4:$M$503,_calc!$E$870),"yyyy-mm-dd"),""),IF(ISNUMBER(INDEX('My equipment'!$M$4:$M$503,(_calc!$E$870-500))),TEXT(INDEX('My equipment'!$M$4:$M$503,(_calc!$E$870-500)),"yyyy-mm-dd"),"")))</f>
        <v/>
      </c>
      <c r="C868" s="54">
        <f>IF(_calc!$E$870="","",IF(_calc!$E$870&lt;=500,"Warranty","Warranty"))</f>
        <v/>
      </c>
      <c r="D868" s="54">
        <f>IF(_calc!$E$870="","",IF(_calc!$E$870&lt;=500,IF(ISNUMBER(INDEX('Dealer pipeline'!$H$4:$H$503,_calc!$E$870)),TEXT(INDEX('Dealer pipeline'!$H$4:$H$503,_calc!$E$870),"yyyy-mm-dd"),""),IF(ISNUMBER(INDEX('My equipment'!$H$4:$H$503,(_calc!$E$870-500))),TEXT(INDEX('My equipment'!$H$4:$H$503,(_calc!$E$870-500)),"yyyy-mm-dd"),"")))</f>
        <v/>
      </c>
      <c r="F868" s="54">
        <f>IF(_calc!$E$870="","",IF(_calc!$E$870&lt;=500,TRIM(IF(LEN(IF(LEN(INDEX('Dealer pipeline'!$A$4:$A$503,_calc!$E$870))=0,"",INDEX('Dealer pipeline'!$A$4:$A$503,_calc!$E$870)))=0,"","Customer: "&amp;IF(LEN(INDEX('Dealer pipeline'!$A$4:$A$503,_calc!$E$870))=0,"",INDEX('Dealer pipeline'!$A$4:$A$503,_calc!$E$870))&amp;". ")&amp;IF(LEN(IF(LEN(INDEX('Dealer pipeline'!$B$4:$B$503,_calc!$E$870))=0,"",INDEX('Dealer pipeline'!$B$4:$B$503,_calc!$E$870)))=0,"","Contact: "&amp;IF(LEN(INDEX('Dealer pipeline'!$B$4:$B$503,_calc!$E$870))=0,"",INDEX('Dealer pipeline'!$B$4:$B$503,_calc!$E$870))&amp;". ")&amp;IF(LEN(IF(LEN(INDEX('Dealer pipeline'!$D$4:$D$503,_calc!$E$870))=0,"",INDEX('Dealer pipeline'!$D$4:$D$503,_calc!$E$870)))=0,"","Serial: "&amp;IF(LEN(INDEX('Dealer pipeline'!$D$4:$D$503,_calc!$E$870))=0,"",INDEX('Dealer pipeline'!$D$4:$D$503,_calc!$E$870))&amp;". ")&amp;IF(LEN(IF(ISNUMBER(INDEX('Dealer pipeline'!$J$4:$J$503,_calc!$E$870)),TEXT(INDEX('Dealer pipeline'!$J$4:$J$503,_calc!$E$870),"yyyy-mm-dd"),""))=0,"","Parts end: "&amp;IF(ISNUMBER(INDEX('Dealer pipeline'!$J$4:$J$503,_calc!$E$870)),TEXT(INDEX('Dealer pipeline'!$J$4:$J$503,_calc!$E$870),"yyyy-mm-dd"),"")&amp;". ")&amp;IF(LEN(IF(ISNUMBER(INDEX('Dealer pipeline'!$L$4:$L$503,_calc!$E$870)),TEXT(INDEX('Dealer pipeline'!$L$4:$L$503,_calc!$E$870),"yyyy-mm-dd"),""))=0,"","Labor end: "&amp;IF(ISNUMBER(INDEX('Dealer pipeline'!$L$4:$L$503,_calc!$E$870)),TEXT(INDEX('Dealer pipeline'!$L$4:$L$503,_calc!$E$870),"yyyy-mm-dd"),"")&amp;". ")&amp;IF(LEN(IF(LEN(INDEX('Dealer pipeline'!$Q$4:$Q$503,_calc!$E$870))=0,"",INDEX('Dealer pipeline'!$Q$4:$Q$503,_calc!$E$870)))=0,"","Status: "&amp;IF(LEN(INDEX('Dealer pipeline'!$Q$4:$Q$503,_calc!$E$870))=0,"",INDEX('Dealer pipeline'!$Q$4:$Q$503,_calc!$E$870))&amp;". ")&amp;IF(LEN(IF(LEN(INDEX('Dealer pipeline'!$P$4:$P$503,_calc!$E$870))=0,"",INDEX('Dealer pipeline'!$P$4:$P$503,_calc!$E$870)))=0,"","Last touch: "&amp;IF(LEN(INDEX('Dealer pipeline'!$P$4:$P$503,_calc!$E$870))=0,"",INDEX('Dealer pipeline'!$P$4:$P$503,_calc!$E$870))&amp;". ")&amp;IF(LEN(IF(LEN(INDEX('Dealer pipeline'!$R$4:$R$503,_calc!$E$870))=0,"",INDEX('Dealer pipeline'!$R$4:$R$503,_calc!$E$870)))=0,"","Owner: "&amp;IF(LEN(INDEX('Dealer pipeline'!$R$4:$R$503,_calc!$E$870))=0,"",INDEX('Dealer pipeline'!$R$4:$R$503,_calc!$E$870))&amp;". ")&amp;IF(LEN(IF(LEN(INDEX('Dealer pipeline'!$S$4:$S$503,_calc!$E$870))=0,"",INDEX('Dealer pipeline'!$S$4:$S$503,_calc!$E$870)))=0,"","Backup: "&amp;IF(LEN(INDEX('Dealer pipeline'!$S$4:$S$503,_calc!$E$870))=0,"",INDEX('Dealer pipeline'!$S$4:$S$503,_calc!$E$870))&amp;". ")&amp;IF(LEN(IF(LEN(INDEX('Dealer pipeline'!$T$4:$T$503,_calc!$E$870))=0,"",INDEX('Dealer pipeline'!$T$4:$T$503,_calc!$E$870)))=0,"",IF(LEN(INDEX('Dealer pipeline'!$T$4:$T$503,_calc!$E$870))=0,"",INDEX('Dealer pipeline'!$T$4:$T$503,_calc!$E$870)))),TRIM(IF(LEN(IF(LEN(INDEX('My equipment'!$C$4:$C$503,(_calc!$E$870-500)))=0,"",INDEX('My equipment'!$C$4:$C$503,(_calc!$E$870-500))))=0,"","Model: "&amp;IF(LEN(INDEX('My equipment'!$C$4:$C$503,(_calc!$E$870-500)))=0,"",INDEX('My equipment'!$C$4:$C$503,(_calc!$E$870-500)))&amp;". ")&amp;IF(LEN(IF(LEN(INDEX('My equipment'!$D$4:$D$503,(_calc!$E$870-500)))=0,"",INDEX('My equipment'!$D$4:$D$503,(_calc!$E$870-500))))=0,"","Serial: "&amp;IF(LEN(INDEX('My equipment'!$D$4:$D$503,(_calc!$E$870-500)))=0,"",INDEX('My equipment'!$D$4:$D$503,(_calc!$E$870-500)))&amp;". ")&amp;IF(LEN(IF(ISNUMBER(INDEX('My equipment'!$J$4:$J$503,(_calc!$E$870-500))),TEXT(INDEX('My equipment'!$J$4:$J$503,(_calc!$E$870-500)),"yyyy-mm-dd"),""))=0,"","Parts end: "&amp;IF(ISNUMBER(INDEX('My equipment'!$J$4:$J$503,(_calc!$E$870-500))),TEXT(INDEX('My equipment'!$J$4:$J$503,(_calc!$E$870-500)),"yyyy-mm-dd"),"")&amp;". ")&amp;IF(LEN(IF(ISNUMBER(INDEX('My equipment'!$L$4:$L$503,(_calc!$E$870-500))),TEXT(INDEX('My equipment'!$L$4:$L$503,(_calc!$E$870-500)),"yyyy-mm-dd"),""))=0,"","Labor end: "&amp;IF(ISNUMBER(INDEX('My equipment'!$L$4:$L$503,(_calc!$E$870-500))),TEXT(INDEX('My equipment'!$L$4:$L$503,(_calc!$E$870-500)),"yyyy-mm-dd"),"")&amp;". ")&amp;IF(LEN(IF(ISNUMBER(INDEX('My equipment'!$P$4:$P$503,(_calc!$E$870-500))),TEXT(INDEX('My equipment'!$P$4:$P$503,(_calc!$E$870-500)),"yyyy-mm-dd"),""))=0,"","Check by: "&amp;IF(ISNUMBER(INDEX('My equipment'!$P$4:$P$503,(_calc!$E$870-500))),TEXT(INDEX('My equipment'!$P$4:$P$503,(_calc!$E$870-500)),"yyyy-mm-dd"),"")&amp;". ")&amp;IF(LEN(IF(LEN(INDEX('My equipment'!$Q$4:$Q$503,(_calc!$E$870-500)))=0,"",INDEX('My equipment'!$Q$4:$Q$503,(_calc!$E$870-500))))=0,"","Claim status: "&amp;IF(LEN(INDEX('My equipment'!$Q$4:$Q$503,(_calc!$E$870-500)))=0,"",INDEX('My equipment'!$Q$4:$Q$503,(_calc!$E$870-500)))&amp;". ")&amp;IF(LEN(IF(LEN(INDEX('My equipment'!$R$4:$R$503,(_calc!$E$870-500)))=0,"",INDEX('My equipment'!$R$4:$R$503,(_calc!$E$870-500))))=0,"","Claims contact: "&amp;IF(LEN(INDEX('My equipment'!$R$4:$R$503,(_calc!$E$870-500)))=0,"",INDEX('My equipment'!$R$4:$R$503,(_calc!$E$870-500)))&amp;". ")&amp;IF(LEN(IF(LEN(INDEX('My equipment'!$S$4:$S$503,(_calc!$E$870-500)))=0,"",INDEX('My equipment'!$S$4:$S$503,(_calc!$E$870-500))))=0,"","Claims email: "&amp;IF(LEN(INDEX('My equipment'!$S$4:$S$503,(_calc!$E$870-500)))=0,"",INDEX('My equipment'!$S$4:$S$503,(_calc!$E$870-500)))&amp;". ")&amp;IF(LEN(IF(LEN(INDEX('My equipment'!$U$4:$U$503,(_calc!$E$870-500)))=0,"",INDEX('My equipment'!$U$4:$U$503,(_calc!$E$870-500))))=0,"","Registered: "&amp;IF(LEN(INDEX('My equipment'!$U$4:$U$503,(_calc!$E$870-500)))=0,"",INDEX('My equipment'!$U$4:$U$503,(_calc!$E$870-500)))&amp;". ")&amp;IF(LEN(IF(LEN(INDEX('My equipment'!$V$4:$V$503,(_calc!$E$870-500)))=0,"",INDEX('My equipment'!$V$4:$V$503,(_calc!$E$870-500))))=0,"","Proof on file: "&amp;IF(LEN(INDEX('My equipment'!$V$4:$V$503,(_calc!$E$870-500)))=0,"",INDEX('My equipment'!$V$4:$V$503,(_calc!$E$870-500)))&amp;". ")&amp;IF(LEN(IF(LEN(INDEX('My equipment'!$W$4:$W$503,(_calc!$E$870-500)))=0,"",INDEX('My equipment'!$W$4:$W$503,(_calc!$E$870-500))))=0,"","Claim ref: "&amp;IF(LEN(INDEX('My equipment'!$W$4:$W$503,(_calc!$E$870-500)))=0,"",INDEX('My equipment'!$W$4:$W$503,(_calc!$E$870-500)))&amp;". ")&amp;IF(LEN(IF(LEN(INDEX('My equipment'!$Y$4:$Y$503,(_calc!$E$870-500)))=0,"",INDEX('My equipment'!$Y$4:$Y$503,(_calc!$E$870-500))))=0,"",IF(LEN(INDEX('My equipment'!$Y$4:$Y$503,(_calc!$E$870-500)))=0,"",INDEX('My equipment'!$Y$4:$Y$503,(_calc!$E$870-500)))))))</f>
        <v/>
      </c>
      <c r="G868" s="54">
        <f>IF(_calc!$E$870="","",IF(_calc!$E$870&lt;=500,"",IF(LEN(INDEX('My equipment'!$X$4:$X$503,(_calc!$E$870-500)))=0,"",INDEX('My equipment'!$X$4:$X$503,(_calc!$E$870-500)))))</f>
        <v/>
      </c>
      <c r="K868" s="54">
        <f>IF(_calc!$E$870="","",IF(_calc!$E$870&lt;=500,"",IF(LEN(INDEX('My equipment'!$T$4:$T$503,(_calc!$E$870-500)))=0,"",INDEX('My equipment'!$T$4:$T$503,(_calc!$E$870-500)))))</f>
        <v/>
      </c>
    </row>
    <row r="869">
      <c r="A869" s="54">
        <f>IF(_calc!$E$871="","",IF(_calc!$E$871&lt;=500,"Warranty – "&amp;IF(LEN(INDEX('Dealer pipeline'!$C$4:$C$503,_calc!$E$871))=0,"",INDEX('Dealer pipeline'!$C$4:$C$503,_calc!$E$871))&amp;" – "&amp;IF(LEN(INDEX('Dealer pipeline'!$D$4:$D$503,_calc!$E$871))=0,"",INDEX('Dealer pipeline'!$D$4:$D$503,_calc!$E$871))&amp;" – "&amp;IF(LEN(INDEX('Dealer pipeline'!$A$4:$A$503,_calc!$E$871))=0,"",INDEX('Dealer pipeline'!$A$4:$A$503,_calc!$E$871)),"Warranty – "&amp;IF(LEN(INDEX('My equipment'!$A$4:$A$503,(_calc!$E$871-500)))=0,"",INDEX('My equipment'!$A$4:$A$503,(_calc!$E$871-500)))&amp;" – "&amp;IF(LEN(INDEX('My equipment'!$D$4:$D$503,(_calc!$E$871-500)))=0,"",INDEX('My equipment'!$D$4:$D$503,(_calc!$E$871-500)))))</f>
        <v/>
      </c>
      <c r="B869" s="54">
        <f>IF(_calc!$E$871="","",IF(_calc!$E$871&lt;=500,IF(ISNUMBER(INDEX('Dealer pipeline'!$M$4:$M$503,_calc!$E$871)),TEXT(INDEX('Dealer pipeline'!$M$4:$M$503,_calc!$E$871),"yyyy-mm-dd"),""),IF(ISNUMBER(INDEX('My equipment'!$M$4:$M$503,(_calc!$E$871-500))),TEXT(INDEX('My equipment'!$M$4:$M$503,(_calc!$E$871-500)),"yyyy-mm-dd"),"")))</f>
        <v/>
      </c>
      <c r="C869" s="54">
        <f>IF(_calc!$E$871="","",IF(_calc!$E$871&lt;=500,"Warranty","Warranty"))</f>
        <v/>
      </c>
      <c r="D869" s="54">
        <f>IF(_calc!$E$871="","",IF(_calc!$E$871&lt;=500,IF(ISNUMBER(INDEX('Dealer pipeline'!$H$4:$H$503,_calc!$E$871)),TEXT(INDEX('Dealer pipeline'!$H$4:$H$503,_calc!$E$871),"yyyy-mm-dd"),""),IF(ISNUMBER(INDEX('My equipment'!$H$4:$H$503,(_calc!$E$871-500))),TEXT(INDEX('My equipment'!$H$4:$H$503,(_calc!$E$871-500)),"yyyy-mm-dd"),"")))</f>
        <v/>
      </c>
      <c r="F869" s="54">
        <f>IF(_calc!$E$871="","",IF(_calc!$E$871&lt;=500,TRIM(IF(LEN(IF(LEN(INDEX('Dealer pipeline'!$A$4:$A$503,_calc!$E$871))=0,"",INDEX('Dealer pipeline'!$A$4:$A$503,_calc!$E$871)))=0,"","Customer: "&amp;IF(LEN(INDEX('Dealer pipeline'!$A$4:$A$503,_calc!$E$871))=0,"",INDEX('Dealer pipeline'!$A$4:$A$503,_calc!$E$871))&amp;". ")&amp;IF(LEN(IF(LEN(INDEX('Dealer pipeline'!$B$4:$B$503,_calc!$E$871))=0,"",INDEX('Dealer pipeline'!$B$4:$B$503,_calc!$E$871)))=0,"","Contact: "&amp;IF(LEN(INDEX('Dealer pipeline'!$B$4:$B$503,_calc!$E$871))=0,"",INDEX('Dealer pipeline'!$B$4:$B$503,_calc!$E$871))&amp;". ")&amp;IF(LEN(IF(LEN(INDEX('Dealer pipeline'!$D$4:$D$503,_calc!$E$871))=0,"",INDEX('Dealer pipeline'!$D$4:$D$503,_calc!$E$871)))=0,"","Serial: "&amp;IF(LEN(INDEX('Dealer pipeline'!$D$4:$D$503,_calc!$E$871))=0,"",INDEX('Dealer pipeline'!$D$4:$D$503,_calc!$E$871))&amp;". ")&amp;IF(LEN(IF(ISNUMBER(INDEX('Dealer pipeline'!$J$4:$J$503,_calc!$E$871)),TEXT(INDEX('Dealer pipeline'!$J$4:$J$503,_calc!$E$871),"yyyy-mm-dd"),""))=0,"","Parts end: "&amp;IF(ISNUMBER(INDEX('Dealer pipeline'!$J$4:$J$503,_calc!$E$871)),TEXT(INDEX('Dealer pipeline'!$J$4:$J$503,_calc!$E$871),"yyyy-mm-dd"),"")&amp;". ")&amp;IF(LEN(IF(ISNUMBER(INDEX('Dealer pipeline'!$L$4:$L$503,_calc!$E$871)),TEXT(INDEX('Dealer pipeline'!$L$4:$L$503,_calc!$E$871),"yyyy-mm-dd"),""))=0,"","Labor end: "&amp;IF(ISNUMBER(INDEX('Dealer pipeline'!$L$4:$L$503,_calc!$E$871)),TEXT(INDEX('Dealer pipeline'!$L$4:$L$503,_calc!$E$871),"yyyy-mm-dd"),"")&amp;". ")&amp;IF(LEN(IF(LEN(INDEX('Dealer pipeline'!$Q$4:$Q$503,_calc!$E$871))=0,"",INDEX('Dealer pipeline'!$Q$4:$Q$503,_calc!$E$871)))=0,"","Status: "&amp;IF(LEN(INDEX('Dealer pipeline'!$Q$4:$Q$503,_calc!$E$871))=0,"",INDEX('Dealer pipeline'!$Q$4:$Q$503,_calc!$E$871))&amp;". ")&amp;IF(LEN(IF(LEN(INDEX('Dealer pipeline'!$P$4:$P$503,_calc!$E$871))=0,"",INDEX('Dealer pipeline'!$P$4:$P$503,_calc!$E$871)))=0,"","Last touch: "&amp;IF(LEN(INDEX('Dealer pipeline'!$P$4:$P$503,_calc!$E$871))=0,"",INDEX('Dealer pipeline'!$P$4:$P$503,_calc!$E$871))&amp;". ")&amp;IF(LEN(IF(LEN(INDEX('Dealer pipeline'!$R$4:$R$503,_calc!$E$871))=0,"",INDEX('Dealer pipeline'!$R$4:$R$503,_calc!$E$871)))=0,"","Owner: "&amp;IF(LEN(INDEX('Dealer pipeline'!$R$4:$R$503,_calc!$E$871))=0,"",INDEX('Dealer pipeline'!$R$4:$R$503,_calc!$E$871))&amp;". ")&amp;IF(LEN(IF(LEN(INDEX('Dealer pipeline'!$S$4:$S$503,_calc!$E$871))=0,"",INDEX('Dealer pipeline'!$S$4:$S$503,_calc!$E$871)))=0,"","Backup: "&amp;IF(LEN(INDEX('Dealer pipeline'!$S$4:$S$503,_calc!$E$871))=0,"",INDEX('Dealer pipeline'!$S$4:$S$503,_calc!$E$871))&amp;". ")&amp;IF(LEN(IF(LEN(INDEX('Dealer pipeline'!$T$4:$T$503,_calc!$E$871))=0,"",INDEX('Dealer pipeline'!$T$4:$T$503,_calc!$E$871)))=0,"",IF(LEN(INDEX('Dealer pipeline'!$T$4:$T$503,_calc!$E$871))=0,"",INDEX('Dealer pipeline'!$T$4:$T$503,_calc!$E$871)))),TRIM(IF(LEN(IF(LEN(INDEX('My equipment'!$C$4:$C$503,(_calc!$E$871-500)))=0,"",INDEX('My equipment'!$C$4:$C$503,(_calc!$E$871-500))))=0,"","Model: "&amp;IF(LEN(INDEX('My equipment'!$C$4:$C$503,(_calc!$E$871-500)))=0,"",INDEX('My equipment'!$C$4:$C$503,(_calc!$E$871-500)))&amp;". ")&amp;IF(LEN(IF(LEN(INDEX('My equipment'!$D$4:$D$503,(_calc!$E$871-500)))=0,"",INDEX('My equipment'!$D$4:$D$503,(_calc!$E$871-500))))=0,"","Serial: "&amp;IF(LEN(INDEX('My equipment'!$D$4:$D$503,(_calc!$E$871-500)))=0,"",INDEX('My equipment'!$D$4:$D$503,(_calc!$E$871-500)))&amp;". ")&amp;IF(LEN(IF(ISNUMBER(INDEX('My equipment'!$J$4:$J$503,(_calc!$E$871-500))),TEXT(INDEX('My equipment'!$J$4:$J$503,(_calc!$E$871-500)),"yyyy-mm-dd"),""))=0,"","Parts end: "&amp;IF(ISNUMBER(INDEX('My equipment'!$J$4:$J$503,(_calc!$E$871-500))),TEXT(INDEX('My equipment'!$J$4:$J$503,(_calc!$E$871-500)),"yyyy-mm-dd"),"")&amp;". ")&amp;IF(LEN(IF(ISNUMBER(INDEX('My equipment'!$L$4:$L$503,(_calc!$E$871-500))),TEXT(INDEX('My equipment'!$L$4:$L$503,(_calc!$E$871-500)),"yyyy-mm-dd"),""))=0,"","Labor end: "&amp;IF(ISNUMBER(INDEX('My equipment'!$L$4:$L$503,(_calc!$E$871-500))),TEXT(INDEX('My equipment'!$L$4:$L$503,(_calc!$E$871-500)),"yyyy-mm-dd"),"")&amp;". ")&amp;IF(LEN(IF(ISNUMBER(INDEX('My equipment'!$P$4:$P$503,(_calc!$E$871-500))),TEXT(INDEX('My equipment'!$P$4:$P$503,(_calc!$E$871-500)),"yyyy-mm-dd"),""))=0,"","Check by: "&amp;IF(ISNUMBER(INDEX('My equipment'!$P$4:$P$503,(_calc!$E$871-500))),TEXT(INDEX('My equipment'!$P$4:$P$503,(_calc!$E$871-500)),"yyyy-mm-dd"),"")&amp;". ")&amp;IF(LEN(IF(LEN(INDEX('My equipment'!$Q$4:$Q$503,(_calc!$E$871-500)))=0,"",INDEX('My equipment'!$Q$4:$Q$503,(_calc!$E$871-500))))=0,"","Claim status: "&amp;IF(LEN(INDEX('My equipment'!$Q$4:$Q$503,(_calc!$E$871-500)))=0,"",INDEX('My equipment'!$Q$4:$Q$503,(_calc!$E$871-500)))&amp;". ")&amp;IF(LEN(IF(LEN(INDEX('My equipment'!$R$4:$R$503,(_calc!$E$871-500)))=0,"",INDEX('My equipment'!$R$4:$R$503,(_calc!$E$871-500))))=0,"","Claims contact: "&amp;IF(LEN(INDEX('My equipment'!$R$4:$R$503,(_calc!$E$871-500)))=0,"",INDEX('My equipment'!$R$4:$R$503,(_calc!$E$871-500)))&amp;". ")&amp;IF(LEN(IF(LEN(INDEX('My equipment'!$S$4:$S$503,(_calc!$E$871-500)))=0,"",INDEX('My equipment'!$S$4:$S$503,(_calc!$E$871-500))))=0,"","Claims email: "&amp;IF(LEN(INDEX('My equipment'!$S$4:$S$503,(_calc!$E$871-500)))=0,"",INDEX('My equipment'!$S$4:$S$503,(_calc!$E$871-500)))&amp;". ")&amp;IF(LEN(IF(LEN(INDEX('My equipment'!$U$4:$U$503,(_calc!$E$871-500)))=0,"",INDEX('My equipment'!$U$4:$U$503,(_calc!$E$871-500))))=0,"","Registered: "&amp;IF(LEN(INDEX('My equipment'!$U$4:$U$503,(_calc!$E$871-500)))=0,"",INDEX('My equipment'!$U$4:$U$503,(_calc!$E$871-500)))&amp;". ")&amp;IF(LEN(IF(LEN(INDEX('My equipment'!$V$4:$V$503,(_calc!$E$871-500)))=0,"",INDEX('My equipment'!$V$4:$V$503,(_calc!$E$871-500))))=0,"","Proof on file: "&amp;IF(LEN(INDEX('My equipment'!$V$4:$V$503,(_calc!$E$871-500)))=0,"",INDEX('My equipment'!$V$4:$V$503,(_calc!$E$871-500)))&amp;". ")&amp;IF(LEN(IF(LEN(INDEX('My equipment'!$W$4:$W$503,(_calc!$E$871-500)))=0,"",INDEX('My equipment'!$W$4:$W$503,(_calc!$E$871-500))))=0,"","Claim ref: "&amp;IF(LEN(INDEX('My equipment'!$W$4:$W$503,(_calc!$E$871-500)))=0,"",INDEX('My equipment'!$W$4:$W$503,(_calc!$E$871-500)))&amp;". ")&amp;IF(LEN(IF(LEN(INDEX('My equipment'!$Y$4:$Y$503,(_calc!$E$871-500)))=0,"",INDEX('My equipment'!$Y$4:$Y$503,(_calc!$E$871-500))))=0,"",IF(LEN(INDEX('My equipment'!$Y$4:$Y$503,(_calc!$E$871-500)))=0,"",INDEX('My equipment'!$Y$4:$Y$503,(_calc!$E$871-500)))))))</f>
        <v/>
      </c>
      <c r="G869" s="54">
        <f>IF(_calc!$E$871="","",IF(_calc!$E$871&lt;=500,"",IF(LEN(INDEX('My equipment'!$X$4:$X$503,(_calc!$E$871-500)))=0,"",INDEX('My equipment'!$X$4:$X$503,(_calc!$E$871-500)))))</f>
        <v/>
      </c>
      <c r="K869" s="54">
        <f>IF(_calc!$E$871="","",IF(_calc!$E$871&lt;=500,"",IF(LEN(INDEX('My equipment'!$T$4:$T$503,(_calc!$E$871-500)))=0,"",INDEX('My equipment'!$T$4:$T$503,(_calc!$E$871-500)))))</f>
        <v/>
      </c>
    </row>
    <row r="870">
      <c r="A870" s="54">
        <f>IF(_calc!$E$872="","",IF(_calc!$E$872&lt;=500,"Warranty – "&amp;IF(LEN(INDEX('Dealer pipeline'!$C$4:$C$503,_calc!$E$872))=0,"",INDEX('Dealer pipeline'!$C$4:$C$503,_calc!$E$872))&amp;" – "&amp;IF(LEN(INDEX('Dealer pipeline'!$D$4:$D$503,_calc!$E$872))=0,"",INDEX('Dealer pipeline'!$D$4:$D$503,_calc!$E$872))&amp;" – "&amp;IF(LEN(INDEX('Dealer pipeline'!$A$4:$A$503,_calc!$E$872))=0,"",INDEX('Dealer pipeline'!$A$4:$A$503,_calc!$E$872)),"Warranty – "&amp;IF(LEN(INDEX('My equipment'!$A$4:$A$503,(_calc!$E$872-500)))=0,"",INDEX('My equipment'!$A$4:$A$503,(_calc!$E$872-500)))&amp;" – "&amp;IF(LEN(INDEX('My equipment'!$D$4:$D$503,(_calc!$E$872-500)))=0,"",INDEX('My equipment'!$D$4:$D$503,(_calc!$E$872-500)))))</f>
        <v/>
      </c>
      <c r="B870" s="54">
        <f>IF(_calc!$E$872="","",IF(_calc!$E$872&lt;=500,IF(ISNUMBER(INDEX('Dealer pipeline'!$M$4:$M$503,_calc!$E$872)),TEXT(INDEX('Dealer pipeline'!$M$4:$M$503,_calc!$E$872),"yyyy-mm-dd"),""),IF(ISNUMBER(INDEX('My equipment'!$M$4:$M$503,(_calc!$E$872-500))),TEXT(INDEX('My equipment'!$M$4:$M$503,(_calc!$E$872-500)),"yyyy-mm-dd"),"")))</f>
        <v/>
      </c>
      <c r="C870" s="54">
        <f>IF(_calc!$E$872="","",IF(_calc!$E$872&lt;=500,"Warranty","Warranty"))</f>
        <v/>
      </c>
      <c r="D870" s="54">
        <f>IF(_calc!$E$872="","",IF(_calc!$E$872&lt;=500,IF(ISNUMBER(INDEX('Dealer pipeline'!$H$4:$H$503,_calc!$E$872)),TEXT(INDEX('Dealer pipeline'!$H$4:$H$503,_calc!$E$872),"yyyy-mm-dd"),""),IF(ISNUMBER(INDEX('My equipment'!$H$4:$H$503,(_calc!$E$872-500))),TEXT(INDEX('My equipment'!$H$4:$H$503,(_calc!$E$872-500)),"yyyy-mm-dd"),"")))</f>
        <v/>
      </c>
      <c r="F870" s="54">
        <f>IF(_calc!$E$872="","",IF(_calc!$E$872&lt;=500,TRIM(IF(LEN(IF(LEN(INDEX('Dealer pipeline'!$A$4:$A$503,_calc!$E$872))=0,"",INDEX('Dealer pipeline'!$A$4:$A$503,_calc!$E$872)))=0,"","Customer: "&amp;IF(LEN(INDEX('Dealer pipeline'!$A$4:$A$503,_calc!$E$872))=0,"",INDEX('Dealer pipeline'!$A$4:$A$503,_calc!$E$872))&amp;". ")&amp;IF(LEN(IF(LEN(INDEX('Dealer pipeline'!$B$4:$B$503,_calc!$E$872))=0,"",INDEX('Dealer pipeline'!$B$4:$B$503,_calc!$E$872)))=0,"","Contact: "&amp;IF(LEN(INDEX('Dealer pipeline'!$B$4:$B$503,_calc!$E$872))=0,"",INDEX('Dealer pipeline'!$B$4:$B$503,_calc!$E$872))&amp;". ")&amp;IF(LEN(IF(LEN(INDEX('Dealer pipeline'!$D$4:$D$503,_calc!$E$872))=0,"",INDEX('Dealer pipeline'!$D$4:$D$503,_calc!$E$872)))=0,"","Serial: "&amp;IF(LEN(INDEX('Dealer pipeline'!$D$4:$D$503,_calc!$E$872))=0,"",INDEX('Dealer pipeline'!$D$4:$D$503,_calc!$E$872))&amp;". ")&amp;IF(LEN(IF(ISNUMBER(INDEX('Dealer pipeline'!$J$4:$J$503,_calc!$E$872)),TEXT(INDEX('Dealer pipeline'!$J$4:$J$503,_calc!$E$872),"yyyy-mm-dd"),""))=0,"","Parts end: "&amp;IF(ISNUMBER(INDEX('Dealer pipeline'!$J$4:$J$503,_calc!$E$872)),TEXT(INDEX('Dealer pipeline'!$J$4:$J$503,_calc!$E$872),"yyyy-mm-dd"),"")&amp;". ")&amp;IF(LEN(IF(ISNUMBER(INDEX('Dealer pipeline'!$L$4:$L$503,_calc!$E$872)),TEXT(INDEX('Dealer pipeline'!$L$4:$L$503,_calc!$E$872),"yyyy-mm-dd"),""))=0,"","Labor end: "&amp;IF(ISNUMBER(INDEX('Dealer pipeline'!$L$4:$L$503,_calc!$E$872)),TEXT(INDEX('Dealer pipeline'!$L$4:$L$503,_calc!$E$872),"yyyy-mm-dd"),"")&amp;". ")&amp;IF(LEN(IF(LEN(INDEX('Dealer pipeline'!$Q$4:$Q$503,_calc!$E$872))=0,"",INDEX('Dealer pipeline'!$Q$4:$Q$503,_calc!$E$872)))=0,"","Status: "&amp;IF(LEN(INDEX('Dealer pipeline'!$Q$4:$Q$503,_calc!$E$872))=0,"",INDEX('Dealer pipeline'!$Q$4:$Q$503,_calc!$E$872))&amp;". ")&amp;IF(LEN(IF(LEN(INDEX('Dealer pipeline'!$P$4:$P$503,_calc!$E$872))=0,"",INDEX('Dealer pipeline'!$P$4:$P$503,_calc!$E$872)))=0,"","Last touch: "&amp;IF(LEN(INDEX('Dealer pipeline'!$P$4:$P$503,_calc!$E$872))=0,"",INDEX('Dealer pipeline'!$P$4:$P$503,_calc!$E$872))&amp;". ")&amp;IF(LEN(IF(LEN(INDEX('Dealer pipeline'!$R$4:$R$503,_calc!$E$872))=0,"",INDEX('Dealer pipeline'!$R$4:$R$503,_calc!$E$872)))=0,"","Owner: "&amp;IF(LEN(INDEX('Dealer pipeline'!$R$4:$R$503,_calc!$E$872))=0,"",INDEX('Dealer pipeline'!$R$4:$R$503,_calc!$E$872))&amp;". ")&amp;IF(LEN(IF(LEN(INDEX('Dealer pipeline'!$S$4:$S$503,_calc!$E$872))=0,"",INDEX('Dealer pipeline'!$S$4:$S$503,_calc!$E$872)))=0,"","Backup: "&amp;IF(LEN(INDEX('Dealer pipeline'!$S$4:$S$503,_calc!$E$872))=0,"",INDEX('Dealer pipeline'!$S$4:$S$503,_calc!$E$872))&amp;". ")&amp;IF(LEN(IF(LEN(INDEX('Dealer pipeline'!$T$4:$T$503,_calc!$E$872))=0,"",INDEX('Dealer pipeline'!$T$4:$T$503,_calc!$E$872)))=0,"",IF(LEN(INDEX('Dealer pipeline'!$T$4:$T$503,_calc!$E$872))=0,"",INDEX('Dealer pipeline'!$T$4:$T$503,_calc!$E$872)))),TRIM(IF(LEN(IF(LEN(INDEX('My equipment'!$C$4:$C$503,(_calc!$E$872-500)))=0,"",INDEX('My equipment'!$C$4:$C$503,(_calc!$E$872-500))))=0,"","Model: "&amp;IF(LEN(INDEX('My equipment'!$C$4:$C$503,(_calc!$E$872-500)))=0,"",INDEX('My equipment'!$C$4:$C$503,(_calc!$E$872-500)))&amp;". ")&amp;IF(LEN(IF(LEN(INDEX('My equipment'!$D$4:$D$503,(_calc!$E$872-500)))=0,"",INDEX('My equipment'!$D$4:$D$503,(_calc!$E$872-500))))=0,"","Serial: "&amp;IF(LEN(INDEX('My equipment'!$D$4:$D$503,(_calc!$E$872-500)))=0,"",INDEX('My equipment'!$D$4:$D$503,(_calc!$E$872-500)))&amp;". ")&amp;IF(LEN(IF(ISNUMBER(INDEX('My equipment'!$J$4:$J$503,(_calc!$E$872-500))),TEXT(INDEX('My equipment'!$J$4:$J$503,(_calc!$E$872-500)),"yyyy-mm-dd"),""))=0,"","Parts end: "&amp;IF(ISNUMBER(INDEX('My equipment'!$J$4:$J$503,(_calc!$E$872-500))),TEXT(INDEX('My equipment'!$J$4:$J$503,(_calc!$E$872-500)),"yyyy-mm-dd"),"")&amp;". ")&amp;IF(LEN(IF(ISNUMBER(INDEX('My equipment'!$L$4:$L$503,(_calc!$E$872-500))),TEXT(INDEX('My equipment'!$L$4:$L$503,(_calc!$E$872-500)),"yyyy-mm-dd"),""))=0,"","Labor end: "&amp;IF(ISNUMBER(INDEX('My equipment'!$L$4:$L$503,(_calc!$E$872-500))),TEXT(INDEX('My equipment'!$L$4:$L$503,(_calc!$E$872-500)),"yyyy-mm-dd"),"")&amp;". ")&amp;IF(LEN(IF(ISNUMBER(INDEX('My equipment'!$P$4:$P$503,(_calc!$E$872-500))),TEXT(INDEX('My equipment'!$P$4:$P$503,(_calc!$E$872-500)),"yyyy-mm-dd"),""))=0,"","Check by: "&amp;IF(ISNUMBER(INDEX('My equipment'!$P$4:$P$503,(_calc!$E$872-500))),TEXT(INDEX('My equipment'!$P$4:$P$503,(_calc!$E$872-500)),"yyyy-mm-dd"),"")&amp;". ")&amp;IF(LEN(IF(LEN(INDEX('My equipment'!$Q$4:$Q$503,(_calc!$E$872-500)))=0,"",INDEX('My equipment'!$Q$4:$Q$503,(_calc!$E$872-500))))=0,"","Claim status: "&amp;IF(LEN(INDEX('My equipment'!$Q$4:$Q$503,(_calc!$E$872-500)))=0,"",INDEX('My equipment'!$Q$4:$Q$503,(_calc!$E$872-500)))&amp;". ")&amp;IF(LEN(IF(LEN(INDEX('My equipment'!$R$4:$R$503,(_calc!$E$872-500)))=0,"",INDEX('My equipment'!$R$4:$R$503,(_calc!$E$872-500))))=0,"","Claims contact: "&amp;IF(LEN(INDEX('My equipment'!$R$4:$R$503,(_calc!$E$872-500)))=0,"",INDEX('My equipment'!$R$4:$R$503,(_calc!$E$872-500)))&amp;". ")&amp;IF(LEN(IF(LEN(INDEX('My equipment'!$S$4:$S$503,(_calc!$E$872-500)))=0,"",INDEX('My equipment'!$S$4:$S$503,(_calc!$E$872-500))))=0,"","Claims email: "&amp;IF(LEN(INDEX('My equipment'!$S$4:$S$503,(_calc!$E$872-500)))=0,"",INDEX('My equipment'!$S$4:$S$503,(_calc!$E$872-500)))&amp;". ")&amp;IF(LEN(IF(LEN(INDEX('My equipment'!$U$4:$U$503,(_calc!$E$872-500)))=0,"",INDEX('My equipment'!$U$4:$U$503,(_calc!$E$872-500))))=0,"","Registered: "&amp;IF(LEN(INDEX('My equipment'!$U$4:$U$503,(_calc!$E$872-500)))=0,"",INDEX('My equipment'!$U$4:$U$503,(_calc!$E$872-500)))&amp;". ")&amp;IF(LEN(IF(LEN(INDEX('My equipment'!$V$4:$V$503,(_calc!$E$872-500)))=0,"",INDEX('My equipment'!$V$4:$V$503,(_calc!$E$872-500))))=0,"","Proof on file: "&amp;IF(LEN(INDEX('My equipment'!$V$4:$V$503,(_calc!$E$872-500)))=0,"",INDEX('My equipment'!$V$4:$V$503,(_calc!$E$872-500)))&amp;". ")&amp;IF(LEN(IF(LEN(INDEX('My equipment'!$W$4:$W$503,(_calc!$E$872-500)))=0,"",INDEX('My equipment'!$W$4:$W$503,(_calc!$E$872-500))))=0,"","Claim ref: "&amp;IF(LEN(INDEX('My equipment'!$W$4:$W$503,(_calc!$E$872-500)))=0,"",INDEX('My equipment'!$W$4:$W$503,(_calc!$E$872-500)))&amp;". ")&amp;IF(LEN(IF(LEN(INDEX('My equipment'!$Y$4:$Y$503,(_calc!$E$872-500)))=0,"",INDEX('My equipment'!$Y$4:$Y$503,(_calc!$E$872-500))))=0,"",IF(LEN(INDEX('My equipment'!$Y$4:$Y$503,(_calc!$E$872-500)))=0,"",INDEX('My equipment'!$Y$4:$Y$503,(_calc!$E$872-500)))))))</f>
        <v/>
      </c>
      <c r="G870" s="54">
        <f>IF(_calc!$E$872="","",IF(_calc!$E$872&lt;=500,"",IF(LEN(INDEX('My equipment'!$X$4:$X$503,(_calc!$E$872-500)))=0,"",INDEX('My equipment'!$X$4:$X$503,(_calc!$E$872-500)))))</f>
        <v/>
      </c>
      <c r="K870" s="54">
        <f>IF(_calc!$E$872="","",IF(_calc!$E$872&lt;=500,"",IF(LEN(INDEX('My equipment'!$T$4:$T$503,(_calc!$E$872-500)))=0,"",INDEX('My equipment'!$T$4:$T$503,(_calc!$E$872-500)))))</f>
        <v/>
      </c>
    </row>
    <row r="871">
      <c r="A871" s="54">
        <f>IF(_calc!$E$873="","",IF(_calc!$E$873&lt;=500,"Warranty – "&amp;IF(LEN(INDEX('Dealer pipeline'!$C$4:$C$503,_calc!$E$873))=0,"",INDEX('Dealer pipeline'!$C$4:$C$503,_calc!$E$873))&amp;" – "&amp;IF(LEN(INDEX('Dealer pipeline'!$D$4:$D$503,_calc!$E$873))=0,"",INDEX('Dealer pipeline'!$D$4:$D$503,_calc!$E$873))&amp;" – "&amp;IF(LEN(INDEX('Dealer pipeline'!$A$4:$A$503,_calc!$E$873))=0,"",INDEX('Dealer pipeline'!$A$4:$A$503,_calc!$E$873)),"Warranty – "&amp;IF(LEN(INDEX('My equipment'!$A$4:$A$503,(_calc!$E$873-500)))=0,"",INDEX('My equipment'!$A$4:$A$503,(_calc!$E$873-500)))&amp;" – "&amp;IF(LEN(INDEX('My equipment'!$D$4:$D$503,(_calc!$E$873-500)))=0,"",INDEX('My equipment'!$D$4:$D$503,(_calc!$E$873-500)))))</f>
        <v/>
      </c>
      <c r="B871" s="54">
        <f>IF(_calc!$E$873="","",IF(_calc!$E$873&lt;=500,IF(ISNUMBER(INDEX('Dealer pipeline'!$M$4:$M$503,_calc!$E$873)),TEXT(INDEX('Dealer pipeline'!$M$4:$M$503,_calc!$E$873),"yyyy-mm-dd"),""),IF(ISNUMBER(INDEX('My equipment'!$M$4:$M$503,(_calc!$E$873-500))),TEXT(INDEX('My equipment'!$M$4:$M$503,(_calc!$E$873-500)),"yyyy-mm-dd"),"")))</f>
        <v/>
      </c>
      <c r="C871" s="54">
        <f>IF(_calc!$E$873="","",IF(_calc!$E$873&lt;=500,"Warranty","Warranty"))</f>
        <v/>
      </c>
      <c r="D871" s="54">
        <f>IF(_calc!$E$873="","",IF(_calc!$E$873&lt;=500,IF(ISNUMBER(INDEX('Dealer pipeline'!$H$4:$H$503,_calc!$E$873)),TEXT(INDEX('Dealer pipeline'!$H$4:$H$503,_calc!$E$873),"yyyy-mm-dd"),""),IF(ISNUMBER(INDEX('My equipment'!$H$4:$H$503,(_calc!$E$873-500))),TEXT(INDEX('My equipment'!$H$4:$H$503,(_calc!$E$873-500)),"yyyy-mm-dd"),"")))</f>
        <v/>
      </c>
      <c r="F871" s="54">
        <f>IF(_calc!$E$873="","",IF(_calc!$E$873&lt;=500,TRIM(IF(LEN(IF(LEN(INDEX('Dealer pipeline'!$A$4:$A$503,_calc!$E$873))=0,"",INDEX('Dealer pipeline'!$A$4:$A$503,_calc!$E$873)))=0,"","Customer: "&amp;IF(LEN(INDEX('Dealer pipeline'!$A$4:$A$503,_calc!$E$873))=0,"",INDEX('Dealer pipeline'!$A$4:$A$503,_calc!$E$873))&amp;". ")&amp;IF(LEN(IF(LEN(INDEX('Dealer pipeline'!$B$4:$B$503,_calc!$E$873))=0,"",INDEX('Dealer pipeline'!$B$4:$B$503,_calc!$E$873)))=0,"","Contact: "&amp;IF(LEN(INDEX('Dealer pipeline'!$B$4:$B$503,_calc!$E$873))=0,"",INDEX('Dealer pipeline'!$B$4:$B$503,_calc!$E$873))&amp;". ")&amp;IF(LEN(IF(LEN(INDEX('Dealer pipeline'!$D$4:$D$503,_calc!$E$873))=0,"",INDEX('Dealer pipeline'!$D$4:$D$503,_calc!$E$873)))=0,"","Serial: "&amp;IF(LEN(INDEX('Dealer pipeline'!$D$4:$D$503,_calc!$E$873))=0,"",INDEX('Dealer pipeline'!$D$4:$D$503,_calc!$E$873))&amp;". ")&amp;IF(LEN(IF(ISNUMBER(INDEX('Dealer pipeline'!$J$4:$J$503,_calc!$E$873)),TEXT(INDEX('Dealer pipeline'!$J$4:$J$503,_calc!$E$873),"yyyy-mm-dd"),""))=0,"","Parts end: "&amp;IF(ISNUMBER(INDEX('Dealer pipeline'!$J$4:$J$503,_calc!$E$873)),TEXT(INDEX('Dealer pipeline'!$J$4:$J$503,_calc!$E$873),"yyyy-mm-dd"),"")&amp;". ")&amp;IF(LEN(IF(ISNUMBER(INDEX('Dealer pipeline'!$L$4:$L$503,_calc!$E$873)),TEXT(INDEX('Dealer pipeline'!$L$4:$L$503,_calc!$E$873),"yyyy-mm-dd"),""))=0,"","Labor end: "&amp;IF(ISNUMBER(INDEX('Dealer pipeline'!$L$4:$L$503,_calc!$E$873)),TEXT(INDEX('Dealer pipeline'!$L$4:$L$503,_calc!$E$873),"yyyy-mm-dd"),"")&amp;". ")&amp;IF(LEN(IF(LEN(INDEX('Dealer pipeline'!$Q$4:$Q$503,_calc!$E$873))=0,"",INDEX('Dealer pipeline'!$Q$4:$Q$503,_calc!$E$873)))=0,"","Status: "&amp;IF(LEN(INDEX('Dealer pipeline'!$Q$4:$Q$503,_calc!$E$873))=0,"",INDEX('Dealer pipeline'!$Q$4:$Q$503,_calc!$E$873))&amp;". ")&amp;IF(LEN(IF(LEN(INDEX('Dealer pipeline'!$P$4:$P$503,_calc!$E$873))=0,"",INDEX('Dealer pipeline'!$P$4:$P$503,_calc!$E$873)))=0,"","Last touch: "&amp;IF(LEN(INDEX('Dealer pipeline'!$P$4:$P$503,_calc!$E$873))=0,"",INDEX('Dealer pipeline'!$P$4:$P$503,_calc!$E$873))&amp;". ")&amp;IF(LEN(IF(LEN(INDEX('Dealer pipeline'!$R$4:$R$503,_calc!$E$873))=0,"",INDEX('Dealer pipeline'!$R$4:$R$503,_calc!$E$873)))=0,"","Owner: "&amp;IF(LEN(INDEX('Dealer pipeline'!$R$4:$R$503,_calc!$E$873))=0,"",INDEX('Dealer pipeline'!$R$4:$R$503,_calc!$E$873))&amp;". ")&amp;IF(LEN(IF(LEN(INDEX('Dealer pipeline'!$S$4:$S$503,_calc!$E$873))=0,"",INDEX('Dealer pipeline'!$S$4:$S$503,_calc!$E$873)))=0,"","Backup: "&amp;IF(LEN(INDEX('Dealer pipeline'!$S$4:$S$503,_calc!$E$873))=0,"",INDEX('Dealer pipeline'!$S$4:$S$503,_calc!$E$873))&amp;". ")&amp;IF(LEN(IF(LEN(INDEX('Dealer pipeline'!$T$4:$T$503,_calc!$E$873))=0,"",INDEX('Dealer pipeline'!$T$4:$T$503,_calc!$E$873)))=0,"",IF(LEN(INDEX('Dealer pipeline'!$T$4:$T$503,_calc!$E$873))=0,"",INDEX('Dealer pipeline'!$T$4:$T$503,_calc!$E$873)))),TRIM(IF(LEN(IF(LEN(INDEX('My equipment'!$C$4:$C$503,(_calc!$E$873-500)))=0,"",INDEX('My equipment'!$C$4:$C$503,(_calc!$E$873-500))))=0,"","Model: "&amp;IF(LEN(INDEX('My equipment'!$C$4:$C$503,(_calc!$E$873-500)))=0,"",INDEX('My equipment'!$C$4:$C$503,(_calc!$E$873-500)))&amp;". ")&amp;IF(LEN(IF(LEN(INDEX('My equipment'!$D$4:$D$503,(_calc!$E$873-500)))=0,"",INDEX('My equipment'!$D$4:$D$503,(_calc!$E$873-500))))=0,"","Serial: "&amp;IF(LEN(INDEX('My equipment'!$D$4:$D$503,(_calc!$E$873-500)))=0,"",INDEX('My equipment'!$D$4:$D$503,(_calc!$E$873-500)))&amp;". ")&amp;IF(LEN(IF(ISNUMBER(INDEX('My equipment'!$J$4:$J$503,(_calc!$E$873-500))),TEXT(INDEX('My equipment'!$J$4:$J$503,(_calc!$E$873-500)),"yyyy-mm-dd"),""))=0,"","Parts end: "&amp;IF(ISNUMBER(INDEX('My equipment'!$J$4:$J$503,(_calc!$E$873-500))),TEXT(INDEX('My equipment'!$J$4:$J$503,(_calc!$E$873-500)),"yyyy-mm-dd"),"")&amp;". ")&amp;IF(LEN(IF(ISNUMBER(INDEX('My equipment'!$L$4:$L$503,(_calc!$E$873-500))),TEXT(INDEX('My equipment'!$L$4:$L$503,(_calc!$E$873-500)),"yyyy-mm-dd"),""))=0,"","Labor end: "&amp;IF(ISNUMBER(INDEX('My equipment'!$L$4:$L$503,(_calc!$E$873-500))),TEXT(INDEX('My equipment'!$L$4:$L$503,(_calc!$E$873-500)),"yyyy-mm-dd"),"")&amp;". ")&amp;IF(LEN(IF(ISNUMBER(INDEX('My equipment'!$P$4:$P$503,(_calc!$E$873-500))),TEXT(INDEX('My equipment'!$P$4:$P$503,(_calc!$E$873-500)),"yyyy-mm-dd"),""))=0,"","Check by: "&amp;IF(ISNUMBER(INDEX('My equipment'!$P$4:$P$503,(_calc!$E$873-500))),TEXT(INDEX('My equipment'!$P$4:$P$503,(_calc!$E$873-500)),"yyyy-mm-dd"),"")&amp;". ")&amp;IF(LEN(IF(LEN(INDEX('My equipment'!$Q$4:$Q$503,(_calc!$E$873-500)))=0,"",INDEX('My equipment'!$Q$4:$Q$503,(_calc!$E$873-500))))=0,"","Claim status: "&amp;IF(LEN(INDEX('My equipment'!$Q$4:$Q$503,(_calc!$E$873-500)))=0,"",INDEX('My equipment'!$Q$4:$Q$503,(_calc!$E$873-500)))&amp;". ")&amp;IF(LEN(IF(LEN(INDEX('My equipment'!$R$4:$R$503,(_calc!$E$873-500)))=0,"",INDEX('My equipment'!$R$4:$R$503,(_calc!$E$873-500))))=0,"","Claims contact: "&amp;IF(LEN(INDEX('My equipment'!$R$4:$R$503,(_calc!$E$873-500)))=0,"",INDEX('My equipment'!$R$4:$R$503,(_calc!$E$873-500)))&amp;". ")&amp;IF(LEN(IF(LEN(INDEX('My equipment'!$S$4:$S$503,(_calc!$E$873-500)))=0,"",INDEX('My equipment'!$S$4:$S$503,(_calc!$E$873-500))))=0,"","Claims email: "&amp;IF(LEN(INDEX('My equipment'!$S$4:$S$503,(_calc!$E$873-500)))=0,"",INDEX('My equipment'!$S$4:$S$503,(_calc!$E$873-500)))&amp;". ")&amp;IF(LEN(IF(LEN(INDEX('My equipment'!$U$4:$U$503,(_calc!$E$873-500)))=0,"",INDEX('My equipment'!$U$4:$U$503,(_calc!$E$873-500))))=0,"","Registered: "&amp;IF(LEN(INDEX('My equipment'!$U$4:$U$503,(_calc!$E$873-500)))=0,"",INDEX('My equipment'!$U$4:$U$503,(_calc!$E$873-500)))&amp;". ")&amp;IF(LEN(IF(LEN(INDEX('My equipment'!$V$4:$V$503,(_calc!$E$873-500)))=0,"",INDEX('My equipment'!$V$4:$V$503,(_calc!$E$873-500))))=0,"","Proof on file: "&amp;IF(LEN(INDEX('My equipment'!$V$4:$V$503,(_calc!$E$873-500)))=0,"",INDEX('My equipment'!$V$4:$V$503,(_calc!$E$873-500)))&amp;". ")&amp;IF(LEN(IF(LEN(INDEX('My equipment'!$W$4:$W$503,(_calc!$E$873-500)))=0,"",INDEX('My equipment'!$W$4:$W$503,(_calc!$E$873-500))))=0,"","Claim ref: "&amp;IF(LEN(INDEX('My equipment'!$W$4:$W$503,(_calc!$E$873-500)))=0,"",INDEX('My equipment'!$W$4:$W$503,(_calc!$E$873-500)))&amp;". ")&amp;IF(LEN(IF(LEN(INDEX('My equipment'!$Y$4:$Y$503,(_calc!$E$873-500)))=0,"",INDEX('My equipment'!$Y$4:$Y$503,(_calc!$E$873-500))))=0,"",IF(LEN(INDEX('My equipment'!$Y$4:$Y$503,(_calc!$E$873-500)))=0,"",INDEX('My equipment'!$Y$4:$Y$503,(_calc!$E$873-500)))))))</f>
        <v/>
      </c>
      <c r="G871" s="54">
        <f>IF(_calc!$E$873="","",IF(_calc!$E$873&lt;=500,"",IF(LEN(INDEX('My equipment'!$X$4:$X$503,(_calc!$E$873-500)))=0,"",INDEX('My equipment'!$X$4:$X$503,(_calc!$E$873-500)))))</f>
        <v/>
      </c>
      <c r="K871" s="54">
        <f>IF(_calc!$E$873="","",IF(_calc!$E$873&lt;=500,"",IF(LEN(INDEX('My equipment'!$T$4:$T$503,(_calc!$E$873-500)))=0,"",INDEX('My equipment'!$T$4:$T$503,(_calc!$E$873-500)))))</f>
        <v/>
      </c>
    </row>
    <row r="872">
      <c r="A872" s="54">
        <f>IF(_calc!$E$874="","",IF(_calc!$E$874&lt;=500,"Warranty – "&amp;IF(LEN(INDEX('Dealer pipeline'!$C$4:$C$503,_calc!$E$874))=0,"",INDEX('Dealer pipeline'!$C$4:$C$503,_calc!$E$874))&amp;" – "&amp;IF(LEN(INDEX('Dealer pipeline'!$D$4:$D$503,_calc!$E$874))=0,"",INDEX('Dealer pipeline'!$D$4:$D$503,_calc!$E$874))&amp;" – "&amp;IF(LEN(INDEX('Dealer pipeline'!$A$4:$A$503,_calc!$E$874))=0,"",INDEX('Dealer pipeline'!$A$4:$A$503,_calc!$E$874)),"Warranty – "&amp;IF(LEN(INDEX('My equipment'!$A$4:$A$503,(_calc!$E$874-500)))=0,"",INDEX('My equipment'!$A$4:$A$503,(_calc!$E$874-500)))&amp;" – "&amp;IF(LEN(INDEX('My equipment'!$D$4:$D$503,(_calc!$E$874-500)))=0,"",INDEX('My equipment'!$D$4:$D$503,(_calc!$E$874-500)))))</f>
        <v/>
      </c>
      <c r="B872" s="54">
        <f>IF(_calc!$E$874="","",IF(_calc!$E$874&lt;=500,IF(ISNUMBER(INDEX('Dealer pipeline'!$M$4:$M$503,_calc!$E$874)),TEXT(INDEX('Dealer pipeline'!$M$4:$M$503,_calc!$E$874),"yyyy-mm-dd"),""),IF(ISNUMBER(INDEX('My equipment'!$M$4:$M$503,(_calc!$E$874-500))),TEXT(INDEX('My equipment'!$M$4:$M$503,(_calc!$E$874-500)),"yyyy-mm-dd"),"")))</f>
        <v/>
      </c>
      <c r="C872" s="54">
        <f>IF(_calc!$E$874="","",IF(_calc!$E$874&lt;=500,"Warranty","Warranty"))</f>
        <v/>
      </c>
      <c r="D872" s="54">
        <f>IF(_calc!$E$874="","",IF(_calc!$E$874&lt;=500,IF(ISNUMBER(INDEX('Dealer pipeline'!$H$4:$H$503,_calc!$E$874)),TEXT(INDEX('Dealer pipeline'!$H$4:$H$503,_calc!$E$874),"yyyy-mm-dd"),""),IF(ISNUMBER(INDEX('My equipment'!$H$4:$H$503,(_calc!$E$874-500))),TEXT(INDEX('My equipment'!$H$4:$H$503,(_calc!$E$874-500)),"yyyy-mm-dd"),"")))</f>
        <v/>
      </c>
      <c r="F872" s="54">
        <f>IF(_calc!$E$874="","",IF(_calc!$E$874&lt;=500,TRIM(IF(LEN(IF(LEN(INDEX('Dealer pipeline'!$A$4:$A$503,_calc!$E$874))=0,"",INDEX('Dealer pipeline'!$A$4:$A$503,_calc!$E$874)))=0,"","Customer: "&amp;IF(LEN(INDEX('Dealer pipeline'!$A$4:$A$503,_calc!$E$874))=0,"",INDEX('Dealer pipeline'!$A$4:$A$503,_calc!$E$874))&amp;". ")&amp;IF(LEN(IF(LEN(INDEX('Dealer pipeline'!$B$4:$B$503,_calc!$E$874))=0,"",INDEX('Dealer pipeline'!$B$4:$B$503,_calc!$E$874)))=0,"","Contact: "&amp;IF(LEN(INDEX('Dealer pipeline'!$B$4:$B$503,_calc!$E$874))=0,"",INDEX('Dealer pipeline'!$B$4:$B$503,_calc!$E$874))&amp;". ")&amp;IF(LEN(IF(LEN(INDEX('Dealer pipeline'!$D$4:$D$503,_calc!$E$874))=0,"",INDEX('Dealer pipeline'!$D$4:$D$503,_calc!$E$874)))=0,"","Serial: "&amp;IF(LEN(INDEX('Dealer pipeline'!$D$4:$D$503,_calc!$E$874))=0,"",INDEX('Dealer pipeline'!$D$4:$D$503,_calc!$E$874))&amp;". ")&amp;IF(LEN(IF(ISNUMBER(INDEX('Dealer pipeline'!$J$4:$J$503,_calc!$E$874)),TEXT(INDEX('Dealer pipeline'!$J$4:$J$503,_calc!$E$874),"yyyy-mm-dd"),""))=0,"","Parts end: "&amp;IF(ISNUMBER(INDEX('Dealer pipeline'!$J$4:$J$503,_calc!$E$874)),TEXT(INDEX('Dealer pipeline'!$J$4:$J$503,_calc!$E$874),"yyyy-mm-dd"),"")&amp;". ")&amp;IF(LEN(IF(ISNUMBER(INDEX('Dealer pipeline'!$L$4:$L$503,_calc!$E$874)),TEXT(INDEX('Dealer pipeline'!$L$4:$L$503,_calc!$E$874),"yyyy-mm-dd"),""))=0,"","Labor end: "&amp;IF(ISNUMBER(INDEX('Dealer pipeline'!$L$4:$L$503,_calc!$E$874)),TEXT(INDEX('Dealer pipeline'!$L$4:$L$503,_calc!$E$874),"yyyy-mm-dd"),"")&amp;". ")&amp;IF(LEN(IF(LEN(INDEX('Dealer pipeline'!$Q$4:$Q$503,_calc!$E$874))=0,"",INDEX('Dealer pipeline'!$Q$4:$Q$503,_calc!$E$874)))=0,"","Status: "&amp;IF(LEN(INDEX('Dealer pipeline'!$Q$4:$Q$503,_calc!$E$874))=0,"",INDEX('Dealer pipeline'!$Q$4:$Q$503,_calc!$E$874))&amp;". ")&amp;IF(LEN(IF(LEN(INDEX('Dealer pipeline'!$P$4:$P$503,_calc!$E$874))=0,"",INDEX('Dealer pipeline'!$P$4:$P$503,_calc!$E$874)))=0,"","Last touch: "&amp;IF(LEN(INDEX('Dealer pipeline'!$P$4:$P$503,_calc!$E$874))=0,"",INDEX('Dealer pipeline'!$P$4:$P$503,_calc!$E$874))&amp;". ")&amp;IF(LEN(IF(LEN(INDEX('Dealer pipeline'!$R$4:$R$503,_calc!$E$874))=0,"",INDEX('Dealer pipeline'!$R$4:$R$503,_calc!$E$874)))=0,"","Owner: "&amp;IF(LEN(INDEX('Dealer pipeline'!$R$4:$R$503,_calc!$E$874))=0,"",INDEX('Dealer pipeline'!$R$4:$R$503,_calc!$E$874))&amp;". ")&amp;IF(LEN(IF(LEN(INDEX('Dealer pipeline'!$S$4:$S$503,_calc!$E$874))=0,"",INDEX('Dealer pipeline'!$S$4:$S$503,_calc!$E$874)))=0,"","Backup: "&amp;IF(LEN(INDEX('Dealer pipeline'!$S$4:$S$503,_calc!$E$874))=0,"",INDEX('Dealer pipeline'!$S$4:$S$503,_calc!$E$874))&amp;". ")&amp;IF(LEN(IF(LEN(INDEX('Dealer pipeline'!$T$4:$T$503,_calc!$E$874))=0,"",INDEX('Dealer pipeline'!$T$4:$T$503,_calc!$E$874)))=0,"",IF(LEN(INDEX('Dealer pipeline'!$T$4:$T$503,_calc!$E$874))=0,"",INDEX('Dealer pipeline'!$T$4:$T$503,_calc!$E$874)))),TRIM(IF(LEN(IF(LEN(INDEX('My equipment'!$C$4:$C$503,(_calc!$E$874-500)))=0,"",INDEX('My equipment'!$C$4:$C$503,(_calc!$E$874-500))))=0,"","Model: "&amp;IF(LEN(INDEX('My equipment'!$C$4:$C$503,(_calc!$E$874-500)))=0,"",INDEX('My equipment'!$C$4:$C$503,(_calc!$E$874-500)))&amp;". ")&amp;IF(LEN(IF(LEN(INDEX('My equipment'!$D$4:$D$503,(_calc!$E$874-500)))=0,"",INDEX('My equipment'!$D$4:$D$503,(_calc!$E$874-500))))=0,"","Serial: "&amp;IF(LEN(INDEX('My equipment'!$D$4:$D$503,(_calc!$E$874-500)))=0,"",INDEX('My equipment'!$D$4:$D$503,(_calc!$E$874-500)))&amp;". ")&amp;IF(LEN(IF(ISNUMBER(INDEX('My equipment'!$J$4:$J$503,(_calc!$E$874-500))),TEXT(INDEX('My equipment'!$J$4:$J$503,(_calc!$E$874-500)),"yyyy-mm-dd"),""))=0,"","Parts end: "&amp;IF(ISNUMBER(INDEX('My equipment'!$J$4:$J$503,(_calc!$E$874-500))),TEXT(INDEX('My equipment'!$J$4:$J$503,(_calc!$E$874-500)),"yyyy-mm-dd"),"")&amp;". ")&amp;IF(LEN(IF(ISNUMBER(INDEX('My equipment'!$L$4:$L$503,(_calc!$E$874-500))),TEXT(INDEX('My equipment'!$L$4:$L$503,(_calc!$E$874-500)),"yyyy-mm-dd"),""))=0,"","Labor end: "&amp;IF(ISNUMBER(INDEX('My equipment'!$L$4:$L$503,(_calc!$E$874-500))),TEXT(INDEX('My equipment'!$L$4:$L$503,(_calc!$E$874-500)),"yyyy-mm-dd"),"")&amp;". ")&amp;IF(LEN(IF(ISNUMBER(INDEX('My equipment'!$P$4:$P$503,(_calc!$E$874-500))),TEXT(INDEX('My equipment'!$P$4:$P$503,(_calc!$E$874-500)),"yyyy-mm-dd"),""))=0,"","Check by: "&amp;IF(ISNUMBER(INDEX('My equipment'!$P$4:$P$503,(_calc!$E$874-500))),TEXT(INDEX('My equipment'!$P$4:$P$503,(_calc!$E$874-500)),"yyyy-mm-dd"),"")&amp;". ")&amp;IF(LEN(IF(LEN(INDEX('My equipment'!$Q$4:$Q$503,(_calc!$E$874-500)))=0,"",INDEX('My equipment'!$Q$4:$Q$503,(_calc!$E$874-500))))=0,"","Claim status: "&amp;IF(LEN(INDEX('My equipment'!$Q$4:$Q$503,(_calc!$E$874-500)))=0,"",INDEX('My equipment'!$Q$4:$Q$503,(_calc!$E$874-500)))&amp;". ")&amp;IF(LEN(IF(LEN(INDEX('My equipment'!$R$4:$R$503,(_calc!$E$874-500)))=0,"",INDEX('My equipment'!$R$4:$R$503,(_calc!$E$874-500))))=0,"","Claims contact: "&amp;IF(LEN(INDEX('My equipment'!$R$4:$R$503,(_calc!$E$874-500)))=0,"",INDEX('My equipment'!$R$4:$R$503,(_calc!$E$874-500)))&amp;". ")&amp;IF(LEN(IF(LEN(INDEX('My equipment'!$S$4:$S$503,(_calc!$E$874-500)))=0,"",INDEX('My equipment'!$S$4:$S$503,(_calc!$E$874-500))))=0,"","Claims email: "&amp;IF(LEN(INDEX('My equipment'!$S$4:$S$503,(_calc!$E$874-500)))=0,"",INDEX('My equipment'!$S$4:$S$503,(_calc!$E$874-500)))&amp;". ")&amp;IF(LEN(IF(LEN(INDEX('My equipment'!$U$4:$U$503,(_calc!$E$874-500)))=0,"",INDEX('My equipment'!$U$4:$U$503,(_calc!$E$874-500))))=0,"","Registered: "&amp;IF(LEN(INDEX('My equipment'!$U$4:$U$503,(_calc!$E$874-500)))=0,"",INDEX('My equipment'!$U$4:$U$503,(_calc!$E$874-500)))&amp;". ")&amp;IF(LEN(IF(LEN(INDEX('My equipment'!$V$4:$V$503,(_calc!$E$874-500)))=0,"",INDEX('My equipment'!$V$4:$V$503,(_calc!$E$874-500))))=0,"","Proof on file: "&amp;IF(LEN(INDEX('My equipment'!$V$4:$V$503,(_calc!$E$874-500)))=0,"",INDEX('My equipment'!$V$4:$V$503,(_calc!$E$874-500)))&amp;". ")&amp;IF(LEN(IF(LEN(INDEX('My equipment'!$W$4:$W$503,(_calc!$E$874-500)))=0,"",INDEX('My equipment'!$W$4:$W$503,(_calc!$E$874-500))))=0,"","Claim ref: "&amp;IF(LEN(INDEX('My equipment'!$W$4:$W$503,(_calc!$E$874-500)))=0,"",INDEX('My equipment'!$W$4:$W$503,(_calc!$E$874-500)))&amp;". ")&amp;IF(LEN(IF(LEN(INDEX('My equipment'!$Y$4:$Y$503,(_calc!$E$874-500)))=0,"",INDEX('My equipment'!$Y$4:$Y$503,(_calc!$E$874-500))))=0,"",IF(LEN(INDEX('My equipment'!$Y$4:$Y$503,(_calc!$E$874-500)))=0,"",INDEX('My equipment'!$Y$4:$Y$503,(_calc!$E$874-500)))))))</f>
        <v/>
      </c>
      <c r="G872" s="54">
        <f>IF(_calc!$E$874="","",IF(_calc!$E$874&lt;=500,"",IF(LEN(INDEX('My equipment'!$X$4:$X$503,(_calc!$E$874-500)))=0,"",INDEX('My equipment'!$X$4:$X$503,(_calc!$E$874-500)))))</f>
        <v/>
      </c>
      <c r="K872" s="54">
        <f>IF(_calc!$E$874="","",IF(_calc!$E$874&lt;=500,"",IF(LEN(INDEX('My equipment'!$T$4:$T$503,(_calc!$E$874-500)))=0,"",INDEX('My equipment'!$T$4:$T$503,(_calc!$E$874-500)))))</f>
        <v/>
      </c>
    </row>
    <row r="873">
      <c r="A873" s="54">
        <f>IF(_calc!$E$875="","",IF(_calc!$E$875&lt;=500,"Warranty – "&amp;IF(LEN(INDEX('Dealer pipeline'!$C$4:$C$503,_calc!$E$875))=0,"",INDEX('Dealer pipeline'!$C$4:$C$503,_calc!$E$875))&amp;" – "&amp;IF(LEN(INDEX('Dealer pipeline'!$D$4:$D$503,_calc!$E$875))=0,"",INDEX('Dealer pipeline'!$D$4:$D$503,_calc!$E$875))&amp;" – "&amp;IF(LEN(INDEX('Dealer pipeline'!$A$4:$A$503,_calc!$E$875))=0,"",INDEX('Dealer pipeline'!$A$4:$A$503,_calc!$E$875)),"Warranty – "&amp;IF(LEN(INDEX('My equipment'!$A$4:$A$503,(_calc!$E$875-500)))=0,"",INDEX('My equipment'!$A$4:$A$503,(_calc!$E$875-500)))&amp;" – "&amp;IF(LEN(INDEX('My equipment'!$D$4:$D$503,(_calc!$E$875-500)))=0,"",INDEX('My equipment'!$D$4:$D$503,(_calc!$E$875-500)))))</f>
        <v/>
      </c>
      <c r="B873" s="54">
        <f>IF(_calc!$E$875="","",IF(_calc!$E$875&lt;=500,IF(ISNUMBER(INDEX('Dealer pipeline'!$M$4:$M$503,_calc!$E$875)),TEXT(INDEX('Dealer pipeline'!$M$4:$M$503,_calc!$E$875),"yyyy-mm-dd"),""),IF(ISNUMBER(INDEX('My equipment'!$M$4:$M$503,(_calc!$E$875-500))),TEXT(INDEX('My equipment'!$M$4:$M$503,(_calc!$E$875-500)),"yyyy-mm-dd"),"")))</f>
        <v/>
      </c>
      <c r="C873" s="54">
        <f>IF(_calc!$E$875="","",IF(_calc!$E$875&lt;=500,"Warranty","Warranty"))</f>
        <v/>
      </c>
      <c r="D873" s="54">
        <f>IF(_calc!$E$875="","",IF(_calc!$E$875&lt;=500,IF(ISNUMBER(INDEX('Dealer pipeline'!$H$4:$H$503,_calc!$E$875)),TEXT(INDEX('Dealer pipeline'!$H$4:$H$503,_calc!$E$875),"yyyy-mm-dd"),""),IF(ISNUMBER(INDEX('My equipment'!$H$4:$H$503,(_calc!$E$875-500))),TEXT(INDEX('My equipment'!$H$4:$H$503,(_calc!$E$875-500)),"yyyy-mm-dd"),"")))</f>
        <v/>
      </c>
      <c r="F873" s="54">
        <f>IF(_calc!$E$875="","",IF(_calc!$E$875&lt;=500,TRIM(IF(LEN(IF(LEN(INDEX('Dealer pipeline'!$A$4:$A$503,_calc!$E$875))=0,"",INDEX('Dealer pipeline'!$A$4:$A$503,_calc!$E$875)))=0,"","Customer: "&amp;IF(LEN(INDEX('Dealer pipeline'!$A$4:$A$503,_calc!$E$875))=0,"",INDEX('Dealer pipeline'!$A$4:$A$503,_calc!$E$875))&amp;". ")&amp;IF(LEN(IF(LEN(INDEX('Dealer pipeline'!$B$4:$B$503,_calc!$E$875))=0,"",INDEX('Dealer pipeline'!$B$4:$B$503,_calc!$E$875)))=0,"","Contact: "&amp;IF(LEN(INDEX('Dealer pipeline'!$B$4:$B$503,_calc!$E$875))=0,"",INDEX('Dealer pipeline'!$B$4:$B$503,_calc!$E$875))&amp;". ")&amp;IF(LEN(IF(LEN(INDEX('Dealer pipeline'!$D$4:$D$503,_calc!$E$875))=0,"",INDEX('Dealer pipeline'!$D$4:$D$503,_calc!$E$875)))=0,"","Serial: "&amp;IF(LEN(INDEX('Dealer pipeline'!$D$4:$D$503,_calc!$E$875))=0,"",INDEX('Dealer pipeline'!$D$4:$D$503,_calc!$E$875))&amp;". ")&amp;IF(LEN(IF(ISNUMBER(INDEX('Dealer pipeline'!$J$4:$J$503,_calc!$E$875)),TEXT(INDEX('Dealer pipeline'!$J$4:$J$503,_calc!$E$875),"yyyy-mm-dd"),""))=0,"","Parts end: "&amp;IF(ISNUMBER(INDEX('Dealer pipeline'!$J$4:$J$503,_calc!$E$875)),TEXT(INDEX('Dealer pipeline'!$J$4:$J$503,_calc!$E$875),"yyyy-mm-dd"),"")&amp;". ")&amp;IF(LEN(IF(ISNUMBER(INDEX('Dealer pipeline'!$L$4:$L$503,_calc!$E$875)),TEXT(INDEX('Dealer pipeline'!$L$4:$L$503,_calc!$E$875),"yyyy-mm-dd"),""))=0,"","Labor end: "&amp;IF(ISNUMBER(INDEX('Dealer pipeline'!$L$4:$L$503,_calc!$E$875)),TEXT(INDEX('Dealer pipeline'!$L$4:$L$503,_calc!$E$875),"yyyy-mm-dd"),"")&amp;". ")&amp;IF(LEN(IF(LEN(INDEX('Dealer pipeline'!$Q$4:$Q$503,_calc!$E$875))=0,"",INDEX('Dealer pipeline'!$Q$4:$Q$503,_calc!$E$875)))=0,"","Status: "&amp;IF(LEN(INDEX('Dealer pipeline'!$Q$4:$Q$503,_calc!$E$875))=0,"",INDEX('Dealer pipeline'!$Q$4:$Q$503,_calc!$E$875))&amp;". ")&amp;IF(LEN(IF(LEN(INDEX('Dealer pipeline'!$P$4:$P$503,_calc!$E$875))=0,"",INDEX('Dealer pipeline'!$P$4:$P$503,_calc!$E$875)))=0,"","Last touch: "&amp;IF(LEN(INDEX('Dealer pipeline'!$P$4:$P$503,_calc!$E$875))=0,"",INDEX('Dealer pipeline'!$P$4:$P$503,_calc!$E$875))&amp;". ")&amp;IF(LEN(IF(LEN(INDEX('Dealer pipeline'!$R$4:$R$503,_calc!$E$875))=0,"",INDEX('Dealer pipeline'!$R$4:$R$503,_calc!$E$875)))=0,"","Owner: "&amp;IF(LEN(INDEX('Dealer pipeline'!$R$4:$R$503,_calc!$E$875))=0,"",INDEX('Dealer pipeline'!$R$4:$R$503,_calc!$E$875))&amp;". ")&amp;IF(LEN(IF(LEN(INDEX('Dealer pipeline'!$S$4:$S$503,_calc!$E$875))=0,"",INDEX('Dealer pipeline'!$S$4:$S$503,_calc!$E$875)))=0,"","Backup: "&amp;IF(LEN(INDEX('Dealer pipeline'!$S$4:$S$503,_calc!$E$875))=0,"",INDEX('Dealer pipeline'!$S$4:$S$503,_calc!$E$875))&amp;". ")&amp;IF(LEN(IF(LEN(INDEX('Dealer pipeline'!$T$4:$T$503,_calc!$E$875))=0,"",INDEX('Dealer pipeline'!$T$4:$T$503,_calc!$E$875)))=0,"",IF(LEN(INDEX('Dealer pipeline'!$T$4:$T$503,_calc!$E$875))=0,"",INDEX('Dealer pipeline'!$T$4:$T$503,_calc!$E$875)))),TRIM(IF(LEN(IF(LEN(INDEX('My equipment'!$C$4:$C$503,(_calc!$E$875-500)))=0,"",INDEX('My equipment'!$C$4:$C$503,(_calc!$E$875-500))))=0,"","Model: "&amp;IF(LEN(INDEX('My equipment'!$C$4:$C$503,(_calc!$E$875-500)))=0,"",INDEX('My equipment'!$C$4:$C$503,(_calc!$E$875-500)))&amp;". ")&amp;IF(LEN(IF(LEN(INDEX('My equipment'!$D$4:$D$503,(_calc!$E$875-500)))=0,"",INDEX('My equipment'!$D$4:$D$503,(_calc!$E$875-500))))=0,"","Serial: "&amp;IF(LEN(INDEX('My equipment'!$D$4:$D$503,(_calc!$E$875-500)))=0,"",INDEX('My equipment'!$D$4:$D$503,(_calc!$E$875-500)))&amp;". ")&amp;IF(LEN(IF(ISNUMBER(INDEX('My equipment'!$J$4:$J$503,(_calc!$E$875-500))),TEXT(INDEX('My equipment'!$J$4:$J$503,(_calc!$E$875-500)),"yyyy-mm-dd"),""))=0,"","Parts end: "&amp;IF(ISNUMBER(INDEX('My equipment'!$J$4:$J$503,(_calc!$E$875-500))),TEXT(INDEX('My equipment'!$J$4:$J$503,(_calc!$E$875-500)),"yyyy-mm-dd"),"")&amp;". ")&amp;IF(LEN(IF(ISNUMBER(INDEX('My equipment'!$L$4:$L$503,(_calc!$E$875-500))),TEXT(INDEX('My equipment'!$L$4:$L$503,(_calc!$E$875-500)),"yyyy-mm-dd"),""))=0,"","Labor end: "&amp;IF(ISNUMBER(INDEX('My equipment'!$L$4:$L$503,(_calc!$E$875-500))),TEXT(INDEX('My equipment'!$L$4:$L$503,(_calc!$E$875-500)),"yyyy-mm-dd"),"")&amp;". ")&amp;IF(LEN(IF(ISNUMBER(INDEX('My equipment'!$P$4:$P$503,(_calc!$E$875-500))),TEXT(INDEX('My equipment'!$P$4:$P$503,(_calc!$E$875-500)),"yyyy-mm-dd"),""))=0,"","Check by: "&amp;IF(ISNUMBER(INDEX('My equipment'!$P$4:$P$503,(_calc!$E$875-500))),TEXT(INDEX('My equipment'!$P$4:$P$503,(_calc!$E$875-500)),"yyyy-mm-dd"),"")&amp;". ")&amp;IF(LEN(IF(LEN(INDEX('My equipment'!$Q$4:$Q$503,(_calc!$E$875-500)))=0,"",INDEX('My equipment'!$Q$4:$Q$503,(_calc!$E$875-500))))=0,"","Claim status: "&amp;IF(LEN(INDEX('My equipment'!$Q$4:$Q$503,(_calc!$E$875-500)))=0,"",INDEX('My equipment'!$Q$4:$Q$503,(_calc!$E$875-500)))&amp;". ")&amp;IF(LEN(IF(LEN(INDEX('My equipment'!$R$4:$R$503,(_calc!$E$875-500)))=0,"",INDEX('My equipment'!$R$4:$R$503,(_calc!$E$875-500))))=0,"","Claims contact: "&amp;IF(LEN(INDEX('My equipment'!$R$4:$R$503,(_calc!$E$875-500)))=0,"",INDEX('My equipment'!$R$4:$R$503,(_calc!$E$875-500)))&amp;". ")&amp;IF(LEN(IF(LEN(INDEX('My equipment'!$S$4:$S$503,(_calc!$E$875-500)))=0,"",INDEX('My equipment'!$S$4:$S$503,(_calc!$E$875-500))))=0,"","Claims email: "&amp;IF(LEN(INDEX('My equipment'!$S$4:$S$503,(_calc!$E$875-500)))=0,"",INDEX('My equipment'!$S$4:$S$503,(_calc!$E$875-500)))&amp;". ")&amp;IF(LEN(IF(LEN(INDEX('My equipment'!$U$4:$U$503,(_calc!$E$875-500)))=0,"",INDEX('My equipment'!$U$4:$U$503,(_calc!$E$875-500))))=0,"","Registered: "&amp;IF(LEN(INDEX('My equipment'!$U$4:$U$503,(_calc!$E$875-500)))=0,"",INDEX('My equipment'!$U$4:$U$503,(_calc!$E$875-500)))&amp;". ")&amp;IF(LEN(IF(LEN(INDEX('My equipment'!$V$4:$V$503,(_calc!$E$875-500)))=0,"",INDEX('My equipment'!$V$4:$V$503,(_calc!$E$875-500))))=0,"","Proof on file: "&amp;IF(LEN(INDEX('My equipment'!$V$4:$V$503,(_calc!$E$875-500)))=0,"",INDEX('My equipment'!$V$4:$V$503,(_calc!$E$875-500)))&amp;". ")&amp;IF(LEN(IF(LEN(INDEX('My equipment'!$W$4:$W$503,(_calc!$E$875-500)))=0,"",INDEX('My equipment'!$W$4:$W$503,(_calc!$E$875-500))))=0,"","Claim ref: "&amp;IF(LEN(INDEX('My equipment'!$W$4:$W$503,(_calc!$E$875-500)))=0,"",INDEX('My equipment'!$W$4:$W$503,(_calc!$E$875-500)))&amp;". ")&amp;IF(LEN(IF(LEN(INDEX('My equipment'!$Y$4:$Y$503,(_calc!$E$875-500)))=0,"",INDEX('My equipment'!$Y$4:$Y$503,(_calc!$E$875-500))))=0,"",IF(LEN(INDEX('My equipment'!$Y$4:$Y$503,(_calc!$E$875-500)))=0,"",INDEX('My equipment'!$Y$4:$Y$503,(_calc!$E$875-500)))))))</f>
        <v/>
      </c>
      <c r="G873" s="54">
        <f>IF(_calc!$E$875="","",IF(_calc!$E$875&lt;=500,"",IF(LEN(INDEX('My equipment'!$X$4:$X$503,(_calc!$E$875-500)))=0,"",INDEX('My equipment'!$X$4:$X$503,(_calc!$E$875-500)))))</f>
        <v/>
      </c>
      <c r="K873" s="54">
        <f>IF(_calc!$E$875="","",IF(_calc!$E$875&lt;=500,"",IF(LEN(INDEX('My equipment'!$T$4:$T$503,(_calc!$E$875-500)))=0,"",INDEX('My equipment'!$T$4:$T$503,(_calc!$E$875-500)))))</f>
        <v/>
      </c>
    </row>
    <row r="874">
      <c r="A874" s="54">
        <f>IF(_calc!$E$876="","",IF(_calc!$E$876&lt;=500,"Warranty – "&amp;IF(LEN(INDEX('Dealer pipeline'!$C$4:$C$503,_calc!$E$876))=0,"",INDEX('Dealer pipeline'!$C$4:$C$503,_calc!$E$876))&amp;" – "&amp;IF(LEN(INDEX('Dealer pipeline'!$D$4:$D$503,_calc!$E$876))=0,"",INDEX('Dealer pipeline'!$D$4:$D$503,_calc!$E$876))&amp;" – "&amp;IF(LEN(INDEX('Dealer pipeline'!$A$4:$A$503,_calc!$E$876))=0,"",INDEX('Dealer pipeline'!$A$4:$A$503,_calc!$E$876)),"Warranty – "&amp;IF(LEN(INDEX('My equipment'!$A$4:$A$503,(_calc!$E$876-500)))=0,"",INDEX('My equipment'!$A$4:$A$503,(_calc!$E$876-500)))&amp;" – "&amp;IF(LEN(INDEX('My equipment'!$D$4:$D$503,(_calc!$E$876-500)))=0,"",INDEX('My equipment'!$D$4:$D$503,(_calc!$E$876-500)))))</f>
        <v/>
      </c>
      <c r="B874" s="54">
        <f>IF(_calc!$E$876="","",IF(_calc!$E$876&lt;=500,IF(ISNUMBER(INDEX('Dealer pipeline'!$M$4:$M$503,_calc!$E$876)),TEXT(INDEX('Dealer pipeline'!$M$4:$M$503,_calc!$E$876),"yyyy-mm-dd"),""),IF(ISNUMBER(INDEX('My equipment'!$M$4:$M$503,(_calc!$E$876-500))),TEXT(INDEX('My equipment'!$M$4:$M$503,(_calc!$E$876-500)),"yyyy-mm-dd"),"")))</f>
        <v/>
      </c>
      <c r="C874" s="54">
        <f>IF(_calc!$E$876="","",IF(_calc!$E$876&lt;=500,"Warranty","Warranty"))</f>
        <v/>
      </c>
      <c r="D874" s="54">
        <f>IF(_calc!$E$876="","",IF(_calc!$E$876&lt;=500,IF(ISNUMBER(INDEX('Dealer pipeline'!$H$4:$H$503,_calc!$E$876)),TEXT(INDEX('Dealer pipeline'!$H$4:$H$503,_calc!$E$876),"yyyy-mm-dd"),""),IF(ISNUMBER(INDEX('My equipment'!$H$4:$H$503,(_calc!$E$876-500))),TEXT(INDEX('My equipment'!$H$4:$H$503,(_calc!$E$876-500)),"yyyy-mm-dd"),"")))</f>
        <v/>
      </c>
      <c r="F874" s="54">
        <f>IF(_calc!$E$876="","",IF(_calc!$E$876&lt;=500,TRIM(IF(LEN(IF(LEN(INDEX('Dealer pipeline'!$A$4:$A$503,_calc!$E$876))=0,"",INDEX('Dealer pipeline'!$A$4:$A$503,_calc!$E$876)))=0,"","Customer: "&amp;IF(LEN(INDEX('Dealer pipeline'!$A$4:$A$503,_calc!$E$876))=0,"",INDEX('Dealer pipeline'!$A$4:$A$503,_calc!$E$876))&amp;". ")&amp;IF(LEN(IF(LEN(INDEX('Dealer pipeline'!$B$4:$B$503,_calc!$E$876))=0,"",INDEX('Dealer pipeline'!$B$4:$B$503,_calc!$E$876)))=0,"","Contact: "&amp;IF(LEN(INDEX('Dealer pipeline'!$B$4:$B$503,_calc!$E$876))=0,"",INDEX('Dealer pipeline'!$B$4:$B$503,_calc!$E$876))&amp;". ")&amp;IF(LEN(IF(LEN(INDEX('Dealer pipeline'!$D$4:$D$503,_calc!$E$876))=0,"",INDEX('Dealer pipeline'!$D$4:$D$503,_calc!$E$876)))=0,"","Serial: "&amp;IF(LEN(INDEX('Dealer pipeline'!$D$4:$D$503,_calc!$E$876))=0,"",INDEX('Dealer pipeline'!$D$4:$D$503,_calc!$E$876))&amp;". ")&amp;IF(LEN(IF(ISNUMBER(INDEX('Dealer pipeline'!$J$4:$J$503,_calc!$E$876)),TEXT(INDEX('Dealer pipeline'!$J$4:$J$503,_calc!$E$876),"yyyy-mm-dd"),""))=0,"","Parts end: "&amp;IF(ISNUMBER(INDEX('Dealer pipeline'!$J$4:$J$503,_calc!$E$876)),TEXT(INDEX('Dealer pipeline'!$J$4:$J$503,_calc!$E$876),"yyyy-mm-dd"),"")&amp;". ")&amp;IF(LEN(IF(ISNUMBER(INDEX('Dealer pipeline'!$L$4:$L$503,_calc!$E$876)),TEXT(INDEX('Dealer pipeline'!$L$4:$L$503,_calc!$E$876),"yyyy-mm-dd"),""))=0,"","Labor end: "&amp;IF(ISNUMBER(INDEX('Dealer pipeline'!$L$4:$L$503,_calc!$E$876)),TEXT(INDEX('Dealer pipeline'!$L$4:$L$503,_calc!$E$876),"yyyy-mm-dd"),"")&amp;". ")&amp;IF(LEN(IF(LEN(INDEX('Dealer pipeline'!$Q$4:$Q$503,_calc!$E$876))=0,"",INDEX('Dealer pipeline'!$Q$4:$Q$503,_calc!$E$876)))=0,"","Status: "&amp;IF(LEN(INDEX('Dealer pipeline'!$Q$4:$Q$503,_calc!$E$876))=0,"",INDEX('Dealer pipeline'!$Q$4:$Q$503,_calc!$E$876))&amp;". ")&amp;IF(LEN(IF(LEN(INDEX('Dealer pipeline'!$P$4:$P$503,_calc!$E$876))=0,"",INDEX('Dealer pipeline'!$P$4:$P$503,_calc!$E$876)))=0,"","Last touch: "&amp;IF(LEN(INDEX('Dealer pipeline'!$P$4:$P$503,_calc!$E$876))=0,"",INDEX('Dealer pipeline'!$P$4:$P$503,_calc!$E$876))&amp;". ")&amp;IF(LEN(IF(LEN(INDEX('Dealer pipeline'!$R$4:$R$503,_calc!$E$876))=0,"",INDEX('Dealer pipeline'!$R$4:$R$503,_calc!$E$876)))=0,"","Owner: "&amp;IF(LEN(INDEX('Dealer pipeline'!$R$4:$R$503,_calc!$E$876))=0,"",INDEX('Dealer pipeline'!$R$4:$R$503,_calc!$E$876))&amp;". ")&amp;IF(LEN(IF(LEN(INDEX('Dealer pipeline'!$S$4:$S$503,_calc!$E$876))=0,"",INDEX('Dealer pipeline'!$S$4:$S$503,_calc!$E$876)))=0,"","Backup: "&amp;IF(LEN(INDEX('Dealer pipeline'!$S$4:$S$503,_calc!$E$876))=0,"",INDEX('Dealer pipeline'!$S$4:$S$503,_calc!$E$876))&amp;". ")&amp;IF(LEN(IF(LEN(INDEX('Dealer pipeline'!$T$4:$T$503,_calc!$E$876))=0,"",INDEX('Dealer pipeline'!$T$4:$T$503,_calc!$E$876)))=0,"",IF(LEN(INDEX('Dealer pipeline'!$T$4:$T$503,_calc!$E$876))=0,"",INDEX('Dealer pipeline'!$T$4:$T$503,_calc!$E$876)))),TRIM(IF(LEN(IF(LEN(INDEX('My equipment'!$C$4:$C$503,(_calc!$E$876-500)))=0,"",INDEX('My equipment'!$C$4:$C$503,(_calc!$E$876-500))))=0,"","Model: "&amp;IF(LEN(INDEX('My equipment'!$C$4:$C$503,(_calc!$E$876-500)))=0,"",INDEX('My equipment'!$C$4:$C$503,(_calc!$E$876-500)))&amp;". ")&amp;IF(LEN(IF(LEN(INDEX('My equipment'!$D$4:$D$503,(_calc!$E$876-500)))=0,"",INDEX('My equipment'!$D$4:$D$503,(_calc!$E$876-500))))=0,"","Serial: "&amp;IF(LEN(INDEX('My equipment'!$D$4:$D$503,(_calc!$E$876-500)))=0,"",INDEX('My equipment'!$D$4:$D$503,(_calc!$E$876-500)))&amp;". ")&amp;IF(LEN(IF(ISNUMBER(INDEX('My equipment'!$J$4:$J$503,(_calc!$E$876-500))),TEXT(INDEX('My equipment'!$J$4:$J$503,(_calc!$E$876-500)),"yyyy-mm-dd"),""))=0,"","Parts end: "&amp;IF(ISNUMBER(INDEX('My equipment'!$J$4:$J$503,(_calc!$E$876-500))),TEXT(INDEX('My equipment'!$J$4:$J$503,(_calc!$E$876-500)),"yyyy-mm-dd"),"")&amp;". ")&amp;IF(LEN(IF(ISNUMBER(INDEX('My equipment'!$L$4:$L$503,(_calc!$E$876-500))),TEXT(INDEX('My equipment'!$L$4:$L$503,(_calc!$E$876-500)),"yyyy-mm-dd"),""))=0,"","Labor end: "&amp;IF(ISNUMBER(INDEX('My equipment'!$L$4:$L$503,(_calc!$E$876-500))),TEXT(INDEX('My equipment'!$L$4:$L$503,(_calc!$E$876-500)),"yyyy-mm-dd"),"")&amp;". ")&amp;IF(LEN(IF(ISNUMBER(INDEX('My equipment'!$P$4:$P$503,(_calc!$E$876-500))),TEXT(INDEX('My equipment'!$P$4:$P$503,(_calc!$E$876-500)),"yyyy-mm-dd"),""))=0,"","Check by: "&amp;IF(ISNUMBER(INDEX('My equipment'!$P$4:$P$503,(_calc!$E$876-500))),TEXT(INDEX('My equipment'!$P$4:$P$503,(_calc!$E$876-500)),"yyyy-mm-dd"),"")&amp;". ")&amp;IF(LEN(IF(LEN(INDEX('My equipment'!$Q$4:$Q$503,(_calc!$E$876-500)))=0,"",INDEX('My equipment'!$Q$4:$Q$503,(_calc!$E$876-500))))=0,"","Claim status: "&amp;IF(LEN(INDEX('My equipment'!$Q$4:$Q$503,(_calc!$E$876-500)))=0,"",INDEX('My equipment'!$Q$4:$Q$503,(_calc!$E$876-500)))&amp;". ")&amp;IF(LEN(IF(LEN(INDEX('My equipment'!$R$4:$R$503,(_calc!$E$876-500)))=0,"",INDEX('My equipment'!$R$4:$R$503,(_calc!$E$876-500))))=0,"","Claims contact: "&amp;IF(LEN(INDEX('My equipment'!$R$4:$R$503,(_calc!$E$876-500)))=0,"",INDEX('My equipment'!$R$4:$R$503,(_calc!$E$876-500)))&amp;". ")&amp;IF(LEN(IF(LEN(INDEX('My equipment'!$S$4:$S$503,(_calc!$E$876-500)))=0,"",INDEX('My equipment'!$S$4:$S$503,(_calc!$E$876-500))))=0,"","Claims email: "&amp;IF(LEN(INDEX('My equipment'!$S$4:$S$503,(_calc!$E$876-500)))=0,"",INDEX('My equipment'!$S$4:$S$503,(_calc!$E$876-500)))&amp;". ")&amp;IF(LEN(IF(LEN(INDEX('My equipment'!$U$4:$U$503,(_calc!$E$876-500)))=0,"",INDEX('My equipment'!$U$4:$U$503,(_calc!$E$876-500))))=0,"","Registered: "&amp;IF(LEN(INDEX('My equipment'!$U$4:$U$503,(_calc!$E$876-500)))=0,"",INDEX('My equipment'!$U$4:$U$503,(_calc!$E$876-500)))&amp;". ")&amp;IF(LEN(IF(LEN(INDEX('My equipment'!$V$4:$V$503,(_calc!$E$876-500)))=0,"",INDEX('My equipment'!$V$4:$V$503,(_calc!$E$876-500))))=0,"","Proof on file: "&amp;IF(LEN(INDEX('My equipment'!$V$4:$V$503,(_calc!$E$876-500)))=0,"",INDEX('My equipment'!$V$4:$V$503,(_calc!$E$876-500)))&amp;". ")&amp;IF(LEN(IF(LEN(INDEX('My equipment'!$W$4:$W$503,(_calc!$E$876-500)))=0,"",INDEX('My equipment'!$W$4:$W$503,(_calc!$E$876-500))))=0,"","Claim ref: "&amp;IF(LEN(INDEX('My equipment'!$W$4:$W$503,(_calc!$E$876-500)))=0,"",INDEX('My equipment'!$W$4:$W$503,(_calc!$E$876-500)))&amp;". ")&amp;IF(LEN(IF(LEN(INDEX('My equipment'!$Y$4:$Y$503,(_calc!$E$876-500)))=0,"",INDEX('My equipment'!$Y$4:$Y$503,(_calc!$E$876-500))))=0,"",IF(LEN(INDEX('My equipment'!$Y$4:$Y$503,(_calc!$E$876-500)))=0,"",INDEX('My equipment'!$Y$4:$Y$503,(_calc!$E$876-500)))))))</f>
        <v/>
      </c>
      <c r="G874" s="54">
        <f>IF(_calc!$E$876="","",IF(_calc!$E$876&lt;=500,"",IF(LEN(INDEX('My equipment'!$X$4:$X$503,(_calc!$E$876-500)))=0,"",INDEX('My equipment'!$X$4:$X$503,(_calc!$E$876-500)))))</f>
        <v/>
      </c>
      <c r="K874" s="54">
        <f>IF(_calc!$E$876="","",IF(_calc!$E$876&lt;=500,"",IF(LEN(INDEX('My equipment'!$T$4:$T$503,(_calc!$E$876-500)))=0,"",INDEX('My equipment'!$T$4:$T$503,(_calc!$E$876-500)))))</f>
        <v/>
      </c>
    </row>
    <row r="875">
      <c r="A875" s="54">
        <f>IF(_calc!$E$877="","",IF(_calc!$E$877&lt;=500,"Warranty – "&amp;IF(LEN(INDEX('Dealer pipeline'!$C$4:$C$503,_calc!$E$877))=0,"",INDEX('Dealer pipeline'!$C$4:$C$503,_calc!$E$877))&amp;" – "&amp;IF(LEN(INDEX('Dealer pipeline'!$D$4:$D$503,_calc!$E$877))=0,"",INDEX('Dealer pipeline'!$D$4:$D$503,_calc!$E$877))&amp;" – "&amp;IF(LEN(INDEX('Dealer pipeline'!$A$4:$A$503,_calc!$E$877))=0,"",INDEX('Dealer pipeline'!$A$4:$A$503,_calc!$E$877)),"Warranty – "&amp;IF(LEN(INDEX('My equipment'!$A$4:$A$503,(_calc!$E$877-500)))=0,"",INDEX('My equipment'!$A$4:$A$503,(_calc!$E$877-500)))&amp;" – "&amp;IF(LEN(INDEX('My equipment'!$D$4:$D$503,(_calc!$E$877-500)))=0,"",INDEX('My equipment'!$D$4:$D$503,(_calc!$E$877-500)))))</f>
        <v/>
      </c>
      <c r="B875" s="54">
        <f>IF(_calc!$E$877="","",IF(_calc!$E$877&lt;=500,IF(ISNUMBER(INDEX('Dealer pipeline'!$M$4:$M$503,_calc!$E$877)),TEXT(INDEX('Dealer pipeline'!$M$4:$M$503,_calc!$E$877),"yyyy-mm-dd"),""),IF(ISNUMBER(INDEX('My equipment'!$M$4:$M$503,(_calc!$E$877-500))),TEXT(INDEX('My equipment'!$M$4:$M$503,(_calc!$E$877-500)),"yyyy-mm-dd"),"")))</f>
        <v/>
      </c>
      <c r="C875" s="54">
        <f>IF(_calc!$E$877="","",IF(_calc!$E$877&lt;=500,"Warranty","Warranty"))</f>
        <v/>
      </c>
      <c r="D875" s="54">
        <f>IF(_calc!$E$877="","",IF(_calc!$E$877&lt;=500,IF(ISNUMBER(INDEX('Dealer pipeline'!$H$4:$H$503,_calc!$E$877)),TEXT(INDEX('Dealer pipeline'!$H$4:$H$503,_calc!$E$877),"yyyy-mm-dd"),""),IF(ISNUMBER(INDEX('My equipment'!$H$4:$H$503,(_calc!$E$877-500))),TEXT(INDEX('My equipment'!$H$4:$H$503,(_calc!$E$877-500)),"yyyy-mm-dd"),"")))</f>
        <v/>
      </c>
      <c r="F875" s="54">
        <f>IF(_calc!$E$877="","",IF(_calc!$E$877&lt;=500,TRIM(IF(LEN(IF(LEN(INDEX('Dealer pipeline'!$A$4:$A$503,_calc!$E$877))=0,"",INDEX('Dealer pipeline'!$A$4:$A$503,_calc!$E$877)))=0,"","Customer: "&amp;IF(LEN(INDEX('Dealer pipeline'!$A$4:$A$503,_calc!$E$877))=0,"",INDEX('Dealer pipeline'!$A$4:$A$503,_calc!$E$877))&amp;". ")&amp;IF(LEN(IF(LEN(INDEX('Dealer pipeline'!$B$4:$B$503,_calc!$E$877))=0,"",INDEX('Dealer pipeline'!$B$4:$B$503,_calc!$E$877)))=0,"","Contact: "&amp;IF(LEN(INDEX('Dealer pipeline'!$B$4:$B$503,_calc!$E$877))=0,"",INDEX('Dealer pipeline'!$B$4:$B$503,_calc!$E$877))&amp;". ")&amp;IF(LEN(IF(LEN(INDEX('Dealer pipeline'!$D$4:$D$503,_calc!$E$877))=0,"",INDEX('Dealer pipeline'!$D$4:$D$503,_calc!$E$877)))=0,"","Serial: "&amp;IF(LEN(INDEX('Dealer pipeline'!$D$4:$D$503,_calc!$E$877))=0,"",INDEX('Dealer pipeline'!$D$4:$D$503,_calc!$E$877))&amp;". ")&amp;IF(LEN(IF(ISNUMBER(INDEX('Dealer pipeline'!$J$4:$J$503,_calc!$E$877)),TEXT(INDEX('Dealer pipeline'!$J$4:$J$503,_calc!$E$877),"yyyy-mm-dd"),""))=0,"","Parts end: "&amp;IF(ISNUMBER(INDEX('Dealer pipeline'!$J$4:$J$503,_calc!$E$877)),TEXT(INDEX('Dealer pipeline'!$J$4:$J$503,_calc!$E$877),"yyyy-mm-dd"),"")&amp;". ")&amp;IF(LEN(IF(ISNUMBER(INDEX('Dealer pipeline'!$L$4:$L$503,_calc!$E$877)),TEXT(INDEX('Dealer pipeline'!$L$4:$L$503,_calc!$E$877),"yyyy-mm-dd"),""))=0,"","Labor end: "&amp;IF(ISNUMBER(INDEX('Dealer pipeline'!$L$4:$L$503,_calc!$E$877)),TEXT(INDEX('Dealer pipeline'!$L$4:$L$503,_calc!$E$877),"yyyy-mm-dd"),"")&amp;". ")&amp;IF(LEN(IF(LEN(INDEX('Dealer pipeline'!$Q$4:$Q$503,_calc!$E$877))=0,"",INDEX('Dealer pipeline'!$Q$4:$Q$503,_calc!$E$877)))=0,"","Status: "&amp;IF(LEN(INDEX('Dealer pipeline'!$Q$4:$Q$503,_calc!$E$877))=0,"",INDEX('Dealer pipeline'!$Q$4:$Q$503,_calc!$E$877))&amp;". ")&amp;IF(LEN(IF(LEN(INDEX('Dealer pipeline'!$P$4:$P$503,_calc!$E$877))=0,"",INDEX('Dealer pipeline'!$P$4:$P$503,_calc!$E$877)))=0,"","Last touch: "&amp;IF(LEN(INDEX('Dealer pipeline'!$P$4:$P$503,_calc!$E$877))=0,"",INDEX('Dealer pipeline'!$P$4:$P$503,_calc!$E$877))&amp;". ")&amp;IF(LEN(IF(LEN(INDEX('Dealer pipeline'!$R$4:$R$503,_calc!$E$877))=0,"",INDEX('Dealer pipeline'!$R$4:$R$503,_calc!$E$877)))=0,"","Owner: "&amp;IF(LEN(INDEX('Dealer pipeline'!$R$4:$R$503,_calc!$E$877))=0,"",INDEX('Dealer pipeline'!$R$4:$R$503,_calc!$E$877))&amp;". ")&amp;IF(LEN(IF(LEN(INDEX('Dealer pipeline'!$S$4:$S$503,_calc!$E$877))=0,"",INDEX('Dealer pipeline'!$S$4:$S$503,_calc!$E$877)))=0,"","Backup: "&amp;IF(LEN(INDEX('Dealer pipeline'!$S$4:$S$503,_calc!$E$877))=0,"",INDEX('Dealer pipeline'!$S$4:$S$503,_calc!$E$877))&amp;". ")&amp;IF(LEN(IF(LEN(INDEX('Dealer pipeline'!$T$4:$T$503,_calc!$E$877))=0,"",INDEX('Dealer pipeline'!$T$4:$T$503,_calc!$E$877)))=0,"",IF(LEN(INDEX('Dealer pipeline'!$T$4:$T$503,_calc!$E$877))=0,"",INDEX('Dealer pipeline'!$T$4:$T$503,_calc!$E$877)))),TRIM(IF(LEN(IF(LEN(INDEX('My equipment'!$C$4:$C$503,(_calc!$E$877-500)))=0,"",INDEX('My equipment'!$C$4:$C$503,(_calc!$E$877-500))))=0,"","Model: "&amp;IF(LEN(INDEX('My equipment'!$C$4:$C$503,(_calc!$E$877-500)))=0,"",INDEX('My equipment'!$C$4:$C$503,(_calc!$E$877-500)))&amp;". ")&amp;IF(LEN(IF(LEN(INDEX('My equipment'!$D$4:$D$503,(_calc!$E$877-500)))=0,"",INDEX('My equipment'!$D$4:$D$503,(_calc!$E$877-500))))=0,"","Serial: "&amp;IF(LEN(INDEX('My equipment'!$D$4:$D$503,(_calc!$E$877-500)))=0,"",INDEX('My equipment'!$D$4:$D$503,(_calc!$E$877-500)))&amp;". ")&amp;IF(LEN(IF(ISNUMBER(INDEX('My equipment'!$J$4:$J$503,(_calc!$E$877-500))),TEXT(INDEX('My equipment'!$J$4:$J$503,(_calc!$E$877-500)),"yyyy-mm-dd"),""))=0,"","Parts end: "&amp;IF(ISNUMBER(INDEX('My equipment'!$J$4:$J$503,(_calc!$E$877-500))),TEXT(INDEX('My equipment'!$J$4:$J$503,(_calc!$E$877-500)),"yyyy-mm-dd"),"")&amp;". ")&amp;IF(LEN(IF(ISNUMBER(INDEX('My equipment'!$L$4:$L$503,(_calc!$E$877-500))),TEXT(INDEX('My equipment'!$L$4:$L$503,(_calc!$E$877-500)),"yyyy-mm-dd"),""))=0,"","Labor end: "&amp;IF(ISNUMBER(INDEX('My equipment'!$L$4:$L$503,(_calc!$E$877-500))),TEXT(INDEX('My equipment'!$L$4:$L$503,(_calc!$E$877-500)),"yyyy-mm-dd"),"")&amp;". ")&amp;IF(LEN(IF(ISNUMBER(INDEX('My equipment'!$P$4:$P$503,(_calc!$E$877-500))),TEXT(INDEX('My equipment'!$P$4:$P$503,(_calc!$E$877-500)),"yyyy-mm-dd"),""))=0,"","Check by: "&amp;IF(ISNUMBER(INDEX('My equipment'!$P$4:$P$503,(_calc!$E$877-500))),TEXT(INDEX('My equipment'!$P$4:$P$503,(_calc!$E$877-500)),"yyyy-mm-dd"),"")&amp;". ")&amp;IF(LEN(IF(LEN(INDEX('My equipment'!$Q$4:$Q$503,(_calc!$E$877-500)))=0,"",INDEX('My equipment'!$Q$4:$Q$503,(_calc!$E$877-500))))=0,"","Claim status: "&amp;IF(LEN(INDEX('My equipment'!$Q$4:$Q$503,(_calc!$E$877-500)))=0,"",INDEX('My equipment'!$Q$4:$Q$503,(_calc!$E$877-500)))&amp;". ")&amp;IF(LEN(IF(LEN(INDEX('My equipment'!$R$4:$R$503,(_calc!$E$877-500)))=0,"",INDEX('My equipment'!$R$4:$R$503,(_calc!$E$877-500))))=0,"","Claims contact: "&amp;IF(LEN(INDEX('My equipment'!$R$4:$R$503,(_calc!$E$877-500)))=0,"",INDEX('My equipment'!$R$4:$R$503,(_calc!$E$877-500)))&amp;". ")&amp;IF(LEN(IF(LEN(INDEX('My equipment'!$S$4:$S$503,(_calc!$E$877-500)))=0,"",INDEX('My equipment'!$S$4:$S$503,(_calc!$E$877-500))))=0,"","Claims email: "&amp;IF(LEN(INDEX('My equipment'!$S$4:$S$503,(_calc!$E$877-500)))=0,"",INDEX('My equipment'!$S$4:$S$503,(_calc!$E$877-500)))&amp;". ")&amp;IF(LEN(IF(LEN(INDEX('My equipment'!$U$4:$U$503,(_calc!$E$877-500)))=0,"",INDEX('My equipment'!$U$4:$U$503,(_calc!$E$877-500))))=0,"","Registered: "&amp;IF(LEN(INDEX('My equipment'!$U$4:$U$503,(_calc!$E$877-500)))=0,"",INDEX('My equipment'!$U$4:$U$503,(_calc!$E$877-500)))&amp;". ")&amp;IF(LEN(IF(LEN(INDEX('My equipment'!$V$4:$V$503,(_calc!$E$877-500)))=0,"",INDEX('My equipment'!$V$4:$V$503,(_calc!$E$877-500))))=0,"","Proof on file: "&amp;IF(LEN(INDEX('My equipment'!$V$4:$V$503,(_calc!$E$877-500)))=0,"",INDEX('My equipment'!$V$4:$V$503,(_calc!$E$877-500)))&amp;". ")&amp;IF(LEN(IF(LEN(INDEX('My equipment'!$W$4:$W$503,(_calc!$E$877-500)))=0,"",INDEX('My equipment'!$W$4:$W$503,(_calc!$E$877-500))))=0,"","Claim ref: "&amp;IF(LEN(INDEX('My equipment'!$W$4:$W$503,(_calc!$E$877-500)))=0,"",INDEX('My equipment'!$W$4:$W$503,(_calc!$E$877-500)))&amp;". ")&amp;IF(LEN(IF(LEN(INDEX('My equipment'!$Y$4:$Y$503,(_calc!$E$877-500)))=0,"",INDEX('My equipment'!$Y$4:$Y$503,(_calc!$E$877-500))))=0,"",IF(LEN(INDEX('My equipment'!$Y$4:$Y$503,(_calc!$E$877-500)))=0,"",INDEX('My equipment'!$Y$4:$Y$503,(_calc!$E$877-500)))))))</f>
        <v/>
      </c>
      <c r="G875" s="54">
        <f>IF(_calc!$E$877="","",IF(_calc!$E$877&lt;=500,"",IF(LEN(INDEX('My equipment'!$X$4:$X$503,(_calc!$E$877-500)))=0,"",INDEX('My equipment'!$X$4:$X$503,(_calc!$E$877-500)))))</f>
        <v/>
      </c>
      <c r="K875" s="54">
        <f>IF(_calc!$E$877="","",IF(_calc!$E$877&lt;=500,"",IF(LEN(INDEX('My equipment'!$T$4:$T$503,(_calc!$E$877-500)))=0,"",INDEX('My equipment'!$T$4:$T$503,(_calc!$E$877-500)))))</f>
        <v/>
      </c>
    </row>
    <row r="876">
      <c r="A876" s="54">
        <f>IF(_calc!$E$878="","",IF(_calc!$E$878&lt;=500,"Warranty – "&amp;IF(LEN(INDEX('Dealer pipeline'!$C$4:$C$503,_calc!$E$878))=0,"",INDEX('Dealer pipeline'!$C$4:$C$503,_calc!$E$878))&amp;" – "&amp;IF(LEN(INDEX('Dealer pipeline'!$D$4:$D$503,_calc!$E$878))=0,"",INDEX('Dealer pipeline'!$D$4:$D$503,_calc!$E$878))&amp;" – "&amp;IF(LEN(INDEX('Dealer pipeline'!$A$4:$A$503,_calc!$E$878))=0,"",INDEX('Dealer pipeline'!$A$4:$A$503,_calc!$E$878)),"Warranty – "&amp;IF(LEN(INDEX('My equipment'!$A$4:$A$503,(_calc!$E$878-500)))=0,"",INDEX('My equipment'!$A$4:$A$503,(_calc!$E$878-500)))&amp;" – "&amp;IF(LEN(INDEX('My equipment'!$D$4:$D$503,(_calc!$E$878-500)))=0,"",INDEX('My equipment'!$D$4:$D$503,(_calc!$E$878-500)))))</f>
        <v/>
      </c>
      <c r="B876" s="54">
        <f>IF(_calc!$E$878="","",IF(_calc!$E$878&lt;=500,IF(ISNUMBER(INDEX('Dealer pipeline'!$M$4:$M$503,_calc!$E$878)),TEXT(INDEX('Dealer pipeline'!$M$4:$M$503,_calc!$E$878),"yyyy-mm-dd"),""),IF(ISNUMBER(INDEX('My equipment'!$M$4:$M$503,(_calc!$E$878-500))),TEXT(INDEX('My equipment'!$M$4:$M$503,(_calc!$E$878-500)),"yyyy-mm-dd"),"")))</f>
        <v/>
      </c>
      <c r="C876" s="54">
        <f>IF(_calc!$E$878="","",IF(_calc!$E$878&lt;=500,"Warranty","Warranty"))</f>
        <v/>
      </c>
      <c r="D876" s="54">
        <f>IF(_calc!$E$878="","",IF(_calc!$E$878&lt;=500,IF(ISNUMBER(INDEX('Dealer pipeline'!$H$4:$H$503,_calc!$E$878)),TEXT(INDEX('Dealer pipeline'!$H$4:$H$503,_calc!$E$878),"yyyy-mm-dd"),""),IF(ISNUMBER(INDEX('My equipment'!$H$4:$H$503,(_calc!$E$878-500))),TEXT(INDEX('My equipment'!$H$4:$H$503,(_calc!$E$878-500)),"yyyy-mm-dd"),"")))</f>
        <v/>
      </c>
      <c r="F876" s="54">
        <f>IF(_calc!$E$878="","",IF(_calc!$E$878&lt;=500,TRIM(IF(LEN(IF(LEN(INDEX('Dealer pipeline'!$A$4:$A$503,_calc!$E$878))=0,"",INDEX('Dealer pipeline'!$A$4:$A$503,_calc!$E$878)))=0,"","Customer: "&amp;IF(LEN(INDEX('Dealer pipeline'!$A$4:$A$503,_calc!$E$878))=0,"",INDEX('Dealer pipeline'!$A$4:$A$503,_calc!$E$878))&amp;". ")&amp;IF(LEN(IF(LEN(INDEX('Dealer pipeline'!$B$4:$B$503,_calc!$E$878))=0,"",INDEX('Dealer pipeline'!$B$4:$B$503,_calc!$E$878)))=0,"","Contact: "&amp;IF(LEN(INDEX('Dealer pipeline'!$B$4:$B$503,_calc!$E$878))=0,"",INDEX('Dealer pipeline'!$B$4:$B$503,_calc!$E$878))&amp;". ")&amp;IF(LEN(IF(LEN(INDEX('Dealer pipeline'!$D$4:$D$503,_calc!$E$878))=0,"",INDEX('Dealer pipeline'!$D$4:$D$503,_calc!$E$878)))=0,"","Serial: "&amp;IF(LEN(INDEX('Dealer pipeline'!$D$4:$D$503,_calc!$E$878))=0,"",INDEX('Dealer pipeline'!$D$4:$D$503,_calc!$E$878))&amp;". ")&amp;IF(LEN(IF(ISNUMBER(INDEX('Dealer pipeline'!$J$4:$J$503,_calc!$E$878)),TEXT(INDEX('Dealer pipeline'!$J$4:$J$503,_calc!$E$878),"yyyy-mm-dd"),""))=0,"","Parts end: "&amp;IF(ISNUMBER(INDEX('Dealer pipeline'!$J$4:$J$503,_calc!$E$878)),TEXT(INDEX('Dealer pipeline'!$J$4:$J$503,_calc!$E$878),"yyyy-mm-dd"),"")&amp;". ")&amp;IF(LEN(IF(ISNUMBER(INDEX('Dealer pipeline'!$L$4:$L$503,_calc!$E$878)),TEXT(INDEX('Dealer pipeline'!$L$4:$L$503,_calc!$E$878),"yyyy-mm-dd"),""))=0,"","Labor end: "&amp;IF(ISNUMBER(INDEX('Dealer pipeline'!$L$4:$L$503,_calc!$E$878)),TEXT(INDEX('Dealer pipeline'!$L$4:$L$503,_calc!$E$878),"yyyy-mm-dd"),"")&amp;". ")&amp;IF(LEN(IF(LEN(INDEX('Dealer pipeline'!$Q$4:$Q$503,_calc!$E$878))=0,"",INDEX('Dealer pipeline'!$Q$4:$Q$503,_calc!$E$878)))=0,"","Status: "&amp;IF(LEN(INDEX('Dealer pipeline'!$Q$4:$Q$503,_calc!$E$878))=0,"",INDEX('Dealer pipeline'!$Q$4:$Q$503,_calc!$E$878))&amp;". ")&amp;IF(LEN(IF(LEN(INDEX('Dealer pipeline'!$P$4:$P$503,_calc!$E$878))=0,"",INDEX('Dealer pipeline'!$P$4:$P$503,_calc!$E$878)))=0,"","Last touch: "&amp;IF(LEN(INDEX('Dealer pipeline'!$P$4:$P$503,_calc!$E$878))=0,"",INDEX('Dealer pipeline'!$P$4:$P$503,_calc!$E$878))&amp;". ")&amp;IF(LEN(IF(LEN(INDEX('Dealer pipeline'!$R$4:$R$503,_calc!$E$878))=0,"",INDEX('Dealer pipeline'!$R$4:$R$503,_calc!$E$878)))=0,"","Owner: "&amp;IF(LEN(INDEX('Dealer pipeline'!$R$4:$R$503,_calc!$E$878))=0,"",INDEX('Dealer pipeline'!$R$4:$R$503,_calc!$E$878))&amp;". ")&amp;IF(LEN(IF(LEN(INDEX('Dealer pipeline'!$S$4:$S$503,_calc!$E$878))=0,"",INDEX('Dealer pipeline'!$S$4:$S$503,_calc!$E$878)))=0,"","Backup: "&amp;IF(LEN(INDEX('Dealer pipeline'!$S$4:$S$503,_calc!$E$878))=0,"",INDEX('Dealer pipeline'!$S$4:$S$503,_calc!$E$878))&amp;". ")&amp;IF(LEN(IF(LEN(INDEX('Dealer pipeline'!$T$4:$T$503,_calc!$E$878))=0,"",INDEX('Dealer pipeline'!$T$4:$T$503,_calc!$E$878)))=0,"",IF(LEN(INDEX('Dealer pipeline'!$T$4:$T$503,_calc!$E$878))=0,"",INDEX('Dealer pipeline'!$T$4:$T$503,_calc!$E$878)))),TRIM(IF(LEN(IF(LEN(INDEX('My equipment'!$C$4:$C$503,(_calc!$E$878-500)))=0,"",INDEX('My equipment'!$C$4:$C$503,(_calc!$E$878-500))))=0,"","Model: "&amp;IF(LEN(INDEX('My equipment'!$C$4:$C$503,(_calc!$E$878-500)))=0,"",INDEX('My equipment'!$C$4:$C$503,(_calc!$E$878-500)))&amp;". ")&amp;IF(LEN(IF(LEN(INDEX('My equipment'!$D$4:$D$503,(_calc!$E$878-500)))=0,"",INDEX('My equipment'!$D$4:$D$503,(_calc!$E$878-500))))=0,"","Serial: "&amp;IF(LEN(INDEX('My equipment'!$D$4:$D$503,(_calc!$E$878-500)))=0,"",INDEX('My equipment'!$D$4:$D$503,(_calc!$E$878-500)))&amp;". ")&amp;IF(LEN(IF(ISNUMBER(INDEX('My equipment'!$J$4:$J$503,(_calc!$E$878-500))),TEXT(INDEX('My equipment'!$J$4:$J$503,(_calc!$E$878-500)),"yyyy-mm-dd"),""))=0,"","Parts end: "&amp;IF(ISNUMBER(INDEX('My equipment'!$J$4:$J$503,(_calc!$E$878-500))),TEXT(INDEX('My equipment'!$J$4:$J$503,(_calc!$E$878-500)),"yyyy-mm-dd"),"")&amp;". ")&amp;IF(LEN(IF(ISNUMBER(INDEX('My equipment'!$L$4:$L$503,(_calc!$E$878-500))),TEXT(INDEX('My equipment'!$L$4:$L$503,(_calc!$E$878-500)),"yyyy-mm-dd"),""))=0,"","Labor end: "&amp;IF(ISNUMBER(INDEX('My equipment'!$L$4:$L$503,(_calc!$E$878-500))),TEXT(INDEX('My equipment'!$L$4:$L$503,(_calc!$E$878-500)),"yyyy-mm-dd"),"")&amp;". ")&amp;IF(LEN(IF(ISNUMBER(INDEX('My equipment'!$P$4:$P$503,(_calc!$E$878-500))),TEXT(INDEX('My equipment'!$P$4:$P$503,(_calc!$E$878-500)),"yyyy-mm-dd"),""))=0,"","Check by: "&amp;IF(ISNUMBER(INDEX('My equipment'!$P$4:$P$503,(_calc!$E$878-500))),TEXT(INDEX('My equipment'!$P$4:$P$503,(_calc!$E$878-500)),"yyyy-mm-dd"),"")&amp;". ")&amp;IF(LEN(IF(LEN(INDEX('My equipment'!$Q$4:$Q$503,(_calc!$E$878-500)))=0,"",INDEX('My equipment'!$Q$4:$Q$503,(_calc!$E$878-500))))=0,"","Claim status: "&amp;IF(LEN(INDEX('My equipment'!$Q$4:$Q$503,(_calc!$E$878-500)))=0,"",INDEX('My equipment'!$Q$4:$Q$503,(_calc!$E$878-500)))&amp;". ")&amp;IF(LEN(IF(LEN(INDEX('My equipment'!$R$4:$R$503,(_calc!$E$878-500)))=0,"",INDEX('My equipment'!$R$4:$R$503,(_calc!$E$878-500))))=0,"","Claims contact: "&amp;IF(LEN(INDEX('My equipment'!$R$4:$R$503,(_calc!$E$878-500)))=0,"",INDEX('My equipment'!$R$4:$R$503,(_calc!$E$878-500)))&amp;". ")&amp;IF(LEN(IF(LEN(INDEX('My equipment'!$S$4:$S$503,(_calc!$E$878-500)))=0,"",INDEX('My equipment'!$S$4:$S$503,(_calc!$E$878-500))))=0,"","Claims email: "&amp;IF(LEN(INDEX('My equipment'!$S$4:$S$503,(_calc!$E$878-500)))=0,"",INDEX('My equipment'!$S$4:$S$503,(_calc!$E$878-500)))&amp;". ")&amp;IF(LEN(IF(LEN(INDEX('My equipment'!$U$4:$U$503,(_calc!$E$878-500)))=0,"",INDEX('My equipment'!$U$4:$U$503,(_calc!$E$878-500))))=0,"","Registered: "&amp;IF(LEN(INDEX('My equipment'!$U$4:$U$503,(_calc!$E$878-500)))=0,"",INDEX('My equipment'!$U$4:$U$503,(_calc!$E$878-500)))&amp;". ")&amp;IF(LEN(IF(LEN(INDEX('My equipment'!$V$4:$V$503,(_calc!$E$878-500)))=0,"",INDEX('My equipment'!$V$4:$V$503,(_calc!$E$878-500))))=0,"","Proof on file: "&amp;IF(LEN(INDEX('My equipment'!$V$4:$V$503,(_calc!$E$878-500)))=0,"",INDEX('My equipment'!$V$4:$V$503,(_calc!$E$878-500)))&amp;". ")&amp;IF(LEN(IF(LEN(INDEX('My equipment'!$W$4:$W$503,(_calc!$E$878-500)))=0,"",INDEX('My equipment'!$W$4:$W$503,(_calc!$E$878-500))))=0,"","Claim ref: "&amp;IF(LEN(INDEX('My equipment'!$W$4:$W$503,(_calc!$E$878-500)))=0,"",INDEX('My equipment'!$W$4:$W$503,(_calc!$E$878-500)))&amp;". ")&amp;IF(LEN(IF(LEN(INDEX('My equipment'!$Y$4:$Y$503,(_calc!$E$878-500)))=0,"",INDEX('My equipment'!$Y$4:$Y$503,(_calc!$E$878-500))))=0,"",IF(LEN(INDEX('My equipment'!$Y$4:$Y$503,(_calc!$E$878-500)))=0,"",INDEX('My equipment'!$Y$4:$Y$503,(_calc!$E$878-500)))))))</f>
        <v/>
      </c>
      <c r="G876" s="54">
        <f>IF(_calc!$E$878="","",IF(_calc!$E$878&lt;=500,"",IF(LEN(INDEX('My equipment'!$X$4:$X$503,(_calc!$E$878-500)))=0,"",INDEX('My equipment'!$X$4:$X$503,(_calc!$E$878-500)))))</f>
        <v/>
      </c>
      <c r="K876" s="54">
        <f>IF(_calc!$E$878="","",IF(_calc!$E$878&lt;=500,"",IF(LEN(INDEX('My equipment'!$T$4:$T$503,(_calc!$E$878-500)))=0,"",INDEX('My equipment'!$T$4:$T$503,(_calc!$E$878-500)))))</f>
        <v/>
      </c>
    </row>
    <row r="877">
      <c r="A877" s="54">
        <f>IF(_calc!$E$879="","",IF(_calc!$E$879&lt;=500,"Warranty – "&amp;IF(LEN(INDEX('Dealer pipeline'!$C$4:$C$503,_calc!$E$879))=0,"",INDEX('Dealer pipeline'!$C$4:$C$503,_calc!$E$879))&amp;" – "&amp;IF(LEN(INDEX('Dealer pipeline'!$D$4:$D$503,_calc!$E$879))=0,"",INDEX('Dealer pipeline'!$D$4:$D$503,_calc!$E$879))&amp;" – "&amp;IF(LEN(INDEX('Dealer pipeline'!$A$4:$A$503,_calc!$E$879))=0,"",INDEX('Dealer pipeline'!$A$4:$A$503,_calc!$E$879)),"Warranty – "&amp;IF(LEN(INDEX('My equipment'!$A$4:$A$503,(_calc!$E$879-500)))=0,"",INDEX('My equipment'!$A$4:$A$503,(_calc!$E$879-500)))&amp;" – "&amp;IF(LEN(INDEX('My equipment'!$D$4:$D$503,(_calc!$E$879-500)))=0,"",INDEX('My equipment'!$D$4:$D$503,(_calc!$E$879-500)))))</f>
        <v/>
      </c>
      <c r="B877" s="54">
        <f>IF(_calc!$E$879="","",IF(_calc!$E$879&lt;=500,IF(ISNUMBER(INDEX('Dealer pipeline'!$M$4:$M$503,_calc!$E$879)),TEXT(INDEX('Dealer pipeline'!$M$4:$M$503,_calc!$E$879),"yyyy-mm-dd"),""),IF(ISNUMBER(INDEX('My equipment'!$M$4:$M$503,(_calc!$E$879-500))),TEXT(INDEX('My equipment'!$M$4:$M$503,(_calc!$E$879-500)),"yyyy-mm-dd"),"")))</f>
        <v/>
      </c>
      <c r="C877" s="54">
        <f>IF(_calc!$E$879="","",IF(_calc!$E$879&lt;=500,"Warranty","Warranty"))</f>
        <v/>
      </c>
      <c r="D877" s="54">
        <f>IF(_calc!$E$879="","",IF(_calc!$E$879&lt;=500,IF(ISNUMBER(INDEX('Dealer pipeline'!$H$4:$H$503,_calc!$E$879)),TEXT(INDEX('Dealer pipeline'!$H$4:$H$503,_calc!$E$879),"yyyy-mm-dd"),""),IF(ISNUMBER(INDEX('My equipment'!$H$4:$H$503,(_calc!$E$879-500))),TEXT(INDEX('My equipment'!$H$4:$H$503,(_calc!$E$879-500)),"yyyy-mm-dd"),"")))</f>
        <v/>
      </c>
      <c r="F877" s="54">
        <f>IF(_calc!$E$879="","",IF(_calc!$E$879&lt;=500,TRIM(IF(LEN(IF(LEN(INDEX('Dealer pipeline'!$A$4:$A$503,_calc!$E$879))=0,"",INDEX('Dealer pipeline'!$A$4:$A$503,_calc!$E$879)))=0,"","Customer: "&amp;IF(LEN(INDEX('Dealer pipeline'!$A$4:$A$503,_calc!$E$879))=0,"",INDEX('Dealer pipeline'!$A$4:$A$503,_calc!$E$879))&amp;". ")&amp;IF(LEN(IF(LEN(INDEX('Dealer pipeline'!$B$4:$B$503,_calc!$E$879))=0,"",INDEX('Dealer pipeline'!$B$4:$B$503,_calc!$E$879)))=0,"","Contact: "&amp;IF(LEN(INDEX('Dealer pipeline'!$B$4:$B$503,_calc!$E$879))=0,"",INDEX('Dealer pipeline'!$B$4:$B$503,_calc!$E$879))&amp;". ")&amp;IF(LEN(IF(LEN(INDEX('Dealer pipeline'!$D$4:$D$503,_calc!$E$879))=0,"",INDEX('Dealer pipeline'!$D$4:$D$503,_calc!$E$879)))=0,"","Serial: "&amp;IF(LEN(INDEX('Dealer pipeline'!$D$4:$D$503,_calc!$E$879))=0,"",INDEX('Dealer pipeline'!$D$4:$D$503,_calc!$E$879))&amp;". ")&amp;IF(LEN(IF(ISNUMBER(INDEX('Dealer pipeline'!$J$4:$J$503,_calc!$E$879)),TEXT(INDEX('Dealer pipeline'!$J$4:$J$503,_calc!$E$879),"yyyy-mm-dd"),""))=0,"","Parts end: "&amp;IF(ISNUMBER(INDEX('Dealer pipeline'!$J$4:$J$503,_calc!$E$879)),TEXT(INDEX('Dealer pipeline'!$J$4:$J$503,_calc!$E$879),"yyyy-mm-dd"),"")&amp;". ")&amp;IF(LEN(IF(ISNUMBER(INDEX('Dealer pipeline'!$L$4:$L$503,_calc!$E$879)),TEXT(INDEX('Dealer pipeline'!$L$4:$L$503,_calc!$E$879),"yyyy-mm-dd"),""))=0,"","Labor end: "&amp;IF(ISNUMBER(INDEX('Dealer pipeline'!$L$4:$L$503,_calc!$E$879)),TEXT(INDEX('Dealer pipeline'!$L$4:$L$503,_calc!$E$879),"yyyy-mm-dd"),"")&amp;". ")&amp;IF(LEN(IF(LEN(INDEX('Dealer pipeline'!$Q$4:$Q$503,_calc!$E$879))=0,"",INDEX('Dealer pipeline'!$Q$4:$Q$503,_calc!$E$879)))=0,"","Status: "&amp;IF(LEN(INDEX('Dealer pipeline'!$Q$4:$Q$503,_calc!$E$879))=0,"",INDEX('Dealer pipeline'!$Q$4:$Q$503,_calc!$E$879))&amp;". ")&amp;IF(LEN(IF(LEN(INDEX('Dealer pipeline'!$P$4:$P$503,_calc!$E$879))=0,"",INDEX('Dealer pipeline'!$P$4:$P$503,_calc!$E$879)))=0,"","Last touch: "&amp;IF(LEN(INDEX('Dealer pipeline'!$P$4:$P$503,_calc!$E$879))=0,"",INDEX('Dealer pipeline'!$P$4:$P$503,_calc!$E$879))&amp;". ")&amp;IF(LEN(IF(LEN(INDEX('Dealer pipeline'!$R$4:$R$503,_calc!$E$879))=0,"",INDEX('Dealer pipeline'!$R$4:$R$503,_calc!$E$879)))=0,"","Owner: "&amp;IF(LEN(INDEX('Dealer pipeline'!$R$4:$R$503,_calc!$E$879))=0,"",INDEX('Dealer pipeline'!$R$4:$R$503,_calc!$E$879))&amp;". ")&amp;IF(LEN(IF(LEN(INDEX('Dealer pipeline'!$S$4:$S$503,_calc!$E$879))=0,"",INDEX('Dealer pipeline'!$S$4:$S$503,_calc!$E$879)))=0,"","Backup: "&amp;IF(LEN(INDEX('Dealer pipeline'!$S$4:$S$503,_calc!$E$879))=0,"",INDEX('Dealer pipeline'!$S$4:$S$503,_calc!$E$879))&amp;". ")&amp;IF(LEN(IF(LEN(INDEX('Dealer pipeline'!$T$4:$T$503,_calc!$E$879))=0,"",INDEX('Dealer pipeline'!$T$4:$T$503,_calc!$E$879)))=0,"",IF(LEN(INDEX('Dealer pipeline'!$T$4:$T$503,_calc!$E$879))=0,"",INDEX('Dealer pipeline'!$T$4:$T$503,_calc!$E$879)))),TRIM(IF(LEN(IF(LEN(INDEX('My equipment'!$C$4:$C$503,(_calc!$E$879-500)))=0,"",INDEX('My equipment'!$C$4:$C$503,(_calc!$E$879-500))))=0,"","Model: "&amp;IF(LEN(INDEX('My equipment'!$C$4:$C$503,(_calc!$E$879-500)))=0,"",INDEX('My equipment'!$C$4:$C$503,(_calc!$E$879-500)))&amp;". ")&amp;IF(LEN(IF(LEN(INDEX('My equipment'!$D$4:$D$503,(_calc!$E$879-500)))=0,"",INDEX('My equipment'!$D$4:$D$503,(_calc!$E$879-500))))=0,"","Serial: "&amp;IF(LEN(INDEX('My equipment'!$D$4:$D$503,(_calc!$E$879-500)))=0,"",INDEX('My equipment'!$D$4:$D$503,(_calc!$E$879-500)))&amp;". ")&amp;IF(LEN(IF(ISNUMBER(INDEX('My equipment'!$J$4:$J$503,(_calc!$E$879-500))),TEXT(INDEX('My equipment'!$J$4:$J$503,(_calc!$E$879-500)),"yyyy-mm-dd"),""))=0,"","Parts end: "&amp;IF(ISNUMBER(INDEX('My equipment'!$J$4:$J$503,(_calc!$E$879-500))),TEXT(INDEX('My equipment'!$J$4:$J$503,(_calc!$E$879-500)),"yyyy-mm-dd"),"")&amp;". ")&amp;IF(LEN(IF(ISNUMBER(INDEX('My equipment'!$L$4:$L$503,(_calc!$E$879-500))),TEXT(INDEX('My equipment'!$L$4:$L$503,(_calc!$E$879-500)),"yyyy-mm-dd"),""))=0,"","Labor end: "&amp;IF(ISNUMBER(INDEX('My equipment'!$L$4:$L$503,(_calc!$E$879-500))),TEXT(INDEX('My equipment'!$L$4:$L$503,(_calc!$E$879-500)),"yyyy-mm-dd"),"")&amp;". ")&amp;IF(LEN(IF(ISNUMBER(INDEX('My equipment'!$P$4:$P$503,(_calc!$E$879-500))),TEXT(INDEX('My equipment'!$P$4:$P$503,(_calc!$E$879-500)),"yyyy-mm-dd"),""))=0,"","Check by: "&amp;IF(ISNUMBER(INDEX('My equipment'!$P$4:$P$503,(_calc!$E$879-500))),TEXT(INDEX('My equipment'!$P$4:$P$503,(_calc!$E$879-500)),"yyyy-mm-dd"),"")&amp;". ")&amp;IF(LEN(IF(LEN(INDEX('My equipment'!$Q$4:$Q$503,(_calc!$E$879-500)))=0,"",INDEX('My equipment'!$Q$4:$Q$503,(_calc!$E$879-500))))=0,"","Claim status: "&amp;IF(LEN(INDEX('My equipment'!$Q$4:$Q$503,(_calc!$E$879-500)))=0,"",INDEX('My equipment'!$Q$4:$Q$503,(_calc!$E$879-500)))&amp;". ")&amp;IF(LEN(IF(LEN(INDEX('My equipment'!$R$4:$R$503,(_calc!$E$879-500)))=0,"",INDEX('My equipment'!$R$4:$R$503,(_calc!$E$879-500))))=0,"","Claims contact: "&amp;IF(LEN(INDEX('My equipment'!$R$4:$R$503,(_calc!$E$879-500)))=0,"",INDEX('My equipment'!$R$4:$R$503,(_calc!$E$879-500)))&amp;". ")&amp;IF(LEN(IF(LEN(INDEX('My equipment'!$S$4:$S$503,(_calc!$E$879-500)))=0,"",INDEX('My equipment'!$S$4:$S$503,(_calc!$E$879-500))))=0,"","Claims email: "&amp;IF(LEN(INDEX('My equipment'!$S$4:$S$503,(_calc!$E$879-500)))=0,"",INDEX('My equipment'!$S$4:$S$503,(_calc!$E$879-500)))&amp;". ")&amp;IF(LEN(IF(LEN(INDEX('My equipment'!$U$4:$U$503,(_calc!$E$879-500)))=0,"",INDEX('My equipment'!$U$4:$U$503,(_calc!$E$879-500))))=0,"","Registered: "&amp;IF(LEN(INDEX('My equipment'!$U$4:$U$503,(_calc!$E$879-500)))=0,"",INDEX('My equipment'!$U$4:$U$503,(_calc!$E$879-500)))&amp;". ")&amp;IF(LEN(IF(LEN(INDEX('My equipment'!$V$4:$V$503,(_calc!$E$879-500)))=0,"",INDEX('My equipment'!$V$4:$V$503,(_calc!$E$879-500))))=0,"","Proof on file: "&amp;IF(LEN(INDEX('My equipment'!$V$4:$V$503,(_calc!$E$879-500)))=0,"",INDEX('My equipment'!$V$4:$V$503,(_calc!$E$879-500)))&amp;". ")&amp;IF(LEN(IF(LEN(INDEX('My equipment'!$W$4:$W$503,(_calc!$E$879-500)))=0,"",INDEX('My equipment'!$W$4:$W$503,(_calc!$E$879-500))))=0,"","Claim ref: "&amp;IF(LEN(INDEX('My equipment'!$W$4:$W$503,(_calc!$E$879-500)))=0,"",INDEX('My equipment'!$W$4:$W$503,(_calc!$E$879-500)))&amp;". ")&amp;IF(LEN(IF(LEN(INDEX('My equipment'!$Y$4:$Y$503,(_calc!$E$879-500)))=0,"",INDEX('My equipment'!$Y$4:$Y$503,(_calc!$E$879-500))))=0,"",IF(LEN(INDEX('My equipment'!$Y$4:$Y$503,(_calc!$E$879-500)))=0,"",INDEX('My equipment'!$Y$4:$Y$503,(_calc!$E$879-500)))))))</f>
        <v/>
      </c>
      <c r="G877" s="54">
        <f>IF(_calc!$E$879="","",IF(_calc!$E$879&lt;=500,"",IF(LEN(INDEX('My equipment'!$X$4:$X$503,(_calc!$E$879-500)))=0,"",INDEX('My equipment'!$X$4:$X$503,(_calc!$E$879-500)))))</f>
        <v/>
      </c>
      <c r="K877" s="54">
        <f>IF(_calc!$E$879="","",IF(_calc!$E$879&lt;=500,"",IF(LEN(INDEX('My equipment'!$T$4:$T$503,(_calc!$E$879-500)))=0,"",INDEX('My equipment'!$T$4:$T$503,(_calc!$E$879-500)))))</f>
        <v/>
      </c>
    </row>
    <row r="878">
      <c r="A878" s="54">
        <f>IF(_calc!$E$880="","",IF(_calc!$E$880&lt;=500,"Warranty – "&amp;IF(LEN(INDEX('Dealer pipeline'!$C$4:$C$503,_calc!$E$880))=0,"",INDEX('Dealer pipeline'!$C$4:$C$503,_calc!$E$880))&amp;" – "&amp;IF(LEN(INDEX('Dealer pipeline'!$D$4:$D$503,_calc!$E$880))=0,"",INDEX('Dealer pipeline'!$D$4:$D$503,_calc!$E$880))&amp;" – "&amp;IF(LEN(INDEX('Dealer pipeline'!$A$4:$A$503,_calc!$E$880))=0,"",INDEX('Dealer pipeline'!$A$4:$A$503,_calc!$E$880)),"Warranty – "&amp;IF(LEN(INDEX('My equipment'!$A$4:$A$503,(_calc!$E$880-500)))=0,"",INDEX('My equipment'!$A$4:$A$503,(_calc!$E$880-500)))&amp;" – "&amp;IF(LEN(INDEX('My equipment'!$D$4:$D$503,(_calc!$E$880-500)))=0,"",INDEX('My equipment'!$D$4:$D$503,(_calc!$E$880-500)))))</f>
        <v/>
      </c>
      <c r="B878" s="54">
        <f>IF(_calc!$E$880="","",IF(_calc!$E$880&lt;=500,IF(ISNUMBER(INDEX('Dealer pipeline'!$M$4:$M$503,_calc!$E$880)),TEXT(INDEX('Dealer pipeline'!$M$4:$M$503,_calc!$E$880),"yyyy-mm-dd"),""),IF(ISNUMBER(INDEX('My equipment'!$M$4:$M$503,(_calc!$E$880-500))),TEXT(INDEX('My equipment'!$M$4:$M$503,(_calc!$E$880-500)),"yyyy-mm-dd"),"")))</f>
        <v/>
      </c>
      <c r="C878" s="54">
        <f>IF(_calc!$E$880="","",IF(_calc!$E$880&lt;=500,"Warranty","Warranty"))</f>
        <v/>
      </c>
      <c r="D878" s="54">
        <f>IF(_calc!$E$880="","",IF(_calc!$E$880&lt;=500,IF(ISNUMBER(INDEX('Dealer pipeline'!$H$4:$H$503,_calc!$E$880)),TEXT(INDEX('Dealer pipeline'!$H$4:$H$503,_calc!$E$880),"yyyy-mm-dd"),""),IF(ISNUMBER(INDEX('My equipment'!$H$4:$H$503,(_calc!$E$880-500))),TEXT(INDEX('My equipment'!$H$4:$H$503,(_calc!$E$880-500)),"yyyy-mm-dd"),"")))</f>
        <v/>
      </c>
      <c r="F878" s="54">
        <f>IF(_calc!$E$880="","",IF(_calc!$E$880&lt;=500,TRIM(IF(LEN(IF(LEN(INDEX('Dealer pipeline'!$A$4:$A$503,_calc!$E$880))=0,"",INDEX('Dealer pipeline'!$A$4:$A$503,_calc!$E$880)))=0,"","Customer: "&amp;IF(LEN(INDEX('Dealer pipeline'!$A$4:$A$503,_calc!$E$880))=0,"",INDEX('Dealer pipeline'!$A$4:$A$503,_calc!$E$880))&amp;". ")&amp;IF(LEN(IF(LEN(INDEX('Dealer pipeline'!$B$4:$B$503,_calc!$E$880))=0,"",INDEX('Dealer pipeline'!$B$4:$B$503,_calc!$E$880)))=0,"","Contact: "&amp;IF(LEN(INDEX('Dealer pipeline'!$B$4:$B$503,_calc!$E$880))=0,"",INDEX('Dealer pipeline'!$B$4:$B$503,_calc!$E$880))&amp;". ")&amp;IF(LEN(IF(LEN(INDEX('Dealer pipeline'!$D$4:$D$503,_calc!$E$880))=0,"",INDEX('Dealer pipeline'!$D$4:$D$503,_calc!$E$880)))=0,"","Serial: "&amp;IF(LEN(INDEX('Dealer pipeline'!$D$4:$D$503,_calc!$E$880))=0,"",INDEX('Dealer pipeline'!$D$4:$D$503,_calc!$E$880))&amp;". ")&amp;IF(LEN(IF(ISNUMBER(INDEX('Dealer pipeline'!$J$4:$J$503,_calc!$E$880)),TEXT(INDEX('Dealer pipeline'!$J$4:$J$503,_calc!$E$880),"yyyy-mm-dd"),""))=0,"","Parts end: "&amp;IF(ISNUMBER(INDEX('Dealer pipeline'!$J$4:$J$503,_calc!$E$880)),TEXT(INDEX('Dealer pipeline'!$J$4:$J$503,_calc!$E$880),"yyyy-mm-dd"),"")&amp;". ")&amp;IF(LEN(IF(ISNUMBER(INDEX('Dealer pipeline'!$L$4:$L$503,_calc!$E$880)),TEXT(INDEX('Dealer pipeline'!$L$4:$L$503,_calc!$E$880),"yyyy-mm-dd"),""))=0,"","Labor end: "&amp;IF(ISNUMBER(INDEX('Dealer pipeline'!$L$4:$L$503,_calc!$E$880)),TEXT(INDEX('Dealer pipeline'!$L$4:$L$503,_calc!$E$880),"yyyy-mm-dd"),"")&amp;". ")&amp;IF(LEN(IF(LEN(INDEX('Dealer pipeline'!$Q$4:$Q$503,_calc!$E$880))=0,"",INDEX('Dealer pipeline'!$Q$4:$Q$503,_calc!$E$880)))=0,"","Status: "&amp;IF(LEN(INDEX('Dealer pipeline'!$Q$4:$Q$503,_calc!$E$880))=0,"",INDEX('Dealer pipeline'!$Q$4:$Q$503,_calc!$E$880))&amp;". ")&amp;IF(LEN(IF(LEN(INDEX('Dealer pipeline'!$P$4:$P$503,_calc!$E$880))=0,"",INDEX('Dealer pipeline'!$P$4:$P$503,_calc!$E$880)))=0,"","Last touch: "&amp;IF(LEN(INDEX('Dealer pipeline'!$P$4:$P$503,_calc!$E$880))=0,"",INDEX('Dealer pipeline'!$P$4:$P$503,_calc!$E$880))&amp;". ")&amp;IF(LEN(IF(LEN(INDEX('Dealer pipeline'!$R$4:$R$503,_calc!$E$880))=0,"",INDEX('Dealer pipeline'!$R$4:$R$503,_calc!$E$880)))=0,"","Owner: "&amp;IF(LEN(INDEX('Dealer pipeline'!$R$4:$R$503,_calc!$E$880))=0,"",INDEX('Dealer pipeline'!$R$4:$R$503,_calc!$E$880))&amp;". ")&amp;IF(LEN(IF(LEN(INDEX('Dealer pipeline'!$S$4:$S$503,_calc!$E$880))=0,"",INDEX('Dealer pipeline'!$S$4:$S$503,_calc!$E$880)))=0,"","Backup: "&amp;IF(LEN(INDEX('Dealer pipeline'!$S$4:$S$503,_calc!$E$880))=0,"",INDEX('Dealer pipeline'!$S$4:$S$503,_calc!$E$880))&amp;". ")&amp;IF(LEN(IF(LEN(INDEX('Dealer pipeline'!$T$4:$T$503,_calc!$E$880))=0,"",INDEX('Dealer pipeline'!$T$4:$T$503,_calc!$E$880)))=0,"",IF(LEN(INDEX('Dealer pipeline'!$T$4:$T$503,_calc!$E$880))=0,"",INDEX('Dealer pipeline'!$T$4:$T$503,_calc!$E$880)))),TRIM(IF(LEN(IF(LEN(INDEX('My equipment'!$C$4:$C$503,(_calc!$E$880-500)))=0,"",INDEX('My equipment'!$C$4:$C$503,(_calc!$E$880-500))))=0,"","Model: "&amp;IF(LEN(INDEX('My equipment'!$C$4:$C$503,(_calc!$E$880-500)))=0,"",INDEX('My equipment'!$C$4:$C$503,(_calc!$E$880-500)))&amp;". ")&amp;IF(LEN(IF(LEN(INDEX('My equipment'!$D$4:$D$503,(_calc!$E$880-500)))=0,"",INDEX('My equipment'!$D$4:$D$503,(_calc!$E$880-500))))=0,"","Serial: "&amp;IF(LEN(INDEX('My equipment'!$D$4:$D$503,(_calc!$E$880-500)))=0,"",INDEX('My equipment'!$D$4:$D$503,(_calc!$E$880-500)))&amp;". ")&amp;IF(LEN(IF(ISNUMBER(INDEX('My equipment'!$J$4:$J$503,(_calc!$E$880-500))),TEXT(INDEX('My equipment'!$J$4:$J$503,(_calc!$E$880-500)),"yyyy-mm-dd"),""))=0,"","Parts end: "&amp;IF(ISNUMBER(INDEX('My equipment'!$J$4:$J$503,(_calc!$E$880-500))),TEXT(INDEX('My equipment'!$J$4:$J$503,(_calc!$E$880-500)),"yyyy-mm-dd"),"")&amp;". ")&amp;IF(LEN(IF(ISNUMBER(INDEX('My equipment'!$L$4:$L$503,(_calc!$E$880-500))),TEXT(INDEX('My equipment'!$L$4:$L$503,(_calc!$E$880-500)),"yyyy-mm-dd"),""))=0,"","Labor end: "&amp;IF(ISNUMBER(INDEX('My equipment'!$L$4:$L$503,(_calc!$E$880-500))),TEXT(INDEX('My equipment'!$L$4:$L$503,(_calc!$E$880-500)),"yyyy-mm-dd"),"")&amp;". ")&amp;IF(LEN(IF(ISNUMBER(INDEX('My equipment'!$P$4:$P$503,(_calc!$E$880-500))),TEXT(INDEX('My equipment'!$P$4:$P$503,(_calc!$E$880-500)),"yyyy-mm-dd"),""))=0,"","Check by: "&amp;IF(ISNUMBER(INDEX('My equipment'!$P$4:$P$503,(_calc!$E$880-500))),TEXT(INDEX('My equipment'!$P$4:$P$503,(_calc!$E$880-500)),"yyyy-mm-dd"),"")&amp;". ")&amp;IF(LEN(IF(LEN(INDEX('My equipment'!$Q$4:$Q$503,(_calc!$E$880-500)))=0,"",INDEX('My equipment'!$Q$4:$Q$503,(_calc!$E$880-500))))=0,"","Claim status: "&amp;IF(LEN(INDEX('My equipment'!$Q$4:$Q$503,(_calc!$E$880-500)))=0,"",INDEX('My equipment'!$Q$4:$Q$503,(_calc!$E$880-500)))&amp;". ")&amp;IF(LEN(IF(LEN(INDEX('My equipment'!$R$4:$R$503,(_calc!$E$880-500)))=0,"",INDEX('My equipment'!$R$4:$R$503,(_calc!$E$880-500))))=0,"","Claims contact: "&amp;IF(LEN(INDEX('My equipment'!$R$4:$R$503,(_calc!$E$880-500)))=0,"",INDEX('My equipment'!$R$4:$R$503,(_calc!$E$880-500)))&amp;". ")&amp;IF(LEN(IF(LEN(INDEX('My equipment'!$S$4:$S$503,(_calc!$E$880-500)))=0,"",INDEX('My equipment'!$S$4:$S$503,(_calc!$E$880-500))))=0,"","Claims email: "&amp;IF(LEN(INDEX('My equipment'!$S$4:$S$503,(_calc!$E$880-500)))=0,"",INDEX('My equipment'!$S$4:$S$503,(_calc!$E$880-500)))&amp;". ")&amp;IF(LEN(IF(LEN(INDEX('My equipment'!$U$4:$U$503,(_calc!$E$880-500)))=0,"",INDEX('My equipment'!$U$4:$U$503,(_calc!$E$880-500))))=0,"","Registered: "&amp;IF(LEN(INDEX('My equipment'!$U$4:$U$503,(_calc!$E$880-500)))=0,"",INDEX('My equipment'!$U$4:$U$503,(_calc!$E$880-500)))&amp;". ")&amp;IF(LEN(IF(LEN(INDEX('My equipment'!$V$4:$V$503,(_calc!$E$880-500)))=0,"",INDEX('My equipment'!$V$4:$V$503,(_calc!$E$880-500))))=0,"","Proof on file: "&amp;IF(LEN(INDEX('My equipment'!$V$4:$V$503,(_calc!$E$880-500)))=0,"",INDEX('My equipment'!$V$4:$V$503,(_calc!$E$880-500)))&amp;". ")&amp;IF(LEN(IF(LEN(INDEX('My equipment'!$W$4:$W$503,(_calc!$E$880-500)))=0,"",INDEX('My equipment'!$W$4:$W$503,(_calc!$E$880-500))))=0,"","Claim ref: "&amp;IF(LEN(INDEX('My equipment'!$W$4:$W$503,(_calc!$E$880-500)))=0,"",INDEX('My equipment'!$W$4:$W$503,(_calc!$E$880-500)))&amp;". ")&amp;IF(LEN(IF(LEN(INDEX('My equipment'!$Y$4:$Y$503,(_calc!$E$880-500)))=0,"",INDEX('My equipment'!$Y$4:$Y$503,(_calc!$E$880-500))))=0,"",IF(LEN(INDEX('My equipment'!$Y$4:$Y$503,(_calc!$E$880-500)))=0,"",INDEX('My equipment'!$Y$4:$Y$503,(_calc!$E$880-500)))))))</f>
        <v/>
      </c>
      <c r="G878" s="54">
        <f>IF(_calc!$E$880="","",IF(_calc!$E$880&lt;=500,"",IF(LEN(INDEX('My equipment'!$X$4:$X$503,(_calc!$E$880-500)))=0,"",INDEX('My equipment'!$X$4:$X$503,(_calc!$E$880-500)))))</f>
        <v/>
      </c>
      <c r="K878" s="54">
        <f>IF(_calc!$E$880="","",IF(_calc!$E$880&lt;=500,"",IF(LEN(INDEX('My equipment'!$T$4:$T$503,(_calc!$E$880-500)))=0,"",INDEX('My equipment'!$T$4:$T$503,(_calc!$E$880-500)))))</f>
        <v/>
      </c>
    </row>
    <row r="879">
      <c r="A879" s="54">
        <f>IF(_calc!$E$881="","",IF(_calc!$E$881&lt;=500,"Warranty – "&amp;IF(LEN(INDEX('Dealer pipeline'!$C$4:$C$503,_calc!$E$881))=0,"",INDEX('Dealer pipeline'!$C$4:$C$503,_calc!$E$881))&amp;" – "&amp;IF(LEN(INDEX('Dealer pipeline'!$D$4:$D$503,_calc!$E$881))=0,"",INDEX('Dealer pipeline'!$D$4:$D$503,_calc!$E$881))&amp;" – "&amp;IF(LEN(INDEX('Dealer pipeline'!$A$4:$A$503,_calc!$E$881))=0,"",INDEX('Dealer pipeline'!$A$4:$A$503,_calc!$E$881)),"Warranty – "&amp;IF(LEN(INDEX('My equipment'!$A$4:$A$503,(_calc!$E$881-500)))=0,"",INDEX('My equipment'!$A$4:$A$503,(_calc!$E$881-500)))&amp;" – "&amp;IF(LEN(INDEX('My equipment'!$D$4:$D$503,(_calc!$E$881-500)))=0,"",INDEX('My equipment'!$D$4:$D$503,(_calc!$E$881-500)))))</f>
        <v/>
      </c>
      <c r="B879" s="54">
        <f>IF(_calc!$E$881="","",IF(_calc!$E$881&lt;=500,IF(ISNUMBER(INDEX('Dealer pipeline'!$M$4:$M$503,_calc!$E$881)),TEXT(INDEX('Dealer pipeline'!$M$4:$M$503,_calc!$E$881),"yyyy-mm-dd"),""),IF(ISNUMBER(INDEX('My equipment'!$M$4:$M$503,(_calc!$E$881-500))),TEXT(INDEX('My equipment'!$M$4:$M$503,(_calc!$E$881-500)),"yyyy-mm-dd"),"")))</f>
        <v/>
      </c>
      <c r="C879" s="54">
        <f>IF(_calc!$E$881="","",IF(_calc!$E$881&lt;=500,"Warranty","Warranty"))</f>
        <v/>
      </c>
      <c r="D879" s="54">
        <f>IF(_calc!$E$881="","",IF(_calc!$E$881&lt;=500,IF(ISNUMBER(INDEX('Dealer pipeline'!$H$4:$H$503,_calc!$E$881)),TEXT(INDEX('Dealer pipeline'!$H$4:$H$503,_calc!$E$881),"yyyy-mm-dd"),""),IF(ISNUMBER(INDEX('My equipment'!$H$4:$H$503,(_calc!$E$881-500))),TEXT(INDEX('My equipment'!$H$4:$H$503,(_calc!$E$881-500)),"yyyy-mm-dd"),"")))</f>
        <v/>
      </c>
      <c r="F879" s="54">
        <f>IF(_calc!$E$881="","",IF(_calc!$E$881&lt;=500,TRIM(IF(LEN(IF(LEN(INDEX('Dealer pipeline'!$A$4:$A$503,_calc!$E$881))=0,"",INDEX('Dealer pipeline'!$A$4:$A$503,_calc!$E$881)))=0,"","Customer: "&amp;IF(LEN(INDEX('Dealer pipeline'!$A$4:$A$503,_calc!$E$881))=0,"",INDEX('Dealer pipeline'!$A$4:$A$503,_calc!$E$881))&amp;". ")&amp;IF(LEN(IF(LEN(INDEX('Dealer pipeline'!$B$4:$B$503,_calc!$E$881))=0,"",INDEX('Dealer pipeline'!$B$4:$B$503,_calc!$E$881)))=0,"","Contact: "&amp;IF(LEN(INDEX('Dealer pipeline'!$B$4:$B$503,_calc!$E$881))=0,"",INDEX('Dealer pipeline'!$B$4:$B$503,_calc!$E$881))&amp;". ")&amp;IF(LEN(IF(LEN(INDEX('Dealer pipeline'!$D$4:$D$503,_calc!$E$881))=0,"",INDEX('Dealer pipeline'!$D$4:$D$503,_calc!$E$881)))=0,"","Serial: "&amp;IF(LEN(INDEX('Dealer pipeline'!$D$4:$D$503,_calc!$E$881))=0,"",INDEX('Dealer pipeline'!$D$4:$D$503,_calc!$E$881))&amp;". ")&amp;IF(LEN(IF(ISNUMBER(INDEX('Dealer pipeline'!$J$4:$J$503,_calc!$E$881)),TEXT(INDEX('Dealer pipeline'!$J$4:$J$503,_calc!$E$881),"yyyy-mm-dd"),""))=0,"","Parts end: "&amp;IF(ISNUMBER(INDEX('Dealer pipeline'!$J$4:$J$503,_calc!$E$881)),TEXT(INDEX('Dealer pipeline'!$J$4:$J$503,_calc!$E$881),"yyyy-mm-dd"),"")&amp;". ")&amp;IF(LEN(IF(ISNUMBER(INDEX('Dealer pipeline'!$L$4:$L$503,_calc!$E$881)),TEXT(INDEX('Dealer pipeline'!$L$4:$L$503,_calc!$E$881),"yyyy-mm-dd"),""))=0,"","Labor end: "&amp;IF(ISNUMBER(INDEX('Dealer pipeline'!$L$4:$L$503,_calc!$E$881)),TEXT(INDEX('Dealer pipeline'!$L$4:$L$503,_calc!$E$881),"yyyy-mm-dd"),"")&amp;". ")&amp;IF(LEN(IF(LEN(INDEX('Dealer pipeline'!$Q$4:$Q$503,_calc!$E$881))=0,"",INDEX('Dealer pipeline'!$Q$4:$Q$503,_calc!$E$881)))=0,"","Status: "&amp;IF(LEN(INDEX('Dealer pipeline'!$Q$4:$Q$503,_calc!$E$881))=0,"",INDEX('Dealer pipeline'!$Q$4:$Q$503,_calc!$E$881))&amp;". ")&amp;IF(LEN(IF(LEN(INDEX('Dealer pipeline'!$P$4:$P$503,_calc!$E$881))=0,"",INDEX('Dealer pipeline'!$P$4:$P$503,_calc!$E$881)))=0,"","Last touch: "&amp;IF(LEN(INDEX('Dealer pipeline'!$P$4:$P$503,_calc!$E$881))=0,"",INDEX('Dealer pipeline'!$P$4:$P$503,_calc!$E$881))&amp;". ")&amp;IF(LEN(IF(LEN(INDEX('Dealer pipeline'!$R$4:$R$503,_calc!$E$881))=0,"",INDEX('Dealer pipeline'!$R$4:$R$503,_calc!$E$881)))=0,"","Owner: "&amp;IF(LEN(INDEX('Dealer pipeline'!$R$4:$R$503,_calc!$E$881))=0,"",INDEX('Dealer pipeline'!$R$4:$R$503,_calc!$E$881))&amp;". ")&amp;IF(LEN(IF(LEN(INDEX('Dealer pipeline'!$S$4:$S$503,_calc!$E$881))=0,"",INDEX('Dealer pipeline'!$S$4:$S$503,_calc!$E$881)))=0,"","Backup: "&amp;IF(LEN(INDEX('Dealer pipeline'!$S$4:$S$503,_calc!$E$881))=0,"",INDEX('Dealer pipeline'!$S$4:$S$503,_calc!$E$881))&amp;". ")&amp;IF(LEN(IF(LEN(INDEX('Dealer pipeline'!$T$4:$T$503,_calc!$E$881))=0,"",INDEX('Dealer pipeline'!$T$4:$T$503,_calc!$E$881)))=0,"",IF(LEN(INDEX('Dealer pipeline'!$T$4:$T$503,_calc!$E$881))=0,"",INDEX('Dealer pipeline'!$T$4:$T$503,_calc!$E$881)))),TRIM(IF(LEN(IF(LEN(INDEX('My equipment'!$C$4:$C$503,(_calc!$E$881-500)))=0,"",INDEX('My equipment'!$C$4:$C$503,(_calc!$E$881-500))))=0,"","Model: "&amp;IF(LEN(INDEX('My equipment'!$C$4:$C$503,(_calc!$E$881-500)))=0,"",INDEX('My equipment'!$C$4:$C$503,(_calc!$E$881-500)))&amp;". ")&amp;IF(LEN(IF(LEN(INDEX('My equipment'!$D$4:$D$503,(_calc!$E$881-500)))=0,"",INDEX('My equipment'!$D$4:$D$503,(_calc!$E$881-500))))=0,"","Serial: "&amp;IF(LEN(INDEX('My equipment'!$D$4:$D$503,(_calc!$E$881-500)))=0,"",INDEX('My equipment'!$D$4:$D$503,(_calc!$E$881-500)))&amp;". ")&amp;IF(LEN(IF(ISNUMBER(INDEX('My equipment'!$J$4:$J$503,(_calc!$E$881-500))),TEXT(INDEX('My equipment'!$J$4:$J$503,(_calc!$E$881-500)),"yyyy-mm-dd"),""))=0,"","Parts end: "&amp;IF(ISNUMBER(INDEX('My equipment'!$J$4:$J$503,(_calc!$E$881-500))),TEXT(INDEX('My equipment'!$J$4:$J$503,(_calc!$E$881-500)),"yyyy-mm-dd"),"")&amp;". ")&amp;IF(LEN(IF(ISNUMBER(INDEX('My equipment'!$L$4:$L$503,(_calc!$E$881-500))),TEXT(INDEX('My equipment'!$L$4:$L$503,(_calc!$E$881-500)),"yyyy-mm-dd"),""))=0,"","Labor end: "&amp;IF(ISNUMBER(INDEX('My equipment'!$L$4:$L$503,(_calc!$E$881-500))),TEXT(INDEX('My equipment'!$L$4:$L$503,(_calc!$E$881-500)),"yyyy-mm-dd"),"")&amp;". ")&amp;IF(LEN(IF(ISNUMBER(INDEX('My equipment'!$P$4:$P$503,(_calc!$E$881-500))),TEXT(INDEX('My equipment'!$P$4:$P$503,(_calc!$E$881-500)),"yyyy-mm-dd"),""))=0,"","Check by: "&amp;IF(ISNUMBER(INDEX('My equipment'!$P$4:$P$503,(_calc!$E$881-500))),TEXT(INDEX('My equipment'!$P$4:$P$503,(_calc!$E$881-500)),"yyyy-mm-dd"),"")&amp;". ")&amp;IF(LEN(IF(LEN(INDEX('My equipment'!$Q$4:$Q$503,(_calc!$E$881-500)))=0,"",INDEX('My equipment'!$Q$4:$Q$503,(_calc!$E$881-500))))=0,"","Claim status: "&amp;IF(LEN(INDEX('My equipment'!$Q$4:$Q$503,(_calc!$E$881-500)))=0,"",INDEX('My equipment'!$Q$4:$Q$503,(_calc!$E$881-500)))&amp;". ")&amp;IF(LEN(IF(LEN(INDEX('My equipment'!$R$4:$R$503,(_calc!$E$881-500)))=0,"",INDEX('My equipment'!$R$4:$R$503,(_calc!$E$881-500))))=0,"","Claims contact: "&amp;IF(LEN(INDEX('My equipment'!$R$4:$R$503,(_calc!$E$881-500)))=0,"",INDEX('My equipment'!$R$4:$R$503,(_calc!$E$881-500)))&amp;". ")&amp;IF(LEN(IF(LEN(INDEX('My equipment'!$S$4:$S$503,(_calc!$E$881-500)))=0,"",INDEX('My equipment'!$S$4:$S$503,(_calc!$E$881-500))))=0,"","Claims email: "&amp;IF(LEN(INDEX('My equipment'!$S$4:$S$503,(_calc!$E$881-500)))=0,"",INDEX('My equipment'!$S$4:$S$503,(_calc!$E$881-500)))&amp;". ")&amp;IF(LEN(IF(LEN(INDEX('My equipment'!$U$4:$U$503,(_calc!$E$881-500)))=0,"",INDEX('My equipment'!$U$4:$U$503,(_calc!$E$881-500))))=0,"","Registered: "&amp;IF(LEN(INDEX('My equipment'!$U$4:$U$503,(_calc!$E$881-500)))=0,"",INDEX('My equipment'!$U$4:$U$503,(_calc!$E$881-500)))&amp;". ")&amp;IF(LEN(IF(LEN(INDEX('My equipment'!$V$4:$V$503,(_calc!$E$881-500)))=0,"",INDEX('My equipment'!$V$4:$V$503,(_calc!$E$881-500))))=0,"","Proof on file: "&amp;IF(LEN(INDEX('My equipment'!$V$4:$V$503,(_calc!$E$881-500)))=0,"",INDEX('My equipment'!$V$4:$V$503,(_calc!$E$881-500)))&amp;". ")&amp;IF(LEN(IF(LEN(INDEX('My equipment'!$W$4:$W$503,(_calc!$E$881-500)))=0,"",INDEX('My equipment'!$W$4:$W$503,(_calc!$E$881-500))))=0,"","Claim ref: "&amp;IF(LEN(INDEX('My equipment'!$W$4:$W$503,(_calc!$E$881-500)))=0,"",INDEX('My equipment'!$W$4:$W$503,(_calc!$E$881-500)))&amp;". ")&amp;IF(LEN(IF(LEN(INDEX('My equipment'!$Y$4:$Y$503,(_calc!$E$881-500)))=0,"",INDEX('My equipment'!$Y$4:$Y$503,(_calc!$E$881-500))))=0,"",IF(LEN(INDEX('My equipment'!$Y$4:$Y$503,(_calc!$E$881-500)))=0,"",INDEX('My equipment'!$Y$4:$Y$503,(_calc!$E$881-500)))))))</f>
        <v/>
      </c>
      <c r="G879" s="54">
        <f>IF(_calc!$E$881="","",IF(_calc!$E$881&lt;=500,"",IF(LEN(INDEX('My equipment'!$X$4:$X$503,(_calc!$E$881-500)))=0,"",INDEX('My equipment'!$X$4:$X$503,(_calc!$E$881-500)))))</f>
        <v/>
      </c>
      <c r="K879" s="54">
        <f>IF(_calc!$E$881="","",IF(_calc!$E$881&lt;=500,"",IF(LEN(INDEX('My equipment'!$T$4:$T$503,(_calc!$E$881-500)))=0,"",INDEX('My equipment'!$T$4:$T$503,(_calc!$E$881-500)))))</f>
        <v/>
      </c>
    </row>
    <row r="880">
      <c r="A880" s="54">
        <f>IF(_calc!$E$882="","",IF(_calc!$E$882&lt;=500,"Warranty – "&amp;IF(LEN(INDEX('Dealer pipeline'!$C$4:$C$503,_calc!$E$882))=0,"",INDEX('Dealer pipeline'!$C$4:$C$503,_calc!$E$882))&amp;" – "&amp;IF(LEN(INDEX('Dealer pipeline'!$D$4:$D$503,_calc!$E$882))=0,"",INDEX('Dealer pipeline'!$D$4:$D$503,_calc!$E$882))&amp;" – "&amp;IF(LEN(INDEX('Dealer pipeline'!$A$4:$A$503,_calc!$E$882))=0,"",INDEX('Dealer pipeline'!$A$4:$A$503,_calc!$E$882)),"Warranty – "&amp;IF(LEN(INDEX('My equipment'!$A$4:$A$503,(_calc!$E$882-500)))=0,"",INDEX('My equipment'!$A$4:$A$503,(_calc!$E$882-500)))&amp;" – "&amp;IF(LEN(INDEX('My equipment'!$D$4:$D$503,(_calc!$E$882-500)))=0,"",INDEX('My equipment'!$D$4:$D$503,(_calc!$E$882-500)))))</f>
        <v/>
      </c>
      <c r="B880" s="54">
        <f>IF(_calc!$E$882="","",IF(_calc!$E$882&lt;=500,IF(ISNUMBER(INDEX('Dealer pipeline'!$M$4:$M$503,_calc!$E$882)),TEXT(INDEX('Dealer pipeline'!$M$4:$M$503,_calc!$E$882),"yyyy-mm-dd"),""),IF(ISNUMBER(INDEX('My equipment'!$M$4:$M$503,(_calc!$E$882-500))),TEXT(INDEX('My equipment'!$M$4:$M$503,(_calc!$E$882-500)),"yyyy-mm-dd"),"")))</f>
        <v/>
      </c>
      <c r="C880" s="54">
        <f>IF(_calc!$E$882="","",IF(_calc!$E$882&lt;=500,"Warranty","Warranty"))</f>
        <v/>
      </c>
      <c r="D880" s="54">
        <f>IF(_calc!$E$882="","",IF(_calc!$E$882&lt;=500,IF(ISNUMBER(INDEX('Dealer pipeline'!$H$4:$H$503,_calc!$E$882)),TEXT(INDEX('Dealer pipeline'!$H$4:$H$503,_calc!$E$882),"yyyy-mm-dd"),""),IF(ISNUMBER(INDEX('My equipment'!$H$4:$H$503,(_calc!$E$882-500))),TEXT(INDEX('My equipment'!$H$4:$H$503,(_calc!$E$882-500)),"yyyy-mm-dd"),"")))</f>
        <v/>
      </c>
      <c r="F880" s="54">
        <f>IF(_calc!$E$882="","",IF(_calc!$E$882&lt;=500,TRIM(IF(LEN(IF(LEN(INDEX('Dealer pipeline'!$A$4:$A$503,_calc!$E$882))=0,"",INDEX('Dealer pipeline'!$A$4:$A$503,_calc!$E$882)))=0,"","Customer: "&amp;IF(LEN(INDEX('Dealer pipeline'!$A$4:$A$503,_calc!$E$882))=0,"",INDEX('Dealer pipeline'!$A$4:$A$503,_calc!$E$882))&amp;". ")&amp;IF(LEN(IF(LEN(INDEX('Dealer pipeline'!$B$4:$B$503,_calc!$E$882))=0,"",INDEX('Dealer pipeline'!$B$4:$B$503,_calc!$E$882)))=0,"","Contact: "&amp;IF(LEN(INDEX('Dealer pipeline'!$B$4:$B$503,_calc!$E$882))=0,"",INDEX('Dealer pipeline'!$B$4:$B$503,_calc!$E$882))&amp;". ")&amp;IF(LEN(IF(LEN(INDEX('Dealer pipeline'!$D$4:$D$503,_calc!$E$882))=0,"",INDEX('Dealer pipeline'!$D$4:$D$503,_calc!$E$882)))=0,"","Serial: "&amp;IF(LEN(INDEX('Dealer pipeline'!$D$4:$D$503,_calc!$E$882))=0,"",INDEX('Dealer pipeline'!$D$4:$D$503,_calc!$E$882))&amp;". ")&amp;IF(LEN(IF(ISNUMBER(INDEX('Dealer pipeline'!$J$4:$J$503,_calc!$E$882)),TEXT(INDEX('Dealer pipeline'!$J$4:$J$503,_calc!$E$882),"yyyy-mm-dd"),""))=0,"","Parts end: "&amp;IF(ISNUMBER(INDEX('Dealer pipeline'!$J$4:$J$503,_calc!$E$882)),TEXT(INDEX('Dealer pipeline'!$J$4:$J$503,_calc!$E$882),"yyyy-mm-dd"),"")&amp;". ")&amp;IF(LEN(IF(ISNUMBER(INDEX('Dealer pipeline'!$L$4:$L$503,_calc!$E$882)),TEXT(INDEX('Dealer pipeline'!$L$4:$L$503,_calc!$E$882),"yyyy-mm-dd"),""))=0,"","Labor end: "&amp;IF(ISNUMBER(INDEX('Dealer pipeline'!$L$4:$L$503,_calc!$E$882)),TEXT(INDEX('Dealer pipeline'!$L$4:$L$503,_calc!$E$882),"yyyy-mm-dd"),"")&amp;". ")&amp;IF(LEN(IF(LEN(INDEX('Dealer pipeline'!$Q$4:$Q$503,_calc!$E$882))=0,"",INDEX('Dealer pipeline'!$Q$4:$Q$503,_calc!$E$882)))=0,"","Status: "&amp;IF(LEN(INDEX('Dealer pipeline'!$Q$4:$Q$503,_calc!$E$882))=0,"",INDEX('Dealer pipeline'!$Q$4:$Q$503,_calc!$E$882))&amp;". ")&amp;IF(LEN(IF(LEN(INDEX('Dealer pipeline'!$P$4:$P$503,_calc!$E$882))=0,"",INDEX('Dealer pipeline'!$P$4:$P$503,_calc!$E$882)))=0,"","Last touch: "&amp;IF(LEN(INDEX('Dealer pipeline'!$P$4:$P$503,_calc!$E$882))=0,"",INDEX('Dealer pipeline'!$P$4:$P$503,_calc!$E$882))&amp;". ")&amp;IF(LEN(IF(LEN(INDEX('Dealer pipeline'!$R$4:$R$503,_calc!$E$882))=0,"",INDEX('Dealer pipeline'!$R$4:$R$503,_calc!$E$882)))=0,"","Owner: "&amp;IF(LEN(INDEX('Dealer pipeline'!$R$4:$R$503,_calc!$E$882))=0,"",INDEX('Dealer pipeline'!$R$4:$R$503,_calc!$E$882))&amp;". ")&amp;IF(LEN(IF(LEN(INDEX('Dealer pipeline'!$S$4:$S$503,_calc!$E$882))=0,"",INDEX('Dealer pipeline'!$S$4:$S$503,_calc!$E$882)))=0,"","Backup: "&amp;IF(LEN(INDEX('Dealer pipeline'!$S$4:$S$503,_calc!$E$882))=0,"",INDEX('Dealer pipeline'!$S$4:$S$503,_calc!$E$882))&amp;". ")&amp;IF(LEN(IF(LEN(INDEX('Dealer pipeline'!$T$4:$T$503,_calc!$E$882))=0,"",INDEX('Dealer pipeline'!$T$4:$T$503,_calc!$E$882)))=0,"",IF(LEN(INDEX('Dealer pipeline'!$T$4:$T$503,_calc!$E$882))=0,"",INDEX('Dealer pipeline'!$T$4:$T$503,_calc!$E$882)))),TRIM(IF(LEN(IF(LEN(INDEX('My equipment'!$C$4:$C$503,(_calc!$E$882-500)))=0,"",INDEX('My equipment'!$C$4:$C$503,(_calc!$E$882-500))))=0,"","Model: "&amp;IF(LEN(INDEX('My equipment'!$C$4:$C$503,(_calc!$E$882-500)))=0,"",INDEX('My equipment'!$C$4:$C$503,(_calc!$E$882-500)))&amp;". ")&amp;IF(LEN(IF(LEN(INDEX('My equipment'!$D$4:$D$503,(_calc!$E$882-500)))=0,"",INDEX('My equipment'!$D$4:$D$503,(_calc!$E$882-500))))=0,"","Serial: "&amp;IF(LEN(INDEX('My equipment'!$D$4:$D$503,(_calc!$E$882-500)))=0,"",INDEX('My equipment'!$D$4:$D$503,(_calc!$E$882-500)))&amp;". ")&amp;IF(LEN(IF(ISNUMBER(INDEX('My equipment'!$J$4:$J$503,(_calc!$E$882-500))),TEXT(INDEX('My equipment'!$J$4:$J$503,(_calc!$E$882-500)),"yyyy-mm-dd"),""))=0,"","Parts end: "&amp;IF(ISNUMBER(INDEX('My equipment'!$J$4:$J$503,(_calc!$E$882-500))),TEXT(INDEX('My equipment'!$J$4:$J$503,(_calc!$E$882-500)),"yyyy-mm-dd"),"")&amp;". ")&amp;IF(LEN(IF(ISNUMBER(INDEX('My equipment'!$L$4:$L$503,(_calc!$E$882-500))),TEXT(INDEX('My equipment'!$L$4:$L$503,(_calc!$E$882-500)),"yyyy-mm-dd"),""))=0,"","Labor end: "&amp;IF(ISNUMBER(INDEX('My equipment'!$L$4:$L$503,(_calc!$E$882-500))),TEXT(INDEX('My equipment'!$L$4:$L$503,(_calc!$E$882-500)),"yyyy-mm-dd"),"")&amp;". ")&amp;IF(LEN(IF(ISNUMBER(INDEX('My equipment'!$P$4:$P$503,(_calc!$E$882-500))),TEXT(INDEX('My equipment'!$P$4:$P$503,(_calc!$E$882-500)),"yyyy-mm-dd"),""))=0,"","Check by: "&amp;IF(ISNUMBER(INDEX('My equipment'!$P$4:$P$503,(_calc!$E$882-500))),TEXT(INDEX('My equipment'!$P$4:$P$503,(_calc!$E$882-500)),"yyyy-mm-dd"),"")&amp;". ")&amp;IF(LEN(IF(LEN(INDEX('My equipment'!$Q$4:$Q$503,(_calc!$E$882-500)))=0,"",INDEX('My equipment'!$Q$4:$Q$503,(_calc!$E$882-500))))=0,"","Claim status: "&amp;IF(LEN(INDEX('My equipment'!$Q$4:$Q$503,(_calc!$E$882-500)))=0,"",INDEX('My equipment'!$Q$4:$Q$503,(_calc!$E$882-500)))&amp;". ")&amp;IF(LEN(IF(LEN(INDEX('My equipment'!$R$4:$R$503,(_calc!$E$882-500)))=0,"",INDEX('My equipment'!$R$4:$R$503,(_calc!$E$882-500))))=0,"","Claims contact: "&amp;IF(LEN(INDEX('My equipment'!$R$4:$R$503,(_calc!$E$882-500)))=0,"",INDEX('My equipment'!$R$4:$R$503,(_calc!$E$882-500)))&amp;". ")&amp;IF(LEN(IF(LEN(INDEX('My equipment'!$S$4:$S$503,(_calc!$E$882-500)))=0,"",INDEX('My equipment'!$S$4:$S$503,(_calc!$E$882-500))))=0,"","Claims email: "&amp;IF(LEN(INDEX('My equipment'!$S$4:$S$503,(_calc!$E$882-500)))=0,"",INDEX('My equipment'!$S$4:$S$503,(_calc!$E$882-500)))&amp;". ")&amp;IF(LEN(IF(LEN(INDEX('My equipment'!$U$4:$U$503,(_calc!$E$882-500)))=0,"",INDEX('My equipment'!$U$4:$U$503,(_calc!$E$882-500))))=0,"","Registered: "&amp;IF(LEN(INDEX('My equipment'!$U$4:$U$503,(_calc!$E$882-500)))=0,"",INDEX('My equipment'!$U$4:$U$503,(_calc!$E$882-500)))&amp;". ")&amp;IF(LEN(IF(LEN(INDEX('My equipment'!$V$4:$V$503,(_calc!$E$882-500)))=0,"",INDEX('My equipment'!$V$4:$V$503,(_calc!$E$882-500))))=0,"","Proof on file: "&amp;IF(LEN(INDEX('My equipment'!$V$4:$V$503,(_calc!$E$882-500)))=0,"",INDEX('My equipment'!$V$4:$V$503,(_calc!$E$882-500)))&amp;". ")&amp;IF(LEN(IF(LEN(INDEX('My equipment'!$W$4:$W$503,(_calc!$E$882-500)))=0,"",INDEX('My equipment'!$W$4:$W$503,(_calc!$E$882-500))))=0,"","Claim ref: "&amp;IF(LEN(INDEX('My equipment'!$W$4:$W$503,(_calc!$E$882-500)))=0,"",INDEX('My equipment'!$W$4:$W$503,(_calc!$E$882-500)))&amp;". ")&amp;IF(LEN(IF(LEN(INDEX('My equipment'!$Y$4:$Y$503,(_calc!$E$882-500)))=0,"",INDEX('My equipment'!$Y$4:$Y$503,(_calc!$E$882-500))))=0,"",IF(LEN(INDEX('My equipment'!$Y$4:$Y$503,(_calc!$E$882-500)))=0,"",INDEX('My equipment'!$Y$4:$Y$503,(_calc!$E$882-500)))))))</f>
        <v/>
      </c>
      <c r="G880" s="54">
        <f>IF(_calc!$E$882="","",IF(_calc!$E$882&lt;=500,"",IF(LEN(INDEX('My equipment'!$X$4:$X$503,(_calc!$E$882-500)))=0,"",INDEX('My equipment'!$X$4:$X$503,(_calc!$E$882-500)))))</f>
        <v/>
      </c>
      <c r="K880" s="54">
        <f>IF(_calc!$E$882="","",IF(_calc!$E$882&lt;=500,"",IF(LEN(INDEX('My equipment'!$T$4:$T$503,(_calc!$E$882-500)))=0,"",INDEX('My equipment'!$T$4:$T$503,(_calc!$E$882-500)))))</f>
        <v/>
      </c>
    </row>
    <row r="881">
      <c r="A881" s="54">
        <f>IF(_calc!$E$883="","",IF(_calc!$E$883&lt;=500,"Warranty – "&amp;IF(LEN(INDEX('Dealer pipeline'!$C$4:$C$503,_calc!$E$883))=0,"",INDEX('Dealer pipeline'!$C$4:$C$503,_calc!$E$883))&amp;" – "&amp;IF(LEN(INDEX('Dealer pipeline'!$D$4:$D$503,_calc!$E$883))=0,"",INDEX('Dealer pipeline'!$D$4:$D$503,_calc!$E$883))&amp;" – "&amp;IF(LEN(INDEX('Dealer pipeline'!$A$4:$A$503,_calc!$E$883))=0,"",INDEX('Dealer pipeline'!$A$4:$A$503,_calc!$E$883)),"Warranty – "&amp;IF(LEN(INDEX('My equipment'!$A$4:$A$503,(_calc!$E$883-500)))=0,"",INDEX('My equipment'!$A$4:$A$503,(_calc!$E$883-500)))&amp;" – "&amp;IF(LEN(INDEX('My equipment'!$D$4:$D$503,(_calc!$E$883-500)))=0,"",INDEX('My equipment'!$D$4:$D$503,(_calc!$E$883-500)))))</f>
        <v/>
      </c>
      <c r="B881" s="54">
        <f>IF(_calc!$E$883="","",IF(_calc!$E$883&lt;=500,IF(ISNUMBER(INDEX('Dealer pipeline'!$M$4:$M$503,_calc!$E$883)),TEXT(INDEX('Dealer pipeline'!$M$4:$M$503,_calc!$E$883),"yyyy-mm-dd"),""),IF(ISNUMBER(INDEX('My equipment'!$M$4:$M$503,(_calc!$E$883-500))),TEXT(INDEX('My equipment'!$M$4:$M$503,(_calc!$E$883-500)),"yyyy-mm-dd"),"")))</f>
        <v/>
      </c>
      <c r="C881" s="54">
        <f>IF(_calc!$E$883="","",IF(_calc!$E$883&lt;=500,"Warranty","Warranty"))</f>
        <v/>
      </c>
      <c r="D881" s="54">
        <f>IF(_calc!$E$883="","",IF(_calc!$E$883&lt;=500,IF(ISNUMBER(INDEX('Dealer pipeline'!$H$4:$H$503,_calc!$E$883)),TEXT(INDEX('Dealer pipeline'!$H$4:$H$503,_calc!$E$883),"yyyy-mm-dd"),""),IF(ISNUMBER(INDEX('My equipment'!$H$4:$H$503,(_calc!$E$883-500))),TEXT(INDEX('My equipment'!$H$4:$H$503,(_calc!$E$883-500)),"yyyy-mm-dd"),"")))</f>
        <v/>
      </c>
      <c r="F881" s="54">
        <f>IF(_calc!$E$883="","",IF(_calc!$E$883&lt;=500,TRIM(IF(LEN(IF(LEN(INDEX('Dealer pipeline'!$A$4:$A$503,_calc!$E$883))=0,"",INDEX('Dealer pipeline'!$A$4:$A$503,_calc!$E$883)))=0,"","Customer: "&amp;IF(LEN(INDEX('Dealer pipeline'!$A$4:$A$503,_calc!$E$883))=0,"",INDEX('Dealer pipeline'!$A$4:$A$503,_calc!$E$883))&amp;". ")&amp;IF(LEN(IF(LEN(INDEX('Dealer pipeline'!$B$4:$B$503,_calc!$E$883))=0,"",INDEX('Dealer pipeline'!$B$4:$B$503,_calc!$E$883)))=0,"","Contact: "&amp;IF(LEN(INDEX('Dealer pipeline'!$B$4:$B$503,_calc!$E$883))=0,"",INDEX('Dealer pipeline'!$B$4:$B$503,_calc!$E$883))&amp;". ")&amp;IF(LEN(IF(LEN(INDEX('Dealer pipeline'!$D$4:$D$503,_calc!$E$883))=0,"",INDEX('Dealer pipeline'!$D$4:$D$503,_calc!$E$883)))=0,"","Serial: "&amp;IF(LEN(INDEX('Dealer pipeline'!$D$4:$D$503,_calc!$E$883))=0,"",INDEX('Dealer pipeline'!$D$4:$D$503,_calc!$E$883))&amp;". ")&amp;IF(LEN(IF(ISNUMBER(INDEX('Dealer pipeline'!$J$4:$J$503,_calc!$E$883)),TEXT(INDEX('Dealer pipeline'!$J$4:$J$503,_calc!$E$883),"yyyy-mm-dd"),""))=0,"","Parts end: "&amp;IF(ISNUMBER(INDEX('Dealer pipeline'!$J$4:$J$503,_calc!$E$883)),TEXT(INDEX('Dealer pipeline'!$J$4:$J$503,_calc!$E$883),"yyyy-mm-dd"),"")&amp;". ")&amp;IF(LEN(IF(ISNUMBER(INDEX('Dealer pipeline'!$L$4:$L$503,_calc!$E$883)),TEXT(INDEX('Dealer pipeline'!$L$4:$L$503,_calc!$E$883),"yyyy-mm-dd"),""))=0,"","Labor end: "&amp;IF(ISNUMBER(INDEX('Dealer pipeline'!$L$4:$L$503,_calc!$E$883)),TEXT(INDEX('Dealer pipeline'!$L$4:$L$503,_calc!$E$883),"yyyy-mm-dd"),"")&amp;". ")&amp;IF(LEN(IF(LEN(INDEX('Dealer pipeline'!$Q$4:$Q$503,_calc!$E$883))=0,"",INDEX('Dealer pipeline'!$Q$4:$Q$503,_calc!$E$883)))=0,"","Status: "&amp;IF(LEN(INDEX('Dealer pipeline'!$Q$4:$Q$503,_calc!$E$883))=0,"",INDEX('Dealer pipeline'!$Q$4:$Q$503,_calc!$E$883))&amp;". ")&amp;IF(LEN(IF(LEN(INDEX('Dealer pipeline'!$P$4:$P$503,_calc!$E$883))=0,"",INDEX('Dealer pipeline'!$P$4:$P$503,_calc!$E$883)))=0,"","Last touch: "&amp;IF(LEN(INDEX('Dealer pipeline'!$P$4:$P$503,_calc!$E$883))=0,"",INDEX('Dealer pipeline'!$P$4:$P$503,_calc!$E$883))&amp;". ")&amp;IF(LEN(IF(LEN(INDEX('Dealer pipeline'!$R$4:$R$503,_calc!$E$883))=0,"",INDEX('Dealer pipeline'!$R$4:$R$503,_calc!$E$883)))=0,"","Owner: "&amp;IF(LEN(INDEX('Dealer pipeline'!$R$4:$R$503,_calc!$E$883))=0,"",INDEX('Dealer pipeline'!$R$4:$R$503,_calc!$E$883))&amp;". ")&amp;IF(LEN(IF(LEN(INDEX('Dealer pipeline'!$S$4:$S$503,_calc!$E$883))=0,"",INDEX('Dealer pipeline'!$S$4:$S$503,_calc!$E$883)))=0,"","Backup: "&amp;IF(LEN(INDEX('Dealer pipeline'!$S$4:$S$503,_calc!$E$883))=0,"",INDEX('Dealer pipeline'!$S$4:$S$503,_calc!$E$883))&amp;". ")&amp;IF(LEN(IF(LEN(INDEX('Dealer pipeline'!$T$4:$T$503,_calc!$E$883))=0,"",INDEX('Dealer pipeline'!$T$4:$T$503,_calc!$E$883)))=0,"",IF(LEN(INDEX('Dealer pipeline'!$T$4:$T$503,_calc!$E$883))=0,"",INDEX('Dealer pipeline'!$T$4:$T$503,_calc!$E$883)))),TRIM(IF(LEN(IF(LEN(INDEX('My equipment'!$C$4:$C$503,(_calc!$E$883-500)))=0,"",INDEX('My equipment'!$C$4:$C$503,(_calc!$E$883-500))))=0,"","Model: "&amp;IF(LEN(INDEX('My equipment'!$C$4:$C$503,(_calc!$E$883-500)))=0,"",INDEX('My equipment'!$C$4:$C$503,(_calc!$E$883-500)))&amp;". ")&amp;IF(LEN(IF(LEN(INDEX('My equipment'!$D$4:$D$503,(_calc!$E$883-500)))=0,"",INDEX('My equipment'!$D$4:$D$503,(_calc!$E$883-500))))=0,"","Serial: "&amp;IF(LEN(INDEX('My equipment'!$D$4:$D$503,(_calc!$E$883-500)))=0,"",INDEX('My equipment'!$D$4:$D$503,(_calc!$E$883-500)))&amp;". ")&amp;IF(LEN(IF(ISNUMBER(INDEX('My equipment'!$J$4:$J$503,(_calc!$E$883-500))),TEXT(INDEX('My equipment'!$J$4:$J$503,(_calc!$E$883-500)),"yyyy-mm-dd"),""))=0,"","Parts end: "&amp;IF(ISNUMBER(INDEX('My equipment'!$J$4:$J$503,(_calc!$E$883-500))),TEXT(INDEX('My equipment'!$J$4:$J$503,(_calc!$E$883-500)),"yyyy-mm-dd"),"")&amp;". ")&amp;IF(LEN(IF(ISNUMBER(INDEX('My equipment'!$L$4:$L$503,(_calc!$E$883-500))),TEXT(INDEX('My equipment'!$L$4:$L$503,(_calc!$E$883-500)),"yyyy-mm-dd"),""))=0,"","Labor end: "&amp;IF(ISNUMBER(INDEX('My equipment'!$L$4:$L$503,(_calc!$E$883-500))),TEXT(INDEX('My equipment'!$L$4:$L$503,(_calc!$E$883-500)),"yyyy-mm-dd"),"")&amp;". ")&amp;IF(LEN(IF(ISNUMBER(INDEX('My equipment'!$P$4:$P$503,(_calc!$E$883-500))),TEXT(INDEX('My equipment'!$P$4:$P$503,(_calc!$E$883-500)),"yyyy-mm-dd"),""))=0,"","Check by: "&amp;IF(ISNUMBER(INDEX('My equipment'!$P$4:$P$503,(_calc!$E$883-500))),TEXT(INDEX('My equipment'!$P$4:$P$503,(_calc!$E$883-500)),"yyyy-mm-dd"),"")&amp;". ")&amp;IF(LEN(IF(LEN(INDEX('My equipment'!$Q$4:$Q$503,(_calc!$E$883-500)))=0,"",INDEX('My equipment'!$Q$4:$Q$503,(_calc!$E$883-500))))=0,"","Claim status: "&amp;IF(LEN(INDEX('My equipment'!$Q$4:$Q$503,(_calc!$E$883-500)))=0,"",INDEX('My equipment'!$Q$4:$Q$503,(_calc!$E$883-500)))&amp;". ")&amp;IF(LEN(IF(LEN(INDEX('My equipment'!$R$4:$R$503,(_calc!$E$883-500)))=0,"",INDEX('My equipment'!$R$4:$R$503,(_calc!$E$883-500))))=0,"","Claims contact: "&amp;IF(LEN(INDEX('My equipment'!$R$4:$R$503,(_calc!$E$883-500)))=0,"",INDEX('My equipment'!$R$4:$R$503,(_calc!$E$883-500)))&amp;". ")&amp;IF(LEN(IF(LEN(INDEX('My equipment'!$S$4:$S$503,(_calc!$E$883-500)))=0,"",INDEX('My equipment'!$S$4:$S$503,(_calc!$E$883-500))))=0,"","Claims email: "&amp;IF(LEN(INDEX('My equipment'!$S$4:$S$503,(_calc!$E$883-500)))=0,"",INDEX('My equipment'!$S$4:$S$503,(_calc!$E$883-500)))&amp;". ")&amp;IF(LEN(IF(LEN(INDEX('My equipment'!$U$4:$U$503,(_calc!$E$883-500)))=0,"",INDEX('My equipment'!$U$4:$U$503,(_calc!$E$883-500))))=0,"","Registered: "&amp;IF(LEN(INDEX('My equipment'!$U$4:$U$503,(_calc!$E$883-500)))=0,"",INDEX('My equipment'!$U$4:$U$503,(_calc!$E$883-500)))&amp;". ")&amp;IF(LEN(IF(LEN(INDEX('My equipment'!$V$4:$V$503,(_calc!$E$883-500)))=0,"",INDEX('My equipment'!$V$4:$V$503,(_calc!$E$883-500))))=0,"","Proof on file: "&amp;IF(LEN(INDEX('My equipment'!$V$4:$V$503,(_calc!$E$883-500)))=0,"",INDEX('My equipment'!$V$4:$V$503,(_calc!$E$883-500)))&amp;". ")&amp;IF(LEN(IF(LEN(INDEX('My equipment'!$W$4:$W$503,(_calc!$E$883-500)))=0,"",INDEX('My equipment'!$W$4:$W$503,(_calc!$E$883-500))))=0,"","Claim ref: "&amp;IF(LEN(INDEX('My equipment'!$W$4:$W$503,(_calc!$E$883-500)))=0,"",INDEX('My equipment'!$W$4:$W$503,(_calc!$E$883-500)))&amp;". ")&amp;IF(LEN(IF(LEN(INDEX('My equipment'!$Y$4:$Y$503,(_calc!$E$883-500)))=0,"",INDEX('My equipment'!$Y$4:$Y$503,(_calc!$E$883-500))))=0,"",IF(LEN(INDEX('My equipment'!$Y$4:$Y$503,(_calc!$E$883-500)))=0,"",INDEX('My equipment'!$Y$4:$Y$503,(_calc!$E$883-500)))))))</f>
        <v/>
      </c>
      <c r="G881" s="54">
        <f>IF(_calc!$E$883="","",IF(_calc!$E$883&lt;=500,"",IF(LEN(INDEX('My equipment'!$X$4:$X$503,(_calc!$E$883-500)))=0,"",INDEX('My equipment'!$X$4:$X$503,(_calc!$E$883-500)))))</f>
        <v/>
      </c>
      <c r="K881" s="54">
        <f>IF(_calc!$E$883="","",IF(_calc!$E$883&lt;=500,"",IF(LEN(INDEX('My equipment'!$T$4:$T$503,(_calc!$E$883-500)))=0,"",INDEX('My equipment'!$T$4:$T$503,(_calc!$E$883-500)))))</f>
        <v/>
      </c>
    </row>
    <row r="882">
      <c r="A882" s="54">
        <f>IF(_calc!$E$884="","",IF(_calc!$E$884&lt;=500,"Warranty – "&amp;IF(LEN(INDEX('Dealer pipeline'!$C$4:$C$503,_calc!$E$884))=0,"",INDEX('Dealer pipeline'!$C$4:$C$503,_calc!$E$884))&amp;" – "&amp;IF(LEN(INDEX('Dealer pipeline'!$D$4:$D$503,_calc!$E$884))=0,"",INDEX('Dealer pipeline'!$D$4:$D$503,_calc!$E$884))&amp;" – "&amp;IF(LEN(INDEX('Dealer pipeline'!$A$4:$A$503,_calc!$E$884))=0,"",INDEX('Dealer pipeline'!$A$4:$A$503,_calc!$E$884)),"Warranty – "&amp;IF(LEN(INDEX('My equipment'!$A$4:$A$503,(_calc!$E$884-500)))=0,"",INDEX('My equipment'!$A$4:$A$503,(_calc!$E$884-500)))&amp;" – "&amp;IF(LEN(INDEX('My equipment'!$D$4:$D$503,(_calc!$E$884-500)))=0,"",INDEX('My equipment'!$D$4:$D$503,(_calc!$E$884-500)))))</f>
        <v/>
      </c>
      <c r="B882" s="54">
        <f>IF(_calc!$E$884="","",IF(_calc!$E$884&lt;=500,IF(ISNUMBER(INDEX('Dealer pipeline'!$M$4:$M$503,_calc!$E$884)),TEXT(INDEX('Dealer pipeline'!$M$4:$M$503,_calc!$E$884),"yyyy-mm-dd"),""),IF(ISNUMBER(INDEX('My equipment'!$M$4:$M$503,(_calc!$E$884-500))),TEXT(INDEX('My equipment'!$M$4:$M$503,(_calc!$E$884-500)),"yyyy-mm-dd"),"")))</f>
        <v/>
      </c>
      <c r="C882" s="54">
        <f>IF(_calc!$E$884="","",IF(_calc!$E$884&lt;=500,"Warranty","Warranty"))</f>
        <v/>
      </c>
      <c r="D882" s="54">
        <f>IF(_calc!$E$884="","",IF(_calc!$E$884&lt;=500,IF(ISNUMBER(INDEX('Dealer pipeline'!$H$4:$H$503,_calc!$E$884)),TEXT(INDEX('Dealer pipeline'!$H$4:$H$503,_calc!$E$884),"yyyy-mm-dd"),""),IF(ISNUMBER(INDEX('My equipment'!$H$4:$H$503,(_calc!$E$884-500))),TEXT(INDEX('My equipment'!$H$4:$H$503,(_calc!$E$884-500)),"yyyy-mm-dd"),"")))</f>
        <v/>
      </c>
      <c r="F882" s="54">
        <f>IF(_calc!$E$884="","",IF(_calc!$E$884&lt;=500,TRIM(IF(LEN(IF(LEN(INDEX('Dealer pipeline'!$A$4:$A$503,_calc!$E$884))=0,"",INDEX('Dealer pipeline'!$A$4:$A$503,_calc!$E$884)))=0,"","Customer: "&amp;IF(LEN(INDEX('Dealer pipeline'!$A$4:$A$503,_calc!$E$884))=0,"",INDEX('Dealer pipeline'!$A$4:$A$503,_calc!$E$884))&amp;". ")&amp;IF(LEN(IF(LEN(INDEX('Dealer pipeline'!$B$4:$B$503,_calc!$E$884))=0,"",INDEX('Dealer pipeline'!$B$4:$B$503,_calc!$E$884)))=0,"","Contact: "&amp;IF(LEN(INDEX('Dealer pipeline'!$B$4:$B$503,_calc!$E$884))=0,"",INDEX('Dealer pipeline'!$B$4:$B$503,_calc!$E$884))&amp;". ")&amp;IF(LEN(IF(LEN(INDEX('Dealer pipeline'!$D$4:$D$503,_calc!$E$884))=0,"",INDEX('Dealer pipeline'!$D$4:$D$503,_calc!$E$884)))=0,"","Serial: "&amp;IF(LEN(INDEX('Dealer pipeline'!$D$4:$D$503,_calc!$E$884))=0,"",INDEX('Dealer pipeline'!$D$4:$D$503,_calc!$E$884))&amp;". ")&amp;IF(LEN(IF(ISNUMBER(INDEX('Dealer pipeline'!$J$4:$J$503,_calc!$E$884)),TEXT(INDEX('Dealer pipeline'!$J$4:$J$503,_calc!$E$884),"yyyy-mm-dd"),""))=0,"","Parts end: "&amp;IF(ISNUMBER(INDEX('Dealer pipeline'!$J$4:$J$503,_calc!$E$884)),TEXT(INDEX('Dealer pipeline'!$J$4:$J$503,_calc!$E$884),"yyyy-mm-dd"),"")&amp;". ")&amp;IF(LEN(IF(ISNUMBER(INDEX('Dealer pipeline'!$L$4:$L$503,_calc!$E$884)),TEXT(INDEX('Dealer pipeline'!$L$4:$L$503,_calc!$E$884),"yyyy-mm-dd"),""))=0,"","Labor end: "&amp;IF(ISNUMBER(INDEX('Dealer pipeline'!$L$4:$L$503,_calc!$E$884)),TEXT(INDEX('Dealer pipeline'!$L$4:$L$503,_calc!$E$884),"yyyy-mm-dd"),"")&amp;". ")&amp;IF(LEN(IF(LEN(INDEX('Dealer pipeline'!$Q$4:$Q$503,_calc!$E$884))=0,"",INDEX('Dealer pipeline'!$Q$4:$Q$503,_calc!$E$884)))=0,"","Status: "&amp;IF(LEN(INDEX('Dealer pipeline'!$Q$4:$Q$503,_calc!$E$884))=0,"",INDEX('Dealer pipeline'!$Q$4:$Q$503,_calc!$E$884))&amp;". ")&amp;IF(LEN(IF(LEN(INDEX('Dealer pipeline'!$P$4:$P$503,_calc!$E$884))=0,"",INDEX('Dealer pipeline'!$P$4:$P$503,_calc!$E$884)))=0,"","Last touch: "&amp;IF(LEN(INDEX('Dealer pipeline'!$P$4:$P$503,_calc!$E$884))=0,"",INDEX('Dealer pipeline'!$P$4:$P$503,_calc!$E$884))&amp;". ")&amp;IF(LEN(IF(LEN(INDEX('Dealer pipeline'!$R$4:$R$503,_calc!$E$884))=0,"",INDEX('Dealer pipeline'!$R$4:$R$503,_calc!$E$884)))=0,"","Owner: "&amp;IF(LEN(INDEX('Dealer pipeline'!$R$4:$R$503,_calc!$E$884))=0,"",INDEX('Dealer pipeline'!$R$4:$R$503,_calc!$E$884))&amp;". ")&amp;IF(LEN(IF(LEN(INDEX('Dealer pipeline'!$S$4:$S$503,_calc!$E$884))=0,"",INDEX('Dealer pipeline'!$S$4:$S$503,_calc!$E$884)))=0,"","Backup: "&amp;IF(LEN(INDEX('Dealer pipeline'!$S$4:$S$503,_calc!$E$884))=0,"",INDEX('Dealer pipeline'!$S$4:$S$503,_calc!$E$884))&amp;". ")&amp;IF(LEN(IF(LEN(INDEX('Dealer pipeline'!$T$4:$T$503,_calc!$E$884))=0,"",INDEX('Dealer pipeline'!$T$4:$T$503,_calc!$E$884)))=0,"",IF(LEN(INDEX('Dealer pipeline'!$T$4:$T$503,_calc!$E$884))=0,"",INDEX('Dealer pipeline'!$T$4:$T$503,_calc!$E$884)))),TRIM(IF(LEN(IF(LEN(INDEX('My equipment'!$C$4:$C$503,(_calc!$E$884-500)))=0,"",INDEX('My equipment'!$C$4:$C$503,(_calc!$E$884-500))))=0,"","Model: "&amp;IF(LEN(INDEX('My equipment'!$C$4:$C$503,(_calc!$E$884-500)))=0,"",INDEX('My equipment'!$C$4:$C$503,(_calc!$E$884-500)))&amp;". ")&amp;IF(LEN(IF(LEN(INDEX('My equipment'!$D$4:$D$503,(_calc!$E$884-500)))=0,"",INDEX('My equipment'!$D$4:$D$503,(_calc!$E$884-500))))=0,"","Serial: "&amp;IF(LEN(INDEX('My equipment'!$D$4:$D$503,(_calc!$E$884-500)))=0,"",INDEX('My equipment'!$D$4:$D$503,(_calc!$E$884-500)))&amp;". ")&amp;IF(LEN(IF(ISNUMBER(INDEX('My equipment'!$J$4:$J$503,(_calc!$E$884-500))),TEXT(INDEX('My equipment'!$J$4:$J$503,(_calc!$E$884-500)),"yyyy-mm-dd"),""))=0,"","Parts end: "&amp;IF(ISNUMBER(INDEX('My equipment'!$J$4:$J$503,(_calc!$E$884-500))),TEXT(INDEX('My equipment'!$J$4:$J$503,(_calc!$E$884-500)),"yyyy-mm-dd"),"")&amp;". ")&amp;IF(LEN(IF(ISNUMBER(INDEX('My equipment'!$L$4:$L$503,(_calc!$E$884-500))),TEXT(INDEX('My equipment'!$L$4:$L$503,(_calc!$E$884-500)),"yyyy-mm-dd"),""))=0,"","Labor end: "&amp;IF(ISNUMBER(INDEX('My equipment'!$L$4:$L$503,(_calc!$E$884-500))),TEXT(INDEX('My equipment'!$L$4:$L$503,(_calc!$E$884-500)),"yyyy-mm-dd"),"")&amp;". ")&amp;IF(LEN(IF(ISNUMBER(INDEX('My equipment'!$P$4:$P$503,(_calc!$E$884-500))),TEXT(INDEX('My equipment'!$P$4:$P$503,(_calc!$E$884-500)),"yyyy-mm-dd"),""))=0,"","Check by: "&amp;IF(ISNUMBER(INDEX('My equipment'!$P$4:$P$503,(_calc!$E$884-500))),TEXT(INDEX('My equipment'!$P$4:$P$503,(_calc!$E$884-500)),"yyyy-mm-dd"),"")&amp;". ")&amp;IF(LEN(IF(LEN(INDEX('My equipment'!$Q$4:$Q$503,(_calc!$E$884-500)))=0,"",INDEX('My equipment'!$Q$4:$Q$503,(_calc!$E$884-500))))=0,"","Claim status: "&amp;IF(LEN(INDEX('My equipment'!$Q$4:$Q$503,(_calc!$E$884-500)))=0,"",INDEX('My equipment'!$Q$4:$Q$503,(_calc!$E$884-500)))&amp;". ")&amp;IF(LEN(IF(LEN(INDEX('My equipment'!$R$4:$R$503,(_calc!$E$884-500)))=0,"",INDEX('My equipment'!$R$4:$R$503,(_calc!$E$884-500))))=0,"","Claims contact: "&amp;IF(LEN(INDEX('My equipment'!$R$4:$R$503,(_calc!$E$884-500)))=0,"",INDEX('My equipment'!$R$4:$R$503,(_calc!$E$884-500)))&amp;". ")&amp;IF(LEN(IF(LEN(INDEX('My equipment'!$S$4:$S$503,(_calc!$E$884-500)))=0,"",INDEX('My equipment'!$S$4:$S$503,(_calc!$E$884-500))))=0,"","Claims email: "&amp;IF(LEN(INDEX('My equipment'!$S$4:$S$503,(_calc!$E$884-500)))=0,"",INDEX('My equipment'!$S$4:$S$503,(_calc!$E$884-500)))&amp;". ")&amp;IF(LEN(IF(LEN(INDEX('My equipment'!$U$4:$U$503,(_calc!$E$884-500)))=0,"",INDEX('My equipment'!$U$4:$U$503,(_calc!$E$884-500))))=0,"","Registered: "&amp;IF(LEN(INDEX('My equipment'!$U$4:$U$503,(_calc!$E$884-500)))=0,"",INDEX('My equipment'!$U$4:$U$503,(_calc!$E$884-500)))&amp;". ")&amp;IF(LEN(IF(LEN(INDEX('My equipment'!$V$4:$V$503,(_calc!$E$884-500)))=0,"",INDEX('My equipment'!$V$4:$V$503,(_calc!$E$884-500))))=0,"","Proof on file: "&amp;IF(LEN(INDEX('My equipment'!$V$4:$V$503,(_calc!$E$884-500)))=0,"",INDEX('My equipment'!$V$4:$V$503,(_calc!$E$884-500)))&amp;". ")&amp;IF(LEN(IF(LEN(INDEX('My equipment'!$W$4:$W$503,(_calc!$E$884-500)))=0,"",INDEX('My equipment'!$W$4:$W$503,(_calc!$E$884-500))))=0,"","Claim ref: "&amp;IF(LEN(INDEX('My equipment'!$W$4:$W$503,(_calc!$E$884-500)))=0,"",INDEX('My equipment'!$W$4:$W$503,(_calc!$E$884-500)))&amp;". ")&amp;IF(LEN(IF(LEN(INDEX('My equipment'!$Y$4:$Y$503,(_calc!$E$884-500)))=0,"",INDEX('My equipment'!$Y$4:$Y$503,(_calc!$E$884-500))))=0,"",IF(LEN(INDEX('My equipment'!$Y$4:$Y$503,(_calc!$E$884-500)))=0,"",INDEX('My equipment'!$Y$4:$Y$503,(_calc!$E$884-500)))))))</f>
        <v/>
      </c>
      <c r="G882" s="54">
        <f>IF(_calc!$E$884="","",IF(_calc!$E$884&lt;=500,"",IF(LEN(INDEX('My equipment'!$X$4:$X$503,(_calc!$E$884-500)))=0,"",INDEX('My equipment'!$X$4:$X$503,(_calc!$E$884-500)))))</f>
        <v/>
      </c>
      <c r="K882" s="54">
        <f>IF(_calc!$E$884="","",IF(_calc!$E$884&lt;=500,"",IF(LEN(INDEX('My equipment'!$T$4:$T$503,(_calc!$E$884-500)))=0,"",INDEX('My equipment'!$T$4:$T$503,(_calc!$E$884-500)))))</f>
        <v/>
      </c>
    </row>
    <row r="883">
      <c r="A883" s="54">
        <f>IF(_calc!$E$885="","",IF(_calc!$E$885&lt;=500,"Warranty – "&amp;IF(LEN(INDEX('Dealer pipeline'!$C$4:$C$503,_calc!$E$885))=0,"",INDEX('Dealer pipeline'!$C$4:$C$503,_calc!$E$885))&amp;" – "&amp;IF(LEN(INDEX('Dealer pipeline'!$D$4:$D$503,_calc!$E$885))=0,"",INDEX('Dealer pipeline'!$D$4:$D$503,_calc!$E$885))&amp;" – "&amp;IF(LEN(INDEX('Dealer pipeline'!$A$4:$A$503,_calc!$E$885))=0,"",INDEX('Dealer pipeline'!$A$4:$A$503,_calc!$E$885)),"Warranty – "&amp;IF(LEN(INDEX('My equipment'!$A$4:$A$503,(_calc!$E$885-500)))=0,"",INDEX('My equipment'!$A$4:$A$503,(_calc!$E$885-500)))&amp;" – "&amp;IF(LEN(INDEX('My equipment'!$D$4:$D$503,(_calc!$E$885-500)))=0,"",INDEX('My equipment'!$D$4:$D$503,(_calc!$E$885-500)))))</f>
        <v/>
      </c>
      <c r="B883" s="54">
        <f>IF(_calc!$E$885="","",IF(_calc!$E$885&lt;=500,IF(ISNUMBER(INDEX('Dealer pipeline'!$M$4:$M$503,_calc!$E$885)),TEXT(INDEX('Dealer pipeline'!$M$4:$M$503,_calc!$E$885),"yyyy-mm-dd"),""),IF(ISNUMBER(INDEX('My equipment'!$M$4:$M$503,(_calc!$E$885-500))),TEXT(INDEX('My equipment'!$M$4:$M$503,(_calc!$E$885-500)),"yyyy-mm-dd"),"")))</f>
        <v/>
      </c>
      <c r="C883" s="54">
        <f>IF(_calc!$E$885="","",IF(_calc!$E$885&lt;=500,"Warranty","Warranty"))</f>
        <v/>
      </c>
      <c r="D883" s="54">
        <f>IF(_calc!$E$885="","",IF(_calc!$E$885&lt;=500,IF(ISNUMBER(INDEX('Dealer pipeline'!$H$4:$H$503,_calc!$E$885)),TEXT(INDEX('Dealer pipeline'!$H$4:$H$503,_calc!$E$885),"yyyy-mm-dd"),""),IF(ISNUMBER(INDEX('My equipment'!$H$4:$H$503,(_calc!$E$885-500))),TEXT(INDEX('My equipment'!$H$4:$H$503,(_calc!$E$885-500)),"yyyy-mm-dd"),"")))</f>
        <v/>
      </c>
      <c r="F883" s="54">
        <f>IF(_calc!$E$885="","",IF(_calc!$E$885&lt;=500,TRIM(IF(LEN(IF(LEN(INDEX('Dealer pipeline'!$A$4:$A$503,_calc!$E$885))=0,"",INDEX('Dealer pipeline'!$A$4:$A$503,_calc!$E$885)))=0,"","Customer: "&amp;IF(LEN(INDEX('Dealer pipeline'!$A$4:$A$503,_calc!$E$885))=0,"",INDEX('Dealer pipeline'!$A$4:$A$503,_calc!$E$885))&amp;". ")&amp;IF(LEN(IF(LEN(INDEX('Dealer pipeline'!$B$4:$B$503,_calc!$E$885))=0,"",INDEX('Dealer pipeline'!$B$4:$B$503,_calc!$E$885)))=0,"","Contact: "&amp;IF(LEN(INDEX('Dealer pipeline'!$B$4:$B$503,_calc!$E$885))=0,"",INDEX('Dealer pipeline'!$B$4:$B$503,_calc!$E$885))&amp;". ")&amp;IF(LEN(IF(LEN(INDEX('Dealer pipeline'!$D$4:$D$503,_calc!$E$885))=0,"",INDEX('Dealer pipeline'!$D$4:$D$503,_calc!$E$885)))=0,"","Serial: "&amp;IF(LEN(INDEX('Dealer pipeline'!$D$4:$D$503,_calc!$E$885))=0,"",INDEX('Dealer pipeline'!$D$4:$D$503,_calc!$E$885))&amp;". ")&amp;IF(LEN(IF(ISNUMBER(INDEX('Dealer pipeline'!$J$4:$J$503,_calc!$E$885)),TEXT(INDEX('Dealer pipeline'!$J$4:$J$503,_calc!$E$885),"yyyy-mm-dd"),""))=0,"","Parts end: "&amp;IF(ISNUMBER(INDEX('Dealer pipeline'!$J$4:$J$503,_calc!$E$885)),TEXT(INDEX('Dealer pipeline'!$J$4:$J$503,_calc!$E$885),"yyyy-mm-dd"),"")&amp;". ")&amp;IF(LEN(IF(ISNUMBER(INDEX('Dealer pipeline'!$L$4:$L$503,_calc!$E$885)),TEXT(INDEX('Dealer pipeline'!$L$4:$L$503,_calc!$E$885),"yyyy-mm-dd"),""))=0,"","Labor end: "&amp;IF(ISNUMBER(INDEX('Dealer pipeline'!$L$4:$L$503,_calc!$E$885)),TEXT(INDEX('Dealer pipeline'!$L$4:$L$503,_calc!$E$885),"yyyy-mm-dd"),"")&amp;". ")&amp;IF(LEN(IF(LEN(INDEX('Dealer pipeline'!$Q$4:$Q$503,_calc!$E$885))=0,"",INDEX('Dealer pipeline'!$Q$4:$Q$503,_calc!$E$885)))=0,"","Status: "&amp;IF(LEN(INDEX('Dealer pipeline'!$Q$4:$Q$503,_calc!$E$885))=0,"",INDEX('Dealer pipeline'!$Q$4:$Q$503,_calc!$E$885))&amp;". ")&amp;IF(LEN(IF(LEN(INDEX('Dealer pipeline'!$P$4:$P$503,_calc!$E$885))=0,"",INDEX('Dealer pipeline'!$P$4:$P$503,_calc!$E$885)))=0,"","Last touch: "&amp;IF(LEN(INDEX('Dealer pipeline'!$P$4:$P$503,_calc!$E$885))=0,"",INDEX('Dealer pipeline'!$P$4:$P$503,_calc!$E$885))&amp;". ")&amp;IF(LEN(IF(LEN(INDEX('Dealer pipeline'!$R$4:$R$503,_calc!$E$885))=0,"",INDEX('Dealer pipeline'!$R$4:$R$503,_calc!$E$885)))=0,"","Owner: "&amp;IF(LEN(INDEX('Dealer pipeline'!$R$4:$R$503,_calc!$E$885))=0,"",INDEX('Dealer pipeline'!$R$4:$R$503,_calc!$E$885))&amp;". ")&amp;IF(LEN(IF(LEN(INDEX('Dealer pipeline'!$S$4:$S$503,_calc!$E$885))=0,"",INDEX('Dealer pipeline'!$S$4:$S$503,_calc!$E$885)))=0,"","Backup: "&amp;IF(LEN(INDEX('Dealer pipeline'!$S$4:$S$503,_calc!$E$885))=0,"",INDEX('Dealer pipeline'!$S$4:$S$503,_calc!$E$885))&amp;". ")&amp;IF(LEN(IF(LEN(INDEX('Dealer pipeline'!$T$4:$T$503,_calc!$E$885))=0,"",INDEX('Dealer pipeline'!$T$4:$T$503,_calc!$E$885)))=0,"",IF(LEN(INDEX('Dealer pipeline'!$T$4:$T$503,_calc!$E$885))=0,"",INDEX('Dealer pipeline'!$T$4:$T$503,_calc!$E$885)))),TRIM(IF(LEN(IF(LEN(INDEX('My equipment'!$C$4:$C$503,(_calc!$E$885-500)))=0,"",INDEX('My equipment'!$C$4:$C$503,(_calc!$E$885-500))))=0,"","Model: "&amp;IF(LEN(INDEX('My equipment'!$C$4:$C$503,(_calc!$E$885-500)))=0,"",INDEX('My equipment'!$C$4:$C$503,(_calc!$E$885-500)))&amp;". ")&amp;IF(LEN(IF(LEN(INDEX('My equipment'!$D$4:$D$503,(_calc!$E$885-500)))=0,"",INDEX('My equipment'!$D$4:$D$503,(_calc!$E$885-500))))=0,"","Serial: "&amp;IF(LEN(INDEX('My equipment'!$D$4:$D$503,(_calc!$E$885-500)))=0,"",INDEX('My equipment'!$D$4:$D$503,(_calc!$E$885-500)))&amp;". ")&amp;IF(LEN(IF(ISNUMBER(INDEX('My equipment'!$J$4:$J$503,(_calc!$E$885-500))),TEXT(INDEX('My equipment'!$J$4:$J$503,(_calc!$E$885-500)),"yyyy-mm-dd"),""))=0,"","Parts end: "&amp;IF(ISNUMBER(INDEX('My equipment'!$J$4:$J$503,(_calc!$E$885-500))),TEXT(INDEX('My equipment'!$J$4:$J$503,(_calc!$E$885-500)),"yyyy-mm-dd"),"")&amp;". ")&amp;IF(LEN(IF(ISNUMBER(INDEX('My equipment'!$L$4:$L$503,(_calc!$E$885-500))),TEXT(INDEX('My equipment'!$L$4:$L$503,(_calc!$E$885-500)),"yyyy-mm-dd"),""))=0,"","Labor end: "&amp;IF(ISNUMBER(INDEX('My equipment'!$L$4:$L$503,(_calc!$E$885-500))),TEXT(INDEX('My equipment'!$L$4:$L$503,(_calc!$E$885-500)),"yyyy-mm-dd"),"")&amp;". ")&amp;IF(LEN(IF(ISNUMBER(INDEX('My equipment'!$P$4:$P$503,(_calc!$E$885-500))),TEXT(INDEX('My equipment'!$P$4:$P$503,(_calc!$E$885-500)),"yyyy-mm-dd"),""))=0,"","Check by: "&amp;IF(ISNUMBER(INDEX('My equipment'!$P$4:$P$503,(_calc!$E$885-500))),TEXT(INDEX('My equipment'!$P$4:$P$503,(_calc!$E$885-500)),"yyyy-mm-dd"),"")&amp;". ")&amp;IF(LEN(IF(LEN(INDEX('My equipment'!$Q$4:$Q$503,(_calc!$E$885-500)))=0,"",INDEX('My equipment'!$Q$4:$Q$503,(_calc!$E$885-500))))=0,"","Claim status: "&amp;IF(LEN(INDEX('My equipment'!$Q$4:$Q$503,(_calc!$E$885-500)))=0,"",INDEX('My equipment'!$Q$4:$Q$503,(_calc!$E$885-500)))&amp;". ")&amp;IF(LEN(IF(LEN(INDEX('My equipment'!$R$4:$R$503,(_calc!$E$885-500)))=0,"",INDEX('My equipment'!$R$4:$R$503,(_calc!$E$885-500))))=0,"","Claims contact: "&amp;IF(LEN(INDEX('My equipment'!$R$4:$R$503,(_calc!$E$885-500)))=0,"",INDEX('My equipment'!$R$4:$R$503,(_calc!$E$885-500)))&amp;". ")&amp;IF(LEN(IF(LEN(INDEX('My equipment'!$S$4:$S$503,(_calc!$E$885-500)))=0,"",INDEX('My equipment'!$S$4:$S$503,(_calc!$E$885-500))))=0,"","Claims email: "&amp;IF(LEN(INDEX('My equipment'!$S$4:$S$503,(_calc!$E$885-500)))=0,"",INDEX('My equipment'!$S$4:$S$503,(_calc!$E$885-500)))&amp;". ")&amp;IF(LEN(IF(LEN(INDEX('My equipment'!$U$4:$U$503,(_calc!$E$885-500)))=0,"",INDEX('My equipment'!$U$4:$U$503,(_calc!$E$885-500))))=0,"","Registered: "&amp;IF(LEN(INDEX('My equipment'!$U$4:$U$503,(_calc!$E$885-500)))=0,"",INDEX('My equipment'!$U$4:$U$503,(_calc!$E$885-500)))&amp;". ")&amp;IF(LEN(IF(LEN(INDEX('My equipment'!$V$4:$V$503,(_calc!$E$885-500)))=0,"",INDEX('My equipment'!$V$4:$V$503,(_calc!$E$885-500))))=0,"","Proof on file: "&amp;IF(LEN(INDEX('My equipment'!$V$4:$V$503,(_calc!$E$885-500)))=0,"",INDEX('My equipment'!$V$4:$V$503,(_calc!$E$885-500)))&amp;". ")&amp;IF(LEN(IF(LEN(INDEX('My equipment'!$W$4:$W$503,(_calc!$E$885-500)))=0,"",INDEX('My equipment'!$W$4:$W$503,(_calc!$E$885-500))))=0,"","Claim ref: "&amp;IF(LEN(INDEX('My equipment'!$W$4:$W$503,(_calc!$E$885-500)))=0,"",INDEX('My equipment'!$W$4:$W$503,(_calc!$E$885-500)))&amp;". ")&amp;IF(LEN(IF(LEN(INDEX('My equipment'!$Y$4:$Y$503,(_calc!$E$885-500)))=0,"",INDEX('My equipment'!$Y$4:$Y$503,(_calc!$E$885-500))))=0,"",IF(LEN(INDEX('My equipment'!$Y$4:$Y$503,(_calc!$E$885-500)))=0,"",INDEX('My equipment'!$Y$4:$Y$503,(_calc!$E$885-500)))))))</f>
        <v/>
      </c>
      <c r="G883" s="54">
        <f>IF(_calc!$E$885="","",IF(_calc!$E$885&lt;=500,"",IF(LEN(INDEX('My equipment'!$X$4:$X$503,(_calc!$E$885-500)))=0,"",INDEX('My equipment'!$X$4:$X$503,(_calc!$E$885-500)))))</f>
        <v/>
      </c>
      <c r="K883" s="54">
        <f>IF(_calc!$E$885="","",IF(_calc!$E$885&lt;=500,"",IF(LEN(INDEX('My equipment'!$T$4:$T$503,(_calc!$E$885-500)))=0,"",INDEX('My equipment'!$T$4:$T$503,(_calc!$E$885-500)))))</f>
        <v/>
      </c>
    </row>
    <row r="884">
      <c r="A884" s="54">
        <f>IF(_calc!$E$886="","",IF(_calc!$E$886&lt;=500,"Warranty – "&amp;IF(LEN(INDEX('Dealer pipeline'!$C$4:$C$503,_calc!$E$886))=0,"",INDEX('Dealer pipeline'!$C$4:$C$503,_calc!$E$886))&amp;" – "&amp;IF(LEN(INDEX('Dealer pipeline'!$D$4:$D$503,_calc!$E$886))=0,"",INDEX('Dealer pipeline'!$D$4:$D$503,_calc!$E$886))&amp;" – "&amp;IF(LEN(INDEX('Dealer pipeline'!$A$4:$A$503,_calc!$E$886))=0,"",INDEX('Dealer pipeline'!$A$4:$A$503,_calc!$E$886)),"Warranty – "&amp;IF(LEN(INDEX('My equipment'!$A$4:$A$503,(_calc!$E$886-500)))=0,"",INDEX('My equipment'!$A$4:$A$503,(_calc!$E$886-500)))&amp;" – "&amp;IF(LEN(INDEX('My equipment'!$D$4:$D$503,(_calc!$E$886-500)))=0,"",INDEX('My equipment'!$D$4:$D$503,(_calc!$E$886-500)))))</f>
        <v/>
      </c>
      <c r="B884" s="54">
        <f>IF(_calc!$E$886="","",IF(_calc!$E$886&lt;=500,IF(ISNUMBER(INDEX('Dealer pipeline'!$M$4:$M$503,_calc!$E$886)),TEXT(INDEX('Dealer pipeline'!$M$4:$M$503,_calc!$E$886),"yyyy-mm-dd"),""),IF(ISNUMBER(INDEX('My equipment'!$M$4:$M$503,(_calc!$E$886-500))),TEXT(INDEX('My equipment'!$M$4:$M$503,(_calc!$E$886-500)),"yyyy-mm-dd"),"")))</f>
        <v/>
      </c>
      <c r="C884" s="54">
        <f>IF(_calc!$E$886="","",IF(_calc!$E$886&lt;=500,"Warranty","Warranty"))</f>
        <v/>
      </c>
      <c r="D884" s="54">
        <f>IF(_calc!$E$886="","",IF(_calc!$E$886&lt;=500,IF(ISNUMBER(INDEX('Dealer pipeline'!$H$4:$H$503,_calc!$E$886)),TEXT(INDEX('Dealer pipeline'!$H$4:$H$503,_calc!$E$886),"yyyy-mm-dd"),""),IF(ISNUMBER(INDEX('My equipment'!$H$4:$H$503,(_calc!$E$886-500))),TEXT(INDEX('My equipment'!$H$4:$H$503,(_calc!$E$886-500)),"yyyy-mm-dd"),"")))</f>
        <v/>
      </c>
      <c r="F884" s="54">
        <f>IF(_calc!$E$886="","",IF(_calc!$E$886&lt;=500,TRIM(IF(LEN(IF(LEN(INDEX('Dealer pipeline'!$A$4:$A$503,_calc!$E$886))=0,"",INDEX('Dealer pipeline'!$A$4:$A$503,_calc!$E$886)))=0,"","Customer: "&amp;IF(LEN(INDEX('Dealer pipeline'!$A$4:$A$503,_calc!$E$886))=0,"",INDEX('Dealer pipeline'!$A$4:$A$503,_calc!$E$886))&amp;". ")&amp;IF(LEN(IF(LEN(INDEX('Dealer pipeline'!$B$4:$B$503,_calc!$E$886))=0,"",INDEX('Dealer pipeline'!$B$4:$B$503,_calc!$E$886)))=0,"","Contact: "&amp;IF(LEN(INDEX('Dealer pipeline'!$B$4:$B$503,_calc!$E$886))=0,"",INDEX('Dealer pipeline'!$B$4:$B$503,_calc!$E$886))&amp;". ")&amp;IF(LEN(IF(LEN(INDEX('Dealer pipeline'!$D$4:$D$503,_calc!$E$886))=0,"",INDEX('Dealer pipeline'!$D$4:$D$503,_calc!$E$886)))=0,"","Serial: "&amp;IF(LEN(INDEX('Dealer pipeline'!$D$4:$D$503,_calc!$E$886))=0,"",INDEX('Dealer pipeline'!$D$4:$D$503,_calc!$E$886))&amp;". ")&amp;IF(LEN(IF(ISNUMBER(INDEX('Dealer pipeline'!$J$4:$J$503,_calc!$E$886)),TEXT(INDEX('Dealer pipeline'!$J$4:$J$503,_calc!$E$886),"yyyy-mm-dd"),""))=0,"","Parts end: "&amp;IF(ISNUMBER(INDEX('Dealer pipeline'!$J$4:$J$503,_calc!$E$886)),TEXT(INDEX('Dealer pipeline'!$J$4:$J$503,_calc!$E$886),"yyyy-mm-dd"),"")&amp;". ")&amp;IF(LEN(IF(ISNUMBER(INDEX('Dealer pipeline'!$L$4:$L$503,_calc!$E$886)),TEXT(INDEX('Dealer pipeline'!$L$4:$L$503,_calc!$E$886),"yyyy-mm-dd"),""))=0,"","Labor end: "&amp;IF(ISNUMBER(INDEX('Dealer pipeline'!$L$4:$L$503,_calc!$E$886)),TEXT(INDEX('Dealer pipeline'!$L$4:$L$503,_calc!$E$886),"yyyy-mm-dd"),"")&amp;". ")&amp;IF(LEN(IF(LEN(INDEX('Dealer pipeline'!$Q$4:$Q$503,_calc!$E$886))=0,"",INDEX('Dealer pipeline'!$Q$4:$Q$503,_calc!$E$886)))=0,"","Status: "&amp;IF(LEN(INDEX('Dealer pipeline'!$Q$4:$Q$503,_calc!$E$886))=0,"",INDEX('Dealer pipeline'!$Q$4:$Q$503,_calc!$E$886))&amp;". ")&amp;IF(LEN(IF(LEN(INDEX('Dealer pipeline'!$P$4:$P$503,_calc!$E$886))=0,"",INDEX('Dealer pipeline'!$P$4:$P$503,_calc!$E$886)))=0,"","Last touch: "&amp;IF(LEN(INDEX('Dealer pipeline'!$P$4:$P$503,_calc!$E$886))=0,"",INDEX('Dealer pipeline'!$P$4:$P$503,_calc!$E$886))&amp;". ")&amp;IF(LEN(IF(LEN(INDEX('Dealer pipeline'!$R$4:$R$503,_calc!$E$886))=0,"",INDEX('Dealer pipeline'!$R$4:$R$503,_calc!$E$886)))=0,"","Owner: "&amp;IF(LEN(INDEX('Dealer pipeline'!$R$4:$R$503,_calc!$E$886))=0,"",INDEX('Dealer pipeline'!$R$4:$R$503,_calc!$E$886))&amp;". ")&amp;IF(LEN(IF(LEN(INDEX('Dealer pipeline'!$S$4:$S$503,_calc!$E$886))=0,"",INDEX('Dealer pipeline'!$S$4:$S$503,_calc!$E$886)))=0,"","Backup: "&amp;IF(LEN(INDEX('Dealer pipeline'!$S$4:$S$503,_calc!$E$886))=0,"",INDEX('Dealer pipeline'!$S$4:$S$503,_calc!$E$886))&amp;". ")&amp;IF(LEN(IF(LEN(INDEX('Dealer pipeline'!$T$4:$T$503,_calc!$E$886))=0,"",INDEX('Dealer pipeline'!$T$4:$T$503,_calc!$E$886)))=0,"",IF(LEN(INDEX('Dealer pipeline'!$T$4:$T$503,_calc!$E$886))=0,"",INDEX('Dealer pipeline'!$T$4:$T$503,_calc!$E$886)))),TRIM(IF(LEN(IF(LEN(INDEX('My equipment'!$C$4:$C$503,(_calc!$E$886-500)))=0,"",INDEX('My equipment'!$C$4:$C$503,(_calc!$E$886-500))))=0,"","Model: "&amp;IF(LEN(INDEX('My equipment'!$C$4:$C$503,(_calc!$E$886-500)))=0,"",INDEX('My equipment'!$C$4:$C$503,(_calc!$E$886-500)))&amp;". ")&amp;IF(LEN(IF(LEN(INDEX('My equipment'!$D$4:$D$503,(_calc!$E$886-500)))=0,"",INDEX('My equipment'!$D$4:$D$503,(_calc!$E$886-500))))=0,"","Serial: "&amp;IF(LEN(INDEX('My equipment'!$D$4:$D$503,(_calc!$E$886-500)))=0,"",INDEX('My equipment'!$D$4:$D$503,(_calc!$E$886-500)))&amp;". ")&amp;IF(LEN(IF(ISNUMBER(INDEX('My equipment'!$J$4:$J$503,(_calc!$E$886-500))),TEXT(INDEX('My equipment'!$J$4:$J$503,(_calc!$E$886-500)),"yyyy-mm-dd"),""))=0,"","Parts end: "&amp;IF(ISNUMBER(INDEX('My equipment'!$J$4:$J$503,(_calc!$E$886-500))),TEXT(INDEX('My equipment'!$J$4:$J$503,(_calc!$E$886-500)),"yyyy-mm-dd"),"")&amp;". ")&amp;IF(LEN(IF(ISNUMBER(INDEX('My equipment'!$L$4:$L$503,(_calc!$E$886-500))),TEXT(INDEX('My equipment'!$L$4:$L$503,(_calc!$E$886-500)),"yyyy-mm-dd"),""))=0,"","Labor end: "&amp;IF(ISNUMBER(INDEX('My equipment'!$L$4:$L$503,(_calc!$E$886-500))),TEXT(INDEX('My equipment'!$L$4:$L$503,(_calc!$E$886-500)),"yyyy-mm-dd"),"")&amp;". ")&amp;IF(LEN(IF(ISNUMBER(INDEX('My equipment'!$P$4:$P$503,(_calc!$E$886-500))),TEXT(INDEX('My equipment'!$P$4:$P$503,(_calc!$E$886-500)),"yyyy-mm-dd"),""))=0,"","Check by: "&amp;IF(ISNUMBER(INDEX('My equipment'!$P$4:$P$503,(_calc!$E$886-500))),TEXT(INDEX('My equipment'!$P$4:$P$503,(_calc!$E$886-500)),"yyyy-mm-dd"),"")&amp;". ")&amp;IF(LEN(IF(LEN(INDEX('My equipment'!$Q$4:$Q$503,(_calc!$E$886-500)))=0,"",INDEX('My equipment'!$Q$4:$Q$503,(_calc!$E$886-500))))=0,"","Claim status: "&amp;IF(LEN(INDEX('My equipment'!$Q$4:$Q$503,(_calc!$E$886-500)))=0,"",INDEX('My equipment'!$Q$4:$Q$503,(_calc!$E$886-500)))&amp;". ")&amp;IF(LEN(IF(LEN(INDEX('My equipment'!$R$4:$R$503,(_calc!$E$886-500)))=0,"",INDEX('My equipment'!$R$4:$R$503,(_calc!$E$886-500))))=0,"","Claims contact: "&amp;IF(LEN(INDEX('My equipment'!$R$4:$R$503,(_calc!$E$886-500)))=0,"",INDEX('My equipment'!$R$4:$R$503,(_calc!$E$886-500)))&amp;". ")&amp;IF(LEN(IF(LEN(INDEX('My equipment'!$S$4:$S$503,(_calc!$E$886-500)))=0,"",INDEX('My equipment'!$S$4:$S$503,(_calc!$E$886-500))))=0,"","Claims email: "&amp;IF(LEN(INDEX('My equipment'!$S$4:$S$503,(_calc!$E$886-500)))=0,"",INDEX('My equipment'!$S$4:$S$503,(_calc!$E$886-500)))&amp;". ")&amp;IF(LEN(IF(LEN(INDEX('My equipment'!$U$4:$U$503,(_calc!$E$886-500)))=0,"",INDEX('My equipment'!$U$4:$U$503,(_calc!$E$886-500))))=0,"","Registered: "&amp;IF(LEN(INDEX('My equipment'!$U$4:$U$503,(_calc!$E$886-500)))=0,"",INDEX('My equipment'!$U$4:$U$503,(_calc!$E$886-500)))&amp;". ")&amp;IF(LEN(IF(LEN(INDEX('My equipment'!$V$4:$V$503,(_calc!$E$886-500)))=0,"",INDEX('My equipment'!$V$4:$V$503,(_calc!$E$886-500))))=0,"","Proof on file: "&amp;IF(LEN(INDEX('My equipment'!$V$4:$V$503,(_calc!$E$886-500)))=0,"",INDEX('My equipment'!$V$4:$V$503,(_calc!$E$886-500)))&amp;". ")&amp;IF(LEN(IF(LEN(INDEX('My equipment'!$W$4:$W$503,(_calc!$E$886-500)))=0,"",INDEX('My equipment'!$W$4:$W$503,(_calc!$E$886-500))))=0,"","Claim ref: "&amp;IF(LEN(INDEX('My equipment'!$W$4:$W$503,(_calc!$E$886-500)))=0,"",INDEX('My equipment'!$W$4:$W$503,(_calc!$E$886-500)))&amp;". ")&amp;IF(LEN(IF(LEN(INDEX('My equipment'!$Y$4:$Y$503,(_calc!$E$886-500)))=0,"",INDEX('My equipment'!$Y$4:$Y$503,(_calc!$E$886-500))))=0,"",IF(LEN(INDEX('My equipment'!$Y$4:$Y$503,(_calc!$E$886-500)))=0,"",INDEX('My equipment'!$Y$4:$Y$503,(_calc!$E$886-500)))))))</f>
        <v/>
      </c>
      <c r="G884" s="54">
        <f>IF(_calc!$E$886="","",IF(_calc!$E$886&lt;=500,"",IF(LEN(INDEX('My equipment'!$X$4:$X$503,(_calc!$E$886-500)))=0,"",INDEX('My equipment'!$X$4:$X$503,(_calc!$E$886-500)))))</f>
        <v/>
      </c>
      <c r="K884" s="54">
        <f>IF(_calc!$E$886="","",IF(_calc!$E$886&lt;=500,"",IF(LEN(INDEX('My equipment'!$T$4:$T$503,(_calc!$E$886-500)))=0,"",INDEX('My equipment'!$T$4:$T$503,(_calc!$E$886-500)))))</f>
        <v/>
      </c>
    </row>
    <row r="885">
      <c r="A885" s="54">
        <f>IF(_calc!$E$887="","",IF(_calc!$E$887&lt;=500,"Warranty – "&amp;IF(LEN(INDEX('Dealer pipeline'!$C$4:$C$503,_calc!$E$887))=0,"",INDEX('Dealer pipeline'!$C$4:$C$503,_calc!$E$887))&amp;" – "&amp;IF(LEN(INDEX('Dealer pipeline'!$D$4:$D$503,_calc!$E$887))=0,"",INDEX('Dealer pipeline'!$D$4:$D$503,_calc!$E$887))&amp;" – "&amp;IF(LEN(INDEX('Dealer pipeline'!$A$4:$A$503,_calc!$E$887))=0,"",INDEX('Dealer pipeline'!$A$4:$A$503,_calc!$E$887)),"Warranty – "&amp;IF(LEN(INDEX('My equipment'!$A$4:$A$503,(_calc!$E$887-500)))=0,"",INDEX('My equipment'!$A$4:$A$503,(_calc!$E$887-500)))&amp;" – "&amp;IF(LEN(INDEX('My equipment'!$D$4:$D$503,(_calc!$E$887-500)))=0,"",INDEX('My equipment'!$D$4:$D$503,(_calc!$E$887-500)))))</f>
        <v/>
      </c>
      <c r="B885" s="54">
        <f>IF(_calc!$E$887="","",IF(_calc!$E$887&lt;=500,IF(ISNUMBER(INDEX('Dealer pipeline'!$M$4:$M$503,_calc!$E$887)),TEXT(INDEX('Dealer pipeline'!$M$4:$M$503,_calc!$E$887),"yyyy-mm-dd"),""),IF(ISNUMBER(INDEX('My equipment'!$M$4:$M$503,(_calc!$E$887-500))),TEXT(INDEX('My equipment'!$M$4:$M$503,(_calc!$E$887-500)),"yyyy-mm-dd"),"")))</f>
        <v/>
      </c>
      <c r="C885" s="54">
        <f>IF(_calc!$E$887="","",IF(_calc!$E$887&lt;=500,"Warranty","Warranty"))</f>
        <v/>
      </c>
      <c r="D885" s="54">
        <f>IF(_calc!$E$887="","",IF(_calc!$E$887&lt;=500,IF(ISNUMBER(INDEX('Dealer pipeline'!$H$4:$H$503,_calc!$E$887)),TEXT(INDEX('Dealer pipeline'!$H$4:$H$503,_calc!$E$887),"yyyy-mm-dd"),""),IF(ISNUMBER(INDEX('My equipment'!$H$4:$H$503,(_calc!$E$887-500))),TEXT(INDEX('My equipment'!$H$4:$H$503,(_calc!$E$887-500)),"yyyy-mm-dd"),"")))</f>
        <v/>
      </c>
      <c r="F885" s="54">
        <f>IF(_calc!$E$887="","",IF(_calc!$E$887&lt;=500,TRIM(IF(LEN(IF(LEN(INDEX('Dealer pipeline'!$A$4:$A$503,_calc!$E$887))=0,"",INDEX('Dealer pipeline'!$A$4:$A$503,_calc!$E$887)))=0,"","Customer: "&amp;IF(LEN(INDEX('Dealer pipeline'!$A$4:$A$503,_calc!$E$887))=0,"",INDEX('Dealer pipeline'!$A$4:$A$503,_calc!$E$887))&amp;". ")&amp;IF(LEN(IF(LEN(INDEX('Dealer pipeline'!$B$4:$B$503,_calc!$E$887))=0,"",INDEX('Dealer pipeline'!$B$4:$B$503,_calc!$E$887)))=0,"","Contact: "&amp;IF(LEN(INDEX('Dealer pipeline'!$B$4:$B$503,_calc!$E$887))=0,"",INDEX('Dealer pipeline'!$B$4:$B$503,_calc!$E$887))&amp;". ")&amp;IF(LEN(IF(LEN(INDEX('Dealer pipeline'!$D$4:$D$503,_calc!$E$887))=0,"",INDEX('Dealer pipeline'!$D$4:$D$503,_calc!$E$887)))=0,"","Serial: "&amp;IF(LEN(INDEX('Dealer pipeline'!$D$4:$D$503,_calc!$E$887))=0,"",INDEX('Dealer pipeline'!$D$4:$D$503,_calc!$E$887))&amp;". ")&amp;IF(LEN(IF(ISNUMBER(INDEX('Dealer pipeline'!$J$4:$J$503,_calc!$E$887)),TEXT(INDEX('Dealer pipeline'!$J$4:$J$503,_calc!$E$887),"yyyy-mm-dd"),""))=0,"","Parts end: "&amp;IF(ISNUMBER(INDEX('Dealer pipeline'!$J$4:$J$503,_calc!$E$887)),TEXT(INDEX('Dealer pipeline'!$J$4:$J$503,_calc!$E$887),"yyyy-mm-dd"),"")&amp;". ")&amp;IF(LEN(IF(ISNUMBER(INDEX('Dealer pipeline'!$L$4:$L$503,_calc!$E$887)),TEXT(INDEX('Dealer pipeline'!$L$4:$L$503,_calc!$E$887),"yyyy-mm-dd"),""))=0,"","Labor end: "&amp;IF(ISNUMBER(INDEX('Dealer pipeline'!$L$4:$L$503,_calc!$E$887)),TEXT(INDEX('Dealer pipeline'!$L$4:$L$503,_calc!$E$887),"yyyy-mm-dd"),"")&amp;". ")&amp;IF(LEN(IF(LEN(INDEX('Dealer pipeline'!$Q$4:$Q$503,_calc!$E$887))=0,"",INDEX('Dealer pipeline'!$Q$4:$Q$503,_calc!$E$887)))=0,"","Status: "&amp;IF(LEN(INDEX('Dealer pipeline'!$Q$4:$Q$503,_calc!$E$887))=0,"",INDEX('Dealer pipeline'!$Q$4:$Q$503,_calc!$E$887))&amp;". ")&amp;IF(LEN(IF(LEN(INDEX('Dealer pipeline'!$P$4:$P$503,_calc!$E$887))=0,"",INDEX('Dealer pipeline'!$P$4:$P$503,_calc!$E$887)))=0,"","Last touch: "&amp;IF(LEN(INDEX('Dealer pipeline'!$P$4:$P$503,_calc!$E$887))=0,"",INDEX('Dealer pipeline'!$P$4:$P$503,_calc!$E$887))&amp;". ")&amp;IF(LEN(IF(LEN(INDEX('Dealer pipeline'!$R$4:$R$503,_calc!$E$887))=0,"",INDEX('Dealer pipeline'!$R$4:$R$503,_calc!$E$887)))=0,"","Owner: "&amp;IF(LEN(INDEX('Dealer pipeline'!$R$4:$R$503,_calc!$E$887))=0,"",INDEX('Dealer pipeline'!$R$4:$R$503,_calc!$E$887))&amp;". ")&amp;IF(LEN(IF(LEN(INDEX('Dealer pipeline'!$S$4:$S$503,_calc!$E$887))=0,"",INDEX('Dealer pipeline'!$S$4:$S$503,_calc!$E$887)))=0,"","Backup: "&amp;IF(LEN(INDEX('Dealer pipeline'!$S$4:$S$503,_calc!$E$887))=0,"",INDEX('Dealer pipeline'!$S$4:$S$503,_calc!$E$887))&amp;". ")&amp;IF(LEN(IF(LEN(INDEX('Dealer pipeline'!$T$4:$T$503,_calc!$E$887))=0,"",INDEX('Dealer pipeline'!$T$4:$T$503,_calc!$E$887)))=0,"",IF(LEN(INDEX('Dealer pipeline'!$T$4:$T$503,_calc!$E$887))=0,"",INDEX('Dealer pipeline'!$T$4:$T$503,_calc!$E$887)))),TRIM(IF(LEN(IF(LEN(INDEX('My equipment'!$C$4:$C$503,(_calc!$E$887-500)))=0,"",INDEX('My equipment'!$C$4:$C$503,(_calc!$E$887-500))))=0,"","Model: "&amp;IF(LEN(INDEX('My equipment'!$C$4:$C$503,(_calc!$E$887-500)))=0,"",INDEX('My equipment'!$C$4:$C$503,(_calc!$E$887-500)))&amp;". ")&amp;IF(LEN(IF(LEN(INDEX('My equipment'!$D$4:$D$503,(_calc!$E$887-500)))=0,"",INDEX('My equipment'!$D$4:$D$503,(_calc!$E$887-500))))=0,"","Serial: "&amp;IF(LEN(INDEX('My equipment'!$D$4:$D$503,(_calc!$E$887-500)))=0,"",INDEX('My equipment'!$D$4:$D$503,(_calc!$E$887-500)))&amp;". ")&amp;IF(LEN(IF(ISNUMBER(INDEX('My equipment'!$J$4:$J$503,(_calc!$E$887-500))),TEXT(INDEX('My equipment'!$J$4:$J$503,(_calc!$E$887-500)),"yyyy-mm-dd"),""))=0,"","Parts end: "&amp;IF(ISNUMBER(INDEX('My equipment'!$J$4:$J$503,(_calc!$E$887-500))),TEXT(INDEX('My equipment'!$J$4:$J$503,(_calc!$E$887-500)),"yyyy-mm-dd"),"")&amp;". ")&amp;IF(LEN(IF(ISNUMBER(INDEX('My equipment'!$L$4:$L$503,(_calc!$E$887-500))),TEXT(INDEX('My equipment'!$L$4:$L$503,(_calc!$E$887-500)),"yyyy-mm-dd"),""))=0,"","Labor end: "&amp;IF(ISNUMBER(INDEX('My equipment'!$L$4:$L$503,(_calc!$E$887-500))),TEXT(INDEX('My equipment'!$L$4:$L$503,(_calc!$E$887-500)),"yyyy-mm-dd"),"")&amp;". ")&amp;IF(LEN(IF(ISNUMBER(INDEX('My equipment'!$P$4:$P$503,(_calc!$E$887-500))),TEXT(INDEX('My equipment'!$P$4:$P$503,(_calc!$E$887-500)),"yyyy-mm-dd"),""))=0,"","Check by: "&amp;IF(ISNUMBER(INDEX('My equipment'!$P$4:$P$503,(_calc!$E$887-500))),TEXT(INDEX('My equipment'!$P$4:$P$503,(_calc!$E$887-500)),"yyyy-mm-dd"),"")&amp;". ")&amp;IF(LEN(IF(LEN(INDEX('My equipment'!$Q$4:$Q$503,(_calc!$E$887-500)))=0,"",INDEX('My equipment'!$Q$4:$Q$503,(_calc!$E$887-500))))=0,"","Claim status: "&amp;IF(LEN(INDEX('My equipment'!$Q$4:$Q$503,(_calc!$E$887-500)))=0,"",INDEX('My equipment'!$Q$4:$Q$503,(_calc!$E$887-500)))&amp;". ")&amp;IF(LEN(IF(LEN(INDEX('My equipment'!$R$4:$R$503,(_calc!$E$887-500)))=0,"",INDEX('My equipment'!$R$4:$R$503,(_calc!$E$887-500))))=0,"","Claims contact: "&amp;IF(LEN(INDEX('My equipment'!$R$4:$R$503,(_calc!$E$887-500)))=0,"",INDEX('My equipment'!$R$4:$R$503,(_calc!$E$887-500)))&amp;". ")&amp;IF(LEN(IF(LEN(INDEX('My equipment'!$S$4:$S$503,(_calc!$E$887-500)))=0,"",INDEX('My equipment'!$S$4:$S$503,(_calc!$E$887-500))))=0,"","Claims email: "&amp;IF(LEN(INDEX('My equipment'!$S$4:$S$503,(_calc!$E$887-500)))=0,"",INDEX('My equipment'!$S$4:$S$503,(_calc!$E$887-500)))&amp;". ")&amp;IF(LEN(IF(LEN(INDEX('My equipment'!$U$4:$U$503,(_calc!$E$887-500)))=0,"",INDEX('My equipment'!$U$4:$U$503,(_calc!$E$887-500))))=0,"","Registered: "&amp;IF(LEN(INDEX('My equipment'!$U$4:$U$503,(_calc!$E$887-500)))=0,"",INDEX('My equipment'!$U$4:$U$503,(_calc!$E$887-500)))&amp;". ")&amp;IF(LEN(IF(LEN(INDEX('My equipment'!$V$4:$V$503,(_calc!$E$887-500)))=0,"",INDEX('My equipment'!$V$4:$V$503,(_calc!$E$887-500))))=0,"","Proof on file: "&amp;IF(LEN(INDEX('My equipment'!$V$4:$V$503,(_calc!$E$887-500)))=0,"",INDEX('My equipment'!$V$4:$V$503,(_calc!$E$887-500)))&amp;". ")&amp;IF(LEN(IF(LEN(INDEX('My equipment'!$W$4:$W$503,(_calc!$E$887-500)))=0,"",INDEX('My equipment'!$W$4:$W$503,(_calc!$E$887-500))))=0,"","Claim ref: "&amp;IF(LEN(INDEX('My equipment'!$W$4:$W$503,(_calc!$E$887-500)))=0,"",INDEX('My equipment'!$W$4:$W$503,(_calc!$E$887-500)))&amp;". ")&amp;IF(LEN(IF(LEN(INDEX('My equipment'!$Y$4:$Y$503,(_calc!$E$887-500)))=0,"",INDEX('My equipment'!$Y$4:$Y$503,(_calc!$E$887-500))))=0,"",IF(LEN(INDEX('My equipment'!$Y$4:$Y$503,(_calc!$E$887-500)))=0,"",INDEX('My equipment'!$Y$4:$Y$503,(_calc!$E$887-500)))))))</f>
        <v/>
      </c>
      <c r="G885" s="54">
        <f>IF(_calc!$E$887="","",IF(_calc!$E$887&lt;=500,"",IF(LEN(INDEX('My equipment'!$X$4:$X$503,(_calc!$E$887-500)))=0,"",INDEX('My equipment'!$X$4:$X$503,(_calc!$E$887-500)))))</f>
        <v/>
      </c>
      <c r="K885" s="54">
        <f>IF(_calc!$E$887="","",IF(_calc!$E$887&lt;=500,"",IF(LEN(INDEX('My equipment'!$T$4:$T$503,(_calc!$E$887-500)))=0,"",INDEX('My equipment'!$T$4:$T$503,(_calc!$E$887-500)))))</f>
        <v/>
      </c>
    </row>
    <row r="886">
      <c r="A886" s="54">
        <f>IF(_calc!$E$888="","",IF(_calc!$E$888&lt;=500,"Warranty – "&amp;IF(LEN(INDEX('Dealer pipeline'!$C$4:$C$503,_calc!$E$888))=0,"",INDEX('Dealer pipeline'!$C$4:$C$503,_calc!$E$888))&amp;" – "&amp;IF(LEN(INDEX('Dealer pipeline'!$D$4:$D$503,_calc!$E$888))=0,"",INDEX('Dealer pipeline'!$D$4:$D$503,_calc!$E$888))&amp;" – "&amp;IF(LEN(INDEX('Dealer pipeline'!$A$4:$A$503,_calc!$E$888))=0,"",INDEX('Dealer pipeline'!$A$4:$A$503,_calc!$E$888)),"Warranty – "&amp;IF(LEN(INDEX('My equipment'!$A$4:$A$503,(_calc!$E$888-500)))=0,"",INDEX('My equipment'!$A$4:$A$503,(_calc!$E$888-500)))&amp;" – "&amp;IF(LEN(INDEX('My equipment'!$D$4:$D$503,(_calc!$E$888-500)))=0,"",INDEX('My equipment'!$D$4:$D$503,(_calc!$E$888-500)))))</f>
        <v/>
      </c>
      <c r="B886" s="54">
        <f>IF(_calc!$E$888="","",IF(_calc!$E$888&lt;=500,IF(ISNUMBER(INDEX('Dealer pipeline'!$M$4:$M$503,_calc!$E$888)),TEXT(INDEX('Dealer pipeline'!$M$4:$M$503,_calc!$E$888),"yyyy-mm-dd"),""),IF(ISNUMBER(INDEX('My equipment'!$M$4:$M$503,(_calc!$E$888-500))),TEXT(INDEX('My equipment'!$M$4:$M$503,(_calc!$E$888-500)),"yyyy-mm-dd"),"")))</f>
        <v/>
      </c>
      <c r="C886" s="54">
        <f>IF(_calc!$E$888="","",IF(_calc!$E$888&lt;=500,"Warranty","Warranty"))</f>
        <v/>
      </c>
      <c r="D886" s="54">
        <f>IF(_calc!$E$888="","",IF(_calc!$E$888&lt;=500,IF(ISNUMBER(INDEX('Dealer pipeline'!$H$4:$H$503,_calc!$E$888)),TEXT(INDEX('Dealer pipeline'!$H$4:$H$503,_calc!$E$888),"yyyy-mm-dd"),""),IF(ISNUMBER(INDEX('My equipment'!$H$4:$H$503,(_calc!$E$888-500))),TEXT(INDEX('My equipment'!$H$4:$H$503,(_calc!$E$888-500)),"yyyy-mm-dd"),"")))</f>
        <v/>
      </c>
      <c r="F886" s="54">
        <f>IF(_calc!$E$888="","",IF(_calc!$E$888&lt;=500,TRIM(IF(LEN(IF(LEN(INDEX('Dealer pipeline'!$A$4:$A$503,_calc!$E$888))=0,"",INDEX('Dealer pipeline'!$A$4:$A$503,_calc!$E$888)))=0,"","Customer: "&amp;IF(LEN(INDEX('Dealer pipeline'!$A$4:$A$503,_calc!$E$888))=0,"",INDEX('Dealer pipeline'!$A$4:$A$503,_calc!$E$888))&amp;". ")&amp;IF(LEN(IF(LEN(INDEX('Dealer pipeline'!$B$4:$B$503,_calc!$E$888))=0,"",INDEX('Dealer pipeline'!$B$4:$B$503,_calc!$E$888)))=0,"","Contact: "&amp;IF(LEN(INDEX('Dealer pipeline'!$B$4:$B$503,_calc!$E$888))=0,"",INDEX('Dealer pipeline'!$B$4:$B$503,_calc!$E$888))&amp;". ")&amp;IF(LEN(IF(LEN(INDEX('Dealer pipeline'!$D$4:$D$503,_calc!$E$888))=0,"",INDEX('Dealer pipeline'!$D$4:$D$503,_calc!$E$888)))=0,"","Serial: "&amp;IF(LEN(INDEX('Dealer pipeline'!$D$4:$D$503,_calc!$E$888))=0,"",INDEX('Dealer pipeline'!$D$4:$D$503,_calc!$E$888))&amp;". ")&amp;IF(LEN(IF(ISNUMBER(INDEX('Dealer pipeline'!$J$4:$J$503,_calc!$E$888)),TEXT(INDEX('Dealer pipeline'!$J$4:$J$503,_calc!$E$888),"yyyy-mm-dd"),""))=0,"","Parts end: "&amp;IF(ISNUMBER(INDEX('Dealer pipeline'!$J$4:$J$503,_calc!$E$888)),TEXT(INDEX('Dealer pipeline'!$J$4:$J$503,_calc!$E$888),"yyyy-mm-dd"),"")&amp;". ")&amp;IF(LEN(IF(ISNUMBER(INDEX('Dealer pipeline'!$L$4:$L$503,_calc!$E$888)),TEXT(INDEX('Dealer pipeline'!$L$4:$L$503,_calc!$E$888),"yyyy-mm-dd"),""))=0,"","Labor end: "&amp;IF(ISNUMBER(INDEX('Dealer pipeline'!$L$4:$L$503,_calc!$E$888)),TEXT(INDEX('Dealer pipeline'!$L$4:$L$503,_calc!$E$888),"yyyy-mm-dd"),"")&amp;". ")&amp;IF(LEN(IF(LEN(INDEX('Dealer pipeline'!$Q$4:$Q$503,_calc!$E$888))=0,"",INDEX('Dealer pipeline'!$Q$4:$Q$503,_calc!$E$888)))=0,"","Status: "&amp;IF(LEN(INDEX('Dealer pipeline'!$Q$4:$Q$503,_calc!$E$888))=0,"",INDEX('Dealer pipeline'!$Q$4:$Q$503,_calc!$E$888))&amp;". ")&amp;IF(LEN(IF(LEN(INDEX('Dealer pipeline'!$P$4:$P$503,_calc!$E$888))=0,"",INDEX('Dealer pipeline'!$P$4:$P$503,_calc!$E$888)))=0,"","Last touch: "&amp;IF(LEN(INDEX('Dealer pipeline'!$P$4:$P$503,_calc!$E$888))=0,"",INDEX('Dealer pipeline'!$P$4:$P$503,_calc!$E$888))&amp;". ")&amp;IF(LEN(IF(LEN(INDEX('Dealer pipeline'!$R$4:$R$503,_calc!$E$888))=0,"",INDEX('Dealer pipeline'!$R$4:$R$503,_calc!$E$888)))=0,"","Owner: "&amp;IF(LEN(INDEX('Dealer pipeline'!$R$4:$R$503,_calc!$E$888))=0,"",INDEX('Dealer pipeline'!$R$4:$R$503,_calc!$E$888))&amp;". ")&amp;IF(LEN(IF(LEN(INDEX('Dealer pipeline'!$S$4:$S$503,_calc!$E$888))=0,"",INDEX('Dealer pipeline'!$S$4:$S$503,_calc!$E$888)))=0,"","Backup: "&amp;IF(LEN(INDEX('Dealer pipeline'!$S$4:$S$503,_calc!$E$888))=0,"",INDEX('Dealer pipeline'!$S$4:$S$503,_calc!$E$888))&amp;". ")&amp;IF(LEN(IF(LEN(INDEX('Dealer pipeline'!$T$4:$T$503,_calc!$E$888))=0,"",INDEX('Dealer pipeline'!$T$4:$T$503,_calc!$E$888)))=0,"",IF(LEN(INDEX('Dealer pipeline'!$T$4:$T$503,_calc!$E$888))=0,"",INDEX('Dealer pipeline'!$T$4:$T$503,_calc!$E$888)))),TRIM(IF(LEN(IF(LEN(INDEX('My equipment'!$C$4:$C$503,(_calc!$E$888-500)))=0,"",INDEX('My equipment'!$C$4:$C$503,(_calc!$E$888-500))))=0,"","Model: "&amp;IF(LEN(INDEX('My equipment'!$C$4:$C$503,(_calc!$E$888-500)))=0,"",INDEX('My equipment'!$C$4:$C$503,(_calc!$E$888-500)))&amp;". ")&amp;IF(LEN(IF(LEN(INDEX('My equipment'!$D$4:$D$503,(_calc!$E$888-500)))=0,"",INDEX('My equipment'!$D$4:$D$503,(_calc!$E$888-500))))=0,"","Serial: "&amp;IF(LEN(INDEX('My equipment'!$D$4:$D$503,(_calc!$E$888-500)))=0,"",INDEX('My equipment'!$D$4:$D$503,(_calc!$E$888-500)))&amp;". ")&amp;IF(LEN(IF(ISNUMBER(INDEX('My equipment'!$J$4:$J$503,(_calc!$E$888-500))),TEXT(INDEX('My equipment'!$J$4:$J$503,(_calc!$E$888-500)),"yyyy-mm-dd"),""))=0,"","Parts end: "&amp;IF(ISNUMBER(INDEX('My equipment'!$J$4:$J$503,(_calc!$E$888-500))),TEXT(INDEX('My equipment'!$J$4:$J$503,(_calc!$E$888-500)),"yyyy-mm-dd"),"")&amp;". ")&amp;IF(LEN(IF(ISNUMBER(INDEX('My equipment'!$L$4:$L$503,(_calc!$E$888-500))),TEXT(INDEX('My equipment'!$L$4:$L$503,(_calc!$E$888-500)),"yyyy-mm-dd"),""))=0,"","Labor end: "&amp;IF(ISNUMBER(INDEX('My equipment'!$L$4:$L$503,(_calc!$E$888-500))),TEXT(INDEX('My equipment'!$L$4:$L$503,(_calc!$E$888-500)),"yyyy-mm-dd"),"")&amp;". ")&amp;IF(LEN(IF(ISNUMBER(INDEX('My equipment'!$P$4:$P$503,(_calc!$E$888-500))),TEXT(INDEX('My equipment'!$P$4:$P$503,(_calc!$E$888-500)),"yyyy-mm-dd"),""))=0,"","Check by: "&amp;IF(ISNUMBER(INDEX('My equipment'!$P$4:$P$503,(_calc!$E$888-500))),TEXT(INDEX('My equipment'!$P$4:$P$503,(_calc!$E$888-500)),"yyyy-mm-dd"),"")&amp;". ")&amp;IF(LEN(IF(LEN(INDEX('My equipment'!$Q$4:$Q$503,(_calc!$E$888-500)))=0,"",INDEX('My equipment'!$Q$4:$Q$503,(_calc!$E$888-500))))=0,"","Claim status: "&amp;IF(LEN(INDEX('My equipment'!$Q$4:$Q$503,(_calc!$E$888-500)))=0,"",INDEX('My equipment'!$Q$4:$Q$503,(_calc!$E$888-500)))&amp;". ")&amp;IF(LEN(IF(LEN(INDEX('My equipment'!$R$4:$R$503,(_calc!$E$888-500)))=0,"",INDEX('My equipment'!$R$4:$R$503,(_calc!$E$888-500))))=0,"","Claims contact: "&amp;IF(LEN(INDEX('My equipment'!$R$4:$R$503,(_calc!$E$888-500)))=0,"",INDEX('My equipment'!$R$4:$R$503,(_calc!$E$888-500)))&amp;". ")&amp;IF(LEN(IF(LEN(INDEX('My equipment'!$S$4:$S$503,(_calc!$E$888-500)))=0,"",INDEX('My equipment'!$S$4:$S$503,(_calc!$E$888-500))))=0,"","Claims email: "&amp;IF(LEN(INDEX('My equipment'!$S$4:$S$503,(_calc!$E$888-500)))=0,"",INDEX('My equipment'!$S$4:$S$503,(_calc!$E$888-500)))&amp;". ")&amp;IF(LEN(IF(LEN(INDEX('My equipment'!$U$4:$U$503,(_calc!$E$888-500)))=0,"",INDEX('My equipment'!$U$4:$U$503,(_calc!$E$888-500))))=0,"","Registered: "&amp;IF(LEN(INDEX('My equipment'!$U$4:$U$503,(_calc!$E$888-500)))=0,"",INDEX('My equipment'!$U$4:$U$503,(_calc!$E$888-500)))&amp;". ")&amp;IF(LEN(IF(LEN(INDEX('My equipment'!$V$4:$V$503,(_calc!$E$888-500)))=0,"",INDEX('My equipment'!$V$4:$V$503,(_calc!$E$888-500))))=0,"","Proof on file: "&amp;IF(LEN(INDEX('My equipment'!$V$4:$V$503,(_calc!$E$888-500)))=0,"",INDEX('My equipment'!$V$4:$V$503,(_calc!$E$888-500)))&amp;". ")&amp;IF(LEN(IF(LEN(INDEX('My equipment'!$W$4:$W$503,(_calc!$E$888-500)))=0,"",INDEX('My equipment'!$W$4:$W$503,(_calc!$E$888-500))))=0,"","Claim ref: "&amp;IF(LEN(INDEX('My equipment'!$W$4:$W$503,(_calc!$E$888-500)))=0,"",INDEX('My equipment'!$W$4:$W$503,(_calc!$E$888-500)))&amp;". ")&amp;IF(LEN(IF(LEN(INDEX('My equipment'!$Y$4:$Y$503,(_calc!$E$888-500)))=0,"",INDEX('My equipment'!$Y$4:$Y$503,(_calc!$E$888-500))))=0,"",IF(LEN(INDEX('My equipment'!$Y$4:$Y$503,(_calc!$E$888-500)))=0,"",INDEX('My equipment'!$Y$4:$Y$503,(_calc!$E$888-500)))))))</f>
        <v/>
      </c>
      <c r="G886" s="54">
        <f>IF(_calc!$E$888="","",IF(_calc!$E$888&lt;=500,"",IF(LEN(INDEX('My equipment'!$X$4:$X$503,(_calc!$E$888-500)))=0,"",INDEX('My equipment'!$X$4:$X$503,(_calc!$E$888-500)))))</f>
        <v/>
      </c>
      <c r="K886" s="54">
        <f>IF(_calc!$E$888="","",IF(_calc!$E$888&lt;=500,"",IF(LEN(INDEX('My equipment'!$T$4:$T$503,(_calc!$E$888-500)))=0,"",INDEX('My equipment'!$T$4:$T$503,(_calc!$E$888-500)))))</f>
        <v/>
      </c>
    </row>
    <row r="887">
      <c r="A887" s="54">
        <f>IF(_calc!$E$889="","",IF(_calc!$E$889&lt;=500,"Warranty – "&amp;IF(LEN(INDEX('Dealer pipeline'!$C$4:$C$503,_calc!$E$889))=0,"",INDEX('Dealer pipeline'!$C$4:$C$503,_calc!$E$889))&amp;" – "&amp;IF(LEN(INDEX('Dealer pipeline'!$D$4:$D$503,_calc!$E$889))=0,"",INDEX('Dealer pipeline'!$D$4:$D$503,_calc!$E$889))&amp;" – "&amp;IF(LEN(INDEX('Dealer pipeline'!$A$4:$A$503,_calc!$E$889))=0,"",INDEX('Dealer pipeline'!$A$4:$A$503,_calc!$E$889)),"Warranty – "&amp;IF(LEN(INDEX('My equipment'!$A$4:$A$503,(_calc!$E$889-500)))=0,"",INDEX('My equipment'!$A$4:$A$503,(_calc!$E$889-500)))&amp;" – "&amp;IF(LEN(INDEX('My equipment'!$D$4:$D$503,(_calc!$E$889-500)))=0,"",INDEX('My equipment'!$D$4:$D$503,(_calc!$E$889-500)))))</f>
        <v/>
      </c>
      <c r="B887" s="54">
        <f>IF(_calc!$E$889="","",IF(_calc!$E$889&lt;=500,IF(ISNUMBER(INDEX('Dealer pipeline'!$M$4:$M$503,_calc!$E$889)),TEXT(INDEX('Dealer pipeline'!$M$4:$M$503,_calc!$E$889),"yyyy-mm-dd"),""),IF(ISNUMBER(INDEX('My equipment'!$M$4:$M$503,(_calc!$E$889-500))),TEXT(INDEX('My equipment'!$M$4:$M$503,(_calc!$E$889-500)),"yyyy-mm-dd"),"")))</f>
        <v/>
      </c>
      <c r="C887" s="54">
        <f>IF(_calc!$E$889="","",IF(_calc!$E$889&lt;=500,"Warranty","Warranty"))</f>
        <v/>
      </c>
      <c r="D887" s="54">
        <f>IF(_calc!$E$889="","",IF(_calc!$E$889&lt;=500,IF(ISNUMBER(INDEX('Dealer pipeline'!$H$4:$H$503,_calc!$E$889)),TEXT(INDEX('Dealer pipeline'!$H$4:$H$503,_calc!$E$889),"yyyy-mm-dd"),""),IF(ISNUMBER(INDEX('My equipment'!$H$4:$H$503,(_calc!$E$889-500))),TEXT(INDEX('My equipment'!$H$4:$H$503,(_calc!$E$889-500)),"yyyy-mm-dd"),"")))</f>
        <v/>
      </c>
      <c r="F887" s="54">
        <f>IF(_calc!$E$889="","",IF(_calc!$E$889&lt;=500,TRIM(IF(LEN(IF(LEN(INDEX('Dealer pipeline'!$A$4:$A$503,_calc!$E$889))=0,"",INDEX('Dealer pipeline'!$A$4:$A$503,_calc!$E$889)))=0,"","Customer: "&amp;IF(LEN(INDEX('Dealer pipeline'!$A$4:$A$503,_calc!$E$889))=0,"",INDEX('Dealer pipeline'!$A$4:$A$503,_calc!$E$889))&amp;". ")&amp;IF(LEN(IF(LEN(INDEX('Dealer pipeline'!$B$4:$B$503,_calc!$E$889))=0,"",INDEX('Dealer pipeline'!$B$4:$B$503,_calc!$E$889)))=0,"","Contact: "&amp;IF(LEN(INDEX('Dealer pipeline'!$B$4:$B$503,_calc!$E$889))=0,"",INDEX('Dealer pipeline'!$B$4:$B$503,_calc!$E$889))&amp;". ")&amp;IF(LEN(IF(LEN(INDEX('Dealer pipeline'!$D$4:$D$503,_calc!$E$889))=0,"",INDEX('Dealer pipeline'!$D$4:$D$503,_calc!$E$889)))=0,"","Serial: "&amp;IF(LEN(INDEX('Dealer pipeline'!$D$4:$D$503,_calc!$E$889))=0,"",INDEX('Dealer pipeline'!$D$4:$D$503,_calc!$E$889))&amp;". ")&amp;IF(LEN(IF(ISNUMBER(INDEX('Dealer pipeline'!$J$4:$J$503,_calc!$E$889)),TEXT(INDEX('Dealer pipeline'!$J$4:$J$503,_calc!$E$889),"yyyy-mm-dd"),""))=0,"","Parts end: "&amp;IF(ISNUMBER(INDEX('Dealer pipeline'!$J$4:$J$503,_calc!$E$889)),TEXT(INDEX('Dealer pipeline'!$J$4:$J$503,_calc!$E$889),"yyyy-mm-dd"),"")&amp;". ")&amp;IF(LEN(IF(ISNUMBER(INDEX('Dealer pipeline'!$L$4:$L$503,_calc!$E$889)),TEXT(INDEX('Dealer pipeline'!$L$4:$L$503,_calc!$E$889),"yyyy-mm-dd"),""))=0,"","Labor end: "&amp;IF(ISNUMBER(INDEX('Dealer pipeline'!$L$4:$L$503,_calc!$E$889)),TEXT(INDEX('Dealer pipeline'!$L$4:$L$503,_calc!$E$889),"yyyy-mm-dd"),"")&amp;". ")&amp;IF(LEN(IF(LEN(INDEX('Dealer pipeline'!$Q$4:$Q$503,_calc!$E$889))=0,"",INDEX('Dealer pipeline'!$Q$4:$Q$503,_calc!$E$889)))=0,"","Status: "&amp;IF(LEN(INDEX('Dealer pipeline'!$Q$4:$Q$503,_calc!$E$889))=0,"",INDEX('Dealer pipeline'!$Q$4:$Q$503,_calc!$E$889))&amp;". ")&amp;IF(LEN(IF(LEN(INDEX('Dealer pipeline'!$P$4:$P$503,_calc!$E$889))=0,"",INDEX('Dealer pipeline'!$P$4:$P$503,_calc!$E$889)))=0,"","Last touch: "&amp;IF(LEN(INDEX('Dealer pipeline'!$P$4:$P$503,_calc!$E$889))=0,"",INDEX('Dealer pipeline'!$P$4:$P$503,_calc!$E$889))&amp;". ")&amp;IF(LEN(IF(LEN(INDEX('Dealer pipeline'!$R$4:$R$503,_calc!$E$889))=0,"",INDEX('Dealer pipeline'!$R$4:$R$503,_calc!$E$889)))=0,"","Owner: "&amp;IF(LEN(INDEX('Dealer pipeline'!$R$4:$R$503,_calc!$E$889))=0,"",INDEX('Dealer pipeline'!$R$4:$R$503,_calc!$E$889))&amp;". ")&amp;IF(LEN(IF(LEN(INDEX('Dealer pipeline'!$S$4:$S$503,_calc!$E$889))=0,"",INDEX('Dealer pipeline'!$S$4:$S$503,_calc!$E$889)))=0,"","Backup: "&amp;IF(LEN(INDEX('Dealer pipeline'!$S$4:$S$503,_calc!$E$889))=0,"",INDEX('Dealer pipeline'!$S$4:$S$503,_calc!$E$889))&amp;". ")&amp;IF(LEN(IF(LEN(INDEX('Dealer pipeline'!$T$4:$T$503,_calc!$E$889))=0,"",INDEX('Dealer pipeline'!$T$4:$T$503,_calc!$E$889)))=0,"",IF(LEN(INDEX('Dealer pipeline'!$T$4:$T$503,_calc!$E$889))=0,"",INDEX('Dealer pipeline'!$T$4:$T$503,_calc!$E$889)))),TRIM(IF(LEN(IF(LEN(INDEX('My equipment'!$C$4:$C$503,(_calc!$E$889-500)))=0,"",INDEX('My equipment'!$C$4:$C$503,(_calc!$E$889-500))))=0,"","Model: "&amp;IF(LEN(INDEX('My equipment'!$C$4:$C$503,(_calc!$E$889-500)))=0,"",INDEX('My equipment'!$C$4:$C$503,(_calc!$E$889-500)))&amp;". ")&amp;IF(LEN(IF(LEN(INDEX('My equipment'!$D$4:$D$503,(_calc!$E$889-500)))=0,"",INDEX('My equipment'!$D$4:$D$503,(_calc!$E$889-500))))=0,"","Serial: "&amp;IF(LEN(INDEX('My equipment'!$D$4:$D$503,(_calc!$E$889-500)))=0,"",INDEX('My equipment'!$D$4:$D$503,(_calc!$E$889-500)))&amp;". ")&amp;IF(LEN(IF(ISNUMBER(INDEX('My equipment'!$J$4:$J$503,(_calc!$E$889-500))),TEXT(INDEX('My equipment'!$J$4:$J$503,(_calc!$E$889-500)),"yyyy-mm-dd"),""))=0,"","Parts end: "&amp;IF(ISNUMBER(INDEX('My equipment'!$J$4:$J$503,(_calc!$E$889-500))),TEXT(INDEX('My equipment'!$J$4:$J$503,(_calc!$E$889-500)),"yyyy-mm-dd"),"")&amp;". ")&amp;IF(LEN(IF(ISNUMBER(INDEX('My equipment'!$L$4:$L$503,(_calc!$E$889-500))),TEXT(INDEX('My equipment'!$L$4:$L$503,(_calc!$E$889-500)),"yyyy-mm-dd"),""))=0,"","Labor end: "&amp;IF(ISNUMBER(INDEX('My equipment'!$L$4:$L$503,(_calc!$E$889-500))),TEXT(INDEX('My equipment'!$L$4:$L$503,(_calc!$E$889-500)),"yyyy-mm-dd"),"")&amp;". ")&amp;IF(LEN(IF(ISNUMBER(INDEX('My equipment'!$P$4:$P$503,(_calc!$E$889-500))),TEXT(INDEX('My equipment'!$P$4:$P$503,(_calc!$E$889-500)),"yyyy-mm-dd"),""))=0,"","Check by: "&amp;IF(ISNUMBER(INDEX('My equipment'!$P$4:$P$503,(_calc!$E$889-500))),TEXT(INDEX('My equipment'!$P$4:$P$503,(_calc!$E$889-500)),"yyyy-mm-dd"),"")&amp;". ")&amp;IF(LEN(IF(LEN(INDEX('My equipment'!$Q$4:$Q$503,(_calc!$E$889-500)))=0,"",INDEX('My equipment'!$Q$4:$Q$503,(_calc!$E$889-500))))=0,"","Claim status: "&amp;IF(LEN(INDEX('My equipment'!$Q$4:$Q$503,(_calc!$E$889-500)))=0,"",INDEX('My equipment'!$Q$4:$Q$503,(_calc!$E$889-500)))&amp;". ")&amp;IF(LEN(IF(LEN(INDEX('My equipment'!$R$4:$R$503,(_calc!$E$889-500)))=0,"",INDEX('My equipment'!$R$4:$R$503,(_calc!$E$889-500))))=0,"","Claims contact: "&amp;IF(LEN(INDEX('My equipment'!$R$4:$R$503,(_calc!$E$889-500)))=0,"",INDEX('My equipment'!$R$4:$R$503,(_calc!$E$889-500)))&amp;". ")&amp;IF(LEN(IF(LEN(INDEX('My equipment'!$S$4:$S$503,(_calc!$E$889-500)))=0,"",INDEX('My equipment'!$S$4:$S$503,(_calc!$E$889-500))))=0,"","Claims email: "&amp;IF(LEN(INDEX('My equipment'!$S$4:$S$503,(_calc!$E$889-500)))=0,"",INDEX('My equipment'!$S$4:$S$503,(_calc!$E$889-500)))&amp;". ")&amp;IF(LEN(IF(LEN(INDEX('My equipment'!$U$4:$U$503,(_calc!$E$889-500)))=0,"",INDEX('My equipment'!$U$4:$U$503,(_calc!$E$889-500))))=0,"","Registered: "&amp;IF(LEN(INDEX('My equipment'!$U$4:$U$503,(_calc!$E$889-500)))=0,"",INDEX('My equipment'!$U$4:$U$503,(_calc!$E$889-500)))&amp;". ")&amp;IF(LEN(IF(LEN(INDEX('My equipment'!$V$4:$V$503,(_calc!$E$889-500)))=0,"",INDEX('My equipment'!$V$4:$V$503,(_calc!$E$889-500))))=0,"","Proof on file: "&amp;IF(LEN(INDEX('My equipment'!$V$4:$V$503,(_calc!$E$889-500)))=0,"",INDEX('My equipment'!$V$4:$V$503,(_calc!$E$889-500)))&amp;". ")&amp;IF(LEN(IF(LEN(INDEX('My equipment'!$W$4:$W$503,(_calc!$E$889-500)))=0,"",INDEX('My equipment'!$W$4:$W$503,(_calc!$E$889-500))))=0,"","Claim ref: "&amp;IF(LEN(INDEX('My equipment'!$W$4:$W$503,(_calc!$E$889-500)))=0,"",INDEX('My equipment'!$W$4:$W$503,(_calc!$E$889-500)))&amp;". ")&amp;IF(LEN(IF(LEN(INDEX('My equipment'!$Y$4:$Y$503,(_calc!$E$889-500)))=0,"",INDEX('My equipment'!$Y$4:$Y$503,(_calc!$E$889-500))))=0,"",IF(LEN(INDEX('My equipment'!$Y$4:$Y$503,(_calc!$E$889-500)))=0,"",INDEX('My equipment'!$Y$4:$Y$503,(_calc!$E$889-500)))))))</f>
        <v/>
      </c>
      <c r="G887" s="54">
        <f>IF(_calc!$E$889="","",IF(_calc!$E$889&lt;=500,"",IF(LEN(INDEX('My equipment'!$X$4:$X$503,(_calc!$E$889-500)))=0,"",INDEX('My equipment'!$X$4:$X$503,(_calc!$E$889-500)))))</f>
        <v/>
      </c>
      <c r="K887" s="54">
        <f>IF(_calc!$E$889="","",IF(_calc!$E$889&lt;=500,"",IF(LEN(INDEX('My equipment'!$T$4:$T$503,(_calc!$E$889-500)))=0,"",INDEX('My equipment'!$T$4:$T$503,(_calc!$E$889-500)))))</f>
        <v/>
      </c>
    </row>
    <row r="888">
      <c r="A888" s="54">
        <f>IF(_calc!$E$890="","",IF(_calc!$E$890&lt;=500,"Warranty – "&amp;IF(LEN(INDEX('Dealer pipeline'!$C$4:$C$503,_calc!$E$890))=0,"",INDEX('Dealer pipeline'!$C$4:$C$503,_calc!$E$890))&amp;" – "&amp;IF(LEN(INDEX('Dealer pipeline'!$D$4:$D$503,_calc!$E$890))=0,"",INDEX('Dealer pipeline'!$D$4:$D$503,_calc!$E$890))&amp;" – "&amp;IF(LEN(INDEX('Dealer pipeline'!$A$4:$A$503,_calc!$E$890))=0,"",INDEX('Dealer pipeline'!$A$4:$A$503,_calc!$E$890)),"Warranty – "&amp;IF(LEN(INDEX('My equipment'!$A$4:$A$503,(_calc!$E$890-500)))=0,"",INDEX('My equipment'!$A$4:$A$503,(_calc!$E$890-500)))&amp;" – "&amp;IF(LEN(INDEX('My equipment'!$D$4:$D$503,(_calc!$E$890-500)))=0,"",INDEX('My equipment'!$D$4:$D$503,(_calc!$E$890-500)))))</f>
        <v/>
      </c>
      <c r="B888" s="54">
        <f>IF(_calc!$E$890="","",IF(_calc!$E$890&lt;=500,IF(ISNUMBER(INDEX('Dealer pipeline'!$M$4:$M$503,_calc!$E$890)),TEXT(INDEX('Dealer pipeline'!$M$4:$M$503,_calc!$E$890),"yyyy-mm-dd"),""),IF(ISNUMBER(INDEX('My equipment'!$M$4:$M$503,(_calc!$E$890-500))),TEXT(INDEX('My equipment'!$M$4:$M$503,(_calc!$E$890-500)),"yyyy-mm-dd"),"")))</f>
        <v/>
      </c>
      <c r="C888" s="54">
        <f>IF(_calc!$E$890="","",IF(_calc!$E$890&lt;=500,"Warranty","Warranty"))</f>
        <v/>
      </c>
      <c r="D888" s="54">
        <f>IF(_calc!$E$890="","",IF(_calc!$E$890&lt;=500,IF(ISNUMBER(INDEX('Dealer pipeline'!$H$4:$H$503,_calc!$E$890)),TEXT(INDEX('Dealer pipeline'!$H$4:$H$503,_calc!$E$890),"yyyy-mm-dd"),""),IF(ISNUMBER(INDEX('My equipment'!$H$4:$H$503,(_calc!$E$890-500))),TEXT(INDEX('My equipment'!$H$4:$H$503,(_calc!$E$890-500)),"yyyy-mm-dd"),"")))</f>
        <v/>
      </c>
      <c r="F888" s="54">
        <f>IF(_calc!$E$890="","",IF(_calc!$E$890&lt;=500,TRIM(IF(LEN(IF(LEN(INDEX('Dealer pipeline'!$A$4:$A$503,_calc!$E$890))=0,"",INDEX('Dealer pipeline'!$A$4:$A$503,_calc!$E$890)))=0,"","Customer: "&amp;IF(LEN(INDEX('Dealer pipeline'!$A$4:$A$503,_calc!$E$890))=0,"",INDEX('Dealer pipeline'!$A$4:$A$503,_calc!$E$890))&amp;". ")&amp;IF(LEN(IF(LEN(INDEX('Dealer pipeline'!$B$4:$B$503,_calc!$E$890))=0,"",INDEX('Dealer pipeline'!$B$4:$B$503,_calc!$E$890)))=0,"","Contact: "&amp;IF(LEN(INDEX('Dealer pipeline'!$B$4:$B$503,_calc!$E$890))=0,"",INDEX('Dealer pipeline'!$B$4:$B$503,_calc!$E$890))&amp;". ")&amp;IF(LEN(IF(LEN(INDEX('Dealer pipeline'!$D$4:$D$503,_calc!$E$890))=0,"",INDEX('Dealer pipeline'!$D$4:$D$503,_calc!$E$890)))=0,"","Serial: "&amp;IF(LEN(INDEX('Dealer pipeline'!$D$4:$D$503,_calc!$E$890))=0,"",INDEX('Dealer pipeline'!$D$4:$D$503,_calc!$E$890))&amp;". ")&amp;IF(LEN(IF(ISNUMBER(INDEX('Dealer pipeline'!$J$4:$J$503,_calc!$E$890)),TEXT(INDEX('Dealer pipeline'!$J$4:$J$503,_calc!$E$890),"yyyy-mm-dd"),""))=0,"","Parts end: "&amp;IF(ISNUMBER(INDEX('Dealer pipeline'!$J$4:$J$503,_calc!$E$890)),TEXT(INDEX('Dealer pipeline'!$J$4:$J$503,_calc!$E$890),"yyyy-mm-dd"),"")&amp;". ")&amp;IF(LEN(IF(ISNUMBER(INDEX('Dealer pipeline'!$L$4:$L$503,_calc!$E$890)),TEXT(INDEX('Dealer pipeline'!$L$4:$L$503,_calc!$E$890),"yyyy-mm-dd"),""))=0,"","Labor end: "&amp;IF(ISNUMBER(INDEX('Dealer pipeline'!$L$4:$L$503,_calc!$E$890)),TEXT(INDEX('Dealer pipeline'!$L$4:$L$503,_calc!$E$890),"yyyy-mm-dd"),"")&amp;". ")&amp;IF(LEN(IF(LEN(INDEX('Dealer pipeline'!$Q$4:$Q$503,_calc!$E$890))=0,"",INDEX('Dealer pipeline'!$Q$4:$Q$503,_calc!$E$890)))=0,"","Status: "&amp;IF(LEN(INDEX('Dealer pipeline'!$Q$4:$Q$503,_calc!$E$890))=0,"",INDEX('Dealer pipeline'!$Q$4:$Q$503,_calc!$E$890))&amp;". ")&amp;IF(LEN(IF(LEN(INDEX('Dealer pipeline'!$P$4:$P$503,_calc!$E$890))=0,"",INDEX('Dealer pipeline'!$P$4:$P$503,_calc!$E$890)))=0,"","Last touch: "&amp;IF(LEN(INDEX('Dealer pipeline'!$P$4:$P$503,_calc!$E$890))=0,"",INDEX('Dealer pipeline'!$P$4:$P$503,_calc!$E$890))&amp;". ")&amp;IF(LEN(IF(LEN(INDEX('Dealer pipeline'!$R$4:$R$503,_calc!$E$890))=0,"",INDEX('Dealer pipeline'!$R$4:$R$503,_calc!$E$890)))=0,"","Owner: "&amp;IF(LEN(INDEX('Dealer pipeline'!$R$4:$R$503,_calc!$E$890))=0,"",INDEX('Dealer pipeline'!$R$4:$R$503,_calc!$E$890))&amp;". ")&amp;IF(LEN(IF(LEN(INDEX('Dealer pipeline'!$S$4:$S$503,_calc!$E$890))=0,"",INDEX('Dealer pipeline'!$S$4:$S$503,_calc!$E$890)))=0,"","Backup: "&amp;IF(LEN(INDEX('Dealer pipeline'!$S$4:$S$503,_calc!$E$890))=0,"",INDEX('Dealer pipeline'!$S$4:$S$503,_calc!$E$890))&amp;". ")&amp;IF(LEN(IF(LEN(INDEX('Dealer pipeline'!$T$4:$T$503,_calc!$E$890))=0,"",INDEX('Dealer pipeline'!$T$4:$T$503,_calc!$E$890)))=0,"",IF(LEN(INDEX('Dealer pipeline'!$T$4:$T$503,_calc!$E$890))=0,"",INDEX('Dealer pipeline'!$T$4:$T$503,_calc!$E$890)))),TRIM(IF(LEN(IF(LEN(INDEX('My equipment'!$C$4:$C$503,(_calc!$E$890-500)))=0,"",INDEX('My equipment'!$C$4:$C$503,(_calc!$E$890-500))))=0,"","Model: "&amp;IF(LEN(INDEX('My equipment'!$C$4:$C$503,(_calc!$E$890-500)))=0,"",INDEX('My equipment'!$C$4:$C$503,(_calc!$E$890-500)))&amp;". ")&amp;IF(LEN(IF(LEN(INDEX('My equipment'!$D$4:$D$503,(_calc!$E$890-500)))=0,"",INDEX('My equipment'!$D$4:$D$503,(_calc!$E$890-500))))=0,"","Serial: "&amp;IF(LEN(INDEX('My equipment'!$D$4:$D$503,(_calc!$E$890-500)))=0,"",INDEX('My equipment'!$D$4:$D$503,(_calc!$E$890-500)))&amp;". ")&amp;IF(LEN(IF(ISNUMBER(INDEX('My equipment'!$J$4:$J$503,(_calc!$E$890-500))),TEXT(INDEX('My equipment'!$J$4:$J$503,(_calc!$E$890-500)),"yyyy-mm-dd"),""))=0,"","Parts end: "&amp;IF(ISNUMBER(INDEX('My equipment'!$J$4:$J$503,(_calc!$E$890-500))),TEXT(INDEX('My equipment'!$J$4:$J$503,(_calc!$E$890-500)),"yyyy-mm-dd"),"")&amp;". ")&amp;IF(LEN(IF(ISNUMBER(INDEX('My equipment'!$L$4:$L$503,(_calc!$E$890-500))),TEXT(INDEX('My equipment'!$L$4:$L$503,(_calc!$E$890-500)),"yyyy-mm-dd"),""))=0,"","Labor end: "&amp;IF(ISNUMBER(INDEX('My equipment'!$L$4:$L$503,(_calc!$E$890-500))),TEXT(INDEX('My equipment'!$L$4:$L$503,(_calc!$E$890-500)),"yyyy-mm-dd"),"")&amp;". ")&amp;IF(LEN(IF(ISNUMBER(INDEX('My equipment'!$P$4:$P$503,(_calc!$E$890-500))),TEXT(INDEX('My equipment'!$P$4:$P$503,(_calc!$E$890-500)),"yyyy-mm-dd"),""))=0,"","Check by: "&amp;IF(ISNUMBER(INDEX('My equipment'!$P$4:$P$503,(_calc!$E$890-500))),TEXT(INDEX('My equipment'!$P$4:$P$503,(_calc!$E$890-500)),"yyyy-mm-dd"),"")&amp;". ")&amp;IF(LEN(IF(LEN(INDEX('My equipment'!$Q$4:$Q$503,(_calc!$E$890-500)))=0,"",INDEX('My equipment'!$Q$4:$Q$503,(_calc!$E$890-500))))=0,"","Claim status: "&amp;IF(LEN(INDEX('My equipment'!$Q$4:$Q$503,(_calc!$E$890-500)))=0,"",INDEX('My equipment'!$Q$4:$Q$503,(_calc!$E$890-500)))&amp;". ")&amp;IF(LEN(IF(LEN(INDEX('My equipment'!$R$4:$R$503,(_calc!$E$890-500)))=0,"",INDEX('My equipment'!$R$4:$R$503,(_calc!$E$890-500))))=0,"","Claims contact: "&amp;IF(LEN(INDEX('My equipment'!$R$4:$R$503,(_calc!$E$890-500)))=0,"",INDEX('My equipment'!$R$4:$R$503,(_calc!$E$890-500)))&amp;". ")&amp;IF(LEN(IF(LEN(INDEX('My equipment'!$S$4:$S$503,(_calc!$E$890-500)))=0,"",INDEX('My equipment'!$S$4:$S$503,(_calc!$E$890-500))))=0,"","Claims email: "&amp;IF(LEN(INDEX('My equipment'!$S$4:$S$503,(_calc!$E$890-500)))=0,"",INDEX('My equipment'!$S$4:$S$503,(_calc!$E$890-500)))&amp;". ")&amp;IF(LEN(IF(LEN(INDEX('My equipment'!$U$4:$U$503,(_calc!$E$890-500)))=0,"",INDEX('My equipment'!$U$4:$U$503,(_calc!$E$890-500))))=0,"","Registered: "&amp;IF(LEN(INDEX('My equipment'!$U$4:$U$503,(_calc!$E$890-500)))=0,"",INDEX('My equipment'!$U$4:$U$503,(_calc!$E$890-500)))&amp;". ")&amp;IF(LEN(IF(LEN(INDEX('My equipment'!$V$4:$V$503,(_calc!$E$890-500)))=0,"",INDEX('My equipment'!$V$4:$V$503,(_calc!$E$890-500))))=0,"","Proof on file: "&amp;IF(LEN(INDEX('My equipment'!$V$4:$V$503,(_calc!$E$890-500)))=0,"",INDEX('My equipment'!$V$4:$V$503,(_calc!$E$890-500)))&amp;". ")&amp;IF(LEN(IF(LEN(INDEX('My equipment'!$W$4:$W$503,(_calc!$E$890-500)))=0,"",INDEX('My equipment'!$W$4:$W$503,(_calc!$E$890-500))))=0,"","Claim ref: "&amp;IF(LEN(INDEX('My equipment'!$W$4:$W$503,(_calc!$E$890-500)))=0,"",INDEX('My equipment'!$W$4:$W$503,(_calc!$E$890-500)))&amp;". ")&amp;IF(LEN(IF(LEN(INDEX('My equipment'!$Y$4:$Y$503,(_calc!$E$890-500)))=0,"",INDEX('My equipment'!$Y$4:$Y$503,(_calc!$E$890-500))))=0,"",IF(LEN(INDEX('My equipment'!$Y$4:$Y$503,(_calc!$E$890-500)))=0,"",INDEX('My equipment'!$Y$4:$Y$503,(_calc!$E$890-500)))))))</f>
        <v/>
      </c>
      <c r="G888" s="54">
        <f>IF(_calc!$E$890="","",IF(_calc!$E$890&lt;=500,"",IF(LEN(INDEX('My equipment'!$X$4:$X$503,(_calc!$E$890-500)))=0,"",INDEX('My equipment'!$X$4:$X$503,(_calc!$E$890-500)))))</f>
        <v/>
      </c>
      <c r="K888" s="54">
        <f>IF(_calc!$E$890="","",IF(_calc!$E$890&lt;=500,"",IF(LEN(INDEX('My equipment'!$T$4:$T$503,(_calc!$E$890-500)))=0,"",INDEX('My equipment'!$T$4:$T$503,(_calc!$E$890-500)))))</f>
        <v/>
      </c>
    </row>
    <row r="889">
      <c r="A889" s="54">
        <f>IF(_calc!$E$891="","",IF(_calc!$E$891&lt;=500,"Warranty – "&amp;IF(LEN(INDEX('Dealer pipeline'!$C$4:$C$503,_calc!$E$891))=0,"",INDEX('Dealer pipeline'!$C$4:$C$503,_calc!$E$891))&amp;" – "&amp;IF(LEN(INDEX('Dealer pipeline'!$D$4:$D$503,_calc!$E$891))=0,"",INDEX('Dealer pipeline'!$D$4:$D$503,_calc!$E$891))&amp;" – "&amp;IF(LEN(INDEX('Dealer pipeline'!$A$4:$A$503,_calc!$E$891))=0,"",INDEX('Dealer pipeline'!$A$4:$A$503,_calc!$E$891)),"Warranty – "&amp;IF(LEN(INDEX('My equipment'!$A$4:$A$503,(_calc!$E$891-500)))=0,"",INDEX('My equipment'!$A$4:$A$503,(_calc!$E$891-500)))&amp;" – "&amp;IF(LEN(INDEX('My equipment'!$D$4:$D$503,(_calc!$E$891-500)))=0,"",INDEX('My equipment'!$D$4:$D$503,(_calc!$E$891-500)))))</f>
        <v/>
      </c>
      <c r="B889" s="54">
        <f>IF(_calc!$E$891="","",IF(_calc!$E$891&lt;=500,IF(ISNUMBER(INDEX('Dealer pipeline'!$M$4:$M$503,_calc!$E$891)),TEXT(INDEX('Dealer pipeline'!$M$4:$M$503,_calc!$E$891),"yyyy-mm-dd"),""),IF(ISNUMBER(INDEX('My equipment'!$M$4:$M$503,(_calc!$E$891-500))),TEXT(INDEX('My equipment'!$M$4:$M$503,(_calc!$E$891-500)),"yyyy-mm-dd"),"")))</f>
        <v/>
      </c>
      <c r="C889" s="54">
        <f>IF(_calc!$E$891="","",IF(_calc!$E$891&lt;=500,"Warranty","Warranty"))</f>
        <v/>
      </c>
      <c r="D889" s="54">
        <f>IF(_calc!$E$891="","",IF(_calc!$E$891&lt;=500,IF(ISNUMBER(INDEX('Dealer pipeline'!$H$4:$H$503,_calc!$E$891)),TEXT(INDEX('Dealer pipeline'!$H$4:$H$503,_calc!$E$891),"yyyy-mm-dd"),""),IF(ISNUMBER(INDEX('My equipment'!$H$4:$H$503,(_calc!$E$891-500))),TEXT(INDEX('My equipment'!$H$4:$H$503,(_calc!$E$891-500)),"yyyy-mm-dd"),"")))</f>
        <v/>
      </c>
      <c r="F889" s="54">
        <f>IF(_calc!$E$891="","",IF(_calc!$E$891&lt;=500,TRIM(IF(LEN(IF(LEN(INDEX('Dealer pipeline'!$A$4:$A$503,_calc!$E$891))=0,"",INDEX('Dealer pipeline'!$A$4:$A$503,_calc!$E$891)))=0,"","Customer: "&amp;IF(LEN(INDEX('Dealer pipeline'!$A$4:$A$503,_calc!$E$891))=0,"",INDEX('Dealer pipeline'!$A$4:$A$503,_calc!$E$891))&amp;". ")&amp;IF(LEN(IF(LEN(INDEX('Dealer pipeline'!$B$4:$B$503,_calc!$E$891))=0,"",INDEX('Dealer pipeline'!$B$4:$B$503,_calc!$E$891)))=0,"","Contact: "&amp;IF(LEN(INDEX('Dealer pipeline'!$B$4:$B$503,_calc!$E$891))=0,"",INDEX('Dealer pipeline'!$B$4:$B$503,_calc!$E$891))&amp;". ")&amp;IF(LEN(IF(LEN(INDEX('Dealer pipeline'!$D$4:$D$503,_calc!$E$891))=0,"",INDEX('Dealer pipeline'!$D$4:$D$503,_calc!$E$891)))=0,"","Serial: "&amp;IF(LEN(INDEX('Dealer pipeline'!$D$4:$D$503,_calc!$E$891))=0,"",INDEX('Dealer pipeline'!$D$4:$D$503,_calc!$E$891))&amp;". ")&amp;IF(LEN(IF(ISNUMBER(INDEX('Dealer pipeline'!$J$4:$J$503,_calc!$E$891)),TEXT(INDEX('Dealer pipeline'!$J$4:$J$503,_calc!$E$891),"yyyy-mm-dd"),""))=0,"","Parts end: "&amp;IF(ISNUMBER(INDEX('Dealer pipeline'!$J$4:$J$503,_calc!$E$891)),TEXT(INDEX('Dealer pipeline'!$J$4:$J$503,_calc!$E$891),"yyyy-mm-dd"),"")&amp;". ")&amp;IF(LEN(IF(ISNUMBER(INDEX('Dealer pipeline'!$L$4:$L$503,_calc!$E$891)),TEXT(INDEX('Dealer pipeline'!$L$4:$L$503,_calc!$E$891),"yyyy-mm-dd"),""))=0,"","Labor end: "&amp;IF(ISNUMBER(INDEX('Dealer pipeline'!$L$4:$L$503,_calc!$E$891)),TEXT(INDEX('Dealer pipeline'!$L$4:$L$503,_calc!$E$891),"yyyy-mm-dd"),"")&amp;". ")&amp;IF(LEN(IF(LEN(INDEX('Dealer pipeline'!$Q$4:$Q$503,_calc!$E$891))=0,"",INDEX('Dealer pipeline'!$Q$4:$Q$503,_calc!$E$891)))=0,"","Status: "&amp;IF(LEN(INDEX('Dealer pipeline'!$Q$4:$Q$503,_calc!$E$891))=0,"",INDEX('Dealer pipeline'!$Q$4:$Q$503,_calc!$E$891))&amp;". ")&amp;IF(LEN(IF(LEN(INDEX('Dealer pipeline'!$P$4:$P$503,_calc!$E$891))=0,"",INDEX('Dealer pipeline'!$P$4:$P$503,_calc!$E$891)))=0,"","Last touch: "&amp;IF(LEN(INDEX('Dealer pipeline'!$P$4:$P$503,_calc!$E$891))=0,"",INDEX('Dealer pipeline'!$P$4:$P$503,_calc!$E$891))&amp;". ")&amp;IF(LEN(IF(LEN(INDEX('Dealer pipeline'!$R$4:$R$503,_calc!$E$891))=0,"",INDEX('Dealer pipeline'!$R$4:$R$503,_calc!$E$891)))=0,"","Owner: "&amp;IF(LEN(INDEX('Dealer pipeline'!$R$4:$R$503,_calc!$E$891))=0,"",INDEX('Dealer pipeline'!$R$4:$R$503,_calc!$E$891))&amp;". ")&amp;IF(LEN(IF(LEN(INDEX('Dealer pipeline'!$S$4:$S$503,_calc!$E$891))=0,"",INDEX('Dealer pipeline'!$S$4:$S$503,_calc!$E$891)))=0,"","Backup: "&amp;IF(LEN(INDEX('Dealer pipeline'!$S$4:$S$503,_calc!$E$891))=0,"",INDEX('Dealer pipeline'!$S$4:$S$503,_calc!$E$891))&amp;". ")&amp;IF(LEN(IF(LEN(INDEX('Dealer pipeline'!$T$4:$T$503,_calc!$E$891))=0,"",INDEX('Dealer pipeline'!$T$4:$T$503,_calc!$E$891)))=0,"",IF(LEN(INDEX('Dealer pipeline'!$T$4:$T$503,_calc!$E$891))=0,"",INDEX('Dealer pipeline'!$T$4:$T$503,_calc!$E$891)))),TRIM(IF(LEN(IF(LEN(INDEX('My equipment'!$C$4:$C$503,(_calc!$E$891-500)))=0,"",INDEX('My equipment'!$C$4:$C$503,(_calc!$E$891-500))))=0,"","Model: "&amp;IF(LEN(INDEX('My equipment'!$C$4:$C$503,(_calc!$E$891-500)))=0,"",INDEX('My equipment'!$C$4:$C$503,(_calc!$E$891-500)))&amp;". ")&amp;IF(LEN(IF(LEN(INDEX('My equipment'!$D$4:$D$503,(_calc!$E$891-500)))=0,"",INDEX('My equipment'!$D$4:$D$503,(_calc!$E$891-500))))=0,"","Serial: "&amp;IF(LEN(INDEX('My equipment'!$D$4:$D$503,(_calc!$E$891-500)))=0,"",INDEX('My equipment'!$D$4:$D$503,(_calc!$E$891-500)))&amp;". ")&amp;IF(LEN(IF(ISNUMBER(INDEX('My equipment'!$J$4:$J$503,(_calc!$E$891-500))),TEXT(INDEX('My equipment'!$J$4:$J$503,(_calc!$E$891-500)),"yyyy-mm-dd"),""))=0,"","Parts end: "&amp;IF(ISNUMBER(INDEX('My equipment'!$J$4:$J$503,(_calc!$E$891-500))),TEXT(INDEX('My equipment'!$J$4:$J$503,(_calc!$E$891-500)),"yyyy-mm-dd"),"")&amp;". ")&amp;IF(LEN(IF(ISNUMBER(INDEX('My equipment'!$L$4:$L$503,(_calc!$E$891-500))),TEXT(INDEX('My equipment'!$L$4:$L$503,(_calc!$E$891-500)),"yyyy-mm-dd"),""))=0,"","Labor end: "&amp;IF(ISNUMBER(INDEX('My equipment'!$L$4:$L$503,(_calc!$E$891-500))),TEXT(INDEX('My equipment'!$L$4:$L$503,(_calc!$E$891-500)),"yyyy-mm-dd"),"")&amp;". ")&amp;IF(LEN(IF(ISNUMBER(INDEX('My equipment'!$P$4:$P$503,(_calc!$E$891-500))),TEXT(INDEX('My equipment'!$P$4:$P$503,(_calc!$E$891-500)),"yyyy-mm-dd"),""))=0,"","Check by: "&amp;IF(ISNUMBER(INDEX('My equipment'!$P$4:$P$503,(_calc!$E$891-500))),TEXT(INDEX('My equipment'!$P$4:$P$503,(_calc!$E$891-500)),"yyyy-mm-dd"),"")&amp;". ")&amp;IF(LEN(IF(LEN(INDEX('My equipment'!$Q$4:$Q$503,(_calc!$E$891-500)))=0,"",INDEX('My equipment'!$Q$4:$Q$503,(_calc!$E$891-500))))=0,"","Claim status: "&amp;IF(LEN(INDEX('My equipment'!$Q$4:$Q$503,(_calc!$E$891-500)))=0,"",INDEX('My equipment'!$Q$4:$Q$503,(_calc!$E$891-500)))&amp;". ")&amp;IF(LEN(IF(LEN(INDEX('My equipment'!$R$4:$R$503,(_calc!$E$891-500)))=0,"",INDEX('My equipment'!$R$4:$R$503,(_calc!$E$891-500))))=0,"","Claims contact: "&amp;IF(LEN(INDEX('My equipment'!$R$4:$R$503,(_calc!$E$891-500)))=0,"",INDEX('My equipment'!$R$4:$R$503,(_calc!$E$891-500)))&amp;". ")&amp;IF(LEN(IF(LEN(INDEX('My equipment'!$S$4:$S$503,(_calc!$E$891-500)))=0,"",INDEX('My equipment'!$S$4:$S$503,(_calc!$E$891-500))))=0,"","Claims email: "&amp;IF(LEN(INDEX('My equipment'!$S$4:$S$503,(_calc!$E$891-500)))=0,"",INDEX('My equipment'!$S$4:$S$503,(_calc!$E$891-500)))&amp;". ")&amp;IF(LEN(IF(LEN(INDEX('My equipment'!$U$4:$U$503,(_calc!$E$891-500)))=0,"",INDEX('My equipment'!$U$4:$U$503,(_calc!$E$891-500))))=0,"","Registered: "&amp;IF(LEN(INDEX('My equipment'!$U$4:$U$503,(_calc!$E$891-500)))=0,"",INDEX('My equipment'!$U$4:$U$503,(_calc!$E$891-500)))&amp;". ")&amp;IF(LEN(IF(LEN(INDEX('My equipment'!$V$4:$V$503,(_calc!$E$891-500)))=0,"",INDEX('My equipment'!$V$4:$V$503,(_calc!$E$891-500))))=0,"","Proof on file: "&amp;IF(LEN(INDEX('My equipment'!$V$4:$V$503,(_calc!$E$891-500)))=0,"",INDEX('My equipment'!$V$4:$V$503,(_calc!$E$891-500)))&amp;". ")&amp;IF(LEN(IF(LEN(INDEX('My equipment'!$W$4:$W$503,(_calc!$E$891-500)))=0,"",INDEX('My equipment'!$W$4:$W$503,(_calc!$E$891-500))))=0,"","Claim ref: "&amp;IF(LEN(INDEX('My equipment'!$W$4:$W$503,(_calc!$E$891-500)))=0,"",INDEX('My equipment'!$W$4:$W$503,(_calc!$E$891-500)))&amp;". ")&amp;IF(LEN(IF(LEN(INDEX('My equipment'!$Y$4:$Y$503,(_calc!$E$891-500)))=0,"",INDEX('My equipment'!$Y$4:$Y$503,(_calc!$E$891-500))))=0,"",IF(LEN(INDEX('My equipment'!$Y$4:$Y$503,(_calc!$E$891-500)))=0,"",INDEX('My equipment'!$Y$4:$Y$503,(_calc!$E$891-500)))))))</f>
        <v/>
      </c>
      <c r="G889" s="54">
        <f>IF(_calc!$E$891="","",IF(_calc!$E$891&lt;=500,"",IF(LEN(INDEX('My equipment'!$X$4:$X$503,(_calc!$E$891-500)))=0,"",INDEX('My equipment'!$X$4:$X$503,(_calc!$E$891-500)))))</f>
        <v/>
      </c>
      <c r="K889" s="54">
        <f>IF(_calc!$E$891="","",IF(_calc!$E$891&lt;=500,"",IF(LEN(INDEX('My equipment'!$T$4:$T$503,(_calc!$E$891-500)))=0,"",INDEX('My equipment'!$T$4:$T$503,(_calc!$E$891-500)))))</f>
        <v/>
      </c>
    </row>
    <row r="890">
      <c r="A890" s="54">
        <f>IF(_calc!$E$892="","",IF(_calc!$E$892&lt;=500,"Warranty – "&amp;IF(LEN(INDEX('Dealer pipeline'!$C$4:$C$503,_calc!$E$892))=0,"",INDEX('Dealer pipeline'!$C$4:$C$503,_calc!$E$892))&amp;" – "&amp;IF(LEN(INDEX('Dealer pipeline'!$D$4:$D$503,_calc!$E$892))=0,"",INDEX('Dealer pipeline'!$D$4:$D$503,_calc!$E$892))&amp;" – "&amp;IF(LEN(INDEX('Dealer pipeline'!$A$4:$A$503,_calc!$E$892))=0,"",INDEX('Dealer pipeline'!$A$4:$A$503,_calc!$E$892)),"Warranty – "&amp;IF(LEN(INDEX('My equipment'!$A$4:$A$503,(_calc!$E$892-500)))=0,"",INDEX('My equipment'!$A$4:$A$503,(_calc!$E$892-500)))&amp;" – "&amp;IF(LEN(INDEX('My equipment'!$D$4:$D$503,(_calc!$E$892-500)))=0,"",INDEX('My equipment'!$D$4:$D$503,(_calc!$E$892-500)))))</f>
        <v/>
      </c>
      <c r="B890" s="54">
        <f>IF(_calc!$E$892="","",IF(_calc!$E$892&lt;=500,IF(ISNUMBER(INDEX('Dealer pipeline'!$M$4:$M$503,_calc!$E$892)),TEXT(INDEX('Dealer pipeline'!$M$4:$M$503,_calc!$E$892),"yyyy-mm-dd"),""),IF(ISNUMBER(INDEX('My equipment'!$M$4:$M$503,(_calc!$E$892-500))),TEXT(INDEX('My equipment'!$M$4:$M$503,(_calc!$E$892-500)),"yyyy-mm-dd"),"")))</f>
        <v/>
      </c>
      <c r="C890" s="54">
        <f>IF(_calc!$E$892="","",IF(_calc!$E$892&lt;=500,"Warranty","Warranty"))</f>
        <v/>
      </c>
      <c r="D890" s="54">
        <f>IF(_calc!$E$892="","",IF(_calc!$E$892&lt;=500,IF(ISNUMBER(INDEX('Dealer pipeline'!$H$4:$H$503,_calc!$E$892)),TEXT(INDEX('Dealer pipeline'!$H$4:$H$503,_calc!$E$892),"yyyy-mm-dd"),""),IF(ISNUMBER(INDEX('My equipment'!$H$4:$H$503,(_calc!$E$892-500))),TEXT(INDEX('My equipment'!$H$4:$H$503,(_calc!$E$892-500)),"yyyy-mm-dd"),"")))</f>
        <v/>
      </c>
      <c r="F890" s="54">
        <f>IF(_calc!$E$892="","",IF(_calc!$E$892&lt;=500,TRIM(IF(LEN(IF(LEN(INDEX('Dealer pipeline'!$A$4:$A$503,_calc!$E$892))=0,"",INDEX('Dealer pipeline'!$A$4:$A$503,_calc!$E$892)))=0,"","Customer: "&amp;IF(LEN(INDEX('Dealer pipeline'!$A$4:$A$503,_calc!$E$892))=0,"",INDEX('Dealer pipeline'!$A$4:$A$503,_calc!$E$892))&amp;". ")&amp;IF(LEN(IF(LEN(INDEX('Dealer pipeline'!$B$4:$B$503,_calc!$E$892))=0,"",INDEX('Dealer pipeline'!$B$4:$B$503,_calc!$E$892)))=0,"","Contact: "&amp;IF(LEN(INDEX('Dealer pipeline'!$B$4:$B$503,_calc!$E$892))=0,"",INDEX('Dealer pipeline'!$B$4:$B$503,_calc!$E$892))&amp;". ")&amp;IF(LEN(IF(LEN(INDEX('Dealer pipeline'!$D$4:$D$503,_calc!$E$892))=0,"",INDEX('Dealer pipeline'!$D$4:$D$503,_calc!$E$892)))=0,"","Serial: "&amp;IF(LEN(INDEX('Dealer pipeline'!$D$4:$D$503,_calc!$E$892))=0,"",INDEX('Dealer pipeline'!$D$4:$D$503,_calc!$E$892))&amp;". ")&amp;IF(LEN(IF(ISNUMBER(INDEX('Dealer pipeline'!$J$4:$J$503,_calc!$E$892)),TEXT(INDEX('Dealer pipeline'!$J$4:$J$503,_calc!$E$892),"yyyy-mm-dd"),""))=0,"","Parts end: "&amp;IF(ISNUMBER(INDEX('Dealer pipeline'!$J$4:$J$503,_calc!$E$892)),TEXT(INDEX('Dealer pipeline'!$J$4:$J$503,_calc!$E$892),"yyyy-mm-dd"),"")&amp;". ")&amp;IF(LEN(IF(ISNUMBER(INDEX('Dealer pipeline'!$L$4:$L$503,_calc!$E$892)),TEXT(INDEX('Dealer pipeline'!$L$4:$L$503,_calc!$E$892),"yyyy-mm-dd"),""))=0,"","Labor end: "&amp;IF(ISNUMBER(INDEX('Dealer pipeline'!$L$4:$L$503,_calc!$E$892)),TEXT(INDEX('Dealer pipeline'!$L$4:$L$503,_calc!$E$892),"yyyy-mm-dd"),"")&amp;". ")&amp;IF(LEN(IF(LEN(INDEX('Dealer pipeline'!$Q$4:$Q$503,_calc!$E$892))=0,"",INDEX('Dealer pipeline'!$Q$4:$Q$503,_calc!$E$892)))=0,"","Status: "&amp;IF(LEN(INDEX('Dealer pipeline'!$Q$4:$Q$503,_calc!$E$892))=0,"",INDEX('Dealer pipeline'!$Q$4:$Q$503,_calc!$E$892))&amp;". ")&amp;IF(LEN(IF(LEN(INDEX('Dealer pipeline'!$P$4:$P$503,_calc!$E$892))=0,"",INDEX('Dealer pipeline'!$P$4:$P$503,_calc!$E$892)))=0,"","Last touch: "&amp;IF(LEN(INDEX('Dealer pipeline'!$P$4:$P$503,_calc!$E$892))=0,"",INDEX('Dealer pipeline'!$P$4:$P$503,_calc!$E$892))&amp;". ")&amp;IF(LEN(IF(LEN(INDEX('Dealer pipeline'!$R$4:$R$503,_calc!$E$892))=0,"",INDEX('Dealer pipeline'!$R$4:$R$503,_calc!$E$892)))=0,"","Owner: "&amp;IF(LEN(INDEX('Dealer pipeline'!$R$4:$R$503,_calc!$E$892))=0,"",INDEX('Dealer pipeline'!$R$4:$R$503,_calc!$E$892))&amp;". ")&amp;IF(LEN(IF(LEN(INDEX('Dealer pipeline'!$S$4:$S$503,_calc!$E$892))=0,"",INDEX('Dealer pipeline'!$S$4:$S$503,_calc!$E$892)))=0,"","Backup: "&amp;IF(LEN(INDEX('Dealer pipeline'!$S$4:$S$503,_calc!$E$892))=0,"",INDEX('Dealer pipeline'!$S$4:$S$503,_calc!$E$892))&amp;". ")&amp;IF(LEN(IF(LEN(INDEX('Dealer pipeline'!$T$4:$T$503,_calc!$E$892))=0,"",INDEX('Dealer pipeline'!$T$4:$T$503,_calc!$E$892)))=0,"",IF(LEN(INDEX('Dealer pipeline'!$T$4:$T$503,_calc!$E$892))=0,"",INDEX('Dealer pipeline'!$T$4:$T$503,_calc!$E$892)))),TRIM(IF(LEN(IF(LEN(INDEX('My equipment'!$C$4:$C$503,(_calc!$E$892-500)))=0,"",INDEX('My equipment'!$C$4:$C$503,(_calc!$E$892-500))))=0,"","Model: "&amp;IF(LEN(INDEX('My equipment'!$C$4:$C$503,(_calc!$E$892-500)))=0,"",INDEX('My equipment'!$C$4:$C$503,(_calc!$E$892-500)))&amp;". ")&amp;IF(LEN(IF(LEN(INDEX('My equipment'!$D$4:$D$503,(_calc!$E$892-500)))=0,"",INDEX('My equipment'!$D$4:$D$503,(_calc!$E$892-500))))=0,"","Serial: "&amp;IF(LEN(INDEX('My equipment'!$D$4:$D$503,(_calc!$E$892-500)))=0,"",INDEX('My equipment'!$D$4:$D$503,(_calc!$E$892-500)))&amp;". ")&amp;IF(LEN(IF(ISNUMBER(INDEX('My equipment'!$J$4:$J$503,(_calc!$E$892-500))),TEXT(INDEX('My equipment'!$J$4:$J$503,(_calc!$E$892-500)),"yyyy-mm-dd"),""))=0,"","Parts end: "&amp;IF(ISNUMBER(INDEX('My equipment'!$J$4:$J$503,(_calc!$E$892-500))),TEXT(INDEX('My equipment'!$J$4:$J$503,(_calc!$E$892-500)),"yyyy-mm-dd"),"")&amp;". ")&amp;IF(LEN(IF(ISNUMBER(INDEX('My equipment'!$L$4:$L$503,(_calc!$E$892-500))),TEXT(INDEX('My equipment'!$L$4:$L$503,(_calc!$E$892-500)),"yyyy-mm-dd"),""))=0,"","Labor end: "&amp;IF(ISNUMBER(INDEX('My equipment'!$L$4:$L$503,(_calc!$E$892-500))),TEXT(INDEX('My equipment'!$L$4:$L$503,(_calc!$E$892-500)),"yyyy-mm-dd"),"")&amp;". ")&amp;IF(LEN(IF(ISNUMBER(INDEX('My equipment'!$P$4:$P$503,(_calc!$E$892-500))),TEXT(INDEX('My equipment'!$P$4:$P$503,(_calc!$E$892-500)),"yyyy-mm-dd"),""))=0,"","Check by: "&amp;IF(ISNUMBER(INDEX('My equipment'!$P$4:$P$503,(_calc!$E$892-500))),TEXT(INDEX('My equipment'!$P$4:$P$503,(_calc!$E$892-500)),"yyyy-mm-dd"),"")&amp;". ")&amp;IF(LEN(IF(LEN(INDEX('My equipment'!$Q$4:$Q$503,(_calc!$E$892-500)))=0,"",INDEX('My equipment'!$Q$4:$Q$503,(_calc!$E$892-500))))=0,"","Claim status: "&amp;IF(LEN(INDEX('My equipment'!$Q$4:$Q$503,(_calc!$E$892-500)))=0,"",INDEX('My equipment'!$Q$4:$Q$503,(_calc!$E$892-500)))&amp;". ")&amp;IF(LEN(IF(LEN(INDEX('My equipment'!$R$4:$R$503,(_calc!$E$892-500)))=0,"",INDEX('My equipment'!$R$4:$R$503,(_calc!$E$892-500))))=0,"","Claims contact: "&amp;IF(LEN(INDEX('My equipment'!$R$4:$R$503,(_calc!$E$892-500)))=0,"",INDEX('My equipment'!$R$4:$R$503,(_calc!$E$892-500)))&amp;". ")&amp;IF(LEN(IF(LEN(INDEX('My equipment'!$S$4:$S$503,(_calc!$E$892-500)))=0,"",INDEX('My equipment'!$S$4:$S$503,(_calc!$E$892-500))))=0,"","Claims email: "&amp;IF(LEN(INDEX('My equipment'!$S$4:$S$503,(_calc!$E$892-500)))=0,"",INDEX('My equipment'!$S$4:$S$503,(_calc!$E$892-500)))&amp;". ")&amp;IF(LEN(IF(LEN(INDEX('My equipment'!$U$4:$U$503,(_calc!$E$892-500)))=0,"",INDEX('My equipment'!$U$4:$U$503,(_calc!$E$892-500))))=0,"","Registered: "&amp;IF(LEN(INDEX('My equipment'!$U$4:$U$503,(_calc!$E$892-500)))=0,"",INDEX('My equipment'!$U$4:$U$503,(_calc!$E$892-500)))&amp;". ")&amp;IF(LEN(IF(LEN(INDEX('My equipment'!$V$4:$V$503,(_calc!$E$892-500)))=0,"",INDEX('My equipment'!$V$4:$V$503,(_calc!$E$892-500))))=0,"","Proof on file: "&amp;IF(LEN(INDEX('My equipment'!$V$4:$V$503,(_calc!$E$892-500)))=0,"",INDEX('My equipment'!$V$4:$V$503,(_calc!$E$892-500)))&amp;". ")&amp;IF(LEN(IF(LEN(INDEX('My equipment'!$W$4:$W$503,(_calc!$E$892-500)))=0,"",INDEX('My equipment'!$W$4:$W$503,(_calc!$E$892-500))))=0,"","Claim ref: "&amp;IF(LEN(INDEX('My equipment'!$W$4:$W$503,(_calc!$E$892-500)))=0,"",INDEX('My equipment'!$W$4:$W$503,(_calc!$E$892-500)))&amp;". ")&amp;IF(LEN(IF(LEN(INDEX('My equipment'!$Y$4:$Y$503,(_calc!$E$892-500)))=0,"",INDEX('My equipment'!$Y$4:$Y$503,(_calc!$E$892-500))))=0,"",IF(LEN(INDEX('My equipment'!$Y$4:$Y$503,(_calc!$E$892-500)))=0,"",INDEX('My equipment'!$Y$4:$Y$503,(_calc!$E$892-500)))))))</f>
        <v/>
      </c>
      <c r="G890" s="54">
        <f>IF(_calc!$E$892="","",IF(_calc!$E$892&lt;=500,"",IF(LEN(INDEX('My equipment'!$X$4:$X$503,(_calc!$E$892-500)))=0,"",INDEX('My equipment'!$X$4:$X$503,(_calc!$E$892-500)))))</f>
        <v/>
      </c>
      <c r="K890" s="54">
        <f>IF(_calc!$E$892="","",IF(_calc!$E$892&lt;=500,"",IF(LEN(INDEX('My equipment'!$T$4:$T$503,(_calc!$E$892-500)))=0,"",INDEX('My equipment'!$T$4:$T$503,(_calc!$E$892-500)))))</f>
        <v/>
      </c>
    </row>
    <row r="891">
      <c r="A891" s="54">
        <f>IF(_calc!$E$893="","",IF(_calc!$E$893&lt;=500,"Warranty – "&amp;IF(LEN(INDEX('Dealer pipeline'!$C$4:$C$503,_calc!$E$893))=0,"",INDEX('Dealer pipeline'!$C$4:$C$503,_calc!$E$893))&amp;" – "&amp;IF(LEN(INDEX('Dealer pipeline'!$D$4:$D$503,_calc!$E$893))=0,"",INDEX('Dealer pipeline'!$D$4:$D$503,_calc!$E$893))&amp;" – "&amp;IF(LEN(INDEX('Dealer pipeline'!$A$4:$A$503,_calc!$E$893))=0,"",INDEX('Dealer pipeline'!$A$4:$A$503,_calc!$E$893)),"Warranty – "&amp;IF(LEN(INDEX('My equipment'!$A$4:$A$503,(_calc!$E$893-500)))=0,"",INDEX('My equipment'!$A$4:$A$503,(_calc!$E$893-500)))&amp;" – "&amp;IF(LEN(INDEX('My equipment'!$D$4:$D$503,(_calc!$E$893-500)))=0,"",INDEX('My equipment'!$D$4:$D$503,(_calc!$E$893-500)))))</f>
        <v/>
      </c>
      <c r="B891" s="54">
        <f>IF(_calc!$E$893="","",IF(_calc!$E$893&lt;=500,IF(ISNUMBER(INDEX('Dealer pipeline'!$M$4:$M$503,_calc!$E$893)),TEXT(INDEX('Dealer pipeline'!$M$4:$M$503,_calc!$E$893),"yyyy-mm-dd"),""),IF(ISNUMBER(INDEX('My equipment'!$M$4:$M$503,(_calc!$E$893-500))),TEXT(INDEX('My equipment'!$M$4:$M$503,(_calc!$E$893-500)),"yyyy-mm-dd"),"")))</f>
        <v/>
      </c>
      <c r="C891" s="54">
        <f>IF(_calc!$E$893="","",IF(_calc!$E$893&lt;=500,"Warranty","Warranty"))</f>
        <v/>
      </c>
      <c r="D891" s="54">
        <f>IF(_calc!$E$893="","",IF(_calc!$E$893&lt;=500,IF(ISNUMBER(INDEX('Dealer pipeline'!$H$4:$H$503,_calc!$E$893)),TEXT(INDEX('Dealer pipeline'!$H$4:$H$503,_calc!$E$893),"yyyy-mm-dd"),""),IF(ISNUMBER(INDEX('My equipment'!$H$4:$H$503,(_calc!$E$893-500))),TEXT(INDEX('My equipment'!$H$4:$H$503,(_calc!$E$893-500)),"yyyy-mm-dd"),"")))</f>
        <v/>
      </c>
      <c r="F891" s="54">
        <f>IF(_calc!$E$893="","",IF(_calc!$E$893&lt;=500,TRIM(IF(LEN(IF(LEN(INDEX('Dealer pipeline'!$A$4:$A$503,_calc!$E$893))=0,"",INDEX('Dealer pipeline'!$A$4:$A$503,_calc!$E$893)))=0,"","Customer: "&amp;IF(LEN(INDEX('Dealer pipeline'!$A$4:$A$503,_calc!$E$893))=0,"",INDEX('Dealer pipeline'!$A$4:$A$503,_calc!$E$893))&amp;". ")&amp;IF(LEN(IF(LEN(INDEX('Dealer pipeline'!$B$4:$B$503,_calc!$E$893))=0,"",INDEX('Dealer pipeline'!$B$4:$B$503,_calc!$E$893)))=0,"","Contact: "&amp;IF(LEN(INDEX('Dealer pipeline'!$B$4:$B$503,_calc!$E$893))=0,"",INDEX('Dealer pipeline'!$B$4:$B$503,_calc!$E$893))&amp;". ")&amp;IF(LEN(IF(LEN(INDEX('Dealer pipeline'!$D$4:$D$503,_calc!$E$893))=0,"",INDEX('Dealer pipeline'!$D$4:$D$503,_calc!$E$893)))=0,"","Serial: "&amp;IF(LEN(INDEX('Dealer pipeline'!$D$4:$D$503,_calc!$E$893))=0,"",INDEX('Dealer pipeline'!$D$4:$D$503,_calc!$E$893))&amp;". ")&amp;IF(LEN(IF(ISNUMBER(INDEX('Dealer pipeline'!$J$4:$J$503,_calc!$E$893)),TEXT(INDEX('Dealer pipeline'!$J$4:$J$503,_calc!$E$893),"yyyy-mm-dd"),""))=0,"","Parts end: "&amp;IF(ISNUMBER(INDEX('Dealer pipeline'!$J$4:$J$503,_calc!$E$893)),TEXT(INDEX('Dealer pipeline'!$J$4:$J$503,_calc!$E$893),"yyyy-mm-dd"),"")&amp;". ")&amp;IF(LEN(IF(ISNUMBER(INDEX('Dealer pipeline'!$L$4:$L$503,_calc!$E$893)),TEXT(INDEX('Dealer pipeline'!$L$4:$L$503,_calc!$E$893),"yyyy-mm-dd"),""))=0,"","Labor end: "&amp;IF(ISNUMBER(INDEX('Dealer pipeline'!$L$4:$L$503,_calc!$E$893)),TEXT(INDEX('Dealer pipeline'!$L$4:$L$503,_calc!$E$893),"yyyy-mm-dd"),"")&amp;". ")&amp;IF(LEN(IF(LEN(INDEX('Dealer pipeline'!$Q$4:$Q$503,_calc!$E$893))=0,"",INDEX('Dealer pipeline'!$Q$4:$Q$503,_calc!$E$893)))=0,"","Status: "&amp;IF(LEN(INDEX('Dealer pipeline'!$Q$4:$Q$503,_calc!$E$893))=0,"",INDEX('Dealer pipeline'!$Q$4:$Q$503,_calc!$E$893))&amp;". ")&amp;IF(LEN(IF(LEN(INDEX('Dealer pipeline'!$P$4:$P$503,_calc!$E$893))=0,"",INDEX('Dealer pipeline'!$P$4:$P$503,_calc!$E$893)))=0,"","Last touch: "&amp;IF(LEN(INDEX('Dealer pipeline'!$P$4:$P$503,_calc!$E$893))=0,"",INDEX('Dealer pipeline'!$P$4:$P$503,_calc!$E$893))&amp;". ")&amp;IF(LEN(IF(LEN(INDEX('Dealer pipeline'!$R$4:$R$503,_calc!$E$893))=0,"",INDEX('Dealer pipeline'!$R$4:$R$503,_calc!$E$893)))=0,"","Owner: "&amp;IF(LEN(INDEX('Dealer pipeline'!$R$4:$R$503,_calc!$E$893))=0,"",INDEX('Dealer pipeline'!$R$4:$R$503,_calc!$E$893))&amp;". ")&amp;IF(LEN(IF(LEN(INDEX('Dealer pipeline'!$S$4:$S$503,_calc!$E$893))=0,"",INDEX('Dealer pipeline'!$S$4:$S$503,_calc!$E$893)))=0,"","Backup: "&amp;IF(LEN(INDEX('Dealer pipeline'!$S$4:$S$503,_calc!$E$893))=0,"",INDEX('Dealer pipeline'!$S$4:$S$503,_calc!$E$893))&amp;". ")&amp;IF(LEN(IF(LEN(INDEX('Dealer pipeline'!$T$4:$T$503,_calc!$E$893))=0,"",INDEX('Dealer pipeline'!$T$4:$T$503,_calc!$E$893)))=0,"",IF(LEN(INDEX('Dealer pipeline'!$T$4:$T$503,_calc!$E$893))=0,"",INDEX('Dealer pipeline'!$T$4:$T$503,_calc!$E$893)))),TRIM(IF(LEN(IF(LEN(INDEX('My equipment'!$C$4:$C$503,(_calc!$E$893-500)))=0,"",INDEX('My equipment'!$C$4:$C$503,(_calc!$E$893-500))))=0,"","Model: "&amp;IF(LEN(INDEX('My equipment'!$C$4:$C$503,(_calc!$E$893-500)))=0,"",INDEX('My equipment'!$C$4:$C$503,(_calc!$E$893-500)))&amp;". ")&amp;IF(LEN(IF(LEN(INDEX('My equipment'!$D$4:$D$503,(_calc!$E$893-500)))=0,"",INDEX('My equipment'!$D$4:$D$503,(_calc!$E$893-500))))=0,"","Serial: "&amp;IF(LEN(INDEX('My equipment'!$D$4:$D$503,(_calc!$E$893-500)))=0,"",INDEX('My equipment'!$D$4:$D$503,(_calc!$E$893-500)))&amp;". ")&amp;IF(LEN(IF(ISNUMBER(INDEX('My equipment'!$J$4:$J$503,(_calc!$E$893-500))),TEXT(INDEX('My equipment'!$J$4:$J$503,(_calc!$E$893-500)),"yyyy-mm-dd"),""))=0,"","Parts end: "&amp;IF(ISNUMBER(INDEX('My equipment'!$J$4:$J$503,(_calc!$E$893-500))),TEXT(INDEX('My equipment'!$J$4:$J$503,(_calc!$E$893-500)),"yyyy-mm-dd"),"")&amp;". ")&amp;IF(LEN(IF(ISNUMBER(INDEX('My equipment'!$L$4:$L$503,(_calc!$E$893-500))),TEXT(INDEX('My equipment'!$L$4:$L$503,(_calc!$E$893-500)),"yyyy-mm-dd"),""))=0,"","Labor end: "&amp;IF(ISNUMBER(INDEX('My equipment'!$L$4:$L$503,(_calc!$E$893-500))),TEXT(INDEX('My equipment'!$L$4:$L$503,(_calc!$E$893-500)),"yyyy-mm-dd"),"")&amp;". ")&amp;IF(LEN(IF(ISNUMBER(INDEX('My equipment'!$P$4:$P$503,(_calc!$E$893-500))),TEXT(INDEX('My equipment'!$P$4:$P$503,(_calc!$E$893-500)),"yyyy-mm-dd"),""))=0,"","Check by: "&amp;IF(ISNUMBER(INDEX('My equipment'!$P$4:$P$503,(_calc!$E$893-500))),TEXT(INDEX('My equipment'!$P$4:$P$503,(_calc!$E$893-500)),"yyyy-mm-dd"),"")&amp;". ")&amp;IF(LEN(IF(LEN(INDEX('My equipment'!$Q$4:$Q$503,(_calc!$E$893-500)))=0,"",INDEX('My equipment'!$Q$4:$Q$503,(_calc!$E$893-500))))=0,"","Claim status: "&amp;IF(LEN(INDEX('My equipment'!$Q$4:$Q$503,(_calc!$E$893-500)))=0,"",INDEX('My equipment'!$Q$4:$Q$503,(_calc!$E$893-500)))&amp;". ")&amp;IF(LEN(IF(LEN(INDEX('My equipment'!$R$4:$R$503,(_calc!$E$893-500)))=0,"",INDEX('My equipment'!$R$4:$R$503,(_calc!$E$893-500))))=0,"","Claims contact: "&amp;IF(LEN(INDEX('My equipment'!$R$4:$R$503,(_calc!$E$893-500)))=0,"",INDEX('My equipment'!$R$4:$R$503,(_calc!$E$893-500)))&amp;". ")&amp;IF(LEN(IF(LEN(INDEX('My equipment'!$S$4:$S$503,(_calc!$E$893-500)))=0,"",INDEX('My equipment'!$S$4:$S$503,(_calc!$E$893-500))))=0,"","Claims email: "&amp;IF(LEN(INDEX('My equipment'!$S$4:$S$503,(_calc!$E$893-500)))=0,"",INDEX('My equipment'!$S$4:$S$503,(_calc!$E$893-500)))&amp;". ")&amp;IF(LEN(IF(LEN(INDEX('My equipment'!$U$4:$U$503,(_calc!$E$893-500)))=0,"",INDEX('My equipment'!$U$4:$U$503,(_calc!$E$893-500))))=0,"","Registered: "&amp;IF(LEN(INDEX('My equipment'!$U$4:$U$503,(_calc!$E$893-500)))=0,"",INDEX('My equipment'!$U$4:$U$503,(_calc!$E$893-500)))&amp;". ")&amp;IF(LEN(IF(LEN(INDEX('My equipment'!$V$4:$V$503,(_calc!$E$893-500)))=0,"",INDEX('My equipment'!$V$4:$V$503,(_calc!$E$893-500))))=0,"","Proof on file: "&amp;IF(LEN(INDEX('My equipment'!$V$4:$V$503,(_calc!$E$893-500)))=0,"",INDEX('My equipment'!$V$4:$V$503,(_calc!$E$893-500)))&amp;". ")&amp;IF(LEN(IF(LEN(INDEX('My equipment'!$W$4:$W$503,(_calc!$E$893-500)))=0,"",INDEX('My equipment'!$W$4:$W$503,(_calc!$E$893-500))))=0,"","Claim ref: "&amp;IF(LEN(INDEX('My equipment'!$W$4:$W$503,(_calc!$E$893-500)))=0,"",INDEX('My equipment'!$W$4:$W$503,(_calc!$E$893-500)))&amp;". ")&amp;IF(LEN(IF(LEN(INDEX('My equipment'!$Y$4:$Y$503,(_calc!$E$893-500)))=0,"",INDEX('My equipment'!$Y$4:$Y$503,(_calc!$E$893-500))))=0,"",IF(LEN(INDEX('My equipment'!$Y$4:$Y$503,(_calc!$E$893-500)))=0,"",INDEX('My equipment'!$Y$4:$Y$503,(_calc!$E$893-500)))))))</f>
        <v/>
      </c>
      <c r="G891" s="54">
        <f>IF(_calc!$E$893="","",IF(_calc!$E$893&lt;=500,"",IF(LEN(INDEX('My equipment'!$X$4:$X$503,(_calc!$E$893-500)))=0,"",INDEX('My equipment'!$X$4:$X$503,(_calc!$E$893-500)))))</f>
        <v/>
      </c>
      <c r="K891" s="54">
        <f>IF(_calc!$E$893="","",IF(_calc!$E$893&lt;=500,"",IF(LEN(INDEX('My equipment'!$T$4:$T$503,(_calc!$E$893-500)))=0,"",INDEX('My equipment'!$T$4:$T$503,(_calc!$E$893-500)))))</f>
        <v/>
      </c>
    </row>
    <row r="892">
      <c r="A892" s="54">
        <f>IF(_calc!$E$894="","",IF(_calc!$E$894&lt;=500,"Warranty – "&amp;IF(LEN(INDEX('Dealer pipeline'!$C$4:$C$503,_calc!$E$894))=0,"",INDEX('Dealer pipeline'!$C$4:$C$503,_calc!$E$894))&amp;" – "&amp;IF(LEN(INDEX('Dealer pipeline'!$D$4:$D$503,_calc!$E$894))=0,"",INDEX('Dealer pipeline'!$D$4:$D$503,_calc!$E$894))&amp;" – "&amp;IF(LEN(INDEX('Dealer pipeline'!$A$4:$A$503,_calc!$E$894))=0,"",INDEX('Dealer pipeline'!$A$4:$A$503,_calc!$E$894)),"Warranty – "&amp;IF(LEN(INDEX('My equipment'!$A$4:$A$503,(_calc!$E$894-500)))=0,"",INDEX('My equipment'!$A$4:$A$503,(_calc!$E$894-500)))&amp;" – "&amp;IF(LEN(INDEX('My equipment'!$D$4:$D$503,(_calc!$E$894-500)))=0,"",INDEX('My equipment'!$D$4:$D$503,(_calc!$E$894-500)))))</f>
        <v/>
      </c>
      <c r="B892" s="54">
        <f>IF(_calc!$E$894="","",IF(_calc!$E$894&lt;=500,IF(ISNUMBER(INDEX('Dealer pipeline'!$M$4:$M$503,_calc!$E$894)),TEXT(INDEX('Dealer pipeline'!$M$4:$M$503,_calc!$E$894),"yyyy-mm-dd"),""),IF(ISNUMBER(INDEX('My equipment'!$M$4:$M$503,(_calc!$E$894-500))),TEXT(INDEX('My equipment'!$M$4:$M$503,(_calc!$E$894-500)),"yyyy-mm-dd"),"")))</f>
        <v/>
      </c>
      <c r="C892" s="54">
        <f>IF(_calc!$E$894="","",IF(_calc!$E$894&lt;=500,"Warranty","Warranty"))</f>
        <v/>
      </c>
      <c r="D892" s="54">
        <f>IF(_calc!$E$894="","",IF(_calc!$E$894&lt;=500,IF(ISNUMBER(INDEX('Dealer pipeline'!$H$4:$H$503,_calc!$E$894)),TEXT(INDEX('Dealer pipeline'!$H$4:$H$503,_calc!$E$894),"yyyy-mm-dd"),""),IF(ISNUMBER(INDEX('My equipment'!$H$4:$H$503,(_calc!$E$894-500))),TEXT(INDEX('My equipment'!$H$4:$H$503,(_calc!$E$894-500)),"yyyy-mm-dd"),"")))</f>
        <v/>
      </c>
      <c r="F892" s="54">
        <f>IF(_calc!$E$894="","",IF(_calc!$E$894&lt;=500,TRIM(IF(LEN(IF(LEN(INDEX('Dealer pipeline'!$A$4:$A$503,_calc!$E$894))=0,"",INDEX('Dealer pipeline'!$A$4:$A$503,_calc!$E$894)))=0,"","Customer: "&amp;IF(LEN(INDEX('Dealer pipeline'!$A$4:$A$503,_calc!$E$894))=0,"",INDEX('Dealer pipeline'!$A$4:$A$503,_calc!$E$894))&amp;". ")&amp;IF(LEN(IF(LEN(INDEX('Dealer pipeline'!$B$4:$B$503,_calc!$E$894))=0,"",INDEX('Dealer pipeline'!$B$4:$B$503,_calc!$E$894)))=0,"","Contact: "&amp;IF(LEN(INDEX('Dealer pipeline'!$B$4:$B$503,_calc!$E$894))=0,"",INDEX('Dealer pipeline'!$B$4:$B$503,_calc!$E$894))&amp;". ")&amp;IF(LEN(IF(LEN(INDEX('Dealer pipeline'!$D$4:$D$503,_calc!$E$894))=0,"",INDEX('Dealer pipeline'!$D$4:$D$503,_calc!$E$894)))=0,"","Serial: "&amp;IF(LEN(INDEX('Dealer pipeline'!$D$4:$D$503,_calc!$E$894))=0,"",INDEX('Dealer pipeline'!$D$4:$D$503,_calc!$E$894))&amp;". ")&amp;IF(LEN(IF(ISNUMBER(INDEX('Dealer pipeline'!$J$4:$J$503,_calc!$E$894)),TEXT(INDEX('Dealer pipeline'!$J$4:$J$503,_calc!$E$894),"yyyy-mm-dd"),""))=0,"","Parts end: "&amp;IF(ISNUMBER(INDEX('Dealer pipeline'!$J$4:$J$503,_calc!$E$894)),TEXT(INDEX('Dealer pipeline'!$J$4:$J$503,_calc!$E$894),"yyyy-mm-dd"),"")&amp;". ")&amp;IF(LEN(IF(ISNUMBER(INDEX('Dealer pipeline'!$L$4:$L$503,_calc!$E$894)),TEXT(INDEX('Dealer pipeline'!$L$4:$L$503,_calc!$E$894),"yyyy-mm-dd"),""))=0,"","Labor end: "&amp;IF(ISNUMBER(INDEX('Dealer pipeline'!$L$4:$L$503,_calc!$E$894)),TEXT(INDEX('Dealer pipeline'!$L$4:$L$503,_calc!$E$894),"yyyy-mm-dd"),"")&amp;". ")&amp;IF(LEN(IF(LEN(INDEX('Dealer pipeline'!$Q$4:$Q$503,_calc!$E$894))=0,"",INDEX('Dealer pipeline'!$Q$4:$Q$503,_calc!$E$894)))=0,"","Status: "&amp;IF(LEN(INDEX('Dealer pipeline'!$Q$4:$Q$503,_calc!$E$894))=0,"",INDEX('Dealer pipeline'!$Q$4:$Q$503,_calc!$E$894))&amp;". ")&amp;IF(LEN(IF(LEN(INDEX('Dealer pipeline'!$P$4:$P$503,_calc!$E$894))=0,"",INDEX('Dealer pipeline'!$P$4:$P$503,_calc!$E$894)))=0,"","Last touch: "&amp;IF(LEN(INDEX('Dealer pipeline'!$P$4:$P$503,_calc!$E$894))=0,"",INDEX('Dealer pipeline'!$P$4:$P$503,_calc!$E$894))&amp;". ")&amp;IF(LEN(IF(LEN(INDEX('Dealer pipeline'!$R$4:$R$503,_calc!$E$894))=0,"",INDEX('Dealer pipeline'!$R$4:$R$503,_calc!$E$894)))=0,"","Owner: "&amp;IF(LEN(INDEX('Dealer pipeline'!$R$4:$R$503,_calc!$E$894))=0,"",INDEX('Dealer pipeline'!$R$4:$R$503,_calc!$E$894))&amp;". ")&amp;IF(LEN(IF(LEN(INDEX('Dealer pipeline'!$S$4:$S$503,_calc!$E$894))=0,"",INDEX('Dealer pipeline'!$S$4:$S$503,_calc!$E$894)))=0,"","Backup: "&amp;IF(LEN(INDEX('Dealer pipeline'!$S$4:$S$503,_calc!$E$894))=0,"",INDEX('Dealer pipeline'!$S$4:$S$503,_calc!$E$894))&amp;". ")&amp;IF(LEN(IF(LEN(INDEX('Dealer pipeline'!$T$4:$T$503,_calc!$E$894))=0,"",INDEX('Dealer pipeline'!$T$4:$T$503,_calc!$E$894)))=0,"",IF(LEN(INDEX('Dealer pipeline'!$T$4:$T$503,_calc!$E$894))=0,"",INDEX('Dealer pipeline'!$T$4:$T$503,_calc!$E$894)))),TRIM(IF(LEN(IF(LEN(INDEX('My equipment'!$C$4:$C$503,(_calc!$E$894-500)))=0,"",INDEX('My equipment'!$C$4:$C$503,(_calc!$E$894-500))))=0,"","Model: "&amp;IF(LEN(INDEX('My equipment'!$C$4:$C$503,(_calc!$E$894-500)))=0,"",INDEX('My equipment'!$C$4:$C$503,(_calc!$E$894-500)))&amp;". ")&amp;IF(LEN(IF(LEN(INDEX('My equipment'!$D$4:$D$503,(_calc!$E$894-500)))=0,"",INDEX('My equipment'!$D$4:$D$503,(_calc!$E$894-500))))=0,"","Serial: "&amp;IF(LEN(INDEX('My equipment'!$D$4:$D$503,(_calc!$E$894-500)))=0,"",INDEX('My equipment'!$D$4:$D$503,(_calc!$E$894-500)))&amp;". ")&amp;IF(LEN(IF(ISNUMBER(INDEX('My equipment'!$J$4:$J$503,(_calc!$E$894-500))),TEXT(INDEX('My equipment'!$J$4:$J$503,(_calc!$E$894-500)),"yyyy-mm-dd"),""))=0,"","Parts end: "&amp;IF(ISNUMBER(INDEX('My equipment'!$J$4:$J$503,(_calc!$E$894-500))),TEXT(INDEX('My equipment'!$J$4:$J$503,(_calc!$E$894-500)),"yyyy-mm-dd"),"")&amp;". ")&amp;IF(LEN(IF(ISNUMBER(INDEX('My equipment'!$L$4:$L$503,(_calc!$E$894-500))),TEXT(INDEX('My equipment'!$L$4:$L$503,(_calc!$E$894-500)),"yyyy-mm-dd"),""))=0,"","Labor end: "&amp;IF(ISNUMBER(INDEX('My equipment'!$L$4:$L$503,(_calc!$E$894-500))),TEXT(INDEX('My equipment'!$L$4:$L$503,(_calc!$E$894-500)),"yyyy-mm-dd"),"")&amp;". ")&amp;IF(LEN(IF(ISNUMBER(INDEX('My equipment'!$P$4:$P$503,(_calc!$E$894-500))),TEXT(INDEX('My equipment'!$P$4:$P$503,(_calc!$E$894-500)),"yyyy-mm-dd"),""))=0,"","Check by: "&amp;IF(ISNUMBER(INDEX('My equipment'!$P$4:$P$503,(_calc!$E$894-500))),TEXT(INDEX('My equipment'!$P$4:$P$503,(_calc!$E$894-500)),"yyyy-mm-dd"),"")&amp;". ")&amp;IF(LEN(IF(LEN(INDEX('My equipment'!$Q$4:$Q$503,(_calc!$E$894-500)))=0,"",INDEX('My equipment'!$Q$4:$Q$503,(_calc!$E$894-500))))=0,"","Claim status: "&amp;IF(LEN(INDEX('My equipment'!$Q$4:$Q$503,(_calc!$E$894-500)))=0,"",INDEX('My equipment'!$Q$4:$Q$503,(_calc!$E$894-500)))&amp;". ")&amp;IF(LEN(IF(LEN(INDEX('My equipment'!$R$4:$R$503,(_calc!$E$894-500)))=0,"",INDEX('My equipment'!$R$4:$R$503,(_calc!$E$894-500))))=0,"","Claims contact: "&amp;IF(LEN(INDEX('My equipment'!$R$4:$R$503,(_calc!$E$894-500)))=0,"",INDEX('My equipment'!$R$4:$R$503,(_calc!$E$894-500)))&amp;". ")&amp;IF(LEN(IF(LEN(INDEX('My equipment'!$S$4:$S$503,(_calc!$E$894-500)))=0,"",INDEX('My equipment'!$S$4:$S$503,(_calc!$E$894-500))))=0,"","Claims email: "&amp;IF(LEN(INDEX('My equipment'!$S$4:$S$503,(_calc!$E$894-500)))=0,"",INDEX('My equipment'!$S$4:$S$503,(_calc!$E$894-500)))&amp;". ")&amp;IF(LEN(IF(LEN(INDEX('My equipment'!$U$4:$U$503,(_calc!$E$894-500)))=0,"",INDEX('My equipment'!$U$4:$U$503,(_calc!$E$894-500))))=0,"","Registered: "&amp;IF(LEN(INDEX('My equipment'!$U$4:$U$503,(_calc!$E$894-500)))=0,"",INDEX('My equipment'!$U$4:$U$503,(_calc!$E$894-500)))&amp;". ")&amp;IF(LEN(IF(LEN(INDEX('My equipment'!$V$4:$V$503,(_calc!$E$894-500)))=0,"",INDEX('My equipment'!$V$4:$V$503,(_calc!$E$894-500))))=0,"","Proof on file: "&amp;IF(LEN(INDEX('My equipment'!$V$4:$V$503,(_calc!$E$894-500)))=0,"",INDEX('My equipment'!$V$4:$V$503,(_calc!$E$894-500)))&amp;". ")&amp;IF(LEN(IF(LEN(INDEX('My equipment'!$W$4:$W$503,(_calc!$E$894-500)))=0,"",INDEX('My equipment'!$W$4:$W$503,(_calc!$E$894-500))))=0,"","Claim ref: "&amp;IF(LEN(INDEX('My equipment'!$W$4:$W$503,(_calc!$E$894-500)))=0,"",INDEX('My equipment'!$W$4:$W$503,(_calc!$E$894-500)))&amp;". ")&amp;IF(LEN(IF(LEN(INDEX('My equipment'!$Y$4:$Y$503,(_calc!$E$894-500)))=0,"",INDEX('My equipment'!$Y$4:$Y$503,(_calc!$E$894-500))))=0,"",IF(LEN(INDEX('My equipment'!$Y$4:$Y$503,(_calc!$E$894-500)))=0,"",INDEX('My equipment'!$Y$4:$Y$503,(_calc!$E$894-500)))))))</f>
        <v/>
      </c>
      <c r="G892" s="54">
        <f>IF(_calc!$E$894="","",IF(_calc!$E$894&lt;=500,"",IF(LEN(INDEX('My equipment'!$X$4:$X$503,(_calc!$E$894-500)))=0,"",INDEX('My equipment'!$X$4:$X$503,(_calc!$E$894-500)))))</f>
        <v/>
      </c>
      <c r="K892" s="54">
        <f>IF(_calc!$E$894="","",IF(_calc!$E$894&lt;=500,"",IF(LEN(INDEX('My equipment'!$T$4:$T$503,(_calc!$E$894-500)))=0,"",INDEX('My equipment'!$T$4:$T$503,(_calc!$E$894-500)))))</f>
        <v/>
      </c>
    </row>
    <row r="893">
      <c r="A893" s="54">
        <f>IF(_calc!$E$895="","",IF(_calc!$E$895&lt;=500,"Warranty – "&amp;IF(LEN(INDEX('Dealer pipeline'!$C$4:$C$503,_calc!$E$895))=0,"",INDEX('Dealer pipeline'!$C$4:$C$503,_calc!$E$895))&amp;" – "&amp;IF(LEN(INDEX('Dealer pipeline'!$D$4:$D$503,_calc!$E$895))=0,"",INDEX('Dealer pipeline'!$D$4:$D$503,_calc!$E$895))&amp;" – "&amp;IF(LEN(INDEX('Dealer pipeline'!$A$4:$A$503,_calc!$E$895))=0,"",INDEX('Dealer pipeline'!$A$4:$A$503,_calc!$E$895)),"Warranty – "&amp;IF(LEN(INDEX('My equipment'!$A$4:$A$503,(_calc!$E$895-500)))=0,"",INDEX('My equipment'!$A$4:$A$503,(_calc!$E$895-500)))&amp;" – "&amp;IF(LEN(INDEX('My equipment'!$D$4:$D$503,(_calc!$E$895-500)))=0,"",INDEX('My equipment'!$D$4:$D$503,(_calc!$E$895-500)))))</f>
        <v/>
      </c>
      <c r="B893" s="54">
        <f>IF(_calc!$E$895="","",IF(_calc!$E$895&lt;=500,IF(ISNUMBER(INDEX('Dealer pipeline'!$M$4:$M$503,_calc!$E$895)),TEXT(INDEX('Dealer pipeline'!$M$4:$M$503,_calc!$E$895),"yyyy-mm-dd"),""),IF(ISNUMBER(INDEX('My equipment'!$M$4:$M$503,(_calc!$E$895-500))),TEXT(INDEX('My equipment'!$M$4:$M$503,(_calc!$E$895-500)),"yyyy-mm-dd"),"")))</f>
        <v/>
      </c>
      <c r="C893" s="54">
        <f>IF(_calc!$E$895="","",IF(_calc!$E$895&lt;=500,"Warranty","Warranty"))</f>
        <v/>
      </c>
      <c r="D893" s="54">
        <f>IF(_calc!$E$895="","",IF(_calc!$E$895&lt;=500,IF(ISNUMBER(INDEX('Dealer pipeline'!$H$4:$H$503,_calc!$E$895)),TEXT(INDEX('Dealer pipeline'!$H$4:$H$503,_calc!$E$895),"yyyy-mm-dd"),""),IF(ISNUMBER(INDEX('My equipment'!$H$4:$H$503,(_calc!$E$895-500))),TEXT(INDEX('My equipment'!$H$4:$H$503,(_calc!$E$895-500)),"yyyy-mm-dd"),"")))</f>
        <v/>
      </c>
      <c r="F893" s="54">
        <f>IF(_calc!$E$895="","",IF(_calc!$E$895&lt;=500,TRIM(IF(LEN(IF(LEN(INDEX('Dealer pipeline'!$A$4:$A$503,_calc!$E$895))=0,"",INDEX('Dealer pipeline'!$A$4:$A$503,_calc!$E$895)))=0,"","Customer: "&amp;IF(LEN(INDEX('Dealer pipeline'!$A$4:$A$503,_calc!$E$895))=0,"",INDEX('Dealer pipeline'!$A$4:$A$503,_calc!$E$895))&amp;". ")&amp;IF(LEN(IF(LEN(INDEX('Dealer pipeline'!$B$4:$B$503,_calc!$E$895))=0,"",INDEX('Dealer pipeline'!$B$4:$B$503,_calc!$E$895)))=0,"","Contact: "&amp;IF(LEN(INDEX('Dealer pipeline'!$B$4:$B$503,_calc!$E$895))=0,"",INDEX('Dealer pipeline'!$B$4:$B$503,_calc!$E$895))&amp;". ")&amp;IF(LEN(IF(LEN(INDEX('Dealer pipeline'!$D$4:$D$503,_calc!$E$895))=0,"",INDEX('Dealer pipeline'!$D$4:$D$503,_calc!$E$895)))=0,"","Serial: "&amp;IF(LEN(INDEX('Dealer pipeline'!$D$4:$D$503,_calc!$E$895))=0,"",INDEX('Dealer pipeline'!$D$4:$D$503,_calc!$E$895))&amp;". ")&amp;IF(LEN(IF(ISNUMBER(INDEX('Dealer pipeline'!$J$4:$J$503,_calc!$E$895)),TEXT(INDEX('Dealer pipeline'!$J$4:$J$503,_calc!$E$895),"yyyy-mm-dd"),""))=0,"","Parts end: "&amp;IF(ISNUMBER(INDEX('Dealer pipeline'!$J$4:$J$503,_calc!$E$895)),TEXT(INDEX('Dealer pipeline'!$J$4:$J$503,_calc!$E$895),"yyyy-mm-dd"),"")&amp;". ")&amp;IF(LEN(IF(ISNUMBER(INDEX('Dealer pipeline'!$L$4:$L$503,_calc!$E$895)),TEXT(INDEX('Dealer pipeline'!$L$4:$L$503,_calc!$E$895),"yyyy-mm-dd"),""))=0,"","Labor end: "&amp;IF(ISNUMBER(INDEX('Dealer pipeline'!$L$4:$L$503,_calc!$E$895)),TEXT(INDEX('Dealer pipeline'!$L$4:$L$503,_calc!$E$895),"yyyy-mm-dd"),"")&amp;". ")&amp;IF(LEN(IF(LEN(INDEX('Dealer pipeline'!$Q$4:$Q$503,_calc!$E$895))=0,"",INDEX('Dealer pipeline'!$Q$4:$Q$503,_calc!$E$895)))=0,"","Status: "&amp;IF(LEN(INDEX('Dealer pipeline'!$Q$4:$Q$503,_calc!$E$895))=0,"",INDEX('Dealer pipeline'!$Q$4:$Q$503,_calc!$E$895))&amp;". ")&amp;IF(LEN(IF(LEN(INDEX('Dealer pipeline'!$P$4:$P$503,_calc!$E$895))=0,"",INDEX('Dealer pipeline'!$P$4:$P$503,_calc!$E$895)))=0,"","Last touch: "&amp;IF(LEN(INDEX('Dealer pipeline'!$P$4:$P$503,_calc!$E$895))=0,"",INDEX('Dealer pipeline'!$P$4:$P$503,_calc!$E$895))&amp;". ")&amp;IF(LEN(IF(LEN(INDEX('Dealer pipeline'!$R$4:$R$503,_calc!$E$895))=0,"",INDEX('Dealer pipeline'!$R$4:$R$503,_calc!$E$895)))=0,"","Owner: "&amp;IF(LEN(INDEX('Dealer pipeline'!$R$4:$R$503,_calc!$E$895))=0,"",INDEX('Dealer pipeline'!$R$4:$R$503,_calc!$E$895))&amp;". ")&amp;IF(LEN(IF(LEN(INDEX('Dealer pipeline'!$S$4:$S$503,_calc!$E$895))=0,"",INDEX('Dealer pipeline'!$S$4:$S$503,_calc!$E$895)))=0,"","Backup: "&amp;IF(LEN(INDEX('Dealer pipeline'!$S$4:$S$503,_calc!$E$895))=0,"",INDEX('Dealer pipeline'!$S$4:$S$503,_calc!$E$895))&amp;". ")&amp;IF(LEN(IF(LEN(INDEX('Dealer pipeline'!$T$4:$T$503,_calc!$E$895))=0,"",INDEX('Dealer pipeline'!$T$4:$T$503,_calc!$E$895)))=0,"",IF(LEN(INDEX('Dealer pipeline'!$T$4:$T$503,_calc!$E$895))=0,"",INDEX('Dealer pipeline'!$T$4:$T$503,_calc!$E$895)))),TRIM(IF(LEN(IF(LEN(INDEX('My equipment'!$C$4:$C$503,(_calc!$E$895-500)))=0,"",INDEX('My equipment'!$C$4:$C$503,(_calc!$E$895-500))))=0,"","Model: "&amp;IF(LEN(INDEX('My equipment'!$C$4:$C$503,(_calc!$E$895-500)))=0,"",INDEX('My equipment'!$C$4:$C$503,(_calc!$E$895-500)))&amp;". ")&amp;IF(LEN(IF(LEN(INDEX('My equipment'!$D$4:$D$503,(_calc!$E$895-500)))=0,"",INDEX('My equipment'!$D$4:$D$503,(_calc!$E$895-500))))=0,"","Serial: "&amp;IF(LEN(INDEX('My equipment'!$D$4:$D$503,(_calc!$E$895-500)))=0,"",INDEX('My equipment'!$D$4:$D$503,(_calc!$E$895-500)))&amp;". ")&amp;IF(LEN(IF(ISNUMBER(INDEX('My equipment'!$J$4:$J$503,(_calc!$E$895-500))),TEXT(INDEX('My equipment'!$J$4:$J$503,(_calc!$E$895-500)),"yyyy-mm-dd"),""))=0,"","Parts end: "&amp;IF(ISNUMBER(INDEX('My equipment'!$J$4:$J$503,(_calc!$E$895-500))),TEXT(INDEX('My equipment'!$J$4:$J$503,(_calc!$E$895-500)),"yyyy-mm-dd"),"")&amp;". ")&amp;IF(LEN(IF(ISNUMBER(INDEX('My equipment'!$L$4:$L$503,(_calc!$E$895-500))),TEXT(INDEX('My equipment'!$L$4:$L$503,(_calc!$E$895-500)),"yyyy-mm-dd"),""))=0,"","Labor end: "&amp;IF(ISNUMBER(INDEX('My equipment'!$L$4:$L$503,(_calc!$E$895-500))),TEXT(INDEX('My equipment'!$L$4:$L$503,(_calc!$E$895-500)),"yyyy-mm-dd"),"")&amp;". ")&amp;IF(LEN(IF(ISNUMBER(INDEX('My equipment'!$P$4:$P$503,(_calc!$E$895-500))),TEXT(INDEX('My equipment'!$P$4:$P$503,(_calc!$E$895-500)),"yyyy-mm-dd"),""))=0,"","Check by: "&amp;IF(ISNUMBER(INDEX('My equipment'!$P$4:$P$503,(_calc!$E$895-500))),TEXT(INDEX('My equipment'!$P$4:$P$503,(_calc!$E$895-500)),"yyyy-mm-dd"),"")&amp;". ")&amp;IF(LEN(IF(LEN(INDEX('My equipment'!$Q$4:$Q$503,(_calc!$E$895-500)))=0,"",INDEX('My equipment'!$Q$4:$Q$503,(_calc!$E$895-500))))=0,"","Claim status: "&amp;IF(LEN(INDEX('My equipment'!$Q$4:$Q$503,(_calc!$E$895-500)))=0,"",INDEX('My equipment'!$Q$4:$Q$503,(_calc!$E$895-500)))&amp;". ")&amp;IF(LEN(IF(LEN(INDEX('My equipment'!$R$4:$R$503,(_calc!$E$895-500)))=0,"",INDEX('My equipment'!$R$4:$R$503,(_calc!$E$895-500))))=0,"","Claims contact: "&amp;IF(LEN(INDEX('My equipment'!$R$4:$R$503,(_calc!$E$895-500)))=0,"",INDEX('My equipment'!$R$4:$R$503,(_calc!$E$895-500)))&amp;". ")&amp;IF(LEN(IF(LEN(INDEX('My equipment'!$S$4:$S$503,(_calc!$E$895-500)))=0,"",INDEX('My equipment'!$S$4:$S$503,(_calc!$E$895-500))))=0,"","Claims email: "&amp;IF(LEN(INDEX('My equipment'!$S$4:$S$503,(_calc!$E$895-500)))=0,"",INDEX('My equipment'!$S$4:$S$503,(_calc!$E$895-500)))&amp;". ")&amp;IF(LEN(IF(LEN(INDEX('My equipment'!$U$4:$U$503,(_calc!$E$895-500)))=0,"",INDEX('My equipment'!$U$4:$U$503,(_calc!$E$895-500))))=0,"","Registered: "&amp;IF(LEN(INDEX('My equipment'!$U$4:$U$503,(_calc!$E$895-500)))=0,"",INDEX('My equipment'!$U$4:$U$503,(_calc!$E$895-500)))&amp;". ")&amp;IF(LEN(IF(LEN(INDEX('My equipment'!$V$4:$V$503,(_calc!$E$895-500)))=0,"",INDEX('My equipment'!$V$4:$V$503,(_calc!$E$895-500))))=0,"","Proof on file: "&amp;IF(LEN(INDEX('My equipment'!$V$4:$V$503,(_calc!$E$895-500)))=0,"",INDEX('My equipment'!$V$4:$V$503,(_calc!$E$895-500)))&amp;". ")&amp;IF(LEN(IF(LEN(INDEX('My equipment'!$W$4:$W$503,(_calc!$E$895-500)))=0,"",INDEX('My equipment'!$W$4:$W$503,(_calc!$E$895-500))))=0,"","Claim ref: "&amp;IF(LEN(INDEX('My equipment'!$W$4:$W$503,(_calc!$E$895-500)))=0,"",INDEX('My equipment'!$W$4:$W$503,(_calc!$E$895-500)))&amp;". ")&amp;IF(LEN(IF(LEN(INDEX('My equipment'!$Y$4:$Y$503,(_calc!$E$895-500)))=0,"",INDEX('My equipment'!$Y$4:$Y$503,(_calc!$E$895-500))))=0,"",IF(LEN(INDEX('My equipment'!$Y$4:$Y$503,(_calc!$E$895-500)))=0,"",INDEX('My equipment'!$Y$4:$Y$503,(_calc!$E$895-500)))))))</f>
        <v/>
      </c>
      <c r="G893" s="54">
        <f>IF(_calc!$E$895="","",IF(_calc!$E$895&lt;=500,"",IF(LEN(INDEX('My equipment'!$X$4:$X$503,(_calc!$E$895-500)))=0,"",INDEX('My equipment'!$X$4:$X$503,(_calc!$E$895-500)))))</f>
        <v/>
      </c>
      <c r="K893" s="54">
        <f>IF(_calc!$E$895="","",IF(_calc!$E$895&lt;=500,"",IF(LEN(INDEX('My equipment'!$T$4:$T$503,(_calc!$E$895-500)))=0,"",INDEX('My equipment'!$T$4:$T$503,(_calc!$E$895-500)))))</f>
        <v/>
      </c>
    </row>
    <row r="894">
      <c r="A894" s="54">
        <f>IF(_calc!$E$896="","",IF(_calc!$E$896&lt;=500,"Warranty – "&amp;IF(LEN(INDEX('Dealer pipeline'!$C$4:$C$503,_calc!$E$896))=0,"",INDEX('Dealer pipeline'!$C$4:$C$503,_calc!$E$896))&amp;" – "&amp;IF(LEN(INDEX('Dealer pipeline'!$D$4:$D$503,_calc!$E$896))=0,"",INDEX('Dealer pipeline'!$D$4:$D$503,_calc!$E$896))&amp;" – "&amp;IF(LEN(INDEX('Dealer pipeline'!$A$4:$A$503,_calc!$E$896))=0,"",INDEX('Dealer pipeline'!$A$4:$A$503,_calc!$E$896)),"Warranty – "&amp;IF(LEN(INDEX('My equipment'!$A$4:$A$503,(_calc!$E$896-500)))=0,"",INDEX('My equipment'!$A$4:$A$503,(_calc!$E$896-500)))&amp;" – "&amp;IF(LEN(INDEX('My equipment'!$D$4:$D$503,(_calc!$E$896-500)))=0,"",INDEX('My equipment'!$D$4:$D$503,(_calc!$E$896-500)))))</f>
        <v/>
      </c>
      <c r="B894" s="54">
        <f>IF(_calc!$E$896="","",IF(_calc!$E$896&lt;=500,IF(ISNUMBER(INDEX('Dealer pipeline'!$M$4:$M$503,_calc!$E$896)),TEXT(INDEX('Dealer pipeline'!$M$4:$M$503,_calc!$E$896),"yyyy-mm-dd"),""),IF(ISNUMBER(INDEX('My equipment'!$M$4:$M$503,(_calc!$E$896-500))),TEXT(INDEX('My equipment'!$M$4:$M$503,(_calc!$E$896-500)),"yyyy-mm-dd"),"")))</f>
        <v/>
      </c>
      <c r="C894" s="54">
        <f>IF(_calc!$E$896="","",IF(_calc!$E$896&lt;=500,"Warranty","Warranty"))</f>
        <v/>
      </c>
      <c r="D894" s="54">
        <f>IF(_calc!$E$896="","",IF(_calc!$E$896&lt;=500,IF(ISNUMBER(INDEX('Dealer pipeline'!$H$4:$H$503,_calc!$E$896)),TEXT(INDEX('Dealer pipeline'!$H$4:$H$503,_calc!$E$896),"yyyy-mm-dd"),""),IF(ISNUMBER(INDEX('My equipment'!$H$4:$H$503,(_calc!$E$896-500))),TEXT(INDEX('My equipment'!$H$4:$H$503,(_calc!$E$896-500)),"yyyy-mm-dd"),"")))</f>
        <v/>
      </c>
      <c r="F894" s="54">
        <f>IF(_calc!$E$896="","",IF(_calc!$E$896&lt;=500,TRIM(IF(LEN(IF(LEN(INDEX('Dealer pipeline'!$A$4:$A$503,_calc!$E$896))=0,"",INDEX('Dealer pipeline'!$A$4:$A$503,_calc!$E$896)))=0,"","Customer: "&amp;IF(LEN(INDEX('Dealer pipeline'!$A$4:$A$503,_calc!$E$896))=0,"",INDEX('Dealer pipeline'!$A$4:$A$503,_calc!$E$896))&amp;". ")&amp;IF(LEN(IF(LEN(INDEX('Dealer pipeline'!$B$4:$B$503,_calc!$E$896))=0,"",INDEX('Dealer pipeline'!$B$4:$B$503,_calc!$E$896)))=0,"","Contact: "&amp;IF(LEN(INDEX('Dealer pipeline'!$B$4:$B$503,_calc!$E$896))=0,"",INDEX('Dealer pipeline'!$B$4:$B$503,_calc!$E$896))&amp;". ")&amp;IF(LEN(IF(LEN(INDEX('Dealer pipeline'!$D$4:$D$503,_calc!$E$896))=0,"",INDEX('Dealer pipeline'!$D$4:$D$503,_calc!$E$896)))=0,"","Serial: "&amp;IF(LEN(INDEX('Dealer pipeline'!$D$4:$D$503,_calc!$E$896))=0,"",INDEX('Dealer pipeline'!$D$4:$D$503,_calc!$E$896))&amp;". ")&amp;IF(LEN(IF(ISNUMBER(INDEX('Dealer pipeline'!$J$4:$J$503,_calc!$E$896)),TEXT(INDEX('Dealer pipeline'!$J$4:$J$503,_calc!$E$896),"yyyy-mm-dd"),""))=0,"","Parts end: "&amp;IF(ISNUMBER(INDEX('Dealer pipeline'!$J$4:$J$503,_calc!$E$896)),TEXT(INDEX('Dealer pipeline'!$J$4:$J$503,_calc!$E$896),"yyyy-mm-dd"),"")&amp;". ")&amp;IF(LEN(IF(ISNUMBER(INDEX('Dealer pipeline'!$L$4:$L$503,_calc!$E$896)),TEXT(INDEX('Dealer pipeline'!$L$4:$L$503,_calc!$E$896),"yyyy-mm-dd"),""))=0,"","Labor end: "&amp;IF(ISNUMBER(INDEX('Dealer pipeline'!$L$4:$L$503,_calc!$E$896)),TEXT(INDEX('Dealer pipeline'!$L$4:$L$503,_calc!$E$896),"yyyy-mm-dd"),"")&amp;". ")&amp;IF(LEN(IF(LEN(INDEX('Dealer pipeline'!$Q$4:$Q$503,_calc!$E$896))=0,"",INDEX('Dealer pipeline'!$Q$4:$Q$503,_calc!$E$896)))=0,"","Status: "&amp;IF(LEN(INDEX('Dealer pipeline'!$Q$4:$Q$503,_calc!$E$896))=0,"",INDEX('Dealer pipeline'!$Q$4:$Q$503,_calc!$E$896))&amp;". ")&amp;IF(LEN(IF(LEN(INDEX('Dealer pipeline'!$P$4:$P$503,_calc!$E$896))=0,"",INDEX('Dealer pipeline'!$P$4:$P$503,_calc!$E$896)))=0,"","Last touch: "&amp;IF(LEN(INDEX('Dealer pipeline'!$P$4:$P$503,_calc!$E$896))=0,"",INDEX('Dealer pipeline'!$P$4:$P$503,_calc!$E$896))&amp;". ")&amp;IF(LEN(IF(LEN(INDEX('Dealer pipeline'!$R$4:$R$503,_calc!$E$896))=0,"",INDEX('Dealer pipeline'!$R$4:$R$503,_calc!$E$896)))=0,"","Owner: "&amp;IF(LEN(INDEX('Dealer pipeline'!$R$4:$R$503,_calc!$E$896))=0,"",INDEX('Dealer pipeline'!$R$4:$R$503,_calc!$E$896))&amp;". ")&amp;IF(LEN(IF(LEN(INDEX('Dealer pipeline'!$S$4:$S$503,_calc!$E$896))=0,"",INDEX('Dealer pipeline'!$S$4:$S$503,_calc!$E$896)))=0,"","Backup: "&amp;IF(LEN(INDEX('Dealer pipeline'!$S$4:$S$503,_calc!$E$896))=0,"",INDEX('Dealer pipeline'!$S$4:$S$503,_calc!$E$896))&amp;". ")&amp;IF(LEN(IF(LEN(INDEX('Dealer pipeline'!$T$4:$T$503,_calc!$E$896))=0,"",INDEX('Dealer pipeline'!$T$4:$T$503,_calc!$E$896)))=0,"",IF(LEN(INDEX('Dealer pipeline'!$T$4:$T$503,_calc!$E$896))=0,"",INDEX('Dealer pipeline'!$T$4:$T$503,_calc!$E$896)))),TRIM(IF(LEN(IF(LEN(INDEX('My equipment'!$C$4:$C$503,(_calc!$E$896-500)))=0,"",INDEX('My equipment'!$C$4:$C$503,(_calc!$E$896-500))))=0,"","Model: "&amp;IF(LEN(INDEX('My equipment'!$C$4:$C$503,(_calc!$E$896-500)))=0,"",INDEX('My equipment'!$C$4:$C$503,(_calc!$E$896-500)))&amp;". ")&amp;IF(LEN(IF(LEN(INDEX('My equipment'!$D$4:$D$503,(_calc!$E$896-500)))=0,"",INDEX('My equipment'!$D$4:$D$503,(_calc!$E$896-500))))=0,"","Serial: "&amp;IF(LEN(INDEX('My equipment'!$D$4:$D$503,(_calc!$E$896-500)))=0,"",INDEX('My equipment'!$D$4:$D$503,(_calc!$E$896-500)))&amp;". ")&amp;IF(LEN(IF(ISNUMBER(INDEX('My equipment'!$J$4:$J$503,(_calc!$E$896-500))),TEXT(INDEX('My equipment'!$J$4:$J$503,(_calc!$E$896-500)),"yyyy-mm-dd"),""))=0,"","Parts end: "&amp;IF(ISNUMBER(INDEX('My equipment'!$J$4:$J$503,(_calc!$E$896-500))),TEXT(INDEX('My equipment'!$J$4:$J$503,(_calc!$E$896-500)),"yyyy-mm-dd"),"")&amp;". ")&amp;IF(LEN(IF(ISNUMBER(INDEX('My equipment'!$L$4:$L$503,(_calc!$E$896-500))),TEXT(INDEX('My equipment'!$L$4:$L$503,(_calc!$E$896-500)),"yyyy-mm-dd"),""))=0,"","Labor end: "&amp;IF(ISNUMBER(INDEX('My equipment'!$L$4:$L$503,(_calc!$E$896-500))),TEXT(INDEX('My equipment'!$L$4:$L$503,(_calc!$E$896-500)),"yyyy-mm-dd"),"")&amp;". ")&amp;IF(LEN(IF(ISNUMBER(INDEX('My equipment'!$P$4:$P$503,(_calc!$E$896-500))),TEXT(INDEX('My equipment'!$P$4:$P$503,(_calc!$E$896-500)),"yyyy-mm-dd"),""))=0,"","Check by: "&amp;IF(ISNUMBER(INDEX('My equipment'!$P$4:$P$503,(_calc!$E$896-500))),TEXT(INDEX('My equipment'!$P$4:$P$503,(_calc!$E$896-500)),"yyyy-mm-dd"),"")&amp;". ")&amp;IF(LEN(IF(LEN(INDEX('My equipment'!$Q$4:$Q$503,(_calc!$E$896-500)))=0,"",INDEX('My equipment'!$Q$4:$Q$503,(_calc!$E$896-500))))=0,"","Claim status: "&amp;IF(LEN(INDEX('My equipment'!$Q$4:$Q$503,(_calc!$E$896-500)))=0,"",INDEX('My equipment'!$Q$4:$Q$503,(_calc!$E$896-500)))&amp;". ")&amp;IF(LEN(IF(LEN(INDEX('My equipment'!$R$4:$R$503,(_calc!$E$896-500)))=0,"",INDEX('My equipment'!$R$4:$R$503,(_calc!$E$896-500))))=0,"","Claims contact: "&amp;IF(LEN(INDEX('My equipment'!$R$4:$R$503,(_calc!$E$896-500)))=0,"",INDEX('My equipment'!$R$4:$R$503,(_calc!$E$896-500)))&amp;". ")&amp;IF(LEN(IF(LEN(INDEX('My equipment'!$S$4:$S$503,(_calc!$E$896-500)))=0,"",INDEX('My equipment'!$S$4:$S$503,(_calc!$E$896-500))))=0,"","Claims email: "&amp;IF(LEN(INDEX('My equipment'!$S$4:$S$503,(_calc!$E$896-500)))=0,"",INDEX('My equipment'!$S$4:$S$503,(_calc!$E$896-500)))&amp;". ")&amp;IF(LEN(IF(LEN(INDEX('My equipment'!$U$4:$U$503,(_calc!$E$896-500)))=0,"",INDEX('My equipment'!$U$4:$U$503,(_calc!$E$896-500))))=0,"","Registered: "&amp;IF(LEN(INDEX('My equipment'!$U$4:$U$503,(_calc!$E$896-500)))=0,"",INDEX('My equipment'!$U$4:$U$503,(_calc!$E$896-500)))&amp;". ")&amp;IF(LEN(IF(LEN(INDEX('My equipment'!$V$4:$V$503,(_calc!$E$896-500)))=0,"",INDEX('My equipment'!$V$4:$V$503,(_calc!$E$896-500))))=0,"","Proof on file: "&amp;IF(LEN(INDEX('My equipment'!$V$4:$V$503,(_calc!$E$896-500)))=0,"",INDEX('My equipment'!$V$4:$V$503,(_calc!$E$896-500)))&amp;". ")&amp;IF(LEN(IF(LEN(INDEX('My equipment'!$W$4:$W$503,(_calc!$E$896-500)))=0,"",INDEX('My equipment'!$W$4:$W$503,(_calc!$E$896-500))))=0,"","Claim ref: "&amp;IF(LEN(INDEX('My equipment'!$W$4:$W$503,(_calc!$E$896-500)))=0,"",INDEX('My equipment'!$W$4:$W$503,(_calc!$E$896-500)))&amp;". ")&amp;IF(LEN(IF(LEN(INDEX('My equipment'!$Y$4:$Y$503,(_calc!$E$896-500)))=0,"",INDEX('My equipment'!$Y$4:$Y$503,(_calc!$E$896-500))))=0,"",IF(LEN(INDEX('My equipment'!$Y$4:$Y$503,(_calc!$E$896-500)))=0,"",INDEX('My equipment'!$Y$4:$Y$503,(_calc!$E$896-500)))))))</f>
        <v/>
      </c>
      <c r="G894" s="54">
        <f>IF(_calc!$E$896="","",IF(_calc!$E$896&lt;=500,"",IF(LEN(INDEX('My equipment'!$X$4:$X$503,(_calc!$E$896-500)))=0,"",INDEX('My equipment'!$X$4:$X$503,(_calc!$E$896-500)))))</f>
        <v/>
      </c>
      <c r="K894" s="54">
        <f>IF(_calc!$E$896="","",IF(_calc!$E$896&lt;=500,"",IF(LEN(INDEX('My equipment'!$T$4:$T$503,(_calc!$E$896-500)))=0,"",INDEX('My equipment'!$T$4:$T$503,(_calc!$E$896-500)))))</f>
        <v/>
      </c>
    </row>
    <row r="895">
      <c r="A895" s="54">
        <f>IF(_calc!$E$897="","",IF(_calc!$E$897&lt;=500,"Warranty – "&amp;IF(LEN(INDEX('Dealer pipeline'!$C$4:$C$503,_calc!$E$897))=0,"",INDEX('Dealer pipeline'!$C$4:$C$503,_calc!$E$897))&amp;" – "&amp;IF(LEN(INDEX('Dealer pipeline'!$D$4:$D$503,_calc!$E$897))=0,"",INDEX('Dealer pipeline'!$D$4:$D$503,_calc!$E$897))&amp;" – "&amp;IF(LEN(INDEX('Dealer pipeline'!$A$4:$A$503,_calc!$E$897))=0,"",INDEX('Dealer pipeline'!$A$4:$A$503,_calc!$E$897)),"Warranty – "&amp;IF(LEN(INDEX('My equipment'!$A$4:$A$503,(_calc!$E$897-500)))=0,"",INDEX('My equipment'!$A$4:$A$503,(_calc!$E$897-500)))&amp;" – "&amp;IF(LEN(INDEX('My equipment'!$D$4:$D$503,(_calc!$E$897-500)))=0,"",INDEX('My equipment'!$D$4:$D$503,(_calc!$E$897-500)))))</f>
        <v/>
      </c>
      <c r="B895" s="54">
        <f>IF(_calc!$E$897="","",IF(_calc!$E$897&lt;=500,IF(ISNUMBER(INDEX('Dealer pipeline'!$M$4:$M$503,_calc!$E$897)),TEXT(INDEX('Dealer pipeline'!$M$4:$M$503,_calc!$E$897),"yyyy-mm-dd"),""),IF(ISNUMBER(INDEX('My equipment'!$M$4:$M$503,(_calc!$E$897-500))),TEXT(INDEX('My equipment'!$M$4:$M$503,(_calc!$E$897-500)),"yyyy-mm-dd"),"")))</f>
        <v/>
      </c>
      <c r="C895" s="54">
        <f>IF(_calc!$E$897="","",IF(_calc!$E$897&lt;=500,"Warranty","Warranty"))</f>
        <v/>
      </c>
      <c r="D895" s="54">
        <f>IF(_calc!$E$897="","",IF(_calc!$E$897&lt;=500,IF(ISNUMBER(INDEX('Dealer pipeline'!$H$4:$H$503,_calc!$E$897)),TEXT(INDEX('Dealer pipeline'!$H$4:$H$503,_calc!$E$897),"yyyy-mm-dd"),""),IF(ISNUMBER(INDEX('My equipment'!$H$4:$H$503,(_calc!$E$897-500))),TEXT(INDEX('My equipment'!$H$4:$H$503,(_calc!$E$897-500)),"yyyy-mm-dd"),"")))</f>
        <v/>
      </c>
      <c r="F895" s="54">
        <f>IF(_calc!$E$897="","",IF(_calc!$E$897&lt;=500,TRIM(IF(LEN(IF(LEN(INDEX('Dealer pipeline'!$A$4:$A$503,_calc!$E$897))=0,"",INDEX('Dealer pipeline'!$A$4:$A$503,_calc!$E$897)))=0,"","Customer: "&amp;IF(LEN(INDEX('Dealer pipeline'!$A$4:$A$503,_calc!$E$897))=0,"",INDEX('Dealer pipeline'!$A$4:$A$503,_calc!$E$897))&amp;". ")&amp;IF(LEN(IF(LEN(INDEX('Dealer pipeline'!$B$4:$B$503,_calc!$E$897))=0,"",INDEX('Dealer pipeline'!$B$4:$B$503,_calc!$E$897)))=0,"","Contact: "&amp;IF(LEN(INDEX('Dealer pipeline'!$B$4:$B$503,_calc!$E$897))=0,"",INDEX('Dealer pipeline'!$B$4:$B$503,_calc!$E$897))&amp;". ")&amp;IF(LEN(IF(LEN(INDEX('Dealer pipeline'!$D$4:$D$503,_calc!$E$897))=0,"",INDEX('Dealer pipeline'!$D$4:$D$503,_calc!$E$897)))=0,"","Serial: "&amp;IF(LEN(INDEX('Dealer pipeline'!$D$4:$D$503,_calc!$E$897))=0,"",INDEX('Dealer pipeline'!$D$4:$D$503,_calc!$E$897))&amp;". ")&amp;IF(LEN(IF(ISNUMBER(INDEX('Dealer pipeline'!$J$4:$J$503,_calc!$E$897)),TEXT(INDEX('Dealer pipeline'!$J$4:$J$503,_calc!$E$897),"yyyy-mm-dd"),""))=0,"","Parts end: "&amp;IF(ISNUMBER(INDEX('Dealer pipeline'!$J$4:$J$503,_calc!$E$897)),TEXT(INDEX('Dealer pipeline'!$J$4:$J$503,_calc!$E$897),"yyyy-mm-dd"),"")&amp;". ")&amp;IF(LEN(IF(ISNUMBER(INDEX('Dealer pipeline'!$L$4:$L$503,_calc!$E$897)),TEXT(INDEX('Dealer pipeline'!$L$4:$L$503,_calc!$E$897),"yyyy-mm-dd"),""))=0,"","Labor end: "&amp;IF(ISNUMBER(INDEX('Dealer pipeline'!$L$4:$L$503,_calc!$E$897)),TEXT(INDEX('Dealer pipeline'!$L$4:$L$503,_calc!$E$897),"yyyy-mm-dd"),"")&amp;". ")&amp;IF(LEN(IF(LEN(INDEX('Dealer pipeline'!$Q$4:$Q$503,_calc!$E$897))=0,"",INDEX('Dealer pipeline'!$Q$4:$Q$503,_calc!$E$897)))=0,"","Status: "&amp;IF(LEN(INDEX('Dealer pipeline'!$Q$4:$Q$503,_calc!$E$897))=0,"",INDEX('Dealer pipeline'!$Q$4:$Q$503,_calc!$E$897))&amp;". ")&amp;IF(LEN(IF(LEN(INDEX('Dealer pipeline'!$P$4:$P$503,_calc!$E$897))=0,"",INDEX('Dealer pipeline'!$P$4:$P$503,_calc!$E$897)))=0,"","Last touch: "&amp;IF(LEN(INDEX('Dealer pipeline'!$P$4:$P$503,_calc!$E$897))=0,"",INDEX('Dealer pipeline'!$P$4:$P$503,_calc!$E$897))&amp;". ")&amp;IF(LEN(IF(LEN(INDEX('Dealer pipeline'!$R$4:$R$503,_calc!$E$897))=0,"",INDEX('Dealer pipeline'!$R$4:$R$503,_calc!$E$897)))=0,"","Owner: "&amp;IF(LEN(INDEX('Dealer pipeline'!$R$4:$R$503,_calc!$E$897))=0,"",INDEX('Dealer pipeline'!$R$4:$R$503,_calc!$E$897))&amp;". ")&amp;IF(LEN(IF(LEN(INDEX('Dealer pipeline'!$S$4:$S$503,_calc!$E$897))=0,"",INDEX('Dealer pipeline'!$S$4:$S$503,_calc!$E$897)))=0,"","Backup: "&amp;IF(LEN(INDEX('Dealer pipeline'!$S$4:$S$503,_calc!$E$897))=0,"",INDEX('Dealer pipeline'!$S$4:$S$503,_calc!$E$897))&amp;". ")&amp;IF(LEN(IF(LEN(INDEX('Dealer pipeline'!$T$4:$T$503,_calc!$E$897))=0,"",INDEX('Dealer pipeline'!$T$4:$T$503,_calc!$E$897)))=0,"",IF(LEN(INDEX('Dealer pipeline'!$T$4:$T$503,_calc!$E$897))=0,"",INDEX('Dealer pipeline'!$T$4:$T$503,_calc!$E$897)))),TRIM(IF(LEN(IF(LEN(INDEX('My equipment'!$C$4:$C$503,(_calc!$E$897-500)))=0,"",INDEX('My equipment'!$C$4:$C$503,(_calc!$E$897-500))))=0,"","Model: "&amp;IF(LEN(INDEX('My equipment'!$C$4:$C$503,(_calc!$E$897-500)))=0,"",INDEX('My equipment'!$C$4:$C$503,(_calc!$E$897-500)))&amp;". ")&amp;IF(LEN(IF(LEN(INDEX('My equipment'!$D$4:$D$503,(_calc!$E$897-500)))=0,"",INDEX('My equipment'!$D$4:$D$503,(_calc!$E$897-500))))=0,"","Serial: "&amp;IF(LEN(INDEX('My equipment'!$D$4:$D$503,(_calc!$E$897-500)))=0,"",INDEX('My equipment'!$D$4:$D$503,(_calc!$E$897-500)))&amp;". ")&amp;IF(LEN(IF(ISNUMBER(INDEX('My equipment'!$J$4:$J$503,(_calc!$E$897-500))),TEXT(INDEX('My equipment'!$J$4:$J$503,(_calc!$E$897-500)),"yyyy-mm-dd"),""))=0,"","Parts end: "&amp;IF(ISNUMBER(INDEX('My equipment'!$J$4:$J$503,(_calc!$E$897-500))),TEXT(INDEX('My equipment'!$J$4:$J$503,(_calc!$E$897-500)),"yyyy-mm-dd"),"")&amp;". ")&amp;IF(LEN(IF(ISNUMBER(INDEX('My equipment'!$L$4:$L$503,(_calc!$E$897-500))),TEXT(INDEX('My equipment'!$L$4:$L$503,(_calc!$E$897-500)),"yyyy-mm-dd"),""))=0,"","Labor end: "&amp;IF(ISNUMBER(INDEX('My equipment'!$L$4:$L$503,(_calc!$E$897-500))),TEXT(INDEX('My equipment'!$L$4:$L$503,(_calc!$E$897-500)),"yyyy-mm-dd"),"")&amp;". ")&amp;IF(LEN(IF(ISNUMBER(INDEX('My equipment'!$P$4:$P$503,(_calc!$E$897-500))),TEXT(INDEX('My equipment'!$P$4:$P$503,(_calc!$E$897-500)),"yyyy-mm-dd"),""))=0,"","Check by: "&amp;IF(ISNUMBER(INDEX('My equipment'!$P$4:$P$503,(_calc!$E$897-500))),TEXT(INDEX('My equipment'!$P$4:$P$503,(_calc!$E$897-500)),"yyyy-mm-dd"),"")&amp;". ")&amp;IF(LEN(IF(LEN(INDEX('My equipment'!$Q$4:$Q$503,(_calc!$E$897-500)))=0,"",INDEX('My equipment'!$Q$4:$Q$503,(_calc!$E$897-500))))=0,"","Claim status: "&amp;IF(LEN(INDEX('My equipment'!$Q$4:$Q$503,(_calc!$E$897-500)))=0,"",INDEX('My equipment'!$Q$4:$Q$503,(_calc!$E$897-500)))&amp;". ")&amp;IF(LEN(IF(LEN(INDEX('My equipment'!$R$4:$R$503,(_calc!$E$897-500)))=0,"",INDEX('My equipment'!$R$4:$R$503,(_calc!$E$897-500))))=0,"","Claims contact: "&amp;IF(LEN(INDEX('My equipment'!$R$4:$R$503,(_calc!$E$897-500)))=0,"",INDEX('My equipment'!$R$4:$R$503,(_calc!$E$897-500)))&amp;". ")&amp;IF(LEN(IF(LEN(INDEX('My equipment'!$S$4:$S$503,(_calc!$E$897-500)))=0,"",INDEX('My equipment'!$S$4:$S$503,(_calc!$E$897-500))))=0,"","Claims email: "&amp;IF(LEN(INDEX('My equipment'!$S$4:$S$503,(_calc!$E$897-500)))=0,"",INDEX('My equipment'!$S$4:$S$503,(_calc!$E$897-500)))&amp;". ")&amp;IF(LEN(IF(LEN(INDEX('My equipment'!$U$4:$U$503,(_calc!$E$897-500)))=0,"",INDEX('My equipment'!$U$4:$U$503,(_calc!$E$897-500))))=0,"","Registered: "&amp;IF(LEN(INDEX('My equipment'!$U$4:$U$503,(_calc!$E$897-500)))=0,"",INDEX('My equipment'!$U$4:$U$503,(_calc!$E$897-500)))&amp;". ")&amp;IF(LEN(IF(LEN(INDEX('My equipment'!$V$4:$V$503,(_calc!$E$897-500)))=0,"",INDEX('My equipment'!$V$4:$V$503,(_calc!$E$897-500))))=0,"","Proof on file: "&amp;IF(LEN(INDEX('My equipment'!$V$4:$V$503,(_calc!$E$897-500)))=0,"",INDEX('My equipment'!$V$4:$V$503,(_calc!$E$897-500)))&amp;". ")&amp;IF(LEN(IF(LEN(INDEX('My equipment'!$W$4:$W$503,(_calc!$E$897-500)))=0,"",INDEX('My equipment'!$W$4:$W$503,(_calc!$E$897-500))))=0,"","Claim ref: "&amp;IF(LEN(INDEX('My equipment'!$W$4:$W$503,(_calc!$E$897-500)))=0,"",INDEX('My equipment'!$W$4:$W$503,(_calc!$E$897-500)))&amp;". ")&amp;IF(LEN(IF(LEN(INDEX('My equipment'!$Y$4:$Y$503,(_calc!$E$897-500)))=0,"",INDEX('My equipment'!$Y$4:$Y$503,(_calc!$E$897-500))))=0,"",IF(LEN(INDEX('My equipment'!$Y$4:$Y$503,(_calc!$E$897-500)))=0,"",INDEX('My equipment'!$Y$4:$Y$503,(_calc!$E$897-500)))))))</f>
        <v/>
      </c>
      <c r="G895" s="54">
        <f>IF(_calc!$E$897="","",IF(_calc!$E$897&lt;=500,"",IF(LEN(INDEX('My equipment'!$X$4:$X$503,(_calc!$E$897-500)))=0,"",INDEX('My equipment'!$X$4:$X$503,(_calc!$E$897-500)))))</f>
        <v/>
      </c>
      <c r="K895" s="54">
        <f>IF(_calc!$E$897="","",IF(_calc!$E$897&lt;=500,"",IF(LEN(INDEX('My equipment'!$T$4:$T$503,(_calc!$E$897-500)))=0,"",INDEX('My equipment'!$T$4:$T$503,(_calc!$E$897-500)))))</f>
        <v/>
      </c>
    </row>
    <row r="896">
      <c r="A896" s="54">
        <f>IF(_calc!$E$898="","",IF(_calc!$E$898&lt;=500,"Warranty – "&amp;IF(LEN(INDEX('Dealer pipeline'!$C$4:$C$503,_calc!$E$898))=0,"",INDEX('Dealer pipeline'!$C$4:$C$503,_calc!$E$898))&amp;" – "&amp;IF(LEN(INDEX('Dealer pipeline'!$D$4:$D$503,_calc!$E$898))=0,"",INDEX('Dealer pipeline'!$D$4:$D$503,_calc!$E$898))&amp;" – "&amp;IF(LEN(INDEX('Dealer pipeline'!$A$4:$A$503,_calc!$E$898))=0,"",INDEX('Dealer pipeline'!$A$4:$A$503,_calc!$E$898)),"Warranty – "&amp;IF(LEN(INDEX('My equipment'!$A$4:$A$503,(_calc!$E$898-500)))=0,"",INDEX('My equipment'!$A$4:$A$503,(_calc!$E$898-500)))&amp;" – "&amp;IF(LEN(INDEX('My equipment'!$D$4:$D$503,(_calc!$E$898-500)))=0,"",INDEX('My equipment'!$D$4:$D$503,(_calc!$E$898-500)))))</f>
        <v/>
      </c>
      <c r="B896" s="54">
        <f>IF(_calc!$E$898="","",IF(_calc!$E$898&lt;=500,IF(ISNUMBER(INDEX('Dealer pipeline'!$M$4:$M$503,_calc!$E$898)),TEXT(INDEX('Dealer pipeline'!$M$4:$M$503,_calc!$E$898),"yyyy-mm-dd"),""),IF(ISNUMBER(INDEX('My equipment'!$M$4:$M$503,(_calc!$E$898-500))),TEXT(INDEX('My equipment'!$M$4:$M$503,(_calc!$E$898-500)),"yyyy-mm-dd"),"")))</f>
        <v/>
      </c>
      <c r="C896" s="54">
        <f>IF(_calc!$E$898="","",IF(_calc!$E$898&lt;=500,"Warranty","Warranty"))</f>
        <v/>
      </c>
      <c r="D896" s="54">
        <f>IF(_calc!$E$898="","",IF(_calc!$E$898&lt;=500,IF(ISNUMBER(INDEX('Dealer pipeline'!$H$4:$H$503,_calc!$E$898)),TEXT(INDEX('Dealer pipeline'!$H$4:$H$503,_calc!$E$898),"yyyy-mm-dd"),""),IF(ISNUMBER(INDEX('My equipment'!$H$4:$H$503,(_calc!$E$898-500))),TEXT(INDEX('My equipment'!$H$4:$H$503,(_calc!$E$898-500)),"yyyy-mm-dd"),"")))</f>
        <v/>
      </c>
      <c r="F896" s="54">
        <f>IF(_calc!$E$898="","",IF(_calc!$E$898&lt;=500,TRIM(IF(LEN(IF(LEN(INDEX('Dealer pipeline'!$A$4:$A$503,_calc!$E$898))=0,"",INDEX('Dealer pipeline'!$A$4:$A$503,_calc!$E$898)))=0,"","Customer: "&amp;IF(LEN(INDEX('Dealer pipeline'!$A$4:$A$503,_calc!$E$898))=0,"",INDEX('Dealer pipeline'!$A$4:$A$503,_calc!$E$898))&amp;". ")&amp;IF(LEN(IF(LEN(INDEX('Dealer pipeline'!$B$4:$B$503,_calc!$E$898))=0,"",INDEX('Dealer pipeline'!$B$4:$B$503,_calc!$E$898)))=0,"","Contact: "&amp;IF(LEN(INDEX('Dealer pipeline'!$B$4:$B$503,_calc!$E$898))=0,"",INDEX('Dealer pipeline'!$B$4:$B$503,_calc!$E$898))&amp;". ")&amp;IF(LEN(IF(LEN(INDEX('Dealer pipeline'!$D$4:$D$503,_calc!$E$898))=0,"",INDEX('Dealer pipeline'!$D$4:$D$503,_calc!$E$898)))=0,"","Serial: "&amp;IF(LEN(INDEX('Dealer pipeline'!$D$4:$D$503,_calc!$E$898))=0,"",INDEX('Dealer pipeline'!$D$4:$D$503,_calc!$E$898))&amp;". ")&amp;IF(LEN(IF(ISNUMBER(INDEX('Dealer pipeline'!$J$4:$J$503,_calc!$E$898)),TEXT(INDEX('Dealer pipeline'!$J$4:$J$503,_calc!$E$898),"yyyy-mm-dd"),""))=0,"","Parts end: "&amp;IF(ISNUMBER(INDEX('Dealer pipeline'!$J$4:$J$503,_calc!$E$898)),TEXT(INDEX('Dealer pipeline'!$J$4:$J$503,_calc!$E$898),"yyyy-mm-dd"),"")&amp;". ")&amp;IF(LEN(IF(ISNUMBER(INDEX('Dealer pipeline'!$L$4:$L$503,_calc!$E$898)),TEXT(INDEX('Dealer pipeline'!$L$4:$L$503,_calc!$E$898),"yyyy-mm-dd"),""))=0,"","Labor end: "&amp;IF(ISNUMBER(INDEX('Dealer pipeline'!$L$4:$L$503,_calc!$E$898)),TEXT(INDEX('Dealer pipeline'!$L$4:$L$503,_calc!$E$898),"yyyy-mm-dd"),"")&amp;". ")&amp;IF(LEN(IF(LEN(INDEX('Dealer pipeline'!$Q$4:$Q$503,_calc!$E$898))=0,"",INDEX('Dealer pipeline'!$Q$4:$Q$503,_calc!$E$898)))=0,"","Status: "&amp;IF(LEN(INDEX('Dealer pipeline'!$Q$4:$Q$503,_calc!$E$898))=0,"",INDEX('Dealer pipeline'!$Q$4:$Q$503,_calc!$E$898))&amp;". ")&amp;IF(LEN(IF(LEN(INDEX('Dealer pipeline'!$P$4:$P$503,_calc!$E$898))=0,"",INDEX('Dealer pipeline'!$P$4:$P$503,_calc!$E$898)))=0,"","Last touch: "&amp;IF(LEN(INDEX('Dealer pipeline'!$P$4:$P$503,_calc!$E$898))=0,"",INDEX('Dealer pipeline'!$P$4:$P$503,_calc!$E$898))&amp;". ")&amp;IF(LEN(IF(LEN(INDEX('Dealer pipeline'!$R$4:$R$503,_calc!$E$898))=0,"",INDEX('Dealer pipeline'!$R$4:$R$503,_calc!$E$898)))=0,"","Owner: "&amp;IF(LEN(INDEX('Dealer pipeline'!$R$4:$R$503,_calc!$E$898))=0,"",INDEX('Dealer pipeline'!$R$4:$R$503,_calc!$E$898))&amp;". ")&amp;IF(LEN(IF(LEN(INDEX('Dealer pipeline'!$S$4:$S$503,_calc!$E$898))=0,"",INDEX('Dealer pipeline'!$S$4:$S$503,_calc!$E$898)))=0,"","Backup: "&amp;IF(LEN(INDEX('Dealer pipeline'!$S$4:$S$503,_calc!$E$898))=0,"",INDEX('Dealer pipeline'!$S$4:$S$503,_calc!$E$898))&amp;". ")&amp;IF(LEN(IF(LEN(INDEX('Dealer pipeline'!$T$4:$T$503,_calc!$E$898))=0,"",INDEX('Dealer pipeline'!$T$4:$T$503,_calc!$E$898)))=0,"",IF(LEN(INDEX('Dealer pipeline'!$T$4:$T$503,_calc!$E$898))=0,"",INDEX('Dealer pipeline'!$T$4:$T$503,_calc!$E$898)))),TRIM(IF(LEN(IF(LEN(INDEX('My equipment'!$C$4:$C$503,(_calc!$E$898-500)))=0,"",INDEX('My equipment'!$C$4:$C$503,(_calc!$E$898-500))))=0,"","Model: "&amp;IF(LEN(INDEX('My equipment'!$C$4:$C$503,(_calc!$E$898-500)))=0,"",INDEX('My equipment'!$C$4:$C$503,(_calc!$E$898-500)))&amp;". ")&amp;IF(LEN(IF(LEN(INDEX('My equipment'!$D$4:$D$503,(_calc!$E$898-500)))=0,"",INDEX('My equipment'!$D$4:$D$503,(_calc!$E$898-500))))=0,"","Serial: "&amp;IF(LEN(INDEX('My equipment'!$D$4:$D$503,(_calc!$E$898-500)))=0,"",INDEX('My equipment'!$D$4:$D$503,(_calc!$E$898-500)))&amp;". ")&amp;IF(LEN(IF(ISNUMBER(INDEX('My equipment'!$J$4:$J$503,(_calc!$E$898-500))),TEXT(INDEX('My equipment'!$J$4:$J$503,(_calc!$E$898-500)),"yyyy-mm-dd"),""))=0,"","Parts end: "&amp;IF(ISNUMBER(INDEX('My equipment'!$J$4:$J$503,(_calc!$E$898-500))),TEXT(INDEX('My equipment'!$J$4:$J$503,(_calc!$E$898-500)),"yyyy-mm-dd"),"")&amp;". ")&amp;IF(LEN(IF(ISNUMBER(INDEX('My equipment'!$L$4:$L$503,(_calc!$E$898-500))),TEXT(INDEX('My equipment'!$L$4:$L$503,(_calc!$E$898-500)),"yyyy-mm-dd"),""))=0,"","Labor end: "&amp;IF(ISNUMBER(INDEX('My equipment'!$L$4:$L$503,(_calc!$E$898-500))),TEXT(INDEX('My equipment'!$L$4:$L$503,(_calc!$E$898-500)),"yyyy-mm-dd"),"")&amp;". ")&amp;IF(LEN(IF(ISNUMBER(INDEX('My equipment'!$P$4:$P$503,(_calc!$E$898-500))),TEXT(INDEX('My equipment'!$P$4:$P$503,(_calc!$E$898-500)),"yyyy-mm-dd"),""))=0,"","Check by: "&amp;IF(ISNUMBER(INDEX('My equipment'!$P$4:$P$503,(_calc!$E$898-500))),TEXT(INDEX('My equipment'!$P$4:$P$503,(_calc!$E$898-500)),"yyyy-mm-dd"),"")&amp;". ")&amp;IF(LEN(IF(LEN(INDEX('My equipment'!$Q$4:$Q$503,(_calc!$E$898-500)))=0,"",INDEX('My equipment'!$Q$4:$Q$503,(_calc!$E$898-500))))=0,"","Claim status: "&amp;IF(LEN(INDEX('My equipment'!$Q$4:$Q$503,(_calc!$E$898-500)))=0,"",INDEX('My equipment'!$Q$4:$Q$503,(_calc!$E$898-500)))&amp;". ")&amp;IF(LEN(IF(LEN(INDEX('My equipment'!$R$4:$R$503,(_calc!$E$898-500)))=0,"",INDEX('My equipment'!$R$4:$R$503,(_calc!$E$898-500))))=0,"","Claims contact: "&amp;IF(LEN(INDEX('My equipment'!$R$4:$R$503,(_calc!$E$898-500)))=0,"",INDEX('My equipment'!$R$4:$R$503,(_calc!$E$898-500)))&amp;". ")&amp;IF(LEN(IF(LEN(INDEX('My equipment'!$S$4:$S$503,(_calc!$E$898-500)))=0,"",INDEX('My equipment'!$S$4:$S$503,(_calc!$E$898-500))))=0,"","Claims email: "&amp;IF(LEN(INDEX('My equipment'!$S$4:$S$503,(_calc!$E$898-500)))=0,"",INDEX('My equipment'!$S$4:$S$503,(_calc!$E$898-500)))&amp;". ")&amp;IF(LEN(IF(LEN(INDEX('My equipment'!$U$4:$U$503,(_calc!$E$898-500)))=0,"",INDEX('My equipment'!$U$4:$U$503,(_calc!$E$898-500))))=0,"","Registered: "&amp;IF(LEN(INDEX('My equipment'!$U$4:$U$503,(_calc!$E$898-500)))=0,"",INDEX('My equipment'!$U$4:$U$503,(_calc!$E$898-500)))&amp;". ")&amp;IF(LEN(IF(LEN(INDEX('My equipment'!$V$4:$V$503,(_calc!$E$898-500)))=0,"",INDEX('My equipment'!$V$4:$V$503,(_calc!$E$898-500))))=0,"","Proof on file: "&amp;IF(LEN(INDEX('My equipment'!$V$4:$V$503,(_calc!$E$898-500)))=0,"",INDEX('My equipment'!$V$4:$V$503,(_calc!$E$898-500)))&amp;". ")&amp;IF(LEN(IF(LEN(INDEX('My equipment'!$W$4:$W$503,(_calc!$E$898-500)))=0,"",INDEX('My equipment'!$W$4:$W$503,(_calc!$E$898-500))))=0,"","Claim ref: "&amp;IF(LEN(INDEX('My equipment'!$W$4:$W$503,(_calc!$E$898-500)))=0,"",INDEX('My equipment'!$W$4:$W$503,(_calc!$E$898-500)))&amp;". ")&amp;IF(LEN(IF(LEN(INDEX('My equipment'!$Y$4:$Y$503,(_calc!$E$898-500)))=0,"",INDEX('My equipment'!$Y$4:$Y$503,(_calc!$E$898-500))))=0,"",IF(LEN(INDEX('My equipment'!$Y$4:$Y$503,(_calc!$E$898-500)))=0,"",INDEX('My equipment'!$Y$4:$Y$503,(_calc!$E$898-500)))))))</f>
        <v/>
      </c>
      <c r="G896" s="54">
        <f>IF(_calc!$E$898="","",IF(_calc!$E$898&lt;=500,"",IF(LEN(INDEX('My equipment'!$X$4:$X$503,(_calc!$E$898-500)))=0,"",INDEX('My equipment'!$X$4:$X$503,(_calc!$E$898-500)))))</f>
        <v/>
      </c>
      <c r="K896" s="54">
        <f>IF(_calc!$E$898="","",IF(_calc!$E$898&lt;=500,"",IF(LEN(INDEX('My equipment'!$T$4:$T$503,(_calc!$E$898-500)))=0,"",INDEX('My equipment'!$T$4:$T$503,(_calc!$E$898-500)))))</f>
        <v/>
      </c>
    </row>
    <row r="897">
      <c r="A897" s="54">
        <f>IF(_calc!$E$899="","",IF(_calc!$E$899&lt;=500,"Warranty – "&amp;IF(LEN(INDEX('Dealer pipeline'!$C$4:$C$503,_calc!$E$899))=0,"",INDEX('Dealer pipeline'!$C$4:$C$503,_calc!$E$899))&amp;" – "&amp;IF(LEN(INDEX('Dealer pipeline'!$D$4:$D$503,_calc!$E$899))=0,"",INDEX('Dealer pipeline'!$D$4:$D$503,_calc!$E$899))&amp;" – "&amp;IF(LEN(INDEX('Dealer pipeline'!$A$4:$A$503,_calc!$E$899))=0,"",INDEX('Dealer pipeline'!$A$4:$A$503,_calc!$E$899)),"Warranty – "&amp;IF(LEN(INDEX('My equipment'!$A$4:$A$503,(_calc!$E$899-500)))=0,"",INDEX('My equipment'!$A$4:$A$503,(_calc!$E$899-500)))&amp;" – "&amp;IF(LEN(INDEX('My equipment'!$D$4:$D$503,(_calc!$E$899-500)))=0,"",INDEX('My equipment'!$D$4:$D$503,(_calc!$E$899-500)))))</f>
        <v/>
      </c>
      <c r="B897" s="54">
        <f>IF(_calc!$E$899="","",IF(_calc!$E$899&lt;=500,IF(ISNUMBER(INDEX('Dealer pipeline'!$M$4:$M$503,_calc!$E$899)),TEXT(INDEX('Dealer pipeline'!$M$4:$M$503,_calc!$E$899),"yyyy-mm-dd"),""),IF(ISNUMBER(INDEX('My equipment'!$M$4:$M$503,(_calc!$E$899-500))),TEXT(INDEX('My equipment'!$M$4:$M$503,(_calc!$E$899-500)),"yyyy-mm-dd"),"")))</f>
        <v/>
      </c>
      <c r="C897" s="54">
        <f>IF(_calc!$E$899="","",IF(_calc!$E$899&lt;=500,"Warranty","Warranty"))</f>
        <v/>
      </c>
      <c r="D897" s="54">
        <f>IF(_calc!$E$899="","",IF(_calc!$E$899&lt;=500,IF(ISNUMBER(INDEX('Dealer pipeline'!$H$4:$H$503,_calc!$E$899)),TEXT(INDEX('Dealer pipeline'!$H$4:$H$503,_calc!$E$899),"yyyy-mm-dd"),""),IF(ISNUMBER(INDEX('My equipment'!$H$4:$H$503,(_calc!$E$899-500))),TEXT(INDEX('My equipment'!$H$4:$H$503,(_calc!$E$899-500)),"yyyy-mm-dd"),"")))</f>
        <v/>
      </c>
      <c r="F897" s="54">
        <f>IF(_calc!$E$899="","",IF(_calc!$E$899&lt;=500,TRIM(IF(LEN(IF(LEN(INDEX('Dealer pipeline'!$A$4:$A$503,_calc!$E$899))=0,"",INDEX('Dealer pipeline'!$A$4:$A$503,_calc!$E$899)))=0,"","Customer: "&amp;IF(LEN(INDEX('Dealer pipeline'!$A$4:$A$503,_calc!$E$899))=0,"",INDEX('Dealer pipeline'!$A$4:$A$503,_calc!$E$899))&amp;". ")&amp;IF(LEN(IF(LEN(INDEX('Dealer pipeline'!$B$4:$B$503,_calc!$E$899))=0,"",INDEX('Dealer pipeline'!$B$4:$B$503,_calc!$E$899)))=0,"","Contact: "&amp;IF(LEN(INDEX('Dealer pipeline'!$B$4:$B$503,_calc!$E$899))=0,"",INDEX('Dealer pipeline'!$B$4:$B$503,_calc!$E$899))&amp;". ")&amp;IF(LEN(IF(LEN(INDEX('Dealer pipeline'!$D$4:$D$503,_calc!$E$899))=0,"",INDEX('Dealer pipeline'!$D$4:$D$503,_calc!$E$899)))=0,"","Serial: "&amp;IF(LEN(INDEX('Dealer pipeline'!$D$4:$D$503,_calc!$E$899))=0,"",INDEX('Dealer pipeline'!$D$4:$D$503,_calc!$E$899))&amp;". ")&amp;IF(LEN(IF(ISNUMBER(INDEX('Dealer pipeline'!$J$4:$J$503,_calc!$E$899)),TEXT(INDEX('Dealer pipeline'!$J$4:$J$503,_calc!$E$899),"yyyy-mm-dd"),""))=0,"","Parts end: "&amp;IF(ISNUMBER(INDEX('Dealer pipeline'!$J$4:$J$503,_calc!$E$899)),TEXT(INDEX('Dealer pipeline'!$J$4:$J$503,_calc!$E$899),"yyyy-mm-dd"),"")&amp;". ")&amp;IF(LEN(IF(ISNUMBER(INDEX('Dealer pipeline'!$L$4:$L$503,_calc!$E$899)),TEXT(INDEX('Dealer pipeline'!$L$4:$L$503,_calc!$E$899),"yyyy-mm-dd"),""))=0,"","Labor end: "&amp;IF(ISNUMBER(INDEX('Dealer pipeline'!$L$4:$L$503,_calc!$E$899)),TEXT(INDEX('Dealer pipeline'!$L$4:$L$503,_calc!$E$899),"yyyy-mm-dd"),"")&amp;". ")&amp;IF(LEN(IF(LEN(INDEX('Dealer pipeline'!$Q$4:$Q$503,_calc!$E$899))=0,"",INDEX('Dealer pipeline'!$Q$4:$Q$503,_calc!$E$899)))=0,"","Status: "&amp;IF(LEN(INDEX('Dealer pipeline'!$Q$4:$Q$503,_calc!$E$899))=0,"",INDEX('Dealer pipeline'!$Q$4:$Q$503,_calc!$E$899))&amp;". ")&amp;IF(LEN(IF(LEN(INDEX('Dealer pipeline'!$P$4:$P$503,_calc!$E$899))=0,"",INDEX('Dealer pipeline'!$P$4:$P$503,_calc!$E$899)))=0,"","Last touch: "&amp;IF(LEN(INDEX('Dealer pipeline'!$P$4:$P$503,_calc!$E$899))=0,"",INDEX('Dealer pipeline'!$P$4:$P$503,_calc!$E$899))&amp;". ")&amp;IF(LEN(IF(LEN(INDEX('Dealer pipeline'!$R$4:$R$503,_calc!$E$899))=0,"",INDEX('Dealer pipeline'!$R$4:$R$503,_calc!$E$899)))=0,"","Owner: "&amp;IF(LEN(INDEX('Dealer pipeline'!$R$4:$R$503,_calc!$E$899))=0,"",INDEX('Dealer pipeline'!$R$4:$R$503,_calc!$E$899))&amp;". ")&amp;IF(LEN(IF(LEN(INDEX('Dealer pipeline'!$S$4:$S$503,_calc!$E$899))=0,"",INDEX('Dealer pipeline'!$S$4:$S$503,_calc!$E$899)))=0,"","Backup: "&amp;IF(LEN(INDEX('Dealer pipeline'!$S$4:$S$503,_calc!$E$899))=0,"",INDEX('Dealer pipeline'!$S$4:$S$503,_calc!$E$899))&amp;". ")&amp;IF(LEN(IF(LEN(INDEX('Dealer pipeline'!$T$4:$T$503,_calc!$E$899))=0,"",INDEX('Dealer pipeline'!$T$4:$T$503,_calc!$E$899)))=0,"",IF(LEN(INDEX('Dealer pipeline'!$T$4:$T$503,_calc!$E$899))=0,"",INDEX('Dealer pipeline'!$T$4:$T$503,_calc!$E$899)))),TRIM(IF(LEN(IF(LEN(INDEX('My equipment'!$C$4:$C$503,(_calc!$E$899-500)))=0,"",INDEX('My equipment'!$C$4:$C$503,(_calc!$E$899-500))))=0,"","Model: "&amp;IF(LEN(INDEX('My equipment'!$C$4:$C$503,(_calc!$E$899-500)))=0,"",INDEX('My equipment'!$C$4:$C$503,(_calc!$E$899-500)))&amp;". ")&amp;IF(LEN(IF(LEN(INDEX('My equipment'!$D$4:$D$503,(_calc!$E$899-500)))=0,"",INDEX('My equipment'!$D$4:$D$503,(_calc!$E$899-500))))=0,"","Serial: "&amp;IF(LEN(INDEX('My equipment'!$D$4:$D$503,(_calc!$E$899-500)))=0,"",INDEX('My equipment'!$D$4:$D$503,(_calc!$E$899-500)))&amp;". ")&amp;IF(LEN(IF(ISNUMBER(INDEX('My equipment'!$J$4:$J$503,(_calc!$E$899-500))),TEXT(INDEX('My equipment'!$J$4:$J$503,(_calc!$E$899-500)),"yyyy-mm-dd"),""))=0,"","Parts end: "&amp;IF(ISNUMBER(INDEX('My equipment'!$J$4:$J$503,(_calc!$E$899-500))),TEXT(INDEX('My equipment'!$J$4:$J$503,(_calc!$E$899-500)),"yyyy-mm-dd"),"")&amp;". ")&amp;IF(LEN(IF(ISNUMBER(INDEX('My equipment'!$L$4:$L$503,(_calc!$E$899-500))),TEXT(INDEX('My equipment'!$L$4:$L$503,(_calc!$E$899-500)),"yyyy-mm-dd"),""))=0,"","Labor end: "&amp;IF(ISNUMBER(INDEX('My equipment'!$L$4:$L$503,(_calc!$E$899-500))),TEXT(INDEX('My equipment'!$L$4:$L$503,(_calc!$E$899-500)),"yyyy-mm-dd"),"")&amp;". ")&amp;IF(LEN(IF(ISNUMBER(INDEX('My equipment'!$P$4:$P$503,(_calc!$E$899-500))),TEXT(INDEX('My equipment'!$P$4:$P$503,(_calc!$E$899-500)),"yyyy-mm-dd"),""))=0,"","Check by: "&amp;IF(ISNUMBER(INDEX('My equipment'!$P$4:$P$503,(_calc!$E$899-500))),TEXT(INDEX('My equipment'!$P$4:$P$503,(_calc!$E$899-500)),"yyyy-mm-dd"),"")&amp;". ")&amp;IF(LEN(IF(LEN(INDEX('My equipment'!$Q$4:$Q$503,(_calc!$E$899-500)))=0,"",INDEX('My equipment'!$Q$4:$Q$503,(_calc!$E$899-500))))=0,"","Claim status: "&amp;IF(LEN(INDEX('My equipment'!$Q$4:$Q$503,(_calc!$E$899-500)))=0,"",INDEX('My equipment'!$Q$4:$Q$503,(_calc!$E$899-500)))&amp;". ")&amp;IF(LEN(IF(LEN(INDEX('My equipment'!$R$4:$R$503,(_calc!$E$899-500)))=0,"",INDEX('My equipment'!$R$4:$R$503,(_calc!$E$899-500))))=0,"","Claims contact: "&amp;IF(LEN(INDEX('My equipment'!$R$4:$R$503,(_calc!$E$899-500)))=0,"",INDEX('My equipment'!$R$4:$R$503,(_calc!$E$899-500)))&amp;". ")&amp;IF(LEN(IF(LEN(INDEX('My equipment'!$S$4:$S$503,(_calc!$E$899-500)))=0,"",INDEX('My equipment'!$S$4:$S$503,(_calc!$E$899-500))))=0,"","Claims email: "&amp;IF(LEN(INDEX('My equipment'!$S$4:$S$503,(_calc!$E$899-500)))=0,"",INDEX('My equipment'!$S$4:$S$503,(_calc!$E$899-500)))&amp;". ")&amp;IF(LEN(IF(LEN(INDEX('My equipment'!$U$4:$U$503,(_calc!$E$899-500)))=0,"",INDEX('My equipment'!$U$4:$U$503,(_calc!$E$899-500))))=0,"","Registered: "&amp;IF(LEN(INDEX('My equipment'!$U$4:$U$503,(_calc!$E$899-500)))=0,"",INDEX('My equipment'!$U$4:$U$503,(_calc!$E$899-500)))&amp;". ")&amp;IF(LEN(IF(LEN(INDEX('My equipment'!$V$4:$V$503,(_calc!$E$899-500)))=0,"",INDEX('My equipment'!$V$4:$V$503,(_calc!$E$899-500))))=0,"","Proof on file: "&amp;IF(LEN(INDEX('My equipment'!$V$4:$V$503,(_calc!$E$899-500)))=0,"",INDEX('My equipment'!$V$4:$V$503,(_calc!$E$899-500)))&amp;". ")&amp;IF(LEN(IF(LEN(INDEX('My equipment'!$W$4:$W$503,(_calc!$E$899-500)))=0,"",INDEX('My equipment'!$W$4:$W$503,(_calc!$E$899-500))))=0,"","Claim ref: "&amp;IF(LEN(INDEX('My equipment'!$W$4:$W$503,(_calc!$E$899-500)))=0,"",INDEX('My equipment'!$W$4:$W$503,(_calc!$E$899-500)))&amp;". ")&amp;IF(LEN(IF(LEN(INDEX('My equipment'!$Y$4:$Y$503,(_calc!$E$899-500)))=0,"",INDEX('My equipment'!$Y$4:$Y$503,(_calc!$E$899-500))))=0,"",IF(LEN(INDEX('My equipment'!$Y$4:$Y$503,(_calc!$E$899-500)))=0,"",INDEX('My equipment'!$Y$4:$Y$503,(_calc!$E$899-500)))))))</f>
        <v/>
      </c>
      <c r="G897" s="54">
        <f>IF(_calc!$E$899="","",IF(_calc!$E$899&lt;=500,"",IF(LEN(INDEX('My equipment'!$X$4:$X$503,(_calc!$E$899-500)))=0,"",INDEX('My equipment'!$X$4:$X$503,(_calc!$E$899-500)))))</f>
        <v/>
      </c>
      <c r="K897" s="54">
        <f>IF(_calc!$E$899="","",IF(_calc!$E$899&lt;=500,"",IF(LEN(INDEX('My equipment'!$T$4:$T$503,(_calc!$E$899-500)))=0,"",INDEX('My equipment'!$T$4:$T$503,(_calc!$E$899-500)))))</f>
        <v/>
      </c>
    </row>
    <row r="898">
      <c r="A898" s="54">
        <f>IF(_calc!$E$900="","",IF(_calc!$E$900&lt;=500,"Warranty – "&amp;IF(LEN(INDEX('Dealer pipeline'!$C$4:$C$503,_calc!$E$900))=0,"",INDEX('Dealer pipeline'!$C$4:$C$503,_calc!$E$900))&amp;" – "&amp;IF(LEN(INDEX('Dealer pipeline'!$D$4:$D$503,_calc!$E$900))=0,"",INDEX('Dealer pipeline'!$D$4:$D$503,_calc!$E$900))&amp;" – "&amp;IF(LEN(INDEX('Dealer pipeline'!$A$4:$A$503,_calc!$E$900))=0,"",INDEX('Dealer pipeline'!$A$4:$A$503,_calc!$E$900)),"Warranty – "&amp;IF(LEN(INDEX('My equipment'!$A$4:$A$503,(_calc!$E$900-500)))=0,"",INDEX('My equipment'!$A$4:$A$503,(_calc!$E$900-500)))&amp;" – "&amp;IF(LEN(INDEX('My equipment'!$D$4:$D$503,(_calc!$E$900-500)))=0,"",INDEX('My equipment'!$D$4:$D$503,(_calc!$E$900-500)))))</f>
        <v/>
      </c>
      <c r="B898" s="54">
        <f>IF(_calc!$E$900="","",IF(_calc!$E$900&lt;=500,IF(ISNUMBER(INDEX('Dealer pipeline'!$M$4:$M$503,_calc!$E$900)),TEXT(INDEX('Dealer pipeline'!$M$4:$M$503,_calc!$E$900),"yyyy-mm-dd"),""),IF(ISNUMBER(INDEX('My equipment'!$M$4:$M$503,(_calc!$E$900-500))),TEXT(INDEX('My equipment'!$M$4:$M$503,(_calc!$E$900-500)),"yyyy-mm-dd"),"")))</f>
        <v/>
      </c>
      <c r="C898" s="54">
        <f>IF(_calc!$E$900="","",IF(_calc!$E$900&lt;=500,"Warranty","Warranty"))</f>
        <v/>
      </c>
      <c r="D898" s="54">
        <f>IF(_calc!$E$900="","",IF(_calc!$E$900&lt;=500,IF(ISNUMBER(INDEX('Dealer pipeline'!$H$4:$H$503,_calc!$E$900)),TEXT(INDEX('Dealer pipeline'!$H$4:$H$503,_calc!$E$900),"yyyy-mm-dd"),""),IF(ISNUMBER(INDEX('My equipment'!$H$4:$H$503,(_calc!$E$900-500))),TEXT(INDEX('My equipment'!$H$4:$H$503,(_calc!$E$900-500)),"yyyy-mm-dd"),"")))</f>
        <v/>
      </c>
      <c r="F898" s="54">
        <f>IF(_calc!$E$900="","",IF(_calc!$E$900&lt;=500,TRIM(IF(LEN(IF(LEN(INDEX('Dealer pipeline'!$A$4:$A$503,_calc!$E$900))=0,"",INDEX('Dealer pipeline'!$A$4:$A$503,_calc!$E$900)))=0,"","Customer: "&amp;IF(LEN(INDEX('Dealer pipeline'!$A$4:$A$503,_calc!$E$900))=0,"",INDEX('Dealer pipeline'!$A$4:$A$503,_calc!$E$900))&amp;". ")&amp;IF(LEN(IF(LEN(INDEX('Dealer pipeline'!$B$4:$B$503,_calc!$E$900))=0,"",INDEX('Dealer pipeline'!$B$4:$B$503,_calc!$E$900)))=0,"","Contact: "&amp;IF(LEN(INDEX('Dealer pipeline'!$B$4:$B$503,_calc!$E$900))=0,"",INDEX('Dealer pipeline'!$B$4:$B$503,_calc!$E$900))&amp;". ")&amp;IF(LEN(IF(LEN(INDEX('Dealer pipeline'!$D$4:$D$503,_calc!$E$900))=0,"",INDEX('Dealer pipeline'!$D$4:$D$503,_calc!$E$900)))=0,"","Serial: "&amp;IF(LEN(INDEX('Dealer pipeline'!$D$4:$D$503,_calc!$E$900))=0,"",INDEX('Dealer pipeline'!$D$4:$D$503,_calc!$E$900))&amp;". ")&amp;IF(LEN(IF(ISNUMBER(INDEX('Dealer pipeline'!$J$4:$J$503,_calc!$E$900)),TEXT(INDEX('Dealer pipeline'!$J$4:$J$503,_calc!$E$900),"yyyy-mm-dd"),""))=0,"","Parts end: "&amp;IF(ISNUMBER(INDEX('Dealer pipeline'!$J$4:$J$503,_calc!$E$900)),TEXT(INDEX('Dealer pipeline'!$J$4:$J$503,_calc!$E$900),"yyyy-mm-dd"),"")&amp;". ")&amp;IF(LEN(IF(ISNUMBER(INDEX('Dealer pipeline'!$L$4:$L$503,_calc!$E$900)),TEXT(INDEX('Dealer pipeline'!$L$4:$L$503,_calc!$E$900),"yyyy-mm-dd"),""))=0,"","Labor end: "&amp;IF(ISNUMBER(INDEX('Dealer pipeline'!$L$4:$L$503,_calc!$E$900)),TEXT(INDEX('Dealer pipeline'!$L$4:$L$503,_calc!$E$900),"yyyy-mm-dd"),"")&amp;". ")&amp;IF(LEN(IF(LEN(INDEX('Dealer pipeline'!$Q$4:$Q$503,_calc!$E$900))=0,"",INDEX('Dealer pipeline'!$Q$4:$Q$503,_calc!$E$900)))=0,"","Status: "&amp;IF(LEN(INDEX('Dealer pipeline'!$Q$4:$Q$503,_calc!$E$900))=0,"",INDEX('Dealer pipeline'!$Q$4:$Q$503,_calc!$E$900))&amp;". ")&amp;IF(LEN(IF(LEN(INDEX('Dealer pipeline'!$P$4:$P$503,_calc!$E$900))=0,"",INDEX('Dealer pipeline'!$P$4:$P$503,_calc!$E$900)))=0,"","Last touch: "&amp;IF(LEN(INDEX('Dealer pipeline'!$P$4:$P$503,_calc!$E$900))=0,"",INDEX('Dealer pipeline'!$P$4:$P$503,_calc!$E$900))&amp;". ")&amp;IF(LEN(IF(LEN(INDEX('Dealer pipeline'!$R$4:$R$503,_calc!$E$900))=0,"",INDEX('Dealer pipeline'!$R$4:$R$503,_calc!$E$900)))=0,"","Owner: "&amp;IF(LEN(INDEX('Dealer pipeline'!$R$4:$R$503,_calc!$E$900))=0,"",INDEX('Dealer pipeline'!$R$4:$R$503,_calc!$E$900))&amp;". ")&amp;IF(LEN(IF(LEN(INDEX('Dealer pipeline'!$S$4:$S$503,_calc!$E$900))=0,"",INDEX('Dealer pipeline'!$S$4:$S$503,_calc!$E$900)))=0,"","Backup: "&amp;IF(LEN(INDEX('Dealer pipeline'!$S$4:$S$503,_calc!$E$900))=0,"",INDEX('Dealer pipeline'!$S$4:$S$503,_calc!$E$900))&amp;". ")&amp;IF(LEN(IF(LEN(INDEX('Dealer pipeline'!$T$4:$T$503,_calc!$E$900))=0,"",INDEX('Dealer pipeline'!$T$4:$T$503,_calc!$E$900)))=0,"",IF(LEN(INDEX('Dealer pipeline'!$T$4:$T$503,_calc!$E$900))=0,"",INDEX('Dealer pipeline'!$T$4:$T$503,_calc!$E$900)))),TRIM(IF(LEN(IF(LEN(INDEX('My equipment'!$C$4:$C$503,(_calc!$E$900-500)))=0,"",INDEX('My equipment'!$C$4:$C$503,(_calc!$E$900-500))))=0,"","Model: "&amp;IF(LEN(INDEX('My equipment'!$C$4:$C$503,(_calc!$E$900-500)))=0,"",INDEX('My equipment'!$C$4:$C$503,(_calc!$E$900-500)))&amp;". ")&amp;IF(LEN(IF(LEN(INDEX('My equipment'!$D$4:$D$503,(_calc!$E$900-500)))=0,"",INDEX('My equipment'!$D$4:$D$503,(_calc!$E$900-500))))=0,"","Serial: "&amp;IF(LEN(INDEX('My equipment'!$D$4:$D$503,(_calc!$E$900-500)))=0,"",INDEX('My equipment'!$D$4:$D$503,(_calc!$E$900-500)))&amp;". ")&amp;IF(LEN(IF(ISNUMBER(INDEX('My equipment'!$J$4:$J$503,(_calc!$E$900-500))),TEXT(INDEX('My equipment'!$J$4:$J$503,(_calc!$E$900-500)),"yyyy-mm-dd"),""))=0,"","Parts end: "&amp;IF(ISNUMBER(INDEX('My equipment'!$J$4:$J$503,(_calc!$E$900-500))),TEXT(INDEX('My equipment'!$J$4:$J$503,(_calc!$E$900-500)),"yyyy-mm-dd"),"")&amp;". ")&amp;IF(LEN(IF(ISNUMBER(INDEX('My equipment'!$L$4:$L$503,(_calc!$E$900-500))),TEXT(INDEX('My equipment'!$L$4:$L$503,(_calc!$E$900-500)),"yyyy-mm-dd"),""))=0,"","Labor end: "&amp;IF(ISNUMBER(INDEX('My equipment'!$L$4:$L$503,(_calc!$E$900-500))),TEXT(INDEX('My equipment'!$L$4:$L$503,(_calc!$E$900-500)),"yyyy-mm-dd"),"")&amp;". ")&amp;IF(LEN(IF(ISNUMBER(INDEX('My equipment'!$P$4:$P$503,(_calc!$E$900-500))),TEXT(INDEX('My equipment'!$P$4:$P$503,(_calc!$E$900-500)),"yyyy-mm-dd"),""))=0,"","Check by: "&amp;IF(ISNUMBER(INDEX('My equipment'!$P$4:$P$503,(_calc!$E$900-500))),TEXT(INDEX('My equipment'!$P$4:$P$503,(_calc!$E$900-500)),"yyyy-mm-dd"),"")&amp;". ")&amp;IF(LEN(IF(LEN(INDEX('My equipment'!$Q$4:$Q$503,(_calc!$E$900-500)))=0,"",INDEX('My equipment'!$Q$4:$Q$503,(_calc!$E$900-500))))=0,"","Claim status: "&amp;IF(LEN(INDEX('My equipment'!$Q$4:$Q$503,(_calc!$E$900-500)))=0,"",INDEX('My equipment'!$Q$4:$Q$503,(_calc!$E$900-500)))&amp;". ")&amp;IF(LEN(IF(LEN(INDEX('My equipment'!$R$4:$R$503,(_calc!$E$900-500)))=0,"",INDEX('My equipment'!$R$4:$R$503,(_calc!$E$900-500))))=0,"","Claims contact: "&amp;IF(LEN(INDEX('My equipment'!$R$4:$R$503,(_calc!$E$900-500)))=0,"",INDEX('My equipment'!$R$4:$R$503,(_calc!$E$900-500)))&amp;". ")&amp;IF(LEN(IF(LEN(INDEX('My equipment'!$S$4:$S$503,(_calc!$E$900-500)))=0,"",INDEX('My equipment'!$S$4:$S$503,(_calc!$E$900-500))))=0,"","Claims email: "&amp;IF(LEN(INDEX('My equipment'!$S$4:$S$503,(_calc!$E$900-500)))=0,"",INDEX('My equipment'!$S$4:$S$503,(_calc!$E$900-500)))&amp;". ")&amp;IF(LEN(IF(LEN(INDEX('My equipment'!$U$4:$U$503,(_calc!$E$900-500)))=0,"",INDEX('My equipment'!$U$4:$U$503,(_calc!$E$900-500))))=0,"","Registered: "&amp;IF(LEN(INDEX('My equipment'!$U$4:$U$503,(_calc!$E$900-500)))=0,"",INDEX('My equipment'!$U$4:$U$503,(_calc!$E$900-500)))&amp;". ")&amp;IF(LEN(IF(LEN(INDEX('My equipment'!$V$4:$V$503,(_calc!$E$900-500)))=0,"",INDEX('My equipment'!$V$4:$V$503,(_calc!$E$900-500))))=0,"","Proof on file: "&amp;IF(LEN(INDEX('My equipment'!$V$4:$V$503,(_calc!$E$900-500)))=0,"",INDEX('My equipment'!$V$4:$V$503,(_calc!$E$900-500)))&amp;". ")&amp;IF(LEN(IF(LEN(INDEX('My equipment'!$W$4:$W$503,(_calc!$E$900-500)))=0,"",INDEX('My equipment'!$W$4:$W$503,(_calc!$E$900-500))))=0,"","Claim ref: "&amp;IF(LEN(INDEX('My equipment'!$W$4:$W$503,(_calc!$E$900-500)))=0,"",INDEX('My equipment'!$W$4:$W$503,(_calc!$E$900-500)))&amp;". ")&amp;IF(LEN(IF(LEN(INDEX('My equipment'!$Y$4:$Y$503,(_calc!$E$900-500)))=0,"",INDEX('My equipment'!$Y$4:$Y$503,(_calc!$E$900-500))))=0,"",IF(LEN(INDEX('My equipment'!$Y$4:$Y$503,(_calc!$E$900-500)))=0,"",INDEX('My equipment'!$Y$4:$Y$503,(_calc!$E$900-500)))))))</f>
        <v/>
      </c>
      <c r="G898" s="54">
        <f>IF(_calc!$E$900="","",IF(_calc!$E$900&lt;=500,"",IF(LEN(INDEX('My equipment'!$X$4:$X$503,(_calc!$E$900-500)))=0,"",INDEX('My equipment'!$X$4:$X$503,(_calc!$E$900-500)))))</f>
        <v/>
      </c>
      <c r="K898" s="54">
        <f>IF(_calc!$E$900="","",IF(_calc!$E$900&lt;=500,"",IF(LEN(INDEX('My equipment'!$T$4:$T$503,(_calc!$E$900-500)))=0,"",INDEX('My equipment'!$T$4:$T$503,(_calc!$E$900-500)))))</f>
        <v/>
      </c>
    </row>
    <row r="899">
      <c r="A899" s="54">
        <f>IF(_calc!$E$901="","",IF(_calc!$E$901&lt;=500,"Warranty – "&amp;IF(LEN(INDEX('Dealer pipeline'!$C$4:$C$503,_calc!$E$901))=0,"",INDEX('Dealer pipeline'!$C$4:$C$503,_calc!$E$901))&amp;" – "&amp;IF(LEN(INDEX('Dealer pipeline'!$D$4:$D$503,_calc!$E$901))=0,"",INDEX('Dealer pipeline'!$D$4:$D$503,_calc!$E$901))&amp;" – "&amp;IF(LEN(INDEX('Dealer pipeline'!$A$4:$A$503,_calc!$E$901))=0,"",INDEX('Dealer pipeline'!$A$4:$A$503,_calc!$E$901)),"Warranty – "&amp;IF(LEN(INDEX('My equipment'!$A$4:$A$503,(_calc!$E$901-500)))=0,"",INDEX('My equipment'!$A$4:$A$503,(_calc!$E$901-500)))&amp;" – "&amp;IF(LEN(INDEX('My equipment'!$D$4:$D$503,(_calc!$E$901-500)))=0,"",INDEX('My equipment'!$D$4:$D$503,(_calc!$E$901-500)))))</f>
        <v/>
      </c>
      <c r="B899" s="54">
        <f>IF(_calc!$E$901="","",IF(_calc!$E$901&lt;=500,IF(ISNUMBER(INDEX('Dealer pipeline'!$M$4:$M$503,_calc!$E$901)),TEXT(INDEX('Dealer pipeline'!$M$4:$M$503,_calc!$E$901),"yyyy-mm-dd"),""),IF(ISNUMBER(INDEX('My equipment'!$M$4:$M$503,(_calc!$E$901-500))),TEXT(INDEX('My equipment'!$M$4:$M$503,(_calc!$E$901-500)),"yyyy-mm-dd"),"")))</f>
        <v/>
      </c>
      <c r="C899" s="54">
        <f>IF(_calc!$E$901="","",IF(_calc!$E$901&lt;=500,"Warranty","Warranty"))</f>
        <v/>
      </c>
      <c r="D899" s="54">
        <f>IF(_calc!$E$901="","",IF(_calc!$E$901&lt;=500,IF(ISNUMBER(INDEX('Dealer pipeline'!$H$4:$H$503,_calc!$E$901)),TEXT(INDEX('Dealer pipeline'!$H$4:$H$503,_calc!$E$901),"yyyy-mm-dd"),""),IF(ISNUMBER(INDEX('My equipment'!$H$4:$H$503,(_calc!$E$901-500))),TEXT(INDEX('My equipment'!$H$4:$H$503,(_calc!$E$901-500)),"yyyy-mm-dd"),"")))</f>
        <v/>
      </c>
      <c r="F899" s="54">
        <f>IF(_calc!$E$901="","",IF(_calc!$E$901&lt;=500,TRIM(IF(LEN(IF(LEN(INDEX('Dealer pipeline'!$A$4:$A$503,_calc!$E$901))=0,"",INDEX('Dealer pipeline'!$A$4:$A$503,_calc!$E$901)))=0,"","Customer: "&amp;IF(LEN(INDEX('Dealer pipeline'!$A$4:$A$503,_calc!$E$901))=0,"",INDEX('Dealer pipeline'!$A$4:$A$503,_calc!$E$901))&amp;". ")&amp;IF(LEN(IF(LEN(INDEX('Dealer pipeline'!$B$4:$B$503,_calc!$E$901))=0,"",INDEX('Dealer pipeline'!$B$4:$B$503,_calc!$E$901)))=0,"","Contact: "&amp;IF(LEN(INDEX('Dealer pipeline'!$B$4:$B$503,_calc!$E$901))=0,"",INDEX('Dealer pipeline'!$B$4:$B$503,_calc!$E$901))&amp;". ")&amp;IF(LEN(IF(LEN(INDEX('Dealer pipeline'!$D$4:$D$503,_calc!$E$901))=0,"",INDEX('Dealer pipeline'!$D$4:$D$503,_calc!$E$901)))=0,"","Serial: "&amp;IF(LEN(INDEX('Dealer pipeline'!$D$4:$D$503,_calc!$E$901))=0,"",INDEX('Dealer pipeline'!$D$4:$D$503,_calc!$E$901))&amp;". ")&amp;IF(LEN(IF(ISNUMBER(INDEX('Dealer pipeline'!$J$4:$J$503,_calc!$E$901)),TEXT(INDEX('Dealer pipeline'!$J$4:$J$503,_calc!$E$901),"yyyy-mm-dd"),""))=0,"","Parts end: "&amp;IF(ISNUMBER(INDEX('Dealer pipeline'!$J$4:$J$503,_calc!$E$901)),TEXT(INDEX('Dealer pipeline'!$J$4:$J$503,_calc!$E$901),"yyyy-mm-dd"),"")&amp;". ")&amp;IF(LEN(IF(ISNUMBER(INDEX('Dealer pipeline'!$L$4:$L$503,_calc!$E$901)),TEXT(INDEX('Dealer pipeline'!$L$4:$L$503,_calc!$E$901),"yyyy-mm-dd"),""))=0,"","Labor end: "&amp;IF(ISNUMBER(INDEX('Dealer pipeline'!$L$4:$L$503,_calc!$E$901)),TEXT(INDEX('Dealer pipeline'!$L$4:$L$503,_calc!$E$901),"yyyy-mm-dd"),"")&amp;". ")&amp;IF(LEN(IF(LEN(INDEX('Dealer pipeline'!$Q$4:$Q$503,_calc!$E$901))=0,"",INDEX('Dealer pipeline'!$Q$4:$Q$503,_calc!$E$901)))=0,"","Status: "&amp;IF(LEN(INDEX('Dealer pipeline'!$Q$4:$Q$503,_calc!$E$901))=0,"",INDEX('Dealer pipeline'!$Q$4:$Q$503,_calc!$E$901))&amp;". ")&amp;IF(LEN(IF(LEN(INDEX('Dealer pipeline'!$P$4:$P$503,_calc!$E$901))=0,"",INDEX('Dealer pipeline'!$P$4:$P$503,_calc!$E$901)))=0,"","Last touch: "&amp;IF(LEN(INDEX('Dealer pipeline'!$P$4:$P$503,_calc!$E$901))=0,"",INDEX('Dealer pipeline'!$P$4:$P$503,_calc!$E$901))&amp;". ")&amp;IF(LEN(IF(LEN(INDEX('Dealer pipeline'!$R$4:$R$503,_calc!$E$901))=0,"",INDEX('Dealer pipeline'!$R$4:$R$503,_calc!$E$901)))=0,"","Owner: "&amp;IF(LEN(INDEX('Dealer pipeline'!$R$4:$R$503,_calc!$E$901))=0,"",INDEX('Dealer pipeline'!$R$4:$R$503,_calc!$E$901))&amp;". ")&amp;IF(LEN(IF(LEN(INDEX('Dealer pipeline'!$S$4:$S$503,_calc!$E$901))=0,"",INDEX('Dealer pipeline'!$S$4:$S$503,_calc!$E$901)))=0,"","Backup: "&amp;IF(LEN(INDEX('Dealer pipeline'!$S$4:$S$503,_calc!$E$901))=0,"",INDEX('Dealer pipeline'!$S$4:$S$503,_calc!$E$901))&amp;". ")&amp;IF(LEN(IF(LEN(INDEX('Dealer pipeline'!$T$4:$T$503,_calc!$E$901))=0,"",INDEX('Dealer pipeline'!$T$4:$T$503,_calc!$E$901)))=0,"",IF(LEN(INDEX('Dealer pipeline'!$T$4:$T$503,_calc!$E$901))=0,"",INDEX('Dealer pipeline'!$T$4:$T$503,_calc!$E$901)))),TRIM(IF(LEN(IF(LEN(INDEX('My equipment'!$C$4:$C$503,(_calc!$E$901-500)))=0,"",INDEX('My equipment'!$C$4:$C$503,(_calc!$E$901-500))))=0,"","Model: "&amp;IF(LEN(INDEX('My equipment'!$C$4:$C$503,(_calc!$E$901-500)))=0,"",INDEX('My equipment'!$C$4:$C$503,(_calc!$E$901-500)))&amp;". ")&amp;IF(LEN(IF(LEN(INDEX('My equipment'!$D$4:$D$503,(_calc!$E$901-500)))=0,"",INDEX('My equipment'!$D$4:$D$503,(_calc!$E$901-500))))=0,"","Serial: "&amp;IF(LEN(INDEX('My equipment'!$D$4:$D$503,(_calc!$E$901-500)))=0,"",INDEX('My equipment'!$D$4:$D$503,(_calc!$E$901-500)))&amp;". ")&amp;IF(LEN(IF(ISNUMBER(INDEX('My equipment'!$J$4:$J$503,(_calc!$E$901-500))),TEXT(INDEX('My equipment'!$J$4:$J$503,(_calc!$E$901-500)),"yyyy-mm-dd"),""))=0,"","Parts end: "&amp;IF(ISNUMBER(INDEX('My equipment'!$J$4:$J$503,(_calc!$E$901-500))),TEXT(INDEX('My equipment'!$J$4:$J$503,(_calc!$E$901-500)),"yyyy-mm-dd"),"")&amp;". ")&amp;IF(LEN(IF(ISNUMBER(INDEX('My equipment'!$L$4:$L$503,(_calc!$E$901-500))),TEXT(INDEX('My equipment'!$L$4:$L$503,(_calc!$E$901-500)),"yyyy-mm-dd"),""))=0,"","Labor end: "&amp;IF(ISNUMBER(INDEX('My equipment'!$L$4:$L$503,(_calc!$E$901-500))),TEXT(INDEX('My equipment'!$L$4:$L$503,(_calc!$E$901-500)),"yyyy-mm-dd"),"")&amp;". ")&amp;IF(LEN(IF(ISNUMBER(INDEX('My equipment'!$P$4:$P$503,(_calc!$E$901-500))),TEXT(INDEX('My equipment'!$P$4:$P$503,(_calc!$E$901-500)),"yyyy-mm-dd"),""))=0,"","Check by: "&amp;IF(ISNUMBER(INDEX('My equipment'!$P$4:$P$503,(_calc!$E$901-500))),TEXT(INDEX('My equipment'!$P$4:$P$503,(_calc!$E$901-500)),"yyyy-mm-dd"),"")&amp;". ")&amp;IF(LEN(IF(LEN(INDEX('My equipment'!$Q$4:$Q$503,(_calc!$E$901-500)))=0,"",INDEX('My equipment'!$Q$4:$Q$503,(_calc!$E$901-500))))=0,"","Claim status: "&amp;IF(LEN(INDEX('My equipment'!$Q$4:$Q$503,(_calc!$E$901-500)))=0,"",INDEX('My equipment'!$Q$4:$Q$503,(_calc!$E$901-500)))&amp;". ")&amp;IF(LEN(IF(LEN(INDEX('My equipment'!$R$4:$R$503,(_calc!$E$901-500)))=0,"",INDEX('My equipment'!$R$4:$R$503,(_calc!$E$901-500))))=0,"","Claims contact: "&amp;IF(LEN(INDEX('My equipment'!$R$4:$R$503,(_calc!$E$901-500)))=0,"",INDEX('My equipment'!$R$4:$R$503,(_calc!$E$901-500)))&amp;". ")&amp;IF(LEN(IF(LEN(INDEX('My equipment'!$S$4:$S$503,(_calc!$E$901-500)))=0,"",INDEX('My equipment'!$S$4:$S$503,(_calc!$E$901-500))))=0,"","Claims email: "&amp;IF(LEN(INDEX('My equipment'!$S$4:$S$503,(_calc!$E$901-500)))=0,"",INDEX('My equipment'!$S$4:$S$503,(_calc!$E$901-500)))&amp;". ")&amp;IF(LEN(IF(LEN(INDEX('My equipment'!$U$4:$U$503,(_calc!$E$901-500)))=0,"",INDEX('My equipment'!$U$4:$U$503,(_calc!$E$901-500))))=0,"","Registered: "&amp;IF(LEN(INDEX('My equipment'!$U$4:$U$503,(_calc!$E$901-500)))=0,"",INDEX('My equipment'!$U$4:$U$503,(_calc!$E$901-500)))&amp;". ")&amp;IF(LEN(IF(LEN(INDEX('My equipment'!$V$4:$V$503,(_calc!$E$901-500)))=0,"",INDEX('My equipment'!$V$4:$V$503,(_calc!$E$901-500))))=0,"","Proof on file: "&amp;IF(LEN(INDEX('My equipment'!$V$4:$V$503,(_calc!$E$901-500)))=0,"",INDEX('My equipment'!$V$4:$V$503,(_calc!$E$901-500)))&amp;". ")&amp;IF(LEN(IF(LEN(INDEX('My equipment'!$W$4:$W$503,(_calc!$E$901-500)))=0,"",INDEX('My equipment'!$W$4:$W$503,(_calc!$E$901-500))))=0,"","Claim ref: "&amp;IF(LEN(INDEX('My equipment'!$W$4:$W$503,(_calc!$E$901-500)))=0,"",INDEX('My equipment'!$W$4:$W$503,(_calc!$E$901-500)))&amp;". ")&amp;IF(LEN(IF(LEN(INDEX('My equipment'!$Y$4:$Y$503,(_calc!$E$901-500)))=0,"",INDEX('My equipment'!$Y$4:$Y$503,(_calc!$E$901-500))))=0,"",IF(LEN(INDEX('My equipment'!$Y$4:$Y$503,(_calc!$E$901-500)))=0,"",INDEX('My equipment'!$Y$4:$Y$503,(_calc!$E$901-500)))))))</f>
        <v/>
      </c>
      <c r="G899" s="54">
        <f>IF(_calc!$E$901="","",IF(_calc!$E$901&lt;=500,"",IF(LEN(INDEX('My equipment'!$X$4:$X$503,(_calc!$E$901-500)))=0,"",INDEX('My equipment'!$X$4:$X$503,(_calc!$E$901-500)))))</f>
        <v/>
      </c>
      <c r="K899" s="54">
        <f>IF(_calc!$E$901="","",IF(_calc!$E$901&lt;=500,"",IF(LEN(INDEX('My equipment'!$T$4:$T$503,(_calc!$E$901-500)))=0,"",INDEX('My equipment'!$T$4:$T$503,(_calc!$E$901-500)))))</f>
        <v/>
      </c>
    </row>
    <row r="900">
      <c r="A900" s="54">
        <f>IF(_calc!$E$902="","",IF(_calc!$E$902&lt;=500,"Warranty – "&amp;IF(LEN(INDEX('Dealer pipeline'!$C$4:$C$503,_calc!$E$902))=0,"",INDEX('Dealer pipeline'!$C$4:$C$503,_calc!$E$902))&amp;" – "&amp;IF(LEN(INDEX('Dealer pipeline'!$D$4:$D$503,_calc!$E$902))=0,"",INDEX('Dealer pipeline'!$D$4:$D$503,_calc!$E$902))&amp;" – "&amp;IF(LEN(INDEX('Dealer pipeline'!$A$4:$A$503,_calc!$E$902))=0,"",INDEX('Dealer pipeline'!$A$4:$A$503,_calc!$E$902)),"Warranty – "&amp;IF(LEN(INDEX('My equipment'!$A$4:$A$503,(_calc!$E$902-500)))=0,"",INDEX('My equipment'!$A$4:$A$503,(_calc!$E$902-500)))&amp;" – "&amp;IF(LEN(INDEX('My equipment'!$D$4:$D$503,(_calc!$E$902-500)))=0,"",INDEX('My equipment'!$D$4:$D$503,(_calc!$E$902-500)))))</f>
        <v/>
      </c>
      <c r="B900" s="54">
        <f>IF(_calc!$E$902="","",IF(_calc!$E$902&lt;=500,IF(ISNUMBER(INDEX('Dealer pipeline'!$M$4:$M$503,_calc!$E$902)),TEXT(INDEX('Dealer pipeline'!$M$4:$M$503,_calc!$E$902),"yyyy-mm-dd"),""),IF(ISNUMBER(INDEX('My equipment'!$M$4:$M$503,(_calc!$E$902-500))),TEXT(INDEX('My equipment'!$M$4:$M$503,(_calc!$E$902-500)),"yyyy-mm-dd"),"")))</f>
        <v/>
      </c>
      <c r="C900" s="54">
        <f>IF(_calc!$E$902="","",IF(_calc!$E$902&lt;=500,"Warranty","Warranty"))</f>
        <v/>
      </c>
      <c r="D900" s="54">
        <f>IF(_calc!$E$902="","",IF(_calc!$E$902&lt;=500,IF(ISNUMBER(INDEX('Dealer pipeline'!$H$4:$H$503,_calc!$E$902)),TEXT(INDEX('Dealer pipeline'!$H$4:$H$503,_calc!$E$902),"yyyy-mm-dd"),""),IF(ISNUMBER(INDEX('My equipment'!$H$4:$H$503,(_calc!$E$902-500))),TEXT(INDEX('My equipment'!$H$4:$H$503,(_calc!$E$902-500)),"yyyy-mm-dd"),"")))</f>
        <v/>
      </c>
      <c r="F900" s="54">
        <f>IF(_calc!$E$902="","",IF(_calc!$E$902&lt;=500,TRIM(IF(LEN(IF(LEN(INDEX('Dealer pipeline'!$A$4:$A$503,_calc!$E$902))=0,"",INDEX('Dealer pipeline'!$A$4:$A$503,_calc!$E$902)))=0,"","Customer: "&amp;IF(LEN(INDEX('Dealer pipeline'!$A$4:$A$503,_calc!$E$902))=0,"",INDEX('Dealer pipeline'!$A$4:$A$503,_calc!$E$902))&amp;". ")&amp;IF(LEN(IF(LEN(INDEX('Dealer pipeline'!$B$4:$B$503,_calc!$E$902))=0,"",INDEX('Dealer pipeline'!$B$4:$B$503,_calc!$E$902)))=0,"","Contact: "&amp;IF(LEN(INDEX('Dealer pipeline'!$B$4:$B$503,_calc!$E$902))=0,"",INDEX('Dealer pipeline'!$B$4:$B$503,_calc!$E$902))&amp;". ")&amp;IF(LEN(IF(LEN(INDEX('Dealer pipeline'!$D$4:$D$503,_calc!$E$902))=0,"",INDEX('Dealer pipeline'!$D$4:$D$503,_calc!$E$902)))=0,"","Serial: "&amp;IF(LEN(INDEX('Dealer pipeline'!$D$4:$D$503,_calc!$E$902))=0,"",INDEX('Dealer pipeline'!$D$4:$D$503,_calc!$E$902))&amp;". ")&amp;IF(LEN(IF(ISNUMBER(INDEX('Dealer pipeline'!$J$4:$J$503,_calc!$E$902)),TEXT(INDEX('Dealer pipeline'!$J$4:$J$503,_calc!$E$902),"yyyy-mm-dd"),""))=0,"","Parts end: "&amp;IF(ISNUMBER(INDEX('Dealer pipeline'!$J$4:$J$503,_calc!$E$902)),TEXT(INDEX('Dealer pipeline'!$J$4:$J$503,_calc!$E$902),"yyyy-mm-dd"),"")&amp;". ")&amp;IF(LEN(IF(ISNUMBER(INDEX('Dealer pipeline'!$L$4:$L$503,_calc!$E$902)),TEXT(INDEX('Dealer pipeline'!$L$4:$L$503,_calc!$E$902),"yyyy-mm-dd"),""))=0,"","Labor end: "&amp;IF(ISNUMBER(INDEX('Dealer pipeline'!$L$4:$L$503,_calc!$E$902)),TEXT(INDEX('Dealer pipeline'!$L$4:$L$503,_calc!$E$902),"yyyy-mm-dd"),"")&amp;". ")&amp;IF(LEN(IF(LEN(INDEX('Dealer pipeline'!$Q$4:$Q$503,_calc!$E$902))=0,"",INDEX('Dealer pipeline'!$Q$4:$Q$503,_calc!$E$902)))=0,"","Status: "&amp;IF(LEN(INDEX('Dealer pipeline'!$Q$4:$Q$503,_calc!$E$902))=0,"",INDEX('Dealer pipeline'!$Q$4:$Q$503,_calc!$E$902))&amp;". ")&amp;IF(LEN(IF(LEN(INDEX('Dealer pipeline'!$P$4:$P$503,_calc!$E$902))=0,"",INDEX('Dealer pipeline'!$P$4:$P$503,_calc!$E$902)))=0,"","Last touch: "&amp;IF(LEN(INDEX('Dealer pipeline'!$P$4:$P$503,_calc!$E$902))=0,"",INDEX('Dealer pipeline'!$P$4:$P$503,_calc!$E$902))&amp;". ")&amp;IF(LEN(IF(LEN(INDEX('Dealer pipeline'!$R$4:$R$503,_calc!$E$902))=0,"",INDEX('Dealer pipeline'!$R$4:$R$503,_calc!$E$902)))=0,"","Owner: "&amp;IF(LEN(INDEX('Dealer pipeline'!$R$4:$R$503,_calc!$E$902))=0,"",INDEX('Dealer pipeline'!$R$4:$R$503,_calc!$E$902))&amp;". ")&amp;IF(LEN(IF(LEN(INDEX('Dealer pipeline'!$S$4:$S$503,_calc!$E$902))=0,"",INDEX('Dealer pipeline'!$S$4:$S$503,_calc!$E$902)))=0,"","Backup: "&amp;IF(LEN(INDEX('Dealer pipeline'!$S$4:$S$503,_calc!$E$902))=0,"",INDEX('Dealer pipeline'!$S$4:$S$503,_calc!$E$902))&amp;". ")&amp;IF(LEN(IF(LEN(INDEX('Dealer pipeline'!$T$4:$T$503,_calc!$E$902))=0,"",INDEX('Dealer pipeline'!$T$4:$T$503,_calc!$E$902)))=0,"",IF(LEN(INDEX('Dealer pipeline'!$T$4:$T$503,_calc!$E$902))=0,"",INDEX('Dealer pipeline'!$T$4:$T$503,_calc!$E$902)))),TRIM(IF(LEN(IF(LEN(INDEX('My equipment'!$C$4:$C$503,(_calc!$E$902-500)))=0,"",INDEX('My equipment'!$C$4:$C$503,(_calc!$E$902-500))))=0,"","Model: "&amp;IF(LEN(INDEX('My equipment'!$C$4:$C$503,(_calc!$E$902-500)))=0,"",INDEX('My equipment'!$C$4:$C$503,(_calc!$E$902-500)))&amp;". ")&amp;IF(LEN(IF(LEN(INDEX('My equipment'!$D$4:$D$503,(_calc!$E$902-500)))=0,"",INDEX('My equipment'!$D$4:$D$503,(_calc!$E$902-500))))=0,"","Serial: "&amp;IF(LEN(INDEX('My equipment'!$D$4:$D$503,(_calc!$E$902-500)))=0,"",INDEX('My equipment'!$D$4:$D$503,(_calc!$E$902-500)))&amp;". ")&amp;IF(LEN(IF(ISNUMBER(INDEX('My equipment'!$J$4:$J$503,(_calc!$E$902-500))),TEXT(INDEX('My equipment'!$J$4:$J$503,(_calc!$E$902-500)),"yyyy-mm-dd"),""))=0,"","Parts end: "&amp;IF(ISNUMBER(INDEX('My equipment'!$J$4:$J$503,(_calc!$E$902-500))),TEXT(INDEX('My equipment'!$J$4:$J$503,(_calc!$E$902-500)),"yyyy-mm-dd"),"")&amp;". ")&amp;IF(LEN(IF(ISNUMBER(INDEX('My equipment'!$L$4:$L$503,(_calc!$E$902-500))),TEXT(INDEX('My equipment'!$L$4:$L$503,(_calc!$E$902-500)),"yyyy-mm-dd"),""))=0,"","Labor end: "&amp;IF(ISNUMBER(INDEX('My equipment'!$L$4:$L$503,(_calc!$E$902-500))),TEXT(INDEX('My equipment'!$L$4:$L$503,(_calc!$E$902-500)),"yyyy-mm-dd"),"")&amp;". ")&amp;IF(LEN(IF(ISNUMBER(INDEX('My equipment'!$P$4:$P$503,(_calc!$E$902-500))),TEXT(INDEX('My equipment'!$P$4:$P$503,(_calc!$E$902-500)),"yyyy-mm-dd"),""))=0,"","Check by: "&amp;IF(ISNUMBER(INDEX('My equipment'!$P$4:$P$503,(_calc!$E$902-500))),TEXT(INDEX('My equipment'!$P$4:$P$503,(_calc!$E$902-500)),"yyyy-mm-dd"),"")&amp;". ")&amp;IF(LEN(IF(LEN(INDEX('My equipment'!$Q$4:$Q$503,(_calc!$E$902-500)))=0,"",INDEX('My equipment'!$Q$4:$Q$503,(_calc!$E$902-500))))=0,"","Claim status: "&amp;IF(LEN(INDEX('My equipment'!$Q$4:$Q$503,(_calc!$E$902-500)))=0,"",INDEX('My equipment'!$Q$4:$Q$503,(_calc!$E$902-500)))&amp;". ")&amp;IF(LEN(IF(LEN(INDEX('My equipment'!$R$4:$R$503,(_calc!$E$902-500)))=0,"",INDEX('My equipment'!$R$4:$R$503,(_calc!$E$902-500))))=0,"","Claims contact: "&amp;IF(LEN(INDEX('My equipment'!$R$4:$R$503,(_calc!$E$902-500)))=0,"",INDEX('My equipment'!$R$4:$R$503,(_calc!$E$902-500)))&amp;". ")&amp;IF(LEN(IF(LEN(INDEX('My equipment'!$S$4:$S$503,(_calc!$E$902-500)))=0,"",INDEX('My equipment'!$S$4:$S$503,(_calc!$E$902-500))))=0,"","Claims email: "&amp;IF(LEN(INDEX('My equipment'!$S$4:$S$503,(_calc!$E$902-500)))=0,"",INDEX('My equipment'!$S$4:$S$503,(_calc!$E$902-500)))&amp;". ")&amp;IF(LEN(IF(LEN(INDEX('My equipment'!$U$4:$U$503,(_calc!$E$902-500)))=0,"",INDEX('My equipment'!$U$4:$U$503,(_calc!$E$902-500))))=0,"","Registered: "&amp;IF(LEN(INDEX('My equipment'!$U$4:$U$503,(_calc!$E$902-500)))=0,"",INDEX('My equipment'!$U$4:$U$503,(_calc!$E$902-500)))&amp;". ")&amp;IF(LEN(IF(LEN(INDEX('My equipment'!$V$4:$V$503,(_calc!$E$902-500)))=0,"",INDEX('My equipment'!$V$4:$V$503,(_calc!$E$902-500))))=0,"","Proof on file: "&amp;IF(LEN(INDEX('My equipment'!$V$4:$V$503,(_calc!$E$902-500)))=0,"",INDEX('My equipment'!$V$4:$V$503,(_calc!$E$902-500)))&amp;". ")&amp;IF(LEN(IF(LEN(INDEX('My equipment'!$W$4:$W$503,(_calc!$E$902-500)))=0,"",INDEX('My equipment'!$W$4:$W$503,(_calc!$E$902-500))))=0,"","Claim ref: "&amp;IF(LEN(INDEX('My equipment'!$W$4:$W$503,(_calc!$E$902-500)))=0,"",INDEX('My equipment'!$W$4:$W$503,(_calc!$E$902-500)))&amp;". ")&amp;IF(LEN(IF(LEN(INDEX('My equipment'!$Y$4:$Y$503,(_calc!$E$902-500)))=0,"",INDEX('My equipment'!$Y$4:$Y$503,(_calc!$E$902-500))))=0,"",IF(LEN(INDEX('My equipment'!$Y$4:$Y$503,(_calc!$E$902-500)))=0,"",INDEX('My equipment'!$Y$4:$Y$503,(_calc!$E$902-500)))))))</f>
        <v/>
      </c>
      <c r="G900" s="54">
        <f>IF(_calc!$E$902="","",IF(_calc!$E$902&lt;=500,"",IF(LEN(INDEX('My equipment'!$X$4:$X$503,(_calc!$E$902-500)))=0,"",INDEX('My equipment'!$X$4:$X$503,(_calc!$E$902-500)))))</f>
        <v/>
      </c>
      <c r="K900" s="54">
        <f>IF(_calc!$E$902="","",IF(_calc!$E$902&lt;=500,"",IF(LEN(INDEX('My equipment'!$T$4:$T$503,(_calc!$E$902-500)))=0,"",INDEX('My equipment'!$T$4:$T$503,(_calc!$E$902-500)))))</f>
        <v/>
      </c>
    </row>
    <row r="901">
      <c r="A901" s="54">
        <f>IF(_calc!$E$903="","",IF(_calc!$E$903&lt;=500,"Warranty – "&amp;IF(LEN(INDEX('Dealer pipeline'!$C$4:$C$503,_calc!$E$903))=0,"",INDEX('Dealer pipeline'!$C$4:$C$503,_calc!$E$903))&amp;" – "&amp;IF(LEN(INDEX('Dealer pipeline'!$D$4:$D$503,_calc!$E$903))=0,"",INDEX('Dealer pipeline'!$D$4:$D$503,_calc!$E$903))&amp;" – "&amp;IF(LEN(INDEX('Dealer pipeline'!$A$4:$A$503,_calc!$E$903))=0,"",INDEX('Dealer pipeline'!$A$4:$A$503,_calc!$E$903)),"Warranty – "&amp;IF(LEN(INDEX('My equipment'!$A$4:$A$503,(_calc!$E$903-500)))=0,"",INDEX('My equipment'!$A$4:$A$503,(_calc!$E$903-500)))&amp;" – "&amp;IF(LEN(INDEX('My equipment'!$D$4:$D$503,(_calc!$E$903-500)))=0,"",INDEX('My equipment'!$D$4:$D$503,(_calc!$E$903-500)))))</f>
        <v/>
      </c>
      <c r="B901" s="54">
        <f>IF(_calc!$E$903="","",IF(_calc!$E$903&lt;=500,IF(ISNUMBER(INDEX('Dealer pipeline'!$M$4:$M$503,_calc!$E$903)),TEXT(INDEX('Dealer pipeline'!$M$4:$M$503,_calc!$E$903),"yyyy-mm-dd"),""),IF(ISNUMBER(INDEX('My equipment'!$M$4:$M$503,(_calc!$E$903-500))),TEXT(INDEX('My equipment'!$M$4:$M$503,(_calc!$E$903-500)),"yyyy-mm-dd"),"")))</f>
        <v/>
      </c>
      <c r="C901" s="54">
        <f>IF(_calc!$E$903="","",IF(_calc!$E$903&lt;=500,"Warranty","Warranty"))</f>
        <v/>
      </c>
      <c r="D901" s="54">
        <f>IF(_calc!$E$903="","",IF(_calc!$E$903&lt;=500,IF(ISNUMBER(INDEX('Dealer pipeline'!$H$4:$H$503,_calc!$E$903)),TEXT(INDEX('Dealer pipeline'!$H$4:$H$503,_calc!$E$903),"yyyy-mm-dd"),""),IF(ISNUMBER(INDEX('My equipment'!$H$4:$H$503,(_calc!$E$903-500))),TEXT(INDEX('My equipment'!$H$4:$H$503,(_calc!$E$903-500)),"yyyy-mm-dd"),"")))</f>
        <v/>
      </c>
      <c r="F901" s="54">
        <f>IF(_calc!$E$903="","",IF(_calc!$E$903&lt;=500,TRIM(IF(LEN(IF(LEN(INDEX('Dealer pipeline'!$A$4:$A$503,_calc!$E$903))=0,"",INDEX('Dealer pipeline'!$A$4:$A$503,_calc!$E$903)))=0,"","Customer: "&amp;IF(LEN(INDEX('Dealer pipeline'!$A$4:$A$503,_calc!$E$903))=0,"",INDEX('Dealer pipeline'!$A$4:$A$503,_calc!$E$903))&amp;". ")&amp;IF(LEN(IF(LEN(INDEX('Dealer pipeline'!$B$4:$B$503,_calc!$E$903))=0,"",INDEX('Dealer pipeline'!$B$4:$B$503,_calc!$E$903)))=0,"","Contact: "&amp;IF(LEN(INDEX('Dealer pipeline'!$B$4:$B$503,_calc!$E$903))=0,"",INDEX('Dealer pipeline'!$B$4:$B$503,_calc!$E$903))&amp;". ")&amp;IF(LEN(IF(LEN(INDEX('Dealer pipeline'!$D$4:$D$503,_calc!$E$903))=0,"",INDEX('Dealer pipeline'!$D$4:$D$503,_calc!$E$903)))=0,"","Serial: "&amp;IF(LEN(INDEX('Dealer pipeline'!$D$4:$D$503,_calc!$E$903))=0,"",INDEX('Dealer pipeline'!$D$4:$D$503,_calc!$E$903))&amp;". ")&amp;IF(LEN(IF(ISNUMBER(INDEX('Dealer pipeline'!$J$4:$J$503,_calc!$E$903)),TEXT(INDEX('Dealer pipeline'!$J$4:$J$503,_calc!$E$903),"yyyy-mm-dd"),""))=0,"","Parts end: "&amp;IF(ISNUMBER(INDEX('Dealer pipeline'!$J$4:$J$503,_calc!$E$903)),TEXT(INDEX('Dealer pipeline'!$J$4:$J$503,_calc!$E$903),"yyyy-mm-dd"),"")&amp;". ")&amp;IF(LEN(IF(ISNUMBER(INDEX('Dealer pipeline'!$L$4:$L$503,_calc!$E$903)),TEXT(INDEX('Dealer pipeline'!$L$4:$L$503,_calc!$E$903),"yyyy-mm-dd"),""))=0,"","Labor end: "&amp;IF(ISNUMBER(INDEX('Dealer pipeline'!$L$4:$L$503,_calc!$E$903)),TEXT(INDEX('Dealer pipeline'!$L$4:$L$503,_calc!$E$903),"yyyy-mm-dd"),"")&amp;". ")&amp;IF(LEN(IF(LEN(INDEX('Dealer pipeline'!$Q$4:$Q$503,_calc!$E$903))=0,"",INDEX('Dealer pipeline'!$Q$4:$Q$503,_calc!$E$903)))=0,"","Status: "&amp;IF(LEN(INDEX('Dealer pipeline'!$Q$4:$Q$503,_calc!$E$903))=0,"",INDEX('Dealer pipeline'!$Q$4:$Q$503,_calc!$E$903))&amp;". ")&amp;IF(LEN(IF(LEN(INDEX('Dealer pipeline'!$P$4:$P$503,_calc!$E$903))=0,"",INDEX('Dealer pipeline'!$P$4:$P$503,_calc!$E$903)))=0,"","Last touch: "&amp;IF(LEN(INDEX('Dealer pipeline'!$P$4:$P$503,_calc!$E$903))=0,"",INDEX('Dealer pipeline'!$P$4:$P$503,_calc!$E$903))&amp;". ")&amp;IF(LEN(IF(LEN(INDEX('Dealer pipeline'!$R$4:$R$503,_calc!$E$903))=0,"",INDEX('Dealer pipeline'!$R$4:$R$503,_calc!$E$903)))=0,"","Owner: "&amp;IF(LEN(INDEX('Dealer pipeline'!$R$4:$R$503,_calc!$E$903))=0,"",INDEX('Dealer pipeline'!$R$4:$R$503,_calc!$E$903))&amp;". ")&amp;IF(LEN(IF(LEN(INDEX('Dealer pipeline'!$S$4:$S$503,_calc!$E$903))=0,"",INDEX('Dealer pipeline'!$S$4:$S$503,_calc!$E$903)))=0,"","Backup: "&amp;IF(LEN(INDEX('Dealer pipeline'!$S$4:$S$503,_calc!$E$903))=0,"",INDEX('Dealer pipeline'!$S$4:$S$503,_calc!$E$903))&amp;". ")&amp;IF(LEN(IF(LEN(INDEX('Dealer pipeline'!$T$4:$T$503,_calc!$E$903))=0,"",INDEX('Dealer pipeline'!$T$4:$T$503,_calc!$E$903)))=0,"",IF(LEN(INDEX('Dealer pipeline'!$T$4:$T$503,_calc!$E$903))=0,"",INDEX('Dealer pipeline'!$T$4:$T$503,_calc!$E$903)))),TRIM(IF(LEN(IF(LEN(INDEX('My equipment'!$C$4:$C$503,(_calc!$E$903-500)))=0,"",INDEX('My equipment'!$C$4:$C$503,(_calc!$E$903-500))))=0,"","Model: "&amp;IF(LEN(INDEX('My equipment'!$C$4:$C$503,(_calc!$E$903-500)))=0,"",INDEX('My equipment'!$C$4:$C$503,(_calc!$E$903-500)))&amp;". ")&amp;IF(LEN(IF(LEN(INDEX('My equipment'!$D$4:$D$503,(_calc!$E$903-500)))=0,"",INDEX('My equipment'!$D$4:$D$503,(_calc!$E$903-500))))=0,"","Serial: "&amp;IF(LEN(INDEX('My equipment'!$D$4:$D$503,(_calc!$E$903-500)))=0,"",INDEX('My equipment'!$D$4:$D$503,(_calc!$E$903-500)))&amp;". ")&amp;IF(LEN(IF(ISNUMBER(INDEX('My equipment'!$J$4:$J$503,(_calc!$E$903-500))),TEXT(INDEX('My equipment'!$J$4:$J$503,(_calc!$E$903-500)),"yyyy-mm-dd"),""))=0,"","Parts end: "&amp;IF(ISNUMBER(INDEX('My equipment'!$J$4:$J$503,(_calc!$E$903-500))),TEXT(INDEX('My equipment'!$J$4:$J$503,(_calc!$E$903-500)),"yyyy-mm-dd"),"")&amp;". ")&amp;IF(LEN(IF(ISNUMBER(INDEX('My equipment'!$L$4:$L$503,(_calc!$E$903-500))),TEXT(INDEX('My equipment'!$L$4:$L$503,(_calc!$E$903-500)),"yyyy-mm-dd"),""))=0,"","Labor end: "&amp;IF(ISNUMBER(INDEX('My equipment'!$L$4:$L$503,(_calc!$E$903-500))),TEXT(INDEX('My equipment'!$L$4:$L$503,(_calc!$E$903-500)),"yyyy-mm-dd"),"")&amp;". ")&amp;IF(LEN(IF(ISNUMBER(INDEX('My equipment'!$P$4:$P$503,(_calc!$E$903-500))),TEXT(INDEX('My equipment'!$P$4:$P$503,(_calc!$E$903-500)),"yyyy-mm-dd"),""))=0,"","Check by: "&amp;IF(ISNUMBER(INDEX('My equipment'!$P$4:$P$503,(_calc!$E$903-500))),TEXT(INDEX('My equipment'!$P$4:$P$503,(_calc!$E$903-500)),"yyyy-mm-dd"),"")&amp;". ")&amp;IF(LEN(IF(LEN(INDEX('My equipment'!$Q$4:$Q$503,(_calc!$E$903-500)))=0,"",INDEX('My equipment'!$Q$4:$Q$503,(_calc!$E$903-500))))=0,"","Claim status: "&amp;IF(LEN(INDEX('My equipment'!$Q$4:$Q$503,(_calc!$E$903-500)))=0,"",INDEX('My equipment'!$Q$4:$Q$503,(_calc!$E$903-500)))&amp;". ")&amp;IF(LEN(IF(LEN(INDEX('My equipment'!$R$4:$R$503,(_calc!$E$903-500)))=0,"",INDEX('My equipment'!$R$4:$R$503,(_calc!$E$903-500))))=0,"","Claims contact: "&amp;IF(LEN(INDEX('My equipment'!$R$4:$R$503,(_calc!$E$903-500)))=0,"",INDEX('My equipment'!$R$4:$R$503,(_calc!$E$903-500)))&amp;". ")&amp;IF(LEN(IF(LEN(INDEX('My equipment'!$S$4:$S$503,(_calc!$E$903-500)))=0,"",INDEX('My equipment'!$S$4:$S$503,(_calc!$E$903-500))))=0,"","Claims email: "&amp;IF(LEN(INDEX('My equipment'!$S$4:$S$503,(_calc!$E$903-500)))=0,"",INDEX('My equipment'!$S$4:$S$503,(_calc!$E$903-500)))&amp;". ")&amp;IF(LEN(IF(LEN(INDEX('My equipment'!$U$4:$U$503,(_calc!$E$903-500)))=0,"",INDEX('My equipment'!$U$4:$U$503,(_calc!$E$903-500))))=0,"","Registered: "&amp;IF(LEN(INDEX('My equipment'!$U$4:$U$503,(_calc!$E$903-500)))=0,"",INDEX('My equipment'!$U$4:$U$503,(_calc!$E$903-500)))&amp;". ")&amp;IF(LEN(IF(LEN(INDEX('My equipment'!$V$4:$V$503,(_calc!$E$903-500)))=0,"",INDEX('My equipment'!$V$4:$V$503,(_calc!$E$903-500))))=0,"","Proof on file: "&amp;IF(LEN(INDEX('My equipment'!$V$4:$V$503,(_calc!$E$903-500)))=0,"",INDEX('My equipment'!$V$4:$V$503,(_calc!$E$903-500)))&amp;". ")&amp;IF(LEN(IF(LEN(INDEX('My equipment'!$W$4:$W$503,(_calc!$E$903-500)))=0,"",INDEX('My equipment'!$W$4:$W$503,(_calc!$E$903-500))))=0,"","Claim ref: "&amp;IF(LEN(INDEX('My equipment'!$W$4:$W$503,(_calc!$E$903-500)))=0,"",INDEX('My equipment'!$W$4:$W$503,(_calc!$E$903-500)))&amp;". ")&amp;IF(LEN(IF(LEN(INDEX('My equipment'!$Y$4:$Y$503,(_calc!$E$903-500)))=0,"",INDEX('My equipment'!$Y$4:$Y$503,(_calc!$E$903-500))))=0,"",IF(LEN(INDEX('My equipment'!$Y$4:$Y$503,(_calc!$E$903-500)))=0,"",INDEX('My equipment'!$Y$4:$Y$503,(_calc!$E$903-500)))))))</f>
        <v/>
      </c>
      <c r="G901" s="54">
        <f>IF(_calc!$E$903="","",IF(_calc!$E$903&lt;=500,"",IF(LEN(INDEX('My equipment'!$X$4:$X$503,(_calc!$E$903-500)))=0,"",INDEX('My equipment'!$X$4:$X$503,(_calc!$E$903-500)))))</f>
        <v/>
      </c>
      <c r="K901" s="54">
        <f>IF(_calc!$E$903="","",IF(_calc!$E$903&lt;=500,"",IF(LEN(INDEX('My equipment'!$T$4:$T$503,(_calc!$E$903-500)))=0,"",INDEX('My equipment'!$T$4:$T$503,(_calc!$E$903-500)))))</f>
        <v/>
      </c>
    </row>
    <row r="902">
      <c r="A902" s="54">
        <f>IF(_calc!$E$904="","",IF(_calc!$E$904&lt;=500,"Warranty – "&amp;IF(LEN(INDEX('Dealer pipeline'!$C$4:$C$503,_calc!$E$904))=0,"",INDEX('Dealer pipeline'!$C$4:$C$503,_calc!$E$904))&amp;" – "&amp;IF(LEN(INDEX('Dealer pipeline'!$D$4:$D$503,_calc!$E$904))=0,"",INDEX('Dealer pipeline'!$D$4:$D$503,_calc!$E$904))&amp;" – "&amp;IF(LEN(INDEX('Dealer pipeline'!$A$4:$A$503,_calc!$E$904))=0,"",INDEX('Dealer pipeline'!$A$4:$A$503,_calc!$E$904)),"Warranty – "&amp;IF(LEN(INDEX('My equipment'!$A$4:$A$503,(_calc!$E$904-500)))=0,"",INDEX('My equipment'!$A$4:$A$503,(_calc!$E$904-500)))&amp;" – "&amp;IF(LEN(INDEX('My equipment'!$D$4:$D$503,(_calc!$E$904-500)))=0,"",INDEX('My equipment'!$D$4:$D$503,(_calc!$E$904-500)))))</f>
        <v/>
      </c>
      <c r="B902" s="54">
        <f>IF(_calc!$E$904="","",IF(_calc!$E$904&lt;=500,IF(ISNUMBER(INDEX('Dealer pipeline'!$M$4:$M$503,_calc!$E$904)),TEXT(INDEX('Dealer pipeline'!$M$4:$M$503,_calc!$E$904),"yyyy-mm-dd"),""),IF(ISNUMBER(INDEX('My equipment'!$M$4:$M$503,(_calc!$E$904-500))),TEXT(INDEX('My equipment'!$M$4:$M$503,(_calc!$E$904-500)),"yyyy-mm-dd"),"")))</f>
        <v/>
      </c>
      <c r="C902" s="54">
        <f>IF(_calc!$E$904="","",IF(_calc!$E$904&lt;=500,"Warranty","Warranty"))</f>
        <v/>
      </c>
      <c r="D902" s="54">
        <f>IF(_calc!$E$904="","",IF(_calc!$E$904&lt;=500,IF(ISNUMBER(INDEX('Dealer pipeline'!$H$4:$H$503,_calc!$E$904)),TEXT(INDEX('Dealer pipeline'!$H$4:$H$503,_calc!$E$904),"yyyy-mm-dd"),""),IF(ISNUMBER(INDEX('My equipment'!$H$4:$H$503,(_calc!$E$904-500))),TEXT(INDEX('My equipment'!$H$4:$H$503,(_calc!$E$904-500)),"yyyy-mm-dd"),"")))</f>
        <v/>
      </c>
      <c r="F902" s="54">
        <f>IF(_calc!$E$904="","",IF(_calc!$E$904&lt;=500,TRIM(IF(LEN(IF(LEN(INDEX('Dealer pipeline'!$A$4:$A$503,_calc!$E$904))=0,"",INDEX('Dealer pipeline'!$A$4:$A$503,_calc!$E$904)))=0,"","Customer: "&amp;IF(LEN(INDEX('Dealer pipeline'!$A$4:$A$503,_calc!$E$904))=0,"",INDEX('Dealer pipeline'!$A$4:$A$503,_calc!$E$904))&amp;". ")&amp;IF(LEN(IF(LEN(INDEX('Dealer pipeline'!$B$4:$B$503,_calc!$E$904))=0,"",INDEX('Dealer pipeline'!$B$4:$B$503,_calc!$E$904)))=0,"","Contact: "&amp;IF(LEN(INDEX('Dealer pipeline'!$B$4:$B$503,_calc!$E$904))=0,"",INDEX('Dealer pipeline'!$B$4:$B$503,_calc!$E$904))&amp;". ")&amp;IF(LEN(IF(LEN(INDEX('Dealer pipeline'!$D$4:$D$503,_calc!$E$904))=0,"",INDEX('Dealer pipeline'!$D$4:$D$503,_calc!$E$904)))=0,"","Serial: "&amp;IF(LEN(INDEX('Dealer pipeline'!$D$4:$D$503,_calc!$E$904))=0,"",INDEX('Dealer pipeline'!$D$4:$D$503,_calc!$E$904))&amp;". ")&amp;IF(LEN(IF(ISNUMBER(INDEX('Dealer pipeline'!$J$4:$J$503,_calc!$E$904)),TEXT(INDEX('Dealer pipeline'!$J$4:$J$503,_calc!$E$904),"yyyy-mm-dd"),""))=0,"","Parts end: "&amp;IF(ISNUMBER(INDEX('Dealer pipeline'!$J$4:$J$503,_calc!$E$904)),TEXT(INDEX('Dealer pipeline'!$J$4:$J$503,_calc!$E$904),"yyyy-mm-dd"),"")&amp;". ")&amp;IF(LEN(IF(ISNUMBER(INDEX('Dealer pipeline'!$L$4:$L$503,_calc!$E$904)),TEXT(INDEX('Dealer pipeline'!$L$4:$L$503,_calc!$E$904),"yyyy-mm-dd"),""))=0,"","Labor end: "&amp;IF(ISNUMBER(INDEX('Dealer pipeline'!$L$4:$L$503,_calc!$E$904)),TEXT(INDEX('Dealer pipeline'!$L$4:$L$503,_calc!$E$904),"yyyy-mm-dd"),"")&amp;". ")&amp;IF(LEN(IF(LEN(INDEX('Dealer pipeline'!$Q$4:$Q$503,_calc!$E$904))=0,"",INDEX('Dealer pipeline'!$Q$4:$Q$503,_calc!$E$904)))=0,"","Status: "&amp;IF(LEN(INDEX('Dealer pipeline'!$Q$4:$Q$503,_calc!$E$904))=0,"",INDEX('Dealer pipeline'!$Q$4:$Q$503,_calc!$E$904))&amp;". ")&amp;IF(LEN(IF(LEN(INDEX('Dealer pipeline'!$P$4:$P$503,_calc!$E$904))=0,"",INDEX('Dealer pipeline'!$P$4:$P$503,_calc!$E$904)))=0,"","Last touch: "&amp;IF(LEN(INDEX('Dealer pipeline'!$P$4:$P$503,_calc!$E$904))=0,"",INDEX('Dealer pipeline'!$P$4:$P$503,_calc!$E$904))&amp;". ")&amp;IF(LEN(IF(LEN(INDEX('Dealer pipeline'!$R$4:$R$503,_calc!$E$904))=0,"",INDEX('Dealer pipeline'!$R$4:$R$503,_calc!$E$904)))=0,"","Owner: "&amp;IF(LEN(INDEX('Dealer pipeline'!$R$4:$R$503,_calc!$E$904))=0,"",INDEX('Dealer pipeline'!$R$4:$R$503,_calc!$E$904))&amp;". ")&amp;IF(LEN(IF(LEN(INDEX('Dealer pipeline'!$S$4:$S$503,_calc!$E$904))=0,"",INDEX('Dealer pipeline'!$S$4:$S$503,_calc!$E$904)))=0,"","Backup: "&amp;IF(LEN(INDEX('Dealer pipeline'!$S$4:$S$503,_calc!$E$904))=0,"",INDEX('Dealer pipeline'!$S$4:$S$503,_calc!$E$904))&amp;". ")&amp;IF(LEN(IF(LEN(INDEX('Dealer pipeline'!$T$4:$T$503,_calc!$E$904))=0,"",INDEX('Dealer pipeline'!$T$4:$T$503,_calc!$E$904)))=0,"",IF(LEN(INDEX('Dealer pipeline'!$T$4:$T$503,_calc!$E$904))=0,"",INDEX('Dealer pipeline'!$T$4:$T$503,_calc!$E$904)))),TRIM(IF(LEN(IF(LEN(INDEX('My equipment'!$C$4:$C$503,(_calc!$E$904-500)))=0,"",INDEX('My equipment'!$C$4:$C$503,(_calc!$E$904-500))))=0,"","Model: "&amp;IF(LEN(INDEX('My equipment'!$C$4:$C$503,(_calc!$E$904-500)))=0,"",INDEX('My equipment'!$C$4:$C$503,(_calc!$E$904-500)))&amp;". ")&amp;IF(LEN(IF(LEN(INDEX('My equipment'!$D$4:$D$503,(_calc!$E$904-500)))=0,"",INDEX('My equipment'!$D$4:$D$503,(_calc!$E$904-500))))=0,"","Serial: "&amp;IF(LEN(INDEX('My equipment'!$D$4:$D$503,(_calc!$E$904-500)))=0,"",INDEX('My equipment'!$D$4:$D$503,(_calc!$E$904-500)))&amp;". ")&amp;IF(LEN(IF(ISNUMBER(INDEX('My equipment'!$J$4:$J$503,(_calc!$E$904-500))),TEXT(INDEX('My equipment'!$J$4:$J$503,(_calc!$E$904-500)),"yyyy-mm-dd"),""))=0,"","Parts end: "&amp;IF(ISNUMBER(INDEX('My equipment'!$J$4:$J$503,(_calc!$E$904-500))),TEXT(INDEX('My equipment'!$J$4:$J$503,(_calc!$E$904-500)),"yyyy-mm-dd"),"")&amp;". ")&amp;IF(LEN(IF(ISNUMBER(INDEX('My equipment'!$L$4:$L$503,(_calc!$E$904-500))),TEXT(INDEX('My equipment'!$L$4:$L$503,(_calc!$E$904-500)),"yyyy-mm-dd"),""))=0,"","Labor end: "&amp;IF(ISNUMBER(INDEX('My equipment'!$L$4:$L$503,(_calc!$E$904-500))),TEXT(INDEX('My equipment'!$L$4:$L$503,(_calc!$E$904-500)),"yyyy-mm-dd"),"")&amp;". ")&amp;IF(LEN(IF(ISNUMBER(INDEX('My equipment'!$P$4:$P$503,(_calc!$E$904-500))),TEXT(INDEX('My equipment'!$P$4:$P$503,(_calc!$E$904-500)),"yyyy-mm-dd"),""))=0,"","Check by: "&amp;IF(ISNUMBER(INDEX('My equipment'!$P$4:$P$503,(_calc!$E$904-500))),TEXT(INDEX('My equipment'!$P$4:$P$503,(_calc!$E$904-500)),"yyyy-mm-dd"),"")&amp;". ")&amp;IF(LEN(IF(LEN(INDEX('My equipment'!$Q$4:$Q$503,(_calc!$E$904-500)))=0,"",INDEX('My equipment'!$Q$4:$Q$503,(_calc!$E$904-500))))=0,"","Claim status: "&amp;IF(LEN(INDEX('My equipment'!$Q$4:$Q$503,(_calc!$E$904-500)))=0,"",INDEX('My equipment'!$Q$4:$Q$503,(_calc!$E$904-500)))&amp;". ")&amp;IF(LEN(IF(LEN(INDEX('My equipment'!$R$4:$R$503,(_calc!$E$904-500)))=0,"",INDEX('My equipment'!$R$4:$R$503,(_calc!$E$904-500))))=0,"","Claims contact: "&amp;IF(LEN(INDEX('My equipment'!$R$4:$R$503,(_calc!$E$904-500)))=0,"",INDEX('My equipment'!$R$4:$R$503,(_calc!$E$904-500)))&amp;". ")&amp;IF(LEN(IF(LEN(INDEX('My equipment'!$S$4:$S$503,(_calc!$E$904-500)))=0,"",INDEX('My equipment'!$S$4:$S$503,(_calc!$E$904-500))))=0,"","Claims email: "&amp;IF(LEN(INDEX('My equipment'!$S$4:$S$503,(_calc!$E$904-500)))=0,"",INDEX('My equipment'!$S$4:$S$503,(_calc!$E$904-500)))&amp;". ")&amp;IF(LEN(IF(LEN(INDEX('My equipment'!$U$4:$U$503,(_calc!$E$904-500)))=0,"",INDEX('My equipment'!$U$4:$U$503,(_calc!$E$904-500))))=0,"","Registered: "&amp;IF(LEN(INDEX('My equipment'!$U$4:$U$503,(_calc!$E$904-500)))=0,"",INDEX('My equipment'!$U$4:$U$503,(_calc!$E$904-500)))&amp;". ")&amp;IF(LEN(IF(LEN(INDEX('My equipment'!$V$4:$V$503,(_calc!$E$904-500)))=0,"",INDEX('My equipment'!$V$4:$V$503,(_calc!$E$904-500))))=0,"","Proof on file: "&amp;IF(LEN(INDEX('My equipment'!$V$4:$V$503,(_calc!$E$904-500)))=0,"",INDEX('My equipment'!$V$4:$V$503,(_calc!$E$904-500)))&amp;". ")&amp;IF(LEN(IF(LEN(INDEX('My equipment'!$W$4:$W$503,(_calc!$E$904-500)))=0,"",INDEX('My equipment'!$W$4:$W$503,(_calc!$E$904-500))))=0,"","Claim ref: "&amp;IF(LEN(INDEX('My equipment'!$W$4:$W$503,(_calc!$E$904-500)))=0,"",INDEX('My equipment'!$W$4:$W$503,(_calc!$E$904-500)))&amp;". ")&amp;IF(LEN(IF(LEN(INDEX('My equipment'!$Y$4:$Y$503,(_calc!$E$904-500)))=0,"",INDEX('My equipment'!$Y$4:$Y$503,(_calc!$E$904-500))))=0,"",IF(LEN(INDEX('My equipment'!$Y$4:$Y$503,(_calc!$E$904-500)))=0,"",INDEX('My equipment'!$Y$4:$Y$503,(_calc!$E$904-500)))))))</f>
        <v/>
      </c>
      <c r="G902" s="54">
        <f>IF(_calc!$E$904="","",IF(_calc!$E$904&lt;=500,"",IF(LEN(INDEX('My equipment'!$X$4:$X$503,(_calc!$E$904-500)))=0,"",INDEX('My equipment'!$X$4:$X$503,(_calc!$E$904-500)))))</f>
        <v/>
      </c>
      <c r="K902" s="54">
        <f>IF(_calc!$E$904="","",IF(_calc!$E$904&lt;=500,"",IF(LEN(INDEX('My equipment'!$T$4:$T$503,(_calc!$E$904-500)))=0,"",INDEX('My equipment'!$T$4:$T$503,(_calc!$E$904-500)))))</f>
        <v/>
      </c>
    </row>
    <row r="903">
      <c r="A903" s="54">
        <f>IF(_calc!$E$905="","",IF(_calc!$E$905&lt;=500,"Warranty – "&amp;IF(LEN(INDEX('Dealer pipeline'!$C$4:$C$503,_calc!$E$905))=0,"",INDEX('Dealer pipeline'!$C$4:$C$503,_calc!$E$905))&amp;" – "&amp;IF(LEN(INDEX('Dealer pipeline'!$D$4:$D$503,_calc!$E$905))=0,"",INDEX('Dealer pipeline'!$D$4:$D$503,_calc!$E$905))&amp;" – "&amp;IF(LEN(INDEX('Dealer pipeline'!$A$4:$A$503,_calc!$E$905))=0,"",INDEX('Dealer pipeline'!$A$4:$A$503,_calc!$E$905)),"Warranty – "&amp;IF(LEN(INDEX('My equipment'!$A$4:$A$503,(_calc!$E$905-500)))=0,"",INDEX('My equipment'!$A$4:$A$503,(_calc!$E$905-500)))&amp;" – "&amp;IF(LEN(INDEX('My equipment'!$D$4:$D$503,(_calc!$E$905-500)))=0,"",INDEX('My equipment'!$D$4:$D$503,(_calc!$E$905-500)))))</f>
        <v/>
      </c>
      <c r="B903" s="54">
        <f>IF(_calc!$E$905="","",IF(_calc!$E$905&lt;=500,IF(ISNUMBER(INDEX('Dealer pipeline'!$M$4:$M$503,_calc!$E$905)),TEXT(INDEX('Dealer pipeline'!$M$4:$M$503,_calc!$E$905),"yyyy-mm-dd"),""),IF(ISNUMBER(INDEX('My equipment'!$M$4:$M$503,(_calc!$E$905-500))),TEXT(INDEX('My equipment'!$M$4:$M$503,(_calc!$E$905-500)),"yyyy-mm-dd"),"")))</f>
        <v/>
      </c>
      <c r="C903" s="54">
        <f>IF(_calc!$E$905="","",IF(_calc!$E$905&lt;=500,"Warranty","Warranty"))</f>
        <v/>
      </c>
      <c r="D903" s="54">
        <f>IF(_calc!$E$905="","",IF(_calc!$E$905&lt;=500,IF(ISNUMBER(INDEX('Dealer pipeline'!$H$4:$H$503,_calc!$E$905)),TEXT(INDEX('Dealer pipeline'!$H$4:$H$503,_calc!$E$905),"yyyy-mm-dd"),""),IF(ISNUMBER(INDEX('My equipment'!$H$4:$H$503,(_calc!$E$905-500))),TEXT(INDEX('My equipment'!$H$4:$H$503,(_calc!$E$905-500)),"yyyy-mm-dd"),"")))</f>
        <v/>
      </c>
      <c r="F903" s="54">
        <f>IF(_calc!$E$905="","",IF(_calc!$E$905&lt;=500,TRIM(IF(LEN(IF(LEN(INDEX('Dealer pipeline'!$A$4:$A$503,_calc!$E$905))=0,"",INDEX('Dealer pipeline'!$A$4:$A$503,_calc!$E$905)))=0,"","Customer: "&amp;IF(LEN(INDEX('Dealer pipeline'!$A$4:$A$503,_calc!$E$905))=0,"",INDEX('Dealer pipeline'!$A$4:$A$503,_calc!$E$905))&amp;". ")&amp;IF(LEN(IF(LEN(INDEX('Dealer pipeline'!$B$4:$B$503,_calc!$E$905))=0,"",INDEX('Dealer pipeline'!$B$4:$B$503,_calc!$E$905)))=0,"","Contact: "&amp;IF(LEN(INDEX('Dealer pipeline'!$B$4:$B$503,_calc!$E$905))=0,"",INDEX('Dealer pipeline'!$B$4:$B$503,_calc!$E$905))&amp;". ")&amp;IF(LEN(IF(LEN(INDEX('Dealer pipeline'!$D$4:$D$503,_calc!$E$905))=0,"",INDEX('Dealer pipeline'!$D$4:$D$503,_calc!$E$905)))=0,"","Serial: "&amp;IF(LEN(INDEX('Dealer pipeline'!$D$4:$D$503,_calc!$E$905))=0,"",INDEX('Dealer pipeline'!$D$4:$D$503,_calc!$E$905))&amp;". ")&amp;IF(LEN(IF(ISNUMBER(INDEX('Dealer pipeline'!$J$4:$J$503,_calc!$E$905)),TEXT(INDEX('Dealer pipeline'!$J$4:$J$503,_calc!$E$905),"yyyy-mm-dd"),""))=0,"","Parts end: "&amp;IF(ISNUMBER(INDEX('Dealer pipeline'!$J$4:$J$503,_calc!$E$905)),TEXT(INDEX('Dealer pipeline'!$J$4:$J$503,_calc!$E$905),"yyyy-mm-dd"),"")&amp;". ")&amp;IF(LEN(IF(ISNUMBER(INDEX('Dealer pipeline'!$L$4:$L$503,_calc!$E$905)),TEXT(INDEX('Dealer pipeline'!$L$4:$L$503,_calc!$E$905),"yyyy-mm-dd"),""))=0,"","Labor end: "&amp;IF(ISNUMBER(INDEX('Dealer pipeline'!$L$4:$L$503,_calc!$E$905)),TEXT(INDEX('Dealer pipeline'!$L$4:$L$503,_calc!$E$905),"yyyy-mm-dd"),"")&amp;". ")&amp;IF(LEN(IF(LEN(INDEX('Dealer pipeline'!$Q$4:$Q$503,_calc!$E$905))=0,"",INDEX('Dealer pipeline'!$Q$4:$Q$503,_calc!$E$905)))=0,"","Status: "&amp;IF(LEN(INDEX('Dealer pipeline'!$Q$4:$Q$503,_calc!$E$905))=0,"",INDEX('Dealer pipeline'!$Q$4:$Q$503,_calc!$E$905))&amp;". ")&amp;IF(LEN(IF(LEN(INDEX('Dealer pipeline'!$P$4:$P$503,_calc!$E$905))=0,"",INDEX('Dealer pipeline'!$P$4:$P$503,_calc!$E$905)))=0,"","Last touch: "&amp;IF(LEN(INDEX('Dealer pipeline'!$P$4:$P$503,_calc!$E$905))=0,"",INDEX('Dealer pipeline'!$P$4:$P$503,_calc!$E$905))&amp;". ")&amp;IF(LEN(IF(LEN(INDEX('Dealer pipeline'!$R$4:$R$503,_calc!$E$905))=0,"",INDEX('Dealer pipeline'!$R$4:$R$503,_calc!$E$905)))=0,"","Owner: "&amp;IF(LEN(INDEX('Dealer pipeline'!$R$4:$R$503,_calc!$E$905))=0,"",INDEX('Dealer pipeline'!$R$4:$R$503,_calc!$E$905))&amp;". ")&amp;IF(LEN(IF(LEN(INDEX('Dealer pipeline'!$S$4:$S$503,_calc!$E$905))=0,"",INDEX('Dealer pipeline'!$S$4:$S$503,_calc!$E$905)))=0,"","Backup: "&amp;IF(LEN(INDEX('Dealer pipeline'!$S$4:$S$503,_calc!$E$905))=0,"",INDEX('Dealer pipeline'!$S$4:$S$503,_calc!$E$905))&amp;". ")&amp;IF(LEN(IF(LEN(INDEX('Dealer pipeline'!$T$4:$T$503,_calc!$E$905))=0,"",INDEX('Dealer pipeline'!$T$4:$T$503,_calc!$E$905)))=0,"",IF(LEN(INDEX('Dealer pipeline'!$T$4:$T$503,_calc!$E$905))=0,"",INDEX('Dealer pipeline'!$T$4:$T$503,_calc!$E$905)))),TRIM(IF(LEN(IF(LEN(INDEX('My equipment'!$C$4:$C$503,(_calc!$E$905-500)))=0,"",INDEX('My equipment'!$C$4:$C$503,(_calc!$E$905-500))))=0,"","Model: "&amp;IF(LEN(INDEX('My equipment'!$C$4:$C$503,(_calc!$E$905-500)))=0,"",INDEX('My equipment'!$C$4:$C$503,(_calc!$E$905-500)))&amp;". ")&amp;IF(LEN(IF(LEN(INDEX('My equipment'!$D$4:$D$503,(_calc!$E$905-500)))=0,"",INDEX('My equipment'!$D$4:$D$503,(_calc!$E$905-500))))=0,"","Serial: "&amp;IF(LEN(INDEX('My equipment'!$D$4:$D$503,(_calc!$E$905-500)))=0,"",INDEX('My equipment'!$D$4:$D$503,(_calc!$E$905-500)))&amp;". ")&amp;IF(LEN(IF(ISNUMBER(INDEX('My equipment'!$J$4:$J$503,(_calc!$E$905-500))),TEXT(INDEX('My equipment'!$J$4:$J$503,(_calc!$E$905-500)),"yyyy-mm-dd"),""))=0,"","Parts end: "&amp;IF(ISNUMBER(INDEX('My equipment'!$J$4:$J$503,(_calc!$E$905-500))),TEXT(INDEX('My equipment'!$J$4:$J$503,(_calc!$E$905-500)),"yyyy-mm-dd"),"")&amp;". ")&amp;IF(LEN(IF(ISNUMBER(INDEX('My equipment'!$L$4:$L$503,(_calc!$E$905-500))),TEXT(INDEX('My equipment'!$L$4:$L$503,(_calc!$E$905-500)),"yyyy-mm-dd"),""))=0,"","Labor end: "&amp;IF(ISNUMBER(INDEX('My equipment'!$L$4:$L$503,(_calc!$E$905-500))),TEXT(INDEX('My equipment'!$L$4:$L$503,(_calc!$E$905-500)),"yyyy-mm-dd"),"")&amp;". ")&amp;IF(LEN(IF(ISNUMBER(INDEX('My equipment'!$P$4:$P$503,(_calc!$E$905-500))),TEXT(INDEX('My equipment'!$P$4:$P$503,(_calc!$E$905-500)),"yyyy-mm-dd"),""))=0,"","Check by: "&amp;IF(ISNUMBER(INDEX('My equipment'!$P$4:$P$503,(_calc!$E$905-500))),TEXT(INDEX('My equipment'!$P$4:$P$503,(_calc!$E$905-500)),"yyyy-mm-dd"),"")&amp;". ")&amp;IF(LEN(IF(LEN(INDEX('My equipment'!$Q$4:$Q$503,(_calc!$E$905-500)))=0,"",INDEX('My equipment'!$Q$4:$Q$503,(_calc!$E$905-500))))=0,"","Claim status: "&amp;IF(LEN(INDEX('My equipment'!$Q$4:$Q$503,(_calc!$E$905-500)))=0,"",INDEX('My equipment'!$Q$4:$Q$503,(_calc!$E$905-500)))&amp;". ")&amp;IF(LEN(IF(LEN(INDEX('My equipment'!$R$4:$R$503,(_calc!$E$905-500)))=0,"",INDEX('My equipment'!$R$4:$R$503,(_calc!$E$905-500))))=0,"","Claims contact: "&amp;IF(LEN(INDEX('My equipment'!$R$4:$R$503,(_calc!$E$905-500)))=0,"",INDEX('My equipment'!$R$4:$R$503,(_calc!$E$905-500)))&amp;". ")&amp;IF(LEN(IF(LEN(INDEX('My equipment'!$S$4:$S$503,(_calc!$E$905-500)))=0,"",INDEX('My equipment'!$S$4:$S$503,(_calc!$E$905-500))))=0,"","Claims email: "&amp;IF(LEN(INDEX('My equipment'!$S$4:$S$503,(_calc!$E$905-500)))=0,"",INDEX('My equipment'!$S$4:$S$503,(_calc!$E$905-500)))&amp;". ")&amp;IF(LEN(IF(LEN(INDEX('My equipment'!$U$4:$U$503,(_calc!$E$905-500)))=0,"",INDEX('My equipment'!$U$4:$U$503,(_calc!$E$905-500))))=0,"","Registered: "&amp;IF(LEN(INDEX('My equipment'!$U$4:$U$503,(_calc!$E$905-500)))=0,"",INDEX('My equipment'!$U$4:$U$503,(_calc!$E$905-500)))&amp;". ")&amp;IF(LEN(IF(LEN(INDEX('My equipment'!$V$4:$V$503,(_calc!$E$905-500)))=0,"",INDEX('My equipment'!$V$4:$V$503,(_calc!$E$905-500))))=0,"","Proof on file: "&amp;IF(LEN(INDEX('My equipment'!$V$4:$V$503,(_calc!$E$905-500)))=0,"",INDEX('My equipment'!$V$4:$V$503,(_calc!$E$905-500)))&amp;". ")&amp;IF(LEN(IF(LEN(INDEX('My equipment'!$W$4:$W$503,(_calc!$E$905-500)))=0,"",INDEX('My equipment'!$W$4:$W$503,(_calc!$E$905-500))))=0,"","Claim ref: "&amp;IF(LEN(INDEX('My equipment'!$W$4:$W$503,(_calc!$E$905-500)))=0,"",INDEX('My equipment'!$W$4:$W$503,(_calc!$E$905-500)))&amp;". ")&amp;IF(LEN(IF(LEN(INDEX('My equipment'!$Y$4:$Y$503,(_calc!$E$905-500)))=0,"",INDEX('My equipment'!$Y$4:$Y$503,(_calc!$E$905-500))))=0,"",IF(LEN(INDEX('My equipment'!$Y$4:$Y$503,(_calc!$E$905-500)))=0,"",INDEX('My equipment'!$Y$4:$Y$503,(_calc!$E$905-500)))))))</f>
        <v/>
      </c>
      <c r="G903" s="54">
        <f>IF(_calc!$E$905="","",IF(_calc!$E$905&lt;=500,"",IF(LEN(INDEX('My equipment'!$X$4:$X$503,(_calc!$E$905-500)))=0,"",INDEX('My equipment'!$X$4:$X$503,(_calc!$E$905-500)))))</f>
        <v/>
      </c>
      <c r="K903" s="54">
        <f>IF(_calc!$E$905="","",IF(_calc!$E$905&lt;=500,"",IF(LEN(INDEX('My equipment'!$T$4:$T$503,(_calc!$E$905-500)))=0,"",INDEX('My equipment'!$T$4:$T$503,(_calc!$E$905-500)))))</f>
        <v/>
      </c>
    </row>
    <row r="904">
      <c r="A904" s="54">
        <f>IF(_calc!$E$906="","",IF(_calc!$E$906&lt;=500,"Warranty – "&amp;IF(LEN(INDEX('Dealer pipeline'!$C$4:$C$503,_calc!$E$906))=0,"",INDEX('Dealer pipeline'!$C$4:$C$503,_calc!$E$906))&amp;" – "&amp;IF(LEN(INDEX('Dealer pipeline'!$D$4:$D$503,_calc!$E$906))=0,"",INDEX('Dealer pipeline'!$D$4:$D$503,_calc!$E$906))&amp;" – "&amp;IF(LEN(INDEX('Dealer pipeline'!$A$4:$A$503,_calc!$E$906))=0,"",INDEX('Dealer pipeline'!$A$4:$A$503,_calc!$E$906)),"Warranty – "&amp;IF(LEN(INDEX('My equipment'!$A$4:$A$503,(_calc!$E$906-500)))=0,"",INDEX('My equipment'!$A$4:$A$503,(_calc!$E$906-500)))&amp;" – "&amp;IF(LEN(INDEX('My equipment'!$D$4:$D$503,(_calc!$E$906-500)))=0,"",INDEX('My equipment'!$D$4:$D$503,(_calc!$E$906-500)))))</f>
        <v/>
      </c>
      <c r="B904" s="54">
        <f>IF(_calc!$E$906="","",IF(_calc!$E$906&lt;=500,IF(ISNUMBER(INDEX('Dealer pipeline'!$M$4:$M$503,_calc!$E$906)),TEXT(INDEX('Dealer pipeline'!$M$4:$M$503,_calc!$E$906),"yyyy-mm-dd"),""),IF(ISNUMBER(INDEX('My equipment'!$M$4:$M$503,(_calc!$E$906-500))),TEXT(INDEX('My equipment'!$M$4:$M$503,(_calc!$E$906-500)),"yyyy-mm-dd"),"")))</f>
        <v/>
      </c>
      <c r="C904" s="54">
        <f>IF(_calc!$E$906="","",IF(_calc!$E$906&lt;=500,"Warranty","Warranty"))</f>
        <v/>
      </c>
      <c r="D904" s="54">
        <f>IF(_calc!$E$906="","",IF(_calc!$E$906&lt;=500,IF(ISNUMBER(INDEX('Dealer pipeline'!$H$4:$H$503,_calc!$E$906)),TEXT(INDEX('Dealer pipeline'!$H$4:$H$503,_calc!$E$906),"yyyy-mm-dd"),""),IF(ISNUMBER(INDEX('My equipment'!$H$4:$H$503,(_calc!$E$906-500))),TEXT(INDEX('My equipment'!$H$4:$H$503,(_calc!$E$906-500)),"yyyy-mm-dd"),"")))</f>
        <v/>
      </c>
      <c r="F904" s="54">
        <f>IF(_calc!$E$906="","",IF(_calc!$E$906&lt;=500,TRIM(IF(LEN(IF(LEN(INDEX('Dealer pipeline'!$A$4:$A$503,_calc!$E$906))=0,"",INDEX('Dealer pipeline'!$A$4:$A$503,_calc!$E$906)))=0,"","Customer: "&amp;IF(LEN(INDEX('Dealer pipeline'!$A$4:$A$503,_calc!$E$906))=0,"",INDEX('Dealer pipeline'!$A$4:$A$503,_calc!$E$906))&amp;". ")&amp;IF(LEN(IF(LEN(INDEX('Dealer pipeline'!$B$4:$B$503,_calc!$E$906))=0,"",INDEX('Dealer pipeline'!$B$4:$B$503,_calc!$E$906)))=0,"","Contact: "&amp;IF(LEN(INDEX('Dealer pipeline'!$B$4:$B$503,_calc!$E$906))=0,"",INDEX('Dealer pipeline'!$B$4:$B$503,_calc!$E$906))&amp;". ")&amp;IF(LEN(IF(LEN(INDEX('Dealer pipeline'!$D$4:$D$503,_calc!$E$906))=0,"",INDEX('Dealer pipeline'!$D$4:$D$503,_calc!$E$906)))=0,"","Serial: "&amp;IF(LEN(INDEX('Dealer pipeline'!$D$4:$D$503,_calc!$E$906))=0,"",INDEX('Dealer pipeline'!$D$4:$D$503,_calc!$E$906))&amp;". ")&amp;IF(LEN(IF(ISNUMBER(INDEX('Dealer pipeline'!$J$4:$J$503,_calc!$E$906)),TEXT(INDEX('Dealer pipeline'!$J$4:$J$503,_calc!$E$906),"yyyy-mm-dd"),""))=0,"","Parts end: "&amp;IF(ISNUMBER(INDEX('Dealer pipeline'!$J$4:$J$503,_calc!$E$906)),TEXT(INDEX('Dealer pipeline'!$J$4:$J$503,_calc!$E$906),"yyyy-mm-dd"),"")&amp;". ")&amp;IF(LEN(IF(ISNUMBER(INDEX('Dealer pipeline'!$L$4:$L$503,_calc!$E$906)),TEXT(INDEX('Dealer pipeline'!$L$4:$L$503,_calc!$E$906),"yyyy-mm-dd"),""))=0,"","Labor end: "&amp;IF(ISNUMBER(INDEX('Dealer pipeline'!$L$4:$L$503,_calc!$E$906)),TEXT(INDEX('Dealer pipeline'!$L$4:$L$503,_calc!$E$906),"yyyy-mm-dd"),"")&amp;". ")&amp;IF(LEN(IF(LEN(INDEX('Dealer pipeline'!$Q$4:$Q$503,_calc!$E$906))=0,"",INDEX('Dealer pipeline'!$Q$4:$Q$503,_calc!$E$906)))=0,"","Status: "&amp;IF(LEN(INDEX('Dealer pipeline'!$Q$4:$Q$503,_calc!$E$906))=0,"",INDEX('Dealer pipeline'!$Q$4:$Q$503,_calc!$E$906))&amp;". ")&amp;IF(LEN(IF(LEN(INDEX('Dealer pipeline'!$P$4:$P$503,_calc!$E$906))=0,"",INDEX('Dealer pipeline'!$P$4:$P$503,_calc!$E$906)))=0,"","Last touch: "&amp;IF(LEN(INDEX('Dealer pipeline'!$P$4:$P$503,_calc!$E$906))=0,"",INDEX('Dealer pipeline'!$P$4:$P$503,_calc!$E$906))&amp;". ")&amp;IF(LEN(IF(LEN(INDEX('Dealer pipeline'!$R$4:$R$503,_calc!$E$906))=0,"",INDEX('Dealer pipeline'!$R$4:$R$503,_calc!$E$906)))=0,"","Owner: "&amp;IF(LEN(INDEX('Dealer pipeline'!$R$4:$R$503,_calc!$E$906))=0,"",INDEX('Dealer pipeline'!$R$4:$R$503,_calc!$E$906))&amp;". ")&amp;IF(LEN(IF(LEN(INDEX('Dealer pipeline'!$S$4:$S$503,_calc!$E$906))=0,"",INDEX('Dealer pipeline'!$S$4:$S$503,_calc!$E$906)))=0,"","Backup: "&amp;IF(LEN(INDEX('Dealer pipeline'!$S$4:$S$503,_calc!$E$906))=0,"",INDEX('Dealer pipeline'!$S$4:$S$503,_calc!$E$906))&amp;". ")&amp;IF(LEN(IF(LEN(INDEX('Dealer pipeline'!$T$4:$T$503,_calc!$E$906))=0,"",INDEX('Dealer pipeline'!$T$4:$T$503,_calc!$E$906)))=0,"",IF(LEN(INDEX('Dealer pipeline'!$T$4:$T$503,_calc!$E$906))=0,"",INDEX('Dealer pipeline'!$T$4:$T$503,_calc!$E$906)))),TRIM(IF(LEN(IF(LEN(INDEX('My equipment'!$C$4:$C$503,(_calc!$E$906-500)))=0,"",INDEX('My equipment'!$C$4:$C$503,(_calc!$E$906-500))))=0,"","Model: "&amp;IF(LEN(INDEX('My equipment'!$C$4:$C$503,(_calc!$E$906-500)))=0,"",INDEX('My equipment'!$C$4:$C$503,(_calc!$E$906-500)))&amp;". ")&amp;IF(LEN(IF(LEN(INDEX('My equipment'!$D$4:$D$503,(_calc!$E$906-500)))=0,"",INDEX('My equipment'!$D$4:$D$503,(_calc!$E$906-500))))=0,"","Serial: "&amp;IF(LEN(INDEX('My equipment'!$D$4:$D$503,(_calc!$E$906-500)))=0,"",INDEX('My equipment'!$D$4:$D$503,(_calc!$E$906-500)))&amp;". ")&amp;IF(LEN(IF(ISNUMBER(INDEX('My equipment'!$J$4:$J$503,(_calc!$E$906-500))),TEXT(INDEX('My equipment'!$J$4:$J$503,(_calc!$E$906-500)),"yyyy-mm-dd"),""))=0,"","Parts end: "&amp;IF(ISNUMBER(INDEX('My equipment'!$J$4:$J$503,(_calc!$E$906-500))),TEXT(INDEX('My equipment'!$J$4:$J$503,(_calc!$E$906-500)),"yyyy-mm-dd"),"")&amp;". ")&amp;IF(LEN(IF(ISNUMBER(INDEX('My equipment'!$L$4:$L$503,(_calc!$E$906-500))),TEXT(INDEX('My equipment'!$L$4:$L$503,(_calc!$E$906-500)),"yyyy-mm-dd"),""))=0,"","Labor end: "&amp;IF(ISNUMBER(INDEX('My equipment'!$L$4:$L$503,(_calc!$E$906-500))),TEXT(INDEX('My equipment'!$L$4:$L$503,(_calc!$E$906-500)),"yyyy-mm-dd"),"")&amp;". ")&amp;IF(LEN(IF(ISNUMBER(INDEX('My equipment'!$P$4:$P$503,(_calc!$E$906-500))),TEXT(INDEX('My equipment'!$P$4:$P$503,(_calc!$E$906-500)),"yyyy-mm-dd"),""))=0,"","Check by: "&amp;IF(ISNUMBER(INDEX('My equipment'!$P$4:$P$503,(_calc!$E$906-500))),TEXT(INDEX('My equipment'!$P$4:$P$503,(_calc!$E$906-500)),"yyyy-mm-dd"),"")&amp;". ")&amp;IF(LEN(IF(LEN(INDEX('My equipment'!$Q$4:$Q$503,(_calc!$E$906-500)))=0,"",INDEX('My equipment'!$Q$4:$Q$503,(_calc!$E$906-500))))=0,"","Claim status: "&amp;IF(LEN(INDEX('My equipment'!$Q$4:$Q$503,(_calc!$E$906-500)))=0,"",INDEX('My equipment'!$Q$4:$Q$503,(_calc!$E$906-500)))&amp;". ")&amp;IF(LEN(IF(LEN(INDEX('My equipment'!$R$4:$R$503,(_calc!$E$906-500)))=0,"",INDEX('My equipment'!$R$4:$R$503,(_calc!$E$906-500))))=0,"","Claims contact: "&amp;IF(LEN(INDEX('My equipment'!$R$4:$R$503,(_calc!$E$906-500)))=0,"",INDEX('My equipment'!$R$4:$R$503,(_calc!$E$906-500)))&amp;". ")&amp;IF(LEN(IF(LEN(INDEX('My equipment'!$S$4:$S$503,(_calc!$E$906-500)))=0,"",INDEX('My equipment'!$S$4:$S$503,(_calc!$E$906-500))))=0,"","Claims email: "&amp;IF(LEN(INDEX('My equipment'!$S$4:$S$503,(_calc!$E$906-500)))=0,"",INDEX('My equipment'!$S$4:$S$503,(_calc!$E$906-500)))&amp;". ")&amp;IF(LEN(IF(LEN(INDEX('My equipment'!$U$4:$U$503,(_calc!$E$906-500)))=0,"",INDEX('My equipment'!$U$4:$U$503,(_calc!$E$906-500))))=0,"","Registered: "&amp;IF(LEN(INDEX('My equipment'!$U$4:$U$503,(_calc!$E$906-500)))=0,"",INDEX('My equipment'!$U$4:$U$503,(_calc!$E$906-500)))&amp;". ")&amp;IF(LEN(IF(LEN(INDEX('My equipment'!$V$4:$V$503,(_calc!$E$906-500)))=0,"",INDEX('My equipment'!$V$4:$V$503,(_calc!$E$906-500))))=0,"","Proof on file: "&amp;IF(LEN(INDEX('My equipment'!$V$4:$V$503,(_calc!$E$906-500)))=0,"",INDEX('My equipment'!$V$4:$V$503,(_calc!$E$906-500)))&amp;". ")&amp;IF(LEN(IF(LEN(INDEX('My equipment'!$W$4:$W$503,(_calc!$E$906-500)))=0,"",INDEX('My equipment'!$W$4:$W$503,(_calc!$E$906-500))))=0,"","Claim ref: "&amp;IF(LEN(INDEX('My equipment'!$W$4:$W$503,(_calc!$E$906-500)))=0,"",INDEX('My equipment'!$W$4:$W$503,(_calc!$E$906-500)))&amp;". ")&amp;IF(LEN(IF(LEN(INDEX('My equipment'!$Y$4:$Y$503,(_calc!$E$906-500)))=0,"",INDEX('My equipment'!$Y$4:$Y$503,(_calc!$E$906-500))))=0,"",IF(LEN(INDEX('My equipment'!$Y$4:$Y$503,(_calc!$E$906-500)))=0,"",INDEX('My equipment'!$Y$4:$Y$503,(_calc!$E$906-500)))))))</f>
        <v/>
      </c>
      <c r="G904" s="54">
        <f>IF(_calc!$E$906="","",IF(_calc!$E$906&lt;=500,"",IF(LEN(INDEX('My equipment'!$X$4:$X$503,(_calc!$E$906-500)))=0,"",INDEX('My equipment'!$X$4:$X$503,(_calc!$E$906-500)))))</f>
        <v/>
      </c>
      <c r="K904" s="54">
        <f>IF(_calc!$E$906="","",IF(_calc!$E$906&lt;=500,"",IF(LEN(INDEX('My equipment'!$T$4:$T$503,(_calc!$E$906-500)))=0,"",INDEX('My equipment'!$T$4:$T$503,(_calc!$E$906-500)))))</f>
        <v/>
      </c>
    </row>
    <row r="905">
      <c r="A905" s="54">
        <f>IF(_calc!$E$907="","",IF(_calc!$E$907&lt;=500,"Warranty – "&amp;IF(LEN(INDEX('Dealer pipeline'!$C$4:$C$503,_calc!$E$907))=0,"",INDEX('Dealer pipeline'!$C$4:$C$503,_calc!$E$907))&amp;" – "&amp;IF(LEN(INDEX('Dealer pipeline'!$D$4:$D$503,_calc!$E$907))=0,"",INDEX('Dealer pipeline'!$D$4:$D$503,_calc!$E$907))&amp;" – "&amp;IF(LEN(INDEX('Dealer pipeline'!$A$4:$A$503,_calc!$E$907))=0,"",INDEX('Dealer pipeline'!$A$4:$A$503,_calc!$E$907)),"Warranty – "&amp;IF(LEN(INDEX('My equipment'!$A$4:$A$503,(_calc!$E$907-500)))=0,"",INDEX('My equipment'!$A$4:$A$503,(_calc!$E$907-500)))&amp;" – "&amp;IF(LEN(INDEX('My equipment'!$D$4:$D$503,(_calc!$E$907-500)))=0,"",INDEX('My equipment'!$D$4:$D$503,(_calc!$E$907-500)))))</f>
        <v/>
      </c>
      <c r="B905" s="54">
        <f>IF(_calc!$E$907="","",IF(_calc!$E$907&lt;=500,IF(ISNUMBER(INDEX('Dealer pipeline'!$M$4:$M$503,_calc!$E$907)),TEXT(INDEX('Dealer pipeline'!$M$4:$M$503,_calc!$E$907),"yyyy-mm-dd"),""),IF(ISNUMBER(INDEX('My equipment'!$M$4:$M$503,(_calc!$E$907-500))),TEXT(INDEX('My equipment'!$M$4:$M$503,(_calc!$E$907-500)),"yyyy-mm-dd"),"")))</f>
        <v/>
      </c>
      <c r="C905" s="54">
        <f>IF(_calc!$E$907="","",IF(_calc!$E$907&lt;=500,"Warranty","Warranty"))</f>
        <v/>
      </c>
      <c r="D905" s="54">
        <f>IF(_calc!$E$907="","",IF(_calc!$E$907&lt;=500,IF(ISNUMBER(INDEX('Dealer pipeline'!$H$4:$H$503,_calc!$E$907)),TEXT(INDEX('Dealer pipeline'!$H$4:$H$503,_calc!$E$907),"yyyy-mm-dd"),""),IF(ISNUMBER(INDEX('My equipment'!$H$4:$H$503,(_calc!$E$907-500))),TEXT(INDEX('My equipment'!$H$4:$H$503,(_calc!$E$907-500)),"yyyy-mm-dd"),"")))</f>
        <v/>
      </c>
      <c r="F905" s="54">
        <f>IF(_calc!$E$907="","",IF(_calc!$E$907&lt;=500,TRIM(IF(LEN(IF(LEN(INDEX('Dealer pipeline'!$A$4:$A$503,_calc!$E$907))=0,"",INDEX('Dealer pipeline'!$A$4:$A$503,_calc!$E$907)))=0,"","Customer: "&amp;IF(LEN(INDEX('Dealer pipeline'!$A$4:$A$503,_calc!$E$907))=0,"",INDEX('Dealer pipeline'!$A$4:$A$503,_calc!$E$907))&amp;". ")&amp;IF(LEN(IF(LEN(INDEX('Dealer pipeline'!$B$4:$B$503,_calc!$E$907))=0,"",INDEX('Dealer pipeline'!$B$4:$B$503,_calc!$E$907)))=0,"","Contact: "&amp;IF(LEN(INDEX('Dealer pipeline'!$B$4:$B$503,_calc!$E$907))=0,"",INDEX('Dealer pipeline'!$B$4:$B$503,_calc!$E$907))&amp;". ")&amp;IF(LEN(IF(LEN(INDEX('Dealer pipeline'!$D$4:$D$503,_calc!$E$907))=0,"",INDEX('Dealer pipeline'!$D$4:$D$503,_calc!$E$907)))=0,"","Serial: "&amp;IF(LEN(INDEX('Dealer pipeline'!$D$4:$D$503,_calc!$E$907))=0,"",INDEX('Dealer pipeline'!$D$4:$D$503,_calc!$E$907))&amp;". ")&amp;IF(LEN(IF(ISNUMBER(INDEX('Dealer pipeline'!$J$4:$J$503,_calc!$E$907)),TEXT(INDEX('Dealer pipeline'!$J$4:$J$503,_calc!$E$907),"yyyy-mm-dd"),""))=0,"","Parts end: "&amp;IF(ISNUMBER(INDEX('Dealer pipeline'!$J$4:$J$503,_calc!$E$907)),TEXT(INDEX('Dealer pipeline'!$J$4:$J$503,_calc!$E$907),"yyyy-mm-dd"),"")&amp;". ")&amp;IF(LEN(IF(ISNUMBER(INDEX('Dealer pipeline'!$L$4:$L$503,_calc!$E$907)),TEXT(INDEX('Dealer pipeline'!$L$4:$L$503,_calc!$E$907),"yyyy-mm-dd"),""))=0,"","Labor end: "&amp;IF(ISNUMBER(INDEX('Dealer pipeline'!$L$4:$L$503,_calc!$E$907)),TEXT(INDEX('Dealer pipeline'!$L$4:$L$503,_calc!$E$907),"yyyy-mm-dd"),"")&amp;". ")&amp;IF(LEN(IF(LEN(INDEX('Dealer pipeline'!$Q$4:$Q$503,_calc!$E$907))=0,"",INDEX('Dealer pipeline'!$Q$4:$Q$503,_calc!$E$907)))=0,"","Status: "&amp;IF(LEN(INDEX('Dealer pipeline'!$Q$4:$Q$503,_calc!$E$907))=0,"",INDEX('Dealer pipeline'!$Q$4:$Q$503,_calc!$E$907))&amp;". ")&amp;IF(LEN(IF(LEN(INDEX('Dealer pipeline'!$P$4:$P$503,_calc!$E$907))=0,"",INDEX('Dealer pipeline'!$P$4:$P$503,_calc!$E$907)))=0,"","Last touch: "&amp;IF(LEN(INDEX('Dealer pipeline'!$P$4:$P$503,_calc!$E$907))=0,"",INDEX('Dealer pipeline'!$P$4:$P$503,_calc!$E$907))&amp;". ")&amp;IF(LEN(IF(LEN(INDEX('Dealer pipeline'!$R$4:$R$503,_calc!$E$907))=0,"",INDEX('Dealer pipeline'!$R$4:$R$503,_calc!$E$907)))=0,"","Owner: "&amp;IF(LEN(INDEX('Dealer pipeline'!$R$4:$R$503,_calc!$E$907))=0,"",INDEX('Dealer pipeline'!$R$4:$R$503,_calc!$E$907))&amp;". ")&amp;IF(LEN(IF(LEN(INDEX('Dealer pipeline'!$S$4:$S$503,_calc!$E$907))=0,"",INDEX('Dealer pipeline'!$S$4:$S$503,_calc!$E$907)))=0,"","Backup: "&amp;IF(LEN(INDEX('Dealer pipeline'!$S$4:$S$503,_calc!$E$907))=0,"",INDEX('Dealer pipeline'!$S$4:$S$503,_calc!$E$907))&amp;". ")&amp;IF(LEN(IF(LEN(INDEX('Dealer pipeline'!$T$4:$T$503,_calc!$E$907))=0,"",INDEX('Dealer pipeline'!$T$4:$T$503,_calc!$E$907)))=0,"",IF(LEN(INDEX('Dealer pipeline'!$T$4:$T$503,_calc!$E$907))=0,"",INDEX('Dealer pipeline'!$T$4:$T$503,_calc!$E$907)))),TRIM(IF(LEN(IF(LEN(INDEX('My equipment'!$C$4:$C$503,(_calc!$E$907-500)))=0,"",INDEX('My equipment'!$C$4:$C$503,(_calc!$E$907-500))))=0,"","Model: "&amp;IF(LEN(INDEX('My equipment'!$C$4:$C$503,(_calc!$E$907-500)))=0,"",INDEX('My equipment'!$C$4:$C$503,(_calc!$E$907-500)))&amp;". ")&amp;IF(LEN(IF(LEN(INDEX('My equipment'!$D$4:$D$503,(_calc!$E$907-500)))=0,"",INDEX('My equipment'!$D$4:$D$503,(_calc!$E$907-500))))=0,"","Serial: "&amp;IF(LEN(INDEX('My equipment'!$D$4:$D$503,(_calc!$E$907-500)))=0,"",INDEX('My equipment'!$D$4:$D$503,(_calc!$E$907-500)))&amp;". ")&amp;IF(LEN(IF(ISNUMBER(INDEX('My equipment'!$J$4:$J$503,(_calc!$E$907-500))),TEXT(INDEX('My equipment'!$J$4:$J$503,(_calc!$E$907-500)),"yyyy-mm-dd"),""))=0,"","Parts end: "&amp;IF(ISNUMBER(INDEX('My equipment'!$J$4:$J$503,(_calc!$E$907-500))),TEXT(INDEX('My equipment'!$J$4:$J$503,(_calc!$E$907-500)),"yyyy-mm-dd"),"")&amp;". ")&amp;IF(LEN(IF(ISNUMBER(INDEX('My equipment'!$L$4:$L$503,(_calc!$E$907-500))),TEXT(INDEX('My equipment'!$L$4:$L$503,(_calc!$E$907-500)),"yyyy-mm-dd"),""))=0,"","Labor end: "&amp;IF(ISNUMBER(INDEX('My equipment'!$L$4:$L$503,(_calc!$E$907-500))),TEXT(INDEX('My equipment'!$L$4:$L$503,(_calc!$E$907-500)),"yyyy-mm-dd"),"")&amp;". ")&amp;IF(LEN(IF(ISNUMBER(INDEX('My equipment'!$P$4:$P$503,(_calc!$E$907-500))),TEXT(INDEX('My equipment'!$P$4:$P$503,(_calc!$E$907-500)),"yyyy-mm-dd"),""))=0,"","Check by: "&amp;IF(ISNUMBER(INDEX('My equipment'!$P$4:$P$503,(_calc!$E$907-500))),TEXT(INDEX('My equipment'!$P$4:$P$503,(_calc!$E$907-500)),"yyyy-mm-dd"),"")&amp;". ")&amp;IF(LEN(IF(LEN(INDEX('My equipment'!$Q$4:$Q$503,(_calc!$E$907-500)))=0,"",INDEX('My equipment'!$Q$4:$Q$503,(_calc!$E$907-500))))=0,"","Claim status: "&amp;IF(LEN(INDEX('My equipment'!$Q$4:$Q$503,(_calc!$E$907-500)))=0,"",INDEX('My equipment'!$Q$4:$Q$503,(_calc!$E$907-500)))&amp;". ")&amp;IF(LEN(IF(LEN(INDEX('My equipment'!$R$4:$R$503,(_calc!$E$907-500)))=0,"",INDEX('My equipment'!$R$4:$R$503,(_calc!$E$907-500))))=0,"","Claims contact: "&amp;IF(LEN(INDEX('My equipment'!$R$4:$R$503,(_calc!$E$907-500)))=0,"",INDEX('My equipment'!$R$4:$R$503,(_calc!$E$907-500)))&amp;". ")&amp;IF(LEN(IF(LEN(INDEX('My equipment'!$S$4:$S$503,(_calc!$E$907-500)))=0,"",INDEX('My equipment'!$S$4:$S$503,(_calc!$E$907-500))))=0,"","Claims email: "&amp;IF(LEN(INDEX('My equipment'!$S$4:$S$503,(_calc!$E$907-500)))=0,"",INDEX('My equipment'!$S$4:$S$503,(_calc!$E$907-500)))&amp;". ")&amp;IF(LEN(IF(LEN(INDEX('My equipment'!$U$4:$U$503,(_calc!$E$907-500)))=0,"",INDEX('My equipment'!$U$4:$U$503,(_calc!$E$907-500))))=0,"","Registered: "&amp;IF(LEN(INDEX('My equipment'!$U$4:$U$503,(_calc!$E$907-500)))=0,"",INDEX('My equipment'!$U$4:$U$503,(_calc!$E$907-500)))&amp;". ")&amp;IF(LEN(IF(LEN(INDEX('My equipment'!$V$4:$V$503,(_calc!$E$907-500)))=0,"",INDEX('My equipment'!$V$4:$V$503,(_calc!$E$907-500))))=0,"","Proof on file: "&amp;IF(LEN(INDEX('My equipment'!$V$4:$V$503,(_calc!$E$907-500)))=0,"",INDEX('My equipment'!$V$4:$V$503,(_calc!$E$907-500)))&amp;". ")&amp;IF(LEN(IF(LEN(INDEX('My equipment'!$W$4:$W$503,(_calc!$E$907-500)))=0,"",INDEX('My equipment'!$W$4:$W$503,(_calc!$E$907-500))))=0,"","Claim ref: "&amp;IF(LEN(INDEX('My equipment'!$W$4:$W$503,(_calc!$E$907-500)))=0,"",INDEX('My equipment'!$W$4:$W$503,(_calc!$E$907-500)))&amp;". ")&amp;IF(LEN(IF(LEN(INDEX('My equipment'!$Y$4:$Y$503,(_calc!$E$907-500)))=0,"",INDEX('My equipment'!$Y$4:$Y$503,(_calc!$E$907-500))))=0,"",IF(LEN(INDEX('My equipment'!$Y$4:$Y$503,(_calc!$E$907-500)))=0,"",INDEX('My equipment'!$Y$4:$Y$503,(_calc!$E$907-500)))))))</f>
        <v/>
      </c>
      <c r="G905" s="54">
        <f>IF(_calc!$E$907="","",IF(_calc!$E$907&lt;=500,"",IF(LEN(INDEX('My equipment'!$X$4:$X$503,(_calc!$E$907-500)))=0,"",INDEX('My equipment'!$X$4:$X$503,(_calc!$E$907-500)))))</f>
        <v/>
      </c>
      <c r="K905" s="54">
        <f>IF(_calc!$E$907="","",IF(_calc!$E$907&lt;=500,"",IF(LEN(INDEX('My equipment'!$T$4:$T$503,(_calc!$E$907-500)))=0,"",INDEX('My equipment'!$T$4:$T$503,(_calc!$E$907-500)))))</f>
        <v/>
      </c>
    </row>
    <row r="906">
      <c r="A906" s="54">
        <f>IF(_calc!$E$908="","",IF(_calc!$E$908&lt;=500,"Warranty – "&amp;IF(LEN(INDEX('Dealer pipeline'!$C$4:$C$503,_calc!$E$908))=0,"",INDEX('Dealer pipeline'!$C$4:$C$503,_calc!$E$908))&amp;" – "&amp;IF(LEN(INDEX('Dealer pipeline'!$D$4:$D$503,_calc!$E$908))=0,"",INDEX('Dealer pipeline'!$D$4:$D$503,_calc!$E$908))&amp;" – "&amp;IF(LEN(INDEX('Dealer pipeline'!$A$4:$A$503,_calc!$E$908))=0,"",INDEX('Dealer pipeline'!$A$4:$A$503,_calc!$E$908)),"Warranty – "&amp;IF(LEN(INDEX('My equipment'!$A$4:$A$503,(_calc!$E$908-500)))=0,"",INDEX('My equipment'!$A$4:$A$503,(_calc!$E$908-500)))&amp;" – "&amp;IF(LEN(INDEX('My equipment'!$D$4:$D$503,(_calc!$E$908-500)))=0,"",INDEX('My equipment'!$D$4:$D$503,(_calc!$E$908-500)))))</f>
        <v/>
      </c>
      <c r="B906" s="54">
        <f>IF(_calc!$E$908="","",IF(_calc!$E$908&lt;=500,IF(ISNUMBER(INDEX('Dealer pipeline'!$M$4:$M$503,_calc!$E$908)),TEXT(INDEX('Dealer pipeline'!$M$4:$M$503,_calc!$E$908),"yyyy-mm-dd"),""),IF(ISNUMBER(INDEX('My equipment'!$M$4:$M$503,(_calc!$E$908-500))),TEXT(INDEX('My equipment'!$M$4:$M$503,(_calc!$E$908-500)),"yyyy-mm-dd"),"")))</f>
        <v/>
      </c>
      <c r="C906" s="54">
        <f>IF(_calc!$E$908="","",IF(_calc!$E$908&lt;=500,"Warranty","Warranty"))</f>
        <v/>
      </c>
      <c r="D906" s="54">
        <f>IF(_calc!$E$908="","",IF(_calc!$E$908&lt;=500,IF(ISNUMBER(INDEX('Dealer pipeline'!$H$4:$H$503,_calc!$E$908)),TEXT(INDEX('Dealer pipeline'!$H$4:$H$503,_calc!$E$908),"yyyy-mm-dd"),""),IF(ISNUMBER(INDEX('My equipment'!$H$4:$H$503,(_calc!$E$908-500))),TEXT(INDEX('My equipment'!$H$4:$H$503,(_calc!$E$908-500)),"yyyy-mm-dd"),"")))</f>
        <v/>
      </c>
      <c r="F906" s="54">
        <f>IF(_calc!$E$908="","",IF(_calc!$E$908&lt;=500,TRIM(IF(LEN(IF(LEN(INDEX('Dealer pipeline'!$A$4:$A$503,_calc!$E$908))=0,"",INDEX('Dealer pipeline'!$A$4:$A$503,_calc!$E$908)))=0,"","Customer: "&amp;IF(LEN(INDEX('Dealer pipeline'!$A$4:$A$503,_calc!$E$908))=0,"",INDEX('Dealer pipeline'!$A$4:$A$503,_calc!$E$908))&amp;". ")&amp;IF(LEN(IF(LEN(INDEX('Dealer pipeline'!$B$4:$B$503,_calc!$E$908))=0,"",INDEX('Dealer pipeline'!$B$4:$B$503,_calc!$E$908)))=0,"","Contact: "&amp;IF(LEN(INDEX('Dealer pipeline'!$B$4:$B$503,_calc!$E$908))=0,"",INDEX('Dealer pipeline'!$B$4:$B$503,_calc!$E$908))&amp;". ")&amp;IF(LEN(IF(LEN(INDEX('Dealer pipeline'!$D$4:$D$503,_calc!$E$908))=0,"",INDEX('Dealer pipeline'!$D$4:$D$503,_calc!$E$908)))=0,"","Serial: "&amp;IF(LEN(INDEX('Dealer pipeline'!$D$4:$D$503,_calc!$E$908))=0,"",INDEX('Dealer pipeline'!$D$4:$D$503,_calc!$E$908))&amp;". ")&amp;IF(LEN(IF(ISNUMBER(INDEX('Dealer pipeline'!$J$4:$J$503,_calc!$E$908)),TEXT(INDEX('Dealer pipeline'!$J$4:$J$503,_calc!$E$908),"yyyy-mm-dd"),""))=0,"","Parts end: "&amp;IF(ISNUMBER(INDEX('Dealer pipeline'!$J$4:$J$503,_calc!$E$908)),TEXT(INDEX('Dealer pipeline'!$J$4:$J$503,_calc!$E$908),"yyyy-mm-dd"),"")&amp;". ")&amp;IF(LEN(IF(ISNUMBER(INDEX('Dealer pipeline'!$L$4:$L$503,_calc!$E$908)),TEXT(INDEX('Dealer pipeline'!$L$4:$L$503,_calc!$E$908),"yyyy-mm-dd"),""))=0,"","Labor end: "&amp;IF(ISNUMBER(INDEX('Dealer pipeline'!$L$4:$L$503,_calc!$E$908)),TEXT(INDEX('Dealer pipeline'!$L$4:$L$503,_calc!$E$908),"yyyy-mm-dd"),"")&amp;". ")&amp;IF(LEN(IF(LEN(INDEX('Dealer pipeline'!$Q$4:$Q$503,_calc!$E$908))=0,"",INDEX('Dealer pipeline'!$Q$4:$Q$503,_calc!$E$908)))=0,"","Status: "&amp;IF(LEN(INDEX('Dealer pipeline'!$Q$4:$Q$503,_calc!$E$908))=0,"",INDEX('Dealer pipeline'!$Q$4:$Q$503,_calc!$E$908))&amp;". ")&amp;IF(LEN(IF(LEN(INDEX('Dealer pipeline'!$P$4:$P$503,_calc!$E$908))=0,"",INDEX('Dealer pipeline'!$P$4:$P$503,_calc!$E$908)))=0,"","Last touch: "&amp;IF(LEN(INDEX('Dealer pipeline'!$P$4:$P$503,_calc!$E$908))=0,"",INDEX('Dealer pipeline'!$P$4:$P$503,_calc!$E$908))&amp;". ")&amp;IF(LEN(IF(LEN(INDEX('Dealer pipeline'!$R$4:$R$503,_calc!$E$908))=0,"",INDEX('Dealer pipeline'!$R$4:$R$503,_calc!$E$908)))=0,"","Owner: "&amp;IF(LEN(INDEX('Dealer pipeline'!$R$4:$R$503,_calc!$E$908))=0,"",INDEX('Dealer pipeline'!$R$4:$R$503,_calc!$E$908))&amp;". ")&amp;IF(LEN(IF(LEN(INDEX('Dealer pipeline'!$S$4:$S$503,_calc!$E$908))=0,"",INDEX('Dealer pipeline'!$S$4:$S$503,_calc!$E$908)))=0,"","Backup: "&amp;IF(LEN(INDEX('Dealer pipeline'!$S$4:$S$503,_calc!$E$908))=0,"",INDEX('Dealer pipeline'!$S$4:$S$503,_calc!$E$908))&amp;". ")&amp;IF(LEN(IF(LEN(INDEX('Dealer pipeline'!$T$4:$T$503,_calc!$E$908))=0,"",INDEX('Dealer pipeline'!$T$4:$T$503,_calc!$E$908)))=0,"",IF(LEN(INDEX('Dealer pipeline'!$T$4:$T$503,_calc!$E$908))=0,"",INDEX('Dealer pipeline'!$T$4:$T$503,_calc!$E$908)))),TRIM(IF(LEN(IF(LEN(INDEX('My equipment'!$C$4:$C$503,(_calc!$E$908-500)))=0,"",INDEX('My equipment'!$C$4:$C$503,(_calc!$E$908-500))))=0,"","Model: "&amp;IF(LEN(INDEX('My equipment'!$C$4:$C$503,(_calc!$E$908-500)))=0,"",INDEX('My equipment'!$C$4:$C$503,(_calc!$E$908-500)))&amp;". ")&amp;IF(LEN(IF(LEN(INDEX('My equipment'!$D$4:$D$503,(_calc!$E$908-500)))=0,"",INDEX('My equipment'!$D$4:$D$503,(_calc!$E$908-500))))=0,"","Serial: "&amp;IF(LEN(INDEX('My equipment'!$D$4:$D$503,(_calc!$E$908-500)))=0,"",INDEX('My equipment'!$D$4:$D$503,(_calc!$E$908-500)))&amp;". ")&amp;IF(LEN(IF(ISNUMBER(INDEX('My equipment'!$J$4:$J$503,(_calc!$E$908-500))),TEXT(INDEX('My equipment'!$J$4:$J$503,(_calc!$E$908-500)),"yyyy-mm-dd"),""))=0,"","Parts end: "&amp;IF(ISNUMBER(INDEX('My equipment'!$J$4:$J$503,(_calc!$E$908-500))),TEXT(INDEX('My equipment'!$J$4:$J$503,(_calc!$E$908-500)),"yyyy-mm-dd"),"")&amp;". ")&amp;IF(LEN(IF(ISNUMBER(INDEX('My equipment'!$L$4:$L$503,(_calc!$E$908-500))),TEXT(INDEX('My equipment'!$L$4:$L$503,(_calc!$E$908-500)),"yyyy-mm-dd"),""))=0,"","Labor end: "&amp;IF(ISNUMBER(INDEX('My equipment'!$L$4:$L$503,(_calc!$E$908-500))),TEXT(INDEX('My equipment'!$L$4:$L$503,(_calc!$E$908-500)),"yyyy-mm-dd"),"")&amp;". ")&amp;IF(LEN(IF(ISNUMBER(INDEX('My equipment'!$P$4:$P$503,(_calc!$E$908-500))),TEXT(INDEX('My equipment'!$P$4:$P$503,(_calc!$E$908-500)),"yyyy-mm-dd"),""))=0,"","Check by: "&amp;IF(ISNUMBER(INDEX('My equipment'!$P$4:$P$503,(_calc!$E$908-500))),TEXT(INDEX('My equipment'!$P$4:$P$503,(_calc!$E$908-500)),"yyyy-mm-dd"),"")&amp;". ")&amp;IF(LEN(IF(LEN(INDEX('My equipment'!$Q$4:$Q$503,(_calc!$E$908-500)))=0,"",INDEX('My equipment'!$Q$4:$Q$503,(_calc!$E$908-500))))=0,"","Claim status: "&amp;IF(LEN(INDEX('My equipment'!$Q$4:$Q$503,(_calc!$E$908-500)))=0,"",INDEX('My equipment'!$Q$4:$Q$503,(_calc!$E$908-500)))&amp;". ")&amp;IF(LEN(IF(LEN(INDEX('My equipment'!$R$4:$R$503,(_calc!$E$908-500)))=0,"",INDEX('My equipment'!$R$4:$R$503,(_calc!$E$908-500))))=0,"","Claims contact: "&amp;IF(LEN(INDEX('My equipment'!$R$4:$R$503,(_calc!$E$908-500)))=0,"",INDEX('My equipment'!$R$4:$R$503,(_calc!$E$908-500)))&amp;". ")&amp;IF(LEN(IF(LEN(INDEX('My equipment'!$S$4:$S$503,(_calc!$E$908-500)))=0,"",INDEX('My equipment'!$S$4:$S$503,(_calc!$E$908-500))))=0,"","Claims email: "&amp;IF(LEN(INDEX('My equipment'!$S$4:$S$503,(_calc!$E$908-500)))=0,"",INDEX('My equipment'!$S$4:$S$503,(_calc!$E$908-500)))&amp;". ")&amp;IF(LEN(IF(LEN(INDEX('My equipment'!$U$4:$U$503,(_calc!$E$908-500)))=0,"",INDEX('My equipment'!$U$4:$U$503,(_calc!$E$908-500))))=0,"","Registered: "&amp;IF(LEN(INDEX('My equipment'!$U$4:$U$503,(_calc!$E$908-500)))=0,"",INDEX('My equipment'!$U$4:$U$503,(_calc!$E$908-500)))&amp;". ")&amp;IF(LEN(IF(LEN(INDEX('My equipment'!$V$4:$V$503,(_calc!$E$908-500)))=0,"",INDEX('My equipment'!$V$4:$V$503,(_calc!$E$908-500))))=0,"","Proof on file: "&amp;IF(LEN(INDEX('My equipment'!$V$4:$V$503,(_calc!$E$908-500)))=0,"",INDEX('My equipment'!$V$4:$V$503,(_calc!$E$908-500)))&amp;". ")&amp;IF(LEN(IF(LEN(INDEX('My equipment'!$W$4:$W$503,(_calc!$E$908-500)))=0,"",INDEX('My equipment'!$W$4:$W$503,(_calc!$E$908-500))))=0,"","Claim ref: "&amp;IF(LEN(INDEX('My equipment'!$W$4:$W$503,(_calc!$E$908-500)))=0,"",INDEX('My equipment'!$W$4:$W$503,(_calc!$E$908-500)))&amp;". ")&amp;IF(LEN(IF(LEN(INDEX('My equipment'!$Y$4:$Y$503,(_calc!$E$908-500)))=0,"",INDEX('My equipment'!$Y$4:$Y$503,(_calc!$E$908-500))))=0,"",IF(LEN(INDEX('My equipment'!$Y$4:$Y$503,(_calc!$E$908-500)))=0,"",INDEX('My equipment'!$Y$4:$Y$503,(_calc!$E$908-500)))))))</f>
        <v/>
      </c>
      <c r="G906" s="54">
        <f>IF(_calc!$E$908="","",IF(_calc!$E$908&lt;=500,"",IF(LEN(INDEX('My equipment'!$X$4:$X$503,(_calc!$E$908-500)))=0,"",INDEX('My equipment'!$X$4:$X$503,(_calc!$E$908-500)))))</f>
        <v/>
      </c>
      <c r="K906" s="54">
        <f>IF(_calc!$E$908="","",IF(_calc!$E$908&lt;=500,"",IF(LEN(INDEX('My equipment'!$T$4:$T$503,(_calc!$E$908-500)))=0,"",INDEX('My equipment'!$T$4:$T$503,(_calc!$E$908-500)))))</f>
        <v/>
      </c>
    </row>
    <row r="907">
      <c r="A907" s="54">
        <f>IF(_calc!$E$909="","",IF(_calc!$E$909&lt;=500,"Warranty – "&amp;IF(LEN(INDEX('Dealer pipeline'!$C$4:$C$503,_calc!$E$909))=0,"",INDEX('Dealer pipeline'!$C$4:$C$503,_calc!$E$909))&amp;" – "&amp;IF(LEN(INDEX('Dealer pipeline'!$D$4:$D$503,_calc!$E$909))=0,"",INDEX('Dealer pipeline'!$D$4:$D$503,_calc!$E$909))&amp;" – "&amp;IF(LEN(INDEX('Dealer pipeline'!$A$4:$A$503,_calc!$E$909))=0,"",INDEX('Dealer pipeline'!$A$4:$A$503,_calc!$E$909)),"Warranty – "&amp;IF(LEN(INDEX('My equipment'!$A$4:$A$503,(_calc!$E$909-500)))=0,"",INDEX('My equipment'!$A$4:$A$503,(_calc!$E$909-500)))&amp;" – "&amp;IF(LEN(INDEX('My equipment'!$D$4:$D$503,(_calc!$E$909-500)))=0,"",INDEX('My equipment'!$D$4:$D$503,(_calc!$E$909-500)))))</f>
        <v/>
      </c>
      <c r="B907" s="54">
        <f>IF(_calc!$E$909="","",IF(_calc!$E$909&lt;=500,IF(ISNUMBER(INDEX('Dealer pipeline'!$M$4:$M$503,_calc!$E$909)),TEXT(INDEX('Dealer pipeline'!$M$4:$M$503,_calc!$E$909),"yyyy-mm-dd"),""),IF(ISNUMBER(INDEX('My equipment'!$M$4:$M$503,(_calc!$E$909-500))),TEXT(INDEX('My equipment'!$M$4:$M$503,(_calc!$E$909-500)),"yyyy-mm-dd"),"")))</f>
        <v/>
      </c>
      <c r="C907" s="54">
        <f>IF(_calc!$E$909="","",IF(_calc!$E$909&lt;=500,"Warranty","Warranty"))</f>
        <v/>
      </c>
      <c r="D907" s="54">
        <f>IF(_calc!$E$909="","",IF(_calc!$E$909&lt;=500,IF(ISNUMBER(INDEX('Dealer pipeline'!$H$4:$H$503,_calc!$E$909)),TEXT(INDEX('Dealer pipeline'!$H$4:$H$503,_calc!$E$909),"yyyy-mm-dd"),""),IF(ISNUMBER(INDEX('My equipment'!$H$4:$H$503,(_calc!$E$909-500))),TEXT(INDEX('My equipment'!$H$4:$H$503,(_calc!$E$909-500)),"yyyy-mm-dd"),"")))</f>
        <v/>
      </c>
      <c r="F907" s="54">
        <f>IF(_calc!$E$909="","",IF(_calc!$E$909&lt;=500,TRIM(IF(LEN(IF(LEN(INDEX('Dealer pipeline'!$A$4:$A$503,_calc!$E$909))=0,"",INDEX('Dealer pipeline'!$A$4:$A$503,_calc!$E$909)))=0,"","Customer: "&amp;IF(LEN(INDEX('Dealer pipeline'!$A$4:$A$503,_calc!$E$909))=0,"",INDEX('Dealer pipeline'!$A$4:$A$503,_calc!$E$909))&amp;". ")&amp;IF(LEN(IF(LEN(INDEX('Dealer pipeline'!$B$4:$B$503,_calc!$E$909))=0,"",INDEX('Dealer pipeline'!$B$4:$B$503,_calc!$E$909)))=0,"","Contact: "&amp;IF(LEN(INDEX('Dealer pipeline'!$B$4:$B$503,_calc!$E$909))=0,"",INDEX('Dealer pipeline'!$B$4:$B$503,_calc!$E$909))&amp;". ")&amp;IF(LEN(IF(LEN(INDEX('Dealer pipeline'!$D$4:$D$503,_calc!$E$909))=0,"",INDEX('Dealer pipeline'!$D$4:$D$503,_calc!$E$909)))=0,"","Serial: "&amp;IF(LEN(INDEX('Dealer pipeline'!$D$4:$D$503,_calc!$E$909))=0,"",INDEX('Dealer pipeline'!$D$4:$D$503,_calc!$E$909))&amp;". ")&amp;IF(LEN(IF(ISNUMBER(INDEX('Dealer pipeline'!$J$4:$J$503,_calc!$E$909)),TEXT(INDEX('Dealer pipeline'!$J$4:$J$503,_calc!$E$909),"yyyy-mm-dd"),""))=0,"","Parts end: "&amp;IF(ISNUMBER(INDEX('Dealer pipeline'!$J$4:$J$503,_calc!$E$909)),TEXT(INDEX('Dealer pipeline'!$J$4:$J$503,_calc!$E$909),"yyyy-mm-dd"),"")&amp;". ")&amp;IF(LEN(IF(ISNUMBER(INDEX('Dealer pipeline'!$L$4:$L$503,_calc!$E$909)),TEXT(INDEX('Dealer pipeline'!$L$4:$L$503,_calc!$E$909),"yyyy-mm-dd"),""))=0,"","Labor end: "&amp;IF(ISNUMBER(INDEX('Dealer pipeline'!$L$4:$L$503,_calc!$E$909)),TEXT(INDEX('Dealer pipeline'!$L$4:$L$503,_calc!$E$909),"yyyy-mm-dd"),"")&amp;". ")&amp;IF(LEN(IF(LEN(INDEX('Dealer pipeline'!$Q$4:$Q$503,_calc!$E$909))=0,"",INDEX('Dealer pipeline'!$Q$4:$Q$503,_calc!$E$909)))=0,"","Status: "&amp;IF(LEN(INDEX('Dealer pipeline'!$Q$4:$Q$503,_calc!$E$909))=0,"",INDEX('Dealer pipeline'!$Q$4:$Q$503,_calc!$E$909))&amp;". ")&amp;IF(LEN(IF(LEN(INDEX('Dealer pipeline'!$P$4:$P$503,_calc!$E$909))=0,"",INDEX('Dealer pipeline'!$P$4:$P$503,_calc!$E$909)))=0,"","Last touch: "&amp;IF(LEN(INDEX('Dealer pipeline'!$P$4:$P$503,_calc!$E$909))=0,"",INDEX('Dealer pipeline'!$P$4:$P$503,_calc!$E$909))&amp;". ")&amp;IF(LEN(IF(LEN(INDEX('Dealer pipeline'!$R$4:$R$503,_calc!$E$909))=0,"",INDEX('Dealer pipeline'!$R$4:$R$503,_calc!$E$909)))=0,"","Owner: "&amp;IF(LEN(INDEX('Dealer pipeline'!$R$4:$R$503,_calc!$E$909))=0,"",INDEX('Dealer pipeline'!$R$4:$R$503,_calc!$E$909))&amp;". ")&amp;IF(LEN(IF(LEN(INDEX('Dealer pipeline'!$S$4:$S$503,_calc!$E$909))=0,"",INDEX('Dealer pipeline'!$S$4:$S$503,_calc!$E$909)))=0,"","Backup: "&amp;IF(LEN(INDEX('Dealer pipeline'!$S$4:$S$503,_calc!$E$909))=0,"",INDEX('Dealer pipeline'!$S$4:$S$503,_calc!$E$909))&amp;". ")&amp;IF(LEN(IF(LEN(INDEX('Dealer pipeline'!$T$4:$T$503,_calc!$E$909))=0,"",INDEX('Dealer pipeline'!$T$4:$T$503,_calc!$E$909)))=0,"",IF(LEN(INDEX('Dealer pipeline'!$T$4:$T$503,_calc!$E$909))=0,"",INDEX('Dealer pipeline'!$T$4:$T$503,_calc!$E$909)))),TRIM(IF(LEN(IF(LEN(INDEX('My equipment'!$C$4:$C$503,(_calc!$E$909-500)))=0,"",INDEX('My equipment'!$C$4:$C$503,(_calc!$E$909-500))))=0,"","Model: "&amp;IF(LEN(INDEX('My equipment'!$C$4:$C$503,(_calc!$E$909-500)))=0,"",INDEX('My equipment'!$C$4:$C$503,(_calc!$E$909-500)))&amp;". ")&amp;IF(LEN(IF(LEN(INDEX('My equipment'!$D$4:$D$503,(_calc!$E$909-500)))=0,"",INDEX('My equipment'!$D$4:$D$503,(_calc!$E$909-500))))=0,"","Serial: "&amp;IF(LEN(INDEX('My equipment'!$D$4:$D$503,(_calc!$E$909-500)))=0,"",INDEX('My equipment'!$D$4:$D$503,(_calc!$E$909-500)))&amp;". ")&amp;IF(LEN(IF(ISNUMBER(INDEX('My equipment'!$J$4:$J$503,(_calc!$E$909-500))),TEXT(INDEX('My equipment'!$J$4:$J$503,(_calc!$E$909-500)),"yyyy-mm-dd"),""))=0,"","Parts end: "&amp;IF(ISNUMBER(INDEX('My equipment'!$J$4:$J$503,(_calc!$E$909-500))),TEXT(INDEX('My equipment'!$J$4:$J$503,(_calc!$E$909-500)),"yyyy-mm-dd"),"")&amp;". ")&amp;IF(LEN(IF(ISNUMBER(INDEX('My equipment'!$L$4:$L$503,(_calc!$E$909-500))),TEXT(INDEX('My equipment'!$L$4:$L$503,(_calc!$E$909-500)),"yyyy-mm-dd"),""))=0,"","Labor end: "&amp;IF(ISNUMBER(INDEX('My equipment'!$L$4:$L$503,(_calc!$E$909-500))),TEXT(INDEX('My equipment'!$L$4:$L$503,(_calc!$E$909-500)),"yyyy-mm-dd"),"")&amp;". ")&amp;IF(LEN(IF(ISNUMBER(INDEX('My equipment'!$P$4:$P$503,(_calc!$E$909-500))),TEXT(INDEX('My equipment'!$P$4:$P$503,(_calc!$E$909-500)),"yyyy-mm-dd"),""))=0,"","Check by: "&amp;IF(ISNUMBER(INDEX('My equipment'!$P$4:$P$503,(_calc!$E$909-500))),TEXT(INDEX('My equipment'!$P$4:$P$503,(_calc!$E$909-500)),"yyyy-mm-dd"),"")&amp;". ")&amp;IF(LEN(IF(LEN(INDEX('My equipment'!$Q$4:$Q$503,(_calc!$E$909-500)))=0,"",INDEX('My equipment'!$Q$4:$Q$503,(_calc!$E$909-500))))=0,"","Claim status: "&amp;IF(LEN(INDEX('My equipment'!$Q$4:$Q$503,(_calc!$E$909-500)))=0,"",INDEX('My equipment'!$Q$4:$Q$503,(_calc!$E$909-500)))&amp;". ")&amp;IF(LEN(IF(LEN(INDEX('My equipment'!$R$4:$R$503,(_calc!$E$909-500)))=0,"",INDEX('My equipment'!$R$4:$R$503,(_calc!$E$909-500))))=0,"","Claims contact: "&amp;IF(LEN(INDEX('My equipment'!$R$4:$R$503,(_calc!$E$909-500)))=0,"",INDEX('My equipment'!$R$4:$R$503,(_calc!$E$909-500)))&amp;". ")&amp;IF(LEN(IF(LEN(INDEX('My equipment'!$S$4:$S$503,(_calc!$E$909-500)))=0,"",INDEX('My equipment'!$S$4:$S$503,(_calc!$E$909-500))))=0,"","Claims email: "&amp;IF(LEN(INDEX('My equipment'!$S$4:$S$503,(_calc!$E$909-500)))=0,"",INDEX('My equipment'!$S$4:$S$503,(_calc!$E$909-500)))&amp;". ")&amp;IF(LEN(IF(LEN(INDEX('My equipment'!$U$4:$U$503,(_calc!$E$909-500)))=0,"",INDEX('My equipment'!$U$4:$U$503,(_calc!$E$909-500))))=0,"","Registered: "&amp;IF(LEN(INDEX('My equipment'!$U$4:$U$503,(_calc!$E$909-500)))=0,"",INDEX('My equipment'!$U$4:$U$503,(_calc!$E$909-500)))&amp;". ")&amp;IF(LEN(IF(LEN(INDEX('My equipment'!$V$4:$V$503,(_calc!$E$909-500)))=0,"",INDEX('My equipment'!$V$4:$V$503,(_calc!$E$909-500))))=0,"","Proof on file: "&amp;IF(LEN(INDEX('My equipment'!$V$4:$V$503,(_calc!$E$909-500)))=0,"",INDEX('My equipment'!$V$4:$V$503,(_calc!$E$909-500)))&amp;". ")&amp;IF(LEN(IF(LEN(INDEX('My equipment'!$W$4:$W$503,(_calc!$E$909-500)))=0,"",INDEX('My equipment'!$W$4:$W$503,(_calc!$E$909-500))))=0,"","Claim ref: "&amp;IF(LEN(INDEX('My equipment'!$W$4:$W$503,(_calc!$E$909-500)))=0,"",INDEX('My equipment'!$W$4:$W$503,(_calc!$E$909-500)))&amp;". ")&amp;IF(LEN(IF(LEN(INDEX('My equipment'!$Y$4:$Y$503,(_calc!$E$909-500)))=0,"",INDEX('My equipment'!$Y$4:$Y$503,(_calc!$E$909-500))))=0,"",IF(LEN(INDEX('My equipment'!$Y$4:$Y$503,(_calc!$E$909-500)))=0,"",INDEX('My equipment'!$Y$4:$Y$503,(_calc!$E$909-500)))))))</f>
        <v/>
      </c>
      <c r="G907" s="54">
        <f>IF(_calc!$E$909="","",IF(_calc!$E$909&lt;=500,"",IF(LEN(INDEX('My equipment'!$X$4:$X$503,(_calc!$E$909-500)))=0,"",INDEX('My equipment'!$X$4:$X$503,(_calc!$E$909-500)))))</f>
        <v/>
      </c>
      <c r="K907" s="54">
        <f>IF(_calc!$E$909="","",IF(_calc!$E$909&lt;=500,"",IF(LEN(INDEX('My equipment'!$T$4:$T$503,(_calc!$E$909-500)))=0,"",INDEX('My equipment'!$T$4:$T$503,(_calc!$E$909-500)))))</f>
        <v/>
      </c>
    </row>
    <row r="908">
      <c r="A908" s="54">
        <f>IF(_calc!$E$910="","",IF(_calc!$E$910&lt;=500,"Warranty – "&amp;IF(LEN(INDEX('Dealer pipeline'!$C$4:$C$503,_calc!$E$910))=0,"",INDEX('Dealer pipeline'!$C$4:$C$503,_calc!$E$910))&amp;" – "&amp;IF(LEN(INDEX('Dealer pipeline'!$D$4:$D$503,_calc!$E$910))=0,"",INDEX('Dealer pipeline'!$D$4:$D$503,_calc!$E$910))&amp;" – "&amp;IF(LEN(INDEX('Dealer pipeline'!$A$4:$A$503,_calc!$E$910))=0,"",INDEX('Dealer pipeline'!$A$4:$A$503,_calc!$E$910)),"Warranty – "&amp;IF(LEN(INDEX('My equipment'!$A$4:$A$503,(_calc!$E$910-500)))=0,"",INDEX('My equipment'!$A$4:$A$503,(_calc!$E$910-500)))&amp;" – "&amp;IF(LEN(INDEX('My equipment'!$D$4:$D$503,(_calc!$E$910-500)))=0,"",INDEX('My equipment'!$D$4:$D$503,(_calc!$E$910-500)))))</f>
        <v/>
      </c>
      <c r="B908" s="54">
        <f>IF(_calc!$E$910="","",IF(_calc!$E$910&lt;=500,IF(ISNUMBER(INDEX('Dealer pipeline'!$M$4:$M$503,_calc!$E$910)),TEXT(INDEX('Dealer pipeline'!$M$4:$M$503,_calc!$E$910),"yyyy-mm-dd"),""),IF(ISNUMBER(INDEX('My equipment'!$M$4:$M$503,(_calc!$E$910-500))),TEXT(INDEX('My equipment'!$M$4:$M$503,(_calc!$E$910-500)),"yyyy-mm-dd"),"")))</f>
        <v/>
      </c>
      <c r="C908" s="54">
        <f>IF(_calc!$E$910="","",IF(_calc!$E$910&lt;=500,"Warranty","Warranty"))</f>
        <v/>
      </c>
      <c r="D908" s="54">
        <f>IF(_calc!$E$910="","",IF(_calc!$E$910&lt;=500,IF(ISNUMBER(INDEX('Dealer pipeline'!$H$4:$H$503,_calc!$E$910)),TEXT(INDEX('Dealer pipeline'!$H$4:$H$503,_calc!$E$910),"yyyy-mm-dd"),""),IF(ISNUMBER(INDEX('My equipment'!$H$4:$H$503,(_calc!$E$910-500))),TEXT(INDEX('My equipment'!$H$4:$H$503,(_calc!$E$910-500)),"yyyy-mm-dd"),"")))</f>
        <v/>
      </c>
      <c r="F908" s="54">
        <f>IF(_calc!$E$910="","",IF(_calc!$E$910&lt;=500,TRIM(IF(LEN(IF(LEN(INDEX('Dealer pipeline'!$A$4:$A$503,_calc!$E$910))=0,"",INDEX('Dealer pipeline'!$A$4:$A$503,_calc!$E$910)))=0,"","Customer: "&amp;IF(LEN(INDEX('Dealer pipeline'!$A$4:$A$503,_calc!$E$910))=0,"",INDEX('Dealer pipeline'!$A$4:$A$503,_calc!$E$910))&amp;". ")&amp;IF(LEN(IF(LEN(INDEX('Dealer pipeline'!$B$4:$B$503,_calc!$E$910))=0,"",INDEX('Dealer pipeline'!$B$4:$B$503,_calc!$E$910)))=0,"","Contact: "&amp;IF(LEN(INDEX('Dealer pipeline'!$B$4:$B$503,_calc!$E$910))=0,"",INDEX('Dealer pipeline'!$B$4:$B$503,_calc!$E$910))&amp;". ")&amp;IF(LEN(IF(LEN(INDEX('Dealer pipeline'!$D$4:$D$503,_calc!$E$910))=0,"",INDEX('Dealer pipeline'!$D$4:$D$503,_calc!$E$910)))=0,"","Serial: "&amp;IF(LEN(INDEX('Dealer pipeline'!$D$4:$D$503,_calc!$E$910))=0,"",INDEX('Dealer pipeline'!$D$4:$D$503,_calc!$E$910))&amp;". ")&amp;IF(LEN(IF(ISNUMBER(INDEX('Dealer pipeline'!$J$4:$J$503,_calc!$E$910)),TEXT(INDEX('Dealer pipeline'!$J$4:$J$503,_calc!$E$910),"yyyy-mm-dd"),""))=0,"","Parts end: "&amp;IF(ISNUMBER(INDEX('Dealer pipeline'!$J$4:$J$503,_calc!$E$910)),TEXT(INDEX('Dealer pipeline'!$J$4:$J$503,_calc!$E$910),"yyyy-mm-dd"),"")&amp;". ")&amp;IF(LEN(IF(ISNUMBER(INDEX('Dealer pipeline'!$L$4:$L$503,_calc!$E$910)),TEXT(INDEX('Dealer pipeline'!$L$4:$L$503,_calc!$E$910),"yyyy-mm-dd"),""))=0,"","Labor end: "&amp;IF(ISNUMBER(INDEX('Dealer pipeline'!$L$4:$L$503,_calc!$E$910)),TEXT(INDEX('Dealer pipeline'!$L$4:$L$503,_calc!$E$910),"yyyy-mm-dd"),"")&amp;". ")&amp;IF(LEN(IF(LEN(INDEX('Dealer pipeline'!$Q$4:$Q$503,_calc!$E$910))=0,"",INDEX('Dealer pipeline'!$Q$4:$Q$503,_calc!$E$910)))=0,"","Status: "&amp;IF(LEN(INDEX('Dealer pipeline'!$Q$4:$Q$503,_calc!$E$910))=0,"",INDEX('Dealer pipeline'!$Q$4:$Q$503,_calc!$E$910))&amp;". ")&amp;IF(LEN(IF(LEN(INDEX('Dealer pipeline'!$P$4:$P$503,_calc!$E$910))=0,"",INDEX('Dealer pipeline'!$P$4:$P$503,_calc!$E$910)))=0,"","Last touch: "&amp;IF(LEN(INDEX('Dealer pipeline'!$P$4:$P$503,_calc!$E$910))=0,"",INDEX('Dealer pipeline'!$P$4:$P$503,_calc!$E$910))&amp;". ")&amp;IF(LEN(IF(LEN(INDEX('Dealer pipeline'!$R$4:$R$503,_calc!$E$910))=0,"",INDEX('Dealer pipeline'!$R$4:$R$503,_calc!$E$910)))=0,"","Owner: "&amp;IF(LEN(INDEX('Dealer pipeline'!$R$4:$R$503,_calc!$E$910))=0,"",INDEX('Dealer pipeline'!$R$4:$R$503,_calc!$E$910))&amp;". ")&amp;IF(LEN(IF(LEN(INDEX('Dealer pipeline'!$S$4:$S$503,_calc!$E$910))=0,"",INDEX('Dealer pipeline'!$S$4:$S$503,_calc!$E$910)))=0,"","Backup: "&amp;IF(LEN(INDEX('Dealer pipeline'!$S$4:$S$503,_calc!$E$910))=0,"",INDEX('Dealer pipeline'!$S$4:$S$503,_calc!$E$910))&amp;". ")&amp;IF(LEN(IF(LEN(INDEX('Dealer pipeline'!$T$4:$T$503,_calc!$E$910))=0,"",INDEX('Dealer pipeline'!$T$4:$T$503,_calc!$E$910)))=0,"",IF(LEN(INDEX('Dealer pipeline'!$T$4:$T$503,_calc!$E$910))=0,"",INDEX('Dealer pipeline'!$T$4:$T$503,_calc!$E$910)))),TRIM(IF(LEN(IF(LEN(INDEX('My equipment'!$C$4:$C$503,(_calc!$E$910-500)))=0,"",INDEX('My equipment'!$C$4:$C$503,(_calc!$E$910-500))))=0,"","Model: "&amp;IF(LEN(INDEX('My equipment'!$C$4:$C$503,(_calc!$E$910-500)))=0,"",INDEX('My equipment'!$C$4:$C$503,(_calc!$E$910-500)))&amp;". ")&amp;IF(LEN(IF(LEN(INDEX('My equipment'!$D$4:$D$503,(_calc!$E$910-500)))=0,"",INDEX('My equipment'!$D$4:$D$503,(_calc!$E$910-500))))=0,"","Serial: "&amp;IF(LEN(INDEX('My equipment'!$D$4:$D$503,(_calc!$E$910-500)))=0,"",INDEX('My equipment'!$D$4:$D$503,(_calc!$E$910-500)))&amp;". ")&amp;IF(LEN(IF(ISNUMBER(INDEX('My equipment'!$J$4:$J$503,(_calc!$E$910-500))),TEXT(INDEX('My equipment'!$J$4:$J$503,(_calc!$E$910-500)),"yyyy-mm-dd"),""))=0,"","Parts end: "&amp;IF(ISNUMBER(INDEX('My equipment'!$J$4:$J$503,(_calc!$E$910-500))),TEXT(INDEX('My equipment'!$J$4:$J$503,(_calc!$E$910-500)),"yyyy-mm-dd"),"")&amp;". ")&amp;IF(LEN(IF(ISNUMBER(INDEX('My equipment'!$L$4:$L$503,(_calc!$E$910-500))),TEXT(INDEX('My equipment'!$L$4:$L$503,(_calc!$E$910-500)),"yyyy-mm-dd"),""))=0,"","Labor end: "&amp;IF(ISNUMBER(INDEX('My equipment'!$L$4:$L$503,(_calc!$E$910-500))),TEXT(INDEX('My equipment'!$L$4:$L$503,(_calc!$E$910-500)),"yyyy-mm-dd"),"")&amp;". ")&amp;IF(LEN(IF(ISNUMBER(INDEX('My equipment'!$P$4:$P$503,(_calc!$E$910-500))),TEXT(INDEX('My equipment'!$P$4:$P$503,(_calc!$E$910-500)),"yyyy-mm-dd"),""))=0,"","Check by: "&amp;IF(ISNUMBER(INDEX('My equipment'!$P$4:$P$503,(_calc!$E$910-500))),TEXT(INDEX('My equipment'!$P$4:$P$503,(_calc!$E$910-500)),"yyyy-mm-dd"),"")&amp;". ")&amp;IF(LEN(IF(LEN(INDEX('My equipment'!$Q$4:$Q$503,(_calc!$E$910-500)))=0,"",INDEX('My equipment'!$Q$4:$Q$503,(_calc!$E$910-500))))=0,"","Claim status: "&amp;IF(LEN(INDEX('My equipment'!$Q$4:$Q$503,(_calc!$E$910-500)))=0,"",INDEX('My equipment'!$Q$4:$Q$503,(_calc!$E$910-500)))&amp;". ")&amp;IF(LEN(IF(LEN(INDEX('My equipment'!$R$4:$R$503,(_calc!$E$910-500)))=0,"",INDEX('My equipment'!$R$4:$R$503,(_calc!$E$910-500))))=0,"","Claims contact: "&amp;IF(LEN(INDEX('My equipment'!$R$4:$R$503,(_calc!$E$910-500)))=0,"",INDEX('My equipment'!$R$4:$R$503,(_calc!$E$910-500)))&amp;". ")&amp;IF(LEN(IF(LEN(INDEX('My equipment'!$S$4:$S$503,(_calc!$E$910-500)))=0,"",INDEX('My equipment'!$S$4:$S$503,(_calc!$E$910-500))))=0,"","Claims email: "&amp;IF(LEN(INDEX('My equipment'!$S$4:$S$503,(_calc!$E$910-500)))=0,"",INDEX('My equipment'!$S$4:$S$503,(_calc!$E$910-500)))&amp;". ")&amp;IF(LEN(IF(LEN(INDEX('My equipment'!$U$4:$U$503,(_calc!$E$910-500)))=0,"",INDEX('My equipment'!$U$4:$U$503,(_calc!$E$910-500))))=0,"","Registered: "&amp;IF(LEN(INDEX('My equipment'!$U$4:$U$503,(_calc!$E$910-500)))=0,"",INDEX('My equipment'!$U$4:$U$503,(_calc!$E$910-500)))&amp;". ")&amp;IF(LEN(IF(LEN(INDEX('My equipment'!$V$4:$V$503,(_calc!$E$910-500)))=0,"",INDEX('My equipment'!$V$4:$V$503,(_calc!$E$910-500))))=0,"","Proof on file: "&amp;IF(LEN(INDEX('My equipment'!$V$4:$V$503,(_calc!$E$910-500)))=0,"",INDEX('My equipment'!$V$4:$V$503,(_calc!$E$910-500)))&amp;". ")&amp;IF(LEN(IF(LEN(INDEX('My equipment'!$W$4:$W$503,(_calc!$E$910-500)))=0,"",INDEX('My equipment'!$W$4:$W$503,(_calc!$E$910-500))))=0,"","Claim ref: "&amp;IF(LEN(INDEX('My equipment'!$W$4:$W$503,(_calc!$E$910-500)))=0,"",INDEX('My equipment'!$W$4:$W$503,(_calc!$E$910-500)))&amp;". ")&amp;IF(LEN(IF(LEN(INDEX('My equipment'!$Y$4:$Y$503,(_calc!$E$910-500)))=0,"",INDEX('My equipment'!$Y$4:$Y$503,(_calc!$E$910-500))))=0,"",IF(LEN(INDEX('My equipment'!$Y$4:$Y$503,(_calc!$E$910-500)))=0,"",INDEX('My equipment'!$Y$4:$Y$503,(_calc!$E$910-500)))))))</f>
        <v/>
      </c>
      <c r="G908" s="54">
        <f>IF(_calc!$E$910="","",IF(_calc!$E$910&lt;=500,"",IF(LEN(INDEX('My equipment'!$X$4:$X$503,(_calc!$E$910-500)))=0,"",INDEX('My equipment'!$X$4:$X$503,(_calc!$E$910-500)))))</f>
        <v/>
      </c>
      <c r="K908" s="54">
        <f>IF(_calc!$E$910="","",IF(_calc!$E$910&lt;=500,"",IF(LEN(INDEX('My equipment'!$T$4:$T$503,(_calc!$E$910-500)))=0,"",INDEX('My equipment'!$T$4:$T$503,(_calc!$E$910-500)))))</f>
        <v/>
      </c>
    </row>
    <row r="909">
      <c r="A909" s="54">
        <f>IF(_calc!$E$911="","",IF(_calc!$E$911&lt;=500,"Warranty – "&amp;IF(LEN(INDEX('Dealer pipeline'!$C$4:$C$503,_calc!$E$911))=0,"",INDEX('Dealer pipeline'!$C$4:$C$503,_calc!$E$911))&amp;" – "&amp;IF(LEN(INDEX('Dealer pipeline'!$D$4:$D$503,_calc!$E$911))=0,"",INDEX('Dealer pipeline'!$D$4:$D$503,_calc!$E$911))&amp;" – "&amp;IF(LEN(INDEX('Dealer pipeline'!$A$4:$A$503,_calc!$E$911))=0,"",INDEX('Dealer pipeline'!$A$4:$A$503,_calc!$E$911)),"Warranty – "&amp;IF(LEN(INDEX('My equipment'!$A$4:$A$503,(_calc!$E$911-500)))=0,"",INDEX('My equipment'!$A$4:$A$503,(_calc!$E$911-500)))&amp;" – "&amp;IF(LEN(INDEX('My equipment'!$D$4:$D$503,(_calc!$E$911-500)))=0,"",INDEX('My equipment'!$D$4:$D$503,(_calc!$E$911-500)))))</f>
        <v/>
      </c>
      <c r="B909" s="54">
        <f>IF(_calc!$E$911="","",IF(_calc!$E$911&lt;=500,IF(ISNUMBER(INDEX('Dealer pipeline'!$M$4:$M$503,_calc!$E$911)),TEXT(INDEX('Dealer pipeline'!$M$4:$M$503,_calc!$E$911),"yyyy-mm-dd"),""),IF(ISNUMBER(INDEX('My equipment'!$M$4:$M$503,(_calc!$E$911-500))),TEXT(INDEX('My equipment'!$M$4:$M$503,(_calc!$E$911-500)),"yyyy-mm-dd"),"")))</f>
        <v/>
      </c>
      <c r="C909" s="54">
        <f>IF(_calc!$E$911="","",IF(_calc!$E$911&lt;=500,"Warranty","Warranty"))</f>
        <v/>
      </c>
      <c r="D909" s="54">
        <f>IF(_calc!$E$911="","",IF(_calc!$E$911&lt;=500,IF(ISNUMBER(INDEX('Dealer pipeline'!$H$4:$H$503,_calc!$E$911)),TEXT(INDEX('Dealer pipeline'!$H$4:$H$503,_calc!$E$911),"yyyy-mm-dd"),""),IF(ISNUMBER(INDEX('My equipment'!$H$4:$H$503,(_calc!$E$911-500))),TEXT(INDEX('My equipment'!$H$4:$H$503,(_calc!$E$911-500)),"yyyy-mm-dd"),"")))</f>
        <v/>
      </c>
      <c r="F909" s="54">
        <f>IF(_calc!$E$911="","",IF(_calc!$E$911&lt;=500,TRIM(IF(LEN(IF(LEN(INDEX('Dealer pipeline'!$A$4:$A$503,_calc!$E$911))=0,"",INDEX('Dealer pipeline'!$A$4:$A$503,_calc!$E$911)))=0,"","Customer: "&amp;IF(LEN(INDEX('Dealer pipeline'!$A$4:$A$503,_calc!$E$911))=0,"",INDEX('Dealer pipeline'!$A$4:$A$503,_calc!$E$911))&amp;". ")&amp;IF(LEN(IF(LEN(INDEX('Dealer pipeline'!$B$4:$B$503,_calc!$E$911))=0,"",INDEX('Dealer pipeline'!$B$4:$B$503,_calc!$E$911)))=0,"","Contact: "&amp;IF(LEN(INDEX('Dealer pipeline'!$B$4:$B$503,_calc!$E$911))=0,"",INDEX('Dealer pipeline'!$B$4:$B$503,_calc!$E$911))&amp;". ")&amp;IF(LEN(IF(LEN(INDEX('Dealer pipeline'!$D$4:$D$503,_calc!$E$911))=0,"",INDEX('Dealer pipeline'!$D$4:$D$503,_calc!$E$911)))=0,"","Serial: "&amp;IF(LEN(INDEX('Dealer pipeline'!$D$4:$D$503,_calc!$E$911))=0,"",INDEX('Dealer pipeline'!$D$4:$D$503,_calc!$E$911))&amp;". ")&amp;IF(LEN(IF(ISNUMBER(INDEX('Dealer pipeline'!$J$4:$J$503,_calc!$E$911)),TEXT(INDEX('Dealer pipeline'!$J$4:$J$503,_calc!$E$911),"yyyy-mm-dd"),""))=0,"","Parts end: "&amp;IF(ISNUMBER(INDEX('Dealer pipeline'!$J$4:$J$503,_calc!$E$911)),TEXT(INDEX('Dealer pipeline'!$J$4:$J$503,_calc!$E$911),"yyyy-mm-dd"),"")&amp;". ")&amp;IF(LEN(IF(ISNUMBER(INDEX('Dealer pipeline'!$L$4:$L$503,_calc!$E$911)),TEXT(INDEX('Dealer pipeline'!$L$4:$L$503,_calc!$E$911),"yyyy-mm-dd"),""))=0,"","Labor end: "&amp;IF(ISNUMBER(INDEX('Dealer pipeline'!$L$4:$L$503,_calc!$E$911)),TEXT(INDEX('Dealer pipeline'!$L$4:$L$503,_calc!$E$911),"yyyy-mm-dd"),"")&amp;". ")&amp;IF(LEN(IF(LEN(INDEX('Dealer pipeline'!$Q$4:$Q$503,_calc!$E$911))=0,"",INDEX('Dealer pipeline'!$Q$4:$Q$503,_calc!$E$911)))=0,"","Status: "&amp;IF(LEN(INDEX('Dealer pipeline'!$Q$4:$Q$503,_calc!$E$911))=0,"",INDEX('Dealer pipeline'!$Q$4:$Q$503,_calc!$E$911))&amp;". ")&amp;IF(LEN(IF(LEN(INDEX('Dealer pipeline'!$P$4:$P$503,_calc!$E$911))=0,"",INDEX('Dealer pipeline'!$P$4:$P$503,_calc!$E$911)))=0,"","Last touch: "&amp;IF(LEN(INDEX('Dealer pipeline'!$P$4:$P$503,_calc!$E$911))=0,"",INDEX('Dealer pipeline'!$P$4:$P$503,_calc!$E$911))&amp;". ")&amp;IF(LEN(IF(LEN(INDEX('Dealer pipeline'!$R$4:$R$503,_calc!$E$911))=0,"",INDEX('Dealer pipeline'!$R$4:$R$503,_calc!$E$911)))=0,"","Owner: "&amp;IF(LEN(INDEX('Dealer pipeline'!$R$4:$R$503,_calc!$E$911))=0,"",INDEX('Dealer pipeline'!$R$4:$R$503,_calc!$E$911))&amp;". ")&amp;IF(LEN(IF(LEN(INDEX('Dealer pipeline'!$S$4:$S$503,_calc!$E$911))=0,"",INDEX('Dealer pipeline'!$S$4:$S$503,_calc!$E$911)))=0,"","Backup: "&amp;IF(LEN(INDEX('Dealer pipeline'!$S$4:$S$503,_calc!$E$911))=0,"",INDEX('Dealer pipeline'!$S$4:$S$503,_calc!$E$911))&amp;". ")&amp;IF(LEN(IF(LEN(INDEX('Dealer pipeline'!$T$4:$T$503,_calc!$E$911))=0,"",INDEX('Dealer pipeline'!$T$4:$T$503,_calc!$E$911)))=0,"",IF(LEN(INDEX('Dealer pipeline'!$T$4:$T$503,_calc!$E$911))=0,"",INDEX('Dealer pipeline'!$T$4:$T$503,_calc!$E$911)))),TRIM(IF(LEN(IF(LEN(INDEX('My equipment'!$C$4:$C$503,(_calc!$E$911-500)))=0,"",INDEX('My equipment'!$C$4:$C$503,(_calc!$E$911-500))))=0,"","Model: "&amp;IF(LEN(INDEX('My equipment'!$C$4:$C$503,(_calc!$E$911-500)))=0,"",INDEX('My equipment'!$C$4:$C$503,(_calc!$E$911-500)))&amp;". ")&amp;IF(LEN(IF(LEN(INDEX('My equipment'!$D$4:$D$503,(_calc!$E$911-500)))=0,"",INDEX('My equipment'!$D$4:$D$503,(_calc!$E$911-500))))=0,"","Serial: "&amp;IF(LEN(INDEX('My equipment'!$D$4:$D$503,(_calc!$E$911-500)))=0,"",INDEX('My equipment'!$D$4:$D$503,(_calc!$E$911-500)))&amp;". ")&amp;IF(LEN(IF(ISNUMBER(INDEX('My equipment'!$J$4:$J$503,(_calc!$E$911-500))),TEXT(INDEX('My equipment'!$J$4:$J$503,(_calc!$E$911-500)),"yyyy-mm-dd"),""))=0,"","Parts end: "&amp;IF(ISNUMBER(INDEX('My equipment'!$J$4:$J$503,(_calc!$E$911-500))),TEXT(INDEX('My equipment'!$J$4:$J$503,(_calc!$E$911-500)),"yyyy-mm-dd"),"")&amp;". ")&amp;IF(LEN(IF(ISNUMBER(INDEX('My equipment'!$L$4:$L$503,(_calc!$E$911-500))),TEXT(INDEX('My equipment'!$L$4:$L$503,(_calc!$E$911-500)),"yyyy-mm-dd"),""))=0,"","Labor end: "&amp;IF(ISNUMBER(INDEX('My equipment'!$L$4:$L$503,(_calc!$E$911-500))),TEXT(INDEX('My equipment'!$L$4:$L$503,(_calc!$E$911-500)),"yyyy-mm-dd"),"")&amp;". ")&amp;IF(LEN(IF(ISNUMBER(INDEX('My equipment'!$P$4:$P$503,(_calc!$E$911-500))),TEXT(INDEX('My equipment'!$P$4:$P$503,(_calc!$E$911-500)),"yyyy-mm-dd"),""))=0,"","Check by: "&amp;IF(ISNUMBER(INDEX('My equipment'!$P$4:$P$503,(_calc!$E$911-500))),TEXT(INDEX('My equipment'!$P$4:$P$503,(_calc!$E$911-500)),"yyyy-mm-dd"),"")&amp;". ")&amp;IF(LEN(IF(LEN(INDEX('My equipment'!$Q$4:$Q$503,(_calc!$E$911-500)))=0,"",INDEX('My equipment'!$Q$4:$Q$503,(_calc!$E$911-500))))=0,"","Claim status: "&amp;IF(LEN(INDEX('My equipment'!$Q$4:$Q$503,(_calc!$E$911-500)))=0,"",INDEX('My equipment'!$Q$4:$Q$503,(_calc!$E$911-500)))&amp;". ")&amp;IF(LEN(IF(LEN(INDEX('My equipment'!$R$4:$R$503,(_calc!$E$911-500)))=0,"",INDEX('My equipment'!$R$4:$R$503,(_calc!$E$911-500))))=0,"","Claims contact: "&amp;IF(LEN(INDEX('My equipment'!$R$4:$R$503,(_calc!$E$911-500)))=0,"",INDEX('My equipment'!$R$4:$R$503,(_calc!$E$911-500)))&amp;". ")&amp;IF(LEN(IF(LEN(INDEX('My equipment'!$S$4:$S$503,(_calc!$E$911-500)))=0,"",INDEX('My equipment'!$S$4:$S$503,(_calc!$E$911-500))))=0,"","Claims email: "&amp;IF(LEN(INDEX('My equipment'!$S$4:$S$503,(_calc!$E$911-500)))=0,"",INDEX('My equipment'!$S$4:$S$503,(_calc!$E$911-500)))&amp;". ")&amp;IF(LEN(IF(LEN(INDEX('My equipment'!$U$4:$U$503,(_calc!$E$911-500)))=0,"",INDEX('My equipment'!$U$4:$U$503,(_calc!$E$911-500))))=0,"","Registered: "&amp;IF(LEN(INDEX('My equipment'!$U$4:$U$503,(_calc!$E$911-500)))=0,"",INDEX('My equipment'!$U$4:$U$503,(_calc!$E$911-500)))&amp;". ")&amp;IF(LEN(IF(LEN(INDEX('My equipment'!$V$4:$V$503,(_calc!$E$911-500)))=0,"",INDEX('My equipment'!$V$4:$V$503,(_calc!$E$911-500))))=0,"","Proof on file: "&amp;IF(LEN(INDEX('My equipment'!$V$4:$V$503,(_calc!$E$911-500)))=0,"",INDEX('My equipment'!$V$4:$V$503,(_calc!$E$911-500)))&amp;". ")&amp;IF(LEN(IF(LEN(INDEX('My equipment'!$W$4:$W$503,(_calc!$E$911-500)))=0,"",INDEX('My equipment'!$W$4:$W$503,(_calc!$E$911-500))))=0,"","Claim ref: "&amp;IF(LEN(INDEX('My equipment'!$W$4:$W$503,(_calc!$E$911-500)))=0,"",INDEX('My equipment'!$W$4:$W$503,(_calc!$E$911-500)))&amp;". ")&amp;IF(LEN(IF(LEN(INDEX('My equipment'!$Y$4:$Y$503,(_calc!$E$911-500)))=0,"",INDEX('My equipment'!$Y$4:$Y$503,(_calc!$E$911-500))))=0,"",IF(LEN(INDEX('My equipment'!$Y$4:$Y$503,(_calc!$E$911-500)))=0,"",INDEX('My equipment'!$Y$4:$Y$503,(_calc!$E$911-500)))))))</f>
        <v/>
      </c>
      <c r="G909" s="54">
        <f>IF(_calc!$E$911="","",IF(_calc!$E$911&lt;=500,"",IF(LEN(INDEX('My equipment'!$X$4:$X$503,(_calc!$E$911-500)))=0,"",INDEX('My equipment'!$X$4:$X$503,(_calc!$E$911-500)))))</f>
        <v/>
      </c>
      <c r="K909" s="54">
        <f>IF(_calc!$E$911="","",IF(_calc!$E$911&lt;=500,"",IF(LEN(INDEX('My equipment'!$T$4:$T$503,(_calc!$E$911-500)))=0,"",INDEX('My equipment'!$T$4:$T$503,(_calc!$E$911-500)))))</f>
        <v/>
      </c>
    </row>
    <row r="910">
      <c r="A910" s="54">
        <f>IF(_calc!$E$912="","",IF(_calc!$E$912&lt;=500,"Warranty – "&amp;IF(LEN(INDEX('Dealer pipeline'!$C$4:$C$503,_calc!$E$912))=0,"",INDEX('Dealer pipeline'!$C$4:$C$503,_calc!$E$912))&amp;" – "&amp;IF(LEN(INDEX('Dealer pipeline'!$D$4:$D$503,_calc!$E$912))=0,"",INDEX('Dealer pipeline'!$D$4:$D$503,_calc!$E$912))&amp;" – "&amp;IF(LEN(INDEX('Dealer pipeline'!$A$4:$A$503,_calc!$E$912))=0,"",INDEX('Dealer pipeline'!$A$4:$A$503,_calc!$E$912)),"Warranty – "&amp;IF(LEN(INDEX('My equipment'!$A$4:$A$503,(_calc!$E$912-500)))=0,"",INDEX('My equipment'!$A$4:$A$503,(_calc!$E$912-500)))&amp;" – "&amp;IF(LEN(INDEX('My equipment'!$D$4:$D$503,(_calc!$E$912-500)))=0,"",INDEX('My equipment'!$D$4:$D$503,(_calc!$E$912-500)))))</f>
        <v/>
      </c>
      <c r="B910" s="54">
        <f>IF(_calc!$E$912="","",IF(_calc!$E$912&lt;=500,IF(ISNUMBER(INDEX('Dealer pipeline'!$M$4:$M$503,_calc!$E$912)),TEXT(INDEX('Dealer pipeline'!$M$4:$M$503,_calc!$E$912),"yyyy-mm-dd"),""),IF(ISNUMBER(INDEX('My equipment'!$M$4:$M$503,(_calc!$E$912-500))),TEXT(INDEX('My equipment'!$M$4:$M$503,(_calc!$E$912-500)),"yyyy-mm-dd"),"")))</f>
        <v/>
      </c>
      <c r="C910" s="54">
        <f>IF(_calc!$E$912="","",IF(_calc!$E$912&lt;=500,"Warranty","Warranty"))</f>
        <v/>
      </c>
      <c r="D910" s="54">
        <f>IF(_calc!$E$912="","",IF(_calc!$E$912&lt;=500,IF(ISNUMBER(INDEX('Dealer pipeline'!$H$4:$H$503,_calc!$E$912)),TEXT(INDEX('Dealer pipeline'!$H$4:$H$503,_calc!$E$912),"yyyy-mm-dd"),""),IF(ISNUMBER(INDEX('My equipment'!$H$4:$H$503,(_calc!$E$912-500))),TEXT(INDEX('My equipment'!$H$4:$H$503,(_calc!$E$912-500)),"yyyy-mm-dd"),"")))</f>
        <v/>
      </c>
      <c r="F910" s="54">
        <f>IF(_calc!$E$912="","",IF(_calc!$E$912&lt;=500,TRIM(IF(LEN(IF(LEN(INDEX('Dealer pipeline'!$A$4:$A$503,_calc!$E$912))=0,"",INDEX('Dealer pipeline'!$A$4:$A$503,_calc!$E$912)))=0,"","Customer: "&amp;IF(LEN(INDEX('Dealer pipeline'!$A$4:$A$503,_calc!$E$912))=0,"",INDEX('Dealer pipeline'!$A$4:$A$503,_calc!$E$912))&amp;". ")&amp;IF(LEN(IF(LEN(INDEX('Dealer pipeline'!$B$4:$B$503,_calc!$E$912))=0,"",INDEX('Dealer pipeline'!$B$4:$B$503,_calc!$E$912)))=0,"","Contact: "&amp;IF(LEN(INDEX('Dealer pipeline'!$B$4:$B$503,_calc!$E$912))=0,"",INDEX('Dealer pipeline'!$B$4:$B$503,_calc!$E$912))&amp;". ")&amp;IF(LEN(IF(LEN(INDEX('Dealer pipeline'!$D$4:$D$503,_calc!$E$912))=0,"",INDEX('Dealer pipeline'!$D$4:$D$503,_calc!$E$912)))=0,"","Serial: "&amp;IF(LEN(INDEX('Dealer pipeline'!$D$4:$D$503,_calc!$E$912))=0,"",INDEX('Dealer pipeline'!$D$4:$D$503,_calc!$E$912))&amp;". ")&amp;IF(LEN(IF(ISNUMBER(INDEX('Dealer pipeline'!$J$4:$J$503,_calc!$E$912)),TEXT(INDEX('Dealer pipeline'!$J$4:$J$503,_calc!$E$912),"yyyy-mm-dd"),""))=0,"","Parts end: "&amp;IF(ISNUMBER(INDEX('Dealer pipeline'!$J$4:$J$503,_calc!$E$912)),TEXT(INDEX('Dealer pipeline'!$J$4:$J$503,_calc!$E$912),"yyyy-mm-dd"),"")&amp;". ")&amp;IF(LEN(IF(ISNUMBER(INDEX('Dealer pipeline'!$L$4:$L$503,_calc!$E$912)),TEXT(INDEX('Dealer pipeline'!$L$4:$L$503,_calc!$E$912),"yyyy-mm-dd"),""))=0,"","Labor end: "&amp;IF(ISNUMBER(INDEX('Dealer pipeline'!$L$4:$L$503,_calc!$E$912)),TEXT(INDEX('Dealer pipeline'!$L$4:$L$503,_calc!$E$912),"yyyy-mm-dd"),"")&amp;". ")&amp;IF(LEN(IF(LEN(INDEX('Dealer pipeline'!$Q$4:$Q$503,_calc!$E$912))=0,"",INDEX('Dealer pipeline'!$Q$4:$Q$503,_calc!$E$912)))=0,"","Status: "&amp;IF(LEN(INDEX('Dealer pipeline'!$Q$4:$Q$503,_calc!$E$912))=0,"",INDEX('Dealer pipeline'!$Q$4:$Q$503,_calc!$E$912))&amp;". ")&amp;IF(LEN(IF(LEN(INDEX('Dealer pipeline'!$P$4:$P$503,_calc!$E$912))=0,"",INDEX('Dealer pipeline'!$P$4:$P$503,_calc!$E$912)))=0,"","Last touch: "&amp;IF(LEN(INDEX('Dealer pipeline'!$P$4:$P$503,_calc!$E$912))=0,"",INDEX('Dealer pipeline'!$P$4:$P$503,_calc!$E$912))&amp;". ")&amp;IF(LEN(IF(LEN(INDEX('Dealer pipeline'!$R$4:$R$503,_calc!$E$912))=0,"",INDEX('Dealer pipeline'!$R$4:$R$503,_calc!$E$912)))=0,"","Owner: "&amp;IF(LEN(INDEX('Dealer pipeline'!$R$4:$R$503,_calc!$E$912))=0,"",INDEX('Dealer pipeline'!$R$4:$R$503,_calc!$E$912))&amp;". ")&amp;IF(LEN(IF(LEN(INDEX('Dealer pipeline'!$S$4:$S$503,_calc!$E$912))=0,"",INDEX('Dealer pipeline'!$S$4:$S$503,_calc!$E$912)))=0,"","Backup: "&amp;IF(LEN(INDEX('Dealer pipeline'!$S$4:$S$503,_calc!$E$912))=0,"",INDEX('Dealer pipeline'!$S$4:$S$503,_calc!$E$912))&amp;". ")&amp;IF(LEN(IF(LEN(INDEX('Dealer pipeline'!$T$4:$T$503,_calc!$E$912))=0,"",INDEX('Dealer pipeline'!$T$4:$T$503,_calc!$E$912)))=0,"",IF(LEN(INDEX('Dealer pipeline'!$T$4:$T$503,_calc!$E$912))=0,"",INDEX('Dealer pipeline'!$T$4:$T$503,_calc!$E$912)))),TRIM(IF(LEN(IF(LEN(INDEX('My equipment'!$C$4:$C$503,(_calc!$E$912-500)))=0,"",INDEX('My equipment'!$C$4:$C$503,(_calc!$E$912-500))))=0,"","Model: "&amp;IF(LEN(INDEX('My equipment'!$C$4:$C$503,(_calc!$E$912-500)))=0,"",INDEX('My equipment'!$C$4:$C$503,(_calc!$E$912-500)))&amp;". ")&amp;IF(LEN(IF(LEN(INDEX('My equipment'!$D$4:$D$503,(_calc!$E$912-500)))=0,"",INDEX('My equipment'!$D$4:$D$503,(_calc!$E$912-500))))=0,"","Serial: "&amp;IF(LEN(INDEX('My equipment'!$D$4:$D$503,(_calc!$E$912-500)))=0,"",INDEX('My equipment'!$D$4:$D$503,(_calc!$E$912-500)))&amp;". ")&amp;IF(LEN(IF(ISNUMBER(INDEX('My equipment'!$J$4:$J$503,(_calc!$E$912-500))),TEXT(INDEX('My equipment'!$J$4:$J$503,(_calc!$E$912-500)),"yyyy-mm-dd"),""))=0,"","Parts end: "&amp;IF(ISNUMBER(INDEX('My equipment'!$J$4:$J$503,(_calc!$E$912-500))),TEXT(INDEX('My equipment'!$J$4:$J$503,(_calc!$E$912-500)),"yyyy-mm-dd"),"")&amp;". ")&amp;IF(LEN(IF(ISNUMBER(INDEX('My equipment'!$L$4:$L$503,(_calc!$E$912-500))),TEXT(INDEX('My equipment'!$L$4:$L$503,(_calc!$E$912-500)),"yyyy-mm-dd"),""))=0,"","Labor end: "&amp;IF(ISNUMBER(INDEX('My equipment'!$L$4:$L$503,(_calc!$E$912-500))),TEXT(INDEX('My equipment'!$L$4:$L$503,(_calc!$E$912-500)),"yyyy-mm-dd"),"")&amp;". ")&amp;IF(LEN(IF(ISNUMBER(INDEX('My equipment'!$P$4:$P$503,(_calc!$E$912-500))),TEXT(INDEX('My equipment'!$P$4:$P$503,(_calc!$E$912-500)),"yyyy-mm-dd"),""))=0,"","Check by: "&amp;IF(ISNUMBER(INDEX('My equipment'!$P$4:$P$503,(_calc!$E$912-500))),TEXT(INDEX('My equipment'!$P$4:$P$503,(_calc!$E$912-500)),"yyyy-mm-dd"),"")&amp;". ")&amp;IF(LEN(IF(LEN(INDEX('My equipment'!$Q$4:$Q$503,(_calc!$E$912-500)))=0,"",INDEX('My equipment'!$Q$4:$Q$503,(_calc!$E$912-500))))=0,"","Claim status: "&amp;IF(LEN(INDEX('My equipment'!$Q$4:$Q$503,(_calc!$E$912-500)))=0,"",INDEX('My equipment'!$Q$4:$Q$503,(_calc!$E$912-500)))&amp;". ")&amp;IF(LEN(IF(LEN(INDEX('My equipment'!$R$4:$R$503,(_calc!$E$912-500)))=0,"",INDEX('My equipment'!$R$4:$R$503,(_calc!$E$912-500))))=0,"","Claims contact: "&amp;IF(LEN(INDEX('My equipment'!$R$4:$R$503,(_calc!$E$912-500)))=0,"",INDEX('My equipment'!$R$4:$R$503,(_calc!$E$912-500)))&amp;". ")&amp;IF(LEN(IF(LEN(INDEX('My equipment'!$S$4:$S$503,(_calc!$E$912-500)))=0,"",INDEX('My equipment'!$S$4:$S$503,(_calc!$E$912-500))))=0,"","Claims email: "&amp;IF(LEN(INDEX('My equipment'!$S$4:$S$503,(_calc!$E$912-500)))=0,"",INDEX('My equipment'!$S$4:$S$503,(_calc!$E$912-500)))&amp;". ")&amp;IF(LEN(IF(LEN(INDEX('My equipment'!$U$4:$U$503,(_calc!$E$912-500)))=0,"",INDEX('My equipment'!$U$4:$U$503,(_calc!$E$912-500))))=0,"","Registered: "&amp;IF(LEN(INDEX('My equipment'!$U$4:$U$503,(_calc!$E$912-500)))=0,"",INDEX('My equipment'!$U$4:$U$503,(_calc!$E$912-500)))&amp;". ")&amp;IF(LEN(IF(LEN(INDEX('My equipment'!$V$4:$V$503,(_calc!$E$912-500)))=0,"",INDEX('My equipment'!$V$4:$V$503,(_calc!$E$912-500))))=0,"","Proof on file: "&amp;IF(LEN(INDEX('My equipment'!$V$4:$V$503,(_calc!$E$912-500)))=0,"",INDEX('My equipment'!$V$4:$V$503,(_calc!$E$912-500)))&amp;". ")&amp;IF(LEN(IF(LEN(INDEX('My equipment'!$W$4:$W$503,(_calc!$E$912-500)))=0,"",INDEX('My equipment'!$W$4:$W$503,(_calc!$E$912-500))))=0,"","Claim ref: "&amp;IF(LEN(INDEX('My equipment'!$W$4:$W$503,(_calc!$E$912-500)))=0,"",INDEX('My equipment'!$W$4:$W$503,(_calc!$E$912-500)))&amp;". ")&amp;IF(LEN(IF(LEN(INDEX('My equipment'!$Y$4:$Y$503,(_calc!$E$912-500)))=0,"",INDEX('My equipment'!$Y$4:$Y$503,(_calc!$E$912-500))))=0,"",IF(LEN(INDEX('My equipment'!$Y$4:$Y$503,(_calc!$E$912-500)))=0,"",INDEX('My equipment'!$Y$4:$Y$503,(_calc!$E$912-500)))))))</f>
        <v/>
      </c>
      <c r="G910" s="54">
        <f>IF(_calc!$E$912="","",IF(_calc!$E$912&lt;=500,"",IF(LEN(INDEX('My equipment'!$X$4:$X$503,(_calc!$E$912-500)))=0,"",INDEX('My equipment'!$X$4:$X$503,(_calc!$E$912-500)))))</f>
        <v/>
      </c>
      <c r="K910" s="54">
        <f>IF(_calc!$E$912="","",IF(_calc!$E$912&lt;=500,"",IF(LEN(INDEX('My equipment'!$T$4:$T$503,(_calc!$E$912-500)))=0,"",INDEX('My equipment'!$T$4:$T$503,(_calc!$E$912-500)))))</f>
        <v/>
      </c>
    </row>
    <row r="911">
      <c r="A911" s="54">
        <f>IF(_calc!$E$913="","",IF(_calc!$E$913&lt;=500,"Warranty – "&amp;IF(LEN(INDEX('Dealer pipeline'!$C$4:$C$503,_calc!$E$913))=0,"",INDEX('Dealer pipeline'!$C$4:$C$503,_calc!$E$913))&amp;" – "&amp;IF(LEN(INDEX('Dealer pipeline'!$D$4:$D$503,_calc!$E$913))=0,"",INDEX('Dealer pipeline'!$D$4:$D$503,_calc!$E$913))&amp;" – "&amp;IF(LEN(INDEX('Dealer pipeline'!$A$4:$A$503,_calc!$E$913))=0,"",INDEX('Dealer pipeline'!$A$4:$A$503,_calc!$E$913)),"Warranty – "&amp;IF(LEN(INDEX('My equipment'!$A$4:$A$503,(_calc!$E$913-500)))=0,"",INDEX('My equipment'!$A$4:$A$503,(_calc!$E$913-500)))&amp;" – "&amp;IF(LEN(INDEX('My equipment'!$D$4:$D$503,(_calc!$E$913-500)))=0,"",INDEX('My equipment'!$D$4:$D$503,(_calc!$E$913-500)))))</f>
        <v/>
      </c>
      <c r="B911" s="54">
        <f>IF(_calc!$E$913="","",IF(_calc!$E$913&lt;=500,IF(ISNUMBER(INDEX('Dealer pipeline'!$M$4:$M$503,_calc!$E$913)),TEXT(INDEX('Dealer pipeline'!$M$4:$M$503,_calc!$E$913),"yyyy-mm-dd"),""),IF(ISNUMBER(INDEX('My equipment'!$M$4:$M$503,(_calc!$E$913-500))),TEXT(INDEX('My equipment'!$M$4:$M$503,(_calc!$E$913-500)),"yyyy-mm-dd"),"")))</f>
        <v/>
      </c>
      <c r="C911" s="54">
        <f>IF(_calc!$E$913="","",IF(_calc!$E$913&lt;=500,"Warranty","Warranty"))</f>
        <v/>
      </c>
      <c r="D911" s="54">
        <f>IF(_calc!$E$913="","",IF(_calc!$E$913&lt;=500,IF(ISNUMBER(INDEX('Dealer pipeline'!$H$4:$H$503,_calc!$E$913)),TEXT(INDEX('Dealer pipeline'!$H$4:$H$503,_calc!$E$913),"yyyy-mm-dd"),""),IF(ISNUMBER(INDEX('My equipment'!$H$4:$H$503,(_calc!$E$913-500))),TEXT(INDEX('My equipment'!$H$4:$H$503,(_calc!$E$913-500)),"yyyy-mm-dd"),"")))</f>
        <v/>
      </c>
      <c r="F911" s="54">
        <f>IF(_calc!$E$913="","",IF(_calc!$E$913&lt;=500,TRIM(IF(LEN(IF(LEN(INDEX('Dealer pipeline'!$A$4:$A$503,_calc!$E$913))=0,"",INDEX('Dealer pipeline'!$A$4:$A$503,_calc!$E$913)))=0,"","Customer: "&amp;IF(LEN(INDEX('Dealer pipeline'!$A$4:$A$503,_calc!$E$913))=0,"",INDEX('Dealer pipeline'!$A$4:$A$503,_calc!$E$913))&amp;". ")&amp;IF(LEN(IF(LEN(INDEX('Dealer pipeline'!$B$4:$B$503,_calc!$E$913))=0,"",INDEX('Dealer pipeline'!$B$4:$B$503,_calc!$E$913)))=0,"","Contact: "&amp;IF(LEN(INDEX('Dealer pipeline'!$B$4:$B$503,_calc!$E$913))=0,"",INDEX('Dealer pipeline'!$B$4:$B$503,_calc!$E$913))&amp;". ")&amp;IF(LEN(IF(LEN(INDEX('Dealer pipeline'!$D$4:$D$503,_calc!$E$913))=0,"",INDEX('Dealer pipeline'!$D$4:$D$503,_calc!$E$913)))=0,"","Serial: "&amp;IF(LEN(INDEX('Dealer pipeline'!$D$4:$D$503,_calc!$E$913))=0,"",INDEX('Dealer pipeline'!$D$4:$D$503,_calc!$E$913))&amp;". ")&amp;IF(LEN(IF(ISNUMBER(INDEX('Dealer pipeline'!$J$4:$J$503,_calc!$E$913)),TEXT(INDEX('Dealer pipeline'!$J$4:$J$503,_calc!$E$913),"yyyy-mm-dd"),""))=0,"","Parts end: "&amp;IF(ISNUMBER(INDEX('Dealer pipeline'!$J$4:$J$503,_calc!$E$913)),TEXT(INDEX('Dealer pipeline'!$J$4:$J$503,_calc!$E$913),"yyyy-mm-dd"),"")&amp;". ")&amp;IF(LEN(IF(ISNUMBER(INDEX('Dealer pipeline'!$L$4:$L$503,_calc!$E$913)),TEXT(INDEX('Dealer pipeline'!$L$4:$L$503,_calc!$E$913),"yyyy-mm-dd"),""))=0,"","Labor end: "&amp;IF(ISNUMBER(INDEX('Dealer pipeline'!$L$4:$L$503,_calc!$E$913)),TEXT(INDEX('Dealer pipeline'!$L$4:$L$503,_calc!$E$913),"yyyy-mm-dd"),"")&amp;". ")&amp;IF(LEN(IF(LEN(INDEX('Dealer pipeline'!$Q$4:$Q$503,_calc!$E$913))=0,"",INDEX('Dealer pipeline'!$Q$4:$Q$503,_calc!$E$913)))=0,"","Status: "&amp;IF(LEN(INDEX('Dealer pipeline'!$Q$4:$Q$503,_calc!$E$913))=0,"",INDEX('Dealer pipeline'!$Q$4:$Q$503,_calc!$E$913))&amp;". ")&amp;IF(LEN(IF(LEN(INDEX('Dealer pipeline'!$P$4:$P$503,_calc!$E$913))=0,"",INDEX('Dealer pipeline'!$P$4:$P$503,_calc!$E$913)))=0,"","Last touch: "&amp;IF(LEN(INDEX('Dealer pipeline'!$P$4:$P$503,_calc!$E$913))=0,"",INDEX('Dealer pipeline'!$P$4:$P$503,_calc!$E$913))&amp;". ")&amp;IF(LEN(IF(LEN(INDEX('Dealer pipeline'!$R$4:$R$503,_calc!$E$913))=0,"",INDEX('Dealer pipeline'!$R$4:$R$503,_calc!$E$913)))=0,"","Owner: "&amp;IF(LEN(INDEX('Dealer pipeline'!$R$4:$R$503,_calc!$E$913))=0,"",INDEX('Dealer pipeline'!$R$4:$R$503,_calc!$E$913))&amp;". ")&amp;IF(LEN(IF(LEN(INDEX('Dealer pipeline'!$S$4:$S$503,_calc!$E$913))=0,"",INDEX('Dealer pipeline'!$S$4:$S$503,_calc!$E$913)))=0,"","Backup: "&amp;IF(LEN(INDEX('Dealer pipeline'!$S$4:$S$503,_calc!$E$913))=0,"",INDEX('Dealer pipeline'!$S$4:$S$503,_calc!$E$913))&amp;". ")&amp;IF(LEN(IF(LEN(INDEX('Dealer pipeline'!$T$4:$T$503,_calc!$E$913))=0,"",INDEX('Dealer pipeline'!$T$4:$T$503,_calc!$E$913)))=0,"",IF(LEN(INDEX('Dealer pipeline'!$T$4:$T$503,_calc!$E$913))=0,"",INDEX('Dealer pipeline'!$T$4:$T$503,_calc!$E$913)))),TRIM(IF(LEN(IF(LEN(INDEX('My equipment'!$C$4:$C$503,(_calc!$E$913-500)))=0,"",INDEX('My equipment'!$C$4:$C$503,(_calc!$E$913-500))))=0,"","Model: "&amp;IF(LEN(INDEX('My equipment'!$C$4:$C$503,(_calc!$E$913-500)))=0,"",INDEX('My equipment'!$C$4:$C$503,(_calc!$E$913-500)))&amp;". ")&amp;IF(LEN(IF(LEN(INDEX('My equipment'!$D$4:$D$503,(_calc!$E$913-500)))=0,"",INDEX('My equipment'!$D$4:$D$503,(_calc!$E$913-500))))=0,"","Serial: "&amp;IF(LEN(INDEX('My equipment'!$D$4:$D$503,(_calc!$E$913-500)))=0,"",INDEX('My equipment'!$D$4:$D$503,(_calc!$E$913-500)))&amp;". ")&amp;IF(LEN(IF(ISNUMBER(INDEX('My equipment'!$J$4:$J$503,(_calc!$E$913-500))),TEXT(INDEX('My equipment'!$J$4:$J$503,(_calc!$E$913-500)),"yyyy-mm-dd"),""))=0,"","Parts end: "&amp;IF(ISNUMBER(INDEX('My equipment'!$J$4:$J$503,(_calc!$E$913-500))),TEXT(INDEX('My equipment'!$J$4:$J$503,(_calc!$E$913-500)),"yyyy-mm-dd"),"")&amp;". ")&amp;IF(LEN(IF(ISNUMBER(INDEX('My equipment'!$L$4:$L$503,(_calc!$E$913-500))),TEXT(INDEX('My equipment'!$L$4:$L$503,(_calc!$E$913-500)),"yyyy-mm-dd"),""))=0,"","Labor end: "&amp;IF(ISNUMBER(INDEX('My equipment'!$L$4:$L$503,(_calc!$E$913-500))),TEXT(INDEX('My equipment'!$L$4:$L$503,(_calc!$E$913-500)),"yyyy-mm-dd"),"")&amp;". ")&amp;IF(LEN(IF(ISNUMBER(INDEX('My equipment'!$P$4:$P$503,(_calc!$E$913-500))),TEXT(INDEX('My equipment'!$P$4:$P$503,(_calc!$E$913-500)),"yyyy-mm-dd"),""))=0,"","Check by: "&amp;IF(ISNUMBER(INDEX('My equipment'!$P$4:$P$503,(_calc!$E$913-500))),TEXT(INDEX('My equipment'!$P$4:$P$503,(_calc!$E$913-500)),"yyyy-mm-dd"),"")&amp;". ")&amp;IF(LEN(IF(LEN(INDEX('My equipment'!$Q$4:$Q$503,(_calc!$E$913-500)))=0,"",INDEX('My equipment'!$Q$4:$Q$503,(_calc!$E$913-500))))=0,"","Claim status: "&amp;IF(LEN(INDEX('My equipment'!$Q$4:$Q$503,(_calc!$E$913-500)))=0,"",INDEX('My equipment'!$Q$4:$Q$503,(_calc!$E$913-500)))&amp;". ")&amp;IF(LEN(IF(LEN(INDEX('My equipment'!$R$4:$R$503,(_calc!$E$913-500)))=0,"",INDEX('My equipment'!$R$4:$R$503,(_calc!$E$913-500))))=0,"","Claims contact: "&amp;IF(LEN(INDEX('My equipment'!$R$4:$R$503,(_calc!$E$913-500)))=0,"",INDEX('My equipment'!$R$4:$R$503,(_calc!$E$913-500)))&amp;". ")&amp;IF(LEN(IF(LEN(INDEX('My equipment'!$S$4:$S$503,(_calc!$E$913-500)))=0,"",INDEX('My equipment'!$S$4:$S$503,(_calc!$E$913-500))))=0,"","Claims email: "&amp;IF(LEN(INDEX('My equipment'!$S$4:$S$503,(_calc!$E$913-500)))=0,"",INDEX('My equipment'!$S$4:$S$503,(_calc!$E$913-500)))&amp;". ")&amp;IF(LEN(IF(LEN(INDEX('My equipment'!$U$4:$U$503,(_calc!$E$913-500)))=0,"",INDEX('My equipment'!$U$4:$U$503,(_calc!$E$913-500))))=0,"","Registered: "&amp;IF(LEN(INDEX('My equipment'!$U$4:$U$503,(_calc!$E$913-500)))=0,"",INDEX('My equipment'!$U$4:$U$503,(_calc!$E$913-500)))&amp;". ")&amp;IF(LEN(IF(LEN(INDEX('My equipment'!$V$4:$V$503,(_calc!$E$913-500)))=0,"",INDEX('My equipment'!$V$4:$V$503,(_calc!$E$913-500))))=0,"","Proof on file: "&amp;IF(LEN(INDEX('My equipment'!$V$4:$V$503,(_calc!$E$913-500)))=0,"",INDEX('My equipment'!$V$4:$V$503,(_calc!$E$913-500)))&amp;". ")&amp;IF(LEN(IF(LEN(INDEX('My equipment'!$W$4:$W$503,(_calc!$E$913-500)))=0,"",INDEX('My equipment'!$W$4:$W$503,(_calc!$E$913-500))))=0,"","Claim ref: "&amp;IF(LEN(INDEX('My equipment'!$W$4:$W$503,(_calc!$E$913-500)))=0,"",INDEX('My equipment'!$W$4:$W$503,(_calc!$E$913-500)))&amp;". ")&amp;IF(LEN(IF(LEN(INDEX('My equipment'!$Y$4:$Y$503,(_calc!$E$913-500)))=0,"",INDEX('My equipment'!$Y$4:$Y$503,(_calc!$E$913-500))))=0,"",IF(LEN(INDEX('My equipment'!$Y$4:$Y$503,(_calc!$E$913-500)))=0,"",INDEX('My equipment'!$Y$4:$Y$503,(_calc!$E$913-500)))))))</f>
        <v/>
      </c>
      <c r="G911" s="54">
        <f>IF(_calc!$E$913="","",IF(_calc!$E$913&lt;=500,"",IF(LEN(INDEX('My equipment'!$X$4:$X$503,(_calc!$E$913-500)))=0,"",INDEX('My equipment'!$X$4:$X$503,(_calc!$E$913-500)))))</f>
        <v/>
      </c>
      <c r="K911" s="54">
        <f>IF(_calc!$E$913="","",IF(_calc!$E$913&lt;=500,"",IF(LEN(INDEX('My equipment'!$T$4:$T$503,(_calc!$E$913-500)))=0,"",INDEX('My equipment'!$T$4:$T$503,(_calc!$E$913-500)))))</f>
        <v/>
      </c>
    </row>
    <row r="912">
      <c r="A912" s="54">
        <f>IF(_calc!$E$914="","",IF(_calc!$E$914&lt;=500,"Warranty – "&amp;IF(LEN(INDEX('Dealer pipeline'!$C$4:$C$503,_calc!$E$914))=0,"",INDEX('Dealer pipeline'!$C$4:$C$503,_calc!$E$914))&amp;" – "&amp;IF(LEN(INDEX('Dealer pipeline'!$D$4:$D$503,_calc!$E$914))=0,"",INDEX('Dealer pipeline'!$D$4:$D$503,_calc!$E$914))&amp;" – "&amp;IF(LEN(INDEX('Dealer pipeline'!$A$4:$A$503,_calc!$E$914))=0,"",INDEX('Dealer pipeline'!$A$4:$A$503,_calc!$E$914)),"Warranty – "&amp;IF(LEN(INDEX('My equipment'!$A$4:$A$503,(_calc!$E$914-500)))=0,"",INDEX('My equipment'!$A$4:$A$503,(_calc!$E$914-500)))&amp;" – "&amp;IF(LEN(INDEX('My equipment'!$D$4:$D$503,(_calc!$E$914-500)))=0,"",INDEX('My equipment'!$D$4:$D$503,(_calc!$E$914-500)))))</f>
        <v/>
      </c>
      <c r="B912" s="54">
        <f>IF(_calc!$E$914="","",IF(_calc!$E$914&lt;=500,IF(ISNUMBER(INDEX('Dealer pipeline'!$M$4:$M$503,_calc!$E$914)),TEXT(INDEX('Dealer pipeline'!$M$4:$M$503,_calc!$E$914),"yyyy-mm-dd"),""),IF(ISNUMBER(INDEX('My equipment'!$M$4:$M$503,(_calc!$E$914-500))),TEXT(INDEX('My equipment'!$M$4:$M$503,(_calc!$E$914-500)),"yyyy-mm-dd"),"")))</f>
        <v/>
      </c>
      <c r="C912" s="54">
        <f>IF(_calc!$E$914="","",IF(_calc!$E$914&lt;=500,"Warranty","Warranty"))</f>
        <v/>
      </c>
      <c r="D912" s="54">
        <f>IF(_calc!$E$914="","",IF(_calc!$E$914&lt;=500,IF(ISNUMBER(INDEX('Dealer pipeline'!$H$4:$H$503,_calc!$E$914)),TEXT(INDEX('Dealer pipeline'!$H$4:$H$503,_calc!$E$914),"yyyy-mm-dd"),""),IF(ISNUMBER(INDEX('My equipment'!$H$4:$H$503,(_calc!$E$914-500))),TEXT(INDEX('My equipment'!$H$4:$H$503,(_calc!$E$914-500)),"yyyy-mm-dd"),"")))</f>
        <v/>
      </c>
      <c r="F912" s="54">
        <f>IF(_calc!$E$914="","",IF(_calc!$E$914&lt;=500,TRIM(IF(LEN(IF(LEN(INDEX('Dealer pipeline'!$A$4:$A$503,_calc!$E$914))=0,"",INDEX('Dealer pipeline'!$A$4:$A$503,_calc!$E$914)))=0,"","Customer: "&amp;IF(LEN(INDEX('Dealer pipeline'!$A$4:$A$503,_calc!$E$914))=0,"",INDEX('Dealer pipeline'!$A$4:$A$503,_calc!$E$914))&amp;". ")&amp;IF(LEN(IF(LEN(INDEX('Dealer pipeline'!$B$4:$B$503,_calc!$E$914))=0,"",INDEX('Dealer pipeline'!$B$4:$B$503,_calc!$E$914)))=0,"","Contact: "&amp;IF(LEN(INDEX('Dealer pipeline'!$B$4:$B$503,_calc!$E$914))=0,"",INDEX('Dealer pipeline'!$B$4:$B$503,_calc!$E$914))&amp;". ")&amp;IF(LEN(IF(LEN(INDEX('Dealer pipeline'!$D$4:$D$503,_calc!$E$914))=0,"",INDEX('Dealer pipeline'!$D$4:$D$503,_calc!$E$914)))=0,"","Serial: "&amp;IF(LEN(INDEX('Dealer pipeline'!$D$4:$D$503,_calc!$E$914))=0,"",INDEX('Dealer pipeline'!$D$4:$D$503,_calc!$E$914))&amp;". ")&amp;IF(LEN(IF(ISNUMBER(INDEX('Dealer pipeline'!$J$4:$J$503,_calc!$E$914)),TEXT(INDEX('Dealer pipeline'!$J$4:$J$503,_calc!$E$914),"yyyy-mm-dd"),""))=0,"","Parts end: "&amp;IF(ISNUMBER(INDEX('Dealer pipeline'!$J$4:$J$503,_calc!$E$914)),TEXT(INDEX('Dealer pipeline'!$J$4:$J$503,_calc!$E$914),"yyyy-mm-dd"),"")&amp;". ")&amp;IF(LEN(IF(ISNUMBER(INDEX('Dealer pipeline'!$L$4:$L$503,_calc!$E$914)),TEXT(INDEX('Dealer pipeline'!$L$4:$L$503,_calc!$E$914),"yyyy-mm-dd"),""))=0,"","Labor end: "&amp;IF(ISNUMBER(INDEX('Dealer pipeline'!$L$4:$L$503,_calc!$E$914)),TEXT(INDEX('Dealer pipeline'!$L$4:$L$503,_calc!$E$914),"yyyy-mm-dd"),"")&amp;". ")&amp;IF(LEN(IF(LEN(INDEX('Dealer pipeline'!$Q$4:$Q$503,_calc!$E$914))=0,"",INDEX('Dealer pipeline'!$Q$4:$Q$503,_calc!$E$914)))=0,"","Status: "&amp;IF(LEN(INDEX('Dealer pipeline'!$Q$4:$Q$503,_calc!$E$914))=0,"",INDEX('Dealer pipeline'!$Q$4:$Q$503,_calc!$E$914))&amp;". ")&amp;IF(LEN(IF(LEN(INDEX('Dealer pipeline'!$P$4:$P$503,_calc!$E$914))=0,"",INDEX('Dealer pipeline'!$P$4:$P$503,_calc!$E$914)))=0,"","Last touch: "&amp;IF(LEN(INDEX('Dealer pipeline'!$P$4:$P$503,_calc!$E$914))=0,"",INDEX('Dealer pipeline'!$P$4:$P$503,_calc!$E$914))&amp;". ")&amp;IF(LEN(IF(LEN(INDEX('Dealer pipeline'!$R$4:$R$503,_calc!$E$914))=0,"",INDEX('Dealer pipeline'!$R$4:$R$503,_calc!$E$914)))=0,"","Owner: "&amp;IF(LEN(INDEX('Dealer pipeline'!$R$4:$R$503,_calc!$E$914))=0,"",INDEX('Dealer pipeline'!$R$4:$R$503,_calc!$E$914))&amp;". ")&amp;IF(LEN(IF(LEN(INDEX('Dealer pipeline'!$S$4:$S$503,_calc!$E$914))=0,"",INDEX('Dealer pipeline'!$S$4:$S$503,_calc!$E$914)))=0,"","Backup: "&amp;IF(LEN(INDEX('Dealer pipeline'!$S$4:$S$503,_calc!$E$914))=0,"",INDEX('Dealer pipeline'!$S$4:$S$503,_calc!$E$914))&amp;". ")&amp;IF(LEN(IF(LEN(INDEX('Dealer pipeline'!$T$4:$T$503,_calc!$E$914))=0,"",INDEX('Dealer pipeline'!$T$4:$T$503,_calc!$E$914)))=0,"",IF(LEN(INDEX('Dealer pipeline'!$T$4:$T$503,_calc!$E$914))=0,"",INDEX('Dealer pipeline'!$T$4:$T$503,_calc!$E$914)))),TRIM(IF(LEN(IF(LEN(INDEX('My equipment'!$C$4:$C$503,(_calc!$E$914-500)))=0,"",INDEX('My equipment'!$C$4:$C$503,(_calc!$E$914-500))))=0,"","Model: "&amp;IF(LEN(INDEX('My equipment'!$C$4:$C$503,(_calc!$E$914-500)))=0,"",INDEX('My equipment'!$C$4:$C$503,(_calc!$E$914-500)))&amp;". ")&amp;IF(LEN(IF(LEN(INDEX('My equipment'!$D$4:$D$503,(_calc!$E$914-500)))=0,"",INDEX('My equipment'!$D$4:$D$503,(_calc!$E$914-500))))=0,"","Serial: "&amp;IF(LEN(INDEX('My equipment'!$D$4:$D$503,(_calc!$E$914-500)))=0,"",INDEX('My equipment'!$D$4:$D$503,(_calc!$E$914-500)))&amp;". ")&amp;IF(LEN(IF(ISNUMBER(INDEX('My equipment'!$J$4:$J$503,(_calc!$E$914-500))),TEXT(INDEX('My equipment'!$J$4:$J$503,(_calc!$E$914-500)),"yyyy-mm-dd"),""))=0,"","Parts end: "&amp;IF(ISNUMBER(INDEX('My equipment'!$J$4:$J$503,(_calc!$E$914-500))),TEXT(INDEX('My equipment'!$J$4:$J$503,(_calc!$E$914-500)),"yyyy-mm-dd"),"")&amp;". ")&amp;IF(LEN(IF(ISNUMBER(INDEX('My equipment'!$L$4:$L$503,(_calc!$E$914-500))),TEXT(INDEX('My equipment'!$L$4:$L$503,(_calc!$E$914-500)),"yyyy-mm-dd"),""))=0,"","Labor end: "&amp;IF(ISNUMBER(INDEX('My equipment'!$L$4:$L$503,(_calc!$E$914-500))),TEXT(INDEX('My equipment'!$L$4:$L$503,(_calc!$E$914-500)),"yyyy-mm-dd"),"")&amp;". ")&amp;IF(LEN(IF(ISNUMBER(INDEX('My equipment'!$P$4:$P$503,(_calc!$E$914-500))),TEXT(INDEX('My equipment'!$P$4:$P$503,(_calc!$E$914-500)),"yyyy-mm-dd"),""))=0,"","Check by: "&amp;IF(ISNUMBER(INDEX('My equipment'!$P$4:$P$503,(_calc!$E$914-500))),TEXT(INDEX('My equipment'!$P$4:$P$503,(_calc!$E$914-500)),"yyyy-mm-dd"),"")&amp;". ")&amp;IF(LEN(IF(LEN(INDEX('My equipment'!$Q$4:$Q$503,(_calc!$E$914-500)))=0,"",INDEX('My equipment'!$Q$4:$Q$503,(_calc!$E$914-500))))=0,"","Claim status: "&amp;IF(LEN(INDEX('My equipment'!$Q$4:$Q$503,(_calc!$E$914-500)))=0,"",INDEX('My equipment'!$Q$4:$Q$503,(_calc!$E$914-500)))&amp;". ")&amp;IF(LEN(IF(LEN(INDEX('My equipment'!$R$4:$R$503,(_calc!$E$914-500)))=0,"",INDEX('My equipment'!$R$4:$R$503,(_calc!$E$914-500))))=0,"","Claims contact: "&amp;IF(LEN(INDEX('My equipment'!$R$4:$R$503,(_calc!$E$914-500)))=0,"",INDEX('My equipment'!$R$4:$R$503,(_calc!$E$914-500)))&amp;". ")&amp;IF(LEN(IF(LEN(INDEX('My equipment'!$S$4:$S$503,(_calc!$E$914-500)))=0,"",INDEX('My equipment'!$S$4:$S$503,(_calc!$E$914-500))))=0,"","Claims email: "&amp;IF(LEN(INDEX('My equipment'!$S$4:$S$503,(_calc!$E$914-500)))=0,"",INDEX('My equipment'!$S$4:$S$503,(_calc!$E$914-500)))&amp;". ")&amp;IF(LEN(IF(LEN(INDEX('My equipment'!$U$4:$U$503,(_calc!$E$914-500)))=0,"",INDEX('My equipment'!$U$4:$U$503,(_calc!$E$914-500))))=0,"","Registered: "&amp;IF(LEN(INDEX('My equipment'!$U$4:$U$503,(_calc!$E$914-500)))=0,"",INDEX('My equipment'!$U$4:$U$503,(_calc!$E$914-500)))&amp;". ")&amp;IF(LEN(IF(LEN(INDEX('My equipment'!$V$4:$V$503,(_calc!$E$914-500)))=0,"",INDEX('My equipment'!$V$4:$V$503,(_calc!$E$914-500))))=0,"","Proof on file: "&amp;IF(LEN(INDEX('My equipment'!$V$4:$V$503,(_calc!$E$914-500)))=0,"",INDEX('My equipment'!$V$4:$V$503,(_calc!$E$914-500)))&amp;". ")&amp;IF(LEN(IF(LEN(INDEX('My equipment'!$W$4:$W$503,(_calc!$E$914-500)))=0,"",INDEX('My equipment'!$W$4:$W$503,(_calc!$E$914-500))))=0,"","Claim ref: "&amp;IF(LEN(INDEX('My equipment'!$W$4:$W$503,(_calc!$E$914-500)))=0,"",INDEX('My equipment'!$W$4:$W$503,(_calc!$E$914-500)))&amp;". ")&amp;IF(LEN(IF(LEN(INDEX('My equipment'!$Y$4:$Y$503,(_calc!$E$914-500)))=0,"",INDEX('My equipment'!$Y$4:$Y$503,(_calc!$E$914-500))))=0,"",IF(LEN(INDEX('My equipment'!$Y$4:$Y$503,(_calc!$E$914-500)))=0,"",INDEX('My equipment'!$Y$4:$Y$503,(_calc!$E$914-500)))))))</f>
        <v/>
      </c>
      <c r="G912" s="54">
        <f>IF(_calc!$E$914="","",IF(_calc!$E$914&lt;=500,"",IF(LEN(INDEX('My equipment'!$X$4:$X$503,(_calc!$E$914-500)))=0,"",INDEX('My equipment'!$X$4:$X$503,(_calc!$E$914-500)))))</f>
        <v/>
      </c>
      <c r="K912" s="54">
        <f>IF(_calc!$E$914="","",IF(_calc!$E$914&lt;=500,"",IF(LEN(INDEX('My equipment'!$T$4:$T$503,(_calc!$E$914-500)))=0,"",INDEX('My equipment'!$T$4:$T$503,(_calc!$E$914-500)))))</f>
        <v/>
      </c>
    </row>
    <row r="913">
      <c r="A913" s="54">
        <f>IF(_calc!$E$915="","",IF(_calc!$E$915&lt;=500,"Warranty – "&amp;IF(LEN(INDEX('Dealer pipeline'!$C$4:$C$503,_calc!$E$915))=0,"",INDEX('Dealer pipeline'!$C$4:$C$503,_calc!$E$915))&amp;" – "&amp;IF(LEN(INDEX('Dealer pipeline'!$D$4:$D$503,_calc!$E$915))=0,"",INDEX('Dealer pipeline'!$D$4:$D$503,_calc!$E$915))&amp;" – "&amp;IF(LEN(INDEX('Dealer pipeline'!$A$4:$A$503,_calc!$E$915))=0,"",INDEX('Dealer pipeline'!$A$4:$A$503,_calc!$E$915)),"Warranty – "&amp;IF(LEN(INDEX('My equipment'!$A$4:$A$503,(_calc!$E$915-500)))=0,"",INDEX('My equipment'!$A$4:$A$503,(_calc!$E$915-500)))&amp;" – "&amp;IF(LEN(INDEX('My equipment'!$D$4:$D$503,(_calc!$E$915-500)))=0,"",INDEX('My equipment'!$D$4:$D$503,(_calc!$E$915-500)))))</f>
        <v/>
      </c>
      <c r="B913" s="54">
        <f>IF(_calc!$E$915="","",IF(_calc!$E$915&lt;=500,IF(ISNUMBER(INDEX('Dealer pipeline'!$M$4:$M$503,_calc!$E$915)),TEXT(INDEX('Dealer pipeline'!$M$4:$M$503,_calc!$E$915),"yyyy-mm-dd"),""),IF(ISNUMBER(INDEX('My equipment'!$M$4:$M$503,(_calc!$E$915-500))),TEXT(INDEX('My equipment'!$M$4:$M$503,(_calc!$E$915-500)),"yyyy-mm-dd"),"")))</f>
        <v/>
      </c>
      <c r="C913" s="54">
        <f>IF(_calc!$E$915="","",IF(_calc!$E$915&lt;=500,"Warranty","Warranty"))</f>
        <v/>
      </c>
      <c r="D913" s="54">
        <f>IF(_calc!$E$915="","",IF(_calc!$E$915&lt;=500,IF(ISNUMBER(INDEX('Dealer pipeline'!$H$4:$H$503,_calc!$E$915)),TEXT(INDEX('Dealer pipeline'!$H$4:$H$503,_calc!$E$915),"yyyy-mm-dd"),""),IF(ISNUMBER(INDEX('My equipment'!$H$4:$H$503,(_calc!$E$915-500))),TEXT(INDEX('My equipment'!$H$4:$H$503,(_calc!$E$915-500)),"yyyy-mm-dd"),"")))</f>
        <v/>
      </c>
      <c r="F913" s="54">
        <f>IF(_calc!$E$915="","",IF(_calc!$E$915&lt;=500,TRIM(IF(LEN(IF(LEN(INDEX('Dealer pipeline'!$A$4:$A$503,_calc!$E$915))=0,"",INDEX('Dealer pipeline'!$A$4:$A$503,_calc!$E$915)))=0,"","Customer: "&amp;IF(LEN(INDEX('Dealer pipeline'!$A$4:$A$503,_calc!$E$915))=0,"",INDEX('Dealer pipeline'!$A$4:$A$503,_calc!$E$915))&amp;". ")&amp;IF(LEN(IF(LEN(INDEX('Dealer pipeline'!$B$4:$B$503,_calc!$E$915))=0,"",INDEX('Dealer pipeline'!$B$4:$B$503,_calc!$E$915)))=0,"","Contact: "&amp;IF(LEN(INDEX('Dealer pipeline'!$B$4:$B$503,_calc!$E$915))=0,"",INDEX('Dealer pipeline'!$B$4:$B$503,_calc!$E$915))&amp;". ")&amp;IF(LEN(IF(LEN(INDEX('Dealer pipeline'!$D$4:$D$503,_calc!$E$915))=0,"",INDEX('Dealer pipeline'!$D$4:$D$503,_calc!$E$915)))=0,"","Serial: "&amp;IF(LEN(INDEX('Dealer pipeline'!$D$4:$D$503,_calc!$E$915))=0,"",INDEX('Dealer pipeline'!$D$4:$D$503,_calc!$E$915))&amp;". ")&amp;IF(LEN(IF(ISNUMBER(INDEX('Dealer pipeline'!$J$4:$J$503,_calc!$E$915)),TEXT(INDEX('Dealer pipeline'!$J$4:$J$503,_calc!$E$915),"yyyy-mm-dd"),""))=0,"","Parts end: "&amp;IF(ISNUMBER(INDEX('Dealer pipeline'!$J$4:$J$503,_calc!$E$915)),TEXT(INDEX('Dealer pipeline'!$J$4:$J$503,_calc!$E$915),"yyyy-mm-dd"),"")&amp;". ")&amp;IF(LEN(IF(ISNUMBER(INDEX('Dealer pipeline'!$L$4:$L$503,_calc!$E$915)),TEXT(INDEX('Dealer pipeline'!$L$4:$L$503,_calc!$E$915),"yyyy-mm-dd"),""))=0,"","Labor end: "&amp;IF(ISNUMBER(INDEX('Dealer pipeline'!$L$4:$L$503,_calc!$E$915)),TEXT(INDEX('Dealer pipeline'!$L$4:$L$503,_calc!$E$915),"yyyy-mm-dd"),"")&amp;". ")&amp;IF(LEN(IF(LEN(INDEX('Dealer pipeline'!$Q$4:$Q$503,_calc!$E$915))=0,"",INDEX('Dealer pipeline'!$Q$4:$Q$503,_calc!$E$915)))=0,"","Status: "&amp;IF(LEN(INDEX('Dealer pipeline'!$Q$4:$Q$503,_calc!$E$915))=0,"",INDEX('Dealer pipeline'!$Q$4:$Q$503,_calc!$E$915))&amp;". ")&amp;IF(LEN(IF(LEN(INDEX('Dealer pipeline'!$P$4:$P$503,_calc!$E$915))=0,"",INDEX('Dealer pipeline'!$P$4:$P$503,_calc!$E$915)))=0,"","Last touch: "&amp;IF(LEN(INDEX('Dealer pipeline'!$P$4:$P$503,_calc!$E$915))=0,"",INDEX('Dealer pipeline'!$P$4:$P$503,_calc!$E$915))&amp;". ")&amp;IF(LEN(IF(LEN(INDEX('Dealer pipeline'!$R$4:$R$503,_calc!$E$915))=0,"",INDEX('Dealer pipeline'!$R$4:$R$503,_calc!$E$915)))=0,"","Owner: "&amp;IF(LEN(INDEX('Dealer pipeline'!$R$4:$R$503,_calc!$E$915))=0,"",INDEX('Dealer pipeline'!$R$4:$R$503,_calc!$E$915))&amp;". ")&amp;IF(LEN(IF(LEN(INDEX('Dealer pipeline'!$S$4:$S$503,_calc!$E$915))=0,"",INDEX('Dealer pipeline'!$S$4:$S$503,_calc!$E$915)))=0,"","Backup: "&amp;IF(LEN(INDEX('Dealer pipeline'!$S$4:$S$503,_calc!$E$915))=0,"",INDEX('Dealer pipeline'!$S$4:$S$503,_calc!$E$915))&amp;". ")&amp;IF(LEN(IF(LEN(INDEX('Dealer pipeline'!$T$4:$T$503,_calc!$E$915))=0,"",INDEX('Dealer pipeline'!$T$4:$T$503,_calc!$E$915)))=0,"",IF(LEN(INDEX('Dealer pipeline'!$T$4:$T$503,_calc!$E$915))=0,"",INDEX('Dealer pipeline'!$T$4:$T$503,_calc!$E$915)))),TRIM(IF(LEN(IF(LEN(INDEX('My equipment'!$C$4:$C$503,(_calc!$E$915-500)))=0,"",INDEX('My equipment'!$C$4:$C$503,(_calc!$E$915-500))))=0,"","Model: "&amp;IF(LEN(INDEX('My equipment'!$C$4:$C$503,(_calc!$E$915-500)))=0,"",INDEX('My equipment'!$C$4:$C$503,(_calc!$E$915-500)))&amp;". ")&amp;IF(LEN(IF(LEN(INDEX('My equipment'!$D$4:$D$503,(_calc!$E$915-500)))=0,"",INDEX('My equipment'!$D$4:$D$503,(_calc!$E$915-500))))=0,"","Serial: "&amp;IF(LEN(INDEX('My equipment'!$D$4:$D$503,(_calc!$E$915-500)))=0,"",INDEX('My equipment'!$D$4:$D$503,(_calc!$E$915-500)))&amp;". ")&amp;IF(LEN(IF(ISNUMBER(INDEX('My equipment'!$J$4:$J$503,(_calc!$E$915-500))),TEXT(INDEX('My equipment'!$J$4:$J$503,(_calc!$E$915-500)),"yyyy-mm-dd"),""))=0,"","Parts end: "&amp;IF(ISNUMBER(INDEX('My equipment'!$J$4:$J$503,(_calc!$E$915-500))),TEXT(INDEX('My equipment'!$J$4:$J$503,(_calc!$E$915-500)),"yyyy-mm-dd"),"")&amp;". ")&amp;IF(LEN(IF(ISNUMBER(INDEX('My equipment'!$L$4:$L$503,(_calc!$E$915-500))),TEXT(INDEX('My equipment'!$L$4:$L$503,(_calc!$E$915-500)),"yyyy-mm-dd"),""))=0,"","Labor end: "&amp;IF(ISNUMBER(INDEX('My equipment'!$L$4:$L$503,(_calc!$E$915-500))),TEXT(INDEX('My equipment'!$L$4:$L$503,(_calc!$E$915-500)),"yyyy-mm-dd"),"")&amp;". ")&amp;IF(LEN(IF(ISNUMBER(INDEX('My equipment'!$P$4:$P$503,(_calc!$E$915-500))),TEXT(INDEX('My equipment'!$P$4:$P$503,(_calc!$E$915-500)),"yyyy-mm-dd"),""))=0,"","Check by: "&amp;IF(ISNUMBER(INDEX('My equipment'!$P$4:$P$503,(_calc!$E$915-500))),TEXT(INDEX('My equipment'!$P$4:$P$503,(_calc!$E$915-500)),"yyyy-mm-dd"),"")&amp;". ")&amp;IF(LEN(IF(LEN(INDEX('My equipment'!$Q$4:$Q$503,(_calc!$E$915-500)))=0,"",INDEX('My equipment'!$Q$4:$Q$503,(_calc!$E$915-500))))=0,"","Claim status: "&amp;IF(LEN(INDEX('My equipment'!$Q$4:$Q$503,(_calc!$E$915-500)))=0,"",INDEX('My equipment'!$Q$4:$Q$503,(_calc!$E$915-500)))&amp;". ")&amp;IF(LEN(IF(LEN(INDEX('My equipment'!$R$4:$R$503,(_calc!$E$915-500)))=0,"",INDEX('My equipment'!$R$4:$R$503,(_calc!$E$915-500))))=0,"","Claims contact: "&amp;IF(LEN(INDEX('My equipment'!$R$4:$R$503,(_calc!$E$915-500)))=0,"",INDEX('My equipment'!$R$4:$R$503,(_calc!$E$915-500)))&amp;". ")&amp;IF(LEN(IF(LEN(INDEX('My equipment'!$S$4:$S$503,(_calc!$E$915-500)))=0,"",INDEX('My equipment'!$S$4:$S$503,(_calc!$E$915-500))))=0,"","Claims email: "&amp;IF(LEN(INDEX('My equipment'!$S$4:$S$503,(_calc!$E$915-500)))=0,"",INDEX('My equipment'!$S$4:$S$503,(_calc!$E$915-500)))&amp;". ")&amp;IF(LEN(IF(LEN(INDEX('My equipment'!$U$4:$U$503,(_calc!$E$915-500)))=0,"",INDEX('My equipment'!$U$4:$U$503,(_calc!$E$915-500))))=0,"","Registered: "&amp;IF(LEN(INDEX('My equipment'!$U$4:$U$503,(_calc!$E$915-500)))=0,"",INDEX('My equipment'!$U$4:$U$503,(_calc!$E$915-500)))&amp;". ")&amp;IF(LEN(IF(LEN(INDEX('My equipment'!$V$4:$V$503,(_calc!$E$915-500)))=0,"",INDEX('My equipment'!$V$4:$V$503,(_calc!$E$915-500))))=0,"","Proof on file: "&amp;IF(LEN(INDEX('My equipment'!$V$4:$V$503,(_calc!$E$915-500)))=0,"",INDEX('My equipment'!$V$4:$V$503,(_calc!$E$915-500)))&amp;". ")&amp;IF(LEN(IF(LEN(INDEX('My equipment'!$W$4:$W$503,(_calc!$E$915-500)))=0,"",INDEX('My equipment'!$W$4:$W$503,(_calc!$E$915-500))))=0,"","Claim ref: "&amp;IF(LEN(INDEX('My equipment'!$W$4:$W$503,(_calc!$E$915-500)))=0,"",INDEX('My equipment'!$W$4:$W$503,(_calc!$E$915-500)))&amp;". ")&amp;IF(LEN(IF(LEN(INDEX('My equipment'!$Y$4:$Y$503,(_calc!$E$915-500)))=0,"",INDEX('My equipment'!$Y$4:$Y$503,(_calc!$E$915-500))))=0,"",IF(LEN(INDEX('My equipment'!$Y$4:$Y$503,(_calc!$E$915-500)))=0,"",INDEX('My equipment'!$Y$4:$Y$503,(_calc!$E$915-500)))))))</f>
        <v/>
      </c>
      <c r="G913" s="54">
        <f>IF(_calc!$E$915="","",IF(_calc!$E$915&lt;=500,"",IF(LEN(INDEX('My equipment'!$X$4:$X$503,(_calc!$E$915-500)))=0,"",INDEX('My equipment'!$X$4:$X$503,(_calc!$E$915-500)))))</f>
        <v/>
      </c>
      <c r="K913" s="54">
        <f>IF(_calc!$E$915="","",IF(_calc!$E$915&lt;=500,"",IF(LEN(INDEX('My equipment'!$T$4:$T$503,(_calc!$E$915-500)))=0,"",INDEX('My equipment'!$T$4:$T$503,(_calc!$E$915-500)))))</f>
        <v/>
      </c>
    </row>
    <row r="914">
      <c r="A914" s="54">
        <f>IF(_calc!$E$916="","",IF(_calc!$E$916&lt;=500,"Warranty – "&amp;IF(LEN(INDEX('Dealer pipeline'!$C$4:$C$503,_calc!$E$916))=0,"",INDEX('Dealer pipeline'!$C$4:$C$503,_calc!$E$916))&amp;" – "&amp;IF(LEN(INDEX('Dealer pipeline'!$D$4:$D$503,_calc!$E$916))=0,"",INDEX('Dealer pipeline'!$D$4:$D$503,_calc!$E$916))&amp;" – "&amp;IF(LEN(INDEX('Dealer pipeline'!$A$4:$A$503,_calc!$E$916))=0,"",INDEX('Dealer pipeline'!$A$4:$A$503,_calc!$E$916)),"Warranty – "&amp;IF(LEN(INDEX('My equipment'!$A$4:$A$503,(_calc!$E$916-500)))=0,"",INDEX('My equipment'!$A$4:$A$503,(_calc!$E$916-500)))&amp;" – "&amp;IF(LEN(INDEX('My equipment'!$D$4:$D$503,(_calc!$E$916-500)))=0,"",INDEX('My equipment'!$D$4:$D$503,(_calc!$E$916-500)))))</f>
        <v/>
      </c>
      <c r="B914" s="54">
        <f>IF(_calc!$E$916="","",IF(_calc!$E$916&lt;=500,IF(ISNUMBER(INDEX('Dealer pipeline'!$M$4:$M$503,_calc!$E$916)),TEXT(INDEX('Dealer pipeline'!$M$4:$M$503,_calc!$E$916),"yyyy-mm-dd"),""),IF(ISNUMBER(INDEX('My equipment'!$M$4:$M$503,(_calc!$E$916-500))),TEXT(INDEX('My equipment'!$M$4:$M$503,(_calc!$E$916-500)),"yyyy-mm-dd"),"")))</f>
        <v/>
      </c>
      <c r="C914" s="54">
        <f>IF(_calc!$E$916="","",IF(_calc!$E$916&lt;=500,"Warranty","Warranty"))</f>
        <v/>
      </c>
      <c r="D914" s="54">
        <f>IF(_calc!$E$916="","",IF(_calc!$E$916&lt;=500,IF(ISNUMBER(INDEX('Dealer pipeline'!$H$4:$H$503,_calc!$E$916)),TEXT(INDEX('Dealer pipeline'!$H$4:$H$503,_calc!$E$916),"yyyy-mm-dd"),""),IF(ISNUMBER(INDEX('My equipment'!$H$4:$H$503,(_calc!$E$916-500))),TEXT(INDEX('My equipment'!$H$4:$H$503,(_calc!$E$916-500)),"yyyy-mm-dd"),"")))</f>
        <v/>
      </c>
      <c r="F914" s="54">
        <f>IF(_calc!$E$916="","",IF(_calc!$E$916&lt;=500,TRIM(IF(LEN(IF(LEN(INDEX('Dealer pipeline'!$A$4:$A$503,_calc!$E$916))=0,"",INDEX('Dealer pipeline'!$A$4:$A$503,_calc!$E$916)))=0,"","Customer: "&amp;IF(LEN(INDEX('Dealer pipeline'!$A$4:$A$503,_calc!$E$916))=0,"",INDEX('Dealer pipeline'!$A$4:$A$503,_calc!$E$916))&amp;". ")&amp;IF(LEN(IF(LEN(INDEX('Dealer pipeline'!$B$4:$B$503,_calc!$E$916))=0,"",INDEX('Dealer pipeline'!$B$4:$B$503,_calc!$E$916)))=0,"","Contact: "&amp;IF(LEN(INDEX('Dealer pipeline'!$B$4:$B$503,_calc!$E$916))=0,"",INDEX('Dealer pipeline'!$B$4:$B$503,_calc!$E$916))&amp;". ")&amp;IF(LEN(IF(LEN(INDEX('Dealer pipeline'!$D$4:$D$503,_calc!$E$916))=0,"",INDEX('Dealer pipeline'!$D$4:$D$503,_calc!$E$916)))=0,"","Serial: "&amp;IF(LEN(INDEX('Dealer pipeline'!$D$4:$D$503,_calc!$E$916))=0,"",INDEX('Dealer pipeline'!$D$4:$D$503,_calc!$E$916))&amp;". ")&amp;IF(LEN(IF(ISNUMBER(INDEX('Dealer pipeline'!$J$4:$J$503,_calc!$E$916)),TEXT(INDEX('Dealer pipeline'!$J$4:$J$503,_calc!$E$916),"yyyy-mm-dd"),""))=0,"","Parts end: "&amp;IF(ISNUMBER(INDEX('Dealer pipeline'!$J$4:$J$503,_calc!$E$916)),TEXT(INDEX('Dealer pipeline'!$J$4:$J$503,_calc!$E$916),"yyyy-mm-dd"),"")&amp;". ")&amp;IF(LEN(IF(ISNUMBER(INDEX('Dealer pipeline'!$L$4:$L$503,_calc!$E$916)),TEXT(INDEX('Dealer pipeline'!$L$4:$L$503,_calc!$E$916),"yyyy-mm-dd"),""))=0,"","Labor end: "&amp;IF(ISNUMBER(INDEX('Dealer pipeline'!$L$4:$L$503,_calc!$E$916)),TEXT(INDEX('Dealer pipeline'!$L$4:$L$503,_calc!$E$916),"yyyy-mm-dd"),"")&amp;". ")&amp;IF(LEN(IF(LEN(INDEX('Dealer pipeline'!$Q$4:$Q$503,_calc!$E$916))=0,"",INDEX('Dealer pipeline'!$Q$4:$Q$503,_calc!$E$916)))=0,"","Status: "&amp;IF(LEN(INDEX('Dealer pipeline'!$Q$4:$Q$503,_calc!$E$916))=0,"",INDEX('Dealer pipeline'!$Q$4:$Q$503,_calc!$E$916))&amp;". ")&amp;IF(LEN(IF(LEN(INDEX('Dealer pipeline'!$P$4:$P$503,_calc!$E$916))=0,"",INDEX('Dealer pipeline'!$P$4:$P$503,_calc!$E$916)))=0,"","Last touch: "&amp;IF(LEN(INDEX('Dealer pipeline'!$P$4:$P$503,_calc!$E$916))=0,"",INDEX('Dealer pipeline'!$P$4:$P$503,_calc!$E$916))&amp;". ")&amp;IF(LEN(IF(LEN(INDEX('Dealer pipeline'!$R$4:$R$503,_calc!$E$916))=0,"",INDEX('Dealer pipeline'!$R$4:$R$503,_calc!$E$916)))=0,"","Owner: "&amp;IF(LEN(INDEX('Dealer pipeline'!$R$4:$R$503,_calc!$E$916))=0,"",INDEX('Dealer pipeline'!$R$4:$R$503,_calc!$E$916))&amp;". ")&amp;IF(LEN(IF(LEN(INDEX('Dealer pipeline'!$S$4:$S$503,_calc!$E$916))=0,"",INDEX('Dealer pipeline'!$S$4:$S$503,_calc!$E$916)))=0,"","Backup: "&amp;IF(LEN(INDEX('Dealer pipeline'!$S$4:$S$503,_calc!$E$916))=0,"",INDEX('Dealer pipeline'!$S$4:$S$503,_calc!$E$916))&amp;". ")&amp;IF(LEN(IF(LEN(INDEX('Dealer pipeline'!$T$4:$T$503,_calc!$E$916))=0,"",INDEX('Dealer pipeline'!$T$4:$T$503,_calc!$E$916)))=0,"",IF(LEN(INDEX('Dealer pipeline'!$T$4:$T$503,_calc!$E$916))=0,"",INDEX('Dealer pipeline'!$T$4:$T$503,_calc!$E$916)))),TRIM(IF(LEN(IF(LEN(INDEX('My equipment'!$C$4:$C$503,(_calc!$E$916-500)))=0,"",INDEX('My equipment'!$C$4:$C$503,(_calc!$E$916-500))))=0,"","Model: "&amp;IF(LEN(INDEX('My equipment'!$C$4:$C$503,(_calc!$E$916-500)))=0,"",INDEX('My equipment'!$C$4:$C$503,(_calc!$E$916-500)))&amp;". ")&amp;IF(LEN(IF(LEN(INDEX('My equipment'!$D$4:$D$503,(_calc!$E$916-500)))=0,"",INDEX('My equipment'!$D$4:$D$503,(_calc!$E$916-500))))=0,"","Serial: "&amp;IF(LEN(INDEX('My equipment'!$D$4:$D$503,(_calc!$E$916-500)))=0,"",INDEX('My equipment'!$D$4:$D$503,(_calc!$E$916-500)))&amp;". ")&amp;IF(LEN(IF(ISNUMBER(INDEX('My equipment'!$J$4:$J$503,(_calc!$E$916-500))),TEXT(INDEX('My equipment'!$J$4:$J$503,(_calc!$E$916-500)),"yyyy-mm-dd"),""))=0,"","Parts end: "&amp;IF(ISNUMBER(INDEX('My equipment'!$J$4:$J$503,(_calc!$E$916-500))),TEXT(INDEX('My equipment'!$J$4:$J$503,(_calc!$E$916-500)),"yyyy-mm-dd"),"")&amp;". ")&amp;IF(LEN(IF(ISNUMBER(INDEX('My equipment'!$L$4:$L$503,(_calc!$E$916-500))),TEXT(INDEX('My equipment'!$L$4:$L$503,(_calc!$E$916-500)),"yyyy-mm-dd"),""))=0,"","Labor end: "&amp;IF(ISNUMBER(INDEX('My equipment'!$L$4:$L$503,(_calc!$E$916-500))),TEXT(INDEX('My equipment'!$L$4:$L$503,(_calc!$E$916-500)),"yyyy-mm-dd"),"")&amp;". ")&amp;IF(LEN(IF(ISNUMBER(INDEX('My equipment'!$P$4:$P$503,(_calc!$E$916-500))),TEXT(INDEX('My equipment'!$P$4:$P$503,(_calc!$E$916-500)),"yyyy-mm-dd"),""))=0,"","Check by: "&amp;IF(ISNUMBER(INDEX('My equipment'!$P$4:$P$503,(_calc!$E$916-500))),TEXT(INDEX('My equipment'!$P$4:$P$503,(_calc!$E$916-500)),"yyyy-mm-dd"),"")&amp;". ")&amp;IF(LEN(IF(LEN(INDEX('My equipment'!$Q$4:$Q$503,(_calc!$E$916-500)))=0,"",INDEX('My equipment'!$Q$4:$Q$503,(_calc!$E$916-500))))=0,"","Claim status: "&amp;IF(LEN(INDEX('My equipment'!$Q$4:$Q$503,(_calc!$E$916-500)))=0,"",INDEX('My equipment'!$Q$4:$Q$503,(_calc!$E$916-500)))&amp;". ")&amp;IF(LEN(IF(LEN(INDEX('My equipment'!$R$4:$R$503,(_calc!$E$916-500)))=0,"",INDEX('My equipment'!$R$4:$R$503,(_calc!$E$916-500))))=0,"","Claims contact: "&amp;IF(LEN(INDEX('My equipment'!$R$4:$R$503,(_calc!$E$916-500)))=0,"",INDEX('My equipment'!$R$4:$R$503,(_calc!$E$916-500)))&amp;". ")&amp;IF(LEN(IF(LEN(INDEX('My equipment'!$S$4:$S$503,(_calc!$E$916-500)))=0,"",INDEX('My equipment'!$S$4:$S$503,(_calc!$E$916-500))))=0,"","Claims email: "&amp;IF(LEN(INDEX('My equipment'!$S$4:$S$503,(_calc!$E$916-500)))=0,"",INDEX('My equipment'!$S$4:$S$503,(_calc!$E$916-500)))&amp;". ")&amp;IF(LEN(IF(LEN(INDEX('My equipment'!$U$4:$U$503,(_calc!$E$916-500)))=0,"",INDEX('My equipment'!$U$4:$U$503,(_calc!$E$916-500))))=0,"","Registered: "&amp;IF(LEN(INDEX('My equipment'!$U$4:$U$503,(_calc!$E$916-500)))=0,"",INDEX('My equipment'!$U$4:$U$503,(_calc!$E$916-500)))&amp;". ")&amp;IF(LEN(IF(LEN(INDEX('My equipment'!$V$4:$V$503,(_calc!$E$916-500)))=0,"",INDEX('My equipment'!$V$4:$V$503,(_calc!$E$916-500))))=0,"","Proof on file: "&amp;IF(LEN(INDEX('My equipment'!$V$4:$V$503,(_calc!$E$916-500)))=0,"",INDEX('My equipment'!$V$4:$V$503,(_calc!$E$916-500)))&amp;". ")&amp;IF(LEN(IF(LEN(INDEX('My equipment'!$W$4:$W$503,(_calc!$E$916-500)))=0,"",INDEX('My equipment'!$W$4:$W$503,(_calc!$E$916-500))))=0,"","Claim ref: "&amp;IF(LEN(INDEX('My equipment'!$W$4:$W$503,(_calc!$E$916-500)))=0,"",INDEX('My equipment'!$W$4:$W$503,(_calc!$E$916-500)))&amp;". ")&amp;IF(LEN(IF(LEN(INDEX('My equipment'!$Y$4:$Y$503,(_calc!$E$916-500)))=0,"",INDEX('My equipment'!$Y$4:$Y$503,(_calc!$E$916-500))))=0,"",IF(LEN(INDEX('My equipment'!$Y$4:$Y$503,(_calc!$E$916-500)))=0,"",INDEX('My equipment'!$Y$4:$Y$503,(_calc!$E$916-500)))))))</f>
        <v/>
      </c>
      <c r="G914" s="54">
        <f>IF(_calc!$E$916="","",IF(_calc!$E$916&lt;=500,"",IF(LEN(INDEX('My equipment'!$X$4:$X$503,(_calc!$E$916-500)))=0,"",INDEX('My equipment'!$X$4:$X$503,(_calc!$E$916-500)))))</f>
        <v/>
      </c>
      <c r="K914" s="54">
        <f>IF(_calc!$E$916="","",IF(_calc!$E$916&lt;=500,"",IF(LEN(INDEX('My equipment'!$T$4:$T$503,(_calc!$E$916-500)))=0,"",INDEX('My equipment'!$T$4:$T$503,(_calc!$E$916-500)))))</f>
        <v/>
      </c>
    </row>
    <row r="915">
      <c r="A915" s="54">
        <f>IF(_calc!$E$917="","",IF(_calc!$E$917&lt;=500,"Warranty – "&amp;IF(LEN(INDEX('Dealer pipeline'!$C$4:$C$503,_calc!$E$917))=0,"",INDEX('Dealer pipeline'!$C$4:$C$503,_calc!$E$917))&amp;" – "&amp;IF(LEN(INDEX('Dealer pipeline'!$D$4:$D$503,_calc!$E$917))=0,"",INDEX('Dealer pipeline'!$D$4:$D$503,_calc!$E$917))&amp;" – "&amp;IF(LEN(INDEX('Dealer pipeline'!$A$4:$A$503,_calc!$E$917))=0,"",INDEX('Dealer pipeline'!$A$4:$A$503,_calc!$E$917)),"Warranty – "&amp;IF(LEN(INDEX('My equipment'!$A$4:$A$503,(_calc!$E$917-500)))=0,"",INDEX('My equipment'!$A$4:$A$503,(_calc!$E$917-500)))&amp;" – "&amp;IF(LEN(INDEX('My equipment'!$D$4:$D$503,(_calc!$E$917-500)))=0,"",INDEX('My equipment'!$D$4:$D$503,(_calc!$E$917-500)))))</f>
        <v/>
      </c>
      <c r="B915" s="54">
        <f>IF(_calc!$E$917="","",IF(_calc!$E$917&lt;=500,IF(ISNUMBER(INDEX('Dealer pipeline'!$M$4:$M$503,_calc!$E$917)),TEXT(INDEX('Dealer pipeline'!$M$4:$M$503,_calc!$E$917),"yyyy-mm-dd"),""),IF(ISNUMBER(INDEX('My equipment'!$M$4:$M$503,(_calc!$E$917-500))),TEXT(INDEX('My equipment'!$M$4:$M$503,(_calc!$E$917-500)),"yyyy-mm-dd"),"")))</f>
        <v/>
      </c>
      <c r="C915" s="54">
        <f>IF(_calc!$E$917="","",IF(_calc!$E$917&lt;=500,"Warranty","Warranty"))</f>
        <v/>
      </c>
      <c r="D915" s="54">
        <f>IF(_calc!$E$917="","",IF(_calc!$E$917&lt;=500,IF(ISNUMBER(INDEX('Dealer pipeline'!$H$4:$H$503,_calc!$E$917)),TEXT(INDEX('Dealer pipeline'!$H$4:$H$503,_calc!$E$917),"yyyy-mm-dd"),""),IF(ISNUMBER(INDEX('My equipment'!$H$4:$H$503,(_calc!$E$917-500))),TEXT(INDEX('My equipment'!$H$4:$H$503,(_calc!$E$917-500)),"yyyy-mm-dd"),"")))</f>
        <v/>
      </c>
      <c r="F915" s="54">
        <f>IF(_calc!$E$917="","",IF(_calc!$E$917&lt;=500,TRIM(IF(LEN(IF(LEN(INDEX('Dealer pipeline'!$A$4:$A$503,_calc!$E$917))=0,"",INDEX('Dealer pipeline'!$A$4:$A$503,_calc!$E$917)))=0,"","Customer: "&amp;IF(LEN(INDEX('Dealer pipeline'!$A$4:$A$503,_calc!$E$917))=0,"",INDEX('Dealer pipeline'!$A$4:$A$503,_calc!$E$917))&amp;". ")&amp;IF(LEN(IF(LEN(INDEX('Dealer pipeline'!$B$4:$B$503,_calc!$E$917))=0,"",INDEX('Dealer pipeline'!$B$4:$B$503,_calc!$E$917)))=0,"","Contact: "&amp;IF(LEN(INDEX('Dealer pipeline'!$B$4:$B$503,_calc!$E$917))=0,"",INDEX('Dealer pipeline'!$B$4:$B$503,_calc!$E$917))&amp;". ")&amp;IF(LEN(IF(LEN(INDEX('Dealer pipeline'!$D$4:$D$503,_calc!$E$917))=0,"",INDEX('Dealer pipeline'!$D$4:$D$503,_calc!$E$917)))=0,"","Serial: "&amp;IF(LEN(INDEX('Dealer pipeline'!$D$4:$D$503,_calc!$E$917))=0,"",INDEX('Dealer pipeline'!$D$4:$D$503,_calc!$E$917))&amp;". ")&amp;IF(LEN(IF(ISNUMBER(INDEX('Dealer pipeline'!$J$4:$J$503,_calc!$E$917)),TEXT(INDEX('Dealer pipeline'!$J$4:$J$503,_calc!$E$917),"yyyy-mm-dd"),""))=0,"","Parts end: "&amp;IF(ISNUMBER(INDEX('Dealer pipeline'!$J$4:$J$503,_calc!$E$917)),TEXT(INDEX('Dealer pipeline'!$J$4:$J$503,_calc!$E$917),"yyyy-mm-dd"),"")&amp;". ")&amp;IF(LEN(IF(ISNUMBER(INDEX('Dealer pipeline'!$L$4:$L$503,_calc!$E$917)),TEXT(INDEX('Dealer pipeline'!$L$4:$L$503,_calc!$E$917),"yyyy-mm-dd"),""))=0,"","Labor end: "&amp;IF(ISNUMBER(INDEX('Dealer pipeline'!$L$4:$L$503,_calc!$E$917)),TEXT(INDEX('Dealer pipeline'!$L$4:$L$503,_calc!$E$917),"yyyy-mm-dd"),"")&amp;". ")&amp;IF(LEN(IF(LEN(INDEX('Dealer pipeline'!$Q$4:$Q$503,_calc!$E$917))=0,"",INDEX('Dealer pipeline'!$Q$4:$Q$503,_calc!$E$917)))=0,"","Status: "&amp;IF(LEN(INDEX('Dealer pipeline'!$Q$4:$Q$503,_calc!$E$917))=0,"",INDEX('Dealer pipeline'!$Q$4:$Q$503,_calc!$E$917))&amp;". ")&amp;IF(LEN(IF(LEN(INDEX('Dealer pipeline'!$P$4:$P$503,_calc!$E$917))=0,"",INDEX('Dealer pipeline'!$P$4:$P$503,_calc!$E$917)))=0,"","Last touch: "&amp;IF(LEN(INDEX('Dealer pipeline'!$P$4:$P$503,_calc!$E$917))=0,"",INDEX('Dealer pipeline'!$P$4:$P$503,_calc!$E$917))&amp;". ")&amp;IF(LEN(IF(LEN(INDEX('Dealer pipeline'!$R$4:$R$503,_calc!$E$917))=0,"",INDEX('Dealer pipeline'!$R$4:$R$503,_calc!$E$917)))=0,"","Owner: "&amp;IF(LEN(INDEX('Dealer pipeline'!$R$4:$R$503,_calc!$E$917))=0,"",INDEX('Dealer pipeline'!$R$4:$R$503,_calc!$E$917))&amp;". ")&amp;IF(LEN(IF(LEN(INDEX('Dealer pipeline'!$S$4:$S$503,_calc!$E$917))=0,"",INDEX('Dealer pipeline'!$S$4:$S$503,_calc!$E$917)))=0,"","Backup: "&amp;IF(LEN(INDEX('Dealer pipeline'!$S$4:$S$503,_calc!$E$917))=0,"",INDEX('Dealer pipeline'!$S$4:$S$503,_calc!$E$917))&amp;". ")&amp;IF(LEN(IF(LEN(INDEX('Dealer pipeline'!$T$4:$T$503,_calc!$E$917))=0,"",INDEX('Dealer pipeline'!$T$4:$T$503,_calc!$E$917)))=0,"",IF(LEN(INDEX('Dealer pipeline'!$T$4:$T$503,_calc!$E$917))=0,"",INDEX('Dealer pipeline'!$T$4:$T$503,_calc!$E$917)))),TRIM(IF(LEN(IF(LEN(INDEX('My equipment'!$C$4:$C$503,(_calc!$E$917-500)))=0,"",INDEX('My equipment'!$C$4:$C$503,(_calc!$E$917-500))))=0,"","Model: "&amp;IF(LEN(INDEX('My equipment'!$C$4:$C$503,(_calc!$E$917-500)))=0,"",INDEX('My equipment'!$C$4:$C$503,(_calc!$E$917-500)))&amp;". ")&amp;IF(LEN(IF(LEN(INDEX('My equipment'!$D$4:$D$503,(_calc!$E$917-500)))=0,"",INDEX('My equipment'!$D$4:$D$503,(_calc!$E$917-500))))=0,"","Serial: "&amp;IF(LEN(INDEX('My equipment'!$D$4:$D$503,(_calc!$E$917-500)))=0,"",INDEX('My equipment'!$D$4:$D$503,(_calc!$E$917-500)))&amp;". ")&amp;IF(LEN(IF(ISNUMBER(INDEX('My equipment'!$J$4:$J$503,(_calc!$E$917-500))),TEXT(INDEX('My equipment'!$J$4:$J$503,(_calc!$E$917-500)),"yyyy-mm-dd"),""))=0,"","Parts end: "&amp;IF(ISNUMBER(INDEX('My equipment'!$J$4:$J$503,(_calc!$E$917-500))),TEXT(INDEX('My equipment'!$J$4:$J$503,(_calc!$E$917-500)),"yyyy-mm-dd"),"")&amp;". ")&amp;IF(LEN(IF(ISNUMBER(INDEX('My equipment'!$L$4:$L$503,(_calc!$E$917-500))),TEXT(INDEX('My equipment'!$L$4:$L$503,(_calc!$E$917-500)),"yyyy-mm-dd"),""))=0,"","Labor end: "&amp;IF(ISNUMBER(INDEX('My equipment'!$L$4:$L$503,(_calc!$E$917-500))),TEXT(INDEX('My equipment'!$L$4:$L$503,(_calc!$E$917-500)),"yyyy-mm-dd"),"")&amp;". ")&amp;IF(LEN(IF(ISNUMBER(INDEX('My equipment'!$P$4:$P$503,(_calc!$E$917-500))),TEXT(INDEX('My equipment'!$P$4:$P$503,(_calc!$E$917-500)),"yyyy-mm-dd"),""))=0,"","Check by: "&amp;IF(ISNUMBER(INDEX('My equipment'!$P$4:$P$503,(_calc!$E$917-500))),TEXT(INDEX('My equipment'!$P$4:$P$503,(_calc!$E$917-500)),"yyyy-mm-dd"),"")&amp;". ")&amp;IF(LEN(IF(LEN(INDEX('My equipment'!$Q$4:$Q$503,(_calc!$E$917-500)))=0,"",INDEX('My equipment'!$Q$4:$Q$503,(_calc!$E$917-500))))=0,"","Claim status: "&amp;IF(LEN(INDEX('My equipment'!$Q$4:$Q$503,(_calc!$E$917-500)))=0,"",INDEX('My equipment'!$Q$4:$Q$503,(_calc!$E$917-500)))&amp;". ")&amp;IF(LEN(IF(LEN(INDEX('My equipment'!$R$4:$R$503,(_calc!$E$917-500)))=0,"",INDEX('My equipment'!$R$4:$R$503,(_calc!$E$917-500))))=0,"","Claims contact: "&amp;IF(LEN(INDEX('My equipment'!$R$4:$R$503,(_calc!$E$917-500)))=0,"",INDEX('My equipment'!$R$4:$R$503,(_calc!$E$917-500)))&amp;". ")&amp;IF(LEN(IF(LEN(INDEX('My equipment'!$S$4:$S$503,(_calc!$E$917-500)))=0,"",INDEX('My equipment'!$S$4:$S$503,(_calc!$E$917-500))))=0,"","Claims email: "&amp;IF(LEN(INDEX('My equipment'!$S$4:$S$503,(_calc!$E$917-500)))=0,"",INDEX('My equipment'!$S$4:$S$503,(_calc!$E$917-500)))&amp;". ")&amp;IF(LEN(IF(LEN(INDEX('My equipment'!$U$4:$U$503,(_calc!$E$917-500)))=0,"",INDEX('My equipment'!$U$4:$U$503,(_calc!$E$917-500))))=0,"","Registered: "&amp;IF(LEN(INDEX('My equipment'!$U$4:$U$503,(_calc!$E$917-500)))=0,"",INDEX('My equipment'!$U$4:$U$503,(_calc!$E$917-500)))&amp;". ")&amp;IF(LEN(IF(LEN(INDEX('My equipment'!$V$4:$V$503,(_calc!$E$917-500)))=0,"",INDEX('My equipment'!$V$4:$V$503,(_calc!$E$917-500))))=0,"","Proof on file: "&amp;IF(LEN(INDEX('My equipment'!$V$4:$V$503,(_calc!$E$917-500)))=0,"",INDEX('My equipment'!$V$4:$V$503,(_calc!$E$917-500)))&amp;". ")&amp;IF(LEN(IF(LEN(INDEX('My equipment'!$W$4:$W$503,(_calc!$E$917-500)))=0,"",INDEX('My equipment'!$W$4:$W$503,(_calc!$E$917-500))))=0,"","Claim ref: "&amp;IF(LEN(INDEX('My equipment'!$W$4:$W$503,(_calc!$E$917-500)))=0,"",INDEX('My equipment'!$W$4:$W$503,(_calc!$E$917-500)))&amp;". ")&amp;IF(LEN(IF(LEN(INDEX('My equipment'!$Y$4:$Y$503,(_calc!$E$917-500)))=0,"",INDEX('My equipment'!$Y$4:$Y$503,(_calc!$E$917-500))))=0,"",IF(LEN(INDEX('My equipment'!$Y$4:$Y$503,(_calc!$E$917-500)))=0,"",INDEX('My equipment'!$Y$4:$Y$503,(_calc!$E$917-500)))))))</f>
        <v/>
      </c>
      <c r="G915" s="54">
        <f>IF(_calc!$E$917="","",IF(_calc!$E$917&lt;=500,"",IF(LEN(INDEX('My equipment'!$X$4:$X$503,(_calc!$E$917-500)))=0,"",INDEX('My equipment'!$X$4:$X$503,(_calc!$E$917-500)))))</f>
        <v/>
      </c>
      <c r="K915" s="54">
        <f>IF(_calc!$E$917="","",IF(_calc!$E$917&lt;=500,"",IF(LEN(INDEX('My equipment'!$T$4:$T$503,(_calc!$E$917-500)))=0,"",INDEX('My equipment'!$T$4:$T$503,(_calc!$E$917-500)))))</f>
        <v/>
      </c>
    </row>
    <row r="916">
      <c r="A916" s="54">
        <f>IF(_calc!$E$918="","",IF(_calc!$E$918&lt;=500,"Warranty – "&amp;IF(LEN(INDEX('Dealer pipeline'!$C$4:$C$503,_calc!$E$918))=0,"",INDEX('Dealer pipeline'!$C$4:$C$503,_calc!$E$918))&amp;" – "&amp;IF(LEN(INDEX('Dealer pipeline'!$D$4:$D$503,_calc!$E$918))=0,"",INDEX('Dealer pipeline'!$D$4:$D$503,_calc!$E$918))&amp;" – "&amp;IF(LEN(INDEX('Dealer pipeline'!$A$4:$A$503,_calc!$E$918))=0,"",INDEX('Dealer pipeline'!$A$4:$A$503,_calc!$E$918)),"Warranty – "&amp;IF(LEN(INDEX('My equipment'!$A$4:$A$503,(_calc!$E$918-500)))=0,"",INDEX('My equipment'!$A$4:$A$503,(_calc!$E$918-500)))&amp;" – "&amp;IF(LEN(INDEX('My equipment'!$D$4:$D$503,(_calc!$E$918-500)))=0,"",INDEX('My equipment'!$D$4:$D$503,(_calc!$E$918-500)))))</f>
        <v/>
      </c>
      <c r="B916" s="54">
        <f>IF(_calc!$E$918="","",IF(_calc!$E$918&lt;=500,IF(ISNUMBER(INDEX('Dealer pipeline'!$M$4:$M$503,_calc!$E$918)),TEXT(INDEX('Dealer pipeline'!$M$4:$M$503,_calc!$E$918),"yyyy-mm-dd"),""),IF(ISNUMBER(INDEX('My equipment'!$M$4:$M$503,(_calc!$E$918-500))),TEXT(INDEX('My equipment'!$M$4:$M$503,(_calc!$E$918-500)),"yyyy-mm-dd"),"")))</f>
        <v/>
      </c>
      <c r="C916" s="54">
        <f>IF(_calc!$E$918="","",IF(_calc!$E$918&lt;=500,"Warranty","Warranty"))</f>
        <v/>
      </c>
      <c r="D916" s="54">
        <f>IF(_calc!$E$918="","",IF(_calc!$E$918&lt;=500,IF(ISNUMBER(INDEX('Dealer pipeline'!$H$4:$H$503,_calc!$E$918)),TEXT(INDEX('Dealer pipeline'!$H$4:$H$503,_calc!$E$918),"yyyy-mm-dd"),""),IF(ISNUMBER(INDEX('My equipment'!$H$4:$H$503,(_calc!$E$918-500))),TEXT(INDEX('My equipment'!$H$4:$H$503,(_calc!$E$918-500)),"yyyy-mm-dd"),"")))</f>
        <v/>
      </c>
      <c r="F916" s="54">
        <f>IF(_calc!$E$918="","",IF(_calc!$E$918&lt;=500,TRIM(IF(LEN(IF(LEN(INDEX('Dealer pipeline'!$A$4:$A$503,_calc!$E$918))=0,"",INDEX('Dealer pipeline'!$A$4:$A$503,_calc!$E$918)))=0,"","Customer: "&amp;IF(LEN(INDEX('Dealer pipeline'!$A$4:$A$503,_calc!$E$918))=0,"",INDEX('Dealer pipeline'!$A$4:$A$503,_calc!$E$918))&amp;". ")&amp;IF(LEN(IF(LEN(INDEX('Dealer pipeline'!$B$4:$B$503,_calc!$E$918))=0,"",INDEX('Dealer pipeline'!$B$4:$B$503,_calc!$E$918)))=0,"","Contact: "&amp;IF(LEN(INDEX('Dealer pipeline'!$B$4:$B$503,_calc!$E$918))=0,"",INDEX('Dealer pipeline'!$B$4:$B$503,_calc!$E$918))&amp;". ")&amp;IF(LEN(IF(LEN(INDEX('Dealer pipeline'!$D$4:$D$503,_calc!$E$918))=0,"",INDEX('Dealer pipeline'!$D$4:$D$503,_calc!$E$918)))=0,"","Serial: "&amp;IF(LEN(INDEX('Dealer pipeline'!$D$4:$D$503,_calc!$E$918))=0,"",INDEX('Dealer pipeline'!$D$4:$D$503,_calc!$E$918))&amp;". ")&amp;IF(LEN(IF(ISNUMBER(INDEX('Dealer pipeline'!$J$4:$J$503,_calc!$E$918)),TEXT(INDEX('Dealer pipeline'!$J$4:$J$503,_calc!$E$918),"yyyy-mm-dd"),""))=0,"","Parts end: "&amp;IF(ISNUMBER(INDEX('Dealer pipeline'!$J$4:$J$503,_calc!$E$918)),TEXT(INDEX('Dealer pipeline'!$J$4:$J$503,_calc!$E$918),"yyyy-mm-dd"),"")&amp;". ")&amp;IF(LEN(IF(ISNUMBER(INDEX('Dealer pipeline'!$L$4:$L$503,_calc!$E$918)),TEXT(INDEX('Dealer pipeline'!$L$4:$L$503,_calc!$E$918),"yyyy-mm-dd"),""))=0,"","Labor end: "&amp;IF(ISNUMBER(INDEX('Dealer pipeline'!$L$4:$L$503,_calc!$E$918)),TEXT(INDEX('Dealer pipeline'!$L$4:$L$503,_calc!$E$918),"yyyy-mm-dd"),"")&amp;". ")&amp;IF(LEN(IF(LEN(INDEX('Dealer pipeline'!$Q$4:$Q$503,_calc!$E$918))=0,"",INDEX('Dealer pipeline'!$Q$4:$Q$503,_calc!$E$918)))=0,"","Status: "&amp;IF(LEN(INDEX('Dealer pipeline'!$Q$4:$Q$503,_calc!$E$918))=0,"",INDEX('Dealer pipeline'!$Q$4:$Q$503,_calc!$E$918))&amp;". ")&amp;IF(LEN(IF(LEN(INDEX('Dealer pipeline'!$P$4:$P$503,_calc!$E$918))=0,"",INDEX('Dealer pipeline'!$P$4:$P$503,_calc!$E$918)))=0,"","Last touch: "&amp;IF(LEN(INDEX('Dealer pipeline'!$P$4:$P$503,_calc!$E$918))=0,"",INDEX('Dealer pipeline'!$P$4:$P$503,_calc!$E$918))&amp;". ")&amp;IF(LEN(IF(LEN(INDEX('Dealer pipeline'!$R$4:$R$503,_calc!$E$918))=0,"",INDEX('Dealer pipeline'!$R$4:$R$503,_calc!$E$918)))=0,"","Owner: "&amp;IF(LEN(INDEX('Dealer pipeline'!$R$4:$R$503,_calc!$E$918))=0,"",INDEX('Dealer pipeline'!$R$4:$R$503,_calc!$E$918))&amp;". ")&amp;IF(LEN(IF(LEN(INDEX('Dealer pipeline'!$S$4:$S$503,_calc!$E$918))=0,"",INDEX('Dealer pipeline'!$S$4:$S$503,_calc!$E$918)))=0,"","Backup: "&amp;IF(LEN(INDEX('Dealer pipeline'!$S$4:$S$503,_calc!$E$918))=0,"",INDEX('Dealer pipeline'!$S$4:$S$503,_calc!$E$918))&amp;". ")&amp;IF(LEN(IF(LEN(INDEX('Dealer pipeline'!$T$4:$T$503,_calc!$E$918))=0,"",INDEX('Dealer pipeline'!$T$4:$T$503,_calc!$E$918)))=0,"",IF(LEN(INDEX('Dealer pipeline'!$T$4:$T$503,_calc!$E$918))=0,"",INDEX('Dealer pipeline'!$T$4:$T$503,_calc!$E$918)))),TRIM(IF(LEN(IF(LEN(INDEX('My equipment'!$C$4:$C$503,(_calc!$E$918-500)))=0,"",INDEX('My equipment'!$C$4:$C$503,(_calc!$E$918-500))))=0,"","Model: "&amp;IF(LEN(INDEX('My equipment'!$C$4:$C$503,(_calc!$E$918-500)))=0,"",INDEX('My equipment'!$C$4:$C$503,(_calc!$E$918-500)))&amp;". ")&amp;IF(LEN(IF(LEN(INDEX('My equipment'!$D$4:$D$503,(_calc!$E$918-500)))=0,"",INDEX('My equipment'!$D$4:$D$503,(_calc!$E$918-500))))=0,"","Serial: "&amp;IF(LEN(INDEX('My equipment'!$D$4:$D$503,(_calc!$E$918-500)))=0,"",INDEX('My equipment'!$D$4:$D$503,(_calc!$E$918-500)))&amp;". ")&amp;IF(LEN(IF(ISNUMBER(INDEX('My equipment'!$J$4:$J$503,(_calc!$E$918-500))),TEXT(INDEX('My equipment'!$J$4:$J$503,(_calc!$E$918-500)),"yyyy-mm-dd"),""))=0,"","Parts end: "&amp;IF(ISNUMBER(INDEX('My equipment'!$J$4:$J$503,(_calc!$E$918-500))),TEXT(INDEX('My equipment'!$J$4:$J$503,(_calc!$E$918-500)),"yyyy-mm-dd"),"")&amp;". ")&amp;IF(LEN(IF(ISNUMBER(INDEX('My equipment'!$L$4:$L$503,(_calc!$E$918-500))),TEXT(INDEX('My equipment'!$L$4:$L$503,(_calc!$E$918-500)),"yyyy-mm-dd"),""))=0,"","Labor end: "&amp;IF(ISNUMBER(INDEX('My equipment'!$L$4:$L$503,(_calc!$E$918-500))),TEXT(INDEX('My equipment'!$L$4:$L$503,(_calc!$E$918-500)),"yyyy-mm-dd"),"")&amp;". ")&amp;IF(LEN(IF(ISNUMBER(INDEX('My equipment'!$P$4:$P$503,(_calc!$E$918-500))),TEXT(INDEX('My equipment'!$P$4:$P$503,(_calc!$E$918-500)),"yyyy-mm-dd"),""))=0,"","Check by: "&amp;IF(ISNUMBER(INDEX('My equipment'!$P$4:$P$503,(_calc!$E$918-500))),TEXT(INDEX('My equipment'!$P$4:$P$503,(_calc!$E$918-500)),"yyyy-mm-dd"),"")&amp;". ")&amp;IF(LEN(IF(LEN(INDEX('My equipment'!$Q$4:$Q$503,(_calc!$E$918-500)))=0,"",INDEX('My equipment'!$Q$4:$Q$503,(_calc!$E$918-500))))=0,"","Claim status: "&amp;IF(LEN(INDEX('My equipment'!$Q$4:$Q$503,(_calc!$E$918-500)))=0,"",INDEX('My equipment'!$Q$4:$Q$503,(_calc!$E$918-500)))&amp;". ")&amp;IF(LEN(IF(LEN(INDEX('My equipment'!$R$4:$R$503,(_calc!$E$918-500)))=0,"",INDEX('My equipment'!$R$4:$R$503,(_calc!$E$918-500))))=0,"","Claims contact: "&amp;IF(LEN(INDEX('My equipment'!$R$4:$R$503,(_calc!$E$918-500)))=0,"",INDEX('My equipment'!$R$4:$R$503,(_calc!$E$918-500)))&amp;". ")&amp;IF(LEN(IF(LEN(INDEX('My equipment'!$S$4:$S$503,(_calc!$E$918-500)))=0,"",INDEX('My equipment'!$S$4:$S$503,(_calc!$E$918-500))))=0,"","Claims email: "&amp;IF(LEN(INDEX('My equipment'!$S$4:$S$503,(_calc!$E$918-500)))=0,"",INDEX('My equipment'!$S$4:$S$503,(_calc!$E$918-500)))&amp;". ")&amp;IF(LEN(IF(LEN(INDEX('My equipment'!$U$4:$U$503,(_calc!$E$918-500)))=0,"",INDEX('My equipment'!$U$4:$U$503,(_calc!$E$918-500))))=0,"","Registered: "&amp;IF(LEN(INDEX('My equipment'!$U$4:$U$503,(_calc!$E$918-500)))=0,"",INDEX('My equipment'!$U$4:$U$503,(_calc!$E$918-500)))&amp;". ")&amp;IF(LEN(IF(LEN(INDEX('My equipment'!$V$4:$V$503,(_calc!$E$918-500)))=0,"",INDEX('My equipment'!$V$4:$V$503,(_calc!$E$918-500))))=0,"","Proof on file: "&amp;IF(LEN(INDEX('My equipment'!$V$4:$V$503,(_calc!$E$918-500)))=0,"",INDEX('My equipment'!$V$4:$V$503,(_calc!$E$918-500)))&amp;". ")&amp;IF(LEN(IF(LEN(INDEX('My equipment'!$W$4:$W$503,(_calc!$E$918-500)))=0,"",INDEX('My equipment'!$W$4:$W$503,(_calc!$E$918-500))))=0,"","Claim ref: "&amp;IF(LEN(INDEX('My equipment'!$W$4:$W$503,(_calc!$E$918-500)))=0,"",INDEX('My equipment'!$W$4:$W$503,(_calc!$E$918-500)))&amp;". ")&amp;IF(LEN(IF(LEN(INDEX('My equipment'!$Y$4:$Y$503,(_calc!$E$918-500)))=0,"",INDEX('My equipment'!$Y$4:$Y$503,(_calc!$E$918-500))))=0,"",IF(LEN(INDEX('My equipment'!$Y$4:$Y$503,(_calc!$E$918-500)))=0,"",INDEX('My equipment'!$Y$4:$Y$503,(_calc!$E$918-500)))))))</f>
        <v/>
      </c>
      <c r="G916" s="54">
        <f>IF(_calc!$E$918="","",IF(_calc!$E$918&lt;=500,"",IF(LEN(INDEX('My equipment'!$X$4:$X$503,(_calc!$E$918-500)))=0,"",INDEX('My equipment'!$X$4:$X$503,(_calc!$E$918-500)))))</f>
        <v/>
      </c>
      <c r="K916" s="54">
        <f>IF(_calc!$E$918="","",IF(_calc!$E$918&lt;=500,"",IF(LEN(INDEX('My equipment'!$T$4:$T$503,(_calc!$E$918-500)))=0,"",INDEX('My equipment'!$T$4:$T$503,(_calc!$E$918-500)))))</f>
        <v/>
      </c>
    </row>
    <row r="917">
      <c r="A917" s="54">
        <f>IF(_calc!$E$919="","",IF(_calc!$E$919&lt;=500,"Warranty – "&amp;IF(LEN(INDEX('Dealer pipeline'!$C$4:$C$503,_calc!$E$919))=0,"",INDEX('Dealer pipeline'!$C$4:$C$503,_calc!$E$919))&amp;" – "&amp;IF(LEN(INDEX('Dealer pipeline'!$D$4:$D$503,_calc!$E$919))=0,"",INDEX('Dealer pipeline'!$D$4:$D$503,_calc!$E$919))&amp;" – "&amp;IF(LEN(INDEX('Dealer pipeline'!$A$4:$A$503,_calc!$E$919))=0,"",INDEX('Dealer pipeline'!$A$4:$A$503,_calc!$E$919)),"Warranty – "&amp;IF(LEN(INDEX('My equipment'!$A$4:$A$503,(_calc!$E$919-500)))=0,"",INDEX('My equipment'!$A$4:$A$503,(_calc!$E$919-500)))&amp;" – "&amp;IF(LEN(INDEX('My equipment'!$D$4:$D$503,(_calc!$E$919-500)))=0,"",INDEX('My equipment'!$D$4:$D$503,(_calc!$E$919-500)))))</f>
        <v/>
      </c>
      <c r="B917" s="54">
        <f>IF(_calc!$E$919="","",IF(_calc!$E$919&lt;=500,IF(ISNUMBER(INDEX('Dealer pipeline'!$M$4:$M$503,_calc!$E$919)),TEXT(INDEX('Dealer pipeline'!$M$4:$M$503,_calc!$E$919),"yyyy-mm-dd"),""),IF(ISNUMBER(INDEX('My equipment'!$M$4:$M$503,(_calc!$E$919-500))),TEXT(INDEX('My equipment'!$M$4:$M$503,(_calc!$E$919-500)),"yyyy-mm-dd"),"")))</f>
        <v/>
      </c>
      <c r="C917" s="54">
        <f>IF(_calc!$E$919="","",IF(_calc!$E$919&lt;=500,"Warranty","Warranty"))</f>
        <v/>
      </c>
      <c r="D917" s="54">
        <f>IF(_calc!$E$919="","",IF(_calc!$E$919&lt;=500,IF(ISNUMBER(INDEX('Dealer pipeline'!$H$4:$H$503,_calc!$E$919)),TEXT(INDEX('Dealer pipeline'!$H$4:$H$503,_calc!$E$919),"yyyy-mm-dd"),""),IF(ISNUMBER(INDEX('My equipment'!$H$4:$H$503,(_calc!$E$919-500))),TEXT(INDEX('My equipment'!$H$4:$H$503,(_calc!$E$919-500)),"yyyy-mm-dd"),"")))</f>
        <v/>
      </c>
      <c r="F917" s="54">
        <f>IF(_calc!$E$919="","",IF(_calc!$E$919&lt;=500,TRIM(IF(LEN(IF(LEN(INDEX('Dealer pipeline'!$A$4:$A$503,_calc!$E$919))=0,"",INDEX('Dealer pipeline'!$A$4:$A$503,_calc!$E$919)))=0,"","Customer: "&amp;IF(LEN(INDEX('Dealer pipeline'!$A$4:$A$503,_calc!$E$919))=0,"",INDEX('Dealer pipeline'!$A$4:$A$503,_calc!$E$919))&amp;". ")&amp;IF(LEN(IF(LEN(INDEX('Dealer pipeline'!$B$4:$B$503,_calc!$E$919))=0,"",INDEX('Dealer pipeline'!$B$4:$B$503,_calc!$E$919)))=0,"","Contact: "&amp;IF(LEN(INDEX('Dealer pipeline'!$B$4:$B$503,_calc!$E$919))=0,"",INDEX('Dealer pipeline'!$B$4:$B$503,_calc!$E$919))&amp;". ")&amp;IF(LEN(IF(LEN(INDEX('Dealer pipeline'!$D$4:$D$503,_calc!$E$919))=0,"",INDEX('Dealer pipeline'!$D$4:$D$503,_calc!$E$919)))=0,"","Serial: "&amp;IF(LEN(INDEX('Dealer pipeline'!$D$4:$D$503,_calc!$E$919))=0,"",INDEX('Dealer pipeline'!$D$4:$D$503,_calc!$E$919))&amp;". ")&amp;IF(LEN(IF(ISNUMBER(INDEX('Dealer pipeline'!$J$4:$J$503,_calc!$E$919)),TEXT(INDEX('Dealer pipeline'!$J$4:$J$503,_calc!$E$919),"yyyy-mm-dd"),""))=0,"","Parts end: "&amp;IF(ISNUMBER(INDEX('Dealer pipeline'!$J$4:$J$503,_calc!$E$919)),TEXT(INDEX('Dealer pipeline'!$J$4:$J$503,_calc!$E$919),"yyyy-mm-dd"),"")&amp;". ")&amp;IF(LEN(IF(ISNUMBER(INDEX('Dealer pipeline'!$L$4:$L$503,_calc!$E$919)),TEXT(INDEX('Dealer pipeline'!$L$4:$L$503,_calc!$E$919),"yyyy-mm-dd"),""))=0,"","Labor end: "&amp;IF(ISNUMBER(INDEX('Dealer pipeline'!$L$4:$L$503,_calc!$E$919)),TEXT(INDEX('Dealer pipeline'!$L$4:$L$503,_calc!$E$919),"yyyy-mm-dd"),"")&amp;". ")&amp;IF(LEN(IF(LEN(INDEX('Dealer pipeline'!$Q$4:$Q$503,_calc!$E$919))=0,"",INDEX('Dealer pipeline'!$Q$4:$Q$503,_calc!$E$919)))=0,"","Status: "&amp;IF(LEN(INDEX('Dealer pipeline'!$Q$4:$Q$503,_calc!$E$919))=0,"",INDEX('Dealer pipeline'!$Q$4:$Q$503,_calc!$E$919))&amp;". ")&amp;IF(LEN(IF(LEN(INDEX('Dealer pipeline'!$P$4:$P$503,_calc!$E$919))=0,"",INDEX('Dealer pipeline'!$P$4:$P$503,_calc!$E$919)))=0,"","Last touch: "&amp;IF(LEN(INDEX('Dealer pipeline'!$P$4:$P$503,_calc!$E$919))=0,"",INDEX('Dealer pipeline'!$P$4:$P$503,_calc!$E$919))&amp;". ")&amp;IF(LEN(IF(LEN(INDEX('Dealer pipeline'!$R$4:$R$503,_calc!$E$919))=0,"",INDEX('Dealer pipeline'!$R$4:$R$503,_calc!$E$919)))=0,"","Owner: "&amp;IF(LEN(INDEX('Dealer pipeline'!$R$4:$R$503,_calc!$E$919))=0,"",INDEX('Dealer pipeline'!$R$4:$R$503,_calc!$E$919))&amp;". ")&amp;IF(LEN(IF(LEN(INDEX('Dealer pipeline'!$S$4:$S$503,_calc!$E$919))=0,"",INDEX('Dealer pipeline'!$S$4:$S$503,_calc!$E$919)))=0,"","Backup: "&amp;IF(LEN(INDEX('Dealer pipeline'!$S$4:$S$503,_calc!$E$919))=0,"",INDEX('Dealer pipeline'!$S$4:$S$503,_calc!$E$919))&amp;". ")&amp;IF(LEN(IF(LEN(INDEX('Dealer pipeline'!$T$4:$T$503,_calc!$E$919))=0,"",INDEX('Dealer pipeline'!$T$4:$T$503,_calc!$E$919)))=0,"",IF(LEN(INDEX('Dealer pipeline'!$T$4:$T$503,_calc!$E$919))=0,"",INDEX('Dealer pipeline'!$T$4:$T$503,_calc!$E$919)))),TRIM(IF(LEN(IF(LEN(INDEX('My equipment'!$C$4:$C$503,(_calc!$E$919-500)))=0,"",INDEX('My equipment'!$C$4:$C$503,(_calc!$E$919-500))))=0,"","Model: "&amp;IF(LEN(INDEX('My equipment'!$C$4:$C$503,(_calc!$E$919-500)))=0,"",INDEX('My equipment'!$C$4:$C$503,(_calc!$E$919-500)))&amp;". ")&amp;IF(LEN(IF(LEN(INDEX('My equipment'!$D$4:$D$503,(_calc!$E$919-500)))=0,"",INDEX('My equipment'!$D$4:$D$503,(_calc!$E$919-500))))=0,"","Serial: "&amp;IF(LEN(INDEX('My equipment'!$D$4:$D$503,(_calc!$E$919-500)))=0,"",INDEX('My equipment'!$D$4:$D$503,(_calc!$E$919-500)))&amp;". ")&amp;IF(LEN(IF(ISNUMBER(INDEX('My equipment'!$J$4:$J$503,(_calc!$E$919-500))),TEXT(INDEX('My equipment'!$J$4:$J$503,(_calc!$E$919-500)),"yyyy-mm-dd"),""))=0,"","Parts end: "&amp;IF(ISNUMBER(INDEX('My equipment'!$J$4:$J$503,(_calc!$E$919-500))),TEXT(INDEX('My equipment'!$J$4:$J$503,(_calc!$E$919-500)),"yyyy-mm-dd"),"")&amp;". ")&amp;IF(LEN(IF(ISNUMBER(INDEX('My equipment'!$L$4:$L$503,(_calc!$E$919-500))),TEXT(INDEX('My equipment'!$L$4:$L$503,(_calc!$E$919-500)),"yyyy-mm-dd"),""))=0,"","Labor end: "&amp;IF(ISNUMBER(INDEX('My equipment'!$L$4:$L$503,(_calc!$E$919-500))),TEXT(INDEX('My equipment'!$L$4:$L$503,(_calc!$E$919-500)),"yyyy-mm-dd"),"")&amp;". ")&amp;IF(LEN(IF(ISNUMBER(INDEX('My equipment'!$P$4:$P$503,(_calc!$E$919-500))),TEXT(INDEX('My equipment'!$P$4:$P$503,(_calc!$E$919-500)),"yyyy-mm-dd"),""))=0,"","Check by: "&amp;IF(ISNUMBER(INDEX('My equipment'!$P$4:$P$503,(_calc!$E$919-500))),TEXT(INDEX('My equipment'!$P$4:$P$503,(_calc!$E$919-500)),"yyyy-mm-dd"),"")&amp;". ")&amp;IF(LEN(IF(LEN(INDEX('My equipment'!$Q$4:$Q$503,(_calc!$E$919-500)))=0,"",INDEX('My equipment'!$Q$4:$Q$503,(_calc!$E$919-500))))=0,"","Claim status: "&amp;IF(LEN(INDEX('My equipment'!$Q$4:$Q$503,(_calc!$E$919-500)))=0,"",INDEX('My equipment'!$Q$4:$Q$503,(_calc!$E$919-500)))&amp;". ")&amp;IF(LEN(IF(LEN(INDEX('My equipment'!$R$4:$R$503,(_calc!$E$919-500)))=0,"",INDEX('My equipment'!$R$4:$R$503,(_calc!$E$919-500))))=0,"","Claims contact: "&amp;IF(LEN(INDEX('My equipment'!$R$4:$R$503,(_calc!$E$919-500)))=0,"",INDEX('My equipment'!$R$4:$R$503,(_calc!$E$919-500)))&amp;". ")&amp;IF(LEN(IF(LEN(INDEX('My equipment'!$S$4:$S$503,(_calc!$E$919-500)))=0,"",INDEX('My equipment'!$S$4:$S$503,(_calc!$E$919-500))))=0,"","Claims email: "&amp;IF(LEN(INDEX('My equipment'!$S$4:$S$503,(_calc!$E$919-500)))=0,"",INDEX('My equipment'!$S$4:$S$503,(_calc!$E$919-500)))&amp;". ")&amp;IF(LEN(IF(LEN(INDEX('My equipment'!$U$4:$U$503,(_calc!$E$919-500)))=0,"",INDEX('My equipment'!$U$4:$U$503,(_calc!$E$919-500))))=0,"","Registered: "&amp;IF(LEN(INDEX('My equipment'!$U$4:$U$503,(_calc!$E$919-500)))=0,"",INDEX('My equipment'!$U$4:$U$503,(_calc!$E$919-500)))&amp;". ")&amp;IF(LEN(IF(LEN(INDEX('My equipment'!$V$4:$V$503,(_calc!$E$919-500)))=0,"",INDEX('My equipment'!$V$4:$V$503,(_calc!$E$919-500))))=0,"","Proof on file: "&amp;IF(LEN(INDEX('My equipment'!$V$4:$V$503,(_calc!$E$919-500)))=0,"",INDEX('My equipment'!$V$4:$V$503,(_calc!$E$919-500)))&amp;". ")&amp;IF(LEN(IF(LEN(INDEX('My equipment'!$W$4:$W$503,(_calc!$E$919-500)))=0,"",INDEX('My equipment'!$W$4:$W$503,(_calc!$E$919-500))))=0,"","Claim ref: "&amp;IF(LEN(INDEX('My equipment'!$W$4:$W$503,(_calc!$E$919-500)))=0,"",INDEX('My equipment'!$W$4:$W$503,(_calc!$E$919-500)))&amp;". ")&amp;IF(LEN(IF(LEN(INDEX('My equipment'!$Y$4:$Y$503,(_calc!$E$919-500)))=0,"",INDEX('My equipment'!$Y$4:$Y$503,(_calc!$E$919-500))))=0,"",IF(LEN(INDEX('My equipment'!$Y$4:$Y$503,(_calc!$E$919-500)))=0,"",INDEX('My equipment'!$Y$4:$Y$503,(_calc!$E$919-500)))))))</f>
        <v/>
      </c>
      <c r="G917" s="54">
        <f>IF(_calc!$E$919="","",IF(_calc!$E$919&lt;=500,"",IF(LEN(INDEX('My equipment'!$X$4:$X$503,(_calc!$E$919-500)))=0,"",INDEX('My equipment'!$X$4:$X$503,(_calc!$E$919-500)))))</f>
        <v/>
      </c>
      <c r="K917" s="54">
        <f>IF(_calc!$E$919="","",IF(_calc!$E$919&lt;=500,"",IF(LEN(INDEX('My equipment'!$T$4:$T$503,(_calc!$E$919-500)))=0,"",INDEX('My equipment'!$T$4:$T$503,(_calc!$E$919-500)))))</f>
        <v/>
      </c>
    </row>
    <row r="918">
      <c r="A918" s="54">
        <f>IF(_calc!$E$920="","",IF(_calc!$E$920&lt;=500,"Warranty – "&amp;IF(LEN(INDEX('Dealer pipeline'!$C$4:$C$503,_calc!$E$920))=0,"",INDEX('Dealer pipeline'!$C$4:$C$503,_calc!$E$920))&amp;" – "&amp;IF(LEN(INDEX('Dealer pipeline'!$D$4:$D$503,_calc!$E$920))=0,"",INDEX('Dealer pipeline'!$D$4:$D$503,_calc!$E$920))&amp;" – "&amp;IF(LEN(INDEX('Dealer pipeline'!$A$4:$A$503,_calc!$E$920))=0,"",INDEX('Dealer pipeline'!$A$4:$A$503,_calc!$E$920)),"Warranty – "&amp;IF(LEN(INDEX('My equipment'!$A$4:$A$503,(_calc!$E$920-500)))=0,"",INDEX('My equipment'!$A$4:$A$503,(_calc!$E$920-500)))&amp;" – "&amp;IF(LEN(INDEX('My equipment'!$D$4:$D$503,(_calc!$E$920-500)))=0,"",INDEX('My equipment'!$D$4:$D$503,(_calc!$E$920-500)))))</f>
        <v/>
      </c>
      <c r="B918" s="54">
        <f>IF(_calc!$E$920="","",IF(_calc!$E$920&lt;=500,IF(ISNUMBER(INDEX('Dealer pipeline'!$M$4:$M$503,_calc!$E$920)),TEXT(INDEX('Dealer pipeline'!$M$4:$M$503,_calc!$E$920),"yyyy-mm-dd"),""),IF(ISNUMBER(INDEX('My equipment'!$M$4:$M$503,(_calc!$E$920-500))),TEXT(INDEX('My equipment'!$M$4:$M$503,(_calc!$E$920-500)),"yyyy-mm-dd"),"")))</f>
        <v/>
      </c>
      <c r="C918" s="54">
        <f>IF(_calc!$E$920="","",IF(_calc!$E$920&lt;=500,"Warranty","Warranty"))</f>
        <v/>
      </c>
      <c r="D918" s="54">
        <f>IF(_calc!$E$920="","",IF(_calc!$E$920&lt;=500,IF(ISNUMBER(INDEX('Dealer pipeline'!$H$4:$H$503,_calc!$E$920)),TEXT(INDEX('Dealer pipeline'!$H$4:$H$503,_calc!$E$920),"yyyy-mm-dd"),""),IF(ISNUMBER(INDEX('My equipment'!$H$4:$H$503,(_calc!$E$920-500))),TEXT(INDEX('My equipment'!$H$4:$H$503,(_calc!$E$920-500)),"yyyy-mm-dd"),"")))</f>
        <v/>
      </c>
      <c r="F918" s="54">
        <f>IF(_calc!$E$920="","",IF(_calc!$E$920&lt;=500,TRIM(IF(LEN(IF(LEN(INDEX('Dealer pipeline'!$A$4:$A$503,_calc!$E$920))=0,"",INDEX('Dealer pipeline'!$A$4:$A$503,_calc!$E$920)))=0,"","Customer: "&amp;IF(LEN(INDEX('Dealer pipeline'!$A$4:$A$503,_calc!$E$920))=0,"",INDEX('Dealer pipeline'!$A$4:$A$503,_calc!$E$920))&amp;". ")&amp;IF(LEN(IF(LEN(INDEX('Dealer pipeline'!$B$4:$B$503,_calc!$E$920))=0,"",INDEX('Dealer pipeline'!$B$4:$B$503,_calc!$E$920)))=0,"","Contact: "&amp;IF(LEN(INDEX('Dealer pipeline'!$B$4:$B$503,_calc!$E$920))=0,"",INDEX('Dealer pipeline'!$B$4:$B$503,_calc!$E$920))&amp;". ")&amp;IF(LEN(IF(LEN(INDEX('Dealer pipeline'!$D$4:$D$503,_calc!$E$920))=0,"",INDEX('Dealer pipeline'!$D$4:$D$503,_calc!$E$920)))=0,"","Serial: "&amp;IF(LEN(INDEX('Dealer pipeline'!$D$4:$D$503,_calc!$E$920))=0,"",INDEX('Dealer pipeline'!$D$4:$D$503,_calc!$E$920))&amp;". ")&amp;IF(LEN(IF(ISNUMBER(INDEX('Dealer pipeline'!$J$4:$J$503,_calc!$E$920)),TEXT(INDEX('Dealer pipeline'!$J$4:$J$503,_calc!$E$920),"yyyy-mm-dd"),""))=0,"","Parts end: "&amp;IF(ISNUMBER(INDEX('Dealer pipeline'!$J$4:$J$503,_calc!$E$920)),TEXT(INDEX('Dealer pipeline'!$J$4:$J$503,_calc!$E$920),"yyyy-mm-dd"),"")&amp;". ")&amp;IF(LEN(IF(ISNUMBER(INDEX('Dealer pipeline'!$L$4:$L$503,_calc!$E$920)),TEXT(INDEX('Dealer pipeline'!$L$4:$L$503,_calc!$E$920),"yyyy-mm-dd"),""))=0,"","Labor end: "&amp;IF(ISNUMBER(INDEX('Dealer pipeline'!$L$4:$L$503,_calc!$E$920)),TEXT(INDEX('Dealer pipeline'!$L$4:$L$503,_calc!$E$920),"yyyy-mm-dd"),"")&amp;". ")&amp;IF(LEN(IF(LEN(INDEX('Dealer pipeline'!$Q$4:$Q$503,_calc!$E$920))=0,"",INDEX('Dealer pipeline'!$Q$4:$Q$503,_calc!$E$920)))=0,"","Status: "&amp;IF(LEN(INDEX('Dealer pipeline'!$Q$4:$Q$503,_calc!$E$920))=0,"",INDEX('Dealer pipeline'!$Q$4:$Q$503,_calc!$E$920))&amp;". ")&amp;IF(LEN(IF(LEN(INDEX('Dealer pipeline'!$P$4:$P$503,_calc!$E$920))=0,"",INDEX('Dealer pipeline'!$P$4:$P$503,_calc!$E$920)))=0,"","Last touch: "&amp;IF(LEN(INDEX('Dealer pipeline'!$P$4:$P$503,_calc!$E$920))=0,"",INDEX('Dealer pipeline'!$P$4:$P$503,_calc!$E$920))&amp;". ")&amp;IF(LEN(IF(LEN(INDEX('Dealer pipeline'!$R$4:$R$503,_calc!$E$920))=0,"",INDEX('Dealer pipeline'!$R$4:$R$503,_calc!$E$920)))=0,"","Owner: "&amp;IF(LEN(INDEX('Dealer pipeline'!$R$4:$R$503,_calc!$E$920))=0,"",INDEX('Dealer pipeline'!$R$4:$R$503,_calc!$E$920))&amp;". ")&amp;IF(LEN(IF(LEN(INDEX('Dealer pipeline'!$S$4:$S$503,_calc!$E$920))=0,"",INDEX('Dealer pipeline'!$S$4:$S$503,_calc!$E$920)))=0,"","Backup: "&amp;IF(LEN(INDEX('Dealer pipeline'!$S$4:$S$503,_calc!$E$920))=0,"",INDEX('Dealer pipeline'!$S$4:$S$503,_calc!$E$920))&amp;". ")&amp;IF(LEN(IF(LEN(INDEX('Dealer pipeline'!$T$4:$T$503,_calc!$E$920))=0,"",INDEX('Dealer pipeline'!$T$4:$T$503,_calc!$E$920)))=0,"",IF(LEN(INDEX('Dealer pipeline'!$T$4:$T$503,_calc!$E$920))=0,"",INDEX('Dealer pipeline'!$T$4:$T$503,_calc!$E$920)))),TRIM(IF(LEN(IF(LEN(INDEX('My equipment'!$C$4:$C$503,(_calc!$E$920-500)))=0,"",INDEX('My equipment'!$C$4:$C$503,(_calc!$E$920-500))))=0,"","Model: "&amp;IF(LEN(INDEX('My equipment'!$C$4:$C$503,(_calc!$E$920-500)))=0,"",INDEX('My equipment'!$C$4:$C$503,(_calc!$E$920-500)))&amp;". ")&amp;IF(LEN(IF(LEN(INDEX('My equipment'!$D$4:$D$503,(_calc!$E$920-500)))=0,"",INDEX('My equipment'!$D$4:$D$503,(_calc!$E$920-500))))=0,"","Serial: "&amp;IF(LEN(INDEX('My equipment'!$D$4:$D$503,(_calc!$E$920-500)))=0,"",INDEX('My equipment'!$D$4:$D$503,(_calc!$E$920-500)))&amp;". ")&amp;IF(LEN(IF(ISNUMBER(INDEX('My equipment'!$J$4:$J$503,(_calc!$E$920-500))),TEXT(INDEX('My equipment'!$J$4:$J$503,(_calc!$E$920-500)),"yyyy-mm-dd"),""))=0,"","Parts end: "&amp;IF(ISNUMBER(INDEX('My equipment'!$J$4:$J$503,(_calc!$E$920-500))),TEXT(INDEX('My equipment'!$J$4:$J$503,(_calc!$E$920-500)),"yyyy-mm-dd"),"")&amp;". ")&amp;IF(LEN(IF(ISNUMBER(INDEX('My equipment'!$L$4:$L$503,(_calc!$E$920-500))),TEXT(INDEX('My equipment'!$L$4:$L$503,(_calc!$E$920-500)),"yyyy-mm-dd"),""))=0,"","Labor end: "&amp;IF(ISNUMBER(INDEX('My equipment'!$L$4:$L$503,(_calc!$E$920-500))),TEXT(INDEX('My equipment'!$L$4:$L$503,(_calc!$E$920-500)),"yyyy-mm-dd"),"")&amp;". ")&amp;IF(LEN(IF(ISNUMBER(INDEX('My equipment'!$P$4:$P$503,(_calc!$E$920-500))),TEXT(INDEX('My equipment'!$P$4:$P$503,(_calc!$E$920-500)),"yyyy-mm-dd"),""))=0,"","Check by: "&amp;IF(ISNUMBER(INDEX('My equipment'!$P$4:$P$503,(_calc!$E$920-500))),TEXT(INDEX('My equipment'!$P$4:$P$503,(_calc!$E$920-500)),"yyyy-mm-dd"),"")&amp;". ")&amp;IF(LEN(IF(LEN(INDEX('My equipment'!$Q$4:$Q$503,(_calc!$E$920-500)))=0,"",INDEX('My equipment'!$Q$4:$Q$503,(_calc!$E$920-500))))=0,"","Claim status: "&amp;IF(LEN(INDEX('My equipment'!$Q$4:$Q$503,(_calc!$E$920-500)))=0,"",INDEX('My equipment'!$Q$4:$Q$503,(_calc!$E$920-500)))&amp;". ")&amp;IF(LEN(IF(LEN(INDEX('My equipment'!$R$4:$R$503,(_calc!$E$920-500)))=0,"",INDEX('My equipment'!$R$4:$R$503,(_calc!$E$920-500))))=0,"","Claims contact: "&amp;IF(LEN(INDEX('My equipment'!$R$4:$R$503,(_calc!$E$920-500)))=0,"",INDEX('My equipment'!$R$4:$R$503,(_calc!$E$920-500)))&amp;". ")&amp;IF(LEN(IF(LEN(INDEX('My equipment'!$S$4:$S$503,(_calc!$E$920-500)))=0,"",INDEX('My equipment'!$S$4:$S$503,(_calc!$E$920-500))))=0,"","Claims email: "&amp;IF(LEN(INDEX('My equipment'!$S$4:$S$503,(_calc!$E$920-500)))=0,"",INDEX('My equipment'!$S$4:$S$503,(_calc!$E$920-500)))&amp;". ")&amp;IF(LEN(IF(LEN(INDEX('My equipment'!$U$4:$U$503,(_calc!$E$920-500)))=0,"",INDEX('My equipment'!$U$4:$U$503,(_calc!$E$920-500))))=0,"","Registered: "&amp;IF(LEN(INDEX('My equipment'!$U$4:$U$503,(_calc!$E$920-500)))=0,"",INDEX('My equipment'!$U$4:$U$503,(_calc!$E$920-500)))&amp;". ")&amp;IF(LEN(IF(LEN(INDEX('My equipment'!$V$4:$V$503,(_calc!$E$920-500)))=0,"",INDEX('My equipment'!$V$4:$V$503,(_calc!$E$920-500))))=0,"","Proof on file: "&amp;IF(LEN(INDEX('My equipment'!$V$4:$V$503,(_calc!$E$920-500)))=0,"",INDEX('My equipment'!$V$4:$V$503,(_calc!$E$920-500)))&amp;". ")&amp;IF(LEN(IF(LEN(INDEX('My equipment'!$W$4:$W$503,(_calc!$E$920-500)))=0,"",INDEX('My equipment'!$W$4:$W$503,(_calc!$E$920-500))))=0,"","Claim ref: "&amp;IF(LEN(INDEX('My equipment'!$W$4:$W$503,(_calc!$E$920-500)))=0,"",INDEX('My equipment'!$W$4:$W$503,(_calc!$E$920-500)))&amp;". ")&amp;IF(LEN(IF(LEN(INDEX('My equipment'!$Y$4:$Y$503,(_calc!$E$920-500)))=0,"",INDEX('My equipment'!$Y$4:$Y$503,(_calc!$E$920-500))))=0,"",IF(LEN(INDEX('My equipment'!$Y$4:$Y$503,(_calc!$E$920-500)))=0,"",INDEX('My equipment'!$Y$4:$Y$503,(_calc!$E$920-500)))))))</f>
        <v/>
      </c>
      <c r="G918" s="54">
        <f>IF(_calc!$E$920="","",IF(_calc!$E$920&lt;=500,"",IF(LEN(INDEX('My equipment'!$X$4:$X$503,(_calc!$E$920-500)))=0,"",INDEX('My equipment'!$X$4:$X$503,(_calc!$E$920-500)))))</f>
        <v/>
      </c>
      <c r="K918" s="54">
        <f>IF(_calc!$E$920="","",IF(_calc!$E$920&lt;=500,"",IF(LEN(INDEX('My equipment'!$T$4:$T$503,(_calc!$E$920-500)))=0,"",INDEX('My equipment'!$T$4:$T$503,(_calc!$E$920-500)))))</f>
        <v/>
      </c>
    </row>
    <row r="919">
      <c r="A919" s="54">
        <f>IF(_calc!$E$921="","",IF(_calc!$E$921&lt;=500,"Warranty – "&amp;IF(LEN(INDEX('Dealer pipeline'!$C$4:$C$503,_calc!$E$921))=0,"",INDEX('Dealer pipeline'!$C$4:$C$503,_calc!$E$921))&amp;" – "&amp;IF(LEN(INDEX('Dealer pipeline'!$D$4:$D$503,_calc!$E$921))=0,"",INDEX('Dealer pipeline'!$D$4:$D$503,_calc!$E$921))&amp;" – "&amp;IF(LEN(INDEX('Dealer pipeline'!$A$4:$A$503,_calc!$E$921))=0,"",INDEX('Dealer pipeline'!$A$4:$A$503,_calc!$E$921)),"Warranty – "&amp;IF(LEN(INDEX('My equipment'!$A$4:$A$503,(_calc!$E$921-500)))=0,"",INDEX('My equipment'!$A$4:$A$503,(_calc!$E$921-500)))&amp;" – "&amp;IF(LEN(INDEX('My equipment'!$D$4:$D$503,(_calc!$E$921-500)))=0,"",INDEX('My equipment'!$D$4:$D$503,(_calc!$E$921-500)))))</f>
        <v/>
      </c>
      <c r="B919" s="54">
        <f>IF(_calc!$E$921="","",IF(_calc!$E$921&lt;=500,IF(ISNUMBER(INDEX('Dealer pipeline'!$M$4:$M$503,_calc!$E$921)),TEXT(INDEX('Dealer pipeline'!$M$4:$M$503,_calc!$E$921),"yyyy-mm-dd"),""),IF(ISNUMBER(INDEX('My equipment'!$M$4:$M$503,(_calc!$E$921-500))),TEXT(INDEX('My equipment'!$M$4:$M$503,(_calc!$E$921-500)),"yyyy-mm-dd"),"")))</f>
        <v/>
      </c>
      <c r="C919" s="54">
        <f>IF(_calc!$E$921="","",IF(_calc!$E$921&lt;=500,"Warranty","Warranty"))</f>
        <v/>
      </c>
      <c r="D919" s="54">
        <f>IF(_calc!$E$921="","",IF(_calc!$E$921&lt;=500,IF(ISNUMBER(INDEX('Dealer pipeline'!$H$4:$H$503,_calc!$E$921)),TEXT(INDEX('Dealer pipeline'!$H$4:$H$503,_calc!$E$921),"yyyy-mm-dd"),""),IF(ISNUMBER(INDEX('My equipment'!$H$4:$H$503,(_calc!$E$921-500))),TEXT(INDEX('My equipment'!$H$4:$H$503,(_calc!$E$921-500)),"yyyy-mm-dd"),"")))</f>
        <v/>
      </c>
      <c r="F919" s="54">
        <f>IF(_calc!$E$921="","",IF(_calc!$E$921&lt;=500,TRIM(IF(LEN(IF(LEN(INDEX('Dealer pipeline'!$A$4:$A$503,_calc!$E$921))=0,"",INDEX('Dealer pipeline'!$A$4:$A$503,_calc!$E$921)))=0,"","Customer: "&amp;IF(LEN(INDEX('Dealer pipeline'!$A$4:$A$503,_calc!$E$921))=0,"",INDEX('Dealer pipeline'!$A$4:$A$503,_calc!$E$921))&amp;". ")&amp;IF(LEN(IF(LEN(INDEX('Dealer pipeline'!$B$4:$B$503,_calc!$E$921))=0,"",INDEX('Dealer pipeline'!$B$4:$B$503,_calc!$E$921)))=0,"","Contact: "&amp;IF(LEN(INDEX('Dealer pipeline'!$B$4:$B$503,_calc!$E$921))=0,"",INDEX('Dealer pipeline'!$B$4:$B$503,_calc!$E$921))&amp;". ")&amp;IF(LEN(IF(LEN(INDEX('Dealer pipeline'!$D$4:$D$503,_calc!$E$921))=0,"",INDEX('Dealer pipeline'!$D$4:$D$503,_calc!$E$921)))=0,"","Serial: "&amp;IF(LEN(INDEX('Dealer pipeline'!$D$4:$D$503,_calc!$E$921))=0,"",INDEX('Dealer pipeline'!$D$4:$D$503,_calc!$E$921))&amp;". ")&amp;IF(LEN(IF(ISNUMBER(INDEX('Dealer pipeline'!$J$4:$J$503,_calc!$E$921)),TEXT(INDEX('Dealer pipeline'!$J$4:$J$503,_calc!$E$921),"yyyy-mm-dd"),""))=0,"","Parts end: "&amp;IF(ISNUMBER(INDEX('Dealer pipeline'!$J$4:$J$503,_calc!$E$921)),TEXT(INDEX('Dealer pipeline'!$J$4:$J$503,_calc!$E$921),"yyyy-mm-dd"),"")&amp;". ")&amp;IF(LEN(IF(ISNUMBER(INDEX('Dealer pipeline'!$L$4:$L$503,_calc!$E$921)),TEXT(INDEX('Dealer pipeline'!$L$4:$L$503,_calc!$E$921),"yyyy-mm-dd"),""))=0,"","Labor end: "&amp;IF(ISNUMBER(INDEX('Dealer pipeline'!$L$4:$L$503,_calc!$E$921)),TEXT(INDEX('Dealer pipeline'!$L$4:$L$503,_calc!$E$921),"yyyy-mm-dd"),"")&amp;". ")&amp;IF(LEN(IF(LEN(INDEX('Dealer pipeline'!$Q$4:$Q$503,_calc!$E$921))=0,"",INDEX('Dealer pipeline'!$Q$4:$Q$503,_calc!$E$921)))=0,"","Status: "&amp;IF(LEN(INDEX('Dealer pipeline'!$Q$4:$Q$503,_calc!$E$921))=0,"",INDEX('Dealer pipeline'!$Q$4:$Q$503,_calc!$E$921))&amp;". ")&amp;IF(LEN(IF(LEN(INDEX('Dealer pipeline'!$P$4:$P$503,_calc!$E$921))=0,"",INDEX('Dealer pipeline'!$P$4:$P$503,_calc!$E$921)))=0,"","Last touch: "&amp;IF(LEN(INDEX('Dealer pipeline'!$P$4:$P$503,_calc!$E$921))=0,"",INDEX('Dealer pipeline'!$P$4:$P$503,_calc!$E$921))&amp;". ")&amp;IF(LEN(IF(LEN(INDEX('Dealer pipeline'!$R$4:$R$503,_calc!$E$921))=0,"",INDEX('Dealer pipeline'!$R$4:$R$503,_calc!$E$921)))=0,"","Owner: "&amp;IF(LEN(INDEX('Dealer pipeline'!$R$4:$R$503,_calc!$E$921))=0,"",INDEX('Dealer pipeline'!$R$4:$R$503,_calc!$E$921))&amp;". ")&amp;IF(LEN(IF(LEN(INDEX('Dealer pipeline'!$S$4:$S$503,_calc!$E$921))=0,"",INDEX('Dealer pipeline'!$S$4:$S$503,_calc!$E$921)))=0,"","Backup: "&amp;IF(LEN(INDEX('Dealer pipeline'!$S$4:$S$503,_calc!$E$921))=0,"",INDEX('Dealer pipeline'!$S$4:$S$503,_calc!$E$921))&amp;". ")&amp;IF(LEN(IF(LEN(INDEX('Dealer pipeline'!$T$4:$T$503,_calc!$E$921))=0,"",INDEX('Dealer pipeline'!$T$4:$T$503,_calc!$E$921)))=0,"",IF(LEN(INDEX('Dealer pipeline'!$T$4:$T$503,_calc!$E$921))=0,"",INDEX('Dealer pipeline'!$T$4:$T$503,_calc!$E$921)))),TRIM(IF(LEN(IF(LEN(INDEX('My equipment'!$C$4:$C$503,(_calc!$E$921-500)))=0,"",INDEX('My equipment'!$C$4:$C$503,(_calc!$E$921-500))))=0,"","Model: "&amp;IF(LEN(INDEX('My equipment'!$C$4:$C$503,(_calc!$E$921-500)))=0,"",INDEX('My equipment'!$C$4:$C$503,(_calc!$E$921-500)))&amp;". ")&amp;IF(LEN(IF(LEN(INDEX('My equipment'!$D$4:$D$503,(_calc!$E$921-500)))=0,"",INDEX('My equipment'!$D$4:$D$503,(_calc!$E$921-500))))=0,"","Serial: "&amp;IF(LEN(INDEX('My equipment'!$D$4:$D$503,(_calc!$E$921-500)))=0,"",INDEX('My equipment'!$D$4:$D$503,(_calc!$E$921-500)))&amp;". ")&amp;IF(LEN(IF(ISNUMBER(INDEX('My equipment'!$J$4:$J$503,(_calc!$E$921-500))),TEXT(INDEX('My equipment'!$J$4:$J$503,(_calc!$E$921-500)),"yyyy-mm-dd"),""))=0,"","Parts end: "&amp;IF(ISNUMBER(INDEX('My equipment'!$J$4:$J$503,(_calc!$E$921-500))),TEXT(INDEX('My equipment'!$J$4:$J$503,(_calc!$E$921-500)),"yyyy-mm-dd"),"")&amp;". ")&amp;IF(LEN(IF(ISNUMBER(INDEX('My equipment'!$L$4:$L$503,(_calc!$E$921-500))),TEXT(INDEX('My equipment'!$L$4:$L$503,(_calc!$E$921-500)),"yyyy-mm-dd"),""))=0,"","Labor end: "&amp;IF(ISNUMBER(INDEX('My equipment'!$L$4:$L$503,(_calc!$E$921-500))),TEXT(INDEX('My equipment'!$L$4:$L$503,(_calc!$E$921-500)),"yyyy-mm-dd"),"")&amp;". ")&amp;IF(LEN(IF(ISNUMBER(INDEX('My equipment'!$P$4:$P$503,(_calc!$E$921-500))),TEXT(INDEX('My equipment'!$P$4:$P$503,(_calc!$E$921-500)),"yyyy-mm-dd"),""))=0,"","Check by: "&amp;IF(ISNUMBER(INDEX('My equipment'!$P$4:$P$503,(_calc!$E$921-500))),TEXT(INDEX('My equipment'!$P$4:$P$503,(_calc!$E$921-500)),"yyyy-mm-dd"),"")&amp;". ")&amp;IF(LEN(IF(LEN(INDEX('My equipment'!$Q$4:$Q$503,(_calc!$E$921-500)))=0,"",INDEX('My equipment'!$Q$4:$Q$503,(_calc!$E$921-500))))=0,"","Claim status: "&amp;IF(LEN(INDEX('My equipment'!$Q$4:$Q$503,(_calc!$E$921-500)))=0,"",INDEX('My equipment'!$Q$4:$Q$503,(_calc!$E$921-500)))&amp;". ")&amp;IF(LEN(IF(LEN(INDEX('My equipment'!$R$4:$R$503,(_calc!$E$921-500)))=0,"",INDEX('My equipment'!$R$4:$R$503,(_calc!$E$921-500))))=0,"","Claims contact: "&amp;IF(LEN(INDEX('My equipment'!$R$4:$R$503,(_calc!$E$921-500)))=0,"",INDEX('My equipment'!$R$4:$R$503,(_calc!$E$921-500)))&amp;". ")&amp;IF(LEN(IF(LEN(INDEX('My equipment'!$S$4:$S$503,(_calc!$E$921-500)))=0,"",INDEX('My equipment'!$S$4:$S$503,(_calc!$E$921-500))))=0,"","Claims email: "&amp;IF(LEN(INDEX('My equipment'!$S$4:$S$503,(_calc!$E$921-500)))=0,"",INDEX('My equipment'!$S$4:$S$503,(_calc!$E$921-500)))&amp;". ")&amp;IF(LEN(IF(LEN(INDEX('My equipment'!$U$4:$U$503,(_calc!$E$921-500)))=0,"",INDEX('My equipment'!$U$4:$U$503,(_calc!$E$921-500))))=0,"","Registered: "&amp;IF(LEN(INDEX('My equipment'!$U$4:$U$503,(_calc!$E$921-500)))=0,"",INDEX('My equipment'!$U$4:$U$503,(_calc!$E$921-500)))&amp;". ")&amp;IF(LEN(IF(LEN(INDEX('My equipment'!$V$4:$V$503,(_calc!$E$921-500)))=0,"",INDEX('My equipment'!$V$4:$V$503,(_calc!$E$921-500))))=0,"","Proof on file: "&amp;IF(LEN(INDEX('My equipment'!$V$4:$V$503,(_calc!$E$921-500)))=0,"",INDEX('My equipment'!$V$4:$V$503,(_calc!$E$921-500)))&amp;". ")&amp;IF(LEN(IF(LEN(INDEX('My equipment'!$W$4:$W$503,(_calc!$E$921-500)))=0,"",INDEX('My equipment'!$W$4:$W$503,(_calc!$E$921-500))))=0,"","Claim ref: "&amp;IF(LEN(INDEX('My equipment'!$W$4:$W$503,(_calc!$E$921-500)))=0,"",INDEX('My equipment'!$W$4:$W$503,(_calc!$E$921-500)))&amp;". ")&amp;IF(LEN(IF(LEN(INDEX('My equipment'!$Y$4:$Y$503,(_calc!$E$921-500)))=0,"",INDEX('My equipment'!$Y$4:$Y$503,(_calc!$E$921-500))))=0,"",IF(LEN(INDEX('My equipment'!$Y$4:$Y$503,(_calc!$E$921-500)))=0,"",INDEX('My equipment'!$Y$4:$Y$503,(_calc!$E$921-500)))))))</f>
        <v/>
      </c>
      <c r="G919" s="54">
        <f>IF(_calc!$E$921="","",IF(_calc!$E$921&lt;=500,"",IF(LEN(INDEX('My equipment'!$X$4:$X$503,(_calc!$E$921-500)))=0,"",INDEX('My equipment'!$X$4:$X$503,(_calc!$E$921-500)))))</f>
        <v/>
      </c>
      <c r="K919" s="54">
        <f>IF(_calc!$E$921="","",IF(_calc!$E$921&lt;=500,"",IF(LEN(INDEX('My equipment'!$T$4:$T$503,(_calc!$E$921-500)))=0,"",INDEX('My equipment'!$T$4:$T$503,(_calc!$E$921-500)))))</f>
        <v/>
      </c>
    </row>
    <row r="920">
      <c r="A920" s="54">
        <f>IF(_calc!$E$922="","",IF(_calc!$E$922&lt;=500,"Warranty – "&amp;IF(LEN(INDEX('Dealer pipeline'!$C$4:$C$503,_calc!$E$922))=0,"",INDEX('Dealer pipeline'!$C$4:$C$503,_calc!$E$922))&amp;" – "&amp;IF(LEN(INDEX('Dealer pipeline'!$D$4:$D$503,_calc!$E$922))=0,"",INDEX('Dealer pipeline'!$D$4:$D$503,_calc!$E$922))&amp;" – "&amp;IF(LEN(INDEX('Dealer pipeline'!$A$4:$A$503,_calc!$E$922))=0,"",INDEX('Dealer pipeline'!$A$4:$A$503,_calc!$E$922)),"Warranty – "&amp;IF(LEN(INDEX('My equipment'!$A$4:$A$503,(_calc!$E$922-500)))=0,"",INDEX('My equipment'!$A$4:$A$503,(_calc!$E$922-500)))&amp;" – "&amp;IF(LEN(INDEX('My equipment'!$D$4:$D$503,(_calc!$E$922-500)))=0,"",INDEX('My equipment'!$D$4:$D$503,(_calc!$E$922-500)))))</f>
        <v/>
      </c>
      <c r="B920" s="54">
        <f>IF(_calc!$E$922="","",IF(_calc!$E$922&lt;=500,IF(ISNUMBER(INDEX('Dealer pipeline'!$M$4:$M$503,_calc!$E$922)),TEXT(INDEX('Dealer pipeline'!$M$4:$M$503,_calc!$E$922),"yyyy-mm-dd"),""),IF(ISNUMBER(INDEX('My equipment'!$M$4:$M$503,(_calc!$E$922-500))),TEXT(INDEX('My equipment'!$M$4:$M$503,(_calc!$E$922-500)),"yyyy-mm-dd"),"")))</f>
        <v/>
      </c>
      <c r="C920" s="54">
        <f>IF(_calc!$E$922="","",IF(_calc!$E$922&lt;=500,"Warranty","Warranty"))</f>
        <v/>
      </c>
      <c r="D920" s="54">
        <f>IF(_calc!$E$922="","",IF(_calc!$E$922&lt;=500,IF(ISNUMBER(INDEX('Dealer pipeline'!$H$4:$H$503,_calc!$E$922)),TEXT(INDEX('Dealer pipeline'!$H$4:$H$503,_calc!$E$922),"yyyy-mm-dd"),""),IF(ISNUMBER(INDEX('My equipment'!$H$4:$H$503,(_calc!$E$922-500))),TEXT(INDEX('My equipment'!$H$4:$H$503,(_calc!$E$922-500)),"yyyy-mm-dd"),"")))</f>
        <v/>
      </c>
      <c r="F920" s="54">
        <f>IF(_calc!$E$922="","",IF(_calc!$E$922&lt;=500,TRIM(IF(LEN(IF(LEN(INDEX('Dealer pipeline'!$A$4:$A$503,_calc!$E$922))=0,"",INDEX('Dealer pipeline'!$A$4:$A$503,_calc!$E$922)))=0,"","Customer: "&amp;IF(LEN(INDEX('Dealer pipeline'!$A$4:$A$503,_calc!$E$922))=0,"",INDEX('Dealer pipeline'!$A$4:$A$503,_calc!$E$922))&amp;". ")&amp;IF(LEN(IF(LEN(INDEX('Dealer pipeline'!$B$4:$B$503,_calc!$E$922))=0,"",INDEX('Dealer pipeline'!$B$4:$B$503,_calc!$E$922)))=0,"","Contact: "&amp;IF(LEN(INDEX('Dealer pipeline'!$B$4:$B$503,_calc!$E$922))=0,"",INDEX('Dealer pipeline'!$B$4:$B$503,_calc!$E$922))&amp;". ")&amp;IF(LEN(IF(LEN(INDEX('Dealer pipeline'!$D$4:$D$503,_calc!$E$922))=0,"",INDEX('Dealer pipeline'!$D$4:$D$503,_calc!$E$922)))=0,"","Serial: "&amp;IF(LEN(INDEX('Dealer pipeline'!$D$4:$D$503,_calc!$E$922))=0,"",INDEX('Dealer pipeline'!$D$4:$D$503,_calc!$E$922))&amp;". ")&amp;IF(LEN(IF(ISNUMBER(INDEX('Dealer pipeline'!$J$4:$J$503,_calc!$E$922)),TEXT(INDEX('Dealer pipeline'!$J$4:$J$503,_calc!$E$922),"yyyy-mm-dd"),""))=0,"","Parts end: "&amp;IF(ISNUMBER(INDEX('Dealer pipeline'!$J$4:$J$503,_calc!$E$922)),TEXT(INDEX('Dealer pipeline'!$J$4:$J$503,_calc!$E$922),"yyyy-mm-dd"),"")&amp;". ")&amp;IF(LEN(IF(ISNUMBER(INDEX('Dealer pipeline'!$L$4:$L$503,_calc!$E$922)),TEXT(INDEX('Dealer pipeline'!$L$4:$L$503,_calc!$E$922),"yyyy-mm-dd"),""))=0,"","Labor end: "&amp;IF(ISNUMBER(INDEX('Dealer pipeline'!$L$4:$L$503,_calc!$E$922)),TEXT(INDEX('Dealer pipeline'!$L$4:$L$503,_calc!$E$922),"yyyy-mm-dd"),"")&amp;". ")&amp;IF(LEN(IF(LEN(INDEX('Dealer pipeline'!$Q$4:$Q$503,_calc!$E$922))=0,"",INDEX('Dealer pipeline'!$Q$4:$Q$503,_calc!$E$922)))=0,"","Status: "&amp;IF(LEN(INDEX('Dealer pipeline'!$Q$4:$Q$503,_calc!$E$922))=0,"",INDEX('Dealer pipeline'!$Q$4:$Q$503,_calc!$E$922))&amp;". ")&amp;IF(LEN(IF(LEN(INDEX('Dealer pipeline'!$P$4:$P$503,_calc!$E$922))=0,"",INDEX('Dealer pipeline'!$P$4:$P$503,_calc!$E$922)))=0,"","Last touch: "&amp;IF(LEN(INDEX('Dealer pipeline'!$P$4:$P$503,_calc!$E$922))=0,"",INDEX('Dealer pipeline'!$P$4:$P$503,_calc!$E$922))&amp;". ")&amp;IF(LEN(IF(LEN(INDEX('Dealer pipeline'!$R$4:$R$503,_calc!$E$922))=0,"",INDEX('Dealer pipeline'!$R$4:$R$503,_calc!$E$922)))=0,"","Owner: "&amp;IF(LEN(INDEX('Dealer pipeline'!$R$4:$R$503,_calc!$E$922))=0,"",INDEX('Dealer pipeline'!$R$4:$R$503,_calc!$E$922))&amp;". ")&amp;IF(LEN(IF(LEN(INDEX('Dealer pipeline'!$S$4:$S$503,_calc!$E$922))=0,"",INDEX('Dealer pipeline'!$S$4:$S$503,_calc!$E$922)))=0,"","Backup: "&amp;IF(LEN(INDEX('Dealer pipeline'!$S$4:$S$503,_calc!$E$922))=0,"",INDEX('Dealer pipeline'!$S$4:$S$503,_calc!$E$922))&amp;". ")&amp;IF(LEN(IF(LEN(INDEX('Dealer pipeline'!$T$4:$T$503,_calc!$E$922))=0,"",INDEX('Dealer pipeline'!$T$4:$T$503,_calc!$E$922)))=0,"",IF(LEN(INDEX('Dealer pipeline'!$T$4:$T$503,_calc!$E$922))=0,"",INDEX('Dealer pipeline'!$T$4:$T$503,_calc!$E$922)))),TRIM(IF(LEN(IF(LEN(INDEX('My equipment'!$C$4:$C$503,(_calc!$E$922-500)))=0,"",INDEX('My equipment'!$C$4:$C$503,(_calc!$E$922-500))))=0,"","Model: "&amp;IF(LEN(INDEX('My equipment'!$C$4:$C$503,(_calc!$E$922-500)))=0,"",INDEX('My equipment'!$C$4:$C$503,(_calc!$E$922-500)))&amp;". ")&amp;IF(LEN(IF(LEN(INDEX('My equipment'!$D$4:$D$503,(_calc!$E$922-500)))=0,"",INDEX('My equipment'!$D$4:$D$503,(_calc!$E$922-500))))=0,"","Serial: "&amp;IF(LEN(INDEX('My equipment'!$D$4:$D$503,(_calc!$E$922-500)))=0,"",INDEX('My equipment'!$D$4:$D$503,(_calc!$E$922-500)))&amp;". ")&amp;IF(LEN(IF(ISNUMBER(INDEX('My equipment'!$J$4:$J$503,(_calc!$E$922-500))),TEXT(INDEX('My equipment'!$J$4:$J$503,(_calc!$E$922-500)),"yyyy-mm-dd"),""))=0,"","Parts end: "&amp;IF(ISNUMBER(INDEX('My equipment'!$J$4:$J$503,(_calc!$E$922-500))),TEXT(INDEX('My equipment'!$J$4:$J$503,(_calc!$E$922-500)),"yyyy-mm-dd"),"")&amp;". ")&amp;IF(LEN(IF(ISNUMBER(INDEX('My equipment'!$L$4:$L$503,(_calc!$E$922-500))),TEXT(INDEX('My equipment'!$L$4:$L$503,(_calc!$E$922-500)),"yyyy-mm-dd"),""))=0,"","Labor end: "&amp;IF(ISNUMBER(INDEX('My equipment'!$L$4:$L$503,(_calc!$E$922-500))),TEXT(INDEX('My equipment'!$L$4:$L$503,(_calc!$E$922-500)),"yyyy-mm-dd"),"")&amp;". ")&amp;IF(LEN(IF(ISNUMBER(INDEX('My equipment'!$P$4:$P$503,(_calc!$E$922-500))),TEXT(INDEX('My equipment'!$P$4:$P$503,(_calc!$E$922-500)),"yyyy-mm-dd"),""))=0,"","Check by: "&amp;IF(ISNUMBER(INDEX('My equipment'!$P$4:$P$503,(_calc!$E$922-500))),TEXT(INDEX('My equipment'!$P$4:$P$503,(_calc!$E$922-500)),"yyyy-mm-dd"),"")&amp;". ")&amp;IF(LEN(IF(LEN(INDEX('My equipment'!$Q$4:$Q$503,(_calc!$E$922-500)))=0,"",INDEX('My equipment'!$Q$4:$Q$503,(_calc!$E$922-500))))=0,"","Claim status: "&amp;IF(LEN(INDEX('My equipment'!$Q$4:$Q$503,(_calc!$E$922-500)))=0,"",INDEX('My equipment'!$Q$4:$Q$503,(_calc!$E$922-500)))&amp;". ")&amp;IF(LEN(IF(LEN(INDEX('My equipment'!$R$4:$R$503,(_calc!$E$922-500)))=0,"",INDEX('My equipment'!$R$4:$R$503,(_calc!$E$922-500))))=0,"","Claims contact: "&amp;IF(LEN(INDEX('My equipment'!$R$4:$R$503,(_calc!$E$922-500)))=0,"",INDEX('My equipment'!$R$4:$R$503,(_calc!$E$922-500)))&amp;". ")&amp;IF(LEN(IF(LEN(INDEX('My equipment'!$S$4:$S$503,(_calc!$E$922-500)))=0,"",INDEX('My equipment'!$S$4:$S$503,(_calc!$E$922-500))))=0,"","Claims email: "&amp;IF(LEN(INDEX('My equipment'!$S$4:$S$503,(_calc!$E$922-500)))=0,"",INDEX('My equipment'!$S$4:$S$503,(_calc!$E$922-500)))&amp;". ")&amp;IF(LEN(IF(LEN(INDEX('My equipment'!$U$4:$U$503,(_calc!$E$922-500)))=0,"",INDEX('My equipment'!$U$4:$U$503,(_calc!$E$922-500))))=0,"","Registered: "&amp;IF(LEN(INDEX('My equipment'!$U$4:$U$503,(_calc!$E$922-500)))=0,"",INDEX('My equipment'!$U$4:$U$503,(_calc!$E$922-500)))&amp;". ")&amp;IF(LEN(IF(LEN(INDEX('My equipment'!$V$4:$V$503,(_calc!$E$922-500)))=0,"",INDEX('My equipment'!$V$4:$V$503,(_calc!$E$922-500))))=0,"","Proof on file: "&amp;IF(LEN(INDEX('My equipment'!$V$4:$V$503,(_calc!$E$922-500)))=0,"",INDEX('My equipment'!$V$4:$V$503,(_calc!$E$922-500)))&amp;". ")&amp;IF(LEN(IF(LEN(INDEX('My equipment'!$W$4:$W$503,(_calc!$E$922-500)))=0,"",INDEX('My equipment'!$W$4:$W$503,(_calc!$E$922-500))))=0,"","Claim ref: "&amp;IF(LEN(INDEX('My equipment'!$W$4:$W$503,(_calc!$E$922-500)))=0,"",INDEX('My equipment'!$W$4:$W$503,(_calc!$E$922-500)))&amp;". ")&amp;IF(LEN(IF(LEN(INDEX('My equipment'!$Y$4:$Y$503,(_calc!$E$922-500)))=0,"",INDEX('My equipment'!$Y$4:$Y$503,(_calc!$E$922-500))))=0,"",IF(LEN(INDEX('My equipment'!$Y$4:$Y$503,(_calc!$E$922-500)))=0,"",INDEX('My equipment'!$Y$4:$Y$503,(_calc!$E$922-500)))))))</f>
        <v/>
      </c>
      <c r="G920" s="54">
        <f>IF(_calc!$E$922="","",IF(_calc!$E$922&lt;=500,"",IF(LEN(INDEX('My equipment'!$X$4:$X$503,(_calc!$E$922-500)))=0,"",INDEX('My equipment'!$X$4:$X$503,(_calc!$E$922-500)))))</f>
        <v/>
      </c>
      <c r="K920" s="54">
        <f>IF(_calc!$E$922="","",IF(_calc!$E$922&lt;=500,"",IF(LEN(INDEX('My equipment'!$T$4:$T$503,(_calc!$E$922-500)))=0,"",INDEX('My equipment'!$T$4:$T$503,(_calc!$E$922-500)))))</f>
        <v/>
      </c>
    </row>
    <row r="921">
      <c r="A921" s="54">
        <f>IF(_calc!$E$923="","",IF(_calc!$E$923&lt;=500,"Warranty – "&amp;IF(LEN(INDEX('Dealer pipeline'!$C$4:$C$503,_calc!$E$923))=0,"",INDEX('Dealer pipeline'!$C$4:$C$503,_calc!$E$923))&amp;" – "&amp;IF(LEN(INDEX('Dealer pipeline'!$D$4:$D$503,_calc!$E$923))=0,"",INDEX('Dealer pipeline'!$D$4:$D$503,_calc!$E$923))&amp;" – "&amp;IF(LEN(INDEX('Dealer pipeline'!$A$4:$A$503,_calc!$E$923))=0,"",INDEX('Dealer pipeline'!$A$4:$A$503,_calc!$E$923)),"Warranty – "&amp;IF(LEN(INDEX('My equipment'!$A$4:$A$503,(_calc!$E$923-500)))=0,"",INDEX('My equipment'!$A$4:$A$503,(_calc!$E$923-500)))&amp;" – "&amp;IF(LEN(INDEX('My equipment'!$D$4:$D$503,(_calc!$E$923-500)))=0,"",INDEX('My equipment'!$D$4:$D$503,(_calc!$E$923-500)))))</f>
        <v/>
      </c>
      <c r="B921" s="54">
        <f>IF(_calc!$E$923="","",IF(_calc!$E$923&lt;=500,IF(ISNUMBER(INDEX('Dealer pipeline'!$M$4:$M$503,_calc!$E$923)),TEXT(INDEX('Dealer pipeline'!$M$4:$M$503,_calc!$E$923),"yyyy-mm-dd"),""),IF(ISNUMBER(INDEX('My equipment'!$M$4:$M$503,(_calc!$E$923-500))),TEXT(INDEX('My equipment'!$M$4:$M$503,(_calc!$E$923-500)),"yyyy-mm-dd"),"")))</f>
        <v/>
      </c>
      <c r="C921" s="54">
        <f>IF(_calc!$E$923="","",IF(_calc!$E$923&lt;=500,"Warranty","Warranty"))</f>
        <v/>
      </c>
      <c r="D921" s="54">
        <f>IF(_calc!$E$923="","",IF(_calc!$E$923&lt;=500,IF(ISNUMBER(INDEX('Dealer pipeline'!$H$4:$H$503,_calc!$E$923)),TEXT(INDEX('Dealer pipeline'!$H$4:$H$503,_calc!$E$923),"yyyy-mm-dd"),""),IF(ISNUMBER(INDEX('My equipment'!$H$4:$H$503,(_calc!$E$923-500))),TEXT(INDEX('My equipment'!$H$4:$H$503,(_calc!$E$923-500)),"yyyy-mm-dd"),"")))</f>
        <v/>
      </c>
      <c r="F921" s="54">
        <f>IF(_calc!$E$923="","",IF(_calc!$E$923&lt;=500,TRIM(IF(LEN(IF(LEN(INDEX('Dealer pipeline'!$A$4:$A$503,_calc!$E$923))=0,"",INDEX('Dealer pipeline'!$A$4:$A$503,_calc!$E$923)))=0,"","Customer: "&amp;IF(LEN(INDEX('Dealer pipeline'!$A$4:$A$503,_calc!$E$923))=0,"",INDEX('Dealer pipeline'!$A$4:$A$503,_calc!$E$923))&amp;". ")&amp;IF(LEN(IF(LEN(INDEX('Dealer pipeline'!$B$4:$B$503,_calc!$E$923))=0,"",INDEX('Dealer pipeline'!$B$4:$B$503,_calc!$E$923)))=0,"","Contact: "&amp;IF(LEN(INDEX('Dealer pipeline'!$B$4:$B$503,_calc!$E$923))=0,"",INDEX('Dealer pipeline'!$B$4:$B$503,_calc!$E$923))&amp;". ")&amp;IF(LEN(IF(LEN(INDEX('Dealer pipeline'!$D$4:$D$503,_calc!$E$923))=0,"",INDEX('Dealer pipeline'!$D$4:$D$503,_calc!$E$923)))=0,"","Serial: "&amp;IF(LEN(INDEX('Dealer pipeline'!$D$4:$D$503,_calc!$E$923))=0,"",INDEX('Dealer pipeline'!$D$4:$D$503,_calc!$E$923))&amp;". ")&amp;IF(LEN(IF(ISNUMBER(INDEX('Dealer pipeline'!$J$4:$J$503,_calc!$E$923)),TEXT(INDEX('Dealer pipeline'!$J$4:$J$503,_calc!$E$923),"yyyy-mm-dd"),""))=0,"","Parts end: "&amp;IF(ISNUMBER(INDEX('Dealer pipeline'!$J$4:$J$503,_calc!$E$923)),TEXT(INDEX('Dealer pipeline'!$J$4:$J$503,_calc!$E$923),"yyyy-mm-dd"),"")&amp;". ")&amp;IF(LEN(IF(ISNUMBER(INDEX('Dealer pipeline'!$L$4:$L$503,_calc!$E$923)),TEXT(INDEX('Dealer pipeline'!$L$4:$L$503,_calc!$E$923),"yyyy-mm-dd"),""))=0,"","Labor end: "&amp;IF(ISNUMBER(INDEX('Dealer pipeline'!$L$4:$L$503,_calc!$E$923)),TEXT(INDEX('Dealer pipeline'!$L$4:$L$503,_calc!$E$923),"yyyy-mm-dd"),"")&amp;". ")&amp;IF(LEN(IF(LEN(INDEX('Dealer pipeline'!$Q$4:$Q$503,_calc!$E$923))=0,"",INDEX('Dealer pipeline'!$Q$4:$Q$503,_calc!$E$923)))=0,"","Status: "&amp;IF(LEN(INDEX('Dealer pipeline'!$Q$4:$Q$503,_calc!$E$923))=0,"",INDEX('Dealer pipeline'!$Q$4:$Q$503,_calc!$E$923))&amp;". ")&amp;IF(LEN(IF(LEN(INDEX('Dealer pipeline'!$P$4:$P$503,_calc!$E$923))=0,"",INDEX('Dealer pipeline'!$P$4:$P$503,_calc!$E$923)))=0,"","Last touch: "&amp;IF(LEN(INDEX('Dealer pipeline'!$P$4:$P$503,_calc!$E$923))=0,"",INDEX('Dealer pipeline'!$P$4:$P$503,_calc!$E$923))&amp;". ")&amp;IF(LEN(IF(LEN(INDEX('Dealer pipeline'!$R$4:$R$503,_calc!$E$923))=0,"",INDEX('Dealer pipeline'!$R$4:$R$503,_calc!$E$923)))=0,"","Owner: "&amp;IF(LEN(INDEX('Dealer pipeline'!$R$4:$R$503,_calc!$E$923))=0,"",INDEX('Dealer pipeline'!$R$4:$R$503,_calc!$E$923))&amp;". ")&amp;IF(LEN(IF(LEN(INDEX('Dealer pipeline'!$S$4:$S$503,_calc!$E$923))=0,"",INDEX('Dealer pipeline'!$S$4:$S$503,_calc!$E$923)))=0,"","Backup: "&amp;IF(LEN(INDEX('Dealer pipeline'!$S$4:$S$503,_calc!$E$923))=0,"",INDEX('Dealer pipeline'!$S$4:$S$503,_calc!$E$923))&amp;". ")&amp;IF(LEN(IF(LEN(INDEX('Dealer pipeline'!$T$4:$T$503,_calc!$E$923))=0,"",INDEX('Dealer pipeline'!$T$4:$T$503,_calc!$E$923)))=0,"",IF(LEN(INDEX('Dealer pipeline'!$T$4:$T$503,_calc!$E$923))=0,"",INDEX('Dealer pipeline'!$T$4:$T$503,_calc!$E$923)))),TRIM(IF(LEN(IF(LEN(INDEX('My equipment'!$C$4:$C$503,(_calc!$E$923-500)))=0,"",INDEX('My equipment'!$C$4:$C$503,(_calc!$E$923-500))))=0,"","Model: "&amp;IF(LEN(INDEX('My equipment'!$C$4:$C$503,(_calc!$E$923-500)))=0,"",INDEX('My equipment'!$C$4:$C$503,(_calc!$E$923-500)))&amp;". ")&amp;IF(LEN(IF(LEN(INDEX('My equipment'!$D$4:$D$503,(_calc!$E$923-500)))=0,"",INDEX('My equipment'!$D$4:$D$503,(_calc!$E$923-500))))=0,"","Serial: "&amp;IF(LEN(INDEX('My equipment'!$D$4:$D$503,(_calc!$E$923-500)))=0,"",INDEX('My equipment'!$D$4:$D$503,(_calc!$E$923-500)))&amp;". ")&amp;IF(LEN(IF(ISNUMBER(INDEX('My equipment'!$J$4:$J$503,(_calc!$E$923-500))),TEXT(INDEX('My equipment'!$J$4:$J$503,(_calc!$E$923-500)),"yyyy-mm-dd"),""))=0,"","Parts end: "&amp;IF(ISNUMBER(INDEX('My equipment'!$J$4:$J$503,(_calc!$E$923-500))),TEXT(INDEX('My equipment'!$J$4:$J$503,(_calc!$E$923-500)),"yyyy-mm-dd"),"")&amp;". ")&amp;IF(LEN(IF(ISNUMBER(INDEX('My equipment'!$L$4:$L$503,(_calc!$E$923-500))),TEXT(INDEX('My equipment'!$L$4:$L$503,(_calc!$E$923-500)),"yyyy-mm-dd"),""))=0,"","Labor end: "&amp;IF(ISNUMBER(INDEX('My equipment'!$L$4:$L$503,(_calc!$E$923-500))),TEXT(INDEX('My equipment'!$L$4:$L$503,(_calc!$E$923-500)),"yyyy-mm-dd"),"")&amp;". ")&amp;IF(LEN(IF(ISNUMBER(INDEX('My equipment'!$P$4:$P$503,(_calc!$E$923-500))),TEXT(INDEX('My equipment'!$P$4:$P$503,(_calc!$E$923-500)),"yyyy-mm-dd"),""))=0,"","Check by: "&amp;IF(ISNUMBER(INDEX('My equipment'!$P$4:$P$503,(_calc!$E$923-500))),TEXT(INDEX('My equipment'!$P$4:$P$503,(_calc!$E$923-500)),"yyyy-mm-dd"),"")&amp;". ")&amp;IF(LEN(IF(LEN(INDEX('My equipment'!$Q$4:$Q$503,(_calc!$E$923-500)))=0,"",INDEX('My equipment'!$Q$4:$Q$503,(_calc!$E$923-500))))=0,"","Claim status: "&amp;IF(LEN(INDEX('My equipment'!$Q$4:$Q$503,(_calc!$E$923-500)))=0,"",INDEX('My equipment'!$Q$4:$Q$503,(_calc!$E$923-500)))&amp;". ")&amp;IF(LEN(IF(LEN(INDEX('My equipment'!$R$4:$R$503,(_calc!$E$923-500)))=0,"",INDEX('My equipment'!$R$4:$R$503,(_calc!$E$923-500))))=0,"","Claims contact: "&amp;IF(LEN(INDEX('My equipment'!$R$4:$R$503,(_calc!$E$923-500)))=0,"",INDEX('My equipment'!$R$4:$R$503,(_calc!$E$923-500)))&amp;". ")&amp;IF(LEN(IF(LEN(INDEX('My equipment'!$S$4:$S$503,(_calc!$E$923-500)))=0,"",INDEX('My equipment'!$S$4:$S$503,(_calc!$E$923-500))))=0,"","Claims email: "&amp;IF(LEN(INDEX('My equipment'!$S$4:$S$503,(_calc!$E$923-500)))=0,"",INDEX('My equipment'!$S$4:$S$503,(_calc!$E$923-500)))&amp;". ")&amp;IF(LEN(IF(LEN(INDEX('My equipment'!$U$4:$U$503,(_calc!$E$923-500)))=0,"",INDEX('My equipment'!$U$4:$U$503,(_calc!$E$923-500))))=0,"","Registered: "&amp;IF(LEN(INDEX('My equipment'!$U$4:$U$503,(_calc!$E$923-500)))=0,"",INDEX('My equipment'!$U$4:$U$503,(_calc!$E$923-500)))&amp;". ")&amp;IF(LEN(IF(LEN(INDEX('My equipment'!$V$4:$V$503,(_calc!$E$923-500)))=0,"",INDEX('My equipment'!$V$4:$V$503,(_calc!$E$923-500))))=0,"","Proof on file: "&amp;IF(LEN(INDEX('My equipment'!$V$4:$V$503,(_calc!$E$923-500)))=0,"",INDEX('My equipment'!$V$4:$V$503,(_calc!$E$923-500)))&amp;". ")&amp;IF(LEN(IF(LEN(INDEX('My equipment'!$W$4:$W$503,(_calc!$E$923-500)))=0,"",INDEX('My equipment'!$W$4:$W$503,(_calc!$E$923-500))))=0,"","Claim ref: "&amp;IF(LEN(INDEX('My equipment'!$W$4:$W$503,(_calc!$E$923-500)))=0,"",INDEX('My equipment'!$W$4:$W$503,(_calc!$E$923-500)))&amp;". ")&amp;IF(LEN(IF(LEN(INDEX('My equipment'!$Y$4:$Y$503,(_calc!$E$923-500)))=0,"",INDEX('My equipment'!$Y$4:$Y$503,(_calc!$E$923-500))))=0,"",IF(LEN(INDEX('My equipment'!$Y$4:$Y$503,(_calc!$E$923-500)))=0,"",INDEX('My equipment'!$Y$4:$Y$503,(_calc!$E$923-500)))))))</f>
        <v/>
      </c>
      <c r="G921" s="54">
        <f>IF(_calc!$E$923="","",IF(_calc!$E$923&lt;=500,"",IF(LEN(INDEX('My equipment'!$X$4:$X$503,(_calc!$E$923-500)))=0,"",INDEX('My equipment'!$X$4:$X$503,(_calc!$E$923-500)))))</f>
        <v/>
      </c>
      <c r="K921" s="54">
        <f>IF(_calc!$E$923="","",IF(_calc!$E$923&lt;=500,"",IF(LEN(INDEX('My equipment'!$T$4:$T$503,(_calc!$E$923-500)))=0,"",INDEX('My equipment'!$T$4:$T$503,(_calc!$E$923-500)))))</f>
        <v/>
      </c>
    </row>
    <row r="922">
      <c r="A922" s="54">
        <f>IF(_calc!$E$924="","",IF(_calc!$E$924&lt;=500,"Warranty – "&amp;IF(LEN(INDEX('Dealer pipeline'!$C$4:$C$503,_calc!$E$924))=0,"",INDEX('Dealer pipeline'!$C$4:$C$503,_calc!$E$924))&amp;" – "&amp;IF(LEN(INDEX('Dealer pipeline'!$D$4:$D$503,_calc!$E$924))=0,"",INDEX('Dealer pipeline'!$D$4:$D$503,_calc!$E$924))&amp;" – "&amp;IF(LEN(INDEX('Dealer pipeline'!$A$4:$A$503,_calc!$E$924))=0,"",INDEX('Dealer pipeline'!$A$4:$A$503,_calc!$E$924)),"Warranty – "&amp;IF(LEN(INDEX('My equipment'!$A$4:$A$503,(_calc!$E$924-500)))=0,"",INDEX('My equipment'!$A$4:$A$503,(_calc!$E$924-500)))&amp;" – "&amp;IF(LEN(INDEX('My equipment'!$D$4:$D$503,(_calc!$E$924-500)))=0,"",INDEX('My equipment'!$D$4:$D$503,(_calc!$E$924-500)))))</f>
        <v/>
      </c>
      <c r="B922" s="54">
        <f>IF(_calc!$E$924="","",IF(_calc!$E$924&lt;=500,IF(ISNUMBER(INDEX('Dealer pipeline'!$M$4:$M$503,_calc!$E$924)),TEXT(INDEX('Dealer pipeline'!$M$4:$M$503,_calc!$E$924),"yyyy-mm-dd"),""),IF(ISNUMBER(INDEX('My equipment'!$M$4:$M$503,(_calc!$E$924-500))),TEXT(INDEX('My equipment'!$M$4:$M$503,(_calc!$E$924-500)),"yyyy-mm-dd"),"")))</f>
        <v/>
      </c>
      <c r="C922" s="54">
        <f>IF(_calc!$E$924="","",IF(_calc!$E$924&lt;=500,"Warranty","Warranty"))</f>
        <v/>
      </c>
      <c r="D922" s="54">
        <f>IF(_calc!$E$924="","",IF(_calc!$E$924&lt;=500,IF(ISNUMBER(INDEX('Dealer pipeline'!$H$4:$H$503,_calc!$E$924)),TEXT(INDEX('Dealer pipeline'!$H$4:$H$503,_calc!$E$924),"yyyy-mm-dd"),""),IF(ISNUMBER(INDEX('My equipment'!$H$4:$H$503,(_calc!$E$924-500))),TEXT(INDEX('My equipment'!$H$4:$H$503,(_calc!$E$924-500)),"yyyy-mm-dd"),"")))</f>
        <v/>
      </c>
      <c r="F922" s="54">
        <f>IF(_calc!$E$924="","",IF(_calc!$E$924&lt;=500,TRIM(IF(LEN(IF(LEN(INDEX('Dealer pipeline'!$A$4:$A$503,_calc!$E$924))=0,"",INDEX('Dealer pipeline'!$A$4:$A$503,_calc!$E$924)))=0,"","Customer: "&amp;IF(LEN(INDEX('Dealer pipeline'!$A$4:$A$503,_calc!$E$924))=0,"",INDEX('Dealer pipeline'!$A$4:$A$503,_calc!$E$924))&amp;". ")&amp;IF(LEN(IF(LEN(INDEX('Dealer pipeline'!$B$4:$B$503,_calc!$E$924))=0,"",INDEX('Dealer pipeline'!$B$4:$B$503,_calc!$E$924)))=0,"","Contact: "&amp;IF(LEN(INDEX('Dealer pipeline'!$B$4:$B$503,_calc!$E$924))=0,"",INDEX('Dealer pipeline'!$B$4:$B$503,_calc!$E$924))&amp;". ")&amp;IF(LEN(IF(LEN(INDEX('Dealer pipeline'!$D$4:$D$503,_calc!$E$924))=0,"",INDEX('Dealer pipeline'!$D$4:$D$503,_calc!$E$924)))=0,"","Serial: "&amp;IF(LEN(INDEX('Dealer pipeline'!$D$4:$D$503,_calc!$E$924))=0,"",INDEX('Dealer pipeline'!$D$4:$D$503,_calc!$E$924))&amp;". ")&amp;IF(LEN(IF(ISNUMBER(INDEX('Dealer pipeline'!$J$4:$J$503,_calc!$E$924)),TEXT(INDEX('Dealer pipeline'!$J$4:$J$503,_calc!$E$924),"yyyy-mm-dd"),""))=0,"","Parts end: "&amp;IF(ISNUMBER(INDEX('Dealer pipeline'!$J$4:$J$503,_calc!$E$924)),TEXT(INDEX('Dealer pipeline'!$J$4:$J$503,_calc!$E$924),"yyyy-mm-dd"),"")&amp;". ")&amp;IF(LEN(IF(ISNUMBER(INDEX('Dealer pipeline'!$L$4:$L$503,_calc!$E$924)),TEXT(INDEX('Dealer pipeline'!$L$4:$L$503,_calc!$E$924),"yyyy-mm-dd"),""))=0,"","Labor end: "&amp;IF(ISNUMBER(INDEX('Dealer pipeline'!$L$4:$L$503,_calc!$E$924)),TEXT(INDEX('Dealer pipeline'!$L$4:$L$503,_calc!$E$924),"yyyy-mm-dd"),"")&amp;". ")&amp;IF(LEN(IF(LEN(INDEX('Dealer pipeline'!$Q$4:$Q$503,_calc!$E$924))=0,"",INDEX('Dealer pipeline'!$Q$4:$Q$503,_calc!$E$924)))=0,"","Status: "&amp;IF(LEN(INDEX('Dealer pipeline'!$Q$4:$Q$503,_calc!$E$924))=0,"",INDEX('Dealer pipeline'!$Q$4:$Q$503,_calc!$E$924))&amp;". ")&amp;IF(LEN(IF(LEN(INDEX('Dealer pipeline'!$P$4:$P$503,_calc!$E$924))=0,"",INDEX('Dealer pipeline'!$P$4:$P$503,_calc!$E$924)))=0,"","Last touch: "&amp;IF(LEN(INDEX('Dealer pipeline'!$P$4:$P$503,_calc!$E$924))=0,"",INDEX('Dealer pipeline'!$P$4:$P$503,_calc!$E$924))&amp;". ")&amp;IF(LEN(IF(LEN(INDEX('Dealer pipeline'!$R$4:$R$503,_calc!$E$924))=0,"",INDEX('Dealer pipeline'!$R$4:$R$503,_calc!$E$924)))=0,"","Owner: "&amp;IF(LEN(INDEX('Dealer pipeline'!$R$4:$R$503,_calc!$E$924))=0,"",INDEX('Dealer pipeline'!$R$4:$R$503,_calc!$E$924))&amp;". ")&amp;IF(LEN(IF(LEN(INDEX('Dealer pipeline'!$S$4:$S$503,_calc!$E$924))=0,"",INDEX('Dealer pipeline'!$S$4:$S$503,_calc!$E$924)))=0,"","Backup: "&amp;IF(LEN(INDEX('Dealer pipeline'!$S$4:$S$503,_calc!$E$924))=0,"",INDEX('Dealer pipeline'!$S$4:$S$503,_calc!$E$924))&amp;". ")&amp;IF(LEN(IF(LEN(INDEX('Dealer pipeline'!$T$4:$T$503,_calc!$E$924))=0,"",INDEX('Dealer pipeline'!$T$4:$T$503,_calc!$E$924)))=0,"",IF(LEN(INDEX('Dealer pipeline'!$T$4:$T$503,_calc!$E$924))=0,"",INDEX('Dealer pipeline'!$T$4:$T$503,_calc!$E$924)))),TRIM(IF(LEN(IF(LEN(INDEX('My equipment'!$C$4:$C$503,(_calc!$E$924-500)))=0,"",INDEX('My equipment'!$C$4:$C$503,(_calc!$E$924-500))))=0,"","Model: "&amp;IF(LEN(INDEX('My equipment'!$C$4:$C$503,(_calc!$E$924-500)))=0,"",INDEX('My equipment'!$C$4:$C$503,(_calc!$E$924-500)))&amp;". ")&amp;IF(LEN(IF(LEN(INDEX('My equipment'!$D$4:$D$503,(_calc!$E$924-500)))=0,"",INDEX('My equipment'!$D$4:$D$503,(_calc!$E$924-500))))=0,"","Serial: "&amp;IF(LEN(INDEX('My equipment'!$D$4:$D$503,(_calc!$E$924-500)))=0,"",INDEX('My equipment'!$D$4:$D$503,(_calc!$E$924-500)))&amp;". ")&amp;IF(LEN(IF(ISNUMBER(INDEX('My equipment'!$J$4:$J$503,(_calc!$E$924-500))),TEXT(INDEX('My equipment'!$J$4:$J$503,(_calc!$E$924-500)),"yyyy-mm-dd"),""))=0,"","Parts end: "&amp;IF(ISNUMBER(INDEX('My equipment'!$J$4:$J$503,(_calc!$E$924-500))),TEXT(INDEX('My equipment'!$J$4:$J$503,(_calc!$E$924-500)),"yyyy-mm-dd"),"")&amp;". ")&amp;IF(LEN(IF(ISNUMBER(INDEX('My equipment'!$L$4:$L$503,(_calc!$E$924-500))),TEXT(INDEX('My equipment'!$L$4:$L$503,(_calc!$E$924-500)),"yyyy-mm-dd"),""))=0,"","Labor end: "&amp;IF(ISNUMBER(INDEX('My equipment'!$L$4:$L$503,(_calc!$E$924-500))),TEXT(INDEX('My equipment'!$L$4:$L$503,(_calc!$E$924-500)),"yyyy-mm-dd"),"")&amp;". ")&amp;IF(LEN(IF(ISNUMBER(INDEX('My equipment'!$P$4:$P$503,(_calc!$E$924-500))),TEXT(INDEX('My equipment'!$P$4:$P$503,(_calc!$E$924-500)),"yyyy-mm-dd"),""))=0,"","Check by: "&amp;IF(ISNUMBER(INDEX('My equipment'!$P$4:$P$503,(_calc!$E$924-500))),TEXT(INDEX('My equipment'!$P$4:$P$503,(_calc!$E$924-500)),"yyyy-mm-dd"),"")&amp;". ")&amp;IF(LEN(IF(LEN(INDEX('My equipment'!$Q$4:$Q$503,(_calc!$E$924-500)))=0,"",INDEX('My equipment'!$Q$4:$Q$503,(_calc!$E$924-500))))=0,"","Claim status: "&amp;IF(LEN(INDEX('My equipment'!$Q$4:$Q$503,(_calc!$E$924-500)))=0,"",INDEX('My equipment'!$Q$4:$Q$503,(_calc!$E$924-500)))&amp;". ")&amp;IF(LEN(IF(LEN(INDEX('My equipment'!$R$4:$R$503,(_calc!$E$924-500)))=0,"",INDEX('My equipment'!$R$4:$R$503,(_calc!$E$924-500))))=0,"","Claims contact: "&amp;IF(LEN(INDEX('My equipment'!$R$4:$R$503,(_calc!$E$924-500)))=0,"",INDEX('My equipment'!$R$4:$R$503,(_calc!$E$924-500)))&amp;". ")&amp;IF(LEN(IF(LEN(INDEX('My equipment'!$S$4:$S$503,(_calc!$E$924-500)))=0,"",INDEX('My equipment'!$S$4:$S$503,(_calc!$E$924-500))))=0,"","Claims email: "&amp;IF(LEN(INDEX('My equipment'!$S$4:$S$503,(_calc!$E$924-500)))=0,"",INDEX('My equipment'!$S$4:$S$503,(_calc!$E$924-500)))&amp;". ")&amp;IF(LEN(IF(LEN(INDEX('My equipment'!$U$4:$U$503,(_calc!$E$924-500)))=0,"",INDEX('My equipment'!$U$4:$U$503,(_calc!$E$924-500))))=0,"","Registered: "&amp;IF(LEN(INDEX('My equipment'!$U$4:$U$503,(_calc!$E$924-500)))=0,"",INDEX('My equipment'!$U$4:$U$503,(_calc!$E$924-500)))&amp;". ")&amp;IF(LEN(IF(LEN(INDEX('My equipment'!$V$4:$V$503,(_calc!$E$924-500)))=0,"",INDEX('My equipment'!$V$4:$V$503,(_calc!$E$924-500))))=0,"","Proof on file: "&amp;IF(LEN(INDEX('My equipment'!$V$4:$V$503,(_calc!$E$924-500)))=0,"",INDEX('My equipment'!$V$4:$V$503,(_calc!$E$924-500)))&amp;". ")&amp;IF(LEN(IF(LEN(INDEX('My equipment'!$W$4:$W$503,(_calc!$E$924-500)))=0,"",INDEX('My equipment'!$W$4:$W$503,(_calc!$E$924-500))))=0,"","Claim ref: "&amp;IF(LEN(INDEX('My equipment'!$W$4:$W$503,(_calc!$E$924-500)))=0,"",INDEX('My equipment'!$W$4:$W$503,(_calc!$E$924-500)))&amp;". ")&amp;IF(LEN(IF(LEN(INDEX('My equipment'!$Y$4:$Y$503,(_calc!$E$924-500)))=0,"",INDEX('My equipment'!$Y$4:$Y$503,(_calc!$E$924-500))))=0,"",IF(LEN(INDEX('My equipment'!$Y$4:$Y$503,(_calc!$E$924-500)))=0,"",INDEX('My equipment'!$Y$4:$Y$503,(_calc!$E$924-500)))))))</f>
        <v/>
      </c>
      <c r="G922" s="54">
        <f>IF(_calc!$E$924="","",IF(_calc!$E$924&lt;=500,"",IF(LEN(INDEX('My equipment'!$X$4:$X$503,(_calc!$E$924-500)))=0,"",INDEX('My equipment'!$X$4:$X$503,(_calc!$E$924-500)))))</f>
        <v/>
      </c>
      <c r="K922" s="54">
        <f>IF(_calc!$E$924="","",IF(_calc!$E$924&lt;=500,"",IF(LEN(INDEX('My equipment'!$T$4:$T$503,(_calc!$E$924-500)))=0,"",INDEX('My equipment'!$T$4:$T$503,(_calc!$E$924-500)))))</f>
        <v/>
      </c>
    </row>
    <row r="923">
      <c r="A923" s="54">
        <f>IF(_calc!$E$925="","",IF(_calc!$E$925&lt;=500,"Warranty – "&amp;IF(LEN(INDEX('Dealer pipeline'!$C$4:$C$503,_calc!$E$925))=0,"",INDEX('Dealer pipeline'!$C$4:$C$503,_calc!$E$925))&amp;" – "&amp;IF(LEN(INDEX('Dealer pipeline'!$D$4:$D$503,_calc!$E$925))=0,"",INDEX('Dealer pipeline'!$D$4:$D$503,_calc!$E$925))&amp;" – "&amp;IF(LEN(INDEX('Dealer pipeline'!$A$4:$A$503,_calc!$E$925))=0,"",INDEX('Dealer pipeline'!$A$4:$A$503,_calc!$E$925)),"Warranty – "&amp;IF(LEN(INDEX('My equipment'!$A$4:$A$503,(_calc!$E$925-500)))=0,"",INDEX('My equipment'!$A$4:$A$503,(_calc!$E$925-500)))&amp;" – "&amp;IF(LEN(INDEX('My equipment'!$D$4:$D$503,(_calc!$E$925-500)))=0,"",INDEX('My equipment'!$D$4:$D$503,(_calc!$E$925-500)))))</f>
        <v/>
      </c>
      <c r="B923" s="54">
        <f>IF(_calc!$E$925="","",IF(_calc!$E$925&lt;=500,IF(ISNUMBER(INDEX('Dealer pipeline'!$M$4:$M$503,_calc!$E$925)),TEXT(INDEX('Dealer pipeline'!$M$4:$M$503,_calc!$E$925),"yyyy-mm-dd"),""),IF(ISNUMBER(INDEX('My equipment'!$M$4:$M$503,(_calc!$E$925-500))),TEXT(INDEX('My equipment'!$M$4:$M$503,(_calc!$E$925-500)),"yyyy-mm-dd"),"")))</f>
        <v/>
      </c>
      <c r="C923" s="54">
        <f>IF(_calc!$E$925="","",IF(_calc!$E$925&lt;=500,"Warranty","Warranty"))</f>
        <v/>
      </c>
      <c r="D923" s="54">
        <f>IF(_calc!$E$925="","",IF(_calc!$E$925&lt;=500,IF(ISNUMBER(INDEX('Dealer pipeline'!$H$4:$H$503,_calc!$E$925)),TEXT(INDEX('Dealer pipeline'!$H$4:$H$503,_calc!$E$925),"yyyy-mm-dd"),""),IF(ISNUMBER(INDEX('My equipment'!$H$4:$H$503,(_calc!$E$925-500))),TEXT(INDEX('My equipment'!$H$4:$H$503,(_calc!$E$925-500)),"yyyy-mm-dd"),"")))</f>
        <v/>
      </c>
      <c r="F923" s="54">
        <f>IF(_calc!$E$925="","",IF(_calc!$E$925&lt;=500,TRIM(IF(LEN(IF(LEN(INDEX('Dealer pipeline'!$A$4:$A$503,_calc!$E$925))=0,"",INDEX('Dealer pipeline'!$A$4:$A$503,_calc!$E$925)))=0,"","Customer: "&amp;IF(LEN(INDEX('Dealer pipeline'!$A$4:$A$503,_calc!$E$925))=0,"",INDEX('Dealer pipeline'!$A$4:$A$503,_calc!$E$925))&amp;". ")&amp;IF(LEN(IF(LEN(INDEX('Dealer pipeline'!$B$4:$B$503,_calc!$E$925))=0,"",INDEX('Dealer pipeline'!$B$4:$B$503,_calc!$E$925)))=0,"","Contact: "&amp;IF(LEN(INDEX('Dealer pipeline'!$B$4:$B$503,_calc!$E$925))=0,"",INDEX('Dealer pipeline'!$B$4:$B$503,_calc!$E$925))&amp;". ")&amp;IF(LEN(IF(LEN(INDEX('Dealer pipeline'!$D$4:$D$503,_calc!$E$925))=0,"",INDEX('Dealer pipeline'!$D$4:$D$503,_calc!$E$925)))=0,"","Serial: "&amp;IF(LEN(INDEX('Dealer pipeline'!$D$4:$D$503,_calc!$E$925))=0,"",INDEX('Dealer pipeline'!$D$4:$D$503,_calc!$E$925))&amp;". ")&amp;IF(LEN(IF(ISNUMBER(INDEX('Dealer pipeline'!$J$4:$J$503,_calc!$E$925)),TEXT(INDEX('Dealer pipeline'!$J$4:$J$503,_calc!$E$925),"yyyy-mm-dd"),""))=0,"","Parts end: "&amp;IF(ISNUMBER(INDEX('Dealer pipeline'!$J$4:$J$503,_calc!$E$925)),TEXT(INDEX('Dealer pipeline'!$J$4:$J$503,_calc!$E$925),"yyyy-mm-dd"),"")&amp;". ")&amp;IF(LEN(IF(ISNUMBER(INDEX('Dealer pipeline'!$L$4:$L$503,_calc!$E$925)),TEXT(INDEX('Dealer pipeline'!$L$4:$L$503,_calc!$E$925),"yyyy-mm-dd"),""))=0,"","Labor end: "&amp;IF(ISNUMBER(INDEX('Dealer pipeline'!$L$4:$L$503,_calc!$E$925)),TEXT(INDEX('Dealer pipeline'!$L$4:$L$503,_calc!$E$925),"yyyy-mm-dd"),"")&amp;". ")&amp;IF(LEN(IF(LEN(INDEX('Dealer pipeline'!$Q$4:$Q$503,_calc!$E$925))=0,"",INDEX('Dealer pipeline'!$Q$4:$Q$503,_calc!$E$925)))=0,"","Status: "&amp;IF(LEN(INDEX('Dealer pipeline'!$Q$4:$Q$503,_calc!$E$925))=0,"",INDEX('Dealer pipeline'!$Q$4:$Q$503,_calc!$E$925))&amp;". ")&amp;IF(LEN(IF(LEN(INDEX('Dealer pipeline'!$P$4:$P$503,_calc!$E$925))=0,"",INDEX('Dealer pipeline'!$P$4:$P$503,_calc!$E$925)))=0,"","Last touch: "&amp;IF(LEN(INDEX('Dealer pipeline'!$P$4:$P$503,_calc!$E$925))=0,"",INDEX('Dealer pipeline'!$P$4:$P$503,_calc!$E$925))&amp;". ")&amp;IF(LEN(IF(LEN(INDEX('Dealer pipeline'!$R$4:$R$503,_calc!$E$925))=0,"",INDEX('Dealer pipeline'!$R$4:$R$503,_calc!$E$925)))=0,"","Owner: "&amp;IF(LEN(INDEX('Dealer pipeline'!$R$4:$R$503,_calc!$E$925))=0,"",INDEX('Dealer pipeline'!$R$4:$R$503,_calc!$E$925))&amp;". ")&amp;IF(LEN(IF(LEN(INDEX('Dealer pipeline'!$S$4:$S$503,_calc!$E$925))=0,"",INDEX('Dealer pipeline'!$S$4:$S$503,_calc!$E$925)))=0,"","Backup: "&amp;IF(LEN(INDEX('Dealer pipeline'!$S$4:$S$503,_calc!$E$925))=0,"",INDEX('Dealer pipeline'!$S$4:$S$503,_calc!$E$925))&amp;". ")&amp;IF(LEN(IF(LEN(INDEX('Dealer pipeline'!$T$4:$T$503,_calc!$E$925))=0,"",INDEX('Dealer pipeline'!$T$4:$T$503,_calc!$E$925)))=0,"",IF(LEN(INDEX('Dealer pipeline'!$T$4:$T$503,_calc!$E$925))=0,"",INDEX('Dealer pipeline'!$T$4:$T$503,_calc!$E$925)))),TRIM(IF(LEN(IF(LEN(INDEX('My equipment'!$C$4:$C$503,(_calc!$E$925-500)))=0,"",INDEX('My equipment'!$C$4:$C$503,(_calc!$E$925-500))))=0,"","Model: "&amp;IF(LEN(INDEX('My equipment'!$C$4:$C$503,(_calc!$E$925-500)))=0,"",INDEX('My equipment'!$C$4:$C$503,(_calc!$E$925-500)))&amp;". ")&amp;IF(LEN(IF(LEN(INDEX('My equipment'!$D$4:$D$503,(_calc!$E$925-500)))=0,"",INDEX('My equipment'!$D$4:$D$503,(_calc!$E$925-500))))=0,"","Serial: "&amp;IF(LEN(INDEX('My equipment'!$D$4:$D$503,(_calc!$E$925-500)))=0,"",INDEX('My equipment'!$D$4:$D$503,(_calc!$E$925-500)))&amp;". ")&amp;IF(LEN(IF(ISNUMBER(INDEX('My equipment'!$J$4:$J$503,(_calc!$E$925-500))),TEXT(INDEX('My equipment'!$J$4:$J$503,(_calc!$E$925-500)),"yyyy-mm-dd"),""))=0,"","Parts end: "&amp;IF(ISNUMBER(INDEX('My equipment'!$J$4:$J$503,(_calc!$E$925-500))),TEXT(INDEX('My equipment'!$J$4:$J$503,(_calc!$E$925-500)),"yyyy-mm-dd"),"")&amp;". ")&amp;IF(LEN(IF(ISNUMBER(INDEX('My equipment'!$L$4:$L$503,(_calc!$E$925-500))),TEXT(INDEX('My equipment'!$L$4:$L$503,(_calc!$E$925-500)),"yyyy-mm-dd"),""))=0,"","Labor end: "&amp;IF(ISNUMBER(INDEX('My equipment'!$L$4:$L$503,(_calc!$E$925-500))),TEXT(INDEX('My equipment'!$L$4:$L$503,(_calc!$E$925-500)),"yyyy-mm-dd"),"")&amp;". ")&amp;IF(LEN(IF(ISNUMBER(INDEX('My equipment'!$P$4:$P$503,(_calc!$E$925-500))),TEXT(INDEX('My equipment'!$P$4:$P$503,(_calc!$E$925-500)),"yyyy-mm-dd"),""))=0,"","Check by: "&amp;IF(ISNUMBER(INDEX('My equipment'!$P$4:$P$503,(_calc!$E$925-500))),TEXT(INDEX('My equipment'!$P$4:$P$503,(_calc!$E$925-500)),"yyyy-mm-dd"),"")&amp;". ")&amp;IF(LEN(IF(LEN(INDEX('My equipment'!$Q$4:$Q$503,(_calc!$E$925-500)))=0,"",INDEX('My equipment'!$Q$4:$Q$503,(_calc!$E$925-500))))=0,"","Claim status: "&amp;IF(LEN(INDEX('My equipment'!$Q$4:$Q$503,(_calc!$E$925-500)))=0,"",INDEX('My equipment'!$Q$4:$Q$503,(_calc!$E$925-500)))&amp;". ")&amp;IF(LEN(IF(LEN(INDEX('My equipment'!$R$4:$R$503,(_calc!$E$925-500)))=0,"",INDEX('My equipment'!$R$4:$R$503,(_calc!$E$925-500))))=0,"","Claims contact: "&amp;IF(LEN(INDEX('My equipment'!$R$4:$R$503,(_calc!$E$925-500)))=0,"",INDEX('My equipment'!$R$4:$R$503,(_calc!$E$925-500)))&amp;". ")&amp;IF(LEN(IF(LEN(INDEX('My equipment'!$S$4:$S$503,(_calc!$E$925-500)))=0,"",INDEX('My equipment'!$S$4:$S$503,(_calc!$E$925-500))))=0,"","Claims email: "&amp;IF(LEN(INDEX('My equipment'!$S$4:$S$503,(_calc!$E$925-500)))=0,"",INDEX('My equipment'!$S$4:$S$503,(_calc!$E$925-500)))&amp;". ")&amp;IF(LEN(IF(LEN(INDEX('My equipment'!$U$4:$U$503,(_calc!$E$925-500)))=0,"",INDEX('My equipment'!$U$4:$U$503,(_calc!$E$925-500))))=0,"","Registered: "&amp;IF(LEN(INDEX('My equipment'!$U$4:$U$503,(_calc!$E$925-500)))=0,"",INDEX('My equipment'!$U$4:$U$503,(_calc!$E$925-500)))&amp;". ")&amp;IF(LEN(IF(LEN(INDEX('My equipment'!$V$4:$V$503,(_calc!$E$925-500)))=0,"",INDEX('My equipment'!$V$4:$V$503,(_calc!$E$925-500))))=0,"","Proof on file: "&amp;IF(LEN(INDEX('My equipment'!$V$4:$V$503,(_calc!$E$925-500)))=0,"",INDEX('My equipment'!$V$4:$V$503,(_calc!$E$925-500)))&amp;". ")&amp;IF(LEN(IF(LEN(INDEX('My equipment'!$W$4:$W$503,(_calc!$E$925-500)))=0,"",INDEX('My equipment'!$W$4:$W$503,(_calc!$E$925-500))))=0,"","Claim ref: "&amp;IF(LEN(INDEX('My equipment'!$W$4:$W$503,(_calc!$E$925-500)))=0,"",INDEX('My equipment'!$W$4:$W$503,(_calc!$E$925-500)))&amp;". ")&amp;IF(LEN(IF(LEN(INDEX('My equipment'!$Y$4:$Y$503,(_calc!$E$925-500)))=0,"",INDEX('My equipment'!$Y$4:$Y$503,(_calc!$E$925-500))))=0,"",IF(LEN(INDEX('My equipment'!$Y$4:$Y$503,(_calc!$E$925-500)))=0,"",INDEX('My equipment'!$Y$4:$Y$503,(_calc!$E$925-500)))))))</f>
        <v/>
      </c>
      <c r="G923" s="54">
        <f>IF(_calc!$E$925="","",IF(_calc!$E$925&lt;=500,"",IF(LEN(INDEX('My equipment'!$X$4:$X$503,(_calc!$E$925-500)))=0,"",INDEX('My equipment'!$X$4:$X$503,(_calc!$E$925-500)))))</f>
        <v/>
      </c>
      <c r="K923" s="54">
        <f>IF(_calc!$E$925="","",IF(_calc!$E$925&lt;=500,"",IF(LEN(INDEX('My equipment'!$T$4:$T$503,(_calc!$E$925-500)))=0,"",INDEX('My equipment'!$T$4:$T$503,(_calc!$E$925-500)))))</f>
        <v/>
      </c>
    </row>
    <row r="924">
      <c r="A924" s="54">
        <f>IF(_calc!$E$926="","",IF(_calc!$E$926&lt;=500,"Warranty – "&amp;IF(LEN(INDEX('Dealer pipeline'!$C$4:$C$503,_calc!$E$926))=0,"",INDEX('Dealer pipeline'!$C$4:$C$503,_calc!$E$926))&amp;" – "&amp;IF(LEN(INDEX('Dealer pipeline'!$D$4:$D$503,_calc!$E$926))=0,"",INDEX('Dealer pipeline'!$D$4:$D$503,_calc!$E$926))&amp;" – "&amp;IF(LEN(INDEX('Dealer pipeline'!$A$4:$A$503,_calc!$E$926))=0,"",INDEX('Dealer pipeline'!$A$4:$A$503,_calc!$E$926)),"Warranty – "&amp;IF(LEN(INDEX('My equipment'!$A$4:$A$503,(_calc!$E$926-500)))=0,"",INDEX('My equipment'!$A$4:$A$503,(_calc!$E$926-500)))&amp;" – "&amp;IF(LEN(INDEX('My equipment'!$D$4:$D$503,(_calc!$E$926-500)))=0,"",INDEX('My equipment'!$D$4:$D$503,(_calc!$E$926-500)))))</f>
        <v/>
      </c>
      <c r="B924" s="54">
        <f>IF(_calc!$E$926="","",IF(_calc!$E$926&lt;=500,IF(ISNUMBER(INDEX('Dealer pipeline'!$M$4:$M$503,_calc!$E$926)),TEXT(INDEX('Dealer pipeline'!$M$4:$M$503,_calc!$E$926),"yyyy-mm-dd"),""),IF(ISNUMBER(INDEX('My equipment'!$M$4:$M$503,(_calc!$E$926-500))),TEXT(INDEX('My equipment'!$M$4:$M$503,(_calc!$E$926-500)),"yyyy-mm-dd"),"")))</f>
        <v/>
      </c>
      <c r="C924" s="54">
        <f>IF(_calc!$E$926="","",IF(_calc!$E$926&lt;=500,"Warranty","Warranty"))</f>
        <v/>
      </c>
      <c r="D924" s="54">
        <f>IF(_calc!$E$926="","",IF(_calc!$E$926&lt;=500,IF(ISNUMBER(INDEX('Dealer pipeline'!$H$4:$H$503,_calc!$E$926)),TEXT(INDEX('Dealer pipeline'!$H$4:$H$503,_calc!$E$926),"yyyy-mm-dd"),""),IF(ISNUMBER(INDEX('My equipment'!$H$4:$H$503,(_calc!$E$926-500))),TEXT(INDEX('My equipment'!$H$4:$H$503,(_calc!$E$926-500)),"yyyy-mm-dd"),"")))</f>
        <v/>
      </c>
      <c r="F924" s="54">
        <f>IF(_calc!$E$926="","",IF(_calc!$E$926&lt;=500,TRIM(IF(LEN(IF(LEN(INDEX('Dealer pipeline'!$A$4:$A$503,_calc!$E$926))=0,"",INDEX('Dealer pipeline'!$A$4:$A$503,_calc!$E$926)))=0,"","Customer: "&amp;IF(LEN(INDEX('Dealer pipeline'!$A$4:$A$503,_calc!$E$926))=0,"",INDEX('Dealer pipeline'!$A$4:$A$503,_calc!$E$926))&amp;". ")&amp;IF(LEN(IF(LEN(INDEX('Dealer pipeline'!$B$4:$B$503,_calc!$E$926))=0,"",INDEX('Dealer pipeline'!$B$4:$B$503,_calc!$E$926)))=0,"","Contact: "&amp;IF(LEN(INDEX('Dealer pipeline'!$B$4:$B$503,_calc!$E$926))=0,"",INDEX('Dealer pipeline'!$B$4:$B$503,_calc!$E$926))&amp;". ")&amp;IF(LEN(IF(LEN(INDEX('Dealer pipeline'!$D$4:$D$503,_calc!$E$926))=0,"",INDEX('Dealer pipeline'!$D$4:$D$503,_calc!$E$926)))=0,"","Serial: "&amp;IF(LEN(INDEX('Dealer pipeline'!$D$4:$D$503,_calc!$E$926))=0,"",INDEX('Dealer pipeline'!$D$4:$D$503,_calc!$E$926))&amp;". ")&amp;IF(LEN(IF(ISNUMBER(INDEX('Dealer pipeline'!$J$4:$J$503,_calc!$E$926)),TEXT(INDEX('Dealer pipeline'!$J$4:$J$503,_calc!$E$926),"yyyy-mm-dd"),""))=0,"","Parts end: "&amp;IF(ISNUMBER(INDEX('Dealer pipeline'!$J$4:$J$503,_calc!$E$926)),TEXT(INDEX('Dealer pipeline'!$J$4:$J$503,_calc!$E$926),"yyyy-mm-dd"),"")&amp;". ")&amp;IF(LEN(IF(ISNUMBER(INDEX('Dealer pipeline'!$L$4:$L$503,_calc!$E$926)),TEXT(INDEX('Dealer pipeline'!$L$4:$L$503,_calc!$E$926),"yyyy-mm-dd"),""))=0,"","Labor end: "&amp;IF(ISNUMBER(INDEX('Dealer pipeline'!$L$4:$L$503,_calc!$E$926)),TEXT(INDEX('Dealer pipeline'!$L$4:$L$503,_calc!$E$926),"yyyy-mm-dd"),"")&amp;". ")&amp;IF(LEN(IF(LEN(INDEX('Dealer pipeline'!$Q$4:$Q$503,_calc!$E$926))=0,"",INDEX('Dealer pipeline'!$Q$4:$Q$503,_calc!$E$926)))=0,"","Status: "&amp;IF(LEN(INDEX('Dealer pipeline'!$Q$4:$Q$503,_calc!$E$926))=0,"",INDEX('Dealer pipeline'!$Q$4:$Q$503,_calc!$E$926))&amp;". ")&amp;IF(LEN(IF(LEN(INDEX('Dealer pipeline'!$P$4:$P$503,_calc!$E$926))=0,"",INDEX('Dealer pipeline'!$P$4:$P$503,_calc!$E$926)))=0,"","Last touch: "&amp;IF(LEN(INDEX('Dealer pipeline'!$P$4:$P$503,_calc!$E$926))=0,"",INDEX('Dealer pipeline'!$P$4:$P$503,_calc!$E$926))&amp;". ")&amp;IF(LEN(IF(LEN(INDEX('Dealer pipeline'!$R$4:$R$503,_calc!$E$926))=0,"",INDEX('Dealer pipeline'!$R$4:$R$503,_calc!$E$926)))=0,"","Owner: "&amp;IF(LEN(INDEX('Dealer pipeline'!$R$4:$R$503,_calc!$E$926))=0,"",INDEX('Dealer pipeline'!$R$4:$R$503,_calc!$E$926))&amp;". ")&amp;IF(LEN(IF(LEN(INDEX('Dealer pipeline'!$S$4:$S$503,_calc!$E$926))=0,"",INDEX('Dealer pipeline'!$S$4:$S$503,_calc!$E$926)))=0,"","Backup: "&amp;IF(LEN(INDEX('Dealer pipeline'!$S$4:$S$503,_calc!$E$926))=0,"",INDEX('Dealer pipeline'!$S$4:$S$503,_calc!$E$926))&amp;". ")&amp;IF(LEN(IF(LEN(INDEX('Dealer pipeline'!$T$4:$T$503,_calc!$E$926))=0,"",INDEX('Dealer pipeline'!$T$4:$T$503,_calc!$E$926)))=0,"",IF(LEN(INDEX('Dealer pipeline'!$T$4:$T$503,_calc!$E$926))=0,"",INDEX('Dealer pipeline'!$T$4:$T$503,_calc!$E$926)))),TRIM(IF(LEN(IF(LEN(INDEX('My equipment'!$C$4:$C$503,(_calc!$E$926-500)))=0,"",INDEX('My equipment'!$C$4:$C$503,(_calc!$E$926-500))))=0,"","Model: "&amp;IF(LEN(INDEX('My equipment'!$C$4:$C$503,(_calc!$E$926-500)))=0,"",INDEX('My equipment'!$C$4:$C$503,(_calc!$E$926-500)))&amp;". ")&amp;IF(LEN(IF(LEN(INDEX('My equipment'!$D$4:$D$503,(_calc!$E$926-500)))=0,"",INDEX('My equipment'!$D$4:$D$503,(_calc!$E$926-500))))=0,"","Serial: "&amp;IF(LEN(INDEX('My equipment'!$D$4:$D$503,(_calc!$E$926-500)))=0,"",INDEX('My equipment'!$D$4:$D$503,(_calc!$E$926-500)))&amp;". ")&amp;IF(LEN(IF(ISNUMBER(INDEX('My equipment'!$J$4:$J$503,(_calc!$E$926-500))),TEXT(INDEX('My equipment'!$J$4:$J$503,(_calc!$E$926-500)),"yyyy-mm-dd"),""))=0,"","Parts end: "&amp;IF(ISNUMBER(INDEX('My equipment'!$J$4:$J$503,(_calc!$E$926-500))),TEXT(INDEX('My equipment'!$J$4:$J$503,(_calc!$E$926-500)),"yyyy-mm-dd"),"")&amp;". ")&amp;IF(LEN(IF(ISNUMBER(INDEX('My equipment'!$L$4:$L$503,(_calc!$E$926-500))),TEXT(INDEX('My equipment'!$L$4:$L$503,(_calc!$E$926-500)),"yyyy-mm-dd"),""))=0,"","Labor end: "&amp;IF(ISNUMBER(INDEX('My equipment'!$L$4:$L$503,(_calc!$E$926-500))),TEXT(INDEX('My equipment'!$L$4:$L$503,(_calc!$E$926-500)),"yyyy-mm-dd"),"")&amp;". ")&amp;IF(LEN(IF(ISNUMBER(INDEX('My equipment'!$P$4:$P$503,(_calc!$E$926-500))),TEXT(INDEX('My equipment'!$P$4:$P$503,(_calc!$E$926-500)),"yyyy-mm-dd"),""))=0,"","Check by: "&amp;IF(ISNUMBER(INDEX('My equipment'!$P$4:$P$503,(_calc!$E$926-500))),TEXT(INDEX('My equipment'!$P$4:$P$503,(_calc!$E$926-500)),"yyyy-mm-dd"),"")&amp;". ")&amp;IF(LEN(IF(LEN(INDEX('My equipment'!$Q$4:$Q$503,(_calc!$E$926-500)))=0,"",INDEX('My equipment'!$Q$4:$Q$503,(_calc!$E$926-500))))=0,"","Claim status: "&amp;IF(LEN(INDEX('My equipment'!$Q$4:$Q$503,(_calc!$E$926-500)))=0,"",INDEX('My equipment'!$Q$4:$Q$503,(_calc!$E$926-500)))&amp;". ")&amp;IF(LEN(IF(LEN(INDEX('My equipment'!$R$4:$R$503,(_calc!$E$926-500)))=0,"",INDEX('My equipment'!$R$4:$R$503,(_calc!$E$926-500))))=0,"","Claims contact: "&amp;IF(LEN(INDEX('My equipment'!$R$4:$R$503,(_calc!$E$926-500)))=0,"",INDEX('My equipment'!$R$4:$R$503,(_calc!$E$926-500)))&amp;". ")&amp;IF(LEN(IF(LEN(INDEX('My equipment'!$S$4:$S$503,(_calc!$E$926-500)))=0,"",INDEX('My equipment'!$S$4:$S$503,(_calc!$E$926-500))))=0,"","Claims email: "&amp;IF(LEN(INDEX('My equipment'!$S$4:$S$503,(_calc!$E$926-500)))=0,"",INDEX('My equipment'!$S$4:$S$503,(_calc!$E$926-500)))&amp;". ")&amp;IF(LEN(IF(LEN(INDEX('My equipment'!$U$4:$U$503,(_calc!$E$926-500)))=0,"",INDEX('My equipment'!$U$4:$U$503,(_calc!$E$926-500))))=0,"","Registered: "&amp;IF(LEN(INDEX('My equipment'!$U$4:$U$503,(_calc!$E$926-500)))=0,"",INDEX('My equipment'!$U$4:$U$503,(_calc!$E$926-500)))&amp;". ")&amp;IF(LEN(IF(LEN(INDEX('My equipment'!$V$4:$V$503,(_calc!$E$926-500)))=0,"",INDEX('My equipment'!$V$4:$V$503,(_calc!$E$926-500))))=0,"","Proof on file: "&amp;IF(LEN(INDEX('My equipment'!$V$4:$V$503,(_calc!$E$926-500)))=0,"",INDEX('My equipment'!$V$4:$V$503,(_calc!$E$926-500)))&amp;". ")&amp;IF(LEN(IF(LEN(INDEX('My equipment'!$W$4:$W$503,(_calc!$E$926-500)))=0,"",INDEX('My equipment'!$W$4:$W$503,(_calc!$E$926-500))))=0,"","Claim ref: "&amp;IF(LEN(INDEX('My equipment'!$W$4:$W$503,(_calc!$E$926-500)))=0,"",INDEX('My equipment'!$W$4:$W$503,(_calc!$E$926-500)))&amp;". ")&amp;IF(LEN(IF(LEN(INDEX('My equipment'!$Y$4:$Y$503,(_calc!$E$926-500)))=0,"",INDEX('My equipment'!$Y$4:$Y$503,(_calc!$E$926-500))))=0,"",IF(LEN(INDEX('My equipment'!$Y$4:$Y$503,(_calc!$E$926-500)))=0,"",INDEX('My equipment'!$Y$4:$Y$503,(_calc!$E$926-500)))))))</f>
        <v/>
      </c>
      <c r="G924" s="54">
        <f>IF(_calc!$E$926="","",IF(_calc!$E$926&lt;=500,"",IF(LEN(INDEX('My equipment'!$X$4:$X$503,(_calc!$E$926-500)))=0,"",INDEX('My equipment'!$X$4:$X$503,(_calc!$E$926-500)))))</f>
        <v/>
      </c>
      <c r="K924" s="54">
        <f>IF(_calc!$E$926="","",IF(_calc!$E$926&lt;=500,"",IF(LEN(INDEX('My equipment'!$T$4:$T$503,(_calc!$E$926-500)))=0,"",INDEX('My equipment'!$T$4:$T$503,(_calc!$E$926-500)))))</f>
        <v/>
      </c>
    </row>
    <row r="925">
      <c r="A925" s="54">
        <f>IF(_calc!$E$927="","",IF(_calc!$E$927&lt;=500,"Warranty – "&amp;IF(LEN(INDEX('Dealer pipeline'!$C$4:$C$503,_calc!$E$927))=0,"",INDEX('Dealer pipeline'!$C$4:$C$503,_calc!$E$927))&amp;" – "&amp;IF(LEN(INDEX('Dealer pipeline'!$D$4:$D$503,_calc!$E$927))=0,"",INDEX('Dealer pipeline'!$D$4:$D$503,_calc!$E$927))&amp;" – "&amp;IF(LEN(INDEX('Dealer pipeline'!$A$4:$A$503,_calc!$E$927))=0,"",INDEX('Dealer pipeline'!$A$4:$A$503,_calc!$E$927)),"Warranty – "&amp;IF(LEN(INDEX('My equipment'!$A$4:$A$503,(_calc!$E$927-500)))=0,"",INDEX('My equipment'!$A$4:$A$503,(_calc!$E$927-500)))&amp;" – "&amp;IF(LEN(INDEX('My equipment'!$D$4:$D$503,(_calc!$E$927-500)))=0,"",INDEX('My equipment'!$D$4:$D$503,(_calc!$E$927-500)))))</f>
        <v/>
      </c>
      <c r="B925" s="54">
        <f>IF(_calc!$E$927="","",IF(_calc!$E$927&lt;=500,IF(ISNUMBER(INDEX('Dealer pipeline'!$M$4:$M$503,_calc!$E$927)),TEXT(INDEX('Dealer pipeline'!$M$4:$M$503,_calc!$E$927),"yyyy-mm-dd"),""),IF(ISNUMBER(INDEX('My equipment'!$M$4:$M$503,(_calc!$E$927-500))),TEXT(INDEX('My equipment'!$M$4:$M$503,(_calc!$E$927-500)),"yyyy-mm-dd"),"")))</f>
        <v/>
      </c>
      <c r="C925" s="54">
        <f>IF(_calc!$E$927="","",IF(_calc!$E$927&lt;=500,"Warranty","Warranty"))</f>
        <v/>
      </c>
      <c r="D925" s="54">
        <f>IF(_calc!$E$927="","",IF(_calc!$E$927&lt;=500,IF(ISNUMBER(INDEX('Dealer pipeline'!$H$4:$H$503,_calc!$E$927)),TEXT(INDEX('Dealer pipeline'!$H$4:$H$503,_calc!$E$927),"yyyy-mm-dd"),""),IF(ISNUMBER(INDEX('My equipment'!$H$4:$H$503,(_calc!$E$927-500))),TEXT(INDEX('My equipment'!$H$4:$H$503,(_calc!$E$927-500)),"yyyy-mm-dd"),"")))</f>
        <v/>
      </c>
      <c r="F925" s="54">
        <f>IF(_calc!$E$927="","",IF(_calc!$E$927&lt;=500,TRIM(IF(LEN(IF(LEN(INDEX('Dealer pipeline'!$A$4:$A$503,_calc!$E$927))=0,"",INDEX('Dealer pipeline'!$A$4:$A$503,_calc!$E$927)))=0,"","Customer: "&amp;IF(LEN(INDEX('Dealer pipeline'!$A$4:$A$503,_calc!$E$927))=0,"",INDEX('Dealer pipeline'!$A$4:$A$503,_calc!$E$927))&amp;". ")&amp;IF(LEN(IF(LEN(INDEX('Dealer pipeline'!$B$4:$B$503,_calc!$E$927))=0,"",INDEX('Dealer pipeline'!$B$4:$B$503,_calc!$E$927)))=0,"","Contact: "&amp;IF(LEN(INDEX('Dealer pipeline'!$B$4:$B$503,_calc!$E$927))=0,"",INDEX('Dealer pipeline'!$B$4:$B$503,_calc!$E$927))&amp;". ")&amp;IF(LEN(IF(LEN(INDEX('Dealer pipeline'!$D$4:$D$503,_calc!$E$927))=0,"",INDEX('Dealer pipeline'!$D$4:$D$503,_calc!$E$927)))=0,"","Serial: "&amp;IF(LEN(INDEX('Dealer pipeline'!$D$4:$D$503,_calc!$E$927))=0,"",INDEX('Dealer pipeline'!$D$4:$D$503,_calc!$E$927))&amp;". ")&amp;IF(LEN(IF(ISNUMBER(INDEX('Dealer pipeline'!$J$4:$J$503,_calc!$E$927)),TEXT(INDEX('Dealer pipeline'!$J$4:$J$503,_calc!$E$927),"yyyy-mm-dd"),""))=0,"","Parts end: "&amp;IF(ISNUMBER(INDEX('Dealer pipeline'!$J$4:$J$503,_calc!$E$927)),TEXT(INDEX('Dealer pipeline'!$J$4:$J$503,_calc!$E$927),"yyyy-mm-dd"),"")&amp;". ")&amp;IF(LEN(IF(ISNUMBER(INDEX('Dealer pipeline'!$L$4:$L$503,_calc!$E$927)),TEXT(INDEX('Dealer pipeline'!$L$4:$L$503,_calc!$E$927),"yyyy-mm-dd"),""))=0,"","Labor end: "&amp;IF(ISNUMBER(INDEX('Dealer pipeline'!$L$4:$L$503,_calc!$E$927)),TEXT(INDEX('Dealer pipeline'!$L$4:$L$503,_calc!$E$927),"yyyy-mm-dd"),"")&amp;". ")&amp;IF(LEN(IF(LEN(INDEX('Dealer pipeline'!$Q$4:$Q$503,_calc!$E$927))=0,"",INDEX('Dealer pipeline'!$Q$4:$Q$503,_calc!$E$927)))=0,"","Status: "&amp;IF(LEN(INDEX('Dealer pipeline'!$Q$4:$Q$503,_calc!$E$927))=0,"",INDEX('Dealer pipeline'!$Q$4:$Q$503,_calc!$E$927))&amp;". ")&amp;IF(LEN(IF(LEN(INDEX('Dealer pipeline'!$P$4:$P$503,_calc!$E$927))=0,"",INDEX('Dealer pipeline'!$P$4:$P$503,_calc!$E$927)))=0,"","Last touch: "&amp;IF(LEN(INDEX('Dealer pipeline'!$P$4:$P$503,_calc!$E$927))=0,"",INDEX('Dealer pipeline'!$P$4:$P$503,_calc!$E$927))&amp;". ")&amp;IF(LEN(IF(LEN(INDEX('Dealer pipeline'!$R$4:$R$503,_calc!$E$927))=0,"",INDEX('Dealer pipeline'!$R$4:$R$503,_calc!$E$927)))=0,"","Owner: "&amp;IF(LEN(INDEX('Dealer pipeline'!$R$4:$R$503,_calc!$E$927))=0,"",INDEX('Dealer pipeline'!$R$4:$R$503,_calc!$E$927))&amp;". ")&amp;IF(LEN(IF(LEN(INDEX('Dealer pipeline'!$S$4:$S$503,_calc!$E$927))=0,"",INDEX('Dealer pipeline'!$S$4:$S$503,_calc!$E$927)))=0,"","Backup: "&amp;IF(LEN(INDEX('Dealer pipeline'!$S$4:$S$503,_calc!$E$927))=0,"",INDEX('Dealer pipeline'!$S$4:$S$503,_calc!$E$927))&amp;". ")&amp;IF(LEN(IF(LEN(INDEX('Dealer pipeline'!$T$4:$T$503,_calc!$E$927))=0,"",INDEX('Dealer pipeline'!$T$4:$T$503,_calc!$E$927)))=0,"",IF(LEN(INDEX('Dealer pipeline'!$T$4:$T$503,_calc!$E$927))=0,"",INDEX('Dealer pipeline'!$T$4:$T$503,_calc!$E$927)))),TRIM(IF(LEN(IF(LEN(INDEX('My equipment'!$C$4:$C$503,(_calc!$E$927-500)))=0,"",INDEX('My equipment'!$C$4:$C$503,(_calc!$E$927-500))))=0,"","Model: "&amp;IF(LEN(INDEX('My equipment'!$C$4:$C$503,(_calc!$E$927-500)))=0,"",INDEX('My equipment'!$C$4:$C$503,(_calc!$E$927-500)))&amp;". ")&amp;IF(LEN(IF(LEN(INDEX('My equipment'!$D$4:$D$503,(_calc!$E$927-500)))=0,"",INDEX('My equipment'!$D$4:$D$503,(_calc!$E$927-500))))=0,"","Serial: "&amp;IF(LEN(INDEX('My equipment'!$D$4:$D$503,(_calc!$E$927-500)))=0,"",INDEX('My equipment'!$D$4:$D$503,(_calc!$E$927-500)))&amp;". ")&amp;IF(LEN(IF(ISNUMBER(INDEX('My equipment'!$J$4:$J$503,(_calc!$E$927-500))),TEXT(INDEX('My equipment'!$J$4:$J$503,(_calc!$E$927-500)),"yyyy-mm-dd"),""))=0,"","Parts end: "&amp;IF(ISNUMBER(INDEX('My equipment'!$J$4:$J$503,(_calc!$E$927-500))),TEXT(INDEX('My equipment'!$J$4:$J$503,(_calc!$E$927-500)),"yyyy-mm-dd"),"")&amp;". ")&amp;IF(LEN(IF(ISNUMBER(INDEX('My equipment'!$L$4:$L$503,(_calc!$E$927-500))),TEXT(INDEX('My equipment'!$L$4:$L$503,(_calc!$E$927-500)),"yyyy-mm-dd"),""))=0,"","Labor end: "&amp;IF(ISNUMBER(INDEX('My equipment'!$L$4:$L$503,(_calc!$E$927-500))),TEXT(INDEX('My equipment'!$L$4:$L$503,(_calc!$E$927-500)),"yyyy-mm-dd"),"")&amp;". ")&amp;IF(LEN(IF(ISNUMBER(INDEX('My equipment'!$P$4:$P$503,(_calc!$E$927-500))),TEXT(INDEX('My equipment'!$P$4:$P$503,(_calc!$E$927-500)),"yyyy-mm-dd"),""))=0,"","Check by: "&amp;IF(ISNUMBER(INDEX('My equipment'!$P$4:$P$503,(_calc!$E$927-500))),TEXT(INDEX('My equipment'!$P$4:$P$503,(_calc!$E$927-500)),"yyyy-mm-dd"),"")&amp;". ")&amp;IF(LEN(IF(LEN(INDEX('My equipment'!$Q$4:$Q$503,(_calc!$E$927-500)))=0,"",INDEX('My equipment'!$Q$4:$Q$503,(_calc!$E$927-500))))=0,"","Claim status: "&amp;IF(LEN(INDEX('My equipment'!$Q$4:$Q$503,(_calc!$E$927-500)))=0,"",INDEX('My equipment'!$Q$4:$Q$503,(_calc!$E$927-500)))&amp;". ")&amp;IF(LEN(IF(LEN(INDEX('My equipment'!$R$4:$R$503,(_calc!$E$927-500)))=0,"",INDEX('My equipment'!$R$4:$R$503,(_calc!$E$927-500))))=0,"","Claims contact: "&amp;IF(LEN(INDEX('My equipment'!$R$4:$R$503,(_calc!$E$927-500)))=0,"",INDEX('My equipment'!$R$4:$R$503,(_calc!$E$927-500)))&amp;". ")&amp;IF(LEN(IF(LEN(INDEX('My equipment'!$S$4:$S$503,(_calc!$E$927-500)))=0,"",INDEX('My equipment'!$S$4:$S$503,(_calc!$E$927-500))))=0,"","Claims email: "&amp;IF(LEN(INDEX('My equipment'!$S$4:$S$503,(_calc!$E$927-500)))=0,"",INDEX('My equipment'!$S$4:$S$503,(_calc!$E$927-500)))&amp;". ")&amp;IF(LEN(IF(LEN(INDEX('My equipment'!$U$4:$U$503,(_calc!$E$927-500)))=0,"",INDEX('My equipment'!$U$4:$U$503,(_calc!$E$927-500))))=0,"","Registered: "&amp;IF(LEN(INDEX('My equipment'!$U$4:$U$503,(_calc!$E$927-500)))=0,"",INDEX('My equipment'!$U$4:$U$503,(_calc!$E$927-500)))&amp;". ")&amp;IF(LEN(IF(LEN(INDEX('My equipment'!$V$4:$V$503,(_calc!$E$927-500)))=0,"",INDEX('My equipment'!$V$4:$V$503,(_calc!$E$927-500))))=0,"","Proof on file: "&amp;IF(LEN(INDEX('My equipment'!$V$4:$V$503,(_calc!$E$927-500)))=0,"",INDEX('My equipment'!$V$4:$V$503,(_calc!$E$927-500)))&amp;". ")&amp;IF(LEN(IF(LEN(INDEX('My equipment'!$W$4:$W$503,(_calc!$E$927-500)))=0,"",INDEX('My equipment'!$W$4:$W$503,(_calc!$E$927-500))))=0,"","Claim ref: "&amp;IF(LEN(INDEX('My equipment'!$W$4:$W$503,(_calc!$E$927-500)))=0,"",INDEX('My equipment'!$W$4:$W$503,(_calc!$E$927-500)))&amp;". ")&amp;IF(LEN(IF(LEN(INDEX('My equipment'!$Y$4:$Y$503,(_calc!$E$927-500)))=0,"",INDEX('My equipment'!$Y$4:$Y$503,(_calc!$E$927-500))))=0,"",IF(LEN(INDEX('My equipment'!$Y$4:$Y$503,(_calc!$E$927-500)))=0,"",INDEX('My equipment'!$Y$4:$Y$503,(_calc!$E$927-500)))))))</f>
        <v/>
      </c>
      <c r="G925" s="54">
        <f>IF(_calc!$E$927="","",IF(_calc!$E$927&lt;=500,"",IF(LEN(INDEX('My equipment'!$X$4:$X$503,(_calc!$E$927-500)))=0,"",INDEX('My equipment'!$X$4:$X$503,(_calc!$E$927-500)))))</f>
        <v/>
      </c>
      <c r="K925" s="54">
        <f>IF(_calc!$E$927="","",IF(_calc!$E$927&lt;=500,"",IF(LEN(INDEX('My equipment'!$T$4:$T$503,(_calc!$E$927-500)))=0,"",INDEX('My equipment'!$T$4:$T$503,(_calc!$E$927-500)))))</f>
        <v/>
      </c>
    </row>
    <row r="926">
      <c r="A926" s="54">
        <f>IF(_calc!$E$928="","",IF(_calc!$E$928&lt;=500,"Warranty – "&amp;IF(LEN(INDEX('Dealer pipeline'!$C$4:$C$503,_calc!$E$928))=0,"",INDEX('Dealer pipeline'!$C$4:$C$503,_calc!$E$928))&amp;" – "&amp;IF(LEN(INDEX('Dealer pipeline'!$D$4:$D$503,_calc!$E$928))=0,"",INDEX('Dealer pipeline'!$D$4:$D$503,_calc!$E$928))&amp;" – "&amp;IF(LEN(INDEX('Dealer pipeline'!$A$4:$A$503,_calc!$E$928))=0,"",INDEX('Dealer pipeline'!$A$4:$A$503,_calc!$E$928)),"Warranty – "&amp;IF(LEN(INDEX('My equipment'!$A$4:$A$503,(_calc!$E$928-500)))=0,"",INDEX('My equipment'!$A$4:$A$503,(_calc!$E$928-500)))&amp;" – "&amp;IF(LEN(INDEX('My equipment'!$D$4:$D$503,(_calc!$E$928-500)))=0,"",INDEX('My equipment'!$D$4:$D$503,(_calc!$E$928-500)))))</f>
        <v/>
      </c>
      <c r="B926" s="54">
        <f>IF(_calc!$E$928="","",IF(_calc!$E$928&lt;=500,IF(ISNUMBER(INDEX('Dealer pipeline'!$M$4:$M$503,_calc!$E$928)),TEXT(INDEX('Dealer pipeline'!$M$4:$M$503,_calc!$E$928),"yyyy-mm-dd"),""),IF(ISNUMBER(INDEX('My equipment'!$M$4:$M$503,(_calc!$E$928-500))),TEXT(INDEX('My equipment'!$M$4:$M$503,(_calc!$E$928-500)),"yyyy-mm-dd"),"")))</f>
        <v/>
      </c>
      <c r="C926" s="54">
        <f>IF(_calc!$E$928="","",IF(_calc!$E$928&lt;=500,"Warranty","Warranty"))</f>
        <v/>
      </c>
      <c r="D926" s="54">
        <f>IF(_calc!$E$928="","",IF(_calc!$E$928&lt;=500,IF(ISNUMBER(INDEX('Dealer pipeline'!$H$4:$H$503,_calc!$E$928)),TEXT(INDEX('Dealer pipeline'!$H$4:$H$503,_calc!$E$928),"yyyy-mm-dd"),""),IF(ISNUMBER(INDEX('My equipment'!$H$4:$H$503,(_calc!$E$928-500))),TEXT(INDEX('My equipment'!$H$4:$H$503,(_calc!$E$928-500)),"yyyy-mm-dd"),"")))</f>
        <v/>
      </c>
      <c r="F926" s="54">
        <f>IF(_calc!$E$928="","",IF(_calc!$E$928&lt;=500,TRIM(IF(LEN(IF(LEN(INDEX('Dealer pipeline'!$A$4:$A$503,_calc!$E$928))=0,"",INDEX('Dealer pipeline'!$A$4:$A$503,_calc!$E$928)))=0,"","Customer: "&amp;IF(LEN(INDEX('Dealer pipeline'!$A$4:$A$503,_calc!$E$928))=0,"",INDEX('Dealer pipeline'!$A$4:$A$503,_calc!$E$928))&amp;". ")&amp;IF(LEN(IF(LEN(INDEX('Dealer pipeline'!$B$4:$B$503,_calc!$E$928))=0,"",INDEX('Dealer pipeline'!$B$4:$B$503,_calc!$E$928)))=0,"","Contact: "&amp;IF(LEN(INDEX('Dealer pipeline'!$B$4:$B$503,_calc!$E$928))=0,"",INDEX('Dealer pipeline'!$B$4:$B$503,_calc!$E$928))&amp;". ")&amp;IF(LEN(IF(LEN(INDEX('Dealer pipeline'!$D$4:$D$503,_calc!$E$928))=0,"",INDEX('Dealer pipeline'!$D$4:$D$503,_calc!$E$928)))=0,"","Serial: "&amp;IF(LEN(INDEX('Dealer pipeline'!$D$4:$D$503,_calc!$E$928))=0,"",INDEX('Dealer pipeline'!$D$4:$D$503,_calc!$E$928))&amp;". ")&amp;IF(LEN(IF(ISNUMBER(INDEX('Dealer pipeline'!$J$4:$J$503,_calc!$E$928)),TEXT(INDEX('Dealer pipeline'!$J$4:$J$503,_calc!$E$928),"yyyy-mm-dd"),""))=0,"","Parts end: "&amp;IF(ISNUMBER(INDEX('Dealer pipeline'!$J$4:$J$503,_calc!$E$928)),TEXT(INDEX('Dealer pipeline'!$J$4:$J$503,_calc!$E$928),"yyyy-mm-dd"),"")&amp;". ")&amp;IF(LEN(IF(ISNUMBER(INDEX('Dealer pipeline'!$L$4:$L$503,_calc!$E$928)),TEXT(INDEX('Dealer pipeline'!$L$4:$L$503,_calc!$E$928),"yyyy-mm-dd"),""))=0,"","Labor end: "&amp;IF(ISNUMBER(INDEX('Dealer pipeline'!$L$4:$L$503,_calc!$E$928)),TEXT(INDEX('Dealer pipeline'!$L$4:$L$503,_calc!$E$928),"yyyy-mm-dd"),"")&amp;". ")&amp;IF(LEN(IF(LEN(INDEX('Dealer pipeline'!$Q$4:$Q$503,_calc!$E$928))=0,"",INDEX('Dealer pipeline'!$Q$4:$Q$503,_calc!$E$928)))=0,"","Status: "&amp;IF(LEN(INDEX('Dealer pipeline'!$Q$4:$Q$503,_calc!$E$928))=0,"",INDEX('Dealer pipeline'!$Q$4:$Q$503,_calc!$E$928))&amp;". ")&amp;IF(LEN(IF(LEN(INDEX('Dealer pipeline'!$P$4:$P$503,_calc!$E$928))=0,"",INDEX('Dealer pipeline'!$P$4:$P$503,_calc!$E$928)))=0,"","Last touch: "&amp;IF(LEN(INDEX('Dealer pipeline'!$P$4:$P$503,_calc!$E$928))=0,"",INDEX('Dealer pipeline'!$P$4:$P$503,_calc!$E$928))&amp;". ")&amp;IF(LEN(IF(LEN(INDEX('Dealer pipeline'!$R$4:$R$503,_calc!$E$928))=0,"",INDEX('Dealer pipeline'!$R$4:$R$503,_calc!$E$928)))=0,"","Owner: "&amp;IF(LEN(INDEX('Dealer pipeline'!$R$4:$R$503,_calc!$E$928))=0,"",INDEX('Dealer pipeline'!$R$4:$R$503,_calc!$E$928))&amp;". ")&amp;IF(LEN(IF(LEN(INDEX('Dealer pipeline'!$S$4:$S$503,_calc!$E$928))=0,"",INDEX('Dealer pipeline'!$S$4:$S$503,_calc!$E$928)))=0,"","Backup: "&amp;IF(LEN(INDEX('Dealer pipeline'!$S$4:$S$503,_calc!$E$928))=0,"",INDEX('Dealer pipeline'!$S$4:$S$503,_calc!$E$928))&amp;". ")&amp;IF(LEN(IF(LEN(INDEX('Dealer pipeline'!$T$4:$T$503,_calc!$E$928))=0,"",INDEX('Dealer pipeline'!$T$4:$T$503,_calc!$E$928)))=0,"",IF(LEN(INDEX('Dealer pipeline'!$T$4:$T$503,_calc!$E$928))=0,"",INDEX('Dealer pipeline'!$T$4:$T$503,_calc!$E$928)))),TRIM(IF(LEN(IF(LEN(INDEX('My equipment'!$C$4:$C$503,(_calc!$E$928-500)))=0,"",INDEX('My equipment'!$C$4:$C$503,(_calc!$E$928-500))))=0,"","Model: "&amp;IF(LEN(INDEX('My equipment'!$C$4:$C$503,(_calc!$E$928-500)))=0,"",INDEX('My equipment'!$C$4:$C$503,(_calc!$E$928-500)))&amp;". ")&amp;IF(LEN(IF(LEN(INDEX('My equipment'!$D$4:$D$503,(_calc!$E$928-500)))=0,"",INDEX('My equipment'!$D$4:$D$503,(_calc!$E$928-500))))=0,"","Serial: "&amp;IF(LEN(INDEX('My equipment'!$D$4:$D$503,(_calc!$E$928-500)))=0,"",INDEX('My equipment'!$D$4:$D$503,(_calc!$E$928-500)))&amp;". ")&amp;IF(LEN(IF(ISNUMBER(INDEX('My equipment'!$J$4:$J$503,(_calc!$E$928-500))),TEXT(INDEX('My equipment'!$J$4:$J$503,(_calc!$E$928-500)),"yyyy-mm-dd"),""))=0,"","Parts end: "&amp;IF(ISNUMBER(INDEX('My equipment'!$J$4:$J$503,(_calc!$E$928-500))),TEXT(INDEX('My equipment'!$J$4:$J$503,(_calc!$E$928-500)),"yyyy-mm-dd"),"")&amp;". ")&amp;IF(LEN(IF(ISNUMBER(INDEX('My equipment'!$L$4:$L$503,(_calc!$E$928-500))),TEXT(INDEX('My equipment'!$L$4:$L$503,(_calc!$E$928-500)),"yyyy-mm-dd"),""))=0,"","Labor end: "&amp;IF(ISNUMBER(INDEX('My equipment'!$L$4:$L$503,(_calc!$E$928-500))),TEXT(INDEX('My equipment'!$L$4:$L$503,(_calc!$E$928-500)),"yyyy-mm-dd"),"")&amp;". ")&amp;IF(LEN(IF(ISNUMBER(INDEX('My equipment'!$P$4:$P$503,(_calc!$E$928-500))),TEXT(INDEX('My equipment'!$P$4:$P$503,(_calc!$E$928-500)),"yyyy-mm-dd"),""))=0,"","Check by: "&amp;IF(ISNUMBER(INDEX('My equipment'!$P$4:$P$503,(_calc!$E$928-500))),TEXT(INDEX('My equipment'!$P$4:$P$503,(_calc!$E$928-500)),"yyyy-mm-dd"),"")&amp;". ")&amp;IF(LEN(IF(LEN(INDEX('My equipment'!$Q$4:$Q$503,(_calc!$E$928-500)))=0,"",INDEX('My equipment'!$Q$4:$Q$503,(_calc!$E$928-500))))=0,"","Claim status: "&amp;IF(LEN(INDEX('My equipment'!$Q$4:$Q$503,(_calc!$E$928-500)))=0,"",INDEX('My equipment'!$Q$4:$Q$503,(_calc!$E$928-500)))&amp;". ")&amp;IF(LEN(IF(LEN(INDEX('My equipment'!$R$4:$R$503,(_calc!$E$928-500)))=0,"",INDEX('My equipment'!$R$4:$R$503,(_calc!$E$928-500))))=0,"","Claims contact: "&amp;IF(LEN(INDEX('My equipment'!$R$4:$R$503,(_calc!$E$928-500)))=0,"",INDEX('My equipment'!$R$4:$R$503,(_calc!$E$928-500)))&amp;". ")&amp;IF(LEN(IF(LEN(INDEX('My equipment'!$S$4:$S$503,(_calc!$E$928-500)))=0,"",INDEX('My equipment'!$S$4:$S$503,(_calc!$E$928-500))))=0,"","Claims email: "&amp;IF(LEN(INDEX('My equipment'!$S$4:$S$503,(_calc!$E$928-500)))=0,"",INDEX('My equipment'!$S$4:$S$503,(_calc!$E$928-500)))&amp;". ")&amp;IF(LEN(IF(LEN(INDEX('My equipment'!$U$4:$U$503,(_calc!$E$928-500)))=0,"",INDEX('My equipment'!$U$4:$U$503,(_calc!$E$928-500))))=0,"","Registered: "&amp;IF(LEN(INDEX('My equipment'!$U$4:$U$503,(_calc!$E$928-500)))=0,"",INDEX('My equipment'!$U$4:$U$503,(_calc!$E$928-500)))&amp;". ")&amp;IF(LEN(IF(LEN(INDEX('My equipment'!$V$4:$V$503,(_calc!$E$928-500)))=0,"",INDEX('My equipment'!$V$4:$V$503,(_calc!$E$928-500))))=0,"","Proof on file: "&amp;IF(LEN(INDEX('My equipment'!$V$4:$V$503,(_calc!$E$928-500)))=0,"",INDEX('My equipment'!$V$4:$V$503,(_calc!$E$928-500)))&amp;". ")&amp;IF(LEN(IF(LEN(INDEX('My equipment'!$W$4:$W$503,(_calc!$E$928-500)))=0,"",INDEX('My equipment'!$W$4:$W$503,(_calc!$E$928-500))))=0,"","Claim ref: "&amp;IF(LEN(INDEX('My equipment'!$W$4:$W$503,(_calc!$E$928-500)))=0,"",INDEX('My equipment'!$W$4:$W$503,(_calc!$E$928-500)))&amp;". ")&amp;IF(LEN(IF(LEN(INDEX('My equipment'!$Y$4:$Y$503,(_calc!$E$928-500)))=0,"",INDEX('My equipment'!$Y$4:$Y$503,(_calc!$E$928-500))))=0,"",IF(LEN(INDEX('My equipment'!$Y$4:$Y$503,(_calc!$E$928-500)))=0,"",INDEX('My equipment'!$Y$4:$Y$503,(_calc!$E$928-500)))))))</f>
        <v/>
      </c>
      <c r="G926" s="54">
        <f>IF(_calc!$E$928="","",IF(_calc!$E$928&lt;=500,"",IF(LEN(INDEX('My equipment'!$X$4:$X$503,(_calc!$E$928-500)))=0,"",INDEX('My equipment'!$X$4:$X$503,(_calc!$E$928-500)))))</f>
        <v/>
      </c>
      <c r="K926" s="54">
        <f>IF(_calc!$E$928="","",IF(_calc!$E$928&lt;=500,"",IF(LEN(INDEX('My equipment'!$T$4:$T$503,(_calc!$E$928-500)))=0,"",INDEX('My equipment'!$T$4:$T$503,(_calc!$E$928-500)))))</f>
        <v/>
      </c>
    </row>
    <row r="927">
      <c r="A927" s="54">
        <f>IF(_calc!$E$929="","",IF(_calc!$E$929&lt;=500,"Warranty – "&amp;IF(LEN(INDEX('Dealer pipeline'!$C$4:$C$503,_calc!$E$929))=0,"",INDEX('Dealer pipeline'!$C$4:$C$503,_calc!$E$929))&amp;" – "&amp;IF(LEN(INDEX('Dealer pipeline'!$D$4:$D$503,_calc!$E$929))=0,"",INDEX('Dealer pipeline'!$D$4:$D$503,_calc!$E$929))&amp;" – "&amp;IF(LEN(INDEX('Dealer pipeline'!$A$4:$A$503,_calc!$E$929))=0,"",INDEX('Dealer pipeline'!$A$4:$A$503,_calc!$E$929)),"Warranty – "&amp;IF(LEN(INDEX('My equipment'!$A$4:$A$503,(_calc!$E$929-500)))=0,"",INDEX('My equipment'!$A$4:$A$503,(_calc!$E$929-500)))&amp;" – "&amp;IF(LEN(INDEX('My equipment'!$D$4:$D$503,(_calc!$E$929-500)))=0,"",INDEX('My equipment'!$D$4:$D$503,(_calc!$E$929-500)))))</f>
        <v/>
      </c>
      <c r="B927" s="54">
        <f>IF(_calc!$E$929="","",IF(_calc!$E$929&lt;=500,IF(ISNUMBER(INDEX('Dealer pipeline'!$M$4:$M$503,_calc!$E$929)),TEXT(INDEX('Dealer pipeline'!$M$4:$M$503,_calc!$E$929),"yyyy-mm-dd"),""),IF(ISNUMBER(INDEX('My equipment'!$M$4:$M$503,(_calc!$E$929-500))),TEXT(INDEX('My equipment'!$M$4:$M$503,(_calc!$E$929-500)),"yyyy-mm-dd"),"")))</f>
        <v/>
      </c>
      <c r="C927" s="54">
        <f>IF(_calc!$E$929="","",IF(_calc!$E$929&lt;=500,"Warranty","Warranty"))</f>
        <v/>
      </c>
      <c r="D927" s="54">
        <f>IF(_calc!$E$929="","",IF(_calc!$E$929&lt;=500,IF(ISNUMBER(INDEX('Dealer pipeline'!$H$4:$H$503,_calc!$E$929)),TEXT(INDEX('Dealer pipeline'!$H$4:$H$503,_calc!$E$929),"yyyy-mm-dd"),""),IF(ISNUMBER(INDEX('My equipment'!$H$4:$H$503,(_calc!$E$929-500))),TEXT(INDEX('My equipment'!$H$4:$H$503,(_calc!$E$929-500)),"yyyy-mm-dd"),"")))</f>
        <v/>
      </c>
      <c r="F927" s="54">
        <f>IF(_calc!$E$929="","",IF(_calc!$E$929&lt;=500,TRIM(IF(LEN(IF(LEN(INDEX('Dealer pipeline'!$A$4:$A$503,_calc!$E$929))=0,"",INDEX('Dealer pipeline'!$A$4:$A$503,_calc!$E$929)))=0,"","Customer: "&amp;IF(LEN(INDEX('Dealer pipeline'!$A$4:$A$503,_calc!$E$929))=0,"",INDEX('Dealer pipeline'!$A$4:$A$503,_calc!$E$929))&amp;". ")&amp;IF(LEN(IF(LEN(INDEX('Dealer pipeline'!$B$4:$B$503,_calc!$E$929))=0,"",INDEX('Dealer pipeline'!$B$4:$B$503,_calc!$E$929)))=0,"","Contact: "&amp;IF(LEN(INDEX('Dealer pipeline'!$B$4:$B$503,_calc!$E$929))=0,"",INDEX('Dealer pipeline'!$B$4:$B$503,_calc!$E$929))&amp;". ")&amp;IF(LEN(IF(LEN(INDEX('Dealer pipeline'!$D$4:$D$503,_calc!$E$929))=0,"",INDEX('Dealer pipeline'!$D$4:$D$503,_calc!$E$929)))=0,"","Serial: "&amp;IF(LEN(INDEX('Dealer pipeline'!$D$4:$D$503,_calc!$E$929))=0,"",INDEX('Dealer pipeline'!$D$4:$D$503,_calc!$E$929))&amp;". ")&amp;IF(LEN(IF(ISNUMBER(INDEX('Dealer pipeline'!$J$4:$J$503,_calc!$E$929)),TEXT(INDEX('Dealer pipeline'!$J$4:$J$503,_calc!$E$929),"yyyy-mm-dd"),""))=0,"","Parts end: "&amp;IF(ISNUMBER(INDEX('Dealer pipeline'!$J$4:$J$503,_calc!$E$929)),TEXT(INDEX('Dealer pipeline'!$J$4:$J$503,_calc!$E$929),"yyyy-mm-dd"),"")&amp;". ")&amp;IF(LEN(IF(ISNUMBER(INDEX('Dealer pipeline'!$L$4:$L$503,_calc!$E$929)),TEXT(INDEX('Dealer pipeline'!$L$4:$L$503,_calc!$E$929),"yyyy-mm-dd"),""))=0,"","Labor end: "&amp;IF(ISNUMBER(INDEX('Dealer pipeline'!$L$4:$L$503,_calc!$E$929)),TEXT(INDEX('Dealer pipeline'!$L$4:$L$503,_calc!$E$929),"yyyy-mm-dd"),"")&amp;". ")&amp;IF(LEN(IF(LEN(INDEX('Dealer pipeline'!$Q$4:$Q$503,_calc!$E$929))=0,"",INDEX('Dealer pipeline'!$Q$4:$Q$503,_calc!$E$929)))=0,"","Status: "&amp;IF(LEN(INDEX('Dealer pipeline'!$Q$4:$Q$503,_calc!$E$929))=0,"",INDEX('Dealer pipeline'!$Q$4:$Q$503,_calc!$E$929))&amp;". ")&amp;IF(LEN(IF(LEN(INDEX('Dealer pipeline'!$P$4:$P$503,_calc!$E$929))=0,"",INDEX('Dealer pipeline'!$P$4:$P$503,_calc!$E$929)))=0,"","Last touch: "&amp;IF(LEN(INDEX('Dealer pipeline'!$P$4:$P$503,_calc!$E$929))=0,"",INDEX('Dealer pipeline'!$P$4:$P$503,_calc!$E$929))&amp;". ")&amp;IF(LEN(IF(LEN(INDEX('Dealer pipeline'!$R$4:$R$503,_calc!$E$929))=0,"",INDEX('Dealer pipeline'!$R$4:$R$503,_calc!$E$929)))=0,"","Owner: "&amp;IF(LEN(INDEX('Dealer pipeline'!$R$4:$R$503,_calc!$E$929))=0,"",INDEX('Dealer pipeline'!$R$4:$R$503,_calc!$E$929))&amp;". ")&amp;IF(LEN(IF(LEN(INDEX('Dealer pipeline'!$S$4:$S$503,_calc!$E$929))=0,"",INDEX('Dealer pipeline'!$S$4:$S$503,_calc!$E$929)))=0,"","Backup: "&amp;IF(LEN(INDEX('Dealer pipeline'!$S$4:$S$503,_calc!$E$929))=0,"",INDEX('Dealer pipeline'!$S$4:$S$503,_calc!$E$929))&amp;". ")&amp;IF(LEN(IF(LEN(INDEX('Dealer pipeline'!$T$4:$T$503,_calc!$E$929))=0,"",INDEX('Dealer pipeline'!$T$4:$T$503,_calc!$E$929)))=0,"",IF(LEN(INDEX('Dealer pipeline'!$T$4:$T$503,_calc!$E$929))=0,"",INDEX('Dealer pipeline'!$T$4:$T$503,_calc!$E$929)))),TRIM(IF(LEN(IF(LEN(INDEX('My equipment'!$C$4:$C$503,(_calc!$E$929-500)))=0,"",INDEX('My equipment'!$C$4:$C$503,(_calc!$E$929-500))))=0,"","Model: "&amp;IF(LEN(INDEX('My equipment'!$C$4:$C$503,(_calc!$E$929-500)))=0,"",INDEX('My equipment'!$C$4:$C$503,(_calc!$E$929-500)))&amp;". ")&amp;IF(LEN(IF(LEN(INDEX('My equipment'!$D$4:$D$503,(_calc!$E$929-500)))=0,"",INDEX('My equipment'!$D$4:$D$503,(_calc!$E$929-500))))=0,"","Serial: "&amp;IF(LEN(INDEX('My equipment'!$D$4:$D$503,(_calc!$E$929-500)))=0,"",INDEX('My equipment'!$D$4:$D$503,(_calc!$E$929-500)))&amp;". ")&amp;IF(LEN(IF(ISNUMBER(INDEX('My equipment'!$J$4:$J$503,(_calc!$E$929-500))),TEXT(INDEX('My equipment'!$J$4:$J$503,(_calc!$E$929-500)),"yyyy-mm-dd"),""))=0,"","Parts end: "&amp;IF(ISNUMBER(INDEX('My equipment'!$J$4:$J$503,(_calc!$E$929-500))),TEXT(INDEX('My equipment'!$J$4:$J$503,(_calc!$E$929-500)),"yyyy-mm-dd"),"")&amp;". ")&amp;IF(LEN(IF(ISNUMBER(INDEX('My equipment'!$L$4:$L$503,(_calc!$E$929-500))),TEXT(INDEX('My equipment'!$L$4:$L$503,(_calc!$E$929-500)),"yyyy-mm-dd"),""))=0,"","Labor end: "&amp;IF(ISNUMBER(INDEX('My equipment'!$L$4:$L$503,(_calc!$E$929-500))),TEXT(INDEX('My equipment'!$L$4:$L$503,(_calc!$E$929-500)),"yyyy-mm-dd"),"")&amp;". ")&amp;IF(LEN(IF(ISNUMBER(INDEX('My equipment'!$P$4:$P$503,(_calc!$E$929-500))),TEXT(INDEX('My equipment'!$P$4:$P$503,(_calc!$E$929-500)),"yyyy-mm-dd"),""))=0,"","Check by: "&amp;IF(ISNUMBER(INDEX('My equipment'!$P$4:$P$503,(_calc!$E$929-500))),TEXT(INDEX('My equipment'!$P$4:$P$503,(_calc!$E$929-500)),"yyyy-mm-dd"),"")&amp;". ")&amp;IF(LEN(IF(LEN(INDEX('My equipment'!$Q$4:$Q$503,(_calc!$E$929-500)))=0,"",INDEX('My equipment'!$Q$4:$Q$503,(_calc!$E$929-500))))=0,"","Claim status: "&amp;IF(LEN(INDEX('My equipment'!$Q$4:$Q$503,(_calc!$E$929-500)))=0,"",INDEX('My equipment'!$Q$4:$Q$503,(_calc!$E$929-500)))&amp;". ")&amp;IF(LEN(IF(LEN(INDEX('My equipment'!$R$4:$R$503,(_calc!$E$929-500)))=0,"",INDEX('My equipment'!$R$4:$R$503,(_calc!$E$929-500))))=0,"","Claims contact: "&amp;IF(LEN(INDEX('My equipment'!$R$4:$R$503,(_calc!$E$929-500)))=0,"",INDEX('My equipment'!$R$4:$R$503,(_calc!$E$929-500)))&amp;". ")&amp;IF(LEN(IF(LEN(INDEX('My equipment'!$S$4:$S$503,(_calc!$E$929-500)))=0,"",INDEX('My equipment'!$S$4:$S$503,(_calc!$E$929-500))))=0,"","Claims email: "&amp;IF(LEN(INDEX('My equipment'!$S$4:$S$503,(_calc!$E$929-500)))=0,"",INDEX('My equipment'!$S$4:$S$503,(_calc!$E$929-500)))&amp;". ")&amp;IF(LEN(IF(LEN(INDEX('My equipment'!$U$4:$U$503,(_calc!$E$929-500)))=0,"",INDEX('My equipment'!$U$4:$U$503,(_calc!$E$929-500))))=0,"","Registered: "&amp;IF(LEN(INDEX('My equipment'!$U$4:$U$503,(_calc!$E$929-500)))=0,"",INDEX('My equipment'!$U$4:$U$503,(_calc!$E$929-500)))&amp;". ")&amp;IF(LEN(IF(LEN(INDEX('My equipment'!$V$4:$V$503,(_calc!$E$929-500)))=0,"",INDEX('My equipment'!$V$4:$V$503,(_calc!$E$929-500))))=0,"","Proof on file: "&amp;IF(LEN(INDEX('My equipment'!$V$4:$V$503,(_calc!$E$929-500)))=0,"",INDEX('My equipment'!$V$4:$V$503,(_calc!$E$929-500)))&amp;". ")&amp;IF(LEN(IF(LEN(INDEX('My equipment'!$W$4:$W$503,(_calc!$E$929-500)))=0,"",INDEX('My equipment'!$W$4:$W$503,(_calc!$E$929-500))))=0,"","Claim ref: "&amp;IF(LEN(INDEX('My equipment'!$W$4:$W$503,(_calc!$E$929-500)))=0,"",INDEX('My equipment'!$W$4:$W$503,(_calc!$E$929-500)))&amp;". ")&amp;IF(LEN(IF(LEN(INDEX('My equipment'!$Y$4:$Y$503,(_calc!$E$929-500)))=0,"",INDEX('My equipment'!$Y$4:$Y$503,(_calc!$E$929-500))))=0,"",IF(LEN(INDEX('My equipment'!$Y$4:$Y$503,(_calc!$E$929-500)))=0,"",INDEX('My equipment'!$Y$4:$Y$503,(_calc!$E$929-500)))))))</f>
        <v/>
      </c>
      <c r="G927" s="54">
        <f>IF(_calc!$E$929="","",IF(_calc!$E$929&lt;=500,"",IF(LEN(INDEX('My equipment'!$X$4:$X$503,(_calc!$E$929-500)))=0,"",INDEX('My equipment'!$X$4:$X$503,(_calc!$E$929-500)))))</f>
        <v/>
      </c>
      <c r="K927" s="54">
        <f>IF(_calc!$E$929="","",IF(_calc!$E$929&lt;=500,"",IF(LEN(INDEX('My equipment'!$T$4:$T$503,(_calc!$E$929-500)))=0,"",INDEX('My equipment'!$T$4:$T$503,(_calc!$E$929-500)))))</f>
        <v/>
      </c>
    </row>
    <row r="928">
      <c r="A928" s="54">
        <f>IF(_calc!$E$930="","",IF(_calc!$E$930&lt;=500,"Warranty – "&amp;IF(LEN(INDEX('Dealer pipeline'!$C$4:$C$503,_calc!$E$930))=0,"",INDEX('Dealer pipeline'!$C$4:$C$503,_calc!$E$930))&amp;" – "&amp;IF(LEN(INDEX('Dealer pipeline'!$D$4:$D$503,_calc!$E$930))=0,"",INDEX('Dealer pipeline'!$D$4:$D$503,_calc!$E$930))&amp;" – "&amp;IF(LEN(INDEX('Dealer pipeline'!$A$4:$A$503,_calc!$E$930))=0,"",INDEX('Dealer pipeline'!$A$4:$A$503,_calc!$E$930)),"Warranty – "&amp;IF(LEN(INDEX('My equipment'!$A$4:$A$503,(_calc!$E$930-500)))=0,"",INDEX('My equipment'!$A$4:$A$503,(_calc!$E$930-500)))&amp;" – "&amp;IF(LEN(INDEX('My equipment'!$D$4:$D$503,(_calc!$E$930-500)))=0,"",INDEX('My equipment'!$D$4:$D$503,(_calc!$E$930-500)))))</f>
        <v/>
      </c>
      <c r="B928" s="54">
        <f>IF(_calc!$E$930="","",IF(_calc!$E$930&lt;=500,IF(ISNUMBER(INDEX('Dealer pipeline'!$M$4:$M$503,_calc!$E$930)),TEXT(INDEX('Dealer pipeline'!$M$4:$M$503,_calc!$E$930),"yyyy-mm-dd"),""),IF(ISNUMBER(INDEX('My equipment'!$M$4:$M$503,(_calc!$E$930-500))),TEXT(INDEX('My equipment'!$M$4:$M$503,(_calc!$E$930-500)),"yyyy-mm-dd"),"")))</f>
        <v/>
      </c>
      <c r="C928" s="54">
        <f>IF(_calc!$E$930="","",IF(_calc!$E$930&lt;=500,"Warranty","Warranty"))</f>
        <v/>
      </c>
      <c r="D928" s="54">
        <f>IF(_calc!$E$930="","",IF(_calc!$E$930&lt;=500,IF(ISNUMBER(INDEX('Dealer pipeline'!$H$4:$H$503,_calc!$E$930)),TEXT(INDEX('Dealer pipeline'!$H$4:$H$503,_calc!$E$930),"yyyy-mm-dd"),""),IF(ISNUMBER(INDEX('My equipment'!$H$4:$H$503,(_calc!$E$930-500))),TEXT(INDEX('My equipment'!$H$4:$H$503,(_calc!$E$930-500)),"yyyy-mm-dd"),"")))</f>
        <v/>
      </c>
      <c r="F928" s="54">
        <f>IF(_calc!$E$930="","",IF(_calc!$E$930&lt;=500,TRIM(IF(LEN(IF(LEN(INDEX('Dealer pipeline'!$A$4:$A$503,_calc!$E$930))=0,"",INDEX('Dealer pipeline'!$A$4:$A$503,_calc!$E$930)))=0,"","Customer: "&amp;IF(LEN(INDEX('Dealer pipeline'!$A$4:$A$503,_calc!$E$930))=0,"",INDEX('Dealer pipeline'!$A$4:$A$503,_calc!$E$930))&amp;". ")&amp;IF(LEN(IF(LEN(INDEX('Dealer pipeline'!$B$4:$B$503,_calc!$E$930))=0,"",INDEX('Dealer pipeline'!$B$4:$B$503,_calc!$E$930)))=0,"","Contact: "&amp;IF(LEN(INDEX('Dealer pipeline'!$B$4:$B$503,_calc!$E$930))=0,"",INDEX('Dealer pipeline'!$B$4:$B$503,_calc!$E$930))&amp;". ")&amp;IF(LEN(IF(LEN(INDEX('Dealer pipeline'!$D$4:$D$503,_calc!$E$930))=0,"",INDEX('Dealer pipeline'!$D$4:$D$503,_calc!$E$930)))=0,"","Serial: "&amp;IF(LEN(INDEX('Dealer pipeline'!$D$4:$D$503,_calc!$E$930))=0,"",INDEX('Dealer pipeline'!$D$4:$D$503,_calc!$E$930))&amp;". ")&amp;IF(LEN(IF(ISNUMBER(INDEX('Dealer pipeline'!$J$4:$J$503,_calc!$E$930)),TEXT(INDEX('Dealer pipeline'!$J$4:$J$503,_calc!$E$930),"yyyy-mm-dd"),""))=0,"","Parts end: "&amp;IF(ISNUMBER(INDEX('Dealer pipeline'!$J$4:$J$503,_calc!$E$930)),TEXT(INDEX('Dealer pipeline'!$J$4:$J$503,_calc!$E$930),"yyyy-mm-dd"),"")&amp;". ")&amp;IF(LEN(IF(ISNUMBER(INDEX('Dealer pipeline'!$L$4:$L$503,_calc!$E$930)),TEXT(INDEX('Dealer pipeline'!$L$4:$L$503,_calc!$E$930),"yyyy-mm-dd"),""))=0,"","Labor end: "&amp;IF(ISNUMBER(INDEX('Dealer pipeline'!$L$4:$L$503,_calc!$E$930)),TEXT(INDEX('Dealer pipeline'!$L$4:$L$503,_calc!$E$930),"yyyy-mm-dd"),"")&amp;". ")&amp;IF(LEN(IF(LEN(INDEX('Dealer pipeline'!$Q$4:$Q$503,_calc!$E$930))=0,"",INDEX('Dealer pipeline'!$Q$4:$Q$503,_calc!$E$930)))=0,"","Status: "&amp;IF(LEN(INDEX('Dealer pipeline'!$Q$4:$Q$503,_calc!$E$930))=0,"",INDEX('Dealer pipeline'!$Q$4:$Q$503,_calc!$E$930))&amp;". ")&amp;IF(LEN(IF(LEN(INDEX('Dealer pipeline'!$P$4:$P$503,_calc!$E$930))=0,"",INDEX('Dealer pipeline'!$P$4:$P$503,_calc!$E$930)))=0,"","Last touch: "&amp;IF(LEN(INDEX('Dealer pipeline'!$P$4:$P$503,_calc!$E$930))=0,"",INDEX('Dealer pipeline'!$P$4:$P$503,_calc!$E$930))&amp;". ")&amp;IF(LEN(IF(LEN(INDEX('Dealer pipeline'!$R$4:$R$503,_calc!$E$930))=0,"",INDEX('Dealer pipeline'!$R$4:$R$503,_calc!$E$930)))=0,"","Owner: "&amp;IF(LEN(INDEX('Dealer pipeline'!$R$4:$R$503,_calc!$E$930))=0,"",INDEX('Dealer pipeline'!$R$4:$R$503,_calc!$E$930))&amp;". ")&amp;IF(LEN(IF(LEN(INDEX('Dealer pipeline'!$S$4:$S$503,_calc!$E$930))=0,"",INDEX('Dealer pipeline'!$S$4:$S$503,_calc!$E$930)))=0,"","Backup: "&amp;IF(LEN(INDEX('Dealer pipeline'!$S$4:$S$503,_calc!$E$930))=0,"",INDEX('Dealer pipeline'!$S$4:$S$503,_calc!$E$930))&amp;". ")&amp;IF(LEN(IF(LEN(INDEX('Dealer pipeline'!$T$4:$T$503,_calc!$E$930))=0,"",INDEX('Dealer pipeline'!$T$4:$T$503,_calc!$E$930)))=0,"",IF(LEN(INDEX('Dealer pipeline'!$T$4:$T$503,_calc!$E$930))=0,"",INDEX('Dealer pipeline'!$T$4:$T$503,_calc!$E$930)))),TRIM(IF(LEN(IF(LEN(INDEX('My equipment'!$C$4:$C$503,(_calc!$E$930-500)))=0,"",INDEX('My equipment'!$C$4:$C$503,(_calc!$E$930-500))))=0,"","Model: "&amp;IF(LEN(INDEX('My equipment'!$C$4:$C$503,(_calc!$E$930-500)))=0,"",INDEX('My equipment'!$C$4:$C$503,(_calc!$E$930-500)))&amp;". ")&amp;IF(LEN(IF(LEN(INDEX('My equipment'!$D$4:$D$503,(_calc!$E$930-500)))=0,"",INDEX('My equipment'!$D$4:$D$503,(_calc!$E$930-500))))=0,"","Serial: "&amp;IF(LEN(INDEX('My equipment'!$D$4:$D$503,(_calc!$E$930-500)))=0,"",INDEX('My equipment'!$D$4:$D$503,(_calc!$E$930-500)))&amp;". ")&amp;IF(LEN(IF(ISNUMBER(INDEX('My equipment'!$J$4:$J$503,(_calc!$E$930-500))),TEXT(INDEX('My equipment'!$J$4:$J$503,(_calc!$E$930-500)),"yyyy-mm-dd"),""))=0,"","Parts end: "&amp;IF(ISNUMBER(INDEX('My equipment'!$J$4:$J$503,(_calc!$E$930-500))),TEXT(INDEX('My equipment'!$J$4:$J$503,(_calc!$E$930-500)),"yyyy-mm-dd"),"")&amp;". ")&amp;IF(LEN(IF(ISNUMBER(INDEX('My equipment'!$L$4:$L$503,(_calc!$E$930-500))),TEXT(INDEX('My equipment'!$L$4:$L$503,(_calc!$E$930-500)),"yyyy-mm-dd"),""))=0,"","Labor end: "&amp;IF(ISNUMBER(INDEX('My equipment'!$L$4:$L$503,(_calc!$E$930-500))),TEXT(INDEX('My equipment'!$L$4:$L$503,(_calc!$E$930-500)),"yyyy-mm-dd"),"")&amp;". ")&amp;IF(LEN(IF(ISNUMBER(INDEX('My equipment'!$P$4:$P$503,(_calc!$E$930-500))),TEXT(INDEX('My equipment'!$P$4:$P$503,(_calc!$E$930-500)),"yyyy-mm-dd"),""))=0,"","Check by: "&amp;IF(ISNUMBER(INDEX('My equipment'!$P$4:$P$503,(_calc!$E$930-500))),TEXT(INDEX('My equipment'!$P$4:$P$503,(_calc!$E$930-500)),"yyyy-mm-dd"),"")&amp;". ")&amp;IF(LEN(IF(LEN(INDEX('My equipment'!$Q$4:$Q$503,(_calc!$E$930-500)))=0,"",INDEX('My equipment'!$Q$4:$Q$503,(_calc!$E$930-500))))=0,"","Claim status: "&amp;IF(LEN(INDEX('My equipment'!$Q$4:$Q$503,(_calc!$E$930-500)))=0,"",INDEX('My equipment'!$Q$4:$Q$503,(_calc!$E$930-500)))&amp;". ")&amp;IF(LEN(IF(LEN(INDEX('My equipment'!$R$4:$R$503,(_calc!$E$930-500)))=0,"",INDEX('My equipment'!$R$4:$R$503,(_calc!$E$930-500))))=0,"","Claims contact: "&amp;IF(LEN(INDEX('My equipment'!$R$4:$R$503,(_calc!$E$930-500)))=0,"",INDEX('My equipment'!$R$4:$R$503,(_calc!$E$930-500)))&amp;". ")&amp;IF(LEN(IF(LEN(INDEX('My equipment'!$S$4:$S$503,(_calc!$E$930-500)))=0,"",INDEX('My equipment'!$S$4:$S$503,(_calc!$E$930-500))))=0,"","Claims email: "&amp;IF(LEN(INDEX('My equipment'!$S$4:$S$503,(_calc!$E$930-500)))=0,"",INDEX('My equipment'!$S$4:$S$503,(_calc!$E$930-500)))&amp;". ")&amp;IF(LEN(IF(LEN(INDEX('My equipment'!$U$4:$U$503,(_calc!$E$930-500)))=0,"",INDEX('My equipment'!$U$4:$U$503,(_calc!$E$930-500))))=0,"","Registered: "&amp;IF(LEN(INDEX('My equipment'!$U$4:$U$503,(_calc!$E$930-500)))=0,"",INDEX('My equipment'!$U$4:$U$503,(_calc!$E$930-500)))&amp;". ")&amp;IF(LEN(IF(LEN(INDEX('My equipment'!$V$4:$V$503,(_calc!$E$930-500)))=0,"",INDEX('My equipment'!$V$4:$V$503,(_calc!$E$930-500))))=0,"","Proof on file: "&amp;IF(LEN(INDEX('My equipment'!$V$4:$V$503,(_calc!$E$930-500)))=0,"",INDEX('My equipment'!$V$4:$V$503,(_calc!$E$930-500)))&amp;". ")&amp;IF(LEN(IF(LEN(INDEX('My equipment'!$W$4:$W$503,(_calc!$E$930-500)))=0,"",INDEX('My equipment'!$W$4:$W$503,(_calc!$E$930-500))))=0,"","Claim ref: "&amp;IF(LEN(INDEX('My equipment'!$W$4:$W$503,(_calc!$E$930-500)))=0,"",INDEX('My equipment'!$W$4:$W$503,(_calc!$E$930-500)))&amp;". ")&amp;IF(LEN(IF(LEN(INDEX('My equipment'!$Y$4:$Y$503,(_calc!$E$930-500)))=0,"",INDEX('My equipment'!$Y$4:$Y$503,(_calc!$E$930-500))))=0,"",IF(LEN(INDEX('My equipment'!$Y$4:$Y$503,(_calc!$E$930-500)))=0,"",INDEX('My equipment'!$Y$4:$Y$503,(_calc!$E$930-500)))))))</f>
        <v/>
      </c>
      <c r="G928" s="54">
        <f>IF(_calc!$E$930="","",IF(_calc!$E$930&lt;=500,"",IF(LEN(INDEX('My equipment'!$X$4:$X$503,(_calc!$E$930-500)))=0,"",INDEX('My equipment'!$X$4:$X$503,(_calc!$E$930-500)))))</f>
        <v/>
      </c>
      <c r="K928" s="54">
        <f>IF(_calc!$E$930="","",IF(_calc!$E$930&lt;=500,"",IF(LEN(INDEX('My equipment'!$T$4:$T$503,(_calc!$E$930-500)))=0,"",INDEX('My equipment'!$T$4:$T$503,(_calc!$E$930-500)))))</f>
        <v/>
      </c>
    </row>
    <row r="929">
      <c r="A929" s="54">
        <f>IF(_calc!$E$931="","",IF(_calc!$E$931&lt;=500,"Warranty – "&amp;IF(LEN(INDEX('Dealer pipeline'!$C$4:$C$503,_calc!$E$931))=0,"",INDEX('Dealer pipeline'!$C$4:$C$503,_calc!$E$931))&amp;" – "&amp;IF(LEN(INDEX('Dealer pipeline'!$D$4:$D$503,_calc!$E$931))=0,"",INDEX('Dealer pipeline'!$D$4:$D$503,_calc!$E$931))&amp;" – "&amp;IF(LEN(INDEX('Dealer pipeline'!$A$4:$A$503,_calc!$E$931))=0,"",INDEX('Dealer pipeline'!$A$4:$A$503,_calc!$E$931)),"Warranty – "&amp;IF(LEN(INDEX('My equipment'!$A$4:$A$503,(_calc!$E$931-500)))=0,"",INDEX('My equipment'!$A$4:$A$503,(_calc!$E$931-500)))&amp;" – "&amp;IF(LEN(INDEX('My equipment'!$D$4:$D$503,(_calc!$E$931-500)))=0,"",INDEX('My equipment'!$D$4:$D$503,(_calc!$E$931-500)))))</f>
        <v/>
      </c>
      <c r="B929" s="54">
        <f>IF(_calc!$E$931="","",IF(_calc!$E$931&lt;=500,IF(ISNUMBER(INDEX('Dealer pipeline'!$M$4:$M$503,_calc!$E$931)),TEXT(INDEX('Dealer pipeline'!$M$4:$M$503,_calc!$E$931),"yyyy-mm-dd"),""),IF(ISNUMBER(INDEX('My equipment'!$M$4:$M$503,(_calc!$E$931-500))),TEXT(INDEX('My equipment'!$M$4:$M$503,(_calc!$E$931-500)),"yyyy-mm-dd"),"")))</f>
        <v/>
      </c>
      <c r="C929" s="54">
        <f>IF(_calc!$E$931="","",IF(_calc!$E$931&lt;=500,"Warranty","Warranty"))</f>
        <v/>
      </c>
      <c r="D929" s="54">
        <f>IF(_calc!$E$931="","",IF(_calc!$E$931&lt;=500,IF(ISNUMBER(INDEX('Dealer pipeline'!$H$4:$H$503,_calc!$E$931)),TEXT(INDEX('Dealer pipeline'!$H$4:$H$503,_calc!$E$931),"yyyy-mm-dd"),""),IF(ISNUMBER(INDEX('My equipment'!$H$4:$H$503,(_calc!$E$931-500))),TEXT(INDEX('My equipment'!$H$4:$H$503,(_calc!$E$931-500)),"yyyy-mm-dd"),"")))</f>
        <v/>
      </c>
      <c r="F929" s="54">
        <f>IF(_calc!$E$931="","",IF(_calc!$E$931&lt;=500,TRIM(IF(LEN(IF(LEN(INDEX('Dealer pipeline'!$A$4:$A$503,_calc!$E$931))=0,"",INDEX('Dealer pipeline'!$A$4:$A$503,_calc!$E$931)))=0,"","Customer: "&amp;IF(LEN(INDEX('Dealer pipeline'!$A$4:$A$503,_calc!$E$931))=0,"",INDEX('Dealer pipeline'!$A$4:$A$503,_calc!$E$931))&amp;". ")&amp;IF(LEN(IF(LEN(INDEX('Dealer pipeline'!$B$4:$B$503,_calc!$E$931))=0,"",INDEX('Dealer pipeline'!$B$4:$B$503,_calc!$E$931)))=0,"","Contact: "&amp;IF(LEN(INDEX('Dealer pipeline'!$B$4:$B$503,_calc!$E$931))=0,"",INDEX('Dealer pipeline'!$B$4:$B$503,_calc!$E$931))&amp;". ")&amp;IF(LEN(IF(LEN(INDEX('Dealer pipeline'!$D$4:$D$503,_calc!$E$931))=0,"",INDEX('Dealer pipeline'!$D$4:$D$503,_calc!$E$931)))=0,"","Serial: "&amp;IF(LEN(INDEX('Dealer pipeline'!$D$4:$D$503,_calc!$E$931))=0,"",INDEX('Dealer pipeline'!$D$4:$D$503,_calc!$E$931))&amp;". ")&amp;IF(LEN(IF(ISNUMBER(INDEX('Dealer pipeline'!$J$4:$J$503,_calc!$E$931)),TEXT(INDEX('Dealer pipeline'!$J$4:$J$503,_calc!$E$931),"yyyy-mm-dd"),""))=0,"","Parts end: "&amp;IF(ISNUMBER(INDEX('Dealer pipeline'!$J$4:$J$503,_calc!$E$931)),TEXT(INDEX('Dealer pipeline'!$J$4:$J$503,_calc!$E$931),"yyyy-mm-dd"),"")&amp;". ")&amp;IF(LEN(IF(ISNUMBER(INDEX('Dealer pipeline'!$L$4:$L$503,_calc!$E$931)),TEXT(INDEX('Dealer pipeline'!$L$4:$L$503,_calc!$E$931),"yyyy-mm-dd"),""))=0,"","Labor end: "&amp;IF(ISNUMBER(INDEX('Dealer pipeline'!$L$4:$L$503,_calc!$E$931)),TEXT(INDEX('Dealer pipeline'!$L$4:$L$503,_calc!$E$931),"yyyy-mm-dd"),"")&amp;". ")&amp;IF(LEN(IF(LEN(INDEX('Dealer pipeline'!$Q$4:$Q$503,_calc!$E$931))=0,"",INDEX('Dealer pipeline'!$Q$4:$Q$503,_calc!$E$931)))=0,"","Status: "&amp;IF(LEN(INDEX('Dealer pipeline'!$Q$4:$Q$503,_calc!$E$931))=0,"",INDEX('Dealer pipeline'!$Q$4:$Q$503,_calc!$E$931))&amp;". ")&amp;IF(LEN(IF(LEN(INDEX('Dealer pipeline'!$P$4:$P$503,_calc!$E$931))=0,"",INDEX('Dealer pipeline'!$P$4:$P$503,_calc!$E$931)))=0,"","Last touch: "&amp;IF(LEN(INDEX('Dealer pipeline'!$P$4:$P$503,_calc!$E$931))=0,"",INDEX('Dealer pipeline'!$P$4:$P$503,_calc!$E$931))&amp;". ")&amp;IF(LEN(IF(LEN(INDEX('Dealer pipeline'!$R$4:$R$503,_calc!$E$931))=0,"",INDEX('Dealer pipeline'!$R$4:$R$503,_calc!$E$931)))=0,"","Owner: "&amp;IF(LEN(INDEX('Dealer pipeline'!$R$4:$R$503,_calc!$E$931))=0,"",INDEX('Dealer pipeline'!$R$4:$R$503,_calc!$E$931))&amp;". ")&amp;IF(LEN(IF(LEN(INDEX('Dealer pipeline'!$S$4:$S$503,_calc!$E$931))=0,"",INDEX('Dealer pipeline'!$S$4:$S$503,_calc!$E$931)))=0,"","Backup: "&amp;IF(LEN(INDEX('Dealer pipeline'!$S$4:$S$503,_calc!$E$931))=0,"",INDEX('Dealer pipeline'!$S$4:$S$503,_calc!$E$931))&amp;". ")&amp;IF(LEN(IF(LEN(INDEX('Dealer pipeline'!$T$4:$T$503,_calc!$E$931))=0,"",INDEX('Dealer pipeline'!$T$4:$T$503,_calc!$E$931)))=0,"",IF(LEN(INDEX('Dealer pipeline'!$T$4:$T$503,_calc!$E$931))=0,"",INDEX('Dealer pipeline'!$T$4:$T$503,_calc!$E$931)))),TRIM(IF(LEN(IF(LEN(INDEX('My equipment'!$C$4:$C$503,(_calc!$E$931-500)))=0,"",INDEX('My equipment'!$C$4:$C$503,(_calc!$E$931-500))))=0,"","Model: "&amp;IF(LEN(INDEX('My equipment'!$C$4:$C$503,(_calc!$E$931-500)))=0,"",INDEX('My equipment'!$C$4:$C$503,(_calc!$E$931-500)))&amp;". ")&amp;IF(LEN(IF(LEN(INDEX('My equipment'!$D$4:$D$503,(_calc!$E$931-500)))=0,"",INDEX('My equipment'!$D$4:$D$503,(_calc!$E$931-500))))=0,"","Serial: "&amp;IF(LEN(INDEX('My equipment'!$D$4:$D$503,(_calc!$E$931-500)))=0,"",INDEX('My equipment'!$D$4:$D$503,(_calc!$E$931-500)))&amp;". ")&amp;IF(LEN(IF(ISNUMBER(INDEX('My equipment'!$J$4:$J$503,(_calc!$E$931-500))),TEXT(INDEX('My equipment'!$J$4:$J$503,(_calc!$E$931-500)),"yyyy-mm-dd"),""))=0,"","Parts end: "&amp;IF(ISNUMBER(INDEX('My equipment'!$J$4:$J$503,(_calc!$E$931-500))),TEXT(INDEX('My equipment'!$J$4:$J$503,(_calc!$E$931-500)),"yyyy-mm-dd"),"")&amp;". ")&amp;IF(LEN(IF(ISNUMBER(INDEX('My equipment'!$L$4:$L$503,(_calc!$E$931-500))),TEXT(INDEX('My equipment'!$L$4:$L$503,(_calc!$E$931-500)),"yyyy-mm-dd"),""))=0,"","Labor end: "&amp;IF(ISNUMBER(INDEX('My equipment'!$L$4:$L$503,(_calc!$E$931-500))),TEXT(INDEX('My equipment'!$L$4:$L$503,(_calc!$E$931-500)),"yyyy-mm-dd"),"")&amp;". ")&amp;IF(LEN(IF(ISNUMBER(INDEX('My equipment'!$P$4:$P$503,(_calc!$E$931-500))),TEXT(INDEX('My equipment'!$P$4:$P$503,(_calc!$E$931-500)),"yyyy-mm-dd"),""))=0,"","Check by: "&amp;IF(ISNUMBER(INDEX('My equipment'!$P$4:$P$503,(_calc!$E$931-500))),TEXT(INDEX('My equipment'!$P$4:$P$503,(_calc!$E$931-500)),"yyyy-mm-dd"),"")&amp;". ")&amp;IF(LEN(IF(LEN(INDEX('My equipment'!$Q$4:$Q$503,(_calc!$E$931-500)))=0,"",INDEX('My equipment'!$Q$4:$Q$503,(_calc!$E$931-500))))=0,"","Claim status: "&amp;IF(LEN(INDEX('My equipment'!$Q$4:$Q$503,(_calc!$E$931-500)))=0,"",INDEX('My equipment'!$Q$4:$Q$503,(_calc!$E$931-500)))&amp;". ")&amp;IF(LEN(IF(LEN(INDEX('My equipment'!$R$4:$R$503,(_calc!$E$931-500)))=0,"",INDEX('My equipment'!$R$4:$R$503,(_calc!$E$931-500))))=0,"","Claims contact: "&amp;IF(LEN(INDEX('My equipment'!$R$4:$R$503,(_calc!$E$931-500)))=0,"",INDEX('My equipment'!$R$4:$R$503,(_calc!$E$931-500)))&amp;". ")&amp;IF(LEN(IF(LEN(INDEX('My equipment'!$S$4:$S$503,(_calc!$E$931-500)))=0,"",INDEX('My equipment'!$S$4:$S$503,(_calc!$E$931-500))))=0,"","Claims email: "&amp;IF(LEN(INDEX('My equipment'!$S$4:$S$503,(_calc!$E$931-500)))=0,"",INDEX('My equipment'!$S$4:$S$503,(_calc!$E$931-500)))&amp;". ")&amp;IF(LEN(IF(LEN(INDEX('My equipment'!$U$4:$U$503,(_calc!$E$931-500)))=0,"",INDEX('My equipment'!$U$4:$U$503,(_calc!$E$931-500))))=0,"","Registered: "&amp;IF(LEN(INDEX('My equipment'!$U$4:$U$503,(_calc!$E$931-500)))=0,"",INDEX('My equipment'!$U$4:$U$503,(_calc!$E$931-500)))&amp;". ")&amp;IF(LEN(IF(LEN(INDEX('My equipment'!$V$4:$V$503,(_calc!$E$931-500)))=0,"",INDEX('My equipment'!$V$4:$V$503,(_calc!$E$931-500))))=0,"","Proof on file: "&amp;IF(LEN(INDEX('My equipment'!$V$4:$V$503,(_calc!$E$931-500)))=0,"",INDEX('My equipment'!$V$4:$V$503,(_calc!$E$931-500)))&amp;". ")&amp;IF(LEN(IF(LEN(INDEX('My equipment'!$W$4:$W$503,(_calc!$E$931-500)))=0,"",INDEX('My equipment'!$W$4:$W$503,(_calc!$E$931-500))))=0,"","Claim ref: "&amp;IF(LEN(INDEX('My equipment'!$W$4:$W$503,(_calc!$E$931-500)))=0,"",INDEX('My equipment'!$W$4:$W$503,(_calc!$E$931-500)))&amp;". ")&amp;IF(LEN(IF(LEN(INDEX('My equipment'!$Y$4:$Y$503,(_calc!$E$931-500)))=0,"",INDEX('My equipment'!$Y$4:$Y$503,(_calc!$E$931-500))))=0,"",IF(LEN(INDEX('My equipment'!$Y$4:$Y$503,(_calc!$E$931-500)))=0,"",INDEX('My equipment'!$Y$4:$Y$503,(_calc!$E$931-500)))))))</f>
        <v/>
      </c>
      <c r="G929" s="54">
        <f>IF(_calc!$E$931="","",IF(_calc!$E$931&lt;=500,"",IF(LEN(INDEX('My equipment'!$X$4:$X$503,(_calc!$E$931-500)))=0,"",INDEX('My equipment'!$X$4:$X$503,(_calc!$E$931-500)))))</f>
        <v/>
      </c>
      <c r="K929" s="54">
        <f>IF(_calc!$E$931="","",IF(_calc!$E$931&lt;=500,"",IF(LEN(INDEX('My equipment'!$T$4:$T$503,(_calc!$E$931-500)))=0,"",INDEX('My equipment'!$T$4:$T$503,(_calc!$E$931-500)))))</f>
        <v/>
      </c>
    </row>
    <row r="930">
      <c r="A930" s="54">
        <f>IF(_calc!$E$932="","",IF(_calc!$E$932&lt;=500,"Warranty – "&amp;IF(LEN(INDEX('Dealer pipeline'!$C$4:$C$503,_calc!$E$932))=0,"",INDEX('Dealer pipeline'!$C$4:$C$503,_calc!$E$932))&amp;" – "&amp;IF(LEN(INDEX('Dealer pipeline'!$D$4:$D$503,_calc!$E$932))=0,"",INDEX('Dealer pipeline'!$D$4:$D$503,_calc!$E$932))&amp;" – "&amp;IF(LEN(INDEX('Dealer pipeline'!$A$4:$A$503,_calc!$E$932))=0,"",INDEX('Dealer pipeline'!$A$4:$A$503,_calc!$E$932)),"Warranty – "&amp;IF(LEN(INDEX('My equipment'!$A$4:$A$503,(_calc!$E$932-500)))=0,"",INDEX('My equipment'!$A$4:$A$503,(_calc!$E$932-500)))&amp;" – "&amp;IF(LEN(INDEX('My equipment'!$D$4:$D$503,(_calc!$E$932-500)))=0,"",INDEX('My equipment'!$D$4:$D$503,(_calc!$E$932-500)))))</f>
        <v/>
      </c>
      <c r="B930" s="54">
        <f>IF(_calc!$E$932="","",IF(_calc!$E$932&lt;=500,IF(ISNUMBER(INDEX('Dealer pipeline'!$M$4:$M$503,_calc!$E$932)),TEXT(INDEX('Dealer pipeline'!$M$4:$M$503,_calc!$E$932),"yyyy-mm-dd"),""),IF(ISNUMBER(INDEX('My equipment'!$M$4:$M$503,(_calc!$E$932-500))),TEXT(INDEX('My equipment'!$M$4:$M$503,(_calc!$E$932-500)),"yyyy-mm-dd"),"")))</f>
        <v/>
      </c>
      <c r="C930" s="54">
        <f>IF(_calc!$E$932="","",IF(_calc!$E$932&lt;=500,"Warranty","Warranty"))</f>
        <v/>
      </c>
      <c r="D930" s="54">
        <f>IF(_calc!$E$932="","",IF(_calc!$E$932&lt;=500,IF(ISNUMBER(INDEX('Dealer pipeline'!$H$4:$H$503,_calc!$E$932)),TEXT(INDEX('Dealer pipeline'!$H$4:$H$503,_calc!$E$932),"yyyy-mm-dd"),""),IF(ISNUMBER(INDEX('My equipment'!$H$4:$H$503,(_calc!$E$932-500))),TEXT(INDEX('My equipment'!$H$4:$H$503,(_calc!$E$932-500)),"yyyy-mm-dd"),"")))</f>
        <v/>
      </c>
      <c r="F930" s="54">
        <f>IF(_calc!$E$932="","",IF(_calc!$E$932&lt;=500,TRIM(IF(LEN(IF(LEN(INDEX('Dealer pipeline'!$A$4:$A$503,_calc!$E$932))=0,"",INDEX('Dealer pipeline'!$A$4:$A$503,_calc!$E$932)))=0,"","Customer: "&amp;IF(LEN(INDEX('Dealer pipeline'!$A$4:$A$503,_calc!$E$932))=0,"",INDEX('Dealer pipeline'!$A$4:$A$503,_calc!$E$932))&amp;". ")&amp;IF(LEN(IF(LEN(INDEX('Dealer pipeline'!$B$4:$B$503,_calc!$E$932))=0,"",INDEX('Dealer pipeline'!$B$4:$B$503,_calc!$E$932)))=0,"","Contact: "&amp;IF(LEN(INDEX('Dealer pipeline'!$B$4:$B$503,_calc!$E$932))=0,"",INDEX('Dealer pipeline'!$B$4:$B$503,_calc!$E$932))&amp;". ")&amp;IF(LEN(IF(LEN(INDEX('Dealer pipeline'!$D$4:$D$503,_calc!$E$932))=0,"",INDEX('Dealer pipeline'!$D$4:$D$503,_calc!$E$932)))=0,"","Serial: "&amp;IF(LEN(INDEX('Dealer pipeline'!$D$4:$D$503,_calc!$E$932))=0,"",INDEX('Dealer pipeline'!$D$4:$D$503,_calc!$E$932))&amp;". ")&amp;IF(LEN(IF(ISNUMBER(INDEX('Dealer pipeline'!$J$4:$J$503,_calc!$E$932)),TEXT(INDEX('Dealer pipeline'!$J$4:$J$503,_calc!$E$932),"yyyy-mm-dd"),""))=0,"","Parts end: "&amp;IF(ISNUMBER(INDEX('Dealer pipeline'!$J$4:$J$503,_calc!$E$932)),TEXT(INDEX('Dealer pipeline'!$J$4:$J$503,_calc!$E$932),"yyyy-mm-dd"),"")&amp;". ")&amp;IF(LEN(IF(ISNUMBER(INDEX('Dealer pipeline'!$L$4:$L$503,_calc!$E$932)),TEXT(INDEX('Dealer pipeline'!$L$4:$L$503,_calc!$E$932),"yyyy-mm-dd"),""))=0,"","Labor end: "&amp;IF(ISNUMBER(INDEX('Dealer pipeline'!$L$4:$L$503,_calc!$E$932)),TEXT(INDEX('Dealer pipeline'!$L$4:$L$503,_calc!$E$932),"yyyy-mm-dd"),"")&amp;". ")&amp;IF(LEN(IF(LEN(INDEX('Dealer pipeline'!$Q$4:$Q$503,_calc!$E$932))=0,"",INDEX('Dealer pipeline'!$Q$4:$Q$503,_calc!$E$932)))=0,"","Status: "&amp;IF(LEN(INDEX('Dealer pipeline'!$Q$4:$Q$503,_calc!$E$932))=0,"",INDEX('Dealer pipeline'!$Q$4:$Q$503,_calc!$E$932))&amp;". ")&amp;IF(LEN(IF(LEN(INDEX('Dealer pipeline'!$P$4:$P$503,_calc!$E$932))=0,"",INDEX('Dealer pipeline'!$P$4:$P$503,_calc!$E$932)))=0,"","Last touch: "&amp;IF(LEN(INDEX('Dealer pipeline'!$P$4:$P$503,_calc!$E$932))=0,"",INDEX('Dealer pipeline'!$P$4:$P$503,_calc!$E$932))&amp;". ")&amp;IF(LEN(IF(LEN(INDEX('Dealer pipeline'!$R$4:$R$503,_calc!$E$932))=0,"",INDEX('Dealer pipeline'!$R$4:$R$503,_calc!$E$932)))=0,"","Owner: "&amp;IF(LEN(INDEX('Dealer pipeline'!$R$4:$R$503,_calc!$E$932))=0,"",INDEX('Dealer pipeline'!$R$4:$R$503,_calc!$E$932))&amp;". ")&amp;IF(LEN(IF(LEN(INDEX('Dealer pipeline'!$S$4:$S$503,_calc!$E$932))=0,"",INDEX('Dealer pipeline'!$S$4:$S$503,_calc!$E$932)))=0,"","Backup: "&amp;IF(LEN(INDEX('Dealer pipeline'!$S$4:$S$503,_calc!$E$932))=0,"",INDEX('Dealer pipeline'!$S$4:$S$503,_calc!$E$932))&amp;". ")&amp;IF(LEN(IF(LEN(INDEX('Dealer pipeline'!$T$4:$T$503,_calc!$E$932))=0,"",INDEX('Dealer pipeline'!$T$4:$T$503,_calc!$E$932)))=0,"",IF(LEN(INDEX('Dealer pipeline'!$T$4:$T$503,_calc!$E$932))=0,"",INDEX('Dealer pipeline'!$T$4:$T$503,_calc!$E$932)))),TRIM(IF(LEN(IF(LEN(INDEX('My equipment'!$C$4:$C$503,(_calc!$E$932-500)))=0,"",INDEX('My equipment'!$C$4:$C$503,(_calc!$E$932-500))))=0,"","Model: "&amp;IF(LEN(INDEX('My equipment'!$C$4:$C$503,(_calc!$E$932-500)))=0,"",INDEX('My equipment'!$C$4:$C$503,(_calc!$E$932-500)))&amp;". ")&amp;IF(LEN(IF(LEN(INDEX('My equipment'!$D$4:$D$503,(_calc!$E$932-500)))=0,"",INDEX('My equipment'!$D$4:$D$503,(_calc!$E$932-500))))=0,"","Serial: "&amp;IF(LEN(INDEX('My equipment'!$D$4:$D$503,(_calc!$E$932-500)))=0,"",INDEX('My equipment'!$D$4:$D$503,(_calc!$E$932-500)))&amp;". ")&amp;IF(LEN(IF(ISNUMBER(INDEX('My equipment'!$J$4:$J$503,(_calc!$E$932-500))),TEXT(INDEX('My equipment'!$J$4:$J$503,(_calc!$E$932-500)),"yyyy-mm-dd"),""))=0,"","Parts end: "&amp;IF(ISNUMBER(INDEX('My equipment'!$J$4:$J$503,(_calc!$E$932-500))),TEXT(INDEX('My equipment'!$J$4:$J$503,(_calc!$E$932-500)),"yyyy-mm-dd"),"")&amp;". ")&amp;IF(LEN(IF(ISNUMBER(INDEX('My equipment'!$L$4:$L$503,(_calc!$E$932-500))),TEXT(INDEX('My equipment'!$L$4:$L$503,(_calc!$E$932-500)),"yyyy-mm-dd"),""))=0,"","Labor end: "&amp;IF(ISNUMBER(INDEX('My equipment'!$L$4:$L$503,(_calc!$E$932-500))),TEXT(INDEX('My equipment'!$L$4:$L$503,(_calc!$E$932-500)),"yyyy-mm-dd"),"")&amp;". ")&amp;IF(LEN(IF(ISNUMBER(INDEX('My equipment'!$P$4:$P$503,(_calc!$E$932-500))),TEXT(INDEX('My equipment'!$P$4:$P$503,(_calc!$E$932-500)),"yyyy-mm-dd"),""))=0,"","Check by: "&amp;IF(ISNUMBER(INDEX('My equipment'!$P$4:$P$503,(_calc!$E$932-500))),TEXT(INDEX('My equipment'!$P$4:$P$503,(_calc!$E$932-500)),"yyyy-mm-dd"),"")&amp;". ")&amp;IF(LEN(IF(LEN(INDEX('My equipment'!$Q$4:$Q$503,(_calc!$E$932-500)))=0,"",INDEX('My equipment'!$Q$4:$Q$503,(_calc!$E$932-500))))=0,"","Claim status: "&amp;IF(LEN(INDEX('My equipment'!$Q$4:$Q$503,(_calc!$E$932-500)))=0,"",INDEX('My equipment'!$Q$4:$Q$503,(_calc!$E$932-500)))&amp;". ")&amp;IF(LEN(IF(LEN(INDEX('My equipment'!$R$4:$R$503,(_calc!$E$932-500)))=0,"",INDEX('My equipment'!$R$4:$R$503,(_calc!$E$932-500))))=0,"","Claims contact: "&amp;IF(LEN(INDEX('My equipment'!$R$4:$R$503,(_calc!$E$932-500)))=0,"",INDEX('My equipment'!$R$4:$R$503,(_calc!$E$932-500)))&amp;". ")&amp;IF(LEN(IF(LEN(INDEX('My equipment'!$S$4:$S$503,(_calc!$E$932-500)))=0,"",INDEX('My equipment'!$S$4:$S$503,(_calc!$E$932-500))))=0,"","Claims email: "&amp;IF(LEN(INDEX('My equipment'!$S$4:$S$503,(_calc!$E$932-500)))=0,"",INDEX('My equipment'!$S$4:$S$503,(_calc!$E$932-500)))&amp;". ")&amp;IF(LEN(IF(LEN(INDEX('My equipment'!$U$4:$U$503,(_calc!$E$932-500)))=0,"",INDEX('My equipment'!$U$4:$U$503,(_calc!$E$932-500))))=0,"","Registered: "&amp;IF(LEN(INDEX('My equipment'!$U$4:$U$503,(_calc!$E$932-500)))=0,"",INDEX('My equipment'!$U$4:$U$503,(_calc!$E$932-500)))&amp;". ")&amp;IF(LEN(IF(LEN(INDEX('My equipment'!$V$4:$V$503,(_calc!$E$932-500)))=0,"",INDEX('My equipment'!$V$4:$V$503,(_calc!$E$932-500))))=0,"","Proof on file: "&amp;IF(LEN(INDEX('My equipment'!$V$4:$V$503,(_calc!$E$932-500)))=0,"",INDEX('My equipment'!$V$4:$V$503,(_calc!$E$932-500)))&amp;". ")&amp;IF(LEN(IF(LEN(INDEX('My equipment'!$W$4:$W$503,(_calc!$E$932-500)))=0,"",INDEX('My equipment'!$W$4:$W$503,(_calc!$E$932-500))))=0,"","Claim ref: "&amp;IF(LEN(INDEX('My equipment'!$W$4:$W$503,(_calc!$E$932-500)))=0,"",INDEX('My equipment'!$W$4:$W$503,(_calc!$E$932-500)))&amp;". ")&amp;IF(LEN(IF(LEN(INDEX('My equipment'!$Y$4:$Y$503,(_calc!$E$932-500)))=0,"",INDEX('My equipment'!$Y$4:$Y$503,(_calc!$E$932-500))))=0,"",IF(LEN(INDEX('My equipment'!$Y$4:$Y$503,(_calc!$E$932-500)))=0,"",INDEX('My equipment'!$Y$4:$Y$503,(_calc!$E$932-500)))))))</f>
        <v/>
      </c>
      <c r="G930" s="54">
        <f>IF(_calc!$E$932="","",IF(_calc!$E$932&lt;=500,"",IF(LEN(INDEX('My equipment'!$X$4:$X$503,(_calc!$E$932-500)))=0,"",INDEX('My equipment'!$X$4:$X$503,(_calc!$E$932-500)))))</f>
        <v/>
      </c>
      <c r="K930" s="54">
        <f>IF(_calc!$E$932="","",IF(_calc!$E$932&lt;=500,"",IF(LEN(INDEX('My equipment'!$T$4:$T$503,(_calc!$E$932-500)))=0,"",INDEX('My equipment'!$T$4:$T$503,(_calc!$E$932-500)))))</f>
        <v/>
      </c>
    </row>
    <row r="931">
      <c r="A931" s="54">
        <f>IF(_calc!$E$933="","",IF(_calc!$E$933&lt;=500,"Warranty – "&amp;IF(LEN(INDEX('Dealer pipeline'!$C$4:$C$503,_calc!$E$933))=0,"",INDEX('Dealer pipeline'!$C$4:$C$503,_calc!$E$933))&amp;" – "&amp;IF(LEN(INDEX('Dealer pipeline'!$D$4:$D$503,_calc!$E$933))=0,"",INDEX('Dealer pipeline'!$D$4:$D$503,_calc!$E$933))&amp;" – "&amp;IF(LEN(INDEX('Dealer pipeline'!$A$4:$A$503,_calc!$E$933))=0,"",INDEX('Dealer pipeline'!$A$4:$A$503,_calc!$E$933)),"Warranty – "&amp;IF(LEN(INDEX('My equipment'!$A$4:$A$503,(_calc!$E$933-500)))=0,"",INDEX('My equipment'!$A$4:$A$503,(_calc!$E$933-500)))&amp;" – "&amp;IF(LEN(INDEX('My equipment'!$D$4:$D$503,(_calc!$E$933-500)))=0,"",INDEX('My equipment'!$D$4:$D$503,(_calc!$E$933-500)))))</f>
        <v/>
      </c>
      <c r="B931" s="54">
        <f>IF(_calc!$E$933="","",IF(_calc!$E$933&lt;=500,IF(ISNUMBER(INDEX('Dealer pipeline'!$M$4:$M$503,_calc!$E$933)),TEXT(INDEX('Dealer pipeline'!$M$4:$M$503,_calc!$E$933),"yyyy-mm-dd"),""),IF(ISNUMBER(INDEX('My equipment'!$M$4:$M$503,(_calc!$E$933-500))),TEXT(INDEX('My equipment'!$M$4:$M$503,(_calc!$E$933-500)),"yyyy-mm-dd"),"")))</f>
        <v/>
      </c>
      <c r="C931" s="54">
        <f>IF(_calc!$E$933="","",IF(_calc!$E$933&lt;=500,"Warranty","Warranty"))</f>
        <v/>
      </c>
      <c r="D931" s="54">
        <f>IF(_calc!$E$933="","",IF(_calc!$E$933&lt;=500,IF(ISNUMBER(INDEX('Dealer pipeline'!$H$4:$H$503,_calc!$E$933)),TEXT(INDEX('Dealer pipeline'!$H$4:$H$503,_calc!$E$933),"yyyy-mm-dd"),""),IF(ISNUMBER(INDEX('My equipment'!$H$4:$H$503,(_calc!$E$933-500))),TEXT(INDEX('My equipment'!$H$4:$H$503,(_calc!$E$933-500)),"yyyy-mm-dd"),"")))</f>
        <v/>
      </c>
      <c r="F931" s="54">
        <f>IF(_calc!$E$933="","",IF(_calc!$E$933&lt;=500,TRIM(IF(LEN(IF(LEN(INDEX('Dealer pipeline'!$A$4:$A$503,_calc!$E$933))=0,"",INDEX('Dealer pipeline'!$A$4:$A$503,_calc!$E$933)))=0,"","Customer: "&amp;IF(LEN(INDEX('Dealer pipeline'!$A$4:$A$503,_calc!$E$933))=0,"",INDEX('Dealer pipeline'!$A$4:$A$503,_calc!$E$933))&amp;". ")&amp;IF(LEN(IF(LEN(INDEX('Dealer pipeline'!$B$4:$B$503,_calc!$E$933))=0,"",INDEX('Dealer pipeline'!$B$4:$B$503,_calc!$E$933)))=0,"","Contact: "&amp;IF(LEN(INDEX('Dealer pipeline'!$B$4:$B$503,_calc!$E$933))=0,"",INDEX('Dealer pipeline'!$B$4:$B$503,_calc!$E$933))&amp;". ")&amp;IF(LEN(IF(LEN(INDEX('Dealer pipeline'!$D$4:$D$503,_calc!$E$933))=0,"",INDEX('Dealer pipeline'!$D$4:$D$503,_calc!$E$933)))=0,"","Serial: "&amp;IF(LEN(INDEX('Dealer pipeline'!$D$4:$D$503,_calc!$E$933))=0,"",INDEX('Dealer pipeline'!$D$4:$D$503,_calc!$E$933))&amp;". ")&amp;IF(LEN(IF(ISNUMBER(INDEX('Dealer pipeline'!$J$4:$J$503,_calc!$E$933)),TEXT(INDEX('Dealer pipeline'!$J$4:$J$503,_calc!$E$933),"yyyy-mm-dd"),""))=0,"","Parts end: "&amp;IF(ISNUMBER(INDEX('Dealer pipeline'!$J$4:$J$503,_calc!$E$933)),TEXT(INDEX('Dealer pipeline'!$J$4:$J$503,_calc!$E$933),"yyyy-mm-dd"),"")&amp;". ")&amp;IF(LEN(IF(ISNUMBER(INDEX('Dealer pipeline'!$L$4:$L$503,_calc!$E$933)),TEXT(INDEX('Dealer pipeline'!$L$4:$L$503,_calc!$E$933),"yyyy-mm-dd"),""))=0,"","Labor end: "&amp;IF(ISNUMBER(INDEX('Dealer pipeline'!$L$4:$L$503,_calc!$E$933)),TEXT(INDEX('Dealer pipeline'!$L$4:$L$503,_calc!$E$933),"yyyy-mm-dd"),"")&amp;". ")&amp;IF(LEN(IF(LEN(INDEX('Dealer pipeline'!$Q$4:$Q$503,_calc!$E$933))=0,"",INDEX('Dealer pipeline'!$Q$4:$Q$503,_calc!$E$933)))=0,"","Status: "&amp;IF(LEN(INDEX('Dealer pipeline'!$Q$4:$Q$503,_calc!$E$933))=0,"",INDEX('Dealer pipeline'!$Q$4:$Q$503,_calc!$E$933))&amp;". ")&amp;IF(LEN(IF(LEN(INDEX('Dealer pipeline'!$P$4:$P$503,_calc!$E$933))=0,"",INDEX('Dealer pipeline'!$P$4:$P$503,_calc!$E$933)))=0,"","Last touch: "&amp;IF(LEN(INDEX('Dealer pipeline'!$P$4:$P$503,_calc!$E$933))=0,"",INDEX('Dealer pipeline'!$P$4:$P$503,_calc!$E$933))&amp;". ")&amp;IF(LEN(IF(LEN(INDEX('Dealer pipeline'!$R$4:$R$503,_calc!$E$933))=0,"",INDEX('Dealer pipeline'!$R$4:$R$503,_calc!$E$933)))=0,"","Owner: "&amp;IF(LEN(INDEX('Dealer pipeline'!$R$4:$R$503,_calc!$E$933))=0,"",INDEX('Dealer pipeline'!$R$4:$R$503,_calc!$E$933))&amp;". ")&amp;IF(LEN(IF(LEN(INDEX('Dealer pipeline'!$S$4:$S$503,_calc!$E$933))=0,"",INDEX('Dealer pipeline'!$S$4:$S$503,_calc!$E$933)))=0,"","Backup: "&amp;IF(LEN(INDEX('Dealer pipeline'!$S$4:$S$503,_calc!$E$933))=0,"",INDEX('Dealer pipeline'!$S$4:$S$503,_calc!$E$933))&amp;". ")&amp;IF(LEN(IF(LEN(INDEX('Dealer pipeline'!$T$4:$T$503,_calc!$E$933))=0,"",INDEX('Dealer pipeline'!$T$4:$T$503,_calc!$E$933)))=0,"",IF(LEN(INDEX('Dealer pipeline'!$T$4:$T$503,_calc!$E$933))=0,"",INDEX('Dealer pipeline'!$T$4:$T$503,_calc!$E$933)))),TRIM(IF(LEN(IF(LEN(INDEX('My equipment'!$C$4:$C$503,(_calc!$E$933-500)))=0,"",INDEX('My equipment'!$C$4:$C$503,(_calc!$E$933-500))))=0,"","Model: "&amp;IF(LEN(INDEX('My equipment'!$C$4:$C$503,(_calc!$E$933-500)))=0,"",INDEX('My equipment'!$C$4:$C$503,(_calc!$E$933-500)))&amp;". ")&amp;IF(LEN(IF(LEN(INDEX('My equipment'!$D$4:$D$503,(_calc!$E$933-500)))=0,"",INDEX('My equipment'!$D$4:$D$503,(_calc!$E$933-500))))=0,"","Serial: "&amp;IF(LEN(INDEX('My equipment'!$D$4:$D$503,(_calc!$E$933-500)))=0,"",INDEX('My equipment'!$D$4:$D$503,(_calc!$E$933-500)))&amp;". ")&amp;IF(LEN(IF(ISNUMBER(INDEX('My equipment'!$J$4:$J$503,(_calc!$E$933-500))),TEXT(INDEX('My equipment'!$J$4:$J$503,(_calc!$E$933-500)),"yyyy-mm-dd"),""))=0,"","Parts end: "&amp;IF(ISNUMBER(INDEX('My equipment'!$J$4:$J$503,(_calc!$E$933-500))),TEXT(INDEX('My equipment'!$J$4:$J$503,(_calc!$E$933-500)),"yyyy-mm-dd"),"")&amp;". ")&amp;IF(LEN(IF(ISNUMBER(INDEX('My equipment'!$L$4:$L$503,(_calc!$E$933-500))),TEXT(INDEX('My equipment'!$L$4:$L$503,(_calc!$E$933-500)),"yyyy-mm-dd"),""))=0,"","Labor end: "&amp;IF(ISNUMBER(INDEX('My equipment'!$L$4:$L$503,(_calc!$E$933-500))),TEXT(INDEX('My equipment'!$L$4:$L$503,(_calc!$E$933-500)),"yyyy-mm-dd"),"")&amp;". ")&amp;IF(LEN(IF(ISNUMBER(INDEX('My equipment'!$P$4:$P$503,(_calc!$E$933-500))),TEXT(INDEX('My equipment'!$P$4:$P$503,(_calc!$E$933-500)),"yyyy-mm-dd"),""))=0,"","Check by: "&amp;IF(ISNUMBER(INDEX('My equipment'!$P$4:$P$503,(_calc!$E$933-500))),TEXT(INDEX('My equipment'!$P$4:$P$503,(_calc!$E$933-500)),"yyyy-mm-dd"),"")&amp;". ")&amp;IF(LEN(IF(LEN(INDEX('My equipment'!$Q$4:$Q$503,(_calc!$E$933-500)))=0,"",INDEX('My equipment'!$Q$4:$Q$503,(_calc!$E$933-500))))=0,"","Claim status: "&amp;IF(LEN(INDEX('My equipment'!$Q$4:$Q$503,(_calc!$E$933-500)))=0,"",INDEX('My equipment'!$Q$4:$Q$503,(_calc!$E$933-500)))&amp;". ")&amp;IF(LEN(IF(LEN(INDEX('My equipment'!$R$4:$R$503,(_calc!$E$933-500)))=0,"",INDEX('My equipment'!$R$4:$R$503,(_calc!$E$933-500))))=0,"","Claims contact: "&amp;IF(LEN(INDEX('My equipment'!$R$4:$R$503,(_calc!$E$933-500)))=0,"",INDEX('My equipment'!$R$4:$R$503,(_calc!$E$933-500)))&amp;". ")&amp;IF(LEN(IF(LEN(INDEX('My equipment'!$S$4:$S$503,(_calc!$E$933-500)))=0,"",INDEX('My equipment'!$S$4:$S$503,(_calc!$E$933-500))))=0,"","Claims email: "&amp;IF(LEN(INDEX('My equipment'!$S$4:$S$503,(_calc!$E$933-500)))=0,"",INDEX('My equipment'!$S$4:$S$503,(_calc!$E$933-500)))&amp;". ")&amp;IF(LEN(IF(LEN(INDEX('My equipment'!$U$4:$U$503,(_calc!$E$933-500)))=0,"",INDEX('My equipment'!$U$4:$U$503,(_calc!$E$933-500))))=0,"","Registered: "&amp;IF(LEN(INDEX('My equipment'!$U$4:$U$503,(_calc!$E$933-500)))=0,"",INDEX('My equipment'!$U$4:$U$503,(_calc!$E$933-500)))&amp;". ")&amp;IF(LEN(IF(LEN(INDEX('My equipment'!$V$4:$V$503,(_calc!$E$933-500)))=0,"",INDEX('My equipment'!$V$4:$V$503,(_calc!$E$933-500))))=0,"","Proof on file: "&amp;IF(LEN(INDEX('My equipment'!$V$4:$V$503,(_calc!$E$933-500)))=0,"",INDEX('My equipment'!$V$4:$V$503,(_calc!$E$933-500)))&amp;". ")&amp;IF(LEN(IF(LEN(INDEX('My equipment'!$W$4:$W$503,(_calc!$E$933-500)))=0,"",INDEX('My equipment'!$W$4:$W$503,(_calc!$E$933-500))))=0,"","Claim ref: "&amp;IF(LEN(INDEX('My equipment'!$W$4:$W$503,(_calc!$E$933-500)))=0,"",INDEX('My equipment'!$W$4:$W$503,(_calc!$E$933-500)))&amp;". ")&amp;IF(LEN(IF(LEN(INDEX('My equipment'!$Y$4:$Y$503,(_calc!$E$933-500)))=0,"",INDEX('My equipment'!$Y$4:$Y$503,(_calc!$E$933-500))))=0,"",IF(LEN(INDEX('My equipment'!$Y$4:$Y$503,(_calc!$E$933-500)))=0,"",INDEX('My equipment'!$Y$4:$Y$503,(_calc!$E$933-500)))))))</f>
        <v/>
      </c>
      <c r="G931" s="54">
        <f>IF(_calc!$E$933="","",IF(_calc!$E$933&lt;=500,"",IF(LEN(INDEX('My equipment'!$X$4:$X$503,(_calc!$E$933-500)))=0,"",INDEX('My equipment'!$X$4:$X$503,(_calc!$E$933-500)))))</f>
        <v/>
      </c>
      <c r="K931" s="54">
        <f>IF(_calc!$E$933="","",IF(_calc!$E$933&lt;=500,"",IF(LEN(INDEX('My equipment'!$T$4:$T$503,(_calc!$E$933-500)))=0,"",INDEX('My equipment'!$T$4:$T$503,(_calc!$E$933-500)))))</f>
        <v/>
      </c>
    </row>
    <row r="932">
      <c r="A932" s="54">
        <f>IF(_calc!$E$934="","",IF(_calc!$E$934&lt;=500,"Warranty – "&amp;IF(LEN(INDEX('Dealer pipeline'!$C$4:$C$503,_calc!$E$934))=0,"",INDEX('Dealer pipeline'!$C$4:$C$503,_calc!$E$934))&amp;" – "&amp;IF(LEN(INDEX('Dealer pipeline'!$D$4:$D$503,_calc!$E$934))=0,"",INDEX('Dealer pipeline'!$D$4:$D$503,_calc!$E$934))&amp;" – "&amp;IF(LEN(INDEX('Dealer pipeline'!$A$4:$A$503,_calc!$E$934))=0,"",INDEX('Dealer pipeline'!$A$4:$A$503,_calc!$E$934)),"Warranty – "&amp;IF(LEN(INDEX('My equipment'!$A$4:$A$503,(_calc!$E$934-500)))=0,"",INDEX('My equipment'!$A$4:$A$503,(_calc!$E$934-500)))&amp;" – "&amp;IF(LEN(INDEX('My equipment'!$D$4:$D$503,(_calc!$E$934-500)))=0,"",INDEX('My equipment'!$D$4:$D$503,(_calc!$E$934-500)))))</f>
        <v/>
      </c>
      <c r="B932" s="54">
        <f>IF(_calc!$E$934="","",IF(_calc!$E$934&lt;=500,IF(ISNUMBER(INDEX('Dealer pipeline'!$M$4:$M$503,_calc!$E$934)),TEXT(INDEX('Dealer pipeline'!$M$4:$M$503,_calc!$E$934),"yyyy-mm-dd"),""),IF(ISNUMBER(INDEX('My equipment'!$M$4:$M$503,(_calc!$E$934-500))),TEXT(INDEX('My equipment'!$M$4:$M$503,(_calc!$E$934-500)),"yyyy-mm-dd"),"")))</f>
        <v/>
      </c>
      <c r="C932" s="54">
        <f>IF(_calc!$E$934="","",IF(_calc!$E$934&lt;=500,"Warranty","Warranty"))</f>
        <v/>
      </c>
      <c r="D932" s="54">
        <f>IF(_calc!$E$934="","",IF(_calc!$E$934&lt;=500,IF(ISNUMBER(INDEX('Dealer pipeline'!$H$4:$H$503,_calc!$E$934)),TEXT(INDEX('Dealer pipeline'!$H$4:$H$503,_calc!$E$934),"yyyy-mm-dd"),""),IF(ISNUMBER(INDEX('My equipment'!$H$4:$H$503,(_calc!$E$934-500))),TEXT(INDEX('My equipment'!$H$4:$H$503,(_calc!$E$934-500)),"yyyy-mm-dd"),"")))</f>
        <v/>
      </c>
      <c r="F932" s="54">
        <f>IF(_calc!$E$934="","",IF(_calc!$E$934&lt;=500,TRIM(IF(LEN(IF(LEN(INDEX('Dealer pipeline'!$A$4:$A$503,_calc!$E$934))=0,"",INDEX('Dealer pipeline'!$A$4:$A$503,_calc!$E$934)))=0,"","Customer: "&amp;IF(LEN(INDEX('Dealer pipeline'!$A$4:$A$503,_calc!$E$934))=0,"",INDEX('Dealer pipeline'!$A$4:$A$503,_calc!$E$934))&amp;". ")&amp;IF(LEN(IF(LEN(INDEX('Dealer pipeline'!$B$4:$B$503,_calc!$E$934))=0,"",INDEX('Dealer pipeline'!$B$4:$B$503,_calc!$E$934)))=0,"","Contact: "&amp;IF(LEN(INDEX('Dealer pipeline'!$B$4:$B$503,_calc!$E$934))=0,"",INDEX('Dealer pipeline'!$B$4:$B$503,_calc!$E$934))&amp;". ")&amp;IF(LEN(IF(LEN(INDEX('Dealer pipeline'!$D$4:$D$503,_calc!$E$934))=0,"",INDEX('Dealer pipeline'!$D$4:$D$503,_calc!$E$934)))=0,"","Serial: "&amp;IF(LEN(INDEX('Dealer pipeline'!$D$4:$D$503,_calc!$E$934))=0,"",INDEX('Dealer pipeline'!$D$4:$D$503,_calc!$E$934))&amp;". ")&amp;IF(LEN(IF(ISNUMBER(INDEX('Dealer pipeline'!$J$4:$J$503,_calc!$E$934)),TEXT(INDEX('Dealer pipeline'!$J$4:$J$503,_calc!$E$934),"yyyy-mm-dd"),""))=0,"","Parts end: "&amp;IF(ISNUMBER(INDEX('Dealer pipeline'!$J$4:$J$503,_calc!$E$934)),TEXT(INDEX('Dealer pipeline'!$J$4:$J$503,_calc!$E$934),"yyyy-mm-dd"),"")&amp;". ")&amp;IF(LEN(IF(ISNUMBER(INDEX('Dealer pipeline'!$L$4:$L$503,_calc!$E$934)),TEXT(INDEX('Dealer pipeline'!$L$4:$L$503,_calc!$E$934),"yyyy-mm-dd"),""))=0,"","Labor end: "&amp;IF(ISNUMBER(INDEX('Dealer pipeline'!$L$4:$L$503,_calc!$E$934)),TEXT(INDEX('Dealer pipeline'!$L$4:$L$503,_calc!$E$934),"yyyy-mm-dd"),"")&amp;". ")&amp;IF(LEN(IF(LEN(INDEX('Dealer pipeline'!$Q$4:$Q$503,_calc!$E$934))=0,"",INDEX('Dealer pipeline'!$Q$4:$Q$503,_calc!$E$934)))=0,"","Status: "&amp;IF(LEN(INDEX('Dealer pipeline'!$Q$4:$Q$503,_calc!$E$934))=0,"",INDEX('Dealer pipeline'!$Q$4:$Q$503,_calc!$E$934))&amp;". ")&amp;IF(LEN(IF(LEN(INDEX('Dealer pipeline'!$P$4:$P$503,_calc!$E$934))=0,"",INDEX('Dealer pipeline'!$P$4:$P$503,_calc!$E$934)))=0,"","Last touch: "&amp;IF(LEN(INDEX('Dealer pipeline'!$P$4:$P$503,_calc!$E$934))=0,"",INDEX('Dealer pipeline'!$P$4:$P$503,_calc!$E$934))&amp;". ")&amp;IF(LEN(IF(LEN(INDEX('Dealer pipeline'!$R$4:$R$503,_calc!$E$934))=0,"",INDEX('Dealer pipeline'!$R$4:$R$503,_calc!$E$934)))=0,"","Owner: "&amp;IF(LEN(INDEX('Dealer pipeline'!$R$4:$R$503,_calc!$E$934))=0,"",INDEX('Dealer pipeline'!$R$4:$R$503,_calc!$E$934))&amp;". ")&amp;IF(LEN(IF(LEN(INDEX('Dealer pipeline'!$S$4:$S$503,_calc!$E$934))=0,"",INDEX('Dealer pipeline'!$S$4:$S$503,_calc!$E$934)))=0,"","Backup: "&amp;IF(LEN(INDEX('Dealer pipeline'!$S$4:$S$503,_calc!$E$934))=0,"",INDEX('Dealer pipeline'!$S$4:$S$503,_calc!$E$934))&amp;". ")&amp;IF(LEN(IF(LEN(INDEX('Dealer pipeline'!$T$4:$T$503,_calc!$E$934))=0,"",INDEX('Dealer pipeline'!$T$4:$T$503,_calc!$E$934)))=0,"",IF(LEN(INDEX('Dealer pipeline'!$T$4:$T$503,_calc!$E$934))=0,"",INDEX('Dealer pipeline'!$T$4:$T$503,_calc!$E$934)))),TRIM(IF(LEN(IF(LEN(INDEX('My equipment'!$C$4:$C$503,(_calc!$E$934-500)))=0,"",INDEX('My equipment'!$C$4:$C$503,(_calc!$E$934-500))))=0,"","Model: "&amp;IF(LEN(INDEX('My equipment'!$C$4:$C$503,(_calc!$E$934-500)))=0,"",INDEX('My equipment'!$C$4:$C$503,(_calc!$E$934-500)))&amp;". ")&amp;IF(LEN(IF(LEN(INDEX('My equipment'!$D$4:$D$503,(_calc!$E$934-500)))=0,"",INDEX('My equipment'!$D$4:$D$503,(_calc!$E$934-500))))=0,"","Serial: "&amp;IF(LEN(INDEX('My equipment'!$D$4:$D$503,(_calc!$E$934-500)))=0,"",INDEX('My equipment'!$D$4:$D$503,(_calc!$E$934-500)))&amp;". ")&amp;IF(LEN(IF(ISNUMBER(INDEX('My equipment'!$J$4:$J$503,(_calc!$E$934-500))),TEXT(INDEX('My equipment'!$J$4:$J$503,(_calc!$E$934-500)),"yyyy-mm-dd"),""))=0,"","Parts end: "&amp;IF(ISNUMBER(INDEX('My equipment'!$J$4:$J$503,(_calc!$E$934-500))),TEXT(INDEX('My equipment'!$J$4:$J$503,(_calc!$E$934-500)),"yyyy-mm-dd"),"")&amp;". ")&amp;IF(LEN(IF(ISNUMBER(INDEX('My equipment'!$L$4:$L$503,(_calc!$E$934-500))),TEXT(INDEX('My equipment'!$L$4:$L$503,(_calc!$E$934-500)),"yyyy-mm-dd"),""))=0,"","Labor end: "&amp;IF(ISNUMBER(INDEX('My equipment'!$L$4:$L$503,(_calc!$E$934-500))),TEXT(INDEX('My equipment'!$L$4:$L$503,(_calc!$E$934-500)),"yyyy-mm-dd"),"")&amp;". ")&amp;IF(LEN(IF(ISNUMBER(INDEX('My equipment'!$P$4:$P$503,(_calc!$E$934-500))),TEXT(INDEX('My equipment'!$P$4:$P$503,(_calc!$E$934-500)),"yyyy-mm-dd"),""))=0,"","Check by: "&amp;IF(ISNUMBER(INDEX('My equipment'!$P$4:$P$503,(_calc!$E$934-500))),TEXT(INDEX('My equipment'!$P$4:$P$503,(_calc!$E$934-500)),"yyyy-mm-dd"),"")&amp;". ")&amp;IF(LEN(IF(LEN(INDEX('My equipment'!$Q$4:$Q$503,(_calc!$E$934-500)))=0,"",INDEX('My equipment'!$Q$4:$Q$503,(_calc!$E$934-500))))=0,"","Claim status: "&amp;IF(LEN(INDEX('My equipment'!$Q$4:$Q$503,(_calc!$E$934-500)))=0,"",INDEX('My equipment'!$Q$4:$Q$503,(_calc!$E$934-500)))&amp;". ")&amp;IF(LEN(IF(LEN(INDEX('My equipment'!$R$4:$R$503,(_calc!$E$934-500)))=0,"",INDEX('My equipment'!$R$4:$R$503,(_calc!$E$934-500))))=0,"","Claims contact: "&amp;IF(LEN(INDEX('My equipment'!$R$4:$R$503,(_calc!$E$934-500)))=0,"",INDEX('My equipment'!$R$4:$R$503,(_calc!$E$934-500)))&amp;". ")&amp;IF(LEN(IF(LEN(INDEX('My equipment'!$S$4:$S$503,(_calc!$E$934-500)))=0,"",INDEX('My equipment'!$S$4:$S$503,(_calc!$E$934-500))))=0,"","Claims email: "&amp;IF(LEN(INDEX('My equipment'!$S$4:$S$503,(_calc!$E$934-500)))=0,"",INDEX('My equipment'!$S$4:$S$503,(_calc!$E$934-500)))&amp;". ")&amp;IF(LEN(IF(LEN(INDEX('My equipment'!$U$4:$U$503,(_calc!$E$934-500)))=0,"",INDEX('My equipment'!$U$4:$U$503,(_calc!$E$934-500))))=0,"","Registered: "&amp;IF(LEN(INDEX('My equipment'!$U$4:$U$503,(_calc!$E$934-500)))=0,"",INDEX('My equipment'!$U$4:$U$503,(_calc!$E$934-500)))&amp;". ")&amp;IF(LEN(IF(LEN(INDEX('My equipment'!$V$4:$V$503,(_calc!$E$934-500)))=0,"",INDEX('My equipment'!$V$4:$V$503,(_calc!$E$934-500))))=0,"","Proof on file: "&amp;IF(LEN(INDEX('My equipment'!$V$4:$V$503,(_calc!$E$934-500)))=0,"",INDEX('My equipment'!$V$4:$V$503,(_calc!$E$934-500)))&amp;". ")&amp;IF(LEN(IF(LEN(INDEX('My equipment'!$W$4:$W$503,(_calc!$E$934-500)))=0,"",INDEX('My equipment'!$W$4:$W$503,(_calc!$E$934-500))))=0,"","Claim ref: "&amp;IF(LEN(INDEX('My equipment'!$W$4:$W$503,(_calc!$E$934-500)))=0,"",INDEX('My equipment'!$W$4:$W$503,(_calc!$E$934-500)))&amp;". ")&amp;IF(LEN(IF(LEN(INDEX('My equipment'!$Y$4:$Y$503,(_calc!$E$934-500)))=0,"",INDEX('My equipment'!$Y$4:$Y$503,(_calc!$E$934-500))))=0,"",IF(LEN(INDEX('My equipment'!$Y$4:$Y$503,(_calc!$E$934-500)))=0,"",INDEX('My equipment'!$Y$4:$Y$503,(_calc!$E$934-500)))))))</f>
        <v/>
      </c>
      <c r="G932" s="54">
        <f>IF(_calc!$E$934="","",IF(_calc!$E$934&lt;=500,"",IF(LEN(INDEX('My equipment'!$X$4:$X$503,(_calc!$E$934-500)))=0,"",INDEX('My equipment'!$X$4:$X$503,(_calc!$E$934-500)))))</f>
        <v/>
      </c>
      <c r="K932" s="54">
        <f>IF(_calc!$E$934="","",IF(_calc!$E$934&lt;=500,"",IF(LEN(INDEX('My equipment'!$T$4:$T$503,(_calc!$E$934-500)))=0,"",INDEX('My equipment'!$T$4:$T$503,(_calc!$E$934-500)))))</f>
        <v/>
      </c>
    </row>
    <row r="933">
      <c r="A933" s="54">
        <f>IF(_calc!$E$935="","",IF(_calc!$E$935&lt;=500,"Warranty – "&amp;IF(LEN(INDEX('Dealer pipeline'!$C$4:$C$503,_calc!$E$935))=0,"",INDEX('Dealer pipeline'!$C$4:$C$503,_calc!$E$935))&amp;" – "&amp;IF(LEN(INDEX('Dealer pipeline'!$D$4:$D$503,_calc!$E$935))=0,"",INDEX('Dealer pipeline'!$D$4:$D$503,_calc!$E$935))&amp;" – "&amp;IF(LEN(INDEX('Dealer pipeline'!$A$4:$A$503,_calc!$E$935))=0,"",INDEX('Dealer pipeline'!$A$4:$A$503,_calc!$E$935)),"Warranty – "&amp;IF(LEN(INDEX('My equipment'!$A$4:$A$503,(_calc!$E$935-500)))=0,"",INDEX('My equipment'!$A$4:$A$503,(_calc!$E$935-500)))&amp;" – "&amp;IF(LEN(INDEX('My equipment'!$D$4:$D$503,(_calc!$E$935-500)))=0,"",INDEX('My equipment'!$D$4:$D$503,(_calc!$E$935-500)))))</f>
        <v/>
      </c>
      <c r="B933" s="54">
        <f>IF(_calc!$E$935="","",IF(_calc!$E$935&lt;=500,IF(ISNUMBER(INDEX('Dealer pipeline'!$M$4:$M$503,_calc!$E$935)),TEXT(INDEX('Dealer pipeline'!$M$4:$M$503,_calc!$E$935),"yyyy-mm-dd"),""),IF(ISNUMBER(INDEX('My equipment'!$M$4:$M$503,(_calc!$E$935-500))),TEXT(INDEX('My equipment'!$M$4:$M$503,(_calc!$E$935-500)),"yyyy-mm-dd"),"")))</f>
        <v/>
      </c>
      <c r="C933" s="54">
        <f>IF(_calc!$E$935="","",IF(_calc!$E$935&lt;=500,"Warranty","Warranty"))</f>
        <v/>
      </c>
      <c r="D933" s="54">
        <f>IF(_calc!$E$935="","",IF(_calc!$E$935&lt;=500,IF(ISNUMBER(INDEX('Dealer pipeline'!$H$4:$H$503,_calc!$E$935)),TEXT(INDEX('Dealer pipeline'!$H$4:$H$503,_calc!$E$935),"yyyy-mm-dd"),""),IF(ISNUMBER(INDEX('My equipment'!$H$4:$H$503,(_calc!$E$935-500))),TEXT(INDEX('My equipment'!$H$4:$H$503,(_calc!$E$935-500)),"yyyy-mm-dd"),"")))</f>
        <v/>
      </c>
      <c r="F933" s="54">
        <f>IF(_calc!$E$935="","",IF(_calc!$E$935&lt;=500,TRIM(IF(LEN(IF(LEN(INDEX('Dealer pipeline'!$A$4:$A$503,_calc!$E$935))=0,"",INDEX('Dealer pipeline'!$A$4:$A$503,_calc!$E$935)))=0,"","Customer: "&amp;IF(LEN(INDEX('Dealer pipeline'!$A$4:$A$503,_calc!$E$935))=0,"",INDEX('Dealer pipeline'!$A$4:$A$503,_calc!$E$935))&amp;". ")&amp;IF(LEN(IF(LEN(INDEX('Dealer pipeline'!$B$4:$B$503,_calc!$E$935))=0,"",INDEX('Dealer pipeline'!$B$4:$B$503,_calc!$E$935)))=0,"","Contact: "&amp;IF(LEN(INDEX('Dealer pipeline'!$B$4:$B$503,_calc!$E$935))=0,"",INDEX('Dealer pipeline'!$B$4:$B$503,_calc!$E$935))&amp;". ")&amp;IF(LEN(IF(LEN(INDEX('Dealer pipeline'!$D$4:$D$503,_calc!$E$935))=0,"",INDEX('Dealer pipeline'!$D$4:$D$503,_calc!$E$935)))=0,"","Serial: "&amp;IF(LEN(INDEX('Dealer pipeline'!$D$4:$D$503,_calc!$E$935))=0,"",INDEX('Dealer pipeline'!$D$4:$D$503,_calc!$E$935))&amp;". ")&amp;IF(LEN(IF(ISNUMBER(INDEX('Dealer pipeline'!$J$4:$J$503,_calc!$E$935)),TEXT(INDEX('Dealer pipeline'!$J$4:$J$503,_calc!$E$935),"yyyy-mm-dd"),""))=0,"","Parts end: "&amp;IF(ISNUMBER(INDEX('Dealer pipeline'!$J$4:$J$503,_calc!$E$935)),TEXT(INDEX('Dealer pipeline'!$J$4:$J$503,_calc!$E$935),"yyyy-mm-dd"),"")&amp;". ")&amp;IF(LEN(IF(ISNUMBER(INDEX('Dealer pipeline'!$L$4:$L$503,_calc!$E$935)),TEXT(INDEX('Dealer pipeline'!$L$4:$L$503,_calc!$E$935),"yyyy-mm-dd"),""))=0,"","Labor end: "&amp;IF(ISNUMBER(INDEX('Dealer pipeline'!$L$4:$L$503,_calc!$E$935)),TEXT(INDEX('Dealer pipeline'!$L$4:$L$503,_calc!$E$935),"yyyy-mm-dd"),"")&amp;". ")&amp;IF(LEN(IF(LEN(INDEX('Dealer pipeline'!$Q$4:$Q$503,_calc!$E$935))=0,"",INDEX('Dealer pipeline'!$Q$4:$Q$503,_calc!$E$935)))=0,"","Status: "&amp;IF(LEN(INDEX('Dealer pipeline'!$Q$4:$Q$503,_calc!$E$935))=0,"",INDEX('Dealer pipeline'!$Q$4:$Q$503,_calc!$E$935))&amp;". ")&amp;IF(LEN(IF(LEN(INDEX('Dealer pipeline'!$P$4:$P$503,_calc!$E$935))=0,"",INDEX('Dealer pipeline'!$P$4:$P$503,_calc!$E$935)))=0,"","Last touch: "&amp;IF(LEN(INDEX('Dealer pipeline'!$P$4:$P$503,_calc!$E$935))=0,"",INDEX('Dealer pipeline'!$P$4:$P$503,_calc!$E$935))&amp;". ")&amp;IF(LEN(IF(LEN(INDEX('Dealer pipeline'!$R$4:$R$503,_calc!$E$935))=0,"",INDEX('Dealer pipeline'!$R$4:$R$503,_calc!$E$935)))=0,"","Owner: "&amp;IF(LEN(INDEX('Dealer pipeline'!$R$4:$R$503,_calc!$E$935))=0,"",INDEX('Dealer pipeline'!$R$4:$R$503,_calc!$E$935))&amp;". ")&amp;IF(LEN(IF(LEN(INDEX('Dealer pipeline'!$S$4:$S$503,_calc!$E$935))=0,"",INDEX('Dealer pipeline'!$S$4:$S$503,_calc!$E$935)))=0,"","Backup: "&amp;IF(LEN(INDEX('Dealer pipeline'!$S$4:$S$503,_calc!$E$935))=0,"",INDEX('Dealer pipeline'!$S$4:$S$503,_calc!$E$935))&amp;". ")&amp;IF(LEN(IF(LEN(INDEX('Dealer pipeline'!$T$4:$T$503,_calc!$E$935))=0,"",INDEX('Dealer pipeline'!$T$4:$T$503,_calc!$E$935)))=0,"",IF(LEN(INDEX('Dealer pipeline'!$T$4:$T$503,_calc!$E$935))=0,"",INDEX('Dealer pipeline'!$T$4:$T$503,_calc!$E$935)))),TRIM(IF(LEN(IF(LEN(INDEX('My equipment'!$C$4:$C$503,(_calc!$E$935-500)))=0,"",INDEX('My equipment'!$C$4:$C$503,(_calc!$E$935-500))))=0,"","Model: "&amp;IF(LEN(INDEX('My equipment'!$C$4:$C$503,(_calc!$E$935-500)))=0,"",INDEX('My equipment'!$C$4:$C$503,(_calc!$E$935-500)))&amp;". ")&amp;IF(LEN(IF(LEN(INDEX('My equipment'!$D$4:$D$503,(_calc!$E$935-500)))=0,"",INDEX('My equipment'!$D$4:$D$503,(_calc!$E$935-500))))=0,"","Serial: "&amp;IF(LEN(INDEX('My equipment'!$D$4:$D$503,(_calc!$E$935-500)))=0,"",INDEX('My equipment'!$D$4:$D$503,(_calc!$E$935-500)))&amp;". ")&amp;IF(LEN(IF(ISNUMBER(INDEX('My equipment'!$J$4:$J$503,(_calc!$E$935-500))),TEXT(INDEX('My equipment'!$J$4:$J$503,(_calc!$E$935-500)),"yyyy-mm-dd"),""))=0,"","Parts end: "&amp;IF(ISNUMBER(INDEX('My equipment'!$J$4:$J$503,(_calc!$E$935-500))),TEXT(INDEX('My equipment'!$J$4:$J$503,(_calc!$E$935-500)),"yyyy-mm-dd"),"")&amp;". ")&amp;IF(LEN(IF(ISNUMBER(INDEX('My equipment'!$L$4:$L$503,(_calc!$E$935-500))),TEXT(INDEX('My equipment'!$L$4:$L$503,(_calc!$E$935-500)),"yyyy-mm-dd"),""))=0,"","Labor end: "&amp;IF(ISNUMBER(INDEX('My equipment'!$L$4:$L$503,(_calc!$E$935-500))),TEXT(INDEX('My equipment'!$L$4:$L$503,(_calc!$E$935-500)),"yyyy-mm-dd"),"")&amp;". ")&amp;IF(LEN(IF(ISNUMBER(INDEX('My equipment'!$P$4:$P$503,(_calc!$E$935-500))),TEXT(INDEX('My equipment'!$P$4:$P$503,(_calc!$E$935-500)),"yyyy-mm-dd"),""))=0,"","Check by: "&amp;IF(ISNUMBER(INDEX('My equipment'!$P$4:$P$503,(_calc!$E$935-500))),TEXT(INDEX('My equipment'!$P$4:$P$503,(_calc!$E$935-500)),"yyyy-mm-dd"),"")&amp;". ")&amp;IF(LEN(IF(LEN(INDEX('My equipment'!$Q$4:$Q$503,(_calc!$E$935-500)))=0,"",INDEX('My equipment'!$Q$4:$Q$503,(_calc!$E$935-500))))=0,"","Claim status: "&amp;IF(LEN(INDEX('My equipment'!$Q$4:$Q$503,(_calc!$E$935-500)))=0,"",INDEX('My equipment'!$Q$4:$Q$503,(_calc!$E$935-500)))&amp;". ")&amp;IF(LEN(IF(LEN(INDEX('My equipment'!$R$4:$R$503,(_calc!$E$935-500)))=0,"",INDEX('My equipment'!$R$4:$R$503,(_calc!$E$935-500))))=0,"","Claims contact: "&amp;IF(LEN(INDEX('My equipment'!$R$4:$R$503,(_calc!$E$935-500)))=0,"",INDEX('My equipment'!$R$4:$R$503,(_calc!$E$935-500)))&amp;". ")&amp;IF(LEN(IF(LEN(INDEX('My equipment'!$S$4:$S$503,(_calc!$E$935-500)))=0,"",INDEX('My equipment'!$S$4:$S$503,(_calc!$E$935-500))))=0,"","Claims email: "&amp;IF(LEN(INDEX('My equipment'!$S$4:$S$503,(_calc!$E$935-500)))=0,"",INDEX('My equipment'!$S$4:$S$503,(_calc!$E$935-500)))&amp;". ")&amp;IF(LEN(IF(LEN(INDEX('My equipment'!$U$4:$U$503,(_calc!$E$935-500)))=0,"",INDEX('My equipment'!$U$4:$U$503,(_calc!$E$935-500))))=0,"","Registered: "&amp;IF(LEN(INDEX('My equipment'!$U$4:$U$503,(_calc!$E$935-500)))=0,"",INDEX('My equipment'!$U$4:$U$503,(_calc!$E$935-500)))&amp;". ")&amp;IF(LEN(IF(LEN(INDEX('My equipment'!$V$4:$V$503,(_calc!$E$935-500)))=0,"",INDEX('My equipment'!$V$4:$V$503,(_calc!$E$935-500))))=0,"","Proof on file: "&amp;IF(LEN(INDEX('My equipment'!$V$4:$V$503,(_calc!$E$935-500)))=0,"",INDEX('My equipment'!$V$4:$V$503,(_calc!$E$935-500)))&amp;". ")&amp;IF(LEN(IF(LEN(INDEX('My equipment'!$W$4:$W$503,(_calc!$E$935-500)))=0,"",INDEX('My equipment'!$W$4:$W$503,(_calc!$E$935-500))))=0,"","Claim ref: "&amp;IF(LEN(INDEX('My equipment'!$W$4:$W$503,(_calc!$E$935-500)))=0,"",INDEX('My equipment'!$W$4:$W$503,(_calc!$E$935-500)))&amp;". ")&amp;IF(LEN(IF(LEN(INDEX('My equipment'!$Y$4:$Y$503,(_calc!$E$935-500)))=0,"",INDEX('My equipment'!$Y$4:$Y$503,(_calc!$E$935-500))))=0,"",IF(LEN(INDEX('My equipment'!$Y$4:$Y$503,(_calc!$E$935-500)))=0,"",INDEX('My equipment'!$Y$4:$Y$503,(_calc!$E$935-500)))))))</f>
        <v/>
      </c>
      <c r="G933" s="54">
        <f>IF(_calc!$E$935="","",IF(_calc!$E$935&lt;=500,"",IF(LEN(INDEX('My equipment'!$X$4:$X$503,(_calc!$E$935-500)))=0,"",INDEX('My equipment'!$X$4:$X$503,(_calc!$E$935-500)))))</f>
        <v/>
      </c>
      <c r="K933" s="54">
        <f>IF(_calc!$E$935="","",IF(_calc!$E$935&lt;=500,"",IF(LEN(INDEX('My equipment'!$T$4:$T$503,(_calc!$E$935-500)))=0,"",INDEX('My equipment'!$T$4:$T$503,(_calc!$E$935-500)))))</f>
        <v/>
      </c>
    </row>
    <row r="934">
      <c r="A934" s="54">
        <f>IF(_calc!$E$936="","",IF(_calc!$E$936&lt;=500,"Warranty – "&amp;IF(LEN(INDEX('Dealer pipeline'!$C$4:$C$503,_calc!$E$936))=0,"",INDEX('Dealer pipeline'!$C$4:$C$503,_calc!$E$936))&amp;" – "&amp;IF(LEN(INDEX('Dealer pipeline'!$D$4:$D$503,_calc!$E$936))=0,"",INDEX('Dealer pipeline'!$D$4:$D$503,_calc!$E$936))&amp;" – "&amp;IF(LEN(INDEX('Dealer pipeline'!$A$4:$A$503,_calc!$E$936))=0,"",INDEX('Dealer pipeline'!$A$4:$A$503,_calc!$E$936)),"Warranty – "&amp;IF(LEN(INDEX('My equipment'!$A$4:$A$503,(_calc!$E$936-500)))=0,"",INDEX('My equipment'!$A$4:$A$503,(_calc!$E$936-500)))&amp;" – "&amp;IF(LEN(INDEX('My equipment'!$D$4:$D$503,(_calc!$E$936-500)))=0,"",INDEX('My equipment'!$D$4:$D$503,(_calc!$E$936-500)))))</f>
        <v/>
      </c>
      <c r="B934" s="54">
        <f>IF(_calc!$E$936="","",IF(_calc!$E$936&lt;=500,IF(ISNUMBER(INDEX('Dealer pipeline'!$M$4:$M$503,_calc!$E$936)),TEXT(INDEX('Dealer pipeline'!$M$4:$M$503,_calc!$E$936),"yyyy-mm-dd"),""),IF(ISNUMBER(INDEX('My equipment'!$M$4:$M$503,(_calc!$E$936-500))),TEXT(INDEX('My equipment'!$M$4:$M$503,(_calc!$E$936-500)),"yyyy-mm-dd"),"")))</f>
        <v/>
      </c>
      <c r="C934" s="54">
        <f>IF(_calc!$E$936="","",IF(_calc!$E$936&lt;=500,"Warranty","Warranty"))</f>
        <v/>
      </c>
      <c r="D934" s="54">
        <f>IF(_calc!$E$936="","",IF(_calc!$E$936&lt;=500,IF(ISNUMBER(INDEX('Dealer pipeline'!$H$4:$H$503,_calc!$E$936)),TEXT(INDEX('Dealer pipeline'!$H$4:$H$503,_calc!$E$936),"yyyy-mm-dd"),""),IF(ISNUMBER(INDEX('My equipment'!$H$4:$H$503,(_calc!$E$936-500))),TEXT(INDEX('My equipment'!$H$4:$H$503,(_calc!$E$936-500)),"yyyy-mm-dd"),"")))</f>
        <v/>
      </c>
      <c r="F934" s="54">
        <f>IF(_calc!$E$936="","",IF(_calc!$E$936&lt;=500,TRIM(IF(LEN(IF(LEN(INDEX('Dealer pipeline'!$A$4:$A$503,_calc!$E$936))=0,"",INDEX('Dealer pipeline'!$A$4:$A$503,_calc!$E$936)))=0,"","Customer: "&amp;IF(LEN(INDEX('Dealer pipeline'!$A$4:$A$503,_calc!$E$936))=0,"",INDEX('Dealer pipeline'!$A$4:$A$503,_calc!$E$936))&amp;". ")&amp;IF(LEN(IF(LEN(INDEX('Dealer pipeline'!$B$4:$B$503,_calc!$E$936))=0,"",INDEX('Dealer pipeline'!$B$4:$B$503,_calc!$E$936)))=0,"","Contact: "&amp;IF(LEN(INDEX('Dealer pipeline'!$B$4:$B$503,_calc!$E$936))=0,"",INDEX('Dealer pipeline'!$B$4:$B$503,_calc!$E$936))&amp;". ")&amp;IF(LEN(IF(LEN(INDEX('Dealer pipeline'!$D$4:$D$503,_calc!$E$936))=0,"",INDEX('Dealer pipeline'!$D$4:$D$503,_calc!$E$936)))=0,"","Serial: "&amp;IF(LEN(INDEX('Dealer pipeline'!$D$4:$D$503,_calc!$E$936))=0,"",INDEX('Dealer pipeline'!$D$4:$D$503,_calc!$E$936))&amp;". ")&amp;IF(LEN(IF(ISNUMBER(INDEX('Dealer pipeline'!$J$4:$J$503,_calc!$E$936)),TEXT(INDEX('Dealer pipeline'!$J$4:$J$503,_calc!$E$936),"yyyy-mm-dd"),""))=0,"","Parts end: "&amp;IF(ISNUMBER(INDEX('Dealer pipeline'!$J$4:$J$503,_calc!$E$936)),TEXT(INDEX('Dealer pipeline'!$J$4:$J$503,_calc!$E$936),"yyyy-mm-dd"),"")&amp;". ")&amp;IF(LEN(IF(ISNUMBER(INDEX('Dealer pipeline'!$L$4:$L$503,_calc!$E$936)),TEXT(INDEX('Dealer pipeline'!$L$4:$L$503,_calc!$E$936),"yyyy-mm-dd"),""))=0,"","Labor end: "&amp;IF(ISNUMBER(INDEX('Dealer pipeline'!$L$4:$L$503,_calc!$E$936)),TEXT(INDEX('Dealer pipeline'!$L$4:$L$503,_calc!$E$936),"yyyy-mm-dd"),"")&amp;". ")&amp;IF(LEN(IF(LEN(INDEX('Dealer pipeline'!$Q$4:$Q$503,_calc!$E$936))=0,"",INDEX('Dealer pipeline'!$Q$4:$Q$503,_calc!$E$936)))=0,"","Status: "&amp;IF(LEN(INDEX('Dealer pipeline'!$Q$4:$Q$503,_calc!$E$936))=0,"",INDEX('Dealer pipeline'!$Q$4:$Q$503,_calc!$E$936))&amp;". ")&amp;IF(LEN(IF(LEN(INDEX('Dealer pipeline'!$P$4:$P$503,_calc!$E$936))=0,"",INDEX('Dealer pipeline'!$P$4:$P$503,_calc!$E$936)))=0,"","Last touch: "&amp;IF(LEN(INDEX('Dealer pipeline'!$P$4:$P$503,_calc!$E$936))=0,"",INDEX('Dealer pipeline'!$P$4:$P$503,_calc!$E$936))&amp;". ")&amp;IF(LEN(IF(LEN(INDEX('Dealer pipeline'!$R$4:$R$503,_calc!$E$936))=0,"",INDEX('Dealer pipeline'!$R$4:$R$503,_calc!$E$936)))=0,"","Owner: "&amp;IF(LEN(INDEX('Dealer pipeline'!$R$4:$R$503,_calc!$E$936))=0,"",INDEX('Dealer pipeline'!$R$4:$R$503,_calc!$E$936))&amp;". ")&amp;IF(LEN(IF(LEN(INDEX('Dealer pipeline'!$S$4:$S$503,_calc!$E$936))=0,"",INDEX('Dealer pipeline'!$S$4:$S$503,_calc!$E$936)))=0,"","Backup: "&amp;IF(LEN(INDEX('Dealer pipeline'!$S$4:$S$503,_calc!$E$936))=0,"",INDEX('Dealer pipeline'!$S$4:$S$503,_calc!$E$936))&amp;". ")&amp;IF(LEN(IF(LEN(INDEX('Dealer pipeline'!$T$4:$T$503,_calc!$E$936))=0,"",INDEX('Dealer pipeline'!$T$4:$T$503,_calc!$E$936)))=0,"",IF(LEN(INDEX('Dealer pipeline'!$T$4:$T$503,_calc!$E$936))=0,"",INDEX('Dealer pipeline'!$T$4:$T$503,_calc!$E$936)))),TRIM(IF(LEN(IF(LEN(INDEX('My equipment'!$C$4:$C$503,(_calc!$E$936-500)))=0,"",INDEX('My equipment'!$C$4:$C$503,(_calc!$E$936-500))))=0,"","Model: "&amp;IF(LEN(INDEX('My equipment'!$C$4:$C$503,(_calc!$E$936-500)))=0,"",INDEX('My equipment'!$C$4:$C$503,(_calc!$E$936-500)))&amp;". ")&amp;IF(LEN(IF(LEN(INDEX('My equipment'!$D$4:$D$503,(_calc!$E$936-500)))=0,"",INDEX('My equipment'!$D$4:$D$503,(_calc!$E$936-500))))=0,"","Serial: "&amp;IF(LEN(INDEX('My equipment'!$D$4:$D$503,(_calc!$E$936-500)))=0,"",INDEX('My equipment'!$D$4:$D$503,(_calc!$E$936-500)))&amp;". ")&amp;IF(LEN(IF(ISNUMBER(INDEX('My equipment'!$J$4:$J$503,(_calc!$E$936-500))),TEXT(INDEX('My equipment'!$J$4:$J$503,(_calc!$E$936-500)),"yyyy-mm-dd"),""))=0,"","Parts end: "&amp;IF(ISNUMBER(INDEX('My equipment'!$J$4:$J$503,(_calc!$E$936-500))),TEXT(INDEX('My equipment'!$J$4:$J$503,(_calc!$E$936-500)),"yyyy-mm-dd"),"")&amp;". ")&amp;IF(LEN(IF(ISNUMBER(INDEX('My equipment'!$L$4:$L$503,(_calc!$E$936-500))),TEXT(INDEX('My equipment'!$L$4:$L$503,(_calc!$E$936-500)),"yyyy-mm-dd"),""))=0,"","Labor end: "&amp;IF(ISNUMBER(INDEX('My equipment'!$L$4:$L$503,(_calc!$E$936-500))),TEXT(INDEX('My equipment'!$L$4:$L$503,(_calc!$E$936-500)),"yyyy-mm-dd"),"")&amp;". ")&amp;IF(LEN(IF(ISNUMBER(INDEX('My equipment'!$P$4:$P$503,(_calc!$E$936-500))),TEXT(INDEX('My equipment'!$P$4:$P$503,(_calc!$E$936-500)),"yyyy-mm-dd"),""))=0,"","Check by: "&amp;IF(ISNUMBER(INDEX('My equipment'!$P$4:$P$503,(_calc!$E$936-500))),TEXT(INDEX('My equipment'!$P$4:$P$503,(_calc!$E$936-500)),"yyyy-mm-dd"),"")&amp;". ")&amp;IF(LEN(IF(LEN(INDEX('My equipment'!$Q$4:$Q$503,(_calc!$E$936-500)))=0,"",INDEX('My equipment'!$Q$4:$Q$503,(_calc!$E$936-500))))=0,"","Claim status: "&amp;IF(LEN(INDEX('My equipment'!$Q$4:$Q$503,(_calc!$E$936-500)))=0,"",INDEX('My equipment'!$Q$4:$Q$503,(_calc!$E$936-500)))&amp;". ")&amp;IF(LEN(IF(LEN(INDEX('My equipment'!$R$4:$R$503,(_calc!$E$936-500)))=0,"",INDEX('My equipment'!$R$4:$R$503,(_calc!$E$936-500))))=0,"","Claims contact: "&amp;IF(LEN(INDEX('My equipment'!$R$4:$R$503,(_calc!$E$936-500)))=0,"",INDEX('My equipment'!$R$4:$R$503,(_calc!$E$936-500)))&amp;". ")&amp;IF(LEN(IF(LEN(INDEX('My equipment'!$S$4:$S$503,(_calc!$E$936-500)))=0,"",INDEX('My equipment'!$S$4:$S$503,(_calc!$E$936-500))))=0,"","Claims email: "&amp;IF(LEN(INDEX('My equipment'!$S$4:$S$503,(_calc!$E$936-500)))=0,"",INDEX('My equipment'!$S$4:$S$503,(_calc!$E$936-500)))&amp;". ")&amp;IF(LEN(IF(LEN(INDEX('My equipment'!$U$4:$U$503,(_calc!$E$936-500)))=0,"",INDEX('My equipment'!$U$4:$U$503,(_calc!$E$936-500))))=0,"","Registered: "&amp;IF(LEN(INDEX('My equipment'!$U$4:$U$503,(_calc!$E$936-500)))=0,"",INDEX('My equipment'!$U$4:$U$503,(_calc!$E$936-500)))&amp;". ")&amp;IF(LEN(IF(LEN(INDEX('My equipment'!$V$4:$V$503,(_calc!$E$936-500)))=0,"",INDEX('My equipment'!$V$4:$V$503,(_calc!$E$936-500))))=0,"","Proof on file: "&amp;IF(LEN(INDEX('My equipment'!$V$4:$V$503,(_calc!$E$936-500)))=0,"",INDEX('My equipment'!$V$4:$V$503,(_calc!$E$936-500)))&amp;". ")&amp;IF(LEN(IF(LEN(INDEX('My equipment'!$W$4:$W$503,(_calc!$E$936-500)))=0,"",INDEX('My equipment'!$W$4:$W$503,(_calc!$E$936-500))))=0,"","Claim ref: "&amp;IF(LEN(INDEX('My equipment'!$W$4:$W$503,(_calc!$E$936-500)))=0,"",INDEX('My equipment'!$W$4:$W$503,(_calc!$E$936-500)))&amp;". ")&amp;IF(LEN(IF(LEN(INDEX('My equipment'!$Y$4:$Y$503,(_calc!$E$936-500)))=0,"",INDEX('My equipment'!$Y$4:$Y$503,(_calc!$E$936-500))))=0,"",IF(LEN(INDEX('My equipment'!$Y$4:$Y$503,(_calc!$E$936-500)))=0,"",INDEX('My equipment'!$Y$4:$Y$503,(_calc!$E$936-500)))))))</f>
        <v/>
      </c>
      <c r="G934" s="54">
        <f>IF(_calc!$E$936="","",IF(_calc!$E$936&lt;=500,"",IF(LEN(INDEX('My equipment'!$X$4:$X$503,(_calc!$E$936-500)))=0,"",INDEX('My equipment'!$X$4:$X$503,(_calc!$E$936-500)))))</f>
        <v/>
      </c>
      <c r="K934" s="54">
        <f>IF(_calc!$E$936="","",IF(_calc!$E$936&lt;=500,"",IF(LEN(INDEX('My equipment'!$T$4:$T$503,(_calc!$E$936-500)))=0,"",INDEX('My equipment'!$T$4:$T$503,(_calc!$E$936-500)))))</f>
        <v/>
      </c>
    </row>
    <row r="935">
      <c r="A935" s="54">
        <f>IF(_calc!$E$937="","",IF(_calc!$E$937&lt;=500,"Warranty – "&amp;IF(LEN(INDEX('Dealer pipeline'!$C$4:$C$503,_calc!$E$937))=0,"",INDEX('Dealer pipeline'!$C$4:$C$503,_calc!$E$937))&amp;" – "&amp;IF(LEN(INDEX('Dealer pipeline'!$D$4:$D$503,_calc!$E$937))=0,"",INDEX('Dealer pipeline'!$D$4:$D$503,_calc!$E$937))&amp;" – "&amp;IF(LEN(INDEX('Dealer pipeline'!$A$4:$A$503,_calc!$E$937))=0,"",INDEX('Dealer pipeline'!$A$4:$A$503,_calc!$E$937)),"Warranty – "&amp;IF(LEN(INDEX('My equipment'!$A$4:$A$503,(_calc!$E$937-500)))=0,"",INDEX('My equipment'!$A$4:$A$503,(_calc!$E$937-500)))&amp;" – "&amp;IF(LEN(INDEX('My equipment'!$D$4:$D$503,(_calc!$E$937-500)))=0,"",INDEX('My equipment'!$D$4:$D$503,(_calc!$E$937-500)))))</f>
        <v/>
      </c>
      <c r="B935" s="54">
        <f>IF(_calc!$E$937="","",IF(_calc!$E$937&lt;=500,IF(ISNUMBER(INDEX('Dealer pipeline'!$M$4:$M$503,_calc!$E$937)),TEXT(INDEX('Dealer pipeline'!$M$4:$M$503,_calc!$E$937),"yyyy-mm-dd"),""),IF(ISNUMBER(INDEX('My equipment'!$M$4:$M$503,(_calc!$E$937-500))),TEXT(INDEX('My equipment'!$M$4:$M$503,(_calc!$E$937-500)),"yyyy-mm-dd"),"")))</f>
        <v/>
      </c>
      <c r="C935" s="54">
        <f>IF(_calc!$E$937="","",IF(_calc!$E$937&lt;=500,"Warranty","Warranty"))</f>
        <v/>
      </c>
      <c r="D935" s="54">
        <f>IF(_calc!$E$937="","",IF(_calc!$E$937&lt;=500,IF(ISNUMBER(INDEX('Dealer pipeline'!$H$4:$H$503,_calc!$E$937)),TEXT(INDEX('Dealer pipeline'!$H$4:$H$503,_calc!$E$937),"yyyy-mm-dd"),""),IF(ISNUMBER(INDEX('My equipment'!$H$4:$H$503,(_calc!$E$937-500))),TEXT(INDEX('My equipment'!$H$4:$H$503,(_calc!$E$937-500)),"yyyy-mm-dd"),"")))</f>
        <v/>
      </c>
      <c r="F935" s="54">
        <f>IF(_calc!$E$937="","",IF(_calc!$E$937&lt;=500,TRIM(IF(LEN(IF(LEN(INDEX('Dealer pipeline'!$A$4:$A$503,_calc!$E$937))=0,"",INDEX('Dealer pipeline'!$A$4:$A$503,_calc!$E$937)))=0,"","Customer: "&amp;IF(LEN(INDEX('Dealer pipeline'!$A$4:$A$503,_calc!$E$937))=0,"",INDEX('Dealer pipeline'!$A$4:$A$503,_calc!$E$937))&amp;". ")&amp;IF(LEN(IF(LEN(INDEX('Dealer pipeline'!$B$4:$B$503,_calc!$E$937))=0,"",INDEX('Dealer pipeline'!$B$4:$B$503,_calc!$E$937)))=0,"","Contact: "&amp;IF(LEN(INDEX('Dealer pipeline'!$B$4:$B$503,_calc!$E$937))=0,"",INDEX('Dealer pipeline'!$B$4:$B$503,_calc!$E$937))&amp;". ")&amp;IF(LEN(IF(LEN(INDEX('Dealer pipeline'!$D$4:$D$503,_calc!$E$937))=0,"",INDEX('Dealer pipeline'!$D$4:$D$503,_calc!$E$937)))=0,"","Serial: "&amp;IF(LEN(INDEX('Dealer pipeline'!$D$4:$D$503,_calc!$E$937))=0,"",INDEX('Dealer pipeline'!$D$4:$D$503,_calc!$E$937))&amp;". ")&amp;IF(LEN(IF(ISNUMBER(INDEX('Dealer pipeline'!$J$4:$J$503,_calc!$E$937)),TEXT(INDEX('Dealer pipeline'!$J$4:$J$503,_calc!$E$937),"yyyy-mm-dd"),""))=0,"","Parts end: "&amp;IF(ISNUMBER(INDEX('Dealer pipeline'!$J$4:$J$503,_calc!$E$937)),TEXT(INDEX('Dealer pipeline'!$J$4:$J$503,_calc!$E$937),"yyyy-mm-dd"),"")&amp;". ")&amp;IF(LEN(IF(ISNUMBER(INDEX('Dealer pipeline'!$L$4:$L$503,_calc!$E$937)),TEXT(INDEX('Dealer pipeline'!$L$4:$L$503,_calc!$E$937),"yyyy-mm-dd"),""))=0,"","Labor end: "&amp;IF(ISNUMBER(INDEX('Dealer pipeline'!$L$4:$L$503,_calc!$E$937)),TEXT(INDEX('Dealer pipeline'!$L$4:$L$503,_calc!$E$937),"yyyy-mm-dd"),"")&amp;". ")&amp;IF(LEN(IF(LEN(INDEX('Dealer pipeline'!$Q$4:$Q$503,_calc!$E$937))=0,"",INDEX('Dealer pipeline'!$Q$4:$Q$503,_calc!$E$937)))=0,"","Status: "&amp;IF(LEN(INDEX('Dealer pipeline'!$Q$4:$Q$503,_calc!$E$937))=0,"",INDEX('Dealer pipeline'!$Q$4:$Q$503,_calc!$E$937))&amp;". ")&amp;IF(LEN(IF(LEN(INDEX('Dealer pipeline'!$P$4:$P$503,_calc!$E$937))=0,"",INDEX('Dealer pipeline'!$P$4:$P$503,_calc!$E$937)))=0,"","Last touch: "&amp;IF(LEN(INDEX('Dealer pipeline'!$P$4:$P$503,_calc!$E$937))=0,"",INDEX('Dealer pipeline'!$P$4:$P$503,_calc!$E$937))&amp;". ")&amp;IF(LEN(IF(LEN(INDEX('Dealer pipeline'!$R$4:$R$503,_calc!$E$937))=0,"",INDEX('Dealer pipeline'!$R$4:$R$503,_calc!$E$937)))=0,"","Owner: "&amp;IF(LEN(INDEX('Dealer pipeline'!$R$4:$R$503,_calc!$E$937))=0,"",INDEX('Dealer pipeline'!$R$4:$R$503,_calc!$E$937))&amp;". ")&amp;IF(LEN(IF(LEN(INDEX('Dealer pipeline'!$S$4:$S$503,_calc!$E$937))=0,"",INDEX('Dealer pipeline'!$S$4:$S$503,_calc!$E$937)))=0,"","Backup: "&amp;IF(LEN(INDEX('Dealer pipeline'!$S$4:$S$503,_calc!$E$937))=0,"",INDEX('Dealer pipeline'!$S$4:$S$503,_calc!$E$937))&amp;". ")&amp;IF(LEN(IF(LEN(INDEX('Dealer pipeline'!$T$4:$T$503,_calc!$E$937))=0,"",INDEX('Dealer pipeline'!$T$4:$T$503,_calc!$E$937)))=0,"",IF(LEN(INDEX('Dealer pipeline'!$T$4:$T$503,_calc!$E$937))=0,"",INDEX('Dealer pipeline'!$T$4:$T$503,_calc!$E$937)))),TRIM(IF(LEN(IF(LEN(INDEX('My equipment'!$C$4:$C$503,(_calc!$E$937-500)))=0,"",INDEX('My equipment'!$C$4:$C$503,(_calc!$E$937-500))))=0,"","Model: "&amp;IF(LEN(INDEX('My equipment'!$C$4:$C$503,(_calc!$E$937-500)))=0,"",INDEX('My equipment'!$C$4:$C$503,(_calc!$E$937-500)))&amp;". ")&amp;IF(LEN(IF(LEN(INDEX('My equipment'!$D$4:$D$503,(_calc!$E$937-500)))=0,"",INDEX('My equipment'!$D$4:$D$503,(_calc!$E$937-500))))=0,"","Serial: "&amp;IF(LEN(INDEX('My equipment'!$D$4:$D$503,(_calc!$E$937-500)))=0,"",INDEX('My equipment'!$D$4:$D$503,(_calc!$E$937-500)))&amp;". ")&amp;IF(LEN(IF(ISNUMBER(INDEX('My equipment'!$J$4:$J$503,(_calc!$E$937-500))),TEXT(INDEX('My equipment'!$J$4:$J$503,(_calc!$E$937-500)),"yyyy-mm-dd"),""))=0,"","Parts end: "&amp;IF(ISNUMBER(INDEX('My equipment'!$J$4:$J$503,(_calc!$E$937-500))),TEXT(INDEX('My equipment'!$J$4:$J$503,(_calc!$E$937-500)),"yyyy-mm-dd"),"")&amp;". ")&amp;IF(LEN(IF(ISNUMBER(INDEX('My equipment'!$L$4:$L$503,(_calc!$E$937-500))),TEXT(INDEX('My equipment'!$L$4:$L$503,(_calc!$E$937-500)),"yyyy-mm-dd"),""))=0,"","Labor end: "&amp;IF(ISNUMBER(INDEX('My equipment'!$L$4:$L$503,(_calc!$E$937-500))),TEXT(INDEX('My equipment'!$L$4:$L$503,(_calc!$E$937-500)),"yyyy-mm-dd"),"")&amp;". ")&amp;IF(LEN(IF(ISNUMBER(INDEX('My equipment'!$P$4:$P$503,(_calc!$E$937-500))),TEXT(INDEX('My equipment'!$P$4:$P$503,(_calc!$E$937-500)),"yyyy-mm-dd"),""))=0,"","Check by: "&amp;IF(ISNUMBER(INDEX('My equipment'!$P$4:$P$503,(_calc!$E$937-500))),TEXT(INDEX('My equipment'!$P$4:$P$503,(_calc!$E$937-500)),"yyyy-mm-dd"),"")&amp;". ")&amp;IF(LEN(IF(LEN(INDEX('My equipment'!$Q$4:$Q$503,(_calc!$E$937-500)))=0,"",INDEX('My equipment'!$Q$4:$Q$503,(_calc!$E$937-500))))=0,"","Claim status: "&amp;IF(LEN(INDEX('My equipment'!$Q$4:$Q$503,(_calc!$E$937-500)))=0,"",INDEX('My equipment'!$Q$4:$Q$503,(_calc!$E$937-500)))&amp;". ")&amp;IF(LEN(IF(LEN(INDEX('My equipment'!$R$4:$R$503,(_calc!$E$937-500)))=0,"",INDEX('My equipment'!$R$4:$R$503,(_calc!$E$937-500))))=0,"","Claims contact: "&amp;IF(LEN(INDEX('My equipment'!$R$4:$R$503,(_calc!$E$937-500)))=0,"",INDEX('My equipment'!$R$4:$R$503,(_calc!$E$937-500)))&amp;". ")&amp;IF(LEN(IF(LEN(INDEX('My equipment'!$S$4:$S$503,(_calc!$E$937-500)))=0,"",INDEX('My equipment'!$S$4:$S$503,(_calc!$E$937-500))))=0,"","Claims email: "&amp;IF(LEN(INDEX('My equipment'!$S$4:$S$503,(_calc!$E$937-500)))=0,"",INDEX('My equipment'!$S$4:$S$503,(_calc!$E$937-500)))&amp;". ")&amp;IF(LEN(IF(LEN(INDEX('My equipment'!$U$4:$U$503,(_calc!$E$937-500)))=0,"",INDEX('My equipment'!$U$4:$U$503,(_calc!$E$937-500))))=0,"","Registered: "&amp;IF(LEN(INDEX('My equipment'!$U$4:$U$503,(_calc!$E$937-500)))=0,"",INDEX('My equipment'!$U$4:$U$503,(_calc!$E$937-500)))&amp;". ")&amp;IF(LEN(IF(LEN(INDEX('My equipment'!$V$4:$V$503,(_calc!$E$937-500)))=0,"",INDEX('My equipment'!$V$4:$V$503,(_calc!$E$937-500))))=0,"","Proof on file: "&amp;IF(LEN(INDEX('My equipment'!$V$4:$V$503,(_calc!$E$937-500)))=0,"",INDEX('My equipment'!$V$4:$V$503,(_calc!$E$937-500)))&amp;". ")&amp;IF(LEN(IF(LEN(INDEX('My equipment'!$W$4:$W$503,(_calc!$E$937-500)))=0,"",INDEX('My equipment'!$W$4:$W$503,(_calc!$E$937-500))))=0,"","Claim ref: "&amp;IF(LEN(INDEX('My equipment'!$W$4:$W$503,(_calc!$E$937-500)))=0,"",INDEX('My equipment'!$W$4:$W$503,(_calc!$E$937-500)))&amp;". ")&amp;IF(LEN(IF(LEN(INDEX('My equipment'!$Y$4:$Y$503,(_calc!$E$937-500)))=0,"",INDEX('My equipment'!$Y$4:$Y$503,(_calc!$E$937-500))))=0,"",IF(LEN(INDEX('My equipment'!$Y$4:$Y$503,(_calc!$E$937-500)))=0,"",INDEX('My equipment'!$Y$4:$Y$503,(_calc!$E$937-500)))))))</f>
        <v/>
      </c>
      <c r="G935" s="54">
        <f>IF(_calc!$E$937="","",IF(_calc!$E$937&lt;=500,"",IF(LEN(INDEX('My equipment'!$X$4:$X$503,(_calc!$E$937-500)))=0,"",INDEX('My equipment'!$X$4:$X$503,(_calc!$E$937-500)))))</f>
        <v/>
      </c>
      <c r="K935" s="54">
        <f>IF(_calc!$E$937="","",IF(_calc!$E$937&lt;=500,"",IF(LEN(INDEX('My equipment'!$T$4:$T$503,(_calc!$E$937-500)))=0,"",INDEX('My equipment'!$T$4:$T$503,(_calc!$E$937-500)))))</f>
        <v/>
      </c>
    </row>
    <row r="936">
      <c r="A936" s="54">
        <f>IF(_calc!$E$938="","",IF(_calc!$E$938&lt;=500,"Warranty – "&amp;IF(LEN(INDEX('Dealer pipeline'!$C$4:$C$503,_calc!$E$938))=0,"",INDEX('Dealer pipeline'!$C$4:$C$503,_calc!$E$938))&amp;" – "&amp;IF(LEN(INDEX('Dealer pipeline'!$D$4:$D$503,_calc!$E$938))=0,"",INDEX('Dealer pipeline'!$D$4:$D$503,_calc!$E$938))&amp;" – "&amp;IF(LEN(INDEX('Dealer pipeline'!$A$4:$A$503,_calc!$E$938))=0,"",INDEX('Dealer pipeline'!$A$4:$A$503,_calc!$E$938)),"Warranty – "&amp;IF(LEN(INDEX('My equipment'!$A$4:$A$503,(_calc!$E$938-500)))=0,"",INDEX('My equipment'!$A$4:$A$503,(_calc!$E$938-500)))&amp;" – "&amp;IF(LEN(INDEX('My equipment'!$D$4:$D$503,(_calc!$E$938-500)))=0,"",INDEX('My equipment'!$D$4:$D$503,(_calc!$E$938-500)))))</f>
        <v/>
      </c>
      <c r="B936" s="54">
        <f>IF(_calc!$E$938="","",IF(_calc!$E$938&lt;=500,IF(ISNUMBER(INDEX('Dealer pipeline'!$M$4:$M$503,_calc!$E$938)),TEXT(INDEX('Dealer pipeline'!$M$4:$M$503,_calc!$E$938),"yyyy-mm-dd"),""),IF(ISNUMBER(INDEX('My equipment'!$M$4:$M$503,(_calc!$E$938-500))),TEXT(INDEX('My equipment'!$M$4:$M$503,(_calc!$E$938-500)),"yyyy-mm-dd"),"")))</f>
        <v/>
      </c>
      <c r="C936" s="54">
        <f>IF(_calc!$E$938="","",IF(_calc!$E$938&lt;=500,"Warranty","Warranty"))</f>
        <v/>
      </c>
      <c r="D936" s="54">
        <f>IF(_calc!$E$938="","",IF(_calc!$E$938&lt;=500,IF(ISNUMBER(INDEX('Dealer pipeline'!$H$4:$H$503,_calc!$E$938)),TEXT(INDEX('Dealer pipeline'!$H$4:$H$503,_calc!$E$938),"yyyy-mm-dd"),""),IF(ISNUMBER(INDEX('My equipment'!$H$4:$H$503,(_calc!$E$938-500))),TEXT(INDEX('My equipment'!$H$4:$H$503,(_calc!$E$938-500)),"yyyy-mm-dd"),"")))</f>
        <v/>
      </c>
      <c r="F936" s="54">
        <f>IF(_calc!$E$938="","",IF(_calc!$E$938&lt;=500,TRIM(IF(LEN(IF(LEN(INDEX('Dealer pipeline'!$A$4:$A$503,_calc!$E$938))=0,"",INDEX('Dealer pipeline'!$A$4:$A$503,_calc!$E$938)))=0,"","Customer: "&amp;IF(LEN(INDEX('Dealer pipeline'!$A$4:$A$503,_calc!$E$938))=0,"",INDEX('Dealer pipeline'!$A$4:$A$503,_calc!$E$938))&amp;". ")&amp;IF(LEN(IF(LEN(INDEX('Dealer pipeline'!$B$4:$B$503,_calc!$E$938))=0,"",INDEX('Dealer pipeline'!$B$4:$B$503,_calc!$E$938)))=0,"","Contact: "&amp;IF(LEN(INDEX('Dealer pipeline'!$B$4:$B$503,_calc!$E$938))=0,"",INDEX('Dealer pipeline'!$B$4:$B$503,_calc!$E$938))&amp;". ")&amp;IF(LEN(IF(LEN(INDEX('Dealer pipeline'!$D$4:$D$503,_calc!$E$938))=0,"",INDEX('Dealer pipeline'!$D$4:$D$503,_calc!$E$938)))=0,"","Serial: "&amp;IF(LEN(INDEX('Dealer pipeline'!$D$4:$D$503,_calc!$E$938))=0,"",INDEX('Dealer pipeline'!$D$4:$D$503,_calc!$E$938))&amp;". ")&amp;IF(LEN(IF(ISNUMBER(INDEX('Dealer pipeline'!$J$4:$J$503,_calc!$E$938)),TEXT(INDEX('Dealer pipeline'!$J$4:$J$503,_calc!$E$938),"yyyy-mm-dd"),""))=0,"","Parts end: "&amp;IF(ISNUMBER(INDEX('Dealer pipeline'!$J$4:$J$503,_calc!$E$938)),TEXT(INDEX('Dealer pipeline'!$J$4:$J$503,_calc!$E$938),"yyyy-mm-dd"),"")&amp;". ")&amp;IF(LEN(IF(ISNUMBER(INDEX('Dealer pipeline'!$L$4:$L$503,_calc!$E$938)),TEXT(INDEX('Dealer pipeline'!$L$4:$L$503,_calc!$E$938),"yyyy-mm-dd"),""))=0,"","Labor end: "&amp;IF(ISNUMBER(INDEX('Dealer pipeline'!$L$4:$L$503,_calc!$E$938)),TEXT(INDEX('Dealer pipeline'!$L$4:$L$503,_calc!$E$938),"yyyy-mm-dd"),"")&amp;". ")&amp;IF(LEN(IF(LEN(INDEX('Dealer pipeline'!$Q$4:$Q$503,_calc!$E$938))=0,"",INDEX('Dealer pipeline'!$Q$4:$Q$503,_calc!$E$938)))=0,"","Status: "&amp;IF(LEN(INDEX('Dealer pipeline'!$Q$4:$Q$503,_calc!$E$938))=0,"",INDEX('Dealer pipeline'!$Q$4:$Q$503,_calc!$E$938))&amp;". ")&amp;IF(LEN(IF(LEN(INDEX('Dealer pipeline'!$P$4:$P$503,_calc!$E$938))=0,"",INDEX('Dealer pipeline'!$P$4:$P$503,_calc!$E$938)))=0,"","Last touch: "&amp;IF(LEN(INDEX('Dealer pipeline'!$P$4:$P$503,_calc!$E$938))=0,"",INDEX('Dealer pipeline'!$P$4:$P$503,_calc!$E$938))&amp;". ")&amp;IF(LEN(IF(LEN(INDEX('Dealer pipeline'!$R$4:$R$503,_calc!$E$938))=0,"",INDEX('Dealer pipeline'!$R$4:$R$503,_calc!$E$938)))=0,"","Owner: "&amp;IF(LEN(INDEX('Dealer pipeline'!$R$4:$R$503,_calc!$E$938))=0,"",INDEX('Dealer pipeline'!$R$4:$R$503,_calc!$E$938))&amp;". ")&amp;IF(LEN(IF(LEN(INDEX('Dealer pipeline'!$S$4:$S$503,_calc!$E$938))=0,"",INDEX('Dealer pipeline'!$S$4:$S$503,_calc!$E$938)))=0,"","Backup: "&amp;IF(LEN(INDEX('Dealer pipeline'!$S$4:$S$503,_calc!$E$938))=0,"",INDEX('Dealer pipeline'!$S$4:$S$503,_calc!$E$938))&amp;". ")&amp;IF(LEN(IF(LEN(INDEX('Dealer pipeline'!$T$4:$T$503,_calc!$E$938))=0,"",INDEX('Dealer pipeline'!$T$4:$T$503,_calc!$E$938)))=0,"",IF(LEN(INDEX('Dealer pipeline'!$T$4:$T$503,_calc!$E$938))=0,"",INDEX('Dealer pipeline'!$T$4:$T$503,_calc!$E$938)))),TRIM(IF(LEN(IF(LEN(INDEX('My equipment'!$C$4:$C$503,(_calc!$E$938-500)))=0,"",INDEX('My equipment'!$C$4:$C$503,(_calc!$E$938-500))))=0,"","Model: "&amp;IF(LEN(INDEX('My equipment'!$C$4:$C$503,(_calc!$E$938-500)))=0,"",INDEX('My equipment'!$C$4:$C$503,(_calc!$E$938-500)))&amp;". ")&amp;IF(LEN(IF(LEN(INDEX('My equipment'!$D$4:$D$503,(_calc!$E$938-500)))=0,"",INDEX('My equipment'!$D$4:$D$503,(_calc!$E$938-500))))=0,"","Serial: "&amp;IF(LEN(INDEX('My equipment'!$D$4:$D$503,(_calc!$E$938-500)))=0,"",INDEX('My equipment'!$D$4:$D$503,(_calc!$E$938-500)))&amp;". ")&amp;IF(LEN(IF(ISNUMBER(INDEX('My equipment'!$J$4:$J$503,(_calc!$E$938-500))),TEXT(INDEX('My equipment'!$J$4:$J$503,(_calc!$E$938-500)),"yyyy-mm-dd"),""))=0,"","Parts end: "&amp;IF(ISNUMBER(INDEX('My equipment'!$J$4:$J$503,(_calc!$E$938-500))),TEXT(INDEX('My equipment'!$J$4:$J$503,(_calc!$E$938-500)),"yyyy-mm-dd"),"")&amp;". ")&amp;IF(LEN(IF(ISNUMBER(INDEX('My equipment'!$L$4:$L$503,(_calc!$E$938-500))),TEXT(INDEX('My equipment'!$L$4:$L$503,(_calc!$E$938-500)),"yyyy-mm-dd"),""))=0,"","Labor end: "&amp;IF(ISNUMBER(INDEX('My equipment'!$L$4:$L$503,(_calc!$E$938-500))),TEXT(INDEX('My equipment'!$L$4:$L$503,(_calc!$E$938-500)),"yyyy-mm-dd"),"")&amp;". ")&amp;IF(LEN(IF(ISNUMBER(INDEX('My equipment'!$P$4:$P$503,(_calc!$E$938-500))),TEXT(INDEX('My equipment'!$P$4:$P$503,(_calc!$E$938-500)),"yyyy-mm-dd"),""))=0,"","Check by: "&amp;IF(ISNUMBER(INDEX('My equipment'!$P$4:$P$503,(_calc!$E$938-500))),TEXT(INDEX('My equipment'!$P$4:$P$503,(_calc!$E$938-500)),"yyyy-mm-dd"),"")&amp;". ")&amp;IF(LEN(IF(LEN(INDEX('My equipment'!$Q$4:$Q$503,(_calc!$E$938-500)))=0,"",INDEX('My equipment'!$Q$4:$Q$503,(_calc!$E$938-500))))=0,"","Claim status: "&amp;IF(LEN(INDEX('My equipment'!$Q$4:$Q$503,(_calc!$E$938-500)))=0,"",INDEX('My equipment'!$Q$4:$Q$503,(_calc!$E$938-500)))&amp;". ")&amp;IF(LEN(IF(LEN(INDEX('My equipment'!$R$4:$R$503,(_calc!$E$938-500)))=0,"",INDEX('My equipment'!$R$4:$R$503,(_calc!$E$938-500))))=0,"","Claims contact: "&amp;IF(LEN(INDEX('My equipment'!$R$4:$R$503,(_calc!$E$938-500)))=0,"",INDEX('My equipment'!$R$4:$R$503,(_calc!$E$938-500)))&amp;". ")&amp;IF(LEN(IF(LEN(INDEX('My equipment'!$S$4:$S$503,(_calc!$E$938-500)))=0,"",INDEX('My equipment'!$S$4:$S$503,(_calc!$E$938-500))))=0,"","Claims email: "&amp;IF(LEN(INDEX('My equipment'!$S$4:$S$503,(_calc!$E$938-500)))=0,"",INDEX('My equipment'!$S$4:$S$503,(_calc!$E$938-500)))&amp;". ")&amp;IF(LEN(IF(LEN(INDEX('My equipment'!$U$4:$U$503,(_calc!$E$938-500)))=0,"",INDEX('My equipment'!$U$4:$U$503,(_calc!$E$938-500))))=0,"","Registered: "&amp;IF(LEN(INDEX('My equipment'!$U$4:$U$503,(_calc!$E$938-500)))=0,"",INDEX('My equipment'!$U$4:$U$503,(_calc!$E$938-500)))&amp;". ")&amp;IF(LEN(IF(LEN(INDEX('My equipment'!$V$4:$V$503,(_calc!$E$938-500)))=0,"",INDEX('My equipment'!$V$4:$V$503,(_calc!$E$938-500))))=0,"","Proof on file: "&amp;IF(LEN(INDEX('My equipment'!$V$4:$V$503,(_calc!$E$938-500)))=0,"",INDEX('My equipment'!$V$4:$V$503,(_calc!$E$938-500)))&amp;". ")&amp;IF(LEN(IF(LEN(INDEX('My equipment'!$W$4:$W$503,(_calc!$E$938-500)))=0,"",INDEX('My equipment'!$W$4:$W$503,(_calc!$E$938-500))))=0,"","Claim ref: "&amp;IF(LEN(INDEX('My equipment'!$W$4:$W$503,(_calc!$E$938-500)))=0,"",INDEX('My equipment'!$W$4:$W$503,(_calc!$E$938-500)))&amp;". ")&amp;IF(LEN(IF(LEN(INDEX('My equipment'!$Y$4:$Y$503,(_calc!$E$938-500)))=0,"",INDEX('My equipment'!$Y$4:$Y$503,(_calc!$E$938-500))))=0,"",IF(LEN(INDEX('My equipment'!$Y$4:$Y$503,(_calc!$E$938-500)))=0,"",INDEX('My equipment'!$Y$4:$Y$503,(_calc!$E$938-500)))))))</f>
        <v/>
      </c>
      <c r="G936" s="54">
        <f>IF(_calc!$E$938="","",IF(_calc!$E$938&lt;=500,"",IF(LEN(INDEX('My equipment'!$X$4:$X$503,(_calc!$E$938-500)))=0,"",INDEX('My equipment'!$X$4:$X$503,(_calc!$E$938-500)))))</f>
        <v/>
      </c>
      <c r="K936" s="54">
        <f>IF(_calc!$E$938="","",IF(_calc!$E$938&lt;=500,"",IF(LEN(INDEX('My equipment'!$T$4:$T$503,(_calc!$E$938-500)))=0,"",INDEX('My equipment'!$T$4:$T$503,(_calc!$E$938-500)))))</f>
        <v/>
      </c>
    </row>
    <row r="937">
      <c r="A937" s="54">
        <f>IF(_calc!$E$939="","",IF(_calc!$E$939&lt;=500,"Warranty – "&amp;IF(LEN(INDEX('Dealer pipeline'!$C$4:$C$503,_calc!$E$939))=0,"",INDEX('Dealer pipeline'!$C$4:$C$503,_calc!$E$939))&amp;" – "&amp;IF(LEN(INDEX('Dealer pipeline'!$D$4:$D$503,_calc!$E$939))=0,"",INDEX('Dealer pipeline'!$D$4:$D$503,_calc!$E$939))&amp;" – "&amp;IF(LEN(INDEX('Dealer pipeline'!$A$4:$A$503,_calc!$E$939))=0,"",INDEX('Dealer pipeline'!$A$4:$A$503,_calc!$E$939)),"Warranty – "&amp;IF(LEN(INDEX('My equipment'!$A$4:$A$503,(_calc!$E$939-500)))=0,"",INDEX('My equipment'!$A$4:$A$503,(_calc!$E$939-500)))&amp;" – "&amp;IF(LEN(INDEX('My equipment'!$D$4:$D$503,(_calc!$E$939-500)))=0,"",INDEX('My equipment'!$D$4:$D$503,(_calc!$E$939-500)))))</f>
        <v/>
      </c>
      <c r="B937" s="54">
        <f>IF(_calc!$E$939="","",IF(_calc!$E$939&lt;=500,IF(ISNUMBER(INDEX('Dealer pipeline'!$M$4:$M$503,_calc!$E$939)),TEXT(INDEX('Dealer pipeline'!$M$4:$M$503,_calc!$E$939),"yyyy-mm-dd"),""),IF(ISNUMBER(INDEX('My equipment'!$M$4:$M$503,(_calc!$E$939-500))),TEXT(INDEX('My equipment'!$M$4:$M$503,(_calc!$E$939-500)),"yyyy-mm-dd"),"")))</f>
        <v/>
      </c>
      <c r="C937" s="54">
        <f>IF(_calc!$E$939="","",IF(_calc!$E$939&lt;=500,"Warranty","Warranty"))</f>
        <v/>
      </c>
      <c r="D937" s="54">
        <f>IF(_calc!$E$939="","",IF(_calc!$E$939&lt;=500,IF(ISNUMBER(INDEX('Dealer pipeline'!$H$4:$H$503,_calc!$E$939)),TEXT(INDEX('Dealer pipeline'!$H$4:$H$503,_calc!$E$939),"yyyy-mm-dd"),""),IF(ISNUMBER(INDEX('My equipment'!$H$4:$H$503,(_calc!$E$939-500))),TEXT(INDEX('My equipment'!$H$4:$H$503,(_calc!$E$939-500)),"yyyy-mm-dd"),"")))</f>
        <v/>
      </c>
      <c r="F937" s="54">
        <f>IF(_calc!$E$939="","",IF(_calc!$E$939&lt;=500,TRIM(IF(LEN(IF(LEN(INDEX('Dealer pipeline'!$A$4:$A$503,_calc!$E$939))=0,"",INDEX('Dealer pipeline'!$A$4:$A$503,_calc!$E$939)))=0,"","Customer: "&amp;IF(LEN(INDEX('Dealer pipeline'!$A$4:$A$503,_calc!$E$939))=0,"",INDEX('Dealer pipeline'!$A$4:$A$503,_calc!$E$939))&amp;". ")&amp;IF(LEN(IF(LEN(INDEX('Dealer pipeline'!$B$4:$B$503,_calc!$E$939))=0,"",INDEX('Dealer pipeline'!$B$4:$B$503,_calc!$E$939)))=0,"","Contact: "&amp;IF(LEN(INDEX('Dealer pipeline'!$B$4:$B$503,_calc!$E$939))=0,"",INDEX('Dealer pipeline'!$B$4:$B$503,_calc!$E$939))&amp;". ")&amp;IF(LEN(IF(LEN(INDEX('Dealer pipeline'!$D$4:$D$503,_calc!$E$939))=0,"",INDEX('Dealer pipeline'!$D$4:$D$503,_calc!$E$939)))=0,"","Serial: "&amp;IF(LEN(INDEX('Dealer pipeline'!$D$4:$D$503,_calc!$E$939))=0,"",INDEX('Dealer pipeline'!$D$4:$D$503,_calc!$E$939))&amp;". ")&amp;IF(LEN(IF(ISNUMBER(INDEX('Dealer pipeline'!$J$4:$J$503,_calc!$E$939)),TEXT(INDEX('Dealer pipeline'!$J$4:$J$503,_calc!$E$939),"yyyy-mm-dd"),""))=0,"","Parts end: "&amp;IF(ISNUMBER(INDEX('Dealer pipeline'!$J$4:$J$503,_calc!$E$939)),TEXT(INDEX('Dealer pipeline'!$J$4:$J$503,_calc!$E$939),"yyyy-mm-dd"),"")&amp;". ")&amp;IF(LEN(IF(ISNUMBER(INDEX('Dealer pipeline'!$L$4:$L$503,_calc!$E$939)),TEXT(INDEX('Dealer pipeline'!$L$4:$L$503,_calc!$E$939),"yyyy-mm-dd"),""))=0,"","Labor end: "&amp;IF(ISNUMBER(INDEX('Dealer pipeline'!$L$4:$L$503,_calc!$E$939)),TEXT(INDEX('Dealer pipeline'!$L$4:$L$503,_calc!$E$939),"yyyy-mm-dd"),"")&amp;". ")&amp;IF(LEN(IF(LEN(INDEX('Dealer pipeline'!$Q$4:$Q$503,_calc!$E$939))=0,"",INDEX('Dealer pipeline'!$Q$4:$Q$503,_calc!$E$939)))=0,"","Status: "&amp;IF(LEN(INDEX('Dealer pipeline'!$Q$4:$Q$503,_calc!$E$939))=0,"",INDEX('Dealer pipeline'!$Q$4:$Q$503,_calc!$E$939))&amp;". ")&amp;IF(LEN(IF(LEN(INDEX('Dealer pipeline'!$P$4:$P$503,_calc!$E$939))=0,"",INDEX('Dealer pipeline'!$P$4:$P$503,_calc!$E$939)))=0,"","Last touch: "&amp;IF(LEN(INDEX('Dealer pipeline'!$P$4:$P$503,_calc!$E$939))=0,"",INDEX('Dealer pipeline'!$P$4:$P$503,_calc!$E$939))&amp;". ")&amp;IF(LEN(IF(LEN(INDEX('Dealer pipeline'!$R$4:$R$503,_calc!$E$939))=0,"",INDEX('Dealer pipeline'!$R$4:$R$503,_calc!$E$939)))=0,"","Owner: "&amp;IF(LEN(INDEX('Dealer pipeline'!$R$4:$R$503,_calc!$E$939))=0,"",INDEX('Dealer pipeline'!$R$4:$R$503,_calc!$E$939))&amp;". ")&amp;IF(LEN(IF(LEN(INDEX('Dealer pipeline'!$S$4:$S$503,_calc!$E$939))=0,"",INDEX('Dealer pipeline'!$S$4:$S$503,_calc!$E$939)))=0,"","Backup: "&amp;IF(LEN(INDEX('Dealer pipeline'!$S$4:$S$503,_calc!$E$939))=0,"",INDEX('Dealer pipeline'!$S$4:$S$503,_calc!$E$939))&amp;". ")&amp;IF(LEN(IF(LEN(INDEX('Dealer pipeline'!$T$4:$T$503,_calc!$E$939))=0,"",INDEX('Dealer pipeline'!$T$4:$T$503,_calc!$E$939)))=0,"",IF(LEN(INDEX('Dealer pipeline'!$T$4:$T$503,_calc!$E$939))=0,"",INDEX('Dealer pipeline'!$T$4:$T$503,_calc!$E$939)))),TRIM(IF(LEN(IF(LEN(INDEX('My equipment'!$C$4:$C$503,(_calc!$E$939-500)))=0,"",INDEX('My equipment'!$C$4:$C$503,(_calc!$E$939-500))))=0,"","Model: "&amp;IF(LEN(INDEX('My equipment'!$C$4:$C$503,(_calc!$E$939-500)))=0,"",INDEX('My equipment'!$C$4:$C$503,(_calc!$E$939-500)))&amp;". ")&amp;IF(LEN(IF(LEN(INDEX('My equipment'!$D$4:$D$503,(_calc!$E$939-500)))=0,"",INDEX('My equipment'!$D$4:$D$503,(_calc!$E$939-500))))=0,"","Serial: "&amp;IF(LEN(INDEX('My equipment'!$D$4:$D$503,(_calc!$E$939-500)))=0,"",INDEX('My equipment'!$D$4:$D$503,(_calc!$E$939-500)))&amp;". ")&amp;IF(LEN(IF(ISNUMBER(INDEX('My equipment'!$J$4:$J$503,(_calc!$E$939-500))),TEXT(INDEX('My equipment'!$J$4:$J$503,(_calc!$E$939-500)),"yyyy-mm-dd"),""))=0,"","Parts end: "&amp;IF(ISNUMBER(INDEX('My equipment'!$J$4:$J$503,(_calc!$E$939-500))),TEXT(INDEX('My equipment'!$J$4:$J$503,(_calc!$E$939-500)),"yyyy-mm-dd"),"")&amp;". ")&amp;IF(LEN(IF(ISNUMBER(INDEX('My equipment'!$L$4:$L$503,(_calc!$E$939-500))),TEXT(INDEX('My equipment'!$L$4:$L$503,(_calc!$E$939-500)),"yyyy-mm-dd"),""))=0,"","Labor end: "&amp;IF(ISNUMBER(INDEX('My equipment'!$L$4:$L$503,(_calc!$E$939-500))),TEXT(INDEX('My equipment'!$L$4:$L$503,(_calc!$E$939-500)),"yyyy-mm-dd"),"")&amp;". ")&amp;IF(LEN(IF(ISNUMBER(INDEX('My equipment'!$P$4:$P$503,(_calc!$E$939-500))),TEXT(INDEX('My equipment'!$P$4:$P$503,(_calc!$E$939-500)),"yyyy-mm-dd"),""))=0,"","Check by: "&amp;IF(ISNUMBER(INDEX('My equipment'!$P$4:$P$503,(_calc!$E$939-500))),TEXT(INDEX('My equipment'!$P$4:$P$503,(_calc!$E$939-500)),"yyyy-mm-dd"),"")&amp;". ")&amp;IF(LEN(IF(LEN(INDEX('My equipment'!$Q$4:$Q$503,(_calc!$E$939-500)))=0,"",INDEX('My equipment'!$Q$4:$Q$503,(_calc!$E$939-500))))=0,"","Claim status: "&amp;IF(LEN(INDEX('My equipment'!$Q$4:$Q$503,(_calc!$E$939-500)))=0,"",INDEX('My equipment'!$Q$4:$Q$503,(_calc!$E$939-500)))&amp;". ")&amp;IF(LEN(IF(LEN(INDEX('My equipment'!$R$4:$R$503,(_calc!$E$939-500)))=0,"",INDEX('My equipment'!$R$4:$R$503,(_calc!$E$939-500))))=0,"","Claims contact: "&amp;IF(LEN(INDEX('My equipment'!$R$4:$R$503,(_calc!$E$939-500)))=0,"",INDEX('My equipment'!$R$4:$R$503,(_calc!$E$939-500)))&amp;". ")&amp;IF(LEN(IF(LEN(INDEX('My equipment'!$S$4:$S$503,(_calc!$E$939-500)))=0,"",INDEX('My equipment'!$S$4:$S$503,(_calc!$E$939-500))))=0,"","Claims email: "&amp;IF(LEN(INDEX('My equipment'!$S$4:$S$503,(_calc!$E$939-500)))=0,"",INDEX('My equipment'!$S$4:$S$503,(_calc!$E$939-500)))&amp;". ")&amp;IF(LEN(IF(LEN(INDEX('My equipment'!$U$4:$U$503,(_calc!$E$939-500)))=0,"",INDEX('My equipment'!$U$4:$U$503,(_calc!$E$939-500))))=0,"","Registered: "&amp;IF(LEN(INDEX('My equipment'!$U$4:$U$503,(_calc!$E$939-500)))=0,"",INDEX('My equipment'!$U$4:$U$503,(_calc!$E$939-500)))&amp;". ")&amp;IF(LEN(IF(LEN(INDEX('My equipment'!$V$4:$V$503,(_calc!$E$939-500)))=0,"",INDEX('My equipment'!$V$4:$V$503,(_calc!$E$939-500))))=0,"","Proof on file: "&amp;IF(LEN(INDEX('My equipment'!$V$4:$V$503,(_calc!$E$939-500)))=0,"",INDEX('My equipment'!$V$4:$V$503,(_calc!$E$939-500)))&amp;". ")&amp;IF(LEN(IF(LEN(INDEX('My equipment'!$W$4:$W$503,(_calc!$E$939-500)))=0,"",INDEX('My equipment'!$W$4:$W$503,(_calc!$E$939-500))))=0,"","Claim ref: "&amp;IF(LEN(INDEX('My equipment'!$W$4:$W$503,(_calc!$E$939-500)))=0,"",INDEX('My equipment'!$W$4:$W$503,(_calc!$E$939-500)))&amp;". ")&amp;IF(LEN(IF(LEN(INDEX('My equipment'!$Y$4:$Y$503,(_calc!$E$939-500)))=0,"",INDEX('My equipment'!$Y$4:$Y$503,(_calc!$E$939-500))))=0,"",IF(LEN(INDEX('My equipment'!$Y$4:$Y$503,(_calc!$E$939-500)))=0,"",INDEX('My equipment'!$Y$4:$Y$503,(_calc!$E$939-500)))))))</f>
        <v/>
      </c>
      <c r="G937" s="54">
        <f>IF(_calc!$E$939="","",IF(_calc!$E$939&lt;=500,"",IF(LEN(INDEX('My equipment'!$X$4:$X$503,(_calc!$E$939-500)))=0,"",INDEX('My equipment'!$X$4:$X$503,(_calc!$E$939-500)))))</f>
        <v/>
      </c>
      <c r="K937" s="54">
        <f>IF(_calc!$E$939="","",IF(_calc!$E$939&lt;=500,"",IF(LEN(INDEX('My equipment'!$T$4:$T$503,(_calc!$E$939-500)))=0,"",INDEX('My equipment'!$T$4:$T$503,(_calc!$E$939-500)))))</f>
        <v/>
      </c>
    </row>
    <row r="938">
      <c r="A938" s="54">
        <f>IF(_calc!$E$940="","",IF(_calc!$E$940&lt;=500,"Warranty – "&amp;IF(LEN(INDEX('Dealer pipeline'!$C$4:$C$503,_calc!$E$940))=0,"",INDEX('Dealer pipeline'!$C$4:$C$503,_calc!$E$940))&amp;" – "&amp;IF(LEN(INDEX('Dealer pipeline'!$D$4:$D$503,_calc!$E$940))=0,"",INDEX('Dealer pipeline'!$D$4:$D$503,_calc!$E$940))&amp;" – "&amp;IF(LEN(INDEX('Dealer pipeline'!$A$4:$A$503,_calc!$E$940))=0,"",INDEX('Dealer pipeline'!$A$4:$A$503,_calc!$E$940)),"Warranty – "&amp;IF(LEN(INDEX('My equipment'!$A$4:$A$503,(_calc!$E$940-500)))=0,"",INDEX('My equipment'!$A$4:$A$503,(_calc!$E$940-500)))&amp;" – "&amp;IF(LEN(INDEX('My equipment'!$D$4:$D$503,(_calc!$E$940-500)))=0,"",INDEX('My equipment'!$D$4:$D$503,(_calc!$E$940-500)))))</f>
        <v/>
      </c>
      <c r="B938" s="54">
        <f>IF(_calc!$E$940="","",IF(_calc!$E$940&lt;=500,IF(ISNUMBER(INDEX('Dealer pipeline'!$M$4:$M$503,_calc!$E$940)),TEXT(INDEX('Dealer pipeline'!$M$4:$M$503,_calc!$E$940),"yyyy-mm-dd"),""),IF(ISNUMBER(INDEX('My equipment'!$M$4:$M$503,(_calc!$E$940-500))),TEXT(INDEX('My equipment'!$M$4:$M$503,(_calc!$E$940-500)),"yyyy-mm-dd"),"")))</f>
        <v/>
      </c>
      <c r="C938" s="54">
        <f>IF(_calc!$E$940="","",IF(_calc!$E$940&lt;=500,"Warranty","Warranty"))</f>
        <v/>
      </c>
      <c r="D938" s="54">
        <f>IF(_calc!$E$940="","",IF(_calc!$E$940&lt;=500,IF(ISNUMBER(INDEX('Dealer pipeline'!$H$4:$H$503,_calc!$E$940)),TEXT(INDEX('Dealer pipeline'!$H$4:$H$503,_calc!$E$940),"yyyy-mm-dd"),""),IF(ISNUMBER(INDEX('My equipment'!$H$4:$H$503,(_calc!$E$940-500))),TEXT(INDEX('My equipment'!$H$4:$H$503,(_calc!$E$940-500)),"yyyy-mm-dd"),"")))</f>
        <v/>
      </c>
      <c r="F938" s="54">
        <f>IF(_calc!$E$940="","",IF(_calc!$E$940&lt;=500,TRIM(IF(LEN(IF(LEN(INDEX('Dealer pipeline'!$A$4:$A$503,_calc!$E$940))=0,"",INDEX('Dealer pipeline'!$A$4:$A$503,_calc!$E$940)))=0,"","Customer: "&amp;IF(LEN(INDEX('Dealer pipeline'!$A$4:$A$503,_calc!$E$940))=0,"",INDEX('Dealer pipeline'!$A$4:$A$503,_calc!$E$940))&amp;". ")&amp;IF(LEN(IF(LEN(INDEX('Dealer pipeline'!$B$4:$B$503,_calc!$E$940))=0,"",INDEX('Dealer pipeline'!$B$4:$B$503,_calc!$E$940)))=0,"","Contact: "&amp;IF(LEN(INDEX('Dealer pipeline'!$B$4:$B$503,_calc!$E$940))=0,"",INDEX('Dealer pipeline'!$B$4:$B$503,_calc!$E$940))&amp;". ")&amp;IF(LEN(IF(LEN(INDEX('Dealer pipeline'!$D$4:$D$503,_calc!$E$940))=0,"",INDEX('Dealer pipeline'!$D$4:$D$503,_calc!$E$940)))=0,"","Serial: "&amp;IF(LEN(INDEX('Dealer pipeline'!$D$4:$D$503,_calc!$E$940))=0,"",INDEX('Dealer pipeline'!$D$4:$D$503,_calc!$E$940))&amp;". ")&amp;IF(LEN(IF(ISNUMBER(INDEX('Dealer pipeline'!$J$4:$J$503,_calc!$E$940)),TEXT(INDEX('Dealer pipeline'!$J$4:$J$503,_calc!$E$940),"yyyy-mm-dd"),""))=0,"","Parts end: "&amp;IF(ISNUMBER(INDEX('Dealer pipeline'!$J$4:$J$503,_calc!$E$940)),TEXT(INDEX('Dealer pipeline'!$J$4:$J$503,_calc!$E$940),"yyyy-mm-dd"),"")&amp;". ")&amp;IF(LEN(IF(ISNUMBER(INDEX('Dealer pipeline'!$L$4:$L$503,_calc!$E$940)),TEXT(INDEX('Dealer pipeline'!$L$4:$L$503,_calc!$E$940),"yyyy-mm-dd"),""))=0,"","Labor end: "&amp;IF(ISNUMBER(INDEX('Dealer pipeline'!$L$4:$L$503,_calc!$E$940)),TEXT(INDEX('Dealer pipeline'!$L$4:$L$503,_calc!$E$940),"yyyy-mm-dd"),"")&amp;". ")&amp;IF(LEN(IF(LEN(INDEX('Dealer pipeline'!$Q$4:$Q$503,_calc!$E$940))=0,"",INDEX('Dealer pipeline'!$Q$4:$Q$503,_calc!$E$940)))=0,"","Status: "&amp;IF(LEN(INDEX('Dealer pipeline'!$Q$4:$Q$503,_calc!$E$940))=0,"",INDEX('Dealer pipeline'!$Q$4:$Q$503,_calc!$E$940))&amp;". ")&amp;IF(LEN(IF(LEN(INDEX('Dealer pipeline'!$P$4:$P$503,_calc!$E$940))=0,"",INDEX('Dealer pipeline'!$P$4:$P$503,_calc!$E$940)))=0,"","Last touch: "&amp;IF(LEN(INDEX('Dealer pipeline'!$P$4:$P$503,_calc!$E$940))=0,"",INDEX('Dealer pipeline'!$P$4:$P$503,_calc!$E$940))&amp;". ")&amp;IF(LEN(IF(LEN(INDEX('Dealer pipeline'!$R$4:$R$503,_calc!$E$940))=0,"",INDEX('Dealer pipeline'!$R$4:$R$503,_calc!$E$940)))=0,"","Owner: "&amp;IF(LEN(INDEX('Dealer pipeline'!$R$4:$R$503,_calc!$E$940))=0,"",INDEX('Dealer pipeline'!$R$4:$R$503,_calc!$E$940))&amp;". ")&amp;IF(LEN(IF(LEN(INDEX('Dealer pipeline'!$S$4:$S$503,_calc!$E$940))=0,"",INDEX('Dealer pipeline'!$S$4:$S$503,_calc!$E$940)))=0,"","Backup: "&amp;IF(LEN(INDEX('Dealer pipeline'!$S$4:$S$503,_calc!$E$940))=0,"",INDEX('Dealer pipeline'!$S$4:$S$503,_calc!$E$940))&amp;". ")&amp;IF(LEN(IF(LEN(INDEX('Dealer pipeline'!$T$4:$T$503,_calc!$E$940))=0,"",INDEX('Dealer pipeline'!$T$4:$T$503,_calc!$E$940)))=0,"",IF(LEN(INDEX('Dealer pipeline'!$T$4:$T$503,_calc!$E$940))=0,"",INDEX('Dealer pipeline'!$T$4:$T$503,_calc!$E$940)))),TRIM(IF(LEN(IF(LEN(INDEX('My equipment'!$C$4:$C$503,(_calc!$E$940-500)))=0,"",INDEX('My equipment'!$C$4:$C$503,(_calc!$E$940-500))))=0,"","Model: "&amp;IF(LEN(INDEX('My equipment'!$C$4:$C$503,(_calc!$E$940-500)))=0,"",INDEX('My equipment'!$C$4:$C$503,(_calc!$E$940-500)))&amp;". ")&amp;IF(LEN(IF(LEN(INDEX('My equipment'!$D$4:$D$503,(_calc!$E$940-500)))=0,"",INDEX('My equipment'!$D$4:$D$503,(_calc!$E$940-500))))=0,"","Serial: "&amp;IF(LEN(INDEX('My equipment'!$D$4:$D$503,(_calc!$E$940-500)))=0,"",INDEX('My equipment'!$D$4:$D$503,(_calc!$E$940-500)))&amp;". ")&amp;IF(LEN(IF(ISNUMBER(INDEX('My equipment'!$J$4:$J$503,(_calc!$E$940-500))),TEXT(INDEX('My equipment'!$J$4:$J$503,(_calc!$E$940-500)),"yyyy-mm-dd"),""))=0,"","Parts end: "&amp;IF(ISNUMBER(INDEX('My equipment'!$J$4:$J$503,(_calc!$E$940-500))),TEXT(INDEX('My equipment'!$J$4:$J$503,(_calc!$E$940-500)),"yyyy-mm-dd"),"")&amp;". ")&amp;IF(LEN(IF(ISNUMBER(INDEX('My equipment'!$L$4:$L$503,(_calc!$E$940-500))),TEXT(INDEX('My equipment'!$L$4:$L$503,(_calc!$E$940-500)),"yyyy-mm-dd"),""))=0,"","Labor end: "&amp;IF(ISNUMBER(INDEX('My equipment'!$L$4:$L$503,(_calc!$E$940-500))),TEXT(INDEX('My equipment'!$L$4:$L$503,(_calc!$E$940-500)),"yyyy-mm-dd"),"")&amp;". ")&amp;IF(LEN(IF(ISNUMBER(INDEX('My equipment'!$P$4:$P$503,(_calc!$E$940-500))),TEXT(INDEX('My equipment'!$P$4:$P$503,(_calc!$E$940-500)),"yyyy-mm-dd"),""))=0,"","Check by: "&amp;IF(ISNUMBER(INDEX('My equipment'!$P$4:$P$503,(_calc!$E$940-500))),TEXT(INDEX('My equipment'!$P$4:$P$503,(_calc!$E$940-500)),"yyyy-mm-dd"),"")&amp;". ")&amp;IF(LEN(IF(LEN(INDEX('My equipment'!$Q$4:$Q$503,(_calc!$E$940-500)))=0,"",INDEX('My equipment'!$Q$4:$Q$503,(_calc!$E$940-500))))=0,"","Claim status: "&amp;IF(LEN(INDEX('My equipment'!$Q$4:$Q$503,(_calc!$E$940-500)))=0,"",INDEX('My equipment'!$Q$4:$Q$503,(_calc!$E$940-500)))&amp;". ")&amp;IF(LEN(IF(LEN(INDEX('My equipment'!$R$4:$R$503,(_calc!$E$940-500)))=0,"",INDEX('My equipment'!$R$4:$R$503,(_calc!$E$940-500))))=0,"","Claims contact: "&amp;IF(LEN(INDEX('My equipment'!$R$4:$R$503,(_calc!$E$940-500)))=0,"",INDEX('My equipment'!$R$4:$R$503,(_calc!$E$940-500)))&amp;". ")&amp;IF(LEN(IF(LEN(INDEX('My equipment'!$S$4:$S$503,(_calc!$E$940-500)))=0,"",INDEX('My equipment'!$S$4:$S$503,(_calc!$E$940-500))))=0,"","Claims email: "&amp;IF(LEN(INDEX('My equipment'!$S$4:$S$503,(_calc!$E$940-500)))=0,"",INDEX('My equipment'!$S$4:$S$503,(_calc!$E$940-500)))&amp;". ")&amp;IF(LEN(IF(LEN(INDEX('My equipment'!$U$4:$U$503,(_calc!$E$940-500)))=0,"",INDEX('My equipment'!$U$4:$U$503,(_calc!$E$940-500))))=0,"","Registered: "&amp;IF(LEN(INDEX('My equipment'!$U$4:$U$503,(_calc!$E$940-500)))=0,"",INDEX('My equipment'!$U$4:$U$503,(_calc!$E$940-500)))&amp;". ")&amp;IF(LEN(IF(LEN(INDEX('My equipment'!$V$4:$V$503,(_calc!$E$940-500)))=0,"",INDEX('My equipment'!$V$4:$V$503,(_calc!$E$940-500))))=0,"","Proof on file: "&amp;IF(LEN(INDEX('My equipment'!$V$4:$V$503,(_calc!$E$940-500)))=0,"",INDEX('My equipment'!$V$4:$V$503,(_calc!$E$940-500)))&amp;". ")&amp;IF(LEN(IF(LEN(INDEX('My equipment'!$W$4:$W$503,(_calc!$E$940-500)))=0,"",INDEX('My equipment'!$W$4:$W$503,(_calc!$E$940-500))))=0,"","Claim ref: "&amp;IF(LEN(INDEX('My equipment'!$W$4:$W$503,(_calc!$E$940-500)))=0,"",INDEX('My equipment'!$W$4:$W$503,(_calc!$E$940-500)))&amp;". ")&amp;IF(LEN(IF(LEN(INDEX('My equipment'!$Y$4:$Y$503,(_calc!$E$940-500)))=0,"",INDEX('My equipment'!$Y$4:$Y$503,(_calc!$E$940-500))))=0,"",IF(LEN(INDEX('My equipment'!$Y$4:$Y$503,(_calc!$E$940-500)))=0,"",INDEX('My equipment'!$Y$4:$Y$503,(_calc!$E$940-500)))))))</f>
        <v/>
      </c>
      <c r="G938" s="54">
        <f>IF(_calc!$E$940="","",IF(_calc!$E$940&lt;=500,"",IF(LEN(INDEX('My equipment'!$X$4:$X$503,(_calc!$E$940-500)))=0,"",INDEX('My equipment'!$X$4:$X$503,(_calc!$E$940-500)))))</f>
        <v/>
      </c>
      <c r="K938" s="54">
        <f>IF(_calc!$E$940="","",IF(_calc!$E$940&lt;=500,"",IF(LEN(INDEX('My equipment'!$T$4:$T$503,(_calc!$E$940-500)))=0,"",INDEX('My equipment'!$T$4:$T$503,(_calc!$E$940-500)))))</f>
        <v/>
      </c>
    </row>
    <row r="939">
      <c r="A939" s="54">
        <f>IF(_calc!$E$941="","",IF(_calc!$E$941&lt;=500,"Warranty – "&amp;IF(LEN(INDEX('Dealer pipeline'!$C$4:$C$503,_calc!$E$941))=0,"",INDEX('Dealer pipeline'!$C$4:$C$503,_calc!$E$941))&amp;" – "&amp;IF(LEN(INDEX('Dealer pipeline'!$D$4:$D$503,_calc!$E$941))=0,"",INDEX('Dealer pipeline'!$D$4:$D$503,_calc!$E$941))&amp;" – "&amp;IF(LEN(INDEX('Dealer pipeline'!$A$4:$A$503,_calc!$E$941))=0,"",INDEX('Dealer pipeline'!$A$4:$A$503,_calc!$E$941)),"Warranty – "&amp;IF(LEN(INDEX('My equipment'!$A$4:$A$503,(_calc!$E$941-500)))=0,"",INDEX('My equipment'!$A$4:$A$503,(_calc!$E$941-500)))&amp;" – "&amp;IF(LEN(INDEX('My equipment'!$D$4:$D$503,(_calc!$E$941-500)))=0,"",INDEX('My equipment'!$D$4:$D$503,(_calc!$E$941-500)))))</f>
        <v/>
      </c>
      <c r="B939" s="54">
        <f>IF(_calc!$E$941="","",IF(_calc!$E$941&lt;=500,IF(ISNUMBER(INDEX('Dealer pipeline'!$M$4:$M$503,_calc!$E$941)),TEXT(INDEX('Dealer pipeline'!$M$4:$M$503,_calc!$E$941),"yyyy-mm-dd"),""),IF(ISNUMBER(INDEX('My equipment'!$M$4:$M$503,(_calc!$E$941-500))),TEXT(INDEX('My equipment'!$M$4:$M$503,(_calc!$E$941-500)),"yyyy-mm-dd"),"")))</f>
        <v/>
      </c>
      <c r="C939" s="54">
        <f>IF(_calc!$E$941="","",IF(_calc!$E$941&lt;=500,"Warranty","Warranty"))</f>
        <v/>
      </c>
      <c r="D939" s="54">
        <f>IF(_calc!$E$941="","",IF(_calc!$E$941&lt;=500,IF(ISNUMBER(INDEX('Dealer pipeline'!$H$4:$H$503,_calc!$E$941)),TEXT(INDEX('Dealer pipeline'!$H$4:$H$503,_calc!$E$941),"yyyy-mm-dd"),""),IF(ISNUMBER(INDEX('My equipment'!$H$4:$H$503,(_calc!$E$941-500))),TEXT(INDEX('My equipment'!$H$4:$H$503,(_calc!$E$941-500)),"yyyy-mm-dd"),"")))</f>
        <v/>
      </c>
      <c r="F939" s="54">
        <f>IF(_calc!$E$941="","",IF(_calc!$E$941&lt;=500,TRIM(IF(LEN(IF(LEN(INDEX('Dealer pipeline'!$A$4:$A$503,_calc!$E$941))=0,"",INDEX('Dealer pipeline'!$A$4:$A$503,_calc!$E$941)))=0,"","Customer: "&amp;IF(LEN(INDEX('Dealer pipeline'!$A$4:$A$503,_calc!$E$941))=0,"",INDEX('Dealer pipeline'!$A$4:$A$503,_calc!$E$941))&amp;". ")&amp;IF(LEN(IF(LEN(INDEX('Dealer pipeline'!$B$4:$B$503,_calc!$E$941))=0,"",INDEX('Dealer pipeline'!$B$4:$B$503,_calc!$E$941)))=0,"","Contact: "&amp;IF(LEN(INDEX('Dealer pipeline'!$B$4:$B$503,_calc!$E$941))=0,"",INDEX('Dealer pipeline'!$B$4:$B$503,_calc!$E$941))&amp;". ")&amp;IF(LEN(IF(LEN(INDEX('Dealer pipeline'!$D$4:$D$503,_calc!$E$941))=0,"",INDEX('Dealer pipeline'!$D$4:$D$503,_calc!$E$941)))=0,"","Serial: "&amp;IF(LEN(INDEX('Dealer pipeline'!$D$4:$D$503,_calc!$E$941))=0,"",INDEX('Dealer pipeline'!$D$4:$D$503,_calc!$E$941))&amp;". ")&amp;IF(LEN(IF(ISNUMBER(INDEX('Dealer pipeline'!$J$4:$J$503,_calc!$E$941)),TEXT(INDEX('Dealer pipeline'!$J$4:$J$503,_calc!$E$941),"yyyy-mm-dd"),""))=0,"","Parts end: "&amp;IF(ISNUMBER(INDEX('Dealer pipeline'!$J$4:$J$503,_calc!$E$941)),TEXT(INDEX('Dealer pipeline'!$J$4:$J$503,_calc!$E$941),"yyyy-mm-dd"),"")&amp;". ")&amp;IF(LEN(IF(ISNUMBER(INDEX('Dealer pipeline'!$L$4:$L$503,_calc!$E$941)),TEXT(INDEX('Dealer pipeline'!$L$4:$L$503,_calc!$E$941),"yyyy-mm-dd"),""))=0,"","Labor end: "&amp;IF(ISNUMBER(INDEX('Dealer pipeline'!$L$4:$L$503,_calc!$E$941)),TEXT(INDEX('Dealer pipeline'!$L$4:$L$503,_calc!$E$941),"yyyy-mm-dd"),"")&amp;". ")&amp;IF(LEN(IF(LEN(INDEX('Dealer pipeline'!$Q$4:$Q$503,_calc!$E$941))=0,"",INDEX('Dealer pipeline'!$Q$4:$Q$503,_calc!$E$941)))=0,"","Status: "&amp;IF(LEN(INDEX('Dealer pipeline'!$Q$4:$Q$503,_calc!$E$941))=0,"",INDEX('Dealer pipeline'!$Q$4:$Q$503,_calc!$E$941))&amp;". ")&amp;IF(LEN(IF(LEN(INDEX('Dealer pipeline'!$P$4:$P$503,_calc!$E$941))=0,"",INDEX('Dealer pipeline'!$P$4:$P$503,_calc!$E$941)))=0,"","Last touch: "&amp;IF(LEN(INDEX('Dealer pipeline'!$P$4:$P$503,_calc!$E$941))=0,"",INDEX('Dealer pipeline'!$P$4:$P$503,_calc!$E$941))&amp;". ")&amp;IF(LEN(IF(LEN(INDEX('Dealer pipeline'!$R$4:$R$503,_calc!$E$941))=0,"",INDEX('Dealer pipeline'!$R$4:$R$503,_calc!$E$941)))=0,"","Owner: "&amp;IF(LEN(INDEX('Dealer pipeline'!$R$4:$R$503,_calc!$E$941))=0,"",INDEX('Dealer pipeline'!$R$4:$R$503,_calc!$E$941))&amp;". ")&amp;IF(LEN(IF(LEN(INDEX('Dealer pipeline'!$S$4:$S$503,_calc!$E$941))=0,"",INDEX('Dealer pipeline'!$S$4:$S$503,_calc!$E$941)))=0,"","Backup: "&amp;IF(LEN(INDEX('Dealer pipeline'!$S$4:$S$503,_calc!$E$941))=0,"",INDEX('Dealer pipeline'!$S$4:$S$503,_calc!$E$941))&amp;". ")&amp;IF(LEN(IF(LEN(INDEX('Dealer pipeline'!$T$4:$T$503,_calc!$E$941))=0,"",INDEX('Dealer pipeline'!$T$4:$T$503,_calc!$E$941)))=0,"",IF(LEN(INDEX('Dealer pipeline'!$T$4:$T$503,_calc!$E$941))=0,"",INDEX('Dealer pipeline'!$T$4:$T$503,_calc!$E$941)))),TRIM(IF(LEN(IF(LEN(INDEX('My equipment'!$C$4:$C$503,(_calc!$E$941-500)))=0,"",INDEX('My equipment'!$C$4:$C$503,(_calc!$E$941-500))))=0,"","Model: "&amp;IF(LEN(INDEX('My equipment'!$C$4:$C$503,(_calc!$E$941-500)))=0,"",INDEX('My equipment'!$C$4:$C$503,(_calc!$E$941-500)))&amp;". ")&amp;IF(LEN(IF(LEN(INDEX('My equipment'!$D$4:$D$503,(_calc!$E$941-500)))=0,"",INDEX('My equipment'!$D$4:$D$503,(_calc!$E$941-500))))=0,"","Serial: "&amp;IF(LEN(INDEX('My equipment'!$D$4:$D$503,(_calc!$E$941-500)))=0,"",INDEX('My equipment'!$D$4:$D$503,(_calc!$E$941-500)))&amp;". ")&amp;IF(LEN(IF(ISNUMBER(INDEX('My equipment'!$J$4:$J$503,(_calc!$E$941-500))),TEXT(INDEX('My equipment'!$J$4:$J$503,(_calc!$E$941-500)),"yyyy-mm-dd"),""))=0,"","Parts end: "&amp;IF(ISNUMBER(INDEX('My equipment'!$J$4:$J$503,(_calc!$E$941-500))),TEXT(INDEX('My equipment'!$J$4:$J$503,(_calc!$E$941-500)),"yyyy-mm-dd"),"")&amp;". ")&amp;IF(LEN(IF(ISNUMBER(INDEX('My equipment'!$L$4:$L$503,(_calc!$E$941-500))),TEXT(INDEX('My equipment'!$L$4:$L$503,(_calc!$E$941-500)),"yyyy-mm-dd"),""))=0,"","Labor end: "&amp;IF(ISNUMBER(INDEX('My equipment'!$L$4:$L$503,(_calc!$E$941-500))),TEXT(INDEX('My equipment'!$L$4:$L$503,(_calc!$E$941-500)),"yyyy-mm-dd"),"")&amp;". ")&amp;IF(LEN(IF(ISNUMBER(INDEX('My equipment'!$P$4:$P$503,(_calc!$E$941-500))),TEXT(INDEX('My equipment'!$P$4:$P$503,(_calc!$E$941-500)),"yyyy-mm-dd"),""))=0,"","Check by: "&amp;IF(ISNUMBER(INDEX('My equipment'!$P$4:$P$503,(_calc!$E$941-500))),TEXT(INDEX('My equipment'!$P$4:$P$503,(_calc!$E$941-500)),"yyyy-mm-dd"),"")&amp;". ")&amp;IF(LEN(IF(LEN(INDEX('My equipment'!$Q$4:$Q$503,(_calc!$E$941-500)))=0,"",INDEX('My equipment'!$Q$4:$Q$503,(_calc!$E$941-500))))=0,"","Claim status: "&amp;IF(LEN(INDEX('My equipment'!$Q$4:$Q$503,(_calc!$E$941-500)))=0,"",INDEX('My equipment'!$Q$4:$Q$503,(_calc!$E$941-500)))&amp;". ")&amp;IF(LEN(IF(LEN(INDEX('My equipment'!$R$4:$R$503,(_calc!$E$941-500)))=0,"",INDEX('My equipment'!$R$4:$R$503,(_calc!$E$941-500))))=0,"","Claims contact: "&amp;IF(LEN(INDEX('My equipment'!$R$4:$R$503,(_calc!$E$941-500)))=0,"",INDEX('My equipment'!$R$4:$R$503,(_calc!$E$941-500)))&amp;". ")&amp;IF(LEN(IF(LEN(INDEX('My equipment'!$S$4:$S$503,(_calc!$E$941-500)))=0,"",INDEX('My equipment'!$S$4:$S$503,(_calc!$E$941-500))))=0,"","Claims email: "&amp;IF(LEN(INDEX('My equipment'!$S$4:$S$503,(_calc!$E$941-500)))=0,"",INDEX('My equipment'!$S$4:$S$503,(_calc!$E$941-500)))&amp;". ")&amp;IF(LEN(IF(LEN(INDEX('My equipment'!$U$4:$U$503,(_calc!$E$941-500)))=0,"",INDEX('My equipment'!$U$4:$U$503,(_calc!$E$941-500))))=0,"","Registered: "&amp;IF(LEN(INDEX('My equipment'!$U$4:$U$503,(_calc!$E$941-500)))=0,"",INDEX('My equipment'!$U$4:$U$503,(_calc!$E$941-500)))&amp;". ")&amp;IF(LEN(IF(LEN(INDEX('My equipment'!$V$4:$V$503,(_calc!$E$941-500)))=0,"",INDEX('My equipment'!$V$4:$V$503,(_calc!$E$941-500))))=0,"","Proof on file: "&amp;IF(LEN(INDEX('My equipment'!$V$4:$V$503,(_calc!$E$941-500)))=0,"",INDEX('My equipment'!$V$4:$V$503,(_calc!$E$941-500)))&amp;". ")&amp;IF(LEN(IF(LEN(INDEX('My equipment'!$W$4:$W$503,(_calc!$E$941-500)))=0,"",INDEX('My equipment'!$W$4:$W$503,(_calc!$E$941-500))))=0,"","Claim ref: "&amp;IF(LEN(INDEX('My equipment'!$W$4:$W$503,(_calc!$E$941-500)))=0,"",INDEX('My equipment'!$W$4:$W$503,(_calc!$E$941-500)))&amp;". ")&amp;IF(LEN(IF(LEN(INDEX('My equipment'!$Y$4:$Y$503,(_calc!$E$941-500)))=0,"",INDEX('My equipment'!$Y$4:$Y$503,(_calc!$E$941-500))))=0,"",IF(LEN(INDEX('My equipment'!$Y$4:$Y$503,(_calc!$E$941-500)))=0,"",INDEX('My equipment'!$Y$4:$Y$503,(_calc!$E$941-500)))))))</f>
        <v/>
      </c>
      <c r="G939" s="54">
        <f>IF(_calc!$E$941="","",IF(_calc!$E$941&lt;=500,"",IF(LEN(INDEX('My equipment'!$X$4:$X$503,(_calc!$E$941-500)))=0,"",INDEX('My equipment'!$X$4:$X$503,(_calc!$E$941-500)))))</f>
        <v/>
      </c>
      <c r="K939" s="54">
        <f>IF(_calc!$E$941="","",IF(_calc!$E$941&lt;=500,"",IF(LEN(INDEX('My equipment'!$T$4:$T$503,(_calc!$E$941-500)))=0,"",INDEX('My equipment'!$T$4:$T$503,(_calc!$E$941-500)))))</f>
        <v/>
      </c>
    </row>
    <row r="940">
      <c r="A940" s="54">
        <f>IF(_calc!$E$942="","",IF(_calc!$E$942&lt;=500,"Warranty – "&amp;IF(LEN(INDEX('Dealer pipeline'!$C$4:$C$503,_calc!$E$942))=0,"",INDEX('Dealer pipeline'!$C$4:$C$503,_calc!$E$942))&amp;" – "&amp;IF(LEN(INDEX('Dealer pipeline'!$D$4:$D$503,_calc!$E$942))=0,"",INDEX('Dealer pipeline'!$D$4:$D$503,_calc!$E$942))&amp;" – "&amp;IF(LEN(INDEX('Dealer pipeline'!$A$4:$A$503,_calc!$E$942))=0,"",INDEX('Dealer pipeline'!$A$4:$A$503,_calc!$E$942)),"Warranty – "&amp;IF(LEN(INDEX('My equipment'!$A$4:$A$503,(_calc!$E$942-500)))=0,"",INDEX('My equipment'!$A$4:$A$503,(_calc!$E$942-500)))&amp;" – "&amp;IF(LEN(INDEX('My equipment'!$D$4:$D$503,(_calc!$E$942-500)))=0,"",INDEX('My equipment'!$D$4:$D$503,(_calc!$E$942-500)))))</f>
        <v/>
      </c>
      <c r="B940" s="54">
        <f>IF(_calc!$E$942="","",IF(_calc!$E$942&lt;=500,IF(ISNUMBER(INDEX('Dealer pipeline'!$M$4:$M$503,_calc!$E$942)),TEXT(INDEX('Dealer pipeline'!$M$4:$M$503,_calc!$E$942),"yyyy-mm-dd"),""),IF(ISNUMBER(INDEX('My equipment'!$M$4:$M$503,(_calc!$E$942-500))),TEXT(INDEX('My equipment'!$M$4:$M$503,(_calc!$E$942-500)),"yyyy-mm-dd"),"")))</f>
        <v/>
      </c>
      <c r="C940" s="54">
        <f>IF(_calc!$E$942="","",IF(_calc!$E$942&lt;=500,"Warranty","Warranty"))</f>
        <v/>
      </c>
      <c r="D940" s="54">
        <f>IF(_calc!$E$942="","",IF(_calc!$E$942&lt;=500,IF(ISNUMBER(INDEX('Dealer pipeline'!$H$4:$H$503,_calc!$E$942)),TEXT(INDEX('Dealer pipeline'!$H$4:$H$503,_calc!$E$942),"yyyy-mm-dd"),""),IF(ISNUMBER(INDEX('My equipment'!$H$4:$H$503,(_calc!$E$942-500))),TEXT(INDEX('My equipment'!$H$4:$H$503,(_calc!$E$942-500)),"yyyy-mm-dd"),"")))</f>
        <v/>
      </c>
      <c r="F940" s="54">
        <f>IF(_calc!$E$942="","",IF(_calc!$E$942&lt;=500,TRIM(IF(LEN(IF(LEN(INDEX('Dealer pipeline'!$A$4:$A$503,_calc!$E$942))=0,"",INDEX('Dealer pipeline'!$A$4:$A$503,_calc!$E$942)))=0,"","Customer: "&amp;IF(LEN(INDEX('Dealer pipeline'!$A$4:$A$503,_calc!$E$942))=0,"",INDEX('Dealer pipeline'!$A$4:$A$503,_calc!$E$942))&amp;". ")&amp;IF(LEN(IF(LEN(INDEX('Dealer pipeline'!$B$4:$B$503,_calc!$E$942))=0,"",INDEX('Dealer pipeline'!$B$4:$B$503,_calc!$E$942)))=0,"","Contact: "&amp;IF(LEN(INDEX('Dealer pipeline'!$B$4:$B$503,_calc!$E$942))=0,"",INDEX('Dealer pipeline'!$B$4:$B$503,_calc!$E$942))&amp;". ")&amp;IF(LEN(IF(LEN(INDEX('Dealer pipeline'!$D$4:$D$503,_calc!$E$942))=0,"",INDEX('Dealer pipeline'!$D$4:$D$503,_calc!$E$942)))=0,"","Serial: "&amp;IF(LEN(INDEX('Dealer pipeline'!$D$4:$D$503,_calc!$E$942))=0,"",INDEX('Dealer pipeline'!$D$4:$D$503,_calc!$E$942))&amp;". ")&amp;IF(LEN(IF(ISNUMBER(INDEX('Dealer pipeline'!$J$4:$J$503,_calc!$E$942)),TEXT(INDEX('Dealer pipeline'!$J$4:$J$503,_calc!$E$942),"yyyy-mm-dd"),""))=0,"","Parts end: "&amp;IF(ISNUMBER(INDEX('Dealer pipeline'!$J$4:$J$503,_calc!$E$942)),TEXT(INDEX('Dealer pipeline'!$J$4:$J$503,_calc!$E$942),"yyyy-mm-dd"),"")&amp;". ")&amp;IF(LEN(IF(ISNUMBER(INDEX('Dealer pipeline'!$L$4:$L$503,_calc!$E$942)),TEXT(INDEX('Dealer pipeline'!$L$4:$L$503,_calc!$E$942),"yyyy-mm-dd"),""))=0,"","Labor end: "&amp;IF(ISNUMBER(INDEX('Dealer pipeline'!$L$4:$L$503,_calc!$E$942)),TEXT(INDEX('Dealer pipeline'!$L$4:$L$503,_calc!$E$942),"yyyy-mm-dd"),"")&amp;". ")&amp;IF(LEN(IF(LEN(INDEX('Dealer pipeline'!$Q$4:$Q$503,_calc!$E$942))=0,"",INDEX('Dealer pipeline'!$Q$4:$Q$503,_calc!$E$942)))=0,"","Status: "&amp;IF(LEN(INDEX('Dealer pipeline'!$Q$4:$Q$503,_calc!$E$942))=0,"",INDEX('Dealer pipeline'!$Q$4:$Q$503,_calc!$E$942))&amp;". ")&amp;IF(LEN(IF(LEN(INDEX('Dealer pipeline'!$P$4:$P$503,_calc!$E$942))=0,"",INDEX('Dealer pipeline'!$P$4:$P$503,_calc!$E$942)))=0,"","Last touch: "&amp;IF(LEN(INDEX('Dealer pipeline'!$P$4:$P$503,_calc!$E$942))=0,"",INDEX('Dealer pipeline'!$P$4:$P$503,_calc!$E$942))&amp;". ")&amp;IF(LEN(IF(LEN(INDEX('Dealer pipeline'!$R$4:$R$503,_calc!$E$942))=0,"",INDEX('Dealer pipeline'!$R$4:$R$503,_calc!$E$942)))=0,"","Owner: "&amp;IF(LEN(INDEX('Dealer pipeline'!$R$4:$R$503,_calc!$E$942))=0,"",INDEX('Dealer pipeline'!$R$4:$R$503,_calc!$E$942))&amp;". ")&amp;IF(LEN(IF(LEN(INDEX('Dealer pipeline'!$S$4:$S$503,_calc!$E$942))=0,"",INDEX('Dealer pipeline'!$S$4:$S$503,_calc!$E$942)))=0,"","Backup: "&amp;IF(LEN(INDEX('Dealer pipeline'!$S$4:$S$503,_calc!$E$942))=0,"",INDEX('Dealer pipeline'!$S$4:$S$503,_calc!$E$942))&amp;". ")&amp;IF(LEN(IF(LEN(INDEX('Dealer pipeline'!$T$4:$T$503,_calc!$E$942))=0,"",INDEX('Dealer pipeline'!$T$4:$T$503,_calc!$E$942)))=0,"",IF(LEN(INDEX('Dealer pipeline'!$T$4:$T$503,_calc!$E$942))=0,"",INDEX('Dealer pipeline'!$T$4:$T$503,_calc!$E$942)))),TRIM(IF(LEN(IF(LEN(INDEX('My equipment'!$C$4:$C$503,(_calc!$E$942-500)))=0,"",INDEX('My equipment'!$C$4:$C$503,(_calc!$E$942-500))))=0,"","Model: "&amp;IF(LEN(INDEX('My equipment'!$C$4:$C$503,(_calc!$E$942-500)))=0,"",INDEX('My equipment'!$C$4:$C$503,(_calc!$E$942-500)))&amp;". ")&amp;IF(LEN(IF(LEN(INDEX('My equipment'!$D$4:$D$503,(_calc!$E$942-500)))=0,"",INDEX('My equipment'!$D$4:$D$503,(_calc!$E$942-500))))=0,"","Serial: "&amp;IF(LEN(INDEX('My equipment'!$D$4:$D$503,(_calc!$E$942-500)))=0,"",INDEX('My equipment'!$D$4:$D$503,(_calc!$E$942-500)))&amp;". ")&amp;IF(LEN(IF(ISNUMBER(INDEX('My equipment'!$J$4:$J$503,(_calc!$E$942-500))),TEXT(INDEX('My equipment'!$J$4:$J$503,(_calc!$E$942-500)),"yyyy-mm-dd"),""))=0,"","Parts end: "&amp;IF(ISNUMBER(INDEX('My equipment'!$J$4:$J$503,(_calc!$E$942-500))),TEXT(INDEX('My equipment'!$J$4:$J$503,(_calc!$E$942-500)),"yyyy-mm-dd"),"")&amp;". ")&amp;IF(LEN(IF(ISNUMBER(INDEX('My equipment'!$L$4:$L$503,(_calc!$E$942-500))),TEXT(INDEX('My equipment'!$L$4:$L$503,(_calc!$E$942-500)),"yyyy-mm-dd"),""))=0,"","Labor end: "&amp;IF(ISNUMBER(INDEX('My equipment'!$L$4:$L$503,(_calc!$E$942-500))),TEXT(INDEX('My equipment'!$L$4:$L$503,(_calc!$E$942-500)),"yyyy-mm-dd"),"")&amp;". ")&amp;IF(LEN(IF(ISNUMBER(INDEX('My equipment'!$P$4:$P$503,(_calc!$E$942-500))),TEXT(INDEX('My equipment'!$P$4:$P$503,(_calc!$E$942-500)),"yyyy-mm-dd"),""))=0,"","Check by: "&amp;IF(ISNUMBER(INDEX('My equipment'!$P$4:$P$503,(_calc!$E$942-500))),TEXT(INDEX('My equipment'!$P$4:$P$503,(_calc!$E$942-500)),"yyyy-mm-dd"),"")&amp;". ")&amp;IF(LEN(IF(LEN(INDEX('My equipment'!$Q$4:$Q$503,(_calc!$E$942-500)))=0,"",INDEX('My equipment'!$Q$4:$Q$503,(_calc!$E$942-500))))=0,"","Claim status: "&amp;IF(LEN(INDEX('My equipment'!$Q$4:$Q$503,(_calc!$E$942-500)))=0,"",INDEX('My equipment'!$Q$4:$Q$503,(_calc!$E$942-500)))&amp;". ")&amp;IF(LEN(IF(LEN(INDEX('My equipment'!$R$4:$R$503,(_calc!$E$942-500)))=0,"",INDEX('My equipment'!$R$4:$R$503,(_calc!$E$942-500))))=0,"","Claims contact: "&amp;IF(LEN(INDEX('My equipment'!$R$4:$R$503,(_calc!$E$942-500)))=0,"",INDEX('My equipment'!$R$4:$R$503,(_calc!$E$942-500)))&amp;". ")&amp;IF(LEN(IF(LEN(INDEX('My equipment'!$S$4:$S$503,(_calc!$E$942-500)))=0,"",INDEX('My equipment'!$S$4:$S$503,(_calc!$E$942-500))))=0,"","Claims email: "&amp;IF(LEN(INDEX('My equipment'!$S$4:$S$503,(_calc!$E$942-500)))=0,"",INDEX('My equipment'!$S$4:$S$503,(_calc!$E$942-500)))&amp;". ")&amp;IF(LEN(IF(LEN(INDEX('My equipment'!$U$4:$U$503,(_calc!$E$942-500)))=0,"",INDEX('My equipment'!$U$4:$U$503,(_calc!$E$942-500))))=0,"","Registered: "&amp;IF(LEN(INDEX('My equipment'!$U$4:$U$503,(_calc!$E$942-500)))=0,"",INDEX('My equipment'!$U$4:$U$503,(_calc!$E$942-500)))&amp;". ")&amp;IF(LEN(IF(LEN(INDEX('My equipment'!$V$4:$V$503,(_calc!$E$942-500)))=0,"",INDEX('My equipment'!$V$4:$V$503,(_calc!$E$942-500))))=0,"","Proof on file: "&amp;IF(LEN(INDEX('My equipment'!$V$4:$V$503,(_calc!$E$942-500)))=0,"",INDEX('My equipment'!$V$4:$V$503,(_calc!$E$942-500)))&amp;". ")&amp;IF(LEN(IF(LEN(INDEX('My equipment'!$W$4:$W$503,(_calc!$E$942-500)))=0,"",INDEX('My equipment'!$W$4:$W$503,(_calc!$E$942-500))))=0,"","Claim ref: "&amp;IF(LEN(INDEX('My equipment'!$W$4:$W$503,(_calc!$E$942-500)))=0,"",INDEX('My equipment'!$W$4:$W$503,(_calc!$E$942-500)))&amp;". ")&amp;IF(LEN(IF(LEN(INDEX('My equipment'!$Y$4:$Y$503,(_calc!$E$942-500)))=0,"",INDEX('My equipment'!$Y$4:$Y$503,(_calc!$E$942-500))))=0,"",IF(LEN(INDEX('My equipment'!$Y$4:$Y$503,(_calc!$E$942-500)))=0,"",INDEX('My equipment'!$Y$4:$Y$503,(_calc!$E$942-500)))))))</f>
        <v/>
      </c>
      <c r="G940" s="54">
        <f>IF(_calc!$E$942="","",IF(_calc!$E$942&lt;=500,"",IF(LEN(INDEX('My equipment'!$X$4:$X$503,(_calc!$E$942-500)))=0,"",INDEX('My equipment'!$X$4:$X$503,(_calc!$E$942-500)))))</f>
        <v/>
      </c>
      <c r="K940" s="54">
        <f>IF(_calc!$E$942="","",IF(_calc!$E$942&lt;=500,"",IF(LEN(INDEX('My equipment'!$T$4:$T$503,(_calc!$E$942-500)))=0,"",INDEX('My equipment'!$T$4:$T$503,(_calc!$E$942-500)))))</f>
        <v/>
      </c>
    </row>
    <row r="941">
      <c r="A941" s="54">
        <f>IF(_calc!$E$943="","",IF(_calc!$E$943&lt;=500,"Warranty – "&amp;IF(LEN(INDEX('Dealer pipeline'!$C$4:$C$503,_calc!$E$943))=0,"",INDEX('Dealer pipeline'!$C$4:$C$503,_calc!$E$943))&amp;" – "&amp;IF(LEN(INDEX('Dealer pipeline'!$D$4:$D$503,_calc!$E$943))=0,"",INDEX('Dealer pipeline'!$D$4:$D$503,_calc!$E$943))&amp;" – "&amp;IF(LEN(INDEX('Dealer pipeline'!$A$4:$A$503,_calc!$E$943))=0,"",INDEX('Dealer pipeline'!$A$4:$A$503,_calc!$E$943)),"Warranty – "&amp;IF(LEN(INDEX('My equipment'!$A$4:$A$503,(_calc!$E$943-500)))=0,"",INDEX('My equipment'!$A$4:$A$503,(_calc!$E$943-500)))&amp;" – "&amp;IF(LEN(INDEX('My equipment'!$D$4:$D$503,(_calc!$E$943-500)))=0,"",INDEX('My equipment'!$D$4:$D$503,(_calc!$E$943-500)))))</f>
        <v/>
      </c>
      <c r="B941" s="54">
        <f>IF(_calc!$E$943="","",IF(_calc!$E$943&lt;=500,IF(ISNUMBER(INDEX('Dealer pipeline'!$M$4:$M$503,_calc!$E$943)),TEXT(INDEX('Dealer pipeline'!$M$4:$M$503,_calc!$E$943),"yyyy-mm-dd"),""),IF(ISNUMBER(INDEX('My equipment'!$M$4:$M$503,(_calc!$E$943-500))),TEXT(INDEX('My equipment'!$M$4:$M$503,(_calc!$E$943-500)),"yyyy-mm-dd"),"")))</f>
        <v/>
      </c>
      <c r="C941" s="54">
        <f>IF(_calc!$E$943="","",IF(_calc!$E$943&lt;=500,"Warranty","Warranty"))</f>
        <v/>
      </c>
      <c r="D941" s="54">
        <f>IF(_calc!$E$943="","",IF(_calc!$E$943&lt;=500,IF(ISNUMBER(INDEX('Dealer pipeline'!$H$4:$H$503,_calc!$E$943)),TEXT(INDEX('Dealer pipeline'!$H$4:$H$503,_calc!$E$943),"yyyy-mm-dd"),""),IF(ISNUMBER(INDEX('My equipment'!$H$4:$H$503,(_calc!$E$943-500))),TEXT(INDEX('My equipment'!$H$4:$H$503,(_calc!$E$943-500)),"yyyy-mm-dd"),"")))</f>
        <v/>
      </c>
      <c r="F941" s="54">
        <f>IF(_calc!$E$943="","",IF(_calc!$E$943&lt;=500,TRIM(IF(LEN(IF(LEN(INDEX('Dealer pipeline'!$A$4:$A$503,_calc!$E$943))=0,"",INDEX('Dealer pipeline'!$A$4:$A$503,_calc!$E$943)))=0,"","Customer: "&amp;IF(LEN(INDEX('Dealer pipeline'!$A$4:$A$503,_calc!$E$943))=0,"",INDEX('Dealer pipeline'!$A$4:$A$503,_calc!$E$943))&amp;". ")&amp;IF(LEN(IF(LEN(INDEX('Dealer pipeline'!$B$4:$B$503,_calc!$E$943))=0,"",INDEX('Dealer pipeline'!$B$4:$B$503,_calc!$E$943)))=0,"","Contact: "&amp;IF(LEN(INDEX('Dealer pipeline'!$B$4:$B$503,_calc!$E$943))=0,"",INDEX('Dealer pipeline'!$B$4:$B$503,_calc!$E$943))&amp;". ")&amp;IF(LEN(IF(LEN(INDEX('Dealer pipeline'!$D$4:$D$503,_calc!$E$943))=0,"",INDEX('Dealer pipeline'!$D$4:$D$503,_calc!$E$943)))=0,"","Serial: "&amp;IF(LEN(INDEX('Dealer pipeline'!$D$4:$D$503,_calc!$E$943))=0,"",INDEX('Dealer pipeline'!$D$4:$D$503,_calc!$E$943))&amp;". ")&amp;IF(LEN(IF(ISNUMBER(INDEX('Dealer pipeline'!$J$4:$J$503,_calc!$E$943)),TEXT(INDEX('Dealer pipeline'!$J$4:$J$503,_calc!$E$943),"yyyy-mm-dd"),""))=0,"","Parts end: "&amp;IF(ISNUMBER(INDEX('Dealer pipeline'!$J$4:$J$503,_calc!$E$943)),TEXT(INDEX('Dealer pipeline'!$J$4:$J$503,_calc!$E$943),"yyyy-mm-dd"),"")&amp;". ")&amp;IF(LEN(IF(ISNUMBER(INDEX('Dealer pipeline'!$L$4:$L$503,_calc!$E$943)),TEXT(INDEX('Dealer pipeline'!$L$4:$L$503,_calc!$E$943),"yyyy-mm-dd"),""))=0,"","Labor end: "&amp;IF(ISNUMBER(INDEX('Dealer pipeline'!$L$4:$L$503,_calc!$E$943)),TEXT(INDEX('Dealer pipeline'!$L$4:$L$503,_calc!$E$943),"yyyy-mm-dd"),"")&amp;". ")&amp;IF(LEN(IF(LEN(INDEX('Dealer pipeline'!$Q$4:$Q$503,_calc!$E$943))=0,"",INDEX('Dealer pipeline'!$Q$4:$Q$503,_calc!$E$943)))=0,"","Status: "&amp;IF(LEN(INDEX('Dealer pipeline'!$Q$4:$Q$503,_calc!$E$943))=0,"",INDEX('Dealer pipeline'!$Q$4:$Q$503,_calc!$E$943))&amp;". ")&amp;IF(LEN(IF(LEN(INDEX('Dealer pipeline'!$P$4:$P$503,_calc!$E$943))=0,"",INDEX('Dealer pipeline'!$P$4:$P$503,_calc!$E$943)))=0,"","Last touch: "&amp;IF(LEN(INDEX('Dealer pipeline'!$P$4:$P$503,_calc!$E$943))=0,"",INDEX('Dealer pipeline'!$P$4:$P$503,_calc!$E$943))&amp;". ")&amp;IF(LEN(IF(LEN(INDEX('Dealer pipeline'!$R$4:$R$503,_calc!$E$943))=0,"",INDEX('Dealer pipeline'!$R$4:$R$503,_calc!$E$943)))=0,"","Owner: "&amp;IF(LEN(INDEX('Dealer pipeline'!$R$4:$R$503,_calc!$E$943))=0,"",INDEX('Dealer pipeline'!$R$4:$R$503,_calc!$E$943))&amp;". ")&amp;IF(LEN(IF(LEN(INDEX('Dealer pipeline'!$S$4:$S$503,_calc!$E$943))=0,"",INDEX('Dealer pipeline'!$S$4:$S$503,_calc!$E$943)))=0,"","Backup: "&amp;IF(LEN(INDEX('Dealer pipeline'!$S$4:$S$503,_calc!$E$943))=0,"",INDEX('Dealer pipeline'!$S$4:$S$503,_calc!$E$943))&amp;". ")&amp;IF(LEN(IF(LEN(INDEX('Dealer pipeline'!$T$4:$T$503,_calc!$E$943))=0,"",INDEX('Dealer pipeline'!$T$4:$T$503,_calc!$E$943)))=0,"",IF(LEN(INDEX('Dealer pipeline'!$T$4:$T$503,_calc!$E$943))=0,"",INDEX('Dealer pipeline'!$T$4:$T$503,_calc!$E$943)))),TRIM(IF(LEN(IF(LEN(INDEX('My equipment'!$C$4:$C$503,(_calc!$E$943-500)))=0,"",INDEX('My equipment'!$C$4:$C$503,(_calc!$E$943-500))))=0,"","Model: "&amp;IF(LEN(INDEX('My equipment'!$C$4:$C$503,(_calc!$E$943-500)))=0,"",INDEX('My equipment'!$C$4:$C$503,(_calc!$E$943-500)))&amp;". ")&amp;IF(LEN(IF(LEN(INDEX('My equipment'!$D$4:$D$503,(_calc!$E$943-500)))=0,"",INDEX('My equipment'!$D$4:$D$503,(_calc!$E$943-500))))=0,"","Serial: "&amp;IF(LEN(INDEX('My equipment'!$D$4:$D$503,(_calc!$E$943-500)))=0,"",INDEX('My equipment'!$D$4:$D$503,(_calc!$E$943-500)))&amp;". ")&amp;IF(LEN(IF(ISNUMBER(INDEX('My equipment'!$J$4:$J$503,(_calc!$E$943-500))),TEXT(INDEX('My equipment'!$J$4:$J$503,(_calc!$E$943-500)),"yyyy-mm-dd"),""))=0,"","Parts end: "&amp;IF(ISNUMBER(INDEX('My equipment'!$J$4:$J$503,(_calc!$E$943-500))),TEXT(INDEX('My equipment'!$J$4:$J$503,(_calc!$E$943-500)),"yyyy-mm-dd"),"")&amp;". ")&amp;IF(LEN(IF(ISNUMBER(INDEX('My equipment'!$L$4:$L$503,(_calc!$E$943-500))),TEXT(INDEX('My equipment'!$L$4:$L$503,(_calc!$E$943-500)),"yyyy-mm-dd"),""))=0,"","Labor end: "&amp;IF(ISNUMBER(INDEX('My equipment'!$L$4:$L$503,(_calc!$E$943-500))),TEXT(INDEX('My equipment'!$L$4:$L$503,(_calc!$E$943-500)),"yyyy-mm-dd"),"")&amp;". ")&amp;IF(LEN(IF(ISNUMBER(INDEX('My equipment'!$P$4:$P$503,(_calc!$E$943-500))),TEXT(INDEX('My equipment'!$P$4:$P$503,(_calc!$E$943-500)),"yyyy-mm-dd"),""))=0,"","Check by: "&amp;IF(ISNUMBER(INDEX('My equipment'!$P$4:$P$503,(_calc!$E$943-500))),TEXT(INDEX('My equipment'!$P$4:$P$503,(_calc!$E$943-500)),"yyyy-mm-dd"),"")&amp;". ")&amp;IF(LEN(IF(LEN(INDEX('My equipment'!$Q$4:$Q$503,(_calc!$E$943-500)))=0,"",INDEX('My equipment'!$Q$4:$Q$503,(_calc!$E$943-500))))=0,"","Claim status: "&amp;IF(LEN(INDEX('My equipment'!$Q$4:$Q$503,(_calc!$E$943-500)))=0,"",INDEX('My equipment'!$Q$4:$Q$503,(_calc!$E$943-500)))&amp;". ")&amp;IF(LEN(IF(LEN(INDEX('My equipment'!$R$4:$R$503,(_calc!$E$943-500)))=0,"",INDEX('My equipment'!$R$4:$R$503,(_calc!$E$943-500))))=0,"","Claims contact: "&amp;IF(LEN(INDEX('My equipment'!$R$4:$R$503,(_calc!$E$943-500)))=0,"",INDEX('My equipment'!$R$4:$R$503,(_calc!$E$943-500)))&amp;". ")&amp;IF(LEN(IF(LEN(INDEX('My equipment'!$S$4:$S$503,(_calc!$E$943-500)))=0,"",INDEX('My equipment'!$S$4:$S$503,(_calc!$E$943-500))))=0,"","Claims email: "&amp;IF(LEN(INDEX('My equipment'!$S$4:$S$503,(_calc!$E$943-500)))=0,"",INDEX('My equipment'!$S$4:$S$503,(_calc!$E$943-500)))&amp;". ")&amp;IF(LEN(IF(LEN(INDEX('My equipment'!$U$4:$U$503,(_calc!$E$943-500)))=0,"",INDEX('My equipment'!$U$4:$U$503,(_calc!$E$943-500))))=0,"","Registered: "&amp;IF(LEN(INDEX('My equipment'!$U$4:$U$503,(_calc!$E$943-500)))=0,"",INDEX('My equipment'!$U$4:$U$503,(_calc!$E$943-500)))&amp;". ")&amp;IF(LEN(IF(LEN(INDEX('My equipment'!$V$4:$V$503,(_calc!$E$943-500)))=0,"",INDEX('My equipment'!$V$4:$V$503,(_calc!$E$943-500))))=0,"","Proof on file: "&amp;IF(LEN(INDEX('My equipment'!$V$4:$V$503,(_calc!$E$943-500)))=0,"",INDEX('My equipment'!$V$4:$V$503,(_calc!$E$943-500)))&amp;". ")&amp;IF(LEN(IF(LEN(INDEX('My equipment'!$W$4:$W$503,(_calc!$E$943-500)))=0,"",INDEX('My equipment'!$W$4:$W$503,(_calc!$E$943-500))))=0,"","Claim ref: "&amp;IF(LEN(INDEX('My equipment'!$W$4:$W$503,(_calc!$E$943-500)))=0,"",INDEX('My equipment'!$W$4:$W$503,(_calc!$E$943-500)))&amp;". ")&amp;IF(LEN(IF(LEN(INDEX('My equipment'!$Y$4:$Y$503,(_calc!$E$943-500)))=0,"",INDEX('My equipment'!$Y$4:$Y$503,(_calc!$E$943-500))))=0,"",IF(LEN(INDEX('My equipment'!$Y$4:$Y$503,(_calc!$E$943-500)))=0,"",INDEX('My equipment'!$Y$4:$Y$503,(_calc!$E$943-500)))))))</f>
        <v/>
      </c>
      <c r="G941" s="54">
        <f>IF(_calc!$E$943="","",IF(_calc!$E$943&lt;=500,"",IF(LEN(INDEX('My equipment'!$X$4:$X$503,(_calc!$E$943-500)))=0,"",INDEX('My equipment'!$X$4:$X$503,(_calc!$E$943-500)))))</f>
        <v/>
      </c>
      <c r="K941" s="54">
        <f>IF(_calc!$E$943="","",IF(_calc!$E$943&lt;=500,"",IF(LEN(INDEX('My equipment'!$T$4:$T$503,(_calc!$E$943-500)))=0,"",INDEX('My equipment'!$T$4:$T$503,(_calc!$E$943-500)))))</f>
        <v/>
      </c>
    </row>
    <row r="942">
      <c r="A942" s="54">
        <f>IF(_calc!$E$944="","",IF(_calc!$E$944&lt;=500,"Warranty – "&amp;IF(LEN(INDEX('Dealer pipeline'!$C$4:$C$503,_calc!$E$944))=0,"",INDEX('Dealer pipeline'!$C$4:$C$503,_calc!$E$944))&amp;" – "&amp;IF(LEN(INDEX('Dealer pipeline'!$D$4:$D$503,_calc!$E$944))=0,"",INDEX('Dealer pipeline'!$D$4:$D$503,_calc!$E$944))&amp;" – "&amp;IF(LEN(INDEX('Dealer pipeline'!$A$4:$A$503,_calc!$E$944))=0,"",INDEX('Dealer pipeline'!$A$4:$A$503,_calc!$E$944)),"Warranty – "&amp;IF(LEN(INDEX('My equipment'!$A$4:$A$503,(_calc!$E$944-500)))=0,"",INDEX('My equipment'!$A$4:$A$503,(_calc!$E$944-500)))&amp;" – "&amp;IF(LEN(INDEX('My equipment'!$D$4:$D$503,(_calc!$E$944-500)))=0,"",INDEX('My equipment'!$D$4:$D$503,(_calc!$E$944-500)))))</f>
        <v/>
      </c>
      <c r="B942" s="54">
        <f>IF(_calc!$E$944="","",IF(_calc!$E$944&lt;=500,IF(ISNUMBER(INDEX('Dealer pipeline'!$M$4:$M$503,_calc!$E$944)),TEXT(INDEX('Dealer pipeline'!$M$4:$M$503,_calc!$E$944),"yyyy-mm-dd"),""),IF(ISNUMBER(INDEX('My equipment'!$M$4:$M$503,(_calc!$E$944-500))),TEXT(INDEX('My equipment'!$M$4:$M$503,(_calc!$E$944-500)),"yyyy-mm-dd"),"")))</f>
        <v/>
      </c>
      <c r="C942" s="54">
        <f>IF(_calc!$E$944="","",IF(_calc!$E$944&lt;=500,"Warranty","Warranty"))</f>
        <v/>
      </c>
      <c r="D942" s="54">
        <f>IF(_calc!$E$944="","",IF(_calc!$E$944&lt;=500,IF(ISNUMBER(INDEX('Dealer pipeline'!$H$4:$H$503,_calc!$E$944)),TEXT(INDEX('Dealer pipeline'!$H$4:$H$503,_calc!$E$944),"yyyy-mm-dd"),""),IF(ISNUMBER(INDEX('My equipment'!$H$4:$H$503,(_calc!$E$944-500))),TEXT(INDEX('My equipment'!$H$4:$H$503,(_calc!$E$944-500)),"yyyy-mm-dd"),"")))</f>
        <v/>
      </c>
      <c r="F942" s="54">
        <f>IF(_calc!$E$944="","",IF(_calc!$E$944&lt;=500,TRIM(IF(LEN(IF(LEN(INDEX('Dealer pipeline'!$A$4:$A$503,_calc!$E$944))=0,"",INDEX('Dealer pipeline'!$A$4:$A$503,_calc!$E$944)))=0,"","Customer: "&amp;IF(LEN(INDEX('Dealer pipeline'!$A$4:$A$503,_calc!$E$944))=0,"",INDEX('Dealer pipeline'!$A$4:$A$503,_calc!$E$944))&amp;". ")&amp;IF(LEN(IF(LEN(INDEX('Dealer pipeline'!$B$4:$B$503,_calc!$E$944))=0,"",INDEX('Dealer pipeline'!$B$4:$B$503,_calc!$E$944)))=0,"","Contact: "&amp;IF(LEN(INDEX('Dealer pipeline'!$B$4:$B$503,_calc!$E$944))=0,"",INDEX('Dealer pipeline'!$B$4:$B$503,_calc!$E$944))&amp;". ")&amp;IF(LEN(IF(LEN(INDEX('Dealer pipeline'!$D$4:$D$503,_calc!$E$944))=0,"",INDEX('Dealer pipeline'!$D$4:$D$503,_calc!$E$944)))=0,"","Serial: "&amp;IF(LEN(INDEX('Dealer pipeline'!$D$4:$D$503,_calc!$E$944))=0,"",INDEX('Dealer pipeline'!$D$4:$D$503,_calc!$E$944))&amp;". ")&amp;IF(LEN(IF(ISNUMBER(INDEX('Dealer pipeline'!$J$4:$J$503,_calc!$E$944)),TEXT(INDEX('Dealer pipeline'!$J$4:$J$503,_calc!$E$944),"yyyy-mm-dd"),""))=0,"","Parts end: "&amp;IF(ISNUMBER(INDEX('Dealer pipeline'!$J$4:$J$503,_calc!$E$944)),TEXT(INDEX('Dealer pipeline'!$J$4:$J$503,_calc!$E$944),"yyyy-mm-dd"),"")&amp;". ")&amp;IF(LEN(IF(ISNUMBER(INDEX('Dealer pipeline'!$L$4:$L$503,_calc!$E$944)),TEXT(INDEX('Dealer pipeline'!$L$4:$L$503,_calc!$E$944),"yyyy-mm-dd"),""))=0,"","Labor end: "&amp;IF(ISNUMBER(INDEX('Dealer pipeline'!$L$4:$L$503,_calc!$E$944)),TEXT(INDEX('Dealer pipeline'!$L$4:$L$503,_calc!$E$944),"yyyy-mm-dd"),"")&amp;". ")&amp;IF(LEN(IF(LEN(INDEX('Dealer pipeline'!$Q$4:$Q$503,_calc!$E$944))=0,"",INDEX('Dealer pipeline'!$Q$4:$Q$503,_calc!$E$944)))=0,"","Status: "&amp;IF(LEN(INDEX('Dealer pipeline'!$Q$4:$Q$503,_calc!$E$944))=0,"",INDEX('Dealer pipeline'!$Q$4:$Q$503,_calc!$E$944))&amp;". ")&amp;IF(LEN(IF(LEN(INDEX('Dealer pipeline'!$P$4:$P$503,_calc!$E$944))=0,"",INDEX('Dealer pipeline'!$P$4:$P$503,_calc!$E$944)))=0,"","Last touch: "&amp;IF(LEN(INDEX('Dealer pipeline'!$P$4:$P$503,_calc!$E$944))=0,"",INDEX('Dealer pipeline'!$P$4:$P$503,_calc!$E$944))&amp;". ")&amp;IF(LEN(IF(LEN(INDEX('Dealer pipeline'!$R$4:$R$503,_calc!$E$944))=0,"",INDEX('Dealer pipeline'!$R$4:$R$503,_calc!$E$944)))=0,"","Owner: "&amp;IF(LEN(INDEX('Dealer pipeline'!$R$4:$R$503,_calc!$E$944))=0,"",INDEX('Dealer pipeline'!$R$4:$R$503,_calc!$E$944))&amp;". ")&amp;IF(LEN(IF(LEN(INDEX('Dealer pipeline'!$S$4:$S$503,_calc!$E$944))=0,"",INDEX('Dealer pipeline'!$S$4:$S$503,_calc!$E$944)))=0,"","Backup: "&amp;IF(LEN(INDEX('Dealer pipeline'!$S$4:$S$503,_calc!$E$944))=0,"",INDEX('Dealer pipeline'!$S$4:$S$503,_calc!$E$944))&amp;". ")&amp;IF(LEN(IF(LEN(INDEX('Dealer pipeline'!$T$4:$T$503,_calc!$E$944))=0,"",INDEX('Dealer pipeline'!$T$4:$T$503,_calc!$E$944)))=0,"",IF(LEN(INDEX('Dealer pipeline'!$T$4:$T$503,_calc!$E$944))=0,"",INDEX('Dealer pipeline'!$T$4:$T$503,_calc!$E$944)))),TRIM(IF(LEN(IF(LEN(INDEX('My equipment'!$C$4:$C$503,(_calc!$E$944-500)))=0,"",INDEX('My equipment'!$C$4:$C$503,(_calc!$E$944-500))))=0,"","Model: "&amp;IF(LEN(INDEX('My equipment'!$C$4:$C$503,(_calc!$E$944-500)))=0,"",INDEX('My equipment'!$C$4:$C$503,(_calc!$E$944-500)))&amp;". ")&amp;IF(LEN(IF(LEN(INDEX('My equipment'!$D$4:$D$503,(_calc!$E$944-500)))=0,"",INDEX('My equipment'!$D$4:$D$503,(_calc!$E$944-500))))=0,"","Serial: "&amp;IF(LEN(INDEX('My equipment'!$D$4:$D$503,(_calc!$E$944-500)))=0,"",INDEX('My equipment'!$D$4:$D$503,(_calc!$E$944-500)))&amp;". ")&amp;IF(LEN(IF(ISNUMBER(INDEX('My equipment'!$J$4:$J$503,(_calc!$E$944-500))),TEXT(INDEX('My equipment'!$J$4:$J$503,(_calc!$E$944-500)),"yyyy-mm-dd"),""))=0,"","Parts end: "&amp;IF(ISNUMBER(INDEX('My equipment'!$J$4:$J$503,(_calc!$E$944-500))),TEXT(INDEX('My equipment'!$J$4:$J$503,(_calc!$E$944-500)),"yyyy-mm-dd"),"")&amp;". ")&amp;IF(LEN(IF(ISNUMBER(INDEX('My equipment'!$L$4:$L$503,(_calc!$E$944-500))),TEXT(INDEX('My equipment'!$L$4:$L$503,(_calc!$E$944-500)),"yyyy-mm-dd"),""))=0,"","Labor end: "&amp;IF(ISNUMBER(INDEX('My equipment'!$L$4:$L$503,(_calc!$E$944-500))),TEXT(INDEX('My equipment'!$L$4:$L$503,(_calc!$E$944-500)),"yyyy-mm-dd"),"")&amp;". ")&amp;IF(LEN(IF(ISNUMBER(INDEX('My equipment'!$P$4:$P$503,(_calc!$E$944-500))),TEXT(INDEX('My equipment'!$P$4:$P$503,(_calc!$E$944-500)),"yyyy-mm-dd"),""))=0,"","Check by: "&amp;IF(ISNUMBER(INDEX('My equipment'!$P$4:$P$503,(_calc!$E$944-500))),TEXT(INDEX('My equipment'!$P$4:$P$503,(_calc!$E$944-500)),"yyyy-mm-dd"),"")&amp;". ")&amp;IF(LEN(IF(LEN(INDEX('My equipment'!$Q$4:$Q$503,(_calc!$E$944-500)))=0,"",INDEX('My equipment'!$Q$4:$Q$503,(_calc!$E$944-500))))=0,"","Claim status: "&amp;IF(LEN(INDEX('My equipment'!$Q$4:$Q$503,(_calc!$E$944-500)))=0,"",INDEX('My equipment'!$Q$4:$Q$503,(_calc!$E$944-500)))&amp;". ")&amp;IF(LEN(IF(LEN(INDEX('My equipment'!$R$4:$R$503,(_calc!$E$944-500)))=0,"",INDEX('My equipment'!$R$4:$R$503,(_calc!$E$944-500))))=0,"","Claims contact: "&amp;IF(LEN(INDEX('My equipment'!$R$4:$R$503,(_calc!$E$944-500)))=0,"",INDEX('My equipment'!$R$4:$R$503,(_calc!$E$944-500)))&amp;". ")&amp;IF(LEN(IF(LEN(INDEX('My equipment'!$S$4:$S$503,(_calc!$E$944-500)))=0,"",INDEX('My equipment'!$S$4:$S$503,(_calc!$E$944-500))))=0,"","Claims email: "&amp;IF(LEN(INDEX('My equipment'!$S$4:$S$503,(_calc!$E$944-500)))=0,"",INDEX('My equipment'!$S$4:$S$503,(_calc!$E$944-500)))&amp;". ")&amp;IF(LEN(IF(LEN(INDEX('My equipment'!$U$4:$U$503,(_calc!$E$944-500)))=0,"",INDEX('My equipment'!$U$4:$U$503,(_calc!$E$944-500))))=0,"","Registered: "&amp;IF(LEN(INDEX('My equipment'!$U$4:$U$503,(_calc!$E$944-500)))=0,"",INDEX('My equipment'!$U$4:$U$503,(_calc!$E$944-500)))&amp;". ")&amp;IF(LEN(IF(LEN(INDEX('My equipment'!$V$4:$V$503,(_calc!$E$944-500)))=0,"",INDEX('My equipment'!$V$4:$V$503,(_calc!$E$944-500))))=0,"","Proof on file: "&amp;IF(LEN(INDEX('My equipment'!$V$4:$V$503,(_calc!$E$944-500)))=0,"",INDEX('My equipment'!$V$4:$V$503,(_calc!$E$944-500)))&amp;". ")&amp;IF(LEN(IF(LEN(INDEX('My equipment'!$W$4:$W$503,(_calc!$E$944-500)))=0,"",INDEX('My equipment'!$W$4:$W$503,(_calc!$E$944-500))))=0,"","Claim ref: "&amp;IF(LEN(INDEX('My equipment'!$W$4:$W$503,(_calc!$E$944-500)))=0,"",INDEX('My equipment'!$W$4:$W$503,(_calc!$E$944-500)))&amp;". ")&amp;IF(LEN(IF(LEN(INDEX('My equipment'!$Y$4:$Y$503,(_calc!$E$944-500)))=0,"",INDEX('My equipment'!$Y$4:$Y$503,(_calc!$E$944-500))))=0,"",IF(LEN(INDEX('My equipment'!$Y$4:$Y$503,(_calc!$E$944-500)))=0,"",INDEX('My equipment'!$Y$4:$Y$503,(_calc!$E$944-500)))))))</f>
        <v/>
      </c>
      <c r="G942" s="54">
        <f>IF(_calc!$E$944="","",IF(_calc!$E$944&lt;=500,"",IF(LEN(INDEX('My equipment'!$X$4:$X$503,(_calc!$E$944-500)))=0,"",INDEX('My equipment'!$X$4:$X$503,(_calc!$E$944-500)))))</f>
        <v/>
      </c>
      <c r="K942" s="54">
        <f>IF(_calc!$E$944="","",IF(_calc!$E$944&lt;=500,"",IF(LEN(INDEX('My equipment'!$T$4:$T$503,(_calc!$E$944-500)))=0,"",INDEX('My equipment'!$T$4:$T$503,(_calc!$E$944-500)))))</f>
        <v/>
      </c>
    </row>
    <row r="943">
      <c r="A943" s="54">
        <f>IF(_calc!$E$945="","",IF(_calc!$E$945&lt;=500,"Warranty – "&amp;IF(LEN(INDEX('Dealer pipeline'!$C$4:$C$503,_calc!$E$945))=0,"",INDEX('Dealer pipeline'!$C$4:$C$503,_calc!$E$945))&amp;" – "&amp;IF(LEN(INDEX('Dealer pipeline'!$D$4:$D$503,_calc!$E$945))=0,"",INDEX('Dealer pipeline'!$D$4:$D$503,_calc!$E$945))&amp;" – "&amp;IF(LEN(INDEX('Dealer pipeline'!$A$4:$A$503,_calc!$E$945))=0,"",INDEX('Dealer pipeline'!$A$4:$A$503,_calc!$E$945)),"Warranty – "&amp;IF(LEN(INDEX('My equipment'!$A$4:$A$503,(_calc!$E$945-500)))=0,"",INDEX('My equipment'!$A$4:$A$503,(_calc!$E$945-500)))&amp;" – "&amp;IF(LEN(INDEX('My equipment'!$D$4:$D$503,(_calc!$E$945-500)))=0,"",INDEX('My equipment'!$D$4:$D$503,(_calc!$E$945-500)))))</f>
        <v/>
      </c>
      <c r="B943" s="54">
        <f>IF(_calc!$E$945="","",IF(_calc!$E$945&lt;=500,IF(ISNUMBER(INDEX('Dealer pipeline'!$M$4:$M$503,_calc!$E$945)),TEXT(INDEX('Dealer pipeline'!$M$4:$M$503,_calc!$E$945),"yyyy-mm-dd"),""),IF(ISNUMBER(INDEX('My equipment'!$M$4:$M$503,(_calc!$E$945-500))),TEXT(INDEX('My equipment'!$M$4:$M$503,(_calc!$E$945-500)),"yyyy-mm-dd"),"")))</f>
        <v/>
      </c>
      <c r="C943" s="54">
        <f>IF(_calc!$E$945="","",IF(_calc!$E$945&lt;=500,"Warranty","Warranty"))</f>
        <v/>
      </c>
      <c r="D943" s="54">
        <f>IF(_calc!$E$945="","",IF(_calc!$E$945&lt;=500,IF(ISNUMBER(INDEX('Dealer pipeline'!$H$4:$H$503,_calc!$E$945)),TEXT(INDEX('Dealer pipeline'!$H$4:$H$503,_calc!$E$945),"yyyy-mm-dd"),""),IF(ISNUMBER(INDEX('My equipment'!$H$4:$H$503,(_calc!$E$945-500))),TEXT(INDEX('My equipment'!$H$4:$H$503,(_calc!$E$945-500)),"yyyy-mm-dd"),"")))</f>
        <v/>
      </c>
      <c r="F943" s="54">
        <f>IF(_calc!$E$945="","",IF(_calc!$E$945&lt;=500,TRIM(IF(LEN(IF(LEN(INDEX('Dealer pipeline'!$A$4:$A$503,_calc!$E$945))=0,"",INDEX('Dealer pipeline'!$A$4:$A$503,_calc!$E$945)))=0,"","Customer: "&amp;IF(LEN(INDEX('Dealer pipeline'!$A$4:$A$503,_calc!$E$945))=0,"",INDEX('Dealer pipeline'!$A$4:$A$503,_calc!$E$945))&amp;". ")&amp;IF(LEN(IF(LEN(INDEX('Dealer pipeline'!$B$4:$B$503,_calc!$E$945))=0,"",INDEX('Dealer pipeline'!$B$4:$B$503,_calc!$E$945)))=0,"","Contact: "&amp;IF(LEN(INDEX('Dealer pipeline'!$B$4:$B$503,_calc!$E$945))=0,"",INDEX('Dealer pipeline'!$B$4:$B$503,_calc!$E$945))&amp;". ")&amp;IF(LEN(IF(LEN(INDEX('Dealer pipeline'!$D$4:$D$503,_calc!$E$945))=0,"",INDEX('Dealer pipeline'!$D$4:$D$503,_calc!$E$945)))=0,"","Serial: "&amp;IF(LEN(INDEX('Dealer pipeline'!$D$4:$D$503,_calc!$E$945))=0,"",INDEX('Dealer pipeline'!$D$4:$D$503,_calc!$E$945))&amp;". ")&amp;IF(LEN(IF(ISNUMBER(INDEX('Dealer pipeline'!$J$4:$J$503,_calc!$E$945)),TEXT(INDEX('Dealer pipeline'!$J$4:$J$503,_calc!$E$945),"yyyy-mm-dd"),""))=0,"","Parts end: "&amp;IF(ISNUMBER(INDEX('Dealer pipeline'!$J$4:$J$503,_calc!$E$945)),TEXT(INDEX('Dealer pipeline'!$J$4:$J$503,_calc!$E$945),"yyyy-mm-dd"),"")&amp;". ")&amp;IF(LEN(IF(ISNUMBER(INDEX('Dealer pipeline'!$L$4:$L$503,_calc!$E$945)),TEXT(INDEX('Dealer pipeline'!$L$4:$L$503,_calc!$E$945),"yyyy-mm-dd"),""))=0,"","Labor end: "&amp;IF(ISNUMBER(INDEX('Dealer pipeline'!$L$4:$L$503,_calc!$E$945)),TEXT(INDEX('Dealer pipeline'!$L$4:$L$503,_calc!$E$945),"yyyy-mm-dd"),"")&amp;". ")&amp;IF(LEN(IF(LEN(INDEX('Dealer pipeline'!$Q$4:$Q$503,_calc!$E$945))=0,"",INDEX('Dealer pipeline'!$Q$4:$Q$503,_calc!$E$945)))=0,"","Status: "&amp;IF(LEN(INDEX('Dealer pipeline'!$Q$4:$Q$503,_calc!$E$945))=0,"",INDEX('Dealer pipeline'!$Q$4:$Q$503,_calc!$E$945))&amp;". ")&amp;IF(LEN(IF(LEN(INDEX('Dealer pipeline'!$P$4:$P$503,_calc!$E$945))=0,"",INDEX('Dealer pipeline'!$P$4:$P$503,_calc!$E$945)))=0,"","Last touch: "&amp;IF(LEN(INDEX('Dealer pipeline'!$P$4:$P$503,_calc!$E$945))=0,"",INDEX('Dealer pipeline'!$P$4:$P$503,_calc!$E$945))&amp;". ")&amp;IF(LEN(IF(LEN(INDEX('Dealer pipeline'!$R$4:$R$503,_calc!$E$945))=0,"",INDEX('Dealer pipeline'!$R$4:$R$503,_calc!$E$945)))=0,"","Owner: "&amp;IF(LEN(INDEX('Dealer pipeline'!$R$4:$R$503,_calc!$E$945))=0,"",INDEX('Dealer pipeline'!$R$4:$R$503,_calc!$E$945))&amp;". ")&amp;IF(LEN(IF(LEN(INDEX('Dealer pipeline'!$S$4:$S$503,_calc!$E$945))=0,"",INDEX('Dealer pipeline'!$S$4:$S$503,_calc!$E$945)))=0,"","Backup: "&amp;IF(LEN(INDEX('Dealer pipeline'!$S$4:$S$503,_calc!$E$945))=0,"",INDEX('Dealer pipeline'!$S$4:$S$503,_calc!$E$945))&amp;". ")&amp;IF(LEN(IF(LEN(INDEX('Dealer pipeline'!$T$4:$T$503,_calc!$E$945))=0,"",INDEX('Dealer pipeline'!$T$4:$T$503,_calc!$E$945)))=0,"",IF(LEN(INDEX('Dealer pipeline'!$T$4:$T$503,_calc!$E$945))=0,"",INDEX('Dealer pipeline'!$T$4:$T$503,_calc!$E$945)))),TRIM(IF(LEN(IF(LEN(INDEX('My equipment'!$C$4:$C$503,(_calc!$E$945-500)))=0,"",INDEX('My equipment'!$C$4:$C$503,(_calc!$E$945-500))))=0,"","Model: "&amp;IF(LEN(INDEX('My equipment'!$C$4:$C$503,(_calc!$E$945-500)))=0,"",INDEX('My equipment'!$C$4:$C$503,(_calc!$E$945-500)))&amp;". ")&amp;IF(LEN(IF(LEN(INDEX('My equipment'!$D$4:$D$503,(_calc!$E$945-500)))=0,"",INDEX('My equipment'!$D$4:$D$503,(_calc!$E$945-500))))=0,"","Serial: "&amp;IF(LEN(INDEX('My equipment'!$D$4:$D$503,(_calc!$E$945-500)))=0,"",INDEX('My equipment'!$D$4:$D$503,(_calc!$E$945-500)))&amp;". ")&amp;IF(LEN(IF(ISNUMBER(INDEX('My equipment'!$J$4:$J$503,(_calc!$E$945-500))),TEXT(INDEX('My equipment'!$J$4:$J$503,(_calc!$E$945-500)),"yyyy-mm-dd"),""))=0,"","Parts end: "&amp;IF(ISNUMBER(INDEX('My equipment'!$J$4:$J$503,(_calc!$E$945-500))),TEXT(INDEX('My equipment'!$J$4:$J$503,(_calc!$E$945-500)),"yyyy-mm-dd"),"")&amp;". ")&amp;IF(LEN(IF(ISNUMBER(INDEX('My equipment'!$L$4:$L$503,(_calc!$E$945-500))),TEXT(INDEX('My equipment'!$L$4:$L$503,(_calc!$E$945-500)),"yyyy-mm-dd"),""))=0,"","Labor end: "&amp;IF(ISNUMBER(INDEX('My equipment'!$L$4:$L$503,(_calc!$E$945-500))),TEXT(INDEX('My equipment'!$L$4:$L$503,(_calc!$E$945-500)),"yyyy-mm-dd"),"")&amp;". ")&amp;IF(LEN(IF(ISNUMBER(INDEX('My equipment'!$P$4:$P$503,(_calc!$E$945-500))),TEXT(INDEX('My equipment'!$P$4:$P$503,(_calc!$E$945-500)),"yyyy-mm-dd"),""))=0,"","Check by: "&amp;IF(ISNUMBER(INDEX('My equipment'!$P$4:$P$503,(_calc!$E$945-500))),TEXT(INDEX('My equipment'!$P$4:$P$503,(_calc!$E$945-500)),"yyyy-mm-dd"),"")&amp;". ")&amp;IF(LEN(IF(LEN(INDEX('My equipment'!$Q$4:$Q$503,(_calc!$E$945-500)))=0,"",INDEX('My equipment'!$Q$4:$Q$503,(_calc!$E$945-500))))=0,"","Claim status: "&amp;IF(LEN(INDEX('My equipment'!$Q$4:$Q$503,(_calc!$E$945-500)))=0,"",INDEX('My equipment'!$Q$4:$Q$503,(_calc!$E$945-500)))&amp;". ")&amp;IF(LEN(IF(LEN(INDEX('My equipment'!$R$4:$R$503,(_calc!$E$945-500)))=0,"",INDEX('My equipment'!$R$4:$R$503,(_calc!$E$945-500))))=0,"","Claims contact: "&amp;IF(LEN(INDEX('My equipment'!$R$4:$R$503,(_calc!$E$945-500)))=0,"",INDEX('My equipment'!$R$4:$R$503,(_calc!$E$945-500)))&amp;". ")&amp;IF(LEN(IF(LEN(INDEX('My equipment'!$S$4:$S$503,(_calc!$E$945-500)))=0,"",INDEX('My equipment'!$S$4:$S$503,(_calc!$E$945-500))))=0,"","Claims email: "&amp;IF(LEN(INDEX('My equipment'!$S$4:$S$503,(_calc!$E$945-500)))=0,"",INDEX('My equipment'!$S$4:$S$503,(_calc!$E$945-500)))&amp;". ")&amp;IF(LEN(IF(LEN(INDEX('My equipment'!$U$4:$U$503,(_calc!$E$945-500)))=0,"",INDEX('My equipment'!$U$4:$U$503,(_calc!$E$945-500))))=0,"","Registered: "&amp;IF(LEN(INDEX('My equipment'!$U$4:$U$503,(_calc!$E$945-500)))=0,"",INDEX('My equipment'!$U$4:$U$503,(_calc!$E$945-500)))&amp;". ")&amp;IF(LEN(IF(LEN(INDEX('My equipment'!$V$4:$V$503,(_calc!$E$945-500)))=0,"",INDEX('My equipment'!$V$4:$V$503,(_calc!$E$945-500))))=0,"","Proof on file: "&amp;IF(LEN(INDEX('My equipment'!$V$4:$V$503,(_calc!$E$945-500)))=0,"",INDEX('My equipment'!$V$4:$V$503,(_calc!$E$945-500)))&amp;". ")&amp;IF(LEN(IF(LEN(INDEX('My equipment'!$W$4:$W$503,(_calc!$E$945-500)))=0,"",INDEX('My equipment'!$W$4:$W$503,(_calc!$E$945-500))))=0,"","Claim ref: "&amp;IF(LEN(INDEX('My equipment'!$W$4:$W$503,(_calc!$E$945-500)))=0,"",INDEX('My equipment'!$W$4:$W$503,(_calc!$E$945-500)))&amp;". ")&amp;IF(LEN(IF(LEN(INDEX('My equipment'!$Y$4:$Y$503,(_calc!$E$945-500)))=0,"",INDEX('My equipment'!$Y$4:$Y$503,(_calc!$E$945-500))))=0,"",IF(LEN(INDEX('My equipment'!$Y$4:$Y$503,(_calc!$E$945-500)))=0,"",INDEX('My equipment'!$Y$4:$Y$503,(_calc!$E$945-500)))))))</f>
        <v/>
      </c>
      <c r="G943" s="54">
        <f>IF(_calc!$E$945="","",IF(_calc!$E$945&lt;=500,"",IF(LEN(INDEX('My equipment'!$X$4:$X$503,(_calc!$E$945-500)))=0,"",INDEX('My equipment'!$X$4:$X$503,(_calc!$E$945-500)))))</f>
        <v/>
      </c>
      <c r="K943" s="54">
        <f>IF(_calc!$E$945="","",IF(_calc!$E$945&lt;=500,"",IF(LEN(INDEX('My equipment'!$T$4:$T$503,(_calc!$E$945-500)))=0,"",INDEX('My equipment'!$T$4:$T$503,(_calc!$E$945-500)))))</f>
        <v/>
      </c>
    </row>
    <row r="944">
      <c r="A944" s="54">
        <f>IF(_calc!$E$946="","",IF(_calc!$E$946&lt;=500,"Warranty – "&amp;IF(LEN(INDEX('Dealer pipeline'!$C$4:$C$503,_calc!$E$946))=0,"",INDEX('Dealer pipeline'!$C$4:$C$503,_calc!$E$946))&amp;" – "&amp;IF(LEN(INDEX('Dealer pipeline'!$D$4:$D$503,_calc!$E$946))=0,"",INDEX('Dealer pipeline'!$D$4:$D$503,_calc!$E$946))&amp;" – "&amp;IF(LEN(INDEX('Dealer pipeline'!$A$4:$A$503,_calc!$E$946))=0,"",INDEX('Dealer pipeline'!$A$4:$A$503,_calc!$E$946)),"Warranty – "&amp;IF(LEN(INDEX('My equipment'!$A$4:$A$503,(_calc!$E$946-500)))=0,"",INDEX('My equipment'!$A$4:$A$503,(_calc!$E$946-500)))&amp;" – "&amp;IF(LEN(INDEX('My equipment'!$D$4:$D$503,(_calc!$E$946-500)))=0,"",INDEX('My equipment'!$D$4:$D$503,(_calc!$E$946-500)))))</f>
        <v/>
      </c>
      <c r="B944" s="54">
        <f>IF(_calc!$E$946="","",IF(_calc!$E$946&lt;=500,IF(ISNUMBER(INDEX('Dealer pipeline'!$M$4:$M$503,_calc!$E$946)),TEXT(INDEX('Dealer pipeline'!$M$4:$M$503,_calc!$E$946),"yyyy-mm-dd"),""),IF(ISNUMBER(INDEX('My equipment'!$M$4:$M$503,(_calc!$E$946-500))),TEXT(INDEX('My equipment'!$M$4:$M$503,(_calc!$E$946-500)),"yyyy-mm-dd"),"")))</f>
        <v/>
      </c>
      <c r="C944" s="54">
        <f>IF(_calc!$E$946="","",IF(_calc!$E$946&lt;=500,"Warranty","Warranty"))</f>
        <v/>
      </c>
      <c r="D944" s="54">
        <f>IF(_calc!$E$946="","",IF(_calc!$E$946&lt;=500,IF(ISNUMBER(INDEX('Dealer pipeline'!$H$4:$H$503,_calc!$E$946)),TEXT(INDEX('Dealer pipeline'!$H$4:$H$503,_calc!$E$946),"yyyy-mm-dd"),""),IF(ISNUMBER(INDEX('My equipment'!$H$4:$H$503,(_calc!$E$946-500))),TEXT(INDEX('My equipment'!$H$4:$H$503,(_calc!$E$946-500)),"yyyy-mm-dd"),"")))</f>
        <v/>
      </c>
      <c r="F944" s="54">
        <f>IF(_calc!$E$946="","",IF(_calc!$E$946&lt;=500,TRIM(IF(LEN(IF(LEN(INDEX('Dealer pipeline'!$A$4:$A$503,_calc!$E$946))=0,"",INDEX('Dealer pipeline'!$A$4:$A$503,_calc!$E$946)))=0,"","Customer: "&amp;IF(LEN(INDEX('Dealer pipeline'!$A$4:$A$503,_calc!$E$946))=0,"",INDEX('Dealer pipeline'!$A$4:$A$503,_calc!$E$946))&amp;". ")&amp;IF(LEN(IF(LEN(INDEX('Dealer pipeline'!$B$4:$B$503,_calc!$E$946))=0,"",INDEX('Dealer pipeline'!$B$4:$B$503,_calc!$E$946)))=0,"","Contact: "&amp;IF(LEN(INDEX('Dealer pipeline'!$B$4:$B$503,_calc!$E$946))=0,"",INDEX('Dealer pipeline'!$B$4:$B$503,_calc!$E$946))&amp;". ")&amp;IF(LEN(IF(LEN(INDEX('Dealer pipeline'!$D$4:$D$503,_calc!$E$946))=0,"",INDEX('Dealer pipeline'!$D$4:$D$503,_calc!$E$946)))=0,"","Serial: "&amp;IF(LEN(INDEX('Dealer pipeline'!$D$4:$D$503,_calc!$E$946))=0,"",INDEX('Dealer pipeline'!$D$4:$D$503,_calc!$E$946))&amp;". ")&amp;IF(LEN(IF(ISNUMBER(INDEX('Dealer pipeline'!$J$4:$J$503,_calc!$E$946)),TEXT(INDEX('Dealer pipeline'!$J$4:$J$503,_calc!$E$946),"yyyy-mm-dd"),""))=0,"","Parts end: "&amp;IF(ISNUMBER(INDEX('Dealer pipeline'!$J$4:$J$503,_calc!$E$946)),TEXT(INDEX('Dealer pipeline'!$J$4:$J$503,_calc!$E$946),"yyyy-mm-dd"),"")&amp;". ")&amp;IF(LEN(IF(ISNUMBER(INDEX('Dealer pipeline'!$L$4:$L$503,_calc!$E$946)),TEXT(INDEX('Dealer pipeline'!$L$4:$L$503,_calc!$E$946),"yyyy-mm-dd"),""))=0,"","Labor end: "&amp;IF(ISNUMBER(INDEX('Dealer pipeline'!$L$4:$L$503,_calc!$E$946)),TEXT(INDEX('Dealer pipeline'!$L$4:$L$503,_calc!$E$946),"yyyy-mm-dd"),"")&amp;". ")&amp;IF(LEN(IF(LEN(INDEX('Dealer pipeline'!$Q$4:$Q$503,_calc!$E$946))=0,"",INDEX('Dealer pipeline'!$Q$4:$Q$503,_calc!$E$946)))=0,"","Status: "&amp;IF(LEN(INDEX('Dealer pipeline'!$Q$4:$Q$503,_calc!$E$946))=0,"",INDEX('Dealer pipeline'!$Q$4:$Q$503,_calc!$E$946))&amp;". ")&amp;IF(LEN(IF(LEN(INDEX('Dealer pipeline'!$P$4:$P$503,_calc!$E$946))=0,"",INDEX('Dealer pipeline'!$P$4:$P$503,_calc!$E$946)))=0,"","Last touch: "&amp;IF(LEN(INDEX('Dealer pipeline'!$P$4:$P$503,_calc!$E$946))=0,"",INDEX('Dealer pipeline'!$P$4:$P$503,_calc!$E$946))&amp;". ")&amp;IF(LEN(IF(LEN(INDEX('Dealer pipeline'!$R$4:$R$503,_calc!$E$946))=0,"",INDEX('Dealer pipeline'!$R$4:$R$503,_calc!$E$946)))=0,"","Owner: "&amp;IF(LEN(INDEX('Dealer pipeline'!$R$4:$R$503,_calc!$E$946))=0,"",INDEX('Dealer pipeline'!$R$4:$R$503,_calc!$E$946))&amp;". ")&amp;IF(LEN(IF(LEN(INDEX('Dealer pipeline'!$S$4:$S$503,_calc!$E$946))=0,"",INDEX('Dealer pipeline'!$S$4:$S$503,_calc!$E$946)))=0,"","Backup: "&amp;IF(LEN(INDEX('Dealer pipeline'!$S$4:$S$503,_calc!$E$946))=0,"",INDEX('Dealer pipeline'!$S$4:$S$503,_calc!$E$946))&amp;". ")&amp;IF(LEN(IF(LEN(INDEX('Dealer pipeline'!$T$4:$T$503,_calc!$E$946))=0,"",INDEX('Dealer pipeline'!$T$4:$T$503,_calc!$E$946)))=0,"",IF(LEN(INDEX('Dealer pipeline'!$T$4:$T$503,_calc!$E$946))=0,"",INDEX('Dealer pipeline'!$T$4:$T$503,_calc!$E$946)))),TRIM(IF(LEN(IF(LEN(INDEX('My equipment'!$C$4:$C$503,(_calc!$E$946-500)))=0,"",INDEX('My equipment'!$C$4:$C$503,(_calc!$E$946-500))))=0,"","Model: "&amp;IF(LEN(INDEX('My equipment'!$C$4:$C$503,(_calc!$E$946-500)))=0,"",INDEX('My equipment'!$C$4:$C$503,(_calc!$E$946-500)))&amp;". ")&amp;IF(LEN(IF(LEN(INDEX('My equipment'!$D$4:$D$503,(_calc!$E$946-500)))=0,"",INDEX('My equipment'!$D$4:$D$503,(_calc!$E$946-500))))=0,"","Serial: "&amp;IF(LEN(INDEX('My equipment'!$D$4:$D$503,(_calc!$E$946-500)))=0,"",INDEX('My equipment'!$D$4:$D$503,(_calc!$E$946-500)))&amp;". ")&amp;IF(LEN(IF(ISNUMBER(INDEX('My equipment'!$J$4:$J$503,(_calc!$E$946-500))),TEXT(INDEX('My equipment'!$J$4:$J$503,(_calc!$E$946-500)),"yyyy-mm-dd"),""))=0,"","Parts end: "&amp;IF(ISNUMBER(INDEX('My equipment'!$J$4:$J$503,(_calc!$E$946-500))),TEXT(INDEX('My equipment'!$J$4:$J$503,(_calc!$E$946-500)),"yyyy-mm-dd"),"")&amp;". ")&amp;IF(LEN(IF(ISNUMBER(INDEX('My equipment'!$L$4:$L$503,(_calc!$E$946-500))),TEXT(INDEX('My equipment'!$L$4:$L$503,(_calc!$E$946-500)),"yyyy-mm-dd"),""))=0,"","Labor end: "&amp;IF(ISNUMBER(INDEX('My equipment'!$L$4:$L$503,(_calc!$E$946-500))),TEXT(INDEX('My equipment'!$L$4:$L$503,(_calc!$E$946-500)),"yyyy-mm-dd"),"")&amp;". ")&amp;IF(LEN(IF(ISNUMBER(INDEX('My equipment'!$P$4:$P$503,(_calc!$E$946-500))),TEXT(INDEX('My equipment'!$P$4:$P$503,(_calc!$E$946-500)),"yyyy-mm-dd"),""))=0,"","Check by: "&amp;IF(ISNUMBER(INDEX('My equipment'!$P$4:$P$503,(_calc!$E$946-500))),TEXT(INDEX('My equipment'!$P$4:$P$503,(_calc!$E$946-500)),"yyyy-mm-dd"),"")&amp;". ")&amp;IF(LEN(IF(LEN(INDEX('My equipment'!$Q$4:$Q$503,(_calc!$E$946-500)))=0,"",INDEX('My equipment'!$Q$4:$Q$503,(_calc!$E$946-500))))=0,"","Claim status: "&amp;IF(LEN(INDEX('My equipment'!$Q$4:$Q$503,(_calc!$E$946-500)))=0,"",INDEX('My equipment'!$Q$4:$Q$503,(_calc!$E$946-500)))&amp;". ")&amp;IF(LEN(IF(LEN(INDEX('My equipment'!$R$4:$R$503,(_calc!$E$946-500)))=0,"",INDEX('My equipment'!$R$4:$R$503,(_calc!$E$946-500))))=0,"","Claims contact: "&amp;IF(LEN(INDEX('My equipment'!$R$4:$R$503,(_calc!$E$946-500)))=0,"",INDEX('My equipment'!$R$4:$R$503,(_calc!$E$946-500)))&amp;". ")&amp;IF(LEN(IF(LEN(INDEX('My equipment'!$S$4:$S$503,(_calc!$E$946-500)))=0,"",INDEX('My equipment'!$S$4:$S$503,(_calc!$E$946-500))))=0,"","Claims email: "&amp;IF(LEN(INDEX('My equipment'!$S$4:$S$503,(_calc!$E$946-500)))=0,"",INDEX('My equipment'!$S$4:$S$503,(_calc!$E$946-500)))&amp;". ")&amp;IF(LEN(IF(LEN(INDEX('My equipment'!$U$4:$U$503,(_calc!$E$946-500)))=0,"",INDEX('My equipment'!$U$4:$U$503,(_calc!$E$946-500))))=0,"","Registered: "&amp;IF(LEN(INDEX('My equipment'!$U$4:$U$503,(_calc!$E$946-500)))=0,"",INDEX('My equipment'!$U$4:$U$503,(_calc!$E$946-500)))&amp;". ")&amp;IF(LEN(IF(LEN(INDEX('My equipment'!$V$4:$V$503,(_calc!$E$946-500)))=0,"",INDEX('My equipment'!$V$4:$V$503,(_calc!$E$946-500))))=0,"","Proof on file: "&amp;IF(LEN(INDEX('My equipment'!$V$4:$V$503,(_calc!$E$946-500)))=0,"",INDEX('My equipment'!$V$4:$V$503,(_calc!$E$946-500)))&amp;". ")&amp;IF(LEN(IF(LEN(INDEX('My equipment'!$W$4:$W$503,(_calc!$E$946-500)))=0,"",INDEX('My equipment'!$W$4:$W$503,(_calc!$E$946-500))))=0,"","Claim ref: "&amp;IF(LEN(INDEX('My equipment'!$W$4:$W$503,(_calc!$E$946-500)))=0,"",INDEX('My equipment'!$W$4:$W$503,(_calc!$E$946-500)))&amp;". ")&amp;IF(LEN(IF(LEN(INDEX('My equipment'!$Y$4:$Y$503,(_calc!$E$946-500)))=0,"",INDEX('My equipment'!$Y$4:$Y$503,(_calc!$E$946-500))))=0,"",IF(LEN(INDEX('My equipment'!$Y$4:$Y$503,(_calc!$E$946-500)))=0,"",INDEX('My equipment'!$Y$4:$Y$503,(_calc!$E$946-500)))))))</f>
        <v/>
      </c>
      <c r="G944" s="54">
        <f>IF(_calc!$E$946="","",IF(_calc!$E$946&lt;=500,"",IF(LEN(INDEX('My equipment'!$X$4:$X$503,(_calc!$E$946-500)))=0,"",INDEX('My equipment'!$X$4:$X$503,(_calc!$E$946-500)))))</f>
        <v/>
      </c>
      <c r="K944" s="54">
        <f>IF(_calc!$E$946="","",IF(_calc!$E$946&lt;=500,"",IF(LEN(INDEX('My equipment'!$T$4:$T$503,(_calc!$E$946-500)))=0,"",INDEX('My equipment'!$T$4:$T$503,(_calc!$E$946-500)))))</f>
        <v/>
      </c>
    </row>
    <row r="945">
      <c r="A945" s="54">
        <f>IF(_calc!$E$947="","",IF(_calc!$E$947&lt;=500,"Warranty – "&amp;IF(LEN(INDEX('Dealer pipeline'!$C$4:$C$503,_calc!$E$947))=0,"",INDEX('Dealer pipeline'!$C$4:$C$503,_calc!$E$947))&amp;" – "&amp;IF(LEN(INDEX('Dealer pipeline'!$D$4:$D$503,_calc!$E$947))=0,"",INDEX('Dealer pipeline'!$D$4:$D$503,_calc!$E$947))&amp;" – "&amp;IF(LEN(INDEX('Dealer pipeline'!$A$4:$A$503,_calc!$E$947))=0,"",INDEX('Dealer pipeline'!$A$4:$A$503,_calc!$E$947)),"Warranty – "&amp;IF(LEN(INDEX('My equipment'!$A$4:$A$503,(_calc!$E$947-500)))=0,"",INDEX('My equipment'!$A$4:$A$503,(_calc!$E$947-500)))&amp;" – "&amp;IF(LEN(INDEX('My equipment'!$D$4:$D$503,(_calc!$E$947-500)))=0,"",INDEX('My equipment'!$D$4:$D$503,(_calc!$E$947-500)))))</f>
        <v/>
      </c>
      <c r="B945" s="54">
        <f>IF(_calc!$E$947="","",IF(_calc!$E$947&lt;=500,IF(ISNUMBER(INDEX('Dealer pipeline'!$M$4:$M$503,_calc!$E$947)),TEXT(INDEX('Dealer pipeline'!$M$4:$M$503,_calc!$E$947),"yyyy-mm-dd"),""),IF(ISNUMBER(INDEX('My equipment'!$M$4:$M$503,(_calc!$E$947-500))),TEXT(INDEX('My equipment'!$M$4:$M$503,(_calc!$E$947-500)),"yyyy-mm-dd"),"")))</f>
        <v/>
      </c>
      <c r="C945" s="54">
        <f>IF(_calc!$E$947="","",IF(_calc!$E$947&lt;=500,"Warranty","Warranty"))</f>
        <v/>
      </c>
      <c r="D945" s="54">
        <f>IF(_calc!$E$947="","",IF(_calc!$E$947&lt;=500,IF(ISNUMBER(INDEX('Dealer pipeline'!$H$4:$H$503,_calc!$E$947)),TEXT(INDEX('Dealer pipeline'!$H$4:$H$503,_calc!$E$947),"yyyy-mm-dd"),""),IF(ISNUMBER(INDEX('My equipment'!$H$4:$H$503,(_calc!$E$947-500))),TEXT(INDEX('My equipment'!$H$4:$H$503,(_calc!$E$947-500)),"yyyy-mm-dd"),"")))</f>
        <v/>
      </c>
      <c r="F945" s="54">
        <f>IF(_calc!$E$947="","",IF(_calc!$E$947&lt;=500,TRIM(IF(LEN(IF(LEN(INDEX('Dealer pipeline'!$A$4:$A$503,_calc!$E$947))=0,"",INDEX('Dealer pipeline'!$A$4:$A$503,_calc!$E$947)))=0,"","Customer: "&amp;IF(LEN(INDEX('Dealer pipeline'!$A$4:$A$503,_calc!$E$947))=0,"",INDEX('Dealer pipeline'!$A$4:$A$503,_calc!$E$947))&amp;". ")&amp;IF(LEN(IF(LEN(INDEX('Dealer pipeline'!$B$4:$B$503,_calc!$E$947))=0,"",INDEX('Dealer pipeline'!$B$4:$B$503,_calc!$E$947)))=0,"","Contact: "&amp;IF(LEN(INDEX('Dealer pipeline'!$B$4:$B$503,_calc!$E$947))=0,"",INDEX('Dealer pipeline'!$B$4:$B$503,_calc!$E$947))&amp;". ")&amp;IF(LEN(IF(LEN(INDEX('Dealer pipeline'!$D$4:$D$503,_calc!$E$947))=0,"",INDEX('Dealer pipeline'!$D$4:$D$503,_calc!$E$947)))=0,"","Serial: "&amp;IF(LEN(INDEX('Dealer pipeline'!$D$4:$D$503,_calc!$E$947))=0,"",INDEX('Dealer pipeline'!$D$4:$D$503,_calc!$E$947))&amp;". ")&amp;IF(LEN(IF(ISNUMBER(INDEX('Dealer pipeline'!$J$4:$J$503,_calc!$E$947)),TEXT(INDEX('Dealer pipeline'!$J$4:$J$503,_calc!$E$947),"yyyy-mm-dd"),""))=0,"","Parts end: "&amp;IF(ISNUMBER(INDEX('Dealer pipeline'!$J$4:$J$503,_calc!$E$947)),TEXT(INDEX('Dealer pipeline'!$J$4:$J$503,_calc!$E$947),"yyyy-mm-dd"),"")&amp;". ")&amp;IF(LEN(IF(ISNUMBER(INDEX('Dealer pipeline'!$L$4:$L$503,_calc!$E$947)),TEXT(INDEX('Dealer pipeline'!$L$4:$L$503,_calc!$E$947),"yyyy-mm-dd"),""))=0,"","Labor end: "&amp;IF(ISNUMBER(INDEX('Dealer pipeline'!$L$4:$L$503,_calc!$E$947)),TEXT(INDEX('Dealer pipeline'!$L$4:$L$503,_calc!$E$947),"yyyy-mm-dd"),"")&amp;". ")&amp;IF(LEN(IF(LEN(INDEX('Dealer pipeline'!$Q$4:$Q$503,_calc!$E$947))=0,"",INDEX('Dealer pipeline'!$Q$4:$Q$503,_calc!$E$947)))=0,"","Status: "&amp;IF(LEN(INDEX('Dealer pipeline'!$Q$4:$Q$503,_calc!$E$947))=0,"",INDEX('Dealer pipeline'!$Q$4:$Q$503,_calc!$E$947))&amp;". ")&amp;IF(LEN(IF(LEN(INDEX('Dealer pipeline'!$P$4:$P$503,_calc!$E$947))=0,"",INDEX('Dealer pipeline'!$P$4:$P$503,_calc!$E$947)))=0,"","Last touch: "&amp;IF(LEN(INDEX('Dealer pipeline'!$P$4:$P$503,_calc!$E$947))=0,"",INDEX('Dealer pipeline'!$P$4:$P$503,_calc!$E$947))&amp;". ")&amp;IF(LEN(IF(LEN(INDEX('Dealer pipeline'!$R$4:$R$503,_calc!$E$947))=0,"",INDEX('Dealer pipeline'!$R$4:$R$503,_calc!$E$947)))=0,"","Owner: "&amp;IF(LEN(INDEX('Dealer pipeline'!$R$4:$R$503,_calc!$E$947))=0,"",INDEX('Dealer pipeline'!$R$4:$R$503,_calc!$E$947))&amp;". ")&amp;IF(LEN(IF(LEN(INDEX('Dealer pipeline'!$S$4:$S$503,_calc!$E$947))=0,"",INDEX('Dealer pipeline'!$S$4:$S$503,_calc!$E$947)))=0,"","Backup: "&amp;IF(LEN(INDEX('Dealer pipeline'!$S$4:$S$503,_calc!$E$947))=0,"",INDEX('Dealer pipeline'!$S$4:$S$503,_calc!$E$947))&amp;". ")&amp;IF(LEN(IF(LEN(INDEX('Dealer pipeline'!$T$4:$T$503,_calc!$E$947))=0,"",INDEX('Dealer pipeline'!$T$4:$T$503,_calc!$E$947)))=0,"",IF(LEN(INDEX('Dealer pipeline'!$T$4:$T$503,_calc!$E$947))=0,"",INDEX('Dealer pipeline'!$T$4:$T$503,_calc!$E$947)))),TRIM(IF(LEN(IF(LEN(INDEX('My equipment'!$C$4:$C$503,(_calc!$E$947-500)))=0,"",INDEX('My equipment'!$C$4:$C$503,(_calc!$E$947-500))))=0,"","Model: "&amp;IF(LEN(INDEX('My equipment'!$C$4:$C$503,(_calc!$E$947-500)))=0,"",INDEX('My equipment'!$C$4:$C$503,(_calc!$E$947-500)))&amp;". ")&amp;IF(LEN(IF(LEN(INDEX('My equipment'!$D$4:$D$503,(_calc!$E$947-500)))=0,"",INDEX('My equipment'!$D$4:$D$503,(_calc!$E$947-500))))=0,"","Serial: "&amp;IF(LEN(INDEX('My equipment'!$D$4:$D$503,(_calc!$E$947-500)))=0,"",INDEX('My equipment'!$D$4:$D$503,(_calc!$E$947-500)))&amp;". ")&amp;IF(LEN(IF(ISNUMBER(INDEX('My equipment'!$J$4:$J$503,(_calc!$E$947-500))),TEXT(INDEX('My equipment'!$J$4:$J$503,(_calc!$E$947-500)),"yyyy-mm-dd"),""))=0,"","Parts end: "&amp;IF(ISNUMBER(INDEX('My equipment'!$J$4:$J$503,(_calc!$E$947-500))),TEXT(INDEX('My equipment'!$J$4:$J$503,(_calc!$E$947-500)),"yyyy-mm-dd"),"")&amp;". ")&amp;IF(LEN(IF(ISNUMBER(INDEX('My equipment'!$L$4:$L$503,(_calc!$E$947-500))),TEXT(INDEX('My equipment'!$L$4:$L$503,(_calc!$E$947-500)),"yyyy-mm-dd"),""))=0,"","Labor end: "&amp;IF(ISNUMBER(INDEX('My equipment'!$L$4:$L$503,(_calc!$E$947-500))),TEXT(INDEX('My equipment'!$L$4:$L$503,(_calc!$E$947-500)),"yyyy-mm-dd"),"")&amp;". ")&amp;IF(LEN(IF(ISNUMBER(INDEX('My equipment'!$P$4:$P$503,(_calc!$E$947-500))),TEXT(INDEX('My equipment'!$P$4:$P$503,(_calc!$E$947-500)),"yyyy-mm-dd"),""))=0,"","Check by: "&amp;IF(ISNUMBER(INDEX('My equipment'!$P$4:$P$503,(_calc!$E$947-500))),TEXT(INDEX('My equipment'!$P$4:$P$503,(_calc!$E$947-500)),"yyyy-mm-dd"),"")&amp;". ")&amp;IF(LEN(IF(LEN(INDEX('My equipment'!$Q$4:$Q$503,(_calc!$E$947-500)))=0,"",INDEX('My equipment'!$Q$4:$Q$503,(_calc!$E$947-500))))=0,"","Claim status: "&amp;IF(LEN(INDEX('My equipment'!$Q$4:$Q$503,(_calc!$E$947-500)))=0,"",INDEX('My equipment'!$Q$4:$Q$503,(_calc!$E$947-500)))&amp;". ")&amp;IF(LEN(IF(LEN(INDEX('My equipment'!$R$4:$R$503,(_calc!$E$947-500)))=0,"",INDEX('My equipment'!$R$4:$R$503,(_calc!$E$947-500))))=0,"","Claims contact: "&amp;IF(LEN(INDEX('My equipment'!$R$4:$R$503,(_calc!$E$947-500)))=0,"",INDEX('My equipment'!$R$4:$R$503,(_calc!$E$947-500)))&amp;". ")&amp;IF(LEN(IF(LEN(INDEX('My equipment'!$S$4:$S$503,(_calc!$E$947-500)))=0,"",INDEX('My equipment'!$S$4:$S$503,(_calc!$E$947-500))))=0,"","Claims email: "&amp;IF(LEN(INDEX('My equipment'!$S$4:$S$503,(_calc!$E$947-500)))=0,"",INDEX('My equipment'!$S$4:$S$503,(_calc!$E$947-500)))&amp;". ")&amp;IF(LEN(IF(LEN(INDEX('My equipment'!$U$4:$U$503,(_calc!$E$947-500)))=0,"",INDEX('My equipment'!$U$4:$U$503,(_calc!$E$947-500))))=0,"","Registered: "&amp;IF(LEN(INDEX('My equipment'!$U$4:$U$503,(_calc!$E$947-500)))=0,"",INDEX('My equipment'!$U$4:$U$503,(_calc!$E$947-500)))&amp;". ")&amp;IF(LEN(IF(LEN(INDEX('My equipment'!$V$4:$V$503,(_calc!$E$947-500)))=0,"",INDEX('My equipment'!$V$4:$V$503,(_calc!$E$947-500))))=0,"","Proof on file: "&amp;IF(LEN(INDEX('My equipment'!$V$4:$V$503,(_calc!$E$947-500)))=0,"",INDEX('My equipment'!$V$4:$V$503,(_calc!$E$947-500)))&amp;". ")&amp;IF(LEN(IF(LEN(INDEX('My equipment'!$W$4:$W$503,(_calc!$E$947-500)))=0,"",INDEX('My equipment'!$W$4:$W$503,(_calc!$E$947-500))))=0,"","Claim ref: "&amp;IF(LEN(INDEX('My equipment'!$W$4:$W$503,(_calc!$E$947-500)))=0,"",INDEX('My equipment'!$W$4:$W$503,(_calc!$E$947-500)))&amp;". ")&amp;IF(LEN(IF(LEN(INDEX('My equipment'!$Y$4:$Y$503,(_calc!$E$947-500)))=0,"",INDEX('My equipment'!$Y$4:$Y$503,(_calc!$E$947-500))))=0,"",IF(LEN(INDEX('My equipment'!$Y$4:$Y$503,(_calc!$E$947-500)))=0,"",INDEX('My equipment'!$Y$4:$Y$503,(_calc!$E$947-500)))))))</f>
        <v/>
      </c>
      <c r="G945" s="54">
        <f>IF(_calc!$E$947="","",IF(_calc!$E$947&lt;=500,"",IF(LEN(INDEX('My equipment'!$X$4:$X$503,(_calc!$E$947-500)))=0,"",INDEX('My equipment'!$X$4:$X$503,(_calc!$E$947-500)))))</f>
        <v/>
      </c>
      <c r="K945" s="54">
        <f>IF(_calc!$E$947="","",IF(_calc!$E$947&lt;=500,"",IF(LEN(INDEX('My equipment'!$T$4:$T$503,(_calc!$E$947-500)))=0,"",INDEX('My equipment'!$T$4:$T$503,(_calc!$E$947-500)))))</f>
        <v/>
      </c>
    </row>
    <row r="946">
      <c r="A946" s="54">
        <f>IF(_calc!$E$948="","",IF(_calc!$E$948&lt;=500,"Warranty – "&amp;IF(LEN(INDEX('Dealer pipeline'!$C$4:$C$503,_calc!$E$948))=0,"",INDEX('Dealer pipeline'!$C$4:$C$503,_calc!$E$948))&amp;" – "&amp;IF(LEN(INDEX('Dealer pipeline'!$D$4:$D$503,_calc!$E$948))=0,"",INDEX('Dealer pipeline'!$D$4:$D$503,_calc!$E$948))&amp;" – "&amp;IF(LEN(INDEX('Dealer pipeline'!$A$4:$A$503,_calc!$E$948))=0,"",INDEX('Dealer pipeline'!$A$4:$A$503,_calc!$E$948)),"Warranty – "&amp;IF(LEN(INDEX('My equipment'!$A$4:$A$503,(_calc!$E$948-500)))=0,"",INDEX('My equipment'!$A$4:$A$503,(_calc!$E$948-500)))&amp;" – "&amp;IF(LEN(INDEX('My equipment'!$D$4:$D$503,(_calc!$E$948-500)))=0,"",INDEX('My equipment'!$D$4:$D$503,(_calc!$E$948-500)))))</f>
        <v/>
      </c>
      <c r="B946" s="54">
        <f>IF(_calc!$E$948="","",IF(_calc!$E$948&lt;=500,IF(ISNUMBER(INDEX('Dealer pipeline'!$M$4:$M$503,_calc!$E$948)),TEXT(INDEX('Dealer pipeline'!$M$4:$M$503,_calc!$E$948),"yyyy-mm-dd"),""),IF(ISNUMBER(INDEX('My equipment'!$M$4:$M$503,(_calc!$E$948-500))),TEXT(INDEX('My equipment'!$M$4:$M$503,(_calc!$E$948-500)),"yyyy-mm-dd"),"")))</f>
        <v/>
      </c>
      <c r="C946" s="54">
        <f>IF(_calc!$E$948="","",IF(_calc!$E$948&lt;=500,"Warranty","Warranty"))</f>
        <v/>
      </c>
      <c r="D946" s="54">
        <f>IF(_calc!$E$948="","",IF(_calc!$E$948&lt;=500,IF(ISNUMBER(INDEX('Dealer pipeline'!$H$4:$H$503,_calc!$E$948)),TEXT(INDEX('Dealer pipeline'!$H$4:$H$503,_calc!$E$948),"yyyy-mm-dd"),""),IF(ISNUMBER(INDEX('My equipment'!$H$4:$H$503,(_calc!$E$948-500))),TEXT(INDEX('My equipment'!$H$4:$H$503,(_calc!$E$948-500)),"yyyy-mm-dd"),"")))</f>
        <v/>
      </c>
      <c r="F946" s="54">
        <f>IF(_calc!$E$948="","",IF(_calc!$E$948&lt;=500,TRIM(IF(LEN(IF(LEN(INDEX('Dealer pipeline'!$A$4:$A$503,_calc!$E$948))=0,"",INDEX('Dealer pipeline'!$A$4:$A$503,_calc!$E$948)))=0,"","Customer: "&amp;IF(LEN(INDEX('Dealer pipeline'!$A$4:$A$503,_calc!$E$948))=0,"",INDEX('Dealer pipeline'!$A$4:$A$503,_calc!$E$948))&amp;". ")&amp;IF(LEN(IF(LEN(INDEX('Dealer pipeline'!$B$4:$B$503,_calc!$E$948))=0,"",INDEX('Dealer pipeline'!$B$4:$B$503,_calc!$E$948)))=0,"","Contact: "&amp;IF(LEN(INDEX('Dealer pipeline'!$B$4:$B$503,_calc!$E$948))=0,"",INDEX('Dealer pipeline'!$B$4:$B$503,_calc!$E$948))&amp;". ")&amp;IF(LEN(IF(LEN(INDEX('Dealer pipeline'!$D$4:$D$503,_calc!$E$948))=0,"",INDEX('Dealer pipeline'!$D$4:$D$503,_calc!$E$948)))=0,"","Serial: "&amp;IF(LEN(INDEX('Dealer pipeline'!$D$4:$D$503,_calc!$E$948))=0,"",INDEX('Dealer pipeline'!$D$4:$D$503,_calc!$E$948))&amp;". ")&amp;IF(LEN(IF(ISNUMBER(INDEX('Dealer pipeline'!$J$4:$J$503,_calc!$E$948)),TEXT(INDEX('Dealer pipeline'!$J$4:$J$503,_calc!$E$948),"yyyy-mm-dd"),""))=0,"","Parts end: "&amp;IF(ISNUMBER(INDEX('Dealer pipeline'!$J$4:$J$503,_calc!$E$948)),TEXT(INDEX('Dealer pipeline'!$J$4:$J$503,_calc!$E$948),"yyyy-mm-dd"),"")&amp;". ")&amp;IF(LEN(IF(ISNUMBER(INDEX('Dealer pipeline'!$L$4:$L$503,_calc!$E$948)),TEXT(INDEX('Dealer pipeline'!$L$4:$L$503,_calc!$E$948),"yyyy-mm-dd"),""))=0,"","Labor end: "&amp;IF(ISNUMBER(INDEX('Dealer pipeline'!$L$4:$L$503,_calc!$E$948)),TEXT(INDEX('Dealer pipeline'!$L$4:$L$503,_calc!$E$948),"yyyy-mm-dd"),"")&amp;". ")&amp;IF(LEN(IF(LEN(INDEX('Dealer pipeline'!$Q$4:$Q$503,_calc!$E$948))=0,"",INDEX('Dealer pipeline'!$Q$4:$Q$503,_calc!$E$948)))=0,"","Status: "&amp;IF(LEN(INDEX('Dealer pipeline'!$Q$4:$Q$503,_calc!$E$948))=0,"",INDEX('Dealer pipeline'!$Q$4:$Q$503,_calc!$E$948))&amp;". ")&amp;IF(LEN(IF(LEN(INDEX('Dealer pipeline'!$P$4:$P$503,_calc!$E$948))=0,"",INDEX('Dealer pipeline'!$P$4:$P$503,_calc!$E$948)))=0,"","Last touch: "&amp;IF(LEN(INDEX('Dealer pipeline'!$P$4:$P$503,_calc!$E$948))=0,"",INDEX('Dealer pipeline'!$P$4:$P$503,_calc!$E$948))&amp;". ")&amp;IF(LEN(IF(LEN(INDEX('Dealer pipeline'!$R$4:$R$503,_calc!$E$948))=0,"",INDEX('Dealer pipeline'!$R$4:$R$503,_calc!$E$948)))=0,"","Owner: "&amp;IF(LEN(INDEX('Dealer pipeline'!$R$4:$R$503,_calc!$E$948))=0,"",INDEX('Dealer pipeline'!$R$4:$R$503,_calc!$E$948))&amp;". ")&amp;IF(LEN(IF(LEN(INDEX('Dealer pipeline'!$S$4:$S$503,_calc!$E$948))=0,"",INDEX('Dealer pipeline'!$S$4:$S$503,_calc!$E$948)))=0,"","Backup: "&amp;IF(LEN(INDEX('Dealer pipeline'!$S$4:$S$503,_calc!$E$948))=0,"",INDEX('Dealer pipeline'!$S$4:$S$503,_calc!$E$948))&amp;". ")&amp;IF(LEN(IF(LEN(INDEX('Dealer pipeline'!$T$4:$T$503,_calc!$E$948))=0,"",INDEX('Dealer pipeline'!$T$4:$T$503,_calc!$E$948)))=0,"",IF(LEN(INDEX('Dealer pipeline'!$T$4:$T$503,_calc!$E$948))=0,"",INDEX('Dealer pipeline'!$T$4:$T$503,_calc!$E$948)))),TRIM(IF(LEN(IF(LEN(INDEX('My equipment'!$C$4:$C$503,(_calc!$E$948-500)))=0,"",INDEX('My equipment'!$C$4:$C$503,(_calc!$E$948-500))))=0,"","Model: "&amp;IF(LEN(INDEX('My equipment'!$C$4:$C$503,(_calc!$E$948-500)))=0,"",INDEX('My equipment'!$C$4:$C$503,(_calc!$E$948-500)))&amp;". ")&amp;IF(LEN(IF(LEN(INDEX('My equipment'!$D$4:$D$503,(_calc!$E$948-500)))=0,"",INDEX('My equipment'!$D$4:$D$503,(_calc!$E$948-500))))=0,"","Serial: "&amp;IF(LEN(INDEX('My equipment'!$D$4:$D$503,(_calc!$E$948-500)))=0,"",INDEX('My equipment'!$D$4:$D$503,(_calc!$E$948-500)))&amp;". ")&amp;IF(LEN(IF(ISNUMBER(INDEX('My equipment'!$J$4:$J$503,(_calc!$E$948-500))),TEXT(INDEX('My equipment'!$J$4:$J$503,(_calc!$E$948-500)),"yyyy-mm-dd"),""))=0,"","Parts end: "&amp;IF(ISNUMBER(INDEX('My equipment'!$J$4:$J$503,(_calc!$E$948-500))),TEXT(INDEX('My equipment'!$J$4:$J$503,(_calc!$E$948-500)),"yyyy-mm-dd"),"")&amp;". ")&amp;IF(LEN(IF(ISNUMBER(INDEX('My equipment'!$L$4:$L$503,(_calc!$E$948-500))),TEXT(INDEX('My equipment'!$L$4:$L$503,(_calc!$E$948-500)),"yyyy-mm-dd"),""))=0,"","Labor end: "&amp;IF(ISNUMBER(INDEX('My equipment'!$L$4:$L$503,(_calc!$E$948-500))),TEXT(INDEX('My equipment'!$L$4:$L$503,(_calc!$E$948-500)),"yyyy-mm-dd"),"")&amp;". ")&amp;IF(LEN(IF(ISNUMBER(INDEX('My equipment'!$P$4:$P$503,(_calc!$E$948-500))),TEXT(INDEX('My equipment'!$P$4:$P$503,(_calc!$E$948-500)),"yyyy-mm-dd"),""))=0,"","Check by: "&amp;IF(ISNUMBER(INDEX('My equipment'!$P$4:$P$503,(_calc!$E$948-500))),TEXT(INDEX('My equipment'!$P$4:$P$503,(_calc!$E$948-500)),"yyyy-mm-dd"),"")&amp;". ")&amp;IF(LEN(IF(LEN(INDEX('My equipment'!$Q$4:$Q$503,(_calc!$E$948-500)))=0,"",INDEX('My equipment'!$Q$4:$Q$503,(_calc!$E$948-500))))=0,"","Claim status: "&amp;IF(LEN(INDEX('My equipment'!$Q$4:$Q$503,(_calc!$E$948-500)))=0,"",INDEX('My equipment'!$Q$4:$Q$503,(_calc!$E$948-500)))&amp;". ")&amp;IF(LEN(IF(LEN(INDEX('My equipment'!$R$4:$R$503,(_calc!$E$948-500)))=0,"",INDEX('My equipment'!$R$4:$R$503,(_calc!$E$948-500))))=0,"","Claims contact: "&amp;IF(LEN(INDEX('My equipment'!$R$4:$R$503,(_calc!$E$948-500)))=0,"",INDEX('My equipment'!$R$4:$R$503,(_calc!$E$948-500)))&amp;". ")&amp;IF(LEN(IF(LEN(INDEX('My equipment'!$S$4:$S$503,(_calc!$E$948-500)))=0,"",INDEX('My equipment'!$S$4:$S$503,(_calc!$E$948-500))))=0,"","Claims email: "&amp;IF(LEN(INDEX('My equipment'!$S$4:$S$503,(_calc!$E$948-500)))=0,"",INDEX('My equipment'!$S$4:$S$503,(_calc!$E$948-500)))&amp;". ")&amp;IF(LEN(IF(LEN(INDEX('My equipment'!$U$4:$U$503,(_calc!$E$948-500)))=0,"",INDEX('My equipment'!$U$4:$U$503,(_calc!$E$948-500))))=0,"","Registered: "&amp;IF(LEN(INDEX('My equipment'!$U$4:$U$503,(_calc!$E$948-500)))=0,"",INDEX('My equipment'!$U$4:$U$503,(_calc!$E$948-500)))&amp;". ")&amp;IF(LEN(IF(LEN(INDEX('My equipment'!$V$4:$V$503,(_calc!$E$948-500)))=0,"",INDEX('My equipment'!$V$4:$V$503,(_calc!$E$948-500))))=0,"","Proof on file: "&amp;IF(LEN(INDEX('My equipment'!$V$4:$V$503,(_calc!$E$948-500)))=0,"",INDEX('My equipment'!$V$4:$V$503,(_calc!$E$948-500)))&amp;". ")&amp;IF(LEN(IF(LEN(INDEX('My equipment'!$W$4:$W$503,(_calc!$E$948-500)))=0,"",INDEX('My equipment'!$W$4:$W$503,(_calc!$E$948-500))))=0,"","Claim ref: "&amp;IF(LEN(INDEX('My equipment'!$W$4:$W$503,(_calc!$E$948-500)))=0,"",INDEX('My equipment'!$W$4:$W$503,(_calc!$E$948-500)))&amp;". ")&amp;IF(LEN(IF(LEN(INDEX('My equipment'!$Y$4:$Y$503,(_calc!$E$948-500)))=0,"",INDEX('My equipment'!$Y$4:$Y$503,(_calc!$E$948-500))))=0,"",IF(LEN(INDEX('My equipment'!$Y$4:$Y$503,(_calc!$E$948-500)))=0,"",INDEX('My equipment'!$Y$4:$Y$503,(_calc!$E$948-500)))))))</f>
        <v/>
      </c>
      <c r="G946" s="54">
        <f>IF(_calc!$E$948="","",IF(_calc!$E$948&lt;=500,"",IF(LEN(INDEX('My equipment'!$X$4:$X$503,(_calc!$E$948-500)))=0,"",INDEX('My equipment'!$X$4:$X$503,(_calc!$E$948-500)))))</f>
        <v/>
      </c>
      <c r="K946" s="54">
        <f>IF(_calc!$E$948="","",IF(_calc!$E$948&lt;=500,"",IF(LEN(INDEX('My equipment'!$T$4:$T$503,(_calc!$E$948-500)))=0,"",INDEX('My equipment'!$T$4:$T$503,(_calc!$E$948-500)))))</f>
        <v/>
      </c>
    </row>
    <row r="947">
      <c r="A947" s="54">
        <f>IF(_calc!$E$949="","",IF(_calc!$E$949&lt;=500,"Warranty – "&amp;IF(LEN(INDEX('Dealer pipeline'!$C$4:$C$503,_calc!$E$949))=0,"",INDEX('Dealer pipeline'!$C$4:$C$503,_calc!$E$949))&amp;" – "&amp;IF(LEN(INDEX('Dealer pipeline'!$D$4:$D$503,_calc!$E$949))=0,"",INDEX('Dealer pipeline'!$D$4:$D$503,_calc!$E$949))&amp;" – "&amp;IF(LEN(INDEX('Dealer pipeline'!$A$4:$A$503,_calc!$E$949))=0,"",INDEX('Dealer pipeline'!$A$4:$A$503,_calc!$E$949)),"Warranty – "&amp;IF(LEN(INDEX('My equipment'!$A$4:$A$503,(_calc!$E$949-500)))=0,"",INDEX('My equipment'!$A$4:$A$503,(_calc!$E$949-500)))&amp;" – "&amp;IF(LEN(INDEX('My equipment'!$D$4:$D$503,(_calc!$E$949-500)))=0,"",INDEX('My equipment'!$D$4:$D$503,(_calc!$E$949-500)))))</f>
        <v/>
      </c>
      <c r="B947" s="54">
        <f>IF(_calc!$E$949="","",IF(_calc!$E$949&lt;=500,IF(ISNUMBER(INDEX('Dealer pipeline'!$M$4:$M$503,_calc!$E$949)),TEXT(INDEX('Dealer pipeline'!$M$4:$M$503,_calc!$E$949),"yyyy-mm-dd"),""),IF(ISNUMBER(INDEX('My equipment'!$M$4:$M$503,(_calc!$E$949-500))),TEXT(INDEX('My equipment'!$M$4:$M$503,(_calc!$E$949-500)),"yyyy-mm-dd"),"")))</f>
        <v/>
      </c>
      <c r="C947" s="54">
        <f>IF(_calc!$E$949="","",IF(_calc!$E$949&lt;=500,"Warranty","Warranty"))</f>
        <v/>
      </c>
      <c r="D947" s="54">
        <f>IF(_calc!$E$949="","",IF(_calc!$E$949&lt;=500,IF(ISNUMBER(INDEX('Dealer pipeline'!$H$4:$H$503,_calc!$E$949)),TEXT(INDEX('Dealer pipeline'!$H$4:$H$503,_calc!$E$949),"yyyy-mm-dd"),""),IF(ISNUMBER(INDEX('My equipment'!$H$4:$H$503,(_calc!$E$949-500))),TEXT(INDEX('My equipment'!$H$4:$H$503,(_calc!$E$949-500)),"yyyy-mm-dd"),"")))</f>
        <v/>
      </c>
      <c r="F947" s="54">
        <f>IF(_calc!$E$949="","",IF(_calc!$E$949&lt;=500,TRIM(IF(LEN(IF(LEN(INDEX('Dealer pipeline'!$A$4:$A$503,_calc!$E$949))=0,"",INDEX('Dealer pipeline'!$A$4:$A$503,_calc!$E$949)))=0,"","Customer: "&amp;IF(LEN(INDEX('Dealer pipeline'!$A$4:$A$503,_calc!$E$949))=0,"",INDEX('Dealer pipeline'!$A$4:$A$503,_calc!$E$949))&amp;". ")&amp;IF(LEN(IF(LEN(INDEX('Dealer pipeline'!$B$4:$B$503,_calc!$E$949))=0,"",INDEX('Dealer pipeline'!$B$4:$B$503,_calc!$E$949)))=0,"","Contact: "&amp;IF(LEN(INDEX('Dealer pipeline'!$B$4:$B$503,_calc!$E$949))=0,"",INDEX('Dealer pipeline'!$B$4:$B$503,_calc!$E$949))&amp;". ")&amp;IF(LEN(IF(LEN(INDEX('Dealer pipeline'!$D$4:$D$503,_calc!$E$949))=0,"",INDEX('Dealer pipeline'!$D$4:$D$503,_calc!$E$949)))=0,"","Serial: "&amp;IF(LEN(INDEX('Dealer pipeline'!$D$4:$D$503,_calc!$E$949))=0,"",INDEX('Dealer pipeline'!$D$4:$D$503,_calc!$E$949))&amp;". ")&amp;IF(LEN(IF(ISNUMBER(INDEX('Dealer pipeline'!$J$4:$J$503,_calc!$E$949)),TEXT(INDEX('Dealer pipeline'!$J$4:$J$503,_calc!$E$949),"yyyy-mm-dd"),""))=0,"","Parts end: "&amp;IF(ISNUMBER(INDEX('Dealer pipeline'!$J$4:$J$503,_calc!$E$949)),TEXT(INDEX('Dealer pipeline'!$J$4:$J$503,_calc!$E$949),"yyyy-mm-dd"),"")&amp;". ")&amp;IF(LEN(IF(ISNUMBER(INDEX('Dealer pipeline'!$L$4:$L$503,_calc!$E$949)),TEXT(INDEX('Dealer pipeline'!$L$4:$L$503,_calc!$E$949),"yyyy-mm-dd"),""))=0,"","Labor end: "&amp;IF(ISNUMBER(INDEX('Dealer pipeline'!$L$4:$L$503,_calc!$E$949)),TEXT(INDEX('Dealer pipeline'!$L$4:$L$503,_calc!$E$949),"yyyy-mm-dd"),"")&amp;". ")&amp;IF(LEN(IF(LEN(INDEX('Dealer pipeline'!$Q$4:$Q$503,_calc!$E$949))=0,"",INDEX('Dealer pipeline'!$Q$4:$Q$503,_calc!$E$949)))=0,"","Status: "&amp;IF(LEN(INDEX('Dealer pipeline'!$Q$4:$Q$503,_calc!$E$949))=0,"",INDEX('Dealer pipeline'!$Q$4:$Q$503,_calc!$E$949))&amp;". ")&amp;IF(LEN(IF(LEN(INDEX('Dealer pipeline'!$P$4:$P$503,_calc!$E$949))=0,"",INDEX('Dealer pipeline'!$P$4:$P$503,_calc!$E$949)))=0,"","Last touch: "&amp;IF(LEN(INDEX('Dealer pipeline'!$P$4:$P$503,_calc!$E$949))=0,"",INDEX('Dealer pipeline'!$P$4:$P$503,_calc!$E$949))&amp;". ")&amp;IF(LEN(IF(LEN(INDEX('Dealer pipeline'!$R$4:$R$503,_calc!$E$949))=0,"",INDEX('Dealer pipeline'!$R$4:$R$503,_calc!$E$949)))=0,"","Owner: "&amp;IF(LEN(INDEX('Dealer pipeline'!$R$4:$R$503,_calc!$E$949))=0,"",INDEX('Dealer pipeline'!$R$4:$R$503,_calc!$E$949))&amp;". ")&amp;IF(LEN(IF(LEN(INDEX('Dealer pipeline'!$S$4:$S$503,_calc!$E$949))=0,"",INDEX('Dealer pipeline'!$S$4:$S$503,_calc!$E$949)))=0,"","Backup: "&amp;IF(LEN(INDEX('Dealer pipeline'!$S$4:$S$503,_calc!$E$949))=0,"",INDEX('Dealer pipeline'!$S$4:$S$503,_calc!$E$949))&amp;". ")&amp;IF(LEN(IF(LEN(INDEX('Dealer pipeline'!$T$4:$T$503,_calc!$E$949))=0,"",INDEX('Dealer pipeline'!$T$4:$T$503,_calc!$E$949)))=0,"",IF(LEN(INDEX('Dealer pipeline'!$T$4:$T$503,_calc!$E$949))=0,"",INDEX('Dealer pipeline'!$T$4:$T$503,_calc!$E$949)))),TRIM(IF(LEN(IF(LEN(INDEX('My equipment'!$C$4:$C$503,(_calc!$E$949-500)))=0,"",INDEX('My equipment'!$C$4:$C$503,(_calc!$E$949-500))))=0,"","Model: "&amp;IF(LEN(INDEX('My equipment'!$C$4:$C$503,(_calc!$E$949-500)))=0,"",INDEX('My equipment'!$C$4:$C$503,(_calc!$E$949-500)))&amp;". ")&amp;IF(LEN(IF(LEN(INDEX('My equipment'!$D$4:$D$503,(_calc!$E$949-500)))=0,"",INDEX('My equipment'!$D$4:$D$503,(_calc!$E$949-500))))=0,"","Serial: "&amp;IF(LEN(INDEX('My equipment'!$D$4:$D$503,(_calc!$E$949-500)))=0,"",INDEX('My equipment'!$D$4:$D$503,(_calc!$E$949-500)))&amp;". ")&amp;IF(LEN(IF(ISNUMBER(INDEX('My equipment'!$J$4:$J$503,(_calc!$E$949-500))),TEXT(INDEX('My equipment'!$J$4:$J$503,(_calc!$E$949-500)),"yyyy-mm-dd"),""))=0,"","Parts end: "&amp;IF(ISNUMBER(INDEX('My equipment'!$J$4:$J$503,(_calc!$E$949-500))),TEXT(INDEX('My equipment'!$J$4:$J$503,(_calc!$E$949-500)),"yyyy-mm-dd"),"")&amp;". ")&amp;IF(LEN(IF(ISNUMBER(INDEX('My equipment'!$L$4:$L$503,(_calc!$E$949-500))),TEXT(INDEX('My equipment'!$L$4:$L$503,(_calc!$E$949-500)),"yyyy-mm-dd"),""))=0,"","Labor end: "&amp;IF(ISNUMBER(INDEX('My equipment'!$L$4:$L$503,(_calc!$E$949-500))),TEXT(INDEX('My equipment'!$L$4:$L$503,(_calc!$E$949-500)),"yyyy-mm-dd"),"")&amp;". ")&amp;IF(LEN(IF(ISNUMBER(INDEX('My equipment'!$P$4:$P$503,(_calc!$E$949-500))),TEXT(INDEX('My equipment'!$P$4:$P$503,(_calc!$E$949-500)),"yyyy-mm-dd"),""))=0,"","Check by: "&amp;IF(ISNUMBER(INDEX('My equipment'!$P$4:$P$503,(_calc!$E$949-500))),TEXT(INDEX('My equipment'!$P$4:$P$503,(_calc!$E$949-500)),"yyyy-mm-dd"),"")&amp;". ")&amp;IF(LEN(IF(LEN(INDEX('My equipment'!$Q$4:$Q$503,(_calc!$E$949-500)))=0,"",INDEX('My equipment'!$Q$4:$Q$503,(_calc!$E$949-500))))=0,"","Claim status: "&amp;IF(LEN(INDEX('My equipment'!$Q$4:$Q$503,(_calc!$E$949-500)))=0,"",INDEX('My equipment'!$Q$4:$Q$503,(_calc!$E$949-500)))&amp;". ")&amp;IF(LEN(IF(LEN(INDEX('My equipment'!$R$4:$R$503,(_calc!$E$949-500)))=0,"",INDEX('My equipment'!$R$4:$R$503,(_calc!$E$949-500))))=0,"","Claims contact: "&amp;IF(LEN(INDEX('My equipment'!$R$4:$R$503,(_calc!$E$949-500)))=0,"",INDEX('My equipment'!$R$4:$R$503,(_calc!$E$949-500)))&amp;". ")&amp;IF(LEN(IF(LEN(INDEX('My equipment'!$S$4:$S$503,(_calc!$E$949-500)))=0,"",INDEX('My equipment'!$S$4:$S$503,(_calc!$E$949-500))))=0,"","Claims email: "&amp;IF(LEN(INDEX('My equipment'!$S$4:$S$503,(_calc!$E$949-500)))=0,"",INDEX('My equipment'!$S$4:$S$503,(_calc!$E$949-500)))&amp;". ")&amp;IF(LEN(IF(LEN(INDEX('My equipment'!$U$4:$U$503,(_calc!$E$949-500)))=0,"",INDEX('My equipment'!$U$4:$U$503,(_calc!$E$949-500))))=0,"","Registered: "&amp;IF(LEN(INDEX('My equipment'!$U$4:$U$503,(_calc!$E$949-500)))=0,"",INDEX('My equipment'!$U$4:$U$503,(_calc!$E$949-500)))&amp;". ")&amp;IF(LEN(IF(LEN(INDEX('My equipment'!$V$4:$V$503,(_calc!$E$949-500)))=0,"",INDEX('My equipment'!$V$4:$V$503,(_calc!$E$949-500))))=0,"","Proof on file: "&amp;IF(LEN(INDEX('My equipment'!$V$4:$V$503,(_calc!$E$949-500)))=0,"",INDEX('My equipment'!$V$4:$V$503,(_calc!$E$949-500)))&amp;". ")&amp;IF(LEN(IF(LEN(INDEX('My equipment'!$W$4:$W$503,(_calc!$E$949-500)))=0,"",INDEX('My equipment'!$W$4:$W$503,(_calc!$E$949-500))))=0,"","Claim ref: "&amp;IF(LEN(INDEX('My equipment'!$W$4:$W$503,(_calc!$E$949-500)))=0,"",INDEX('My equipment'!$W$4:$W$503,(_calc!$E$949-500)))&amp;". ")&amp;IF(LEN(IF(LEN(INDEX('My equipment'!$Y$4:$Y$503,(_calc!$E$949-500)))=0,"",INDEX('My equipment'!$Y$4:$Y$503,(_calc!$E$949-500))))=0,"",IF(LEN(INDEX('My equipment'!$Y$4:$Y$503,(_calc!$E$949-500)))=0,"",INDEX('My equipment'!$Y$4:$Y$503,(_calc!$E$949-500)))))))</f>
        <v/>
      </c>
      <c r="G947" s="54">
        <f>IF(_calc!$E$949="","",IF(_calc!$E$949&lt;=500,"",IF(LEN(INDEX('My equipment'!$X$4:$X$503,(_calc!$E$949-500)))=0,"",INDEX('My equipment'!$X$4:$X$503,(_calc!$E$949-500)))))</f>
        <v/>
      </c>
      <c r="K947" s="54">
        <f>IF(_calc!$E$949="","",IF(_calc!$E$949&lt;=500,"",IF(LEN(INDEX('My equipment'!$T$4:$T$503,(_calc!$E$949-500)))=0,"",INDEX('My equipment'!$T$4:$T$503,(_calc!$E$949-500)))))</f>
        <v/>
      </c>
    </row>
    <row r="948">
      <c r="A948" s="54">
        <f>IF(_calc!$E$950="","",IF(_calc!$E$950&lt;=500,"Warranty – "&amp;IF(LEN(INDEX('Dealer pipeline'!$C$4:$C$503,_calc!$E$950))=0,"",INDEX('Dealer pipeline'!$C$4:$C$503,_calc!$E$950))&amp;" – "&amp;IF(LEN(INDEX('Dealer pipeline'!$D$4:$D$503,_calc!$E$950))=0,"",INDEX('Dealer pipeline'!$D$4:$D$503,_calc!$E$950))&amp;" – "&amp;IF(LEN(INDEX('Dealer pipeline'!$A$4:$A$503,_calc!$E$950))=0,"",INDEX('Dealer pipeline'!$A$4:$A$503,_calc!$E$950)),"Warranty – "&amp;IF(LEN(INDEX('My equipment'!$A$4:$A$503,(_calc!$E$950-500)))=0,"",INDEX('My equipment'!$A$4:$A$503,(_calc!$E$950-500)))&amp;" – "&amp;IF(LEN(INDEX('My equipment'!$D$4:$D$503,(_calc!$E$950-500)))=0,"",INDEX('My equipment'!$D$4:$D$503,(_calc!$E$950-500)))))</f>
        <v/>
      </c>
      <c r="B948" s="54">
        <f>IF(_calc!$E$950="","",IF(_calc!$E$950&lt;=500,IF(ISNUMBER(INDEX('Dealer pipeline'!$M$4:$M$503,_calc!$E$950)),TEXT(INDEX('Dealer pipeline'!$M$4:$M$503,_calc!$E$950),"yyyy-mm-dd"),""),IF(ISNUMBER(INDEX('My equipment'!$M$4:$M$503,(_calc!$E$950-500))),TEXT(INDEX('My equipment'!$M$4:$M$503,(_calc!$E$950-500)),"yyyy-mm-dd"),"")))</f>
        <v/>
      </c>
      <c r="C948" s="54">
        <f>IF(_calc!$E$950="","",IF(_calc!$E$950&lt;=500,"Warranty","Warranty"))</f>
        <v/>
      </c>
      <c r="D948" s="54">
        <f>IF(_calc!$E$950="","",IF(_calc!$E$950&lt;=500,IF(ISNUMBER(INDEX('Dealer pipeline'!$H$4:$H$503,_calc!$E$950)),TEXT(INDEX('Dealer pipeline'!$H$4:$H$503,_calc!$E$950),"yyyy-mm-dd"),""),IF(ISNUMBER(INDEX('My equipment'!$H$4:$H$503,(_calc!$E$950-500))),TEXT(INDEX('My equipment'!$H$4:$H$503,(_calc!$E$950-500)),"yyyy-mm-dd"),"")))</f>
        <v/>
      </c>
      <c r="F948" s="54">
        <f>IF(_calc!$E$950="","",IF(_calc!$E$950&lt;=500,TRIM(IF(LEN(IF(LEN(INDEX('Dealer pipeline'!$A$4:$A$503,_calc!$E$950))=0,"",INDEX('Dealer pipeline'!$A$4:$A$503,_calc!$E$950)))=0,"","Customer: "&amp;IF(LEN(INDEX('Dealer pipeline'!$A$4:$A$503,_calc!$E$950))=0,"",INDEX('Dealer pipeline'!$A$4:$A$503,_calc!$E$950))&amp;". ")&amp;IF(LEN(IF(LEN(INDEX('Dealer pipeline'!$B$4:$B$503,_calc!$E$950))=0,"",INDEX('Dealer pipeline'!$B$4:$B$503,_calc!$E$950)))=0,"","Contact: "&amp;IF(LEN(INDEX('Dealer pipeline'!$B$4:$B$503,_calc!$E$950))=0,"",INDEX('Dealer pipeline'!$B$4:$B$503,_calc!$E$950))&amp;". ")&amp;IF(LEN(IF(LEN(INDEX('Dealer pipeline'!$D$4:$D$503,_calc!$E$950))=0,"",INDEX('Dealer pipeline'!$D$4:$D$503,_calc!$E$950)))=0,"","Serial: "&amp;IF(LEN(INDEX('Dealer pipeline'!$D$4:$D$503,_calc!$E$950))=0,"",INDEX('Dealer pipeline'!$D$4:$D$503,_calc!$E$950))&amp;". ")&amp;IF(LEN(IF(ISNUMBER(INDEX('Dealer pipeline'!$J$4:$J$503,_calc!$E$950)),TEXT(INDEX('Dealer pipeline'!$J$4:$J$503,_calc!$E$950),"yyyy-mm-dd"),""))=0,"","Parts end: "&amp;IF(ISNUMBER(INDEX('Dealer pipeline'!$J$4:$J$503,_calc!$E$950)),TEXT(INDEX('Dealer pipeline'!$J$4:$J$503,_calc!$E$950),"yyyy-mm-dd"),"")&amp;". ")&amp;IF(LEN(IF(ISNUMBER(INDEX('Dealer pipeline'!$L$4:$L$503,_calc!$E$950)),TEXT(INDEX('Dealer pipeline'!$L$4:$L$503,_calc!$E$950),"yyyy-mm-dd"),""))=0,"","Labor end: "&amp;IF(ISNUMBER(INDEX('Dealer pipeline'!$L$4:$L$503,_calc!$E$950)),TEXT(INDEX('Dealer pipeline'!$L$4:$L$503,_calc!$E$950),"yyyy-mm-dd"),"")&amp;". ")&amp;IF(LEN(IF(LEN(INDEX('Dealer pipeline'!$Q$4:$Q$503,_calc!$E$950))=0,"",INDEX('Dealer pipeline'!$Q$4:$Q$503,_calc!$E$950)))=0,"","Status: "&amp;IF(LEN(INDEX('Dealer pipeline'!$Q$4:$Q$503,_calc!$E$950))=0,"",INDEX('Dealer pipeline'!$Q$4:$Q$503,_calc!$E$950))&amp;". ")&amp;IF(LEN(IF(LEN(INDEX('Dealer pipeline'!$P$4:$P$503,_calc!$E$950))=0,"",INDEX('Dealer pipeline'!$P$4:$P$503,_calc!$E$950)))=0,"","Last touch: "&amp;IF(LEN(INDEX('Dealer pipeline'!$P$4:$P$503,_calc!$E$950))=0,"",INDEX('Dealer pipeline'!$P$4:$P$503,_calc!$E$950))&amp;". ")&amp;IF(LEN(IF(LEN(INDEX('Dealer pipeline'!$R$4:$R$503,_calc!$E$950))=0,"",INDEX('Dealer pipeline'!$R$4:$R$503,_calc!$E$950)))=0,"","Owner: "&amp;IF(LEN(INDEX('Dealer pipeline'!$R$4:$R$503,_calc!$E$950))=0,"",INDEX('Dealer pipeline'!$R$4:$R$503,_calc!$E$950))&amp;". ")&amp;IF(LEN(IF(LEN(INDEX('Dealer pipeline'!$S$4:$S$503,_calc!$E$950))=0,"",INDEX('Dealer pipeline'!$S$4:$S$503,_calc!$E$950)))=0,"","Backup: "&amp;IF(LEN(INDEX('Dealer pipeline'!$S$4:$S$503,_calc!$E$950))=0,"",INDEX('Dealer pipeline'!$S$4:$S$503,_calc!$E$950))&amp;". ")&amp;IF(LEN(IF(LEN(INDEX('Dealer pipeline'!$T$4:$T$503,_calc!$E$950))=0,"",INDEX('Dealer pipeline'!$T$4:$T$503,_calc!$E$950)))=0,"",IF(LEN(INDEX('Dealer pipeline'!$T$4:$T$503,_calc!$E$950))=0,"",INDEX('Dealer pipeline'!$T$4:$T$503,_calc!$E$950)))),TRIM(IF(LEN(IF(LEN(INDEX('My equipment'!$C$4:$C$503,(_calc!$E$950-500)))=0,"",INDEX('My equipment'!$C$4:$C$503,(_calc!$E$950-500))))=0,"","Model: "&amp;IF(LEN(INDEX('My equipment'!$C$4:$C$503,(_calc!$E$950-500)))=0,"",INDEX('My equipment'!$C$4:$C$503,(_calc!$E$950-500)))&amp;". ")&amp;IF(LEN(IF(LEN(INDEX('My equipment'!$D$4:$D$503,(_calc!$E$950-500)))=0,"",INDEX('My equipment'!$D$4:$D$503,(_calc!$E$950-500))))=0,"","Serial: "&amp;IF(LEN(INDEX('My equipment'!$D$4:$D$503,(_calc!$E$950-500)))=0,"",INDEX('My equipment'!$D$4:$D$503,(_calc!$E$950-500)))&amp;". ")&amp;IF(LEN(IF(ISNUMBER(INDEX('My equipment'!$J$4:$J$503,(_calc!$E$950-500))),TEXT(INDEX('My equipment'!$J$4:$J$503,(_calc!$E$950-500)),"yyyy-mm-dd"),""))=0,"","Parts end: "&amp;IF(ISNUMBER(INDEX('My equipment'!$J$4:$J$503,(_calc!$E$950-500))),TEXT(INDEX('My equipment'!$J$4:$J$503,(_calc!$E$950-500)),"yyyy-mm-dd"),"")&amp;". ")&amp;IF(LEN(IF(ISNUMBER(INDEX('My equipment'!$L$4:$L$503,(_calc!$E$950-500))),TEXT(INDEX('My equipment'!$L$4:$L$503,(_calc!$E$950-500)),"yyyy-mm-dd"),""))=0,"","Labor end: "&amp;IF(ISNUMBER(INDEX('My equipment'!$L$4:$L$503,(_calc!$E$950-500))),TEXT(INDEX('My equipment'!$L$4:$L$503,(_calc!$E$950-500)),"yyyy-mm-dd"),"")&amp;". ")&amp;IF(LEN(IF(ISNUMBER(INDEX('My equipment'!$P$4:$P$503,(_calc!$E$950-500))),TEXT(INDEX('My equipment'!$P$4:$P$503,(_calc!$E$950-500)),"yyyy-mm-dd"),""))=0,"","Check by: "&amp;IF(ISNUMBER(INDEX('My equipment'!$P$4:$P$503,(_calc!$E$950-500))),TEXT(INDEX('My equipment'!$P$4:$P$503,(_calc!$E$950-500)),"yyyy-mm-dd"),"")&amp;". ")&amp;IF(LEN(IF(LEN(INDEX('My equipment'!$Q$4:$Q$503,(_calc!$E$950-500)))=0,"",INDEX('My equipment'!$Q$4:$Q$503,(_calc!$E$950-500))))=0,"","Claim status: "&amp;IF(LEN(INDEX('My equipment'!$Q$4:$Q$503,(_calc!$E$950-500)))=0,"",INDEX('My equipment'!$Q$4:$Q$503,(_calc!$E$950-500)))&amp;". ")&amp;IF(LEN(IF(LEN(INDEX('My equipment'!$R$4:$R$503,(_calc!$E$950-500)))=0,"",INDEX('My equipment'!$R$4:$R$503,(_calc!$E$950-500))))=0,"","Claims contact: "&amp;IF(LEN(INDEX('My equipment'!$R$4:$R$503,(_calc!$E$950-500)))=0,"",INDEX('My equipment'!$R$4:$R$503,(_calc!$E$950-500)))&amp;". ")&amp;IF(LEN(IF(LEN(INDEX('My equipment'!$S$4:$S$503,(_calc!$E$950-500)))=0,"",INDEX('My equipment'!$S$4:$S$503,(_calc!$E$950-500))))=0,"","Claims email: "&amp;IF(LEN(INDEX('My equipment'!$S$4:$S$503,(_calc!$E$950-500)))=0,"",INDEX('My equipment'!$S$4:$S$503,(_calc!$E$950-500)))&amp;". ")&amp;IF(LEN(IF(LEN(INDEX('My equipment'!$U$4:$U$503,(_calc!$E$950-500)))=0,"",INDEX('My equipment'!$U$4:$U$503,(_calc!$E$950-500))))=0,"","Registered: "&amp;IF(LEN(INDEX('My equipment'!$U$4:$U$503,(_calc!$E$950-500)))=0,"",INDEX('My equipment'!$U$4:$U$503,(_calc!$E$950-500)))&amp;". ")&amp;IF(LEN(IF(LEN(INDEX('My equipment'!$V$4:$V$503,(_calc!$E$950-500)))=0,"",INDEX('My equipment'!$V$4:$V$503,(_calc!$E$950-500))))=0,"","Proof on file: "&amp;IF(LEN(INDEX('My equipment'!$V$4:$V$503,(_calc!$E$950-500)))=0,"",INDEX('My equipment'!$V$4:$V$503,(_calc!$E$950-500)))&amp;". ")&amp;IF(LEN(IF(LEN(INDEX('My equipment'!$W$4:$W$503,(_calc!$E$950-500)))=0,"",INDEX('My equipment'!$W$4:$W$503,(_calc!$E$950-500))))=0,"","Claim ref: "&amp;IF(LEN(INDEX('My equipment'!$W$4:$W$503,(_calc!$E$950-500)))=0,"",INDEX('My equipment'!$W$4:$W$503,(_calc!$E$950-500)))&amp;". ")&amp;IF(LEN(IF(LEN(INDEX('My equipment'!$Y$4:$Y$503,(_calc!$E$950-500)))=0,"",INDEX('My equipment'!$Y$4:$Y$503,(_calc!$E$950-500))))=0,"",IF(LEN(INDEX('My equipment'!$Y$4:$Y$503,(_calc!$E$950-500)))=0,"",INDEX('My equipment'!$Y$4:$Y$503,(_calc!$E$950-500)))))))</f>
        <v/>
      </c>
      <c r="G948" s="54">
        <f>IF(_calc!$E$950="","",IF(_calc!$E$950&lt;=500,"",IF(LEN(INDEX('My equipment'!$X$4:$X$503,(_calc!$E$950-500)))=0,"",INDEX('My equipment'!$X$4:$X$503,(_calc!$E$950-500)))))</f>
        <v/>
      </c>
      <c r="K948" s="54">
        <f>IF(_calc!$E$950="","",IF(_calc!$E$950&lt;=500,"",IF(LEN(INDEX('My equipment'!$T$4:$T$503,(_calc!$E$950-500)))=0,"",INDEX('My equipment'!$T$4:$T$503,(_calc!$E$950-500)))))</f>
        <v/>
      </c>
    </row>
    <row r="949">
      <c r="A949" s="54">
        <f>IF(_calc!$E$951="","",IF(_calc!$E$951&lt;=500,"Warranty – "&amp;IF(LEN(INDEX('Dealer pipeline'!$C$4:$C$503,_calc!$E$951))=0,"",INDEX('Dealer pipeline'!$C$4:$C$503,_calc!$E$951))&amp;" – "&amp;IF(LEN(INDEX('Dealer pipeline'!$D$4:$D$503,_calc!$E$951))=0,"",INDEX('Dealer pipeline'!$D$4:$D$503,_calc!$E$951))&amp;" – "&amp;IF(LEN(INDEX('Dealer pipeline'!$A$4:$A$503,_calc!$E$951))=0,"",INDEX('Dealer pipeline'!$A$4:$A$503,_calc!$E$951)),"Warranty – "&amp;IF(LEN(INDEX('My equipment'!$A$4:$A$503,(_calc!$E$951-500)))=0,"",INDEX('My equipment'!$A$4:$A$503,(_calc!$E$951-500)))&amp;" – "&amp;IF(LEN(INDEX('My equipment'!$D$4:$D$503,(_calc!$E$951-500)))=0,"",INDEX('My equipment'!$D$4:$D$503,(_calc!$E$951-500)))))</f>
        <v/>
      </c>
      <c r="B949" s="54">
        <f>IF(_calc!$E$951="","",IF(_calc!$E$951&lt;=500,IF(ISNUMBER(INDEX('Dealer pipeline'!$M$4:$M$503,_calc!$E$951)),TEXT(INDEX('Dealer pipeline'!$M$4:$M$503,_calc!$E$951),"yyyy-mm-dd"),""),IF(ISNUMBER(INDEX('My equipment'!$M$4:$M$503,(_calc!$E$951-500))),TEXT(INDEX('My equipment'!$M$4:$M$503,(_calc!$E$951-500)),"yyyy-mm-dd"),"")))</f>
        <v/>
      </c>
      <c r="C949" s="54">
        <f>IF(_calc!$E$951="","",IF(_calc!$E$951&lt;=500,"Warranty","Warranty"))</f>
        <v/>
      </c>
      <c r="D949" s="54">
        <f>IF(_calc!$E$951="","",IF(_calc!$E$951&lt;=500,IF(ISNUMBER(INDEX('Dealer pipeline'!$H$4:$H$503,_calc!$E$951)),TEXT(INDEX('Dealer pipeline'!$H$4:$H$503,_calc!$E$951),"yyyy-mm-dd"),""),IF(ISNUMBER(INDEX('My equipment'!$H$4:$H$503,(_calc!$E$951-500))),TEXT(INDEX('My equipment'!$H$4:$H$503,(_calc!$E$951-500)),"yyyy-mm-dd"),"")))</f>
        <v/>
      </c>
      <c r="F949" s="54">
        <f>IF(_calc!$E$951="","",IF(_calc!$E$951&lt;=500,TRIM(IF(LEN(IF(LEN(INDEX('Dealer pipeline'!$A$4:$A$503,_calc!$E$951))=0,"",INDEX('Dealer pipeline'!$A$4:$A$503,_calc!$E$951)))=0,"","Customer: "&amp;IF(LEN(INDEX('Dealer pipeline'!$A$4:$A$503,_calc!$E$951))=0,"",INDEX('Dealer pipeline'!$A$4:$A$503,_calc!$E$951))&amp;". ")&amp;IF(LEN(IF(LEN(INDEX('Dealer pipeline'!$B$4:$B$503,_calc!$E$951))=0,"",INDEX('Dealer pipeline'!$B$4:$B$503,_calc!$E$951)))=0,"","Contact: "&amp;IF(LEN(INDEX('Dealer pipeline'!$B$4:$B$503,_calc!$E$951))=0,"",INDEX('Dealer pipeline'!$B$4:$B$503,_calc!$E$951))&amp;". ")&amp;IF(LEN(IF(LEN(INDEX('Dealer pipeline'!$D$4:$D$503,_calc!$E$951))=0,"",INDEX('Dealer pipeline'!$D$4:$D$503,_calc!$E$951)))=0,"","Serial: "&amp;IF(LEN(INDEX('Dealer pipeline'!$D$4:$D$503,_calc!$E$951))=0,"",INDEX('Dealer pipeline'!$D$4:$D$503,_calc!$E$951))&amp;". ")&amp;IF(LEN(IF(ISNUMBER(INDEX('Dealer pipeline'!$J$4:$J$503,_calc!$E$951)),TEXT(INDEX('Dealer pipeline'!$J$4:$J$503,_calc!$E$951),"yyyy-mm-dd"),""))=0,"","Parts end: "&amp;IF(ISNUMBER(INDEX('Dealer pipeline'!$J$4:$J$503,_calc!$E$951)),TEXT(INDEX('Dealer pipeline'!$J$4:$J$503,_calc!$E$951),"yyyy-mm-dd"),"")&amp;". ")&amp;IF(LEN(IF(ISNUMBER(INDEX('Dealer pipeline'!$L$4:$L$503,_calc!$E$951)),TEXT(INDEX('Dealer pipeline'!$L$4:$L$503,_calc!$E$951),"yyyy-mm-dd"),""))=0,"","Labor end: "&amp;IF(ISNUMBER(INDEX('Dealer pipeline'!$L$4:$L$503,_calc!$E$951)),TEXT(INDEX('Dealer pipeline'!$L$4:$L$503,_calc!$E$951),"yyyy-mm-dd"),"")&amp;". ")&amp;IF(LEN(IF(LEN(INDEX('Dealer pipeline'!$Q$4:$Q$503,_calc!$E$951))=0,"",INDEX('Dealer pipeline'!$Q$4:$Q$503,_calc!$E$951)))=0,"","Status: "&amp;IF(LEN(INDEX('Dealer pipeline'!$Q$4:$Q$503,_calc!$E$951))=0,"",INDEX('Dealer pipeline'!$Q$4:$Q$503,_calc!$E$951))&amp;". ")&amp;IF(LEN(IF(LEN(INDEX('Dealer pipeline'!$P$4:$P$503,_calc!$E$951))=0,"",INDEX('Dealer pipeline'!$P$4:$P$503,_calc!$E$951)))=0,"","Last touch: "&amp;IF(LEN(INDEX('Dealer pipeline'!$P$4:$P$503,_calc!$E$951))=0,"",INDEX('Dealer pipeline'!$P$4:$P$503,_calc!$E$951))&amp;". ")&amp;IF(LEN(IF(LEN(INDEX('Dealer pipeline'!$R$4:$R$503,_calc!$E$951))=0,"",INDEX('Dealer pipeline'!$R$4:$R$503,_calc!$E$951)))=0,"","Owner: "&amp;IF(LEN(INDEX('Dealer pipeline'!$R$4:$R$503,_calc!$E$951))=0,"",INDEX('Dealer pipeline'!$R$4:$R$503,_calc!$E$951))&amp;". ")&amp;IF(LEN(IF(LEN(INDEX('Dealer pipeline'!$S$4:$S$503,_calc!$E$951))=0,"",INDEX('Dealer pipeline'!$S$4:$S$503,_calc!$E$951)))=0,"","Backup: "&amp;IF(LEN(INDEX('Dealer pipeline'!$S$4:$S$503,_calc!$E$951))=0,"",INDEX('Dealer pipeline'!$S$4:$S$503,_calc!$E$951))&amp;". ")&amp;IF(LEN(IF(LEN(INDEX('Dealer pipeline'!$T$4:$T$503,_calc!$E$951))=0,"",INDEX('Dealer pipeline'!$T$4:$T$503,_calc!$E$951)))=0,"",IF(LEN(INDEX('Dealer pipeline'!$T$4:$T$503,_calc!$E$951))=0,"",INDEX('Dealer pipeline'!$T$4:$T$503,_calc!$E$951)))),TRIM(IF(LEN(IF(LEN(INDEX('My equipment'!$C$4:$C$503,(_calc!$E$951-500)))=0,"",INDEX('My equipment'!$C$4:$C$503,(_calc!$E$951-500))))=0,"","Model: "&amp;IF(LEN(INDEX('My equipment'!$C$4:$C$503,(_calc!$E$951-500)))=0,"",INDEX('My equipment'!$C$4:$C$503,(_calc!$E$951-500)))&amp;". ")&amp;IF(LEN(IF(LEN(INDEX('My equipment'!$D$4:$D$503,(_calc!$E$951-500)))=0,"",INDEX('My equipment'!$D$4:$D$503,(_calc!$E$951-500))))=0,"","Serial: "&amp;IF(LEN(INDEX('My equipment'!$D$4:$D$503,(_calc!$E$951-500)))=0,"",INDEX('My equipment'!$D$4:$D$503,(_calc!$E$951-500)))&amp;". ")&amp;IF(LEN(IF(ISNUMBER(INDEX('My equipment'!$J$4:$J$503,(_calc!$E$951-500))),TEXT(INDEX('My equipment'!$J$4:$J$503,(_calc!$E$951-500)),"yyyy-mm-dd"),""))=0,"","Parts end: "&amp;IF(ISNUMBER(INDEX('My equipment'!$J$4:$J$503,(_calc!$E$951-500))),TEXT(INDEX('My equipment'!$J$4:$J$503,(_calc!$E$951-500)),"yyyy-mm-dd"),"")&amp;". ")&amp;IF(LEN(IF(ISNUMBER(INDEX('My equipment'!$L$4:$L$503,(_calc!$E$951-500))),TEXT(INDEX('My equipment'!$L$4:$L$503,(_calc!$E$951-500)),"yyyy-mm-dd"),""))=0,"","Labor end: "&amp;IF(ISNUMBER(INDEX('My equipment'!$L$4:$L$503,(_calc!$E$951-500))),TEXT(INDEX('My equipment'!$L$4:$L$503,(_calc!$E$951-500)),"yyyy-mm-dd"),"")&amp;". ")&amp;IF(LEN(IF(ISNUMBER(INDEX('My equipment'!$P$4:$P$503,(_calc!$E$951-500))),TEXT(INDEX('My equipment'!$P$4:$P$503,(_calc!$E$951-500)),"yyyy-mm-dd"),""))=0,"","Check by: "&amp;IF(ISNUMBER(INDEX('My equipment'!$P$4:$P$503,(_calc!$E$951-500))),TEXT(INDEX('My equipment'!$P$4:$P$503,(_calc!$E$951-500)),"yyyy-mm-dd"),"")&amp;". ")&amp;IF(LEN(IF(LEN(INDEX('My equipment'!$Q$4:$Q$503,(_calc!$E$951-500)))=0,"",INDEX('My equipment'!$Q$4:$Q$503,(_calc!$E$951-500))))=0,"","Claim status: "&amp;IF(LEN(INDEX('My equipment'!$Q$4:$Q$503,(_calc!$E$951-500)))=0,"",INDEX('My equipment'!$Q$4:$Q$503,(_calc!$E$951-500)))&amp;". ")&amp;IF(LEN(IF(LEN(INDEX('My equipment'!$R$4:$R$503,(_calc!$E$951-500)))=0,"",INDEX('My equipment'!$R$4:$R$503,(_calc!$E$951-500))))=0,"","Claims contact: "&amp;IF(LEN(INDEX('My equipment'!$R$4:$R$503,(_calc!$E$951-500)))=0,"",INDEX('My equipment'!$R$4:$R$503,(_calc!$E$951-500)))&amp;". ")&amp;IF(LEN(IF(LEN(INDEX('My equipment'!$S$4:$S$503,(_calc!$E$951-500)))=0,"",INDEX('My equipment'!$S$4:$S$503,(_calc!$E$951-500))))=0,"","Claims email: "&amp;IF(LEN(INDEX('My equipment'!$S$4:$S$503,(_calc!$E$951-500)))=0,"",INDEX('My equipment'!$S$4:$S$503,(_calc!$E$951-500)))&amp;". ")&amp;IF(LEN(IF(LEN(INDEX('My equipment'!$U$4:$U$503,(_calc!$E$951-500)))=0,"",INDEX('My equipment'!$U$4:$U$503,(_calc!$E$951-500))))=0,"","Registered: "&amp;IF(LEN(INDEX('My equipment'!$U$4:$U$503,(_calc!$E$951-500)))=0,"",INDEX('My equipment'!$U$4:$U$503,(_calc!$E$951-500)))&amp;". ")&amp;IF(LEN(IF(LEN(INDEX('My equipment'!$V$4:$V$503,(_calc!$E$951-500)))=0,"",INDEX('My equipment'!$V$4:$V$503,(_calc!$E$951-500))))=0,"","Proof on file: "&amp;IF(LEN(INDEX('My equipment'!$V$4:$V$503,(_calc!$E$951-500)))=0,"",INDEX('My equipment'!$V$4:$V$503,(_calc!$E$951-500)))&amp;". ")&amp;IF(LEN(IF(LEN(INDEX('My equipment'!$W$4:$W$503,(_calc!$E$951-500)))=0,"",INDEX('My equipment'!$W$4:$W$503,(_calc!$E$951-500))))=0,"","Claim ref: "&amp;IF(LEN(INDEX('My equipment'!$W$4:$W$503,(_calc!$E$951-500)))=0,"",INDEX('My equipment'!$W$4:$W$503,(_calc!$E$951-500)))&amp;". ")&amp;IF(LEN(IF(LEN(INDEX('My equipment'!$Y$4:$Y$503,(_calc!$E$951-500)))=0,"",INDEX('My equipment'!$Y$4:$Y$503,(_calc!$E$951-500))))=0,"",IF(LEN(INDEX('My equipment'!$Y$4:$Y$503,(_calc!$E$951-500)))=0,"",INDEX('My equipment'!$Y$4:$Y$503,(_calc!$E$951-500)))))))</f>
        <v/>
      </c>
      <c r="G949" s="54">
        <f>IF(_calc!$E$951="","",IF(_calc!$E$951&lt;=500,"",IF(LEN(INDEX('My equipment'!$X$4:$X$503,(_calc!$E$951-500)))=0,"",INDEX('My equipment'!$X$4:$X$503,(_calc!$E$951-500)))))</f>
        <v/>
      </c>
      <c r="K949" s="54">
        <f>IF(_calc!$E$951="","",IF(_calc!$E$951&lt;=500,"",IF(LEN(INDEX('My equipment'!$T$4:$T$503,(_calc!$E$951-500)))=0,"",INDEX('My equipment'!$T$4:$T$503,(_calc!$E$951-500)))))</f>
        <v/>
      </c>
    </row>
    <row r="950">
      <c r="A950" s="54">
        <f>IF(_calc!$E$952="","",IF(_calc!$E$952&lt;=500,"Warranty – "&amp;IF(LEN(INDEX('Dealer pipeline'!$C$4:$C$503,_calc!$E$952))=0,"",INDEX('Dealer pipeline'!$C$4:$C$503,_calc!$E$952))&amp;" – "&amp;IF(LEN(INDEX('Dealer pipeline'!$D$4:$D$503,_calc!$E$952))=0,"",INDEX('Dealer pipeline'!$D$4:$D$503,_calc!$E$952))&amp;" – "&amp;IF(LEN(INDEX('Dealer pipeline'!$A$4:$A$503,_calc!$E$952))=0,"",INDEX('Dealer pipeline'!$A$4:$A$503,_calc!$E$952)),"Warranty – "&amp;IF(LEN(INDEX('My equipment'!$A$4:$A$503,(_calc!$E$952-500)))=0,"",INDEX('My equipment'!$A$4:$A$503,(_calc!$E$952-500)))&amp;" – "&amp;IF(LEN(INDEX('My equipment'!$D$4:$D$503,(_calc!$E$952-500)))=0,"",INDEX('My equipment'!$D$4:$D$503,(_calc!$E$952-500)))))</f>
        <v/>
      </c>
      <c r="B950" s="54">
        <f>IF(_calc!$E$952="","",IF(_calc!$E$952&lt;=500,IF(ISNUMBER(INDEX('Dealer pipeline'!$M$4:$M$503,_calc!$E$952)),TEXT(INDEX('Dealer pipeline'!$M$4:$M$503,_calc!$E$952),"yyyy-mm-dd"),""),IF(ISNUMBER(INDEX('My equipment'!$M$4:$M$503,(_calc!$E$952-500))),TEXT(INDEX('My equipment'!$M$4:$M$503,(_calc!$E$952-500)),"yyyy-mm-dd"),"")))</f>
        <v/>
      </c>
      <c r="C950" s="54">
        <f>IF(_calc!$E$952="","",IF(_calc!$E$952&lt;=500,"Warranty","Warranty"))</f>
        <v/>
      </c>
      <c r="D950" s="54">
        <f>IF(_calc!$E$952="","",IF(_calc!$E$952&lt;=500,IF(ISNUMBER(INDEX('Dealer pipeline'!$H$4:$H$503,_calc!$E$952)),TEXT(INDEX('Dealer pipeline'!$H$4:$H$503,_calc!$E$952),"yyyy-mm-dd"),""),IF(ISNUMBER(INDEX('My equipment'!$H$4:$H$503,(_calc!$E$952-500))),TEXT(INDEX('My equipment'!$H$4:$H$503,(_calc!$E$952-500)),"yyyy-mm-dd"),"")))</f>
        <v/>
      </c>
      <c r="F950" s="54">
        <f>IF(_calc!$E$952="","",IF(_calc!$E$952&lt;=500,TRIM(IF(LEN(IF(LEN(INDEX('Dealer pipeline'!$A$4:$A$503,_calc!$E$952))=0,"",INDEX('Dealer pipeline'!$A$4:$A$503,_calc!$E$952)))=0,"","Customer: "&amp;IF(LEN(INDEX('Dealer pipeline'!$A$4:$A$503,_calc!$E$952))=0,"",INDEX('Dealer pipeline'!$A$4:$A$503,_calc!$E$952))&amp;". ")&amp;IF(LEN(IF(LEN(INDEX('Dealer pipeline'!$B$4:$B$503,_calc!$E$952))=0,"",INDEX('Dealer pipeline'!$B$4:$B$503,_calc!$E$952)))=0,"","Contact: "&amp;IF(LEN(INDEX('Dealer pipeline'!$B$4:$B$503,_calc!$E$952))=0,"",INDEX('Dealer pipeline'!$B$4:$B$503,_calc!$E$952))&amp;". ")&amp;IF(LEN(IF(LEN(INDEX('Dealer pipeline'!$D$4:$D$503,_calc!$E$952))=0,"",INDEX('Dealer pipeline'!$D$4:$D$503,_calc!$E$952)))=0,"","Serial: "&amp;IF(LEN(INDEX('Dealer pipeline'!$D$4:$D$503,_calc!$E$952))=0,"",INDEX('Dealer pipeline'!$D$4:$D$503,_calc!$E$952))&amp;". ")&amp;IF(LEN(IF(ISNUMBER(INDEX('Dealer pipeline'!$J$4:$J$503,_calc!$E$952)),TEXT(INDEX('Dealer pipeline'!$J$4:$J$503,_calc!$E$952),"yyyy-mm-dd"),""))=0,"","Parts end: "&amp;IF(ISNUMBER(INDEX('Dealer pipeline'!$J$4:$J$503,_calc!$E$952)),TEXT(INDEX('Dealer pipeline'!$J$4:$J$503,_calc!$E$952),"yyyy-mm-dd"),"")&amp;". ")&amp;IF(LEN(IF(ISNUMBER(INDEX('Dealer pipeline'!$L$4:$L$503,_calc!$E$952)),TEXT(INDEX('Dealer pipeline'!$L$4:$L$503,_calc!$E$952),"yyyy-mm-dd"),""))=0,"","Labor end: "&amp;IF(ISNUMBER(INDEX('Dealer pipeline'!$L$4:$L$503,_calc!$E$952)),TEXT(INDEX('Dealer pipeline'!$L$4:$L$503,_calc!$E$952),"yyyy-mm-dd"),"")&amp;". ")&amp;IF(LEN(IF(LEN(INDEX('Dealer pipeline'!$Q$4:$Q$503,_calc!$E$952))=0,"",INDEX('Dealer pipeline'!$Q$4:$Q$503,_calc!$E$952)))=0,"","Status: "&amp;IF(LEN(INDEX('Dealer pipeline'!$Q$4:$Q$503,_calc!$E$952))=0,"",INDEX('Dealer pipeline'!$Q$4:$Q$503,_calc!$E$952))&amp;". ")&amp;IF(LEN(IF(LEN(INDEX('Dealer pipeline'!$P$4:$P$503,_calc!$E$952))=0,"",INDEX('Dealer pipeline'!$P$4:$P$503,_calc!$E$952)))=0,"","Last touch: "&amp;IF(LEN(INDEX('Dealer pipeline'!$P$4:$P$503,_calc!$E$952))=0,"",INDEX('Dealer pipeline'!$P$4:$P$503,_calc!$E$952))&amp;". ")&amp;IF(LEN(IF(LEN(INDEX('Dealer pipeline'!$R$4:$R$503,_calc!$E$952))=0,"",INDEX('Dealer pipeline'!$R$4:$R$503,_calc!$E$952)))=0,"","Owner: "&amp;IF(LEN(INDEX('Dealer pipeline'!$R$4:$R$503,_calc!$E$952))=0,"",INDEX('Dealer pipeline'!$R$4:$R$503,_calc!$E$952))&amp;". ")&amp;IF(LEN(IF(LEN(INDEX('Dealer pipeline'!$S$4:$S$503,_calc!$E$952))=0,"",INDEX('Dealer pipeline'!$S$4:$S$503,_calc!$E$952)))=0,"","Backup: "&amp;IF(LEN(INDEX('Dealer pipeline'!$S$4:$S$503,_calc!$E$952))=0,"",INDEX('Dealer pipeline'!$S$4:$S$503,_calc!$E$952))&amp;". ")&amp;IF(LEN(IF(LEN(INDEX('Dealer pipeline'!$T$4:$T$503,_calc!$E$952))=0,"",INDEX('Dealer pipeline'!$T$4:$T$503,_calc!$E$952)))=0,"",IF(LEN(INDEX('Dealer pipeline'!$T$4:$T$503,_calc!$E$952))=0,"",INDEX('Dealer pipeline'!$T$4:$T$503,_calc!$E$952)))),TRIM(IF(LEN(IF(LEN(INDEX('My equipment'!$C$4:$C$503,(_calc!$E$952-500)))=0,"",INDEX('My equipment'!$C$4:$C$503,(_calc!$E$952-500))))=0,"","Model: "&amp;IF(LEN(INDEX('My equipment'!$C$4:$C$503,(_calc!$E$952-500)))=0,"",INDEX('My equipment'!$C$4:$C$503,(_calc!$E$952-500)))&amp;". ")&amp;IF(LEN(IF(LEN(INDEX('My equipment'!$D$4:$D$503,(_calc!$E$952-500)))=0,"",INDEX('My equipment'!$D$4:$D$503,(_calc!$E$952-500))))=0,"","Serial: "&amp;IF(LEN(INDEX('My equipment'!$D$4:$D$503,(_calc!$E$952-500)))=0,"",INDEX('My equipment'!$D$4:$D$503,(_calc!$E$952-500)))&amp;". ")&amp;IF(LEN(IF(ISNUMBER(INDEX('My equipment'!$J$4:$J$503,(_calc!$E$952-500))),TEXT(INDEX('My equipment'!$J$4:$J$503,(_calc!$E$952-500)),"yyyy-mm-dd"),""))=0,"","Parts end: "&amp;IF(ISNUMBER(INDEX('My equipment'!$J$4:$J$503,(_calc!$E$952-500))),TEXT(INDEX('My equipment'!$J$4:$J$503,(_calc!$E$952-500)),"yyyy-mm-dd"),"")&amp;". ")&amp;IF(LEN(IF(ISNUMBER(INDEX('My equipment'!$L$4:$L$503,(_calc!$E$952-500))),TEXT(INDEX('My equipment'!$L$4:$L$503,(_calc!$E$952-500)),"yyyy-mm-dd"),""))=0,"","Labor end: "&amp;IF(ISNUMBER(INDEX('My equipment'!$L$4:$L$503,(_calc!$E$952-500))),TEXT(INDEX('My equipment'!$L$4:$L$503,(_calc!$E$952-500)),"yyyy-mm-dd"),"")&amp;". ")&amp;IF(LEN(IF(ISNUMBER(INDEX('My equipment'!$P$4:$P$503,(_calc!$E$952-500))),TEXT(INDEX('My equipment'!$P$4:$P$503,(_calc!$E$952-500)),"yyyy-mm-dd"),""))=0,"","Check by: "&amp;IF(ISNUMBER(INDEX('My equipment'!$P$4:$P$503,(_calc!$E$952-500))),TEXT(INDEX('My equipment'!$P$4:$P$503,(_calc!$E$952-500)),"yyyy-mm-dd"),"")&amp;". ")&amp;IF(LEN(IF(LEN(INDEX('My equipment'!$Q$4:$Q$503,(_calc!$E$952-500)))=0,"",INDEX('My equipment'!$Q$4:$Q$503,(_calc!$E$952-500))))=0,"","Claim status: "&amp;IF(LEN(INDEX('My equipment'!$Q$4:$Q$503,(_calc!$E$952-500)))=0,"",INDEX('My equipment'!$Q$4:$Q$503,(_calc!$E$952-500)))&amp;". ")&amp;IF(LEN(IF(LEN(INDEX('My equipment'!$R$4:$R$503,(_calc!$E$952-500)))=0,"",INDEX('My equipment'!$R$4:$R$503,(_calc!$E$952-500))))=0,"","Claims contact: "&amp;IF(LEN(INDEX('My equipment'!$R$4:$R$503,(_calc!$E$952-500)))=0,"",INDEX('My equipment'!$R$4:$R$503,(_calc!$E$952-500)))&amp;". ")&amp;IF(LEN(IF(LEN(INDEX('My equipment'!$S$4:$S$503,(_calc!$E$952-500)))=0,"",INDEX('My equipment'!$S$4:$S$503,(_calc!$E$952-500))))=0,"","Claims email: "&amp;IF(LEN(INDEX('My equipment'!$S$4:$S$503,(_calc!$E$952-500)))=0,"",INDEX('My equipment'!$S$4:$S$503,(_calc!$E$952-500)))&amp;". ")&amp;IF(LEN(IF(LEN(INDEX('My equipment'!$U$4:$U$503,(_calc!$E$952-500)))=0,"",INDEX('My equipment'!$U$4:$U$503,(_calc!$E$952-500))))=0,"","Registered: "&amp;IF(LEN(INDEX('My equipment'!$U$4:$U$503,(_calc!$E$952-500)))=0,"",INDEX('My equipment'!$U$4:$U$503,(_calc!$E$952-500)))&amp;". ")&amp;IF(LEN(IF(LEN(INDEX('My equipment'!$V$4:$V$503,(_calc!$E$952-500)))=0,"",INDEX('My equipment'!$V$4:$V$503,(_calc!$E$952-500))))=0,"","Proof on file: "&amp;IF(LEN(INDEX('My equipment'!$V$4:$V$503,(_calc!$E$952-500)))=0,"",INDEX('My equipment'!$V$4:$V$503,(_calc!$E$952-500)))&amp;". ")&amp;IF(LEN(IF(LEN(INDEX('My equipment'!$W$4:$W$503,(_calc!$E$952-500)))=0,"",INDEX('My equipment'!$W$4:$W$503,(_calc!$E$952-500))))=0,"","Claim ref: "&amp;IF(LEN(INDEX('My equipment'!$W$4:$W$503,(_calc!$E$952-500)))=0,"",INDEX('My equipment'!$W$4:$W$503,(_calc!$E$952-500)))&amp;". ")&amp;IF(LEN(IF(LEN(INDEX('My equipment'!$Y$4:$Y$503,(_calc!$E$952-500)))=0,"",INDEX('My equipment'!$Y$4:$Y$503,(_calc!$E$952-500))))=0,"",IF(LEN(INDEX('My equipment'!$Y$4:$Y$503,(_calc!$E$952-500)))=0,"",INDEX('My equipment'!$Y$4:$Y$503,(_calc!$E$952-500)))))))</f>
        <v/>
      </c>
      <c r="G950" s="54">
        <f>IF(_calc!$E$952="","",IF(_calc!$E$952&lt;=500,"",IF(LEN(INDEX('My equipment'!$X$4:$X$503,(_calc!$E$952-500)))=0,"",INDEX('My equipment'!$X$4:$X$503,(_calc!$E$952-500)))))</f>
        <v/>
      </c>
      <c r="K950" s="54">
        <f>IF(_calc!$E$952="","",IF(_calc!$E$952&lt;=500,"",IF(LEN(INDEX('My equipment'!$T$4:$T$503,(_calc!$E$952-500)))=0,"",INDEX('My equipment'!$T$4:$T$503,(_calc!$E$952-500)))))</f>
        <v/>
      </c>
    </row>
    <row r="951">
      <c r="A951" s="54">
        <f>IF(_calc!$E$953="","",IF(_calc!$E$953&lt;=500,"Warranty – "&amp;IF(LEN(INDEX('Dealer pipeline'!$C$4:$C$503,_calc!$E$953))=0,"",INDEX('Dealer pipeline'!$C$4:$C$503,_calc!$E$953))&amp;" – "&amp;IF(LEN(INDEX('Dealer pipeline'!$D$4:$D$503,_calc!$E$953))=0,"",INDEX('Dealer pipeline'!$D$4:$D$503,_calc!$E$953))&amp;" – "&amp;IF(LEN(INDEX('Dealer pipeline'!$A$4:$A$503,_calc!$E$953))=0,"",INDEX('Dealer pipeline'!$A$4:$A$503,_calc!$E$953)),"Warranty – "&amp;IF(LEN(INDEX('My equipment'!$A$4:$A$503,(_calc!$E$953-500)))=0,"",INDEX('My equipment'!$A$4:$A$503,(_calc!$E$953-500)))&amp;" – "&amp;IF(LEN(INDEX('My equipment'!$D$4:$D$503,(_calc!$E$953-500)))=0,"",INDEX('My equipment'!$D$4:$D$503,(_calc!$E$953-500)))))</f>
        <v/>
      </c>
      <c r="B951" s="54">
        <f>IF(_calc!$E$953="","",IF(_calc!$E$953&lt;=500,IF(ISNUMBER(INDEX('Dealer pipeline'!$M$4:$M$503,_calc!$E$953)),TEXT(INDEX('Dealer pipeline'!$M$4:$M$503,_calc!$E$953),"yyyy-mm-dd"),""),IF(ISNUMBER(INDEX('My equipment'!$M$4:$M$503,(_calc!$E$953-500))),TEXT(INDEX('My equipment'!$M$4:$M$503,(_calc!$E$953-500)),"yyyy-mm-dd"),"")))</f>
        <v/>
      </c>
      <c r="C951" s="54">
        <f>IF(_calc!$E$953="","",IF(_calc!$E$953&lt;=500,"Warranty","Warranty"))</f>
        <v/>
      </c>
      <c r="D951" s="54">
        <f>IF(_calc!$E$953="","",IF(_calc!$E$953&lt;=500,IF(ISNUMBER(INDEX('Dealer pipeline'!$H$4:$H$503,_calc!$E$953)),TEXT(INDEX('Dealer pipeline'!$H$4:$H$503,_calc!$E$953),"yyyy-mm-dd"),""),IF(ISNUMBER(INDEX('My equipment'!$H$4:$H$503,(_calc!$E$953-500))),TEXT(INDEX('My equipment'!$H$4:$H$503,(_calc!$E$953-500)),"yyyy-mm-dd"),"")))</f>
        <v/>
      </c>
      <c r="F951" s="54">
        <f>IF(_calc!$E$953="","",IF(_calc!$E$953&lt;=500,TRIM(IF(LEN(IF(LEN(INDEX('Dealer pipeline'!$A$4:$A$503,_calc!$E$953))=0,"",INDEX('Dealer pipeline'!$A$4:$A$503,_calc!$E$953)))=0,"","Customer: "&amp;IF(LEN(INDEX('Dealer pipeline'!$A$4:$A$503,_calc!$E$953))=0,"",INDEX('Dealer pipeline'!$A$4:$A$503,_calc!$E$953))&amp;". ")&amp;IF(LEN(IF(LEN(INDEX('Dealer pipeline'!$B$4:$B$503,_calc!$E$953))=0,"",INDEX('Dealer pipeline'!$B$4:$B$503,_calc!$E$953)))=0,"","Contact: "&amp;IF(LEN(INDEX('Dealer pipeline'!$B$4:$B$503,_calc!$E$953))=0,"",INDEX('Dealer pipeline'!$B$4:$B$503,_calc!$E$953))&amp;". ")&amp;IF(LEN(IF(LEN(INDEX('Dealer pipeline'!$D$4:$D$503,_calc!$E$953))=0,"",INDEX('Dealer pipeline'!$D$4:$D$503,_calc!$E$953)))=0,"","Serial: "&amp;IF(LEN(INDEX('Dealer pipeline'!$D$4:$D$503,_calc!$E$953))=0,"",INDEX('Dealer pipeline'!$D$4:$D$503,_calc!$E$953))&amp;". ")&amp;IF(LEN(IF(ISNUMBER(INDEX('Dealer pipeline'!$J$4:$J$503,_calc!$E$953)),TEXT(INDEX('Dealer pipeline'!$J$4:$J$503,_calc!$E$953),"yyyy-mm-dd"),""))=0,"","Parts end: "&amp;IF(ISNUMBER(INDEX('Dealer pipeline'!$J$4:$J$503,_calc!$E$953)),TEXT(INDEX('Dealer pipeline'!$J$4:$J$503,_calc!$E$953),"yyyy-mm-dd"),"")&amp;". ")&amp;IF(LEN(IF(ISNUMBER(INDEX('Dealer pipeline'!$L$4:$L$503,_calc!$E$953)),TEXT(INDEX('Dealer pipeline'!$L$4:$L$503,_calc!$E$953),"yyyy-mm-dd"),""))=0,"","Labor end: "&amp;IF(ISNUMBER(INDEX('Dealer pipeline'!$L$4:$L$503,_calc!$E$953)),TEXT(INDEX('Dealer pipeline'!$L$4:$L$503,_calc!$E$953),"yyyy-mm-dd"),"")&amp;". ")&amp;IF(LEN(IF(LEN(INDEX('Dealer pipeline'!$Q$4:$Q$503,_calc!$E$953))=0,"",INDEX('Dealer pipeline'!$Q$4:$Q$503,_calc!$E$953)))=0,"","Status: "&amp;IF(LEN(INDEX('Dealer pipeline'!$Q$4:$Q$503,_calc!$E$953))=0,"",INDEX('Dealer pipeline'!$Q$4:$Q$503,_calc!$E$953))&amp;". ")&amp;IF(LEN(IF(LEN(INDEX('Dealer pipeline'!$P$4:$P$503,_calc!$E$953))=0,"",INDEX('Dealer pipeline'!$P$4:$P$503,_calc!$E$953)))=0,"","Last touch: "&amp;IF(LEN(INDEX('Dealer pipeline'!$P$4:$P$503,_calc!$E$953))=0,"",INDEX('Dealer pipeline'!$P$4:$P$503,_calc!$E$953))&amp;". ")&amp;IF(LEN(IF(LEN(INDEX('Dealer pipeline'!$R$4:$R$503,_calc!$E$953))=0,"",INDEX('Dealer pipeline'!$R$4:$R$503,_calc!$E$953)))=0,"","Owner: "&amp;IF(LEN(INDEX('Dealer pipeline'!$R$4:$R$503,_calc!$E$953))=0,"",INDEX('Dealer pipeline'!$R$4:$R$503,_calc!$E$953))&amp;". ")&amp;IF(LEN(IF(LEN(INDEX('Dealer pipeline'!$S$4:$S$503,_calc!$E$953))=0,"",INDEX('Dealer pipeline'!$S$4:$S$503,_calc!$E$953)))=0,"","Backup: "&amp;IF(LEN(INDEX('Dealer pipeline'!$S$4:$S$503,_calc!$E$953))=0,"",INDEX('Dealer pipeline'!$S$4:$S$503,_calc!$E$953))&amp;". ")&amp;IF(LEN(IF(LEN(INDEX('Dealer pipeline'!$T$4:$T$503,_calc!$E$953))=0,"",INDEX('Dealer pipeline'!$T$4:$T$503,_calc!$E$953)))=0,"",IF(LEN(INDEX('Dealer pipeline'!$T$4:$T$503,_calc!$E$953))=0,"",INDEX('Dealer pipeline'!$T$4:$T$503,_calc!$E$953)))),TRIM(IF(LEN(IF(LEN(INDEX('My equipment'!$C$4:$C$503,(_calc!$E$953-500)))=0,"",INDEX('My equipment'!$C$4:$C$503,(_calc!$E$953-500))))=0,"","Model: "&amp;IF(LEN(INDEX('My equipment'!$C$4:$C$503,(_calc!$E$953-500)))=0,"",INDEX('My equipment'!$C$4:$C$503,(_calc!$E$953-500)))&amp;". ")&amp;IF(LEN(IF(LEN(INDEX('My equipment'!$D$4:$D$503,(_calc!$E$953-500)))=0,"",INDEX('My equipment'!$D$4:$D$503,(_calc!$E$953-500))))=0,"","Serial: "&amp;IF(LEN(INDEX('My equipment'!$D$4:$D$503,(_calc!$E$953-500)))=0,"",INDEX('My equipment'!$D$4:$D$503,(_calc!$E$953-500)))&amp;". ")&amp;IF(LEN(IF(ISNUMBER(INDEX('My equipment'!$J$4:$J$503,(_calc!$E$953-500))),TEXT(INDEX('My equipment'!$J$4:$J$503,(_calc!$E$953-500)),"yyyy-mm-dd"),""))=0,"","Parts end: "&amp;IF(ISNUMBER(INDEX('My equipment'!$J$4:$J$503,(_calc!$E$953-500))),TEXT(INDEX('My equipment'!$J$4:$J$503,(_calc!$E$953-500)),"yyyy-mm-dd"),"")&amp;". ")&amp;IF(LEN(IF(ISNUMBER(INDEX('My equipment'!$L$4:$L$503,(_calc!$E$953-500))),TEXT(INDEX('My equipment'!$L$4:$L$503,(_calc!$E$953-500)),"yyyy-mm-dd"),""))=0,"","Labor end: "&amp;IF(ISNUMBER(INDEX('My equipment'!$L$4:$L$503,(_calc!$E$953-500))),TEXT(INDEX('My equipment'!$L$4:$L$503,(_calc!$E$953-500)),"yyyy-mm-dd"),"")&amp;". ")&amp;IF(LEN(IF(ISNUMBER(INDEX('My equipment'!$P$4:$P$503,(_calc!$E$953-500))),TEXT(INDEX('My equipment'!$P$4:$P$503,(_calc!$E$953-500)),"yyyy-mm-dd"),""))=0,"","Check by: "&amp;IF(ISNUMBER(INDEX('My equipment'!$P$4:$P$503,(_calc!$E$953-500))),TEXT(INDEX('My equipment'!$P$4:$P$503,(_calc!$E$953-500)),"yyyy-mm-dd"),"")&amp;". ")&amp;IF(LEN(IF(LEN(INDEX('My equipment'!$Q$4:$Q$503,(_calc!$E$953-500)))=0,"",INDEX('My equipment'!$Q$4:$Q$503,(_calc!$E$953-500))))=0,"","Claim status: "&amp;IF(LEN(INDEX('My equipment'!$Q$4:$Q$503,(_calc!$E$953-500)))=0,"",INDEX('My equipment'!$Q$4:$Q$503,(_calc!$E$953-500)))&amp;". ")&amp;IF(LEN(IF(LEN(INDEX('My equipment'!$R$4:$R$503,(_calc!$E$953-500)))=0,"",INDEX('My equipment'!$R$4:$R$503,(_calc!$E$953-500))))=0,"","Claims contact: "&amp;IF(LEN(INDEX('My equipment'!$R$4:$R$503,(_calc!$E$953-500)))=0,"",INDEX('My equipment'!$R$4:$R$503,(_calc!$E$953-500)))&amp;". ")&amp;IF(LEN(IF(LEN(INDEX('My equipment'!$S$4:$S$503,(_calc!$E$953-500)))=0,"",INDEX('My equipment'!$S$4:$S$503,(_calc!$E$953-500))))=0,"","Claims email: "&amp;IF(LEN(INDEX('My equipment'!$S$4:$S$503,(_calc!$E$953-500)))=0,"",INDEX('My equipment'!$S$4:$S$503,(_calc!$E$953-500)))&amp;". ")&amp;IF(LEN(IF(LEN(INDEX('My equipment'!$U$4:$U$503,(_calc!$E$953-500)))=0,"",INDEX('My equipment'!$U$4:$U$503,(_calc!$E$953-500))))=0,"","Registered: "&amp;IF(LEN(INDEX('My equipment'!$U$4:$U$503,(_calc!$E$953-500)))=0,"",INDEX('My equipment'!$U$4:$U$503,(_calc!$E$953-500)))&amp;". ")&amp;IF(LEN(IF(LEN(INDEX('My equipment'!$V$4:$V$503,(_calc!$E$953-500)))=0,"",INDEX('My equipment'!$V$4:$V$503,(_calc!$E$953-500))))=0,"","Proof on file: "&amp;IF(LEN(INDEX('My equipment'!$V$4:$V$503,(_calc!$E$953-500)))=0,"",INDEX('My equipment'!$V$4:$V$503,(_calc!$E$953-500)))&amp;". ")&amp;IF(LEN(IF(LEN(INDEX('My equipment'!$W$4:$W$503,(_calc!$E$953-500)))=0,"",INDEX('My equipment'!$W$4:$W$503,(_calc!$E$953-500))))=0,"","Claim ref: "&amp;IF(LEN(INDEX('My equipment'!$W$4:$W$503,(_calc!$E$953-500)))=0,"",INDEX('My equipment'!$W$4:$W$503,(_calc!$E$953-500)))&amp;". ")&amp;IF(LEN(IF(LEN(INDEX('My equipment'!$Y$4:$Y$503,(_calc!$E$953-500)))=0,"",INDEX('My equipment'!$Y$4:$Y$503,(_calc!$E$953-500))))=0,"",IF(LEN(INDEX('My equipment'!$Y$4:$Y$503,(_calc!$E$953-500)))=0,"",INDEX('My equipment'!$Y$4:$Y$503,(_calc!$E$953-500)))))))</f>
        <v/>
      </c>
      <c r="G951" s="54">
        <f>IF(_calc!$E$953="","",IF(_calc!$E$953&lt;=500,"",IF(LEN(INDEX('My equipment'!$X$4:$X$503,(_calc!$E$953-500)))=0,"",INDEX('My equipment'!$X$4:$X$503,(_calc!$E$953-500)))))</f>
        <v/>
      </c>
      <c r="K951" s="54">
        <f>IF(_calc!$E$953="","",IF(_calc!$E$953&lt;=500,"",IF(LEN(INDEX('My equipment'!$T$4:$T$503,(_calc!$E$953-500)))=0,"",INDEX('My equipment'!$T$4:$T$503,(_calc!$E$953-500)))))</f>
        <v/>
      </c>
    </row>
    <row r="952">
      <c r="A952" s="54">
        <f>IF(_calc!$E$954="","",IF(_calc!$E$954&lt;=500,"Warranty – "&amp;IF(LEN(INDEX('Dealer pipeline'!$C$4:$C$503,_calc!$E$954))=0,"",INDEX('Dealer pipeline'!$C$4:$C$503,_calc!$E$954))&amp;" – "&amp;IF(LEN(INDEX('Dealer pipeline'!$D$4:$D$503,_calc!$E$954))=0,"",INDEX('Dealer pipeline'!$D$4:$D$503,_calc!$E$954))&amp;" – "&amp;IF(LEN(INDEX('Dealer pipeline'!$A$4:$A$503,_calc!$E$954))=0,"",INDEX('Dealer pipeline'!$A$4:$A$503,_calc!$E$954)),"Warranty – "&amp;IF(LEN(INDEX('My equipment'!$A$4:$A$503,(_calc!$E$954-500)))=0,"",INDEX('My equipment'!$A$4:$A$503,(_calc!$E$954-500)))&amp;" – "&amp;IF(LEN(INDEX('My equipment'!$D$4:$D$503,(_calc!$E$954-500)))=0,"",INDEX('My equipment'!$D$4:$D$503,(_calc!$E$954-500)))))</f>
        <v/>
      </c>
      <c r="B952" s="54">
        <f>IF(_calc!$E$954="","",IF(_calc!$E$954&lt;=500,IF(ISNUMBER(INDEX('Dealer pipeline'!$M$4:$M$503,_calc!$E$954)),TEXT(INDEX('Dealer pipeline'!$M$4:$M$503,_calc!$E$954),"yyyy-mm-dd"),""),IF(ISNUMBER(INDEX('My equipment'!$M$4:$M$503,(_calc!$E$954-500))),TEXT(INDEX('My equipment'!$M$4:$M$503,(_calc!$E$954-500)),"yyyy-mm-dd"),"")))</f>
        <v/>
      </c>
      <c r="C952" s="54">
        <f>IF(_calc!$E$954="","",IF(_calc!$E$954&lt;=500,"Warranty","Warranty"))</f>
        <v/>
      </c>
      <c r="D952" s="54">
        <f>IF(_calc!$E$954="","",IF(_calc!$E$954&lt;=500,IF(ISNUMBER(INDEX('Dealer pipeline'!$H$4:$H$503,_calc!$E$954)),TEXT(INDEX('Dealer pipeline'!$H$4:$H$503,_calc!$E$954),"yyyy-mm-dd"),""),IF(ISNUMBER(INDEX('My equipment'!$H$4:$H$503,(_calc!$E$954-500))),TEXT(INDEX('My equipment'!$H$4:$H$503,(_calc!$E$954-500)),"yyyy-mm-dd"),"")))</f>
        <v/>
      </c>
      <c r="F952" s="54">
        <f>IF(_calc!$E$954="","",IF(_calc!$E$954&lt;=500,TRIM(IF(LEN(IF(LEN(INDEX('Dealer pipeline'!$A$4:$A$503,_calc!$E$954))=0,"",INDEX('Dealer pipeline'!$A$4:$A$503,_calc!$E$954)))=0,"","Customer: "&amp;IF(LEN(INDEX('Dealer pipeline'!$A$4:$A$503,_calc!$E$954))=0,"",INDEX('Dealer pipeline'!$A$4:$A$503,_calc!$E$954))&amp;". ")&amp;IF(LEN(IF(LEN(INDEX('Dealer pipeline'!$B$4:$B$503,_calc!$E$954))=0,"",INDEX('Dealer pipeline'!$B$4:$B$503,_calc!$E$954)))=0,"","Contact: "&amp;IF(LEN(INDEX('Dealer pipeline'!$B$4:$B$503,_calc!$E$954))=0,"",INDEX('Dealer pipeline'!$B$4:$B$503,_calc!$E$954))&amp;". ")&amp;IF(LEN(IF(LEN(INDEX('Dealer pipeline'!$D$4:$D$503,_calc!$E$954))=0,"",INDEX('Dealer pipeline'!$D$4:$D$503,_calc!$E$954)))=0,"","Serial: "&amp;IF(LEN(INDEX('Dealer pipeline'!$D$4:$D$503,_calc!$E$954))=0,"",INDEX('Dealer pipeline'!$D$4:$D$503,_calc!$E$954))&amp;". ")&amp;IF(LEN(IF(ISNUMBER(INDEX('Dealer pipeline'!$J$4:$J$503,_calc!$E$954)),TEXT(INDEX('Dealer pipeline'!$J$4:$J$503,_calc!$E$954),"yyyy-mm-dd"),""))=0,"","Parts end: "&amp;IF(ISNUMBER(INDEX('Dealer pipeline'!$J$4:$J$503,_calc!$E$954)),TEXT(INDEX('Dealer pipeline'!$J$4:$J$503,_calc!$E$954),"yyyy-mm-dd"),"")&amp;". ")&amp;IF(LEN(IF(ISNUMBER(INDEX('Dealer pipeline'!$L$4:$L$503,_calc!$E$954)),TEXT(INDEX('Dealer pipeline'!$L$4:$L$503,_calc!$E$954),"yyyy-mm-dd"),""))=0,"","Labor end: "&amp;IF(ISNUMBER(INDEX('Dealer pipeline'!$L$4:$L$503,_calc!$E$954)),TEXT(INDEX('Dealer pipeline'!$L$4:$L$503,_calc!$E$954),"yyyy-mm-dd"),"")&amp;". ")&amp;IF(LEN(IF(LEN(INDEX('Dealer pipeline'!$Q$4:$Q$503,_calc!$E$954))=0,"",INDEX('Dealer pipeline'!$Q$4:$Q$503,_calc!$E$954)))=0,"","Status: "&amp;IF(LEN(INDEX('Dealer pipeline'!$Q$4:$Q$503,_calc!$E$954))=0,"",INDEX('Dealer pipeline'!$Q$4:$Q$503,_calc!$E$954))&amp;". ")&amp;IF(LEN(IF(LEN(INDEX('Dealer pipeline'!$P$4:$P$503,_calc!$E$954))=0,"",INDEX('Dealer pipeline'!$P$4:$P$503,_calc!$E$954)))=0,"","Last touch: "&amp;IF(LEN(INDEX('Dealer pipeline'!$P$4:$P$503,_calc!$E$954))=0,"",INDEX('Dealer pipeline'!$P$4:$P$503,_calc!$E$954))&amp;". ")&amp;IF(LEN(IF(LEN(INDEX('Dealer pipeline'!$R$4:$R$503,_calc!$E$954))=0,"",INDEX('Dealer pipeline'!$R$4:$R$503,_calc!$E$954)))=0,"","Owner: "&amp;IF(LEN(INDEX('Dealer pipeline'!$R$4:$R$503,_calc!$E$954))=0,"",INDEX('Dealer pipeline'!$R$4:$R$503,_calc!$E$954))&amp;". ")&amp;IF(LEN(IF(LEN(INDEX('Dealer pipeline'!$S$4:$S$503,_calc!$E$954))=0,"",INDEX('Dealer pipeline'!$S$4:$S$503,_calc!$E$954)))=0,"","Backup: "&amp;IF(LEN(INDEX('Dealer pipeline'!$S$4:$S$503,_calc!$E$954))=0,"",INDEX('Dealer pipeline'!$S$4:$S$503,_calc!$E$954))&amp;". ")&amp;IF(LEN(IF(LEN(INDEX('Dealer pipeline'!$T$4:$T$503,_calc!$E$954))=0,"",INDEX('Dealer pipeline'!$T$4:$T$503,_calc!$E$954)))=0,"",IF(LEN(INDEX('Dealer pipeline'!$T$4:$T$503,_calc!$E$954))=0,"",INDEX('Dealer pipeline'!$T$4:$T$503,_calc!$E$954)))),TRIM(IF(LEN(IF(LEN(INDEX('My equipment'!$C$4:$C$503,(_calc!$E$954-500)))=0,"",INDEX('My equipment'!$C$4:$C$503,(_calc!$E$954-500))))=0,"","Model: "&amp;IF(LEN(INDEX('My equipment'!$C$4:$C$503,(_calc!$E$954-500)))=0,"",INDEX('My equipment'!$C$4:$C$503,(_calc!$E$954-500)))&amp;". ")&amp;IF(LEN(IF(LEN(INDEX('My equipment'!$D$4:$D$503,(_calc!$E$954-500)))=0,"",INDEX('My equipment'!$D$4:$D$503,(_calc!$E$954-500))))=0,"","Serial: "&amp;IF(LEN(INDEX('My equipment'!$D$4:$D$503,(_calc!$E$954-500)))=0,"",INDEX('My equipment'!$D$4:$D$503,(_calc!$E$954-500)))&amp;". ")&amp;IF(LEN(IF(ISNUMBER(INDEX('My equipment'!$J$4:$J$503,(_calc!$E$954-500))),TEXT(INDEX('My equipment'!$J$4:$J$503,(_calc!$E$954-500)),"yyyy-mm-dd"),""))=0,"","Parts end: "&amp;IF(ISNUMBER(INDEX('My equipment'!$J$4:$J$503,(_calc!$E$954-500))),TEXT(INDEX('My equipment'!$J$4:$J$503,(_calc!$E$954-500)),"yyyy-mm-dd"),"")&amp;". ")&amp;IF(LEN(IF(ISNUMBER(INDEX('My equipment'!$L$4:$L$503,(_calc!$E$954-500))),TEXT(INDEX('My equipment'!$L$4:$L$503,(_calc!$E$954-500)),"yyyy-mm-dd"),""))=0,"","Labor end: "&amp;IF(ISNUMBER(INDEX('My equipment'!$L$4:$L$503,(_calc!$E$954-500))),TEXT(INDEX('My equipment'!$L$4:$L$503,(_calc!$E$954-500)),"yyyy-mm-dd"),"")&amp;". ")&amp;IF(LEN(IF(ISNUMBER(INDEX('My equipment'!$P$4:$P$503,(_calc!$E$954-500))),TEXT(INDEX('My equipment'!$P$4:$P$503,(_calc!$E$954-500)),"yyyy-mm-dd"),""))=0,"","Check by: "&amp;IF(ISNUMBER(INDEX('My equipment'!$P$4:$P$503,(_calc!$E$954-500))),TEXT(INDEX('My equipment'!$P$4:$P$503,(_calc!$E$954-500)),"yyyy-mm-dd"),"")&amp;". ")&amp;IF(LEN(IF(LEN(INDEX('My equipment'!$Q$4:$Q$503,(_calc!$E$954-500)))=0,"",INDEX('My equipment'!$Q$4:$Q$503,(_calc!$E$954-500))))=0,"","Claim status: "&amp;IF(LEN(INDEX('My equipment'!$Q$4:$Q$503,(_calc!$E$954-500)))=0,"",INDEX('My equipment'!$Q$4:$Q$503,(_calc!$E$954-500)))&amp;". ")&amp;IF(LEN(IF(LEN(INDEX('My equipment'!$R$4:$R$503,(_calc!$E$954-500)))=0,"",INDEX('My equipment'!$R$4:$R$503,(_calc!$E$954-500))))=0,"","Claims contact: "&amp;IF(LEN(INDEX('My equipment'!$R$4:$R$503,(_calc!$E$954-500)))=0,"",INDEX('My equipment'!$R$4:$R$503,(_calc!$E$954-500)))&amp;". ")&amp;IF(LEN(IF(LEN(INDEX('My equipment'!$S$4:$S$503,(_calc!$E$954-500)))=0,"",INDEX('My equipment'!$S$4:$S$503,(_calc!$E$954-500))))=0,"","Claims email: "&amp;IF(LEN(INDEX('My equipment'!$S$4:$S$503,(_calc!$E$954-500)))=0,"",INDEX('My equipment'!$S$4:$S$503,(_calc!$E$954-500)))&amp;". ")&amp;IF(LEN(IF(LEN(INDEX('My equipment'!$U$4:$U$503,(_calc!$E$954-500)))=0,"",INDEX('My equipment'!$U$4:$U$503,(_calc!$E$954-500))))=0,"","Registered: "&amp;IF(LEN(INDEX('My equipment'!$U$4:$U$503,(_calc!$E$954-500)))=0,"",INDEX('My equipment'!$U$4:$U$503,(_calc!$E$954-500)))&amp;". ")&amp;IF(LEN(IF(LEN(INDEX('My equipment'!$V$4:$V$503,(_calc!$E$954-500)))=0,"",INDEX('My equipment'!$V$4:$V$503,(_calc!$E$954-500))))=0,"","Proof on file: "&amp;IF(LEN(INDEX('My equipment'!$V$4:$V$503,(_calc!$E$954-500)))=0,"",INDEX('My equipment'!$V$4:$V$503,(_calc!$E$954-500)))&amp;". ")&amp;IF(LEN(IF(LEN(INDEX('My equipment'!$W$4:$W$503,(_calc!$E$954-500)))=0,"",INDEX('My equipment'!$W$4:$W$503,(_calc!$E$954-500))))=0,"","Claim ref: "&amp;IF(LEN(INDEX('My equipment'!$W$4:$W$503,(_calc!$E$954-500)))=0,"",INDEX('My equipment'!$W$4:$W$503,(_calc!$E$954-500)))&amp;". ")&amp;IF(LEN(IF(LEN(INDEX('My equipment'!$Y$4:$Y$503,(_calc!$E$954-500)))=0,"",INDEX('My equipment'!$Y$4:$Y$503,(_calc!$E$954-500))))=0,"",IF(LEN(INDEX('My equipment'!$Y$4:$Y$503,(_calc!$E$954-500)))=0,"",INDEX('My equipment'!$Y$4:$Y$503,(_calc!$E$954-500)))))))</f>
        <v/>
      </c>
      <c r="G952" s="54">
        <f>IF(_calc!$E$954="","",IF(_calc!$E$954&lt;=500,"",IF(LEN(INDEX('My equipment'!$X$4:$X$503,(_calc!$E$954-500)))=0,"",INDEX('My equipment'!$X$4:$X$503,(_calc!$E$954-500)))))</f>
        <v/>
      </c>
      <c r="K952" s="54">
        <f>IF(_calc!$E$954="","",IF(_calc!$E$954&lt;=500,"",IF(LEN(INDEX('My equipment'!$T$4:$T$503,(_calc!$E$954-500)))=0,"",INDEX('My equipment'!$T$4:$T$503,(_calc!$E$954-500)))))</f>
        <v/>
      </c>
    </row>
    <row r="953">
      <c r="A953" s="54">
        <f>IF(_calc!$E$955="","",IF(_calc!$E$955&lt;=500,"Warranty – "&amp;IF(LEN(INDEX('Dealer pipeline'!$C$4:$C$503,_calc!$E$955))=0,"",INDEX('Dealer pipeline'!$C$4:$C$503,_calc!$E$955))&amp;" – "&amp;IF(LEN(INDEX('Dealer pipeline'!$D$4:$D$503,_calc!$E$955))=0,"",INDEX('Dealer pipeline'!$D$4:$D$503,_calc!$E$955))&amp;" – "&amp;IF(LEN(INDEX('Dealer pipeline'!$A$4:$A$503,_calc!$E$955))=0,"",INDEX('Dealer pipeline'!$A$4:$A$503,_calc!$E$955)),"Warranty – "&amp;IF(LEN(INDEX('My equipment'!$A$4:$A$503,(_calc!$E$955-500)))=0,"",INDEX('My equipment'!$A$4:$A$503,(_calc!$E$955-500)))&amp;" – "&amp;IF(LEN(INDEX('My equipment'!$D$4:$D$503,(_calc!$E$955-500)))=0,"",INDEX('My equipment'!$D$4:$D$503,(_calc!$E$955-500)))))</f>
        <v/>
      </c>
      <c r="B953" s="54">
        <f>IF(_calc!$E$955="","",IF(_calc!$E$955&lt;=500,IF(ISNUMBER(INDEX('Dealer pipeline'!$M$4:$M$503,_calc!$E$955)),TEXT(INDEX('Dealer pipeline'!$M$4:$M$503,_calc!$E$955),"yyyy-mm-dd"),""),IF(ISNUMBER(INDEX('My equipment'!$M$4:$M$503,(_calc!$E$955-500))),TEXT(INDEX('My equipment'!$M$4:$M$503,(_calc!$E$955-500)),"yyyy-mm-dd"),"")))</f>
        <v/>
      </c>
      <c r="C953" s="54">
        <f>IF(_calc!$E$955="","",IF(_calc!$E$955&lt;=500,"Warranty","Warranty"))</f>
        <v/>
      </c>
      <c r="D953" s="54">
        <f>IF(_calc!$E$955="","",IF(_calc!$E$955&lt;=500,IF(ISNUMBER(INDEX('Dealer pipeline'!$H$4:$H$503,_calc!$E$955)),TEXT(INDEX('Dealer pipeline'!$H$4:$H$503,_calc!$E$955),"yyyy-mm-dd"),""),IF(ISNUMBER(INDEX('My equipment'!$H$4:$H$503,(_calc!$E$955-500))),TEXT(INDEX('My equipment'!$H$4:$H$503,(_calc!$E$955-500)),"yyyy-mm-dd"),"")))</f>
        <v/>
      </c>
      <c r="F953" s="54">
        <f>IF(_calc!$E$955="","",IF(_calc!$E$955&lt;=500,TRIM(IF(LEN(IF(LEN(INDEX('Dealer pipeline'!$A$4:$A$503,_calc!$E$955))=0,"",INDEX('Dealer pipeline'!$A$4:$A$503,_calc!$E$955)))=0,"","Customer: "&amp;IF(LEN(INDEX('Dealer pipeline'!$A$4:$A$503,_calc!$E$955))=0,"",INDEX('Dealer pipeline'!$A$4:$A$503,_calc!$E$955))&amp;". ")&amp;IF(LEN(IF(LEN(INDEX('Dealer pipeline'!$B$4:$B$503,_calc!$E$955))=0,"",INDEX('Dealer pipeline'!$B$4:$B$503,_calc!$E$955)))=0,"","Contact: "&amp;IF(LEN(INDEX('Dealer pipeline'!$B$4:$B$503,_calc!$E$955))=0,"",INDEX('Dealer pipeline'!$B$4:$B$503,_calc!$E$955))&amp;". ")&amp;IF(LEN(IF(LEN(INDEX('Dealer pipeline'!$D$4:$D$503,_calc!$E$955))=0,"",INDEX('Dealer pipeline'!$D$4:$D$503,_calc!$E$955)))=0,"","Serial: "&amp;IF(LEN(INDEX('Dealer pipeline'!$D$4:$D$503,_calc!$E$955))=0,"",INDEX('Dealer pipeline'!$D$4:$D$503,_calc!$E$955))&amp;". ")&amp;IF(LEN(IF(ISNUMBER(INDEX('Dealer pipeline'!$J$4:$J$503,_calc!$E$955)),TEXT(INDEX('Dealer pipeline'!$J$4:$J$503,_calc!$E$955),"yyyy-mm-dd"),""))=0,"","Parts end: "&amp;IF(ISNUMBER(INDEX('Dealer pipeline'!$J$4:$J$503,_calc!$E$955)),TEXT(INDEX('Dealer pipeline'!$J$4:$J$503,_calc!$E$955),"yyyy-mm-dd"),"")&amp;". ")&amp;IF(LEN(IF(ISNUMBER(INDEX('Dealer pipeline'!$L$4:$L$503,_calc!$E$955)),TEXT(INDEX('Dealer pipeline'!$L$4:$L$503,_calc!$E$955),"yyyy-mm-dd"),""))=0,"","Labor end: "&amp;IF(ISNUMBER(INDEX('Dealer pipeline'!$L$4:$L$503,_calc!$E$955)),TEXT(INDEX('Dealer pipeline'!$L$4:$L$503,_calc!$E$955),"yyyy-mm-dd"),"")&amp;". ")&amp;IF(LEN(IF(LEN(INDEX('Dealer pipeline'!$Q$4:$Q$503,_calc!$E$955))=0,"",INDEX('Dealer pipeline'!$Q$4:$Q$503,_calc!$E$955)))=0,"","Status: "&amp;IF(LEN(INDEX('Dealer pipeline'!$Q$4:$Q$503,_calc!$E$955))=0,"",INDEX('Dealer pipeline'!$Q$4:$Q$503,_calc!$E$955))&amp;". ")&amp;IF(LEN(IF(LEN(INDEX('Dealer pipeline'!$P$4:$P$503,_calc!$E$955))=0,"",INDEX('Dealer pipeline'!$P$4:$P$503,_calc!$E$955)))=0,"","Last touch: "&amp;IF(LEN(INDEX('Dealer pipeline'!$P$4:$P$503,_calc!$E$955))=0,"",INDEX('Dealer pipeline'!$P$4:$P$503,_calc!$E$955))&amp;". ")&amp;IF(LEN(IF(LEN(INDEX('Dealer pipeline'!$R$4:$R$503,_calc!$E$955))=0,"",INDEX('Dealer pipeline'!$R$4:$R$503,_calc!$E$955)))=0,"","Owner: "&amp;IF(LEN(INDEX('Dealer pipeline'!$R$4:$R$503,_calc!$E$955))=0,"",INDEX('Dealer pipeline'!$R$4:$R$503,_calc!$E$955))&amp;". ")&amp;IF(LEN(IF(LEN(INDEX('Dealer pipeline'!$S$4:$S$503,_calc!$E$955))=0,"",INDEX('Dealer pipeline'!$S$4:$S$503,_calc!$E$955)))=0,"","Backup: "&amp;IF(LEN(INDEX('Dealer pipeline'!$S$4:$S$503,_calc!$E$955))=0,"",INDEX('Dealer pipeline'!$S$4:$S$503,_calc!$E$955))&amp;". ")&amp;IF(LEN(IF(LEN(INDEX('Dealer pipeline'!$T$4:$T$503,_calc!$E$955))=0,"",INDEX('Dealer pipeline'!$T$4:$T$503,_calc!$E$955)))=0,"",IF(LEN(INDEX('Dealer pipeline'!$T$4:$T$503,_calc!$E$955))=0,"",INDEX('Dealer pipeline'!$T$4:$T$503,_calc!$E$955)))),TRIM(IF(LEN(IF(LEN(INDEX('My equipment'!$C$4:$C$503,(_calc!$E$955-500)))=0,"",INDEX('My equipment'!$C$4:$C$503,(_calc!$E$955-500))))=0,"","Model: "&amp;IF(LEN(INDEX('My equipment'!$C$4:$C$503,(_calc!$E$955-500)))=0,"",INDEX('My equipment'!$C$4:$C$503,(_calc!$E$955-500)))&amp;". ")&amp;IF(LEN(IF(LEN(INDEX('My equipment'!$D$4:$D$503,(_calc!$E$955-500)))=0,"",INDEX('My equipment'!$D$4:$D$503,(_calc!$E$955-500))))=0,"","Serial: "&amp;IF(LEN(INDEX('My equipment'!$D$4:$D$503,(_calc!$E$955-500)))=0,"",INDEX('My equipment'!$D$4:$D$503,(_calc!$E$955-500)))&amp;". ")&amp;IF(LEN(IF(ISNUMBER(INDEX('My equipment'!$J$4:$J$503,(_calc!$E$955-500))),TEXT(INDEX('My equipment'!$J$4:$J$503,(_calc!$E$955-500)),"yyyy-mm-dd"),""))=0,"","Parts end: "&amp;IF(ISNUMBER(INDEX('My equipment'!$J$4:$J$503,(_calc!$E$955-500))),TEXT(INDEX('My equipment'!$J$4:$J$503,(_calc!$E$955-500)),"yyyy-mm-dd"),"")&amp;". ")&amp;IF(LEN(IF(ISNUMBER(INDEX('My equipment'!$L$4:$L$503,(_calc!$E$955-500))),TEXT(INDEX('My equipment'!$L$4:$L$503,(_calc!$E$955-500)),"yyyy-mm-dd"),""))=0,"","Labor end: "&amp;IF(ISNUMBER(INDEX('My equipment'!$L$4:$L$503,(_calc!$E$955-500))),TEXT(INDEX('My equipment'!$L$4:$L$503,(_calc!$E$955-500)),"yyyy-mm-dd"),"")&amp;". ")&amp;IF(LEN(IF(ISNUMBER(INDEX('My equipment'!$P$4:$P$503,(_calc!$E$955-500))),TEXT(INDEX('My equipment'!$P$4:$P$503,(_calc!$E$955-500)),"yyyy-mm-dd"),""))=0,"","Check by: "&amp;IF(ISNUMBER(INDEX('My equipment'!$P$4:$P$503,(_calc!$E$955-500))),TEXT(INDEX('My equipment'!$P$4:$P$503,(_calc!$E$955-500)),"yyyy-mm-dd"),"")&amp;". ")&amp;IF(LEN(IF(LEN(INDEX('My equipment'!$Q$4:$Q$503,(_calc!$E$955-500)))=0,"",INDEX('My equipment'!$Q$4:$Q$503,(_calc!$E$955-500))))=0,"","Claim status: "&amp;IF(LEN(INDEX('My equipment'!$Q$4:$Q$503,(_calc!$E$955-500)))=0,"",INDEX('My equipment'!$Q$4:$Q$503,(_calc!$E$955-500)))&amp;". ")&amp;IF(LEN(IF(LEN(INDEX('My equipment'!$R$4:$R$503,(_calc!$E$955-500)))=0,"",INDEX('My equipment'!$R$4:$R$503,(_calc!$E$955-500))))=0,"","Claims contact: "&amp;IF(LEN(INDEX('My equipment'!$R$4:$R$503,(_calc!$E$955-500)))=0,"",INDEX('My equipment'!$R$4:$R$503,(_calc!$E$955-500)))&amp;". ")&amp;IF(LEN(IF(LEN(INDEX('My equipment'!$S$4:$S$503,(_calc!$E$955-500)))=0,"",INDEX('My equipment'!$S$4:$S$503,(_calc!$E$955-500))))=0,"","Claims email: "&amp;IF(LEN(INDEX('My equipment'!$S$4:$S$503,(_calc!$E$955-500)))=0,"",INDEX('My equipment'!$S$4:$S$503,(_calc!$E$955-500)))&amp;". ")&amp;IF(LEN(IF(LEN(INDEX('My equipment'!$U$4:$U$503,(_calc!$E$955-500)))=0,"",INDEX('My equipment'!$U$4:$U$503,(_calc!$E$955-500))))=0,"","Registered: "&amp;IF(LEN(INDEX('My equipment'!$U$4:$U$503,(_calc!$E$955-500)))=0,"",INDEX('My equipment'!$U$4:$U$503,(_calc!$E$955-500)))&amp;". ")&amp;IF(LEN(IF(LEN(INDEX('My equipment'!$V$4:$V$503,(_calc!$E$955-500)))=0,"",INDEX('My equipment'!$V$4:$V$503,(_calc!$E$955-500))))=0,"","Proof on file: "&amp;IF(LEN(INDEX('My equipment'!$V$4:$V$503,(_calc!$E$955-500)))=0,"",INDEX('My equipment'!$V$4:$V$503,(_calc!$E$955-500)))&amp;". ")&amp;IF(LEN(IF(LEN(INDEX('My equipment'!$W$4:$W$503,(_calc!$E$955-500)))=0,"",INDEX('My equipment'!$W$4:$W$503,(_calc!$E$955-500))))=0,"","Claim ref: "&amp;IF(LEN(INDEX('My equipment'!$W$4:$W$503,(_calc!$E$955-500)))=0,"",INDEX('My equipment'!$W$4:$W$503,(_calc!$E$955-500)))&amp;". ")&amp;IF(LEN(IF(LEN(INDEX('My equipment'!$Y$4:$Y$503,(_calc!$E$955-500)))=0,"",INDEX('My equipment'!$Y$4:$Y$503,(_calc!$E$955-500))))=0,"",IF(LEN(INDEX('My equipment'!$Y$4:$Y$503,(_calc!$E$955-500)))=0,"",INDEX('My equipment'!$Y$4:$Y$503,(_calc!$E$955-500)))))))</f>
        <v/>
      </c>
      <c r="G953" s="54">
        <f>IF(_calc!$E$955="","",IF(_calc!$E$955&lt;=500,"",IF(LEN(INDEX('My equipment'!$X$4:$X$503,(_calc!$E$955-500)))=0,"",INDEX('My equipment'!$X$4:$X$503,(_calc!$E$955-500)))))</f>
        <v/>
      </c>
      <c r="K953" s="54">
        <f>IF(_calc!$E$955="","",IF(_calc!$E$955&lt;=500,"",IF(LEN(INDEX('My equipment'!$T$4:$T$503,(_calc!$E$955-500)))=0,"",INDEX('My equipment'!$T$4:$T$503,(_calc!$E$955-500)))))</f>
        <v/>
      </c>
    </row>
    <row r="954">
      <c r="A954" s="54">
        <f>IF(_calc!$E$956="","",IF(_calc!$E$956&lt;=500,"Warranty – "&amp;IF(LEN(INDEX('Dealer pipeline'!$C$4:$C$503,_calc!$E$956))=0,"",INDEX('Dealer pipeline'!$C$4:$C$503,_calc!$E$956))&amp;" – "&amp;IF(LEN(INDEX('Dealer pipeline'!$D$4:$D$503,_calc!$E$956))=0,"",INDEX('Dealer pipeline'!$D$4:$D$503,_calc!$E$956))&amp;" – "&amp;IF(LEN(INDEX('Dealer pipeline'!$A$4:$A$503,_calc!$E$956))=0,"",INDEX('Dealer pipeline'!$A$4:$A$503,_calc!$E$956)),"Warranty – "&amp;IF(LEN(INDEX('My equipment'!$A$4:$A$503,(_calc!$E$956-500)))=0,"",INDEX('My equipment'!$A$4:$A$503,(_calc!$E$956-500)))&amp;" – "&amp;IF(LEN(INDEX('My equipment'!$D$4:$D$503,(_calc!$E$956-500)))=0,"",INDEX('My equipment'!$D$4:$D$503,(_calc!$E$956-500)))))</f>
        <v/>
      </c>
      <c r="B954" s="54">
        <f>IF(_calc!$E$956="","",IF(_calc!$E$956&lt;=500,IF(ISNUMBER(INDEX('Dealer pipeline'!$M$4:$M$503,_calc!$E$956)),TEXT(INDEX('Dealer pipeline'!$M$4:$M$503,_calc!$E$956),"yyyy-mm-dd"),""),IF(ISNUMBER(INDEX('My equipment'!$M$4:$M$503,(_calc!$E$956-500))),TEXT(INDEX('My equipment'!$M$4:$M$503,(_calc!$E$956-500)),"yyyy-mm-dd"),"")))</f>
        <v/>
      </c>
      <c r="C954" s="54">
        <f>IF(_calc!$E$956="","",IF(_calc!$E$956&lt;=500,"Warranty","Warranty"))</f>
        <v/>
      </c>
      <c r="D954" s="54">
        <f>IF(_calc!$E$956="","",IF(_calc!$E$956&lt;=500,IF(ISNUMBER(INDEX('Dealer pipeline'!$H$4:$H$503,_calc!$E$956)),TEXT(INDEX('Dealer pipeline'!$H$4:$H$503,_calc!$E$956),"yyyy-mm-dd"),""),IF(ISNUMBER(INDEX('My equipment'!$H$4:$H$503,(_calc!$E$956-500))),TEXT(INDEX('My equipment'!$H$4:$H$503,(_calc!$E$956-500)),"yyyy-mm-dd"),"")))</f>
        <v/>
      </c>
      <c r="F954" s="54">
        <f>IF(_calc!$E$956="","",IF(_calc!$E$956&lt;=500,TRIM(IF(LEN(IF(LEN(INDEX('Dealer pipeline'!$A$4:$A$503,_calc!$E$956))=0,"",INDEX('Dealer pipeline'!$A$4:$A$503,_calc!$E$956)))=0,"","Customer: "&amp;IF(LEN(INDEX('Dealer pipeline'!$A$4:$A$503,_calc!$E$956))=0,"",INDEX('Dealer pipeline'!$A$4:$A$503,_calc!$E$956))&amp;". ")&amp;IF(LEN(IF(LEN(INDEX('Dealer pipeline'!$B$4:$B$503,_calc!$E$956))=0,"",INDEX('Dealer pipeline'!$B$4:$B$503,_calc!$E$956)))=0,"","Contact: "&amp;IF(LEN(INDEX('Dealer pipeline'!$B$4:$B$503,_calc!$E$956))=0,"",INDEX('Dealer pipeline'!$B$4:$B$503,_calc!$E$956))&amp;". ")&amp;IF(LEN(IF(LEN(INDEX('Dealer pipeline'!$D$4:$D$503,_calc!$E$956))=0,"",INDEX('Dealer pipeline'!$D$4:$D$503,_calc!$E$956)))=0,"","Serial: "&amp;IF(LEN(INDEX('Dealer pipeline'!$D$4:$D$503,_calc!$E$956))=0,"",INDEX('Dealer pipeline'!$D$4:$D$503,_calc!$E$956))&amp;". ")&amp;IF(LEN(IF(ISNUMBER(INDEX('Dealer pipeline'!$J$4:$J$503,_calc!$E$956)),TEXT(INDEX('Dealer pipeline'!$J$4:$J$503,_calc!$E$956),"yyyy-mm-dd"),""))=0,"","Parts end: "&amp;IF(ISNUMBER(INDEX('Dealer pipeline'!$J$4:$J$503,_calc!$E$956)),TEXT(INDEX('Dealer pipeline'!$J$4:$J$503,_calc!$E$956),"yyyy-mm-dd"),"")&amp;". ")&amp;IF(LEN(IF(ISNUMBER(INDEX('Dealer pipeline'!$L$4:$L$503,_calc!$E$956)),TEXT(INDEX('Dealer pipeline'!$L$4:$L$503,_calc!$E$956),"yyyy-mm-dd"),""))=0,"","Labor end: "&amp;IF(ISNUMBER(INDEX('Dealer pipeline'!$L$4:$L$503,_calc!$E$956)),TEXT(INDEX('Dealer pipeline'!$L$4:$L$503,_calc!$E$956),"yyyy-mm-dd"),"")&amp;". ")&amp;IF(LEN(IF(LEN(INDEX('Dealer pipeline'!$Q$4:$Q$503,_calc!$E$956))=0,"",INDEX('Dealer pipeline'!$Q$4:$Q$503,_calc!$E$956)))=0,"","Status: "&amp;IF(LEN(INDEX('Dealer pipeline'!$Q$4:$Q$503,_calc!$E$956))=0,"",INDEX('Dealer pipeline'!$Q$4:$Q$503,_calc!$E$956))&amp;". ")&amp;IF(LEN(IF(LEN(INDEX('Dealer pipeline'!$P$4:$P$503,_calc!$E$956))=0,"",INDEX('Dealer pipeline'!$P$4:$P$503,_calc!$E$956)))=0,"","Last touch: "&amp;IF(LEN(INDEX('Dealer pipeline'!$P$4:$P$503,_calc!$E$956))=0,"",INDEX('Dealer pipeline'!$P$4:$P$503,_calc!$E$956))&amp;". ")&amp;IF(LEN(IF(LEN(INDEX('Dealer pipeline'!$R$4:$R$503,_calc!$E$956))=0,"",INDEX('Dealer pipeline'!$R$4:$R$503,_calc!$E$956)))=0,"","Owner: "&amp;IF(LEN(INDEX('Dealer pipeline'!$R$4:$R$503,_calc!$E$956))=0,"",INDEX('Dealer pipeline'!$R$4:$R$503,_calc!$E$956))&amp;". ")&amp;IF(LEN(IF(LEN(INDEX('Dealer pipeline'!$S$4:$S$503,_calc!$E$956))=0,"",INDEX('Dealer pipeline'!$S$4:$S$503,_calc!$E$956)))=0,"","Backup: "&amp;IF(LEN(INDEX('Dealer pipeline'!$S$4:$S$503,_calc!$E$956))=0,"",INDEX('Dealer pipeline'!$S$4:$S$503,_calc!$E$956))&amp;". ")&amp;IF(LEN(IF(LEN(INDEX('Dealer pipeline'!$T$4:$T$503,_calc!$E$956))=0,"",INDEX('Dealer pipeline'!$T$4:$T$503,_calc!$E$956)))=0,"",IF(LEN(INDEX('Dealer pipeline'!$T$4:$T$503,_calc!$E$956))=0,"",INDEX('Dealer pipeline'!$T$4:$T$503,_calc!$E$956)))),TRIM(IF(LEN(IF(LEN(INDEX('My equipment'!$C$4:$C$503,(_calc!$E$956-500)))=0,"",INDEX('My equipment'!$C$4:$C$503,(_calc!$E$956-500))))=0,"","Model: "&amp;IF(LEN(INDEX('My equipment'!$C$4:$C$503,(_calc!$E$956-500)))=0,"",INDEX('My equipment'!$C$4:$C$503,(_calc!$E$956-500)))&amp;". ")&amp;IF(LEN(IF(LEN(INDEX('My equipment'!$D$4:$D$503,(_calc!$E$956-500)))=0,"",INDEX('My equipment'!$D$4:$D$503,(_calc!$E$956-500))))=0,"","Serial: "&amp;IF(LEN(INDEX('My equipment'!$D$4:$D$503,(_calc!$E$956-500)))=0,"",INDEX('My equipment'!$D$4:$D$503,(_calc!$E$956-500)))&amp;". ")&amp;IF(LEN(IF(ISNUMBER(INDEX('My equipment'!$J$4:$J$503,(_calc!$E$956-500))),TEXT(INDEX('My equipment'!$J$4:$J$503,(_calc!$E$956-500)),"yyyy-mm-dd"),""))=0,"","Parts end: "&amp;IF(ISNUMBER(INDEX('My equipment'!$J$4:$J$503,(_calc!$E$956-500))),TEXT(INDEX('My equipment'!$J$4:$J$503,(_calc!$E$956-500)),"yyyy-mm-dd"),"")&amp;". ")&amp;IF(LEN(IF(ISNUMBER(INDEX('My equipment'!$L$4:$L$503,(_calc!$E$956-500))),TEXT(INDEX('My equipment'!$L$4:$L$503,(_calc!$E$956-500)),"yyyy-mm-dd"),""))=0,"","Labor end: "&amp;IF(ISNUMBER(INDEX('My equipment'!$L$4:$L$503,(_calc!$E$956-500))),TEXT(INDEX('My equipment'!$L$4:$L$503,(_calc!$E$956-500)),"yyyy-mm-dd"),"")&amp;". ")&amp;IF(LEN(IF(ISNUMBER(INDEX('My equipment'!$P$4:$P$503,(_calc!$E$956-500))),TEXT(INDEX('My equipment'!$P$4:$P$503,(_calc!$E$956-500)),"yyyy-mm-dd"),""))=0,"","Check by: "&amp;IF(ISNUMBER(INDEX('My equipment'!$P$4:$P$503,(_calc!$E$956-500))),TEXT(INDEX('My equipment'!$P$4:$P$503,(_calc!$E$956-500)),"yyyy-mm-dd"),"")&amp;". ")&amp;IF(LEN(IF(LEN(INDEX('My equipment'!$Q$4:$Q$503,(_calc!$E$956-500)))=0,"",INDEX('My equipment'!$Q$4:$Q$503,(_calc!$E$956-500))))=0,"","Claim status: "&amp;IF(LEN(INDEX('My equipment'!$Q$4:$Q$503,(_calc!$E$956-500)))=0,"",INDEX('My equipment'!$Q$4:$Q$503,(_calc!$E$956-500)))&amp;". ")&amp;IF(LEN(IF(LEN(INDEX('My equipment'!$R$4:$R$503,(_calc!$E$956-500)))=0,"",INDEX('My equipment'!$R$4:$R$503,(_calc!$E$956-500))))=0,"","Claims contact: "&amp;IF(LEN(INDEX('My equipment'!$R$4:$R$503,(_calc!$E$956-500)))=0,"",INDEX('My equipment'!$R$4:$R$503,(_calc!$E$956-500)))&amp;". ")&amp;IF(LEN(IF(LEN(INDEX('My equipment'!$S$4:$S$503,(_calc!$E$956-500)))=0,"",INDEX('My equipment'!$S$4:$S$503,(_calc!$E$956-500))))=0,"","Claims email: "&amp;IF(LEN(INDEX('My equipment'!$S$4:$S$503,(_calc!$E$956-500)))=0,"",INDEX('My equipment'!$S$4:$S$503,(_calc!$E$956-500)))&amp;". ")&amp;IF(LEN(IF(LEN(INDEX('My equipment'!$U$4:$U$503,(_calc!$E$956-500)))=0,"",INDEX('My equipment'!$U$4:$U$503,(_calc!$E$956-500))))=0,"","Registered: "&amp;IF(LEN(INDEX('My equipment'!$U$4:$U$503,(_calc!$E$956-500)))=0,"",INDEX('My equipment'!$U$4:$U$503,(_calc!$E$956-500)))&amp;". ")&amp;IF(LEN(IF(LEN(INDEX('My equipment'!$V$4:$V$503,(_calc!$E$956-500)))=0,"",INDEX('My equipment'!$V$4:$V$503,(_calc!$E$956-500))))=0,"","Proof on file: "&amp;IF(LEN(INDEX('My equipment'!$V$4:$V$503,(_calc!$E$956-500)))=0,"",INDEX('My equipment'!$V$4:$V$503,(_calc!$E$956-500)))&amp;". ")&amp;IF(LEN(IF(LEN(INDEX('My equipment'!$W$4:$W$503,(_calc!$E$956-500)))=0,"",INDEX('My equipment'!$W$4:$W$503,(_calc!$E$956-500))))=0,"","Claim ref: "&amp;IF(LEN(INDEX('My equipment'!$W$4:$W$503,(_calc!$E$956-500)))=0,"",INDEX('My equipment'!$W$4:$W$503,(_calc!$E$956-500)))&amp;". ")&amp;IF(LEN(IF(LEN(INDEX('My equipment'!$Y$4:$Y$503,(_calc!$E$956-500)))=0,"",INDEX('My equipment'!$Y$4:$Y$503,(_calc!$E$956-500))))=0,"",IF(LEN(INDEX('My equipment'!$Y$4:$Y$503,(_calc!$E$956-500)))=0,"",INDEX('My equipment'!$Y$4:$Y$503,(_calc!$E$956-500)))))))</f>
        <v/>
      </c>
      <c r="G954" s="54">
        <f>IF(_calc!$E$956="","",IF(_calc!$E$956&lt;=500,"",IF(LEN(INDEX('My equipment'!$X$4:$X$503,(_calc!$E$956-500)))=0,"",INDEX('My equipment'!$X$4:$X$503,(_calc!$E$956-500)))))</f>
        <v/>
      </c>
      <c r="K954" s="54">
        <f>IF(_calc!$E$956="","",IF(_calc!$E$956&lt;=500,"",IF(LEN(INDEX('My equipment'!$T$4:$T$503,(_calc!$E$956-500)))=0,"",INDEX('My equipment'!$T$4:$T$503,(_calc!$E$956-500)))))</f>
        <v/>
      </c>
    </row>
    <row r="955">
      <c r="A955" s="54">
        <f>IF(_calc!$E$957="","",IF(_calc!$E$957&lt;=500,"Warranty – "&amp;IF(LEN(INDEX('Dealer pipeline'!$C$4:$C$503,_calc!$E$957))=0,"",INDEX('Dealer pipeline'!$C$4:$C$503,_calc!$E$957))&amp;" – "&amp;IF(LEN(INDEX('Dealer pipeline'!$D$4:$D$503,_calc!$E$957))=0,"",INDEX('Dealer pipeline'!$D$4:$D$503,_calc!$E$957))&amp;" – "&amp;IF(LEN(INDEX('Dealer pipeline'!$A$4:$A$503,_calc!$E$957))=0,"",INDEX('Dealer pipeline'!$A$4:$A$503,_calc!$E$957)),"Warranty – "&amp;IF(LEN(INDEX('My equipment'!$A$4:$A$503,(_calc!$E$957-500)))=0,"",INDEX('My equipment'!$A$4:$A$503,(_calc!$E$957-500)))&amp;" – "&amp;IF(LEN(INDEX('My equipment'!$D$4:$D$503,(_calc!$E$957-500)))=0,"",INDEX('My equipment'!$D$4:$D$503,(_calc!$E$957-500)))))</f>
        <v/>
      </c>
      <c r="B955" s="54">
        <f>IF(_calc!$E$957="","",IF(_calc!$E$957&lt;=500,IF(ISNUMBER(INDEX('Dealer pipeline'!$M$4:$M$503,_calc!$E$957)),TEXT(INDEX('Dealer pipeline'!$M$4:$M$503,_calc!$E$957),"yyyy-mm-dd"),""),IF(ISNUMBER(INDEX('My equipment'!$M$4:$M$503,(_calc!$E$957-500))),TEXT(INDEX('My equipment'!$M$4:$M$503,(_calc!$E$957-500)),"yyyy-mm-dd"),"")))</f>
        <v/>
      </c>
      <c r="C955" s="54">
        <f>IF(_calc!$E$957="","",IF(_calc!$E$957&lt;=500,"Warranty","Warranty"))</f>
        <v/>
      </c>
      <c r="D955" s="54">
        <f>IF(_calc!$E$957="","",IF(_calc!$E$957&lt;=500,IF(ISNUMBER(INDEX('Dealer pipeline'!$H$4:$H$503,_calc!$E$957)),TEXT(INDEX('Dealer pipeline'!$H$4:$H$503,_calc!$E$957),"yyyy-mm-dd"),""),IF(ISNUMBER(INDEX('My equipment'!$H$4:$H$503,(_calc!$E$957-500))),TEXT(INDEX('My equipment'!$H$4:$H$503,(_calc!$E$957-500)),"yyyy-mm-dd"),"")))</f>
        <v/>
      </c>
      <c r="F955" s="54">
        <f>IF(_calc!$E$957="","",IF(_calc!$E$957&lt;=500,TRIM(IF(LEN(IF(LEN(INDEX('Dealer pipeline'!$A$4:$A$503,_calc!$E$957))=0,"",INDEX('Dealer pipeline'!$A$4:$A$503,_calc!$E$957)))=0,"","Customer: "&amp;IF(LEN(INDEX('Dealer pipeline'!$A$4:$A$503,_calc!$E$957))=0,"",INDEX('Dealer pipeline'!$A$4:$A$503,_calc!$E$957))&amp;". ")&amp;IF(LEN(IF(LEN(INDEX('Dealer pipeline'!$B$4:$B$503,_calc!$E$957))=0,"",INDEX('Dealer pipeline'!$B$4:$B$503,_calc!$E$957)))=0,"","Contact: "&amp;IF(LEN(INDEX('Dealer pipeline'!$B$4:$B$503,_calc!$E$957))=0,"",INDEX('Dealer pipeline'!$B$4:$B$503,_calc!$E$957))&amp;". ")&amp;IF(LEN(IF(LEN(INDEX('Dealer pipeline'!$D$4:$D$503,_calc!$E$957))=0,"",INDEX('Dealer pipeline'!$D$4:$D$503,_calc!$E$957)))=0,"","Serial: "&amp;IF(LEN(INDEX('Dealer pipeline'!$D$4:$D$503,_calc!$E$957))=0,"",INDEX('Dealer pipeline'!$D$4:$D$503,_calc!$E$957))&amp;". ")&amp;IF(LEN(IF(ISNUMBER(INDEX('Dealer pipeline'!$J$4:$J$503,_calc!$E$957)),TEXT(INDEX('Dealer pipeline'!$J$4:$J$503,_calc!$E$957),"yyyy-mm-dd"),""))=0,"","Parts end: "&amp;IF(ISNUMBER(INDEX('Dealer pipeline'!$J$4:$J$503,_calc!$E$957)),TEXT(INDEX('Dealer pipeline'!$J$4:$J$503,_calc!$E$957),"yyyy-mm-dd"),"")&amp;". ")&amp;IF(LEN(IF(ISNUMBER(INDEX('Dealer pipeline'!$L$4:$L$503,_calc!$E$957)),TEXT(INDEX('Dealer pipeline'!$L$4:$L$503,_calc!$E$957),"yyyy-mm-dd"),""))=0,"","Labor end: "&amp;IF(ISNUMBER(INDEX('Dealer pipeline'!$L$4:$L$503,_calc!$E$957)),TEXT(INDEX('Dealer pipeline'!$L$4:$L$503,_calc!$E$957),"yyyy-mm-dd"),"")&amp;". ")&amp;IF(LEN(IF(LEN(INDEX('Dealer pipeline'!$Q$4:$Q$503,_calc!$E$957))=0,"",INDEX('Dealer pipeline'!$Q$4:$Q$503,_calc!$E$957)))=0,"","Status: "&amp;IF(LEN(INDEX('Dealer pipeline'!$Q$4:$Q$503,_calc!$E$957))=0,"",INDEX('Dealer pipeline'!$Q$4:$Q$503,_calc!$E$957))&amp;". ")&amp;IF(LEN(IF(LEN(INDEX('Dealer pipeline'!$P$4:$P$503,_calc!$E$957))=0,"",INDEX('Dealer pipeline'!$P$4:$P$503,_calc!$E$957)))=0,"","Last touch: "&amp;IF(LEN(INDEX('Dealer pipeline'!$P$4:$P$503,_calc!$E$957))=0,"",INDEX('Dealer pipeline'!$P$4:$P$503,_calc!$E$957))&amp;". ")&amp;IF(LEN(IF(LEN(INDEX('Dealer pipeline'!$R$4:$R$503,_calc!$E$957))=0,"",INDEX('Dealer pipeline'!$R$4:$R$503,_calc!$E$957)))=0,"","Owner: "&amp;IF(LEN(INDEX('Dealer pipeline'!$R$4:$R$503,_calc!$E$957))=0,"",INDEX('Dealer pipeline'!$R$4:$R$503,_calc!$E$957))&amp;". ")&amp;IF(LEN(IF(LEN(INDEX('Dealer pipeline'!$S$4:$S$503,_calc!$E$957))=0,"",INDEX('Dealer pipeline'!$S$4:$S$503,_calc!$E$957)))=0,"","Backup: "&amp;IF(LEN(INDEX('Dealer pipeline'!$S$4:$S$503,_calc!$E$957))=0,"",INDEX('Dealer pipeline'!$S$4:$S$503,_calc!$E$957))&amp;". ")&amp;IF(LEN(IF(LEN(INDEX('Dealer pipeline'!$T$4:$T$503,_calc!$E$957))=0,"",INDEX('Dealer pipeline'!$T$4:$T$503,_calc!$E$957)))=0,"",IF(LEN(INDEX('Dealer pipeline'!$T$4:$T$503,_calc!$E$957))=0,"",INDEX('Dealer pipeline'!$T$4:$T$503,_calc!$E$957)))),TRIM(IF(LEN(IF(LEN(INDEX('My equipment'!$C$4:$C$503,(_calc!$E$957-500)))=0,"",INDEX('My equipment'!$C$4:$C$503,(_calc!$E$957-500))))=0,"","Model: "&amp;IF(LEN(INDEX('My equipment'!$C$4:$C$503,(_calc!$E$957-500)))=0,"",INDEX('My equipment'!$C$4:$C$503,(_calc!$E$957-500)))&amp;". ")&amp;IF(LEN(IF(LEN(INDEX('My equipment'!$D$4:$D$503,(_calc!$E$957-500)))=0,"",INDEX('My equipment'!$D$4:$D$503,(_calc!$E$957-500))))=0,"","Serial: "&amp;IF(LEN(INDEX('My equipment'!$D$4:$D$503,(_calc!$E$957-500)))=0,"",INDEX('My equipment'!$D$4:$D$503,(_calc!$E$957-500)))&amp;". ")&amp;IF(LEN(IF(ISNUMBER(INDEX('My equipment'!$J$4:$J$503,(_calc!$E$957-500))),TEXT(INDEX('My equipment'!$J$4:$J$503,(_calc!$E$957-500)),"yyyy-mm-dd"),""))=0,"","Parts end: "&amp;IF(ISNUMBER(INDEX('My equipment'!$J$4:$J$503,(_calc!$E$957-500))),TEXT(INDEX('My equipment'!$J$4:$J$503,(_calc!$E$957-500)),"yyyy-mm-dd"),"")&amp;". ")&amp;IF(LEN(IF(ISNUMBER(INDEX('My equipment'!$L$4:$L$503,(_calc!$E$957-500))),TEXT(INDEX('My equipment'!$L$4:$L$503,(_calc!$E$957-500)),"yyyy-mm-dd"),""))=0,"","Labor end: "&amp;IF(ISNUMBER(INDEX('My equipment'!$L$4:$L$503,(_calc!$E$957-500))),TEXT(INDEX('My equipment'!$L$4:$L$503,(_calc!$E$957-500)),"yyyy-mm-dd"),"")&amp;". ")&amp;IF(LEN(IF(ISNUMBER(INDEX('My equipment'!$P$4:$P$503,(_calc!$E$957-500))),TEXT(INDEX('My equipment'!$P$4:$P$503,(_calc!$E$957-500)),"yyyy-mm-dd"),""))=0,"","Check by: "&amp;IF(ISNUMBER(INDEX('My equipment'!$P$4:$P$503,(_calc!$E$957-500))),TEXT(INDEX('My equipment'!$P$4:$P$503,(_calc!$E$957-500)),"yyyy-mm-dd"),"")&amp;". ")&amp;IF(LEN(IF(LEN(INDEX('My equipment'!$Q$4:$Q$503,(_calc!$E$957-500)))=0,"",INDEX('My equipment'!$Q$4:$Q$503,(_calc!$E$957-500))))=0,"","Claim status: "&amp;IF(LEN(INDEX('My equipment'!$Q$4:$Q$503,(_calc!$E$957-500)))=0,"",INDEX('My equipment'!$Q$4:$Q$503,(_calc!$E$957-500)))&amp;". ")&amp;IF(LEN(IF(LEN(INDEX('My equipment'!$R$4:$R$503,(_calc!$E$957-500)))=0,"",INDEX('My equipment'!$R$4:$R$503,(_calc!$E$957-500))))=0,"","Claims contact: "&amp;IF(LEN(INDEX('My equipment'!$R$4:$R$503,(_calc!$E$957-500)))=0,"",INDEX('My equipment'!$R$4:$R$503,(_calc!$E$957-500)))&amp;". ")&amp;IF(LEN(IF(LEN(INDEX('My equipment'!$S$4:$S$503,(_calc!$E$957-500)))=0,"",INDEX('My equipment'!$S$4:$S$503,(_calc!$E$957-500))))=0,"","Claims email: "&amp;IF(LEN(INDEX('My equipment'!$S$4:$S$503,(_calc!$E$957-500)))=0,"",INDEX('My equipment'!$S$4:$S$503,(_calc!$E$957-500)))&amp;". ")&amp;IF(LEN(IF(LEN(INDEX('My equipment'!$U$4:$U$503,(_calc!$E$957-500)))=0,"",INDEX('My equipment'!$U$4:$U$503,(_calc!$E$957-500))))=0,"","Registered: "&amp;IF(LEN(INDEX('My equipment'!$U$4:$U$503,(_calc!$E$957-500)))=0,"",INDEX('My equipment'!$U$4:$U$503,(_calc!$E$957-500)))&amp;". ")&amp;IF(LEN(IF(LEN(INDEX('My equipment'!$V$4:$V$503,(_calc!$E$957-500)))=0,"",INDEX('My equipment'!$V$4:$V$503,(_calc!$E$957-500))))=0,"","Proof on file: "&amp;IF(LEN(INDEX('My equipment'!$V$4:$V$503,(_calc!$E$957-500)))=0,"",INDEX('My equipment'!$V$4:$V$503,(_calc!$E$957-500)))&amp;". ")&amp;IF(LEN(IF(LEN(INDEX('My equipment'!$W$4:$W$503,(_calc!$E$957-500)))=0,"",INDEX('My equipment'!$W$4:$W$503,(_calc!$E$957-500))))=0,"","Claim ref: "&amp;IF(LEN(INDEX('My equipment'!$W$4:$W$503,(_calc!$E$957-500)))=0,"",INDEX('My equipment'!$W$4:$W$503,(_calc!$E$957-500)))&amp;". ")&amp;IF(LEN(IF(LEN(INDEX('My equipment'!$Y$4:$Y$503,(_calc!$E$957-500)))=0,"",INDEX('My equipment'!$Y$4:$Y$503,(_calc!$E$957-500))))=0,"",IF(LEN(INDEX('My equipment'!$Y$4:$Y$503,(_calc!$E$957-500)))=0,"",INDEX('My equipment'!$Y$4:$Y$503,(_calc!$E$957-500)))))))</f>
        <v/>
      </c>
      <c r="G955" s="54">
        <f>IF(_calc!$E$957="","",IF(_calc!$E$957&lt;=500,"",IF(LEN(INDEX('My equipment'!$X$4:$X$503,(_calc!$E$957-500)))=0,"",INDEX('My equipment'!$X$4:$X$503,(_calc!$E$957-500)))))</f>
        <v/>
      </c>
      <c r="K955" s="54">
        <f>IF(_calc!$E$957="","",IF(_calc!$E$957&lt;=500,"",IF(LEN(INDEX('My equipment'!$T$4:$T$503,(_calc!$E$957-500)))=0,"",INDEX('My equipment'!$T$4:$T$503,(_calc!$E$957-500)))))</f>
        <v/>
      </c>
    </row>
    <row r="956">
      <c r="A956" s="54">
        <f>IF(_calc!$E$958="","",IF(_calc!$E$958&lt;=500,"Warranty – "&amp;IF(LEN(INDEX('Dealer pipeline'!$C$4:$C$503,_calc!$E$958))=0,"",INDEX('Dealer pipeline'!$C$4:$C$503,_calc!$E$958))&amp;" – "&amp;IF(LEN(INDEX('Dealer pipeline'!$D$4:$D$503,_calc!$E$958))=0,"",INDEX('Dealer pipeline'!$D$4:$D$503,_calc!$E$958))&amp;" – "&amp;IF(LEN(INDEX('Dealer pipeline'!$A$4:$A$503,_calc!$E$958))=0,"",INDEX('Dealer pipeline'!$A$4:$A$503,_calc!$E$958)),"Warranty – "&amp;IF(LEN(INDEX('My equipment'!$A$4:$A$503,(_calc!$E$958-500)))=0,"",INDEX('My equipment'!$A$4:$A$503,(_calc!$E$958-500)))&amp;" – "&amp;IF(LEN(INDEX('My equipment'!$D$4:$D$503,(_calc!$E$958-500)))=0,"",INDEX('My equipment'!$D$4:$D$503,(_calc!$E$958-500)))))</f>
        <v/>
      </c>
      <c r="B956" s="54">
        <f>IF(_calc!$E$958="","",IF(_calc!$E$958&lt;=500,IF(ISNUMBER(INDEX('Dealer pipeline'!$M$4:$M$503,_calc!$E$958)),TEXT(INDEX('Dealer pipeline'!$M$4:$M$503,_calc!$E$958),"yyyy-mm-dd"),""),IF(ISNUMBER(INDEX('My equipment'!$M$4:$M$503,(_calc!$E$958-500))),TEXT(INDEX('My equipment'!$M$4:$M$503,(_calc!$E$958-500)),"yyyy-mm-dd"),"")))</f>
        <v/>
      </c>
      <c r="C956" s="54">
        <f>IF(_calc!$E$958="","",IF(_calc!$E$958&lt;=500,"Warranty","Warranty"))</f>
        <v/>
      </c>
      <c r="D956" s="54">
        <f>IF(_calc!$E$958="","",IF(_calc!$E$958&lt;=500,IF(ISNUMBER(INDEX('Dealer pipeline'!$H$4:$H$503,_calc!$E$958)),TEXT(INDEX('Dealer pipeline'!$H$4:$H$503,_calc!$E$958),"yyyy-mm-dd"),""),IF(ISNUMBER(INDEX('My equipment'!$H$4:$H$503,(_calc!$E$958-500))),TEXT(INDEX('My equipment'!$H$4:$H$503,(_calc!$E$958-500)),"yyyy-mm-dd"),"")))</f>
        <v/>
      </c>
      <c r="F956" s="54">
        <f>IF(_calc!$E$958="","",IF(_calc!$E$958&lt;=500,TRIM(IF(LEN(IF(LEN(INDEX('Dealer pipeline'!$A$4:$A$503,_calc!$E$958))=0,"",INDEX('Dealer pipeline'!$A$4:$A$503,_calc!$E$958)))=0,"","Customer: "&amp;IF(LEN(INDEX('Dealer pipeline'!$A$4:$A$503,_calc!$E$958))=0,"",INDEX('Dealer pipeline'!$A$4:$A$503,_calc!$E$958))&amp;". ")&amp;IF(LEN(IF(LEN(INDEX('Dealer pipeline'!$B$4:$B$503,_calc!$E$958))=0,"",INDEX('Dealer pipeline'!$B$4:$B$503,_calc!$E$958)))=0,"","Contact: "&amp;IF(LEN(INDEX('Dealer pipeline'!$B$4:$B$503,_calc!$E$958))=0,"",INDEX('Dealer pipeline'!$B$4:$B$503,_calc!$E$958))&amp;". ")&amp;IF(LEN(IF(LEN(INDEX('Dealer pipeline'!$D$4:$D$503,_calc!$E$958))=0,"",INDEX('Dealer pipeline'!$D$4:$D$503,_calc!$E$958)))=0,"","Serial: "&amp;IF(LEN(INDEX('Dealer pipeline'!$D$4:$D$503,_calc!$E$958))=0,"",INDEX('Dealer pipeline'!$D$4:$D$503,_calc!$E$958))&amp;". ")&amp;IF(LEN(IF(ISNUMBER(INDEX('Dealer pipeline'!$J$4:$J$503,_calc!$E$958)),TEXT(INDEX('Dealer pipeline'!$J$4:$J$503,_calc!$E$958),"yyyy-mm-dd"),""))=0,"","Parts end: "&amp;IF(ISNUMBER(INDEX('Dealer pipeline'!$J$4:$J$503,_calc!$E$958)),TEXT(INDEX('Dealer pipeline'!$J$4:$J$503,_calc!$E$958),"yyyy-mm-dd"),"")&amp;". ")&amp;IF(LEN(IF(ISNUMBER(INDEX('Dealer pipeline'!$L$4:$L$503,_calc!$E$958)),TEXT(INDEX('Dealer pipeline'!$L$4:$L$503,_calc!$E$958),"yyyy-mm-dd"),""))=0,"","Labor end: "&amp;IF(ISNUMBER(INDEX('Dealer pipeline'!$L$4:$L$503,_calc!$E$958)),TEXT(INDEX('Dealer pipeline'!$L$4:$L$503,_calc!$E$958),"yyyy-mm-dd"),"")&amp;". ")&amp;IF(LEN(IF(LEN(INDEX('Dealer pipeline'!$Q$4:$Q$503,_calc!$E$958))=0,"",INDEX('Dealer pipeline'!$Q$4:$Q$503,_calc!$E$958)))=0,"","Status: "&amp;IF(LEN(INDEX('Dealer pipeline'!$Q$4:$Q$503,_calc!$E$958))=0,"",INDEX('Dealer pipeline'!$Q$4:$Q$503,_calc!$E$958))&amp;". ")&amp;IF(LEN(IF(LEN(INDEX('Dealer pipeline'!$P$4:$P$503,_calc!$E$958))=0,"",INDEX('Dealer pipeline'!$P$4:$P$503,_calc!$E$958)))=0,"","Last touch: "&amp;IF(LEN(INDEX('Dealer pipeline'!$P$4:$P$503,_calc!$E$958))=0,"",INDEX('Dealer pipeline'!$P$4:$P$503,_calc!$E$958))&amp;". ")&amp;IF(LEN(IF(LEN(INDEX('Dealer pipeline'!$R$4:$R$503,_calc!$E$958))=0,"",INDEX('Dealer pipeline'!$R$4:$R$503,_calc!$E$958)))=0,"","Owner: "&amp;IF(LEN(INDEX('Dealer pipeline'!$R$4:$R$503,_calc!$E$958))=0,"",INDEX('Dealer pipeline'!$R$4:$R$503,_calc!$E$958))&amp;". ")&amp;IF(LEN(IF(LEN(INDEX('Dealer pipeline'!$S$4:$S$503,_calc!$E$958))=0,"",INDEX('Dealer pipeline'!$S$4:$S$503,_calc!$E$958)))=0,"","Backup: "&amp;IF(LEN(INDEX('Dealer pipeline'!$S$4:$S$503,_calc!$E$958))=0,"",INDEX('Dealer pipeline'!$S$4:$S$503,_calc!$E$958))&amp;". ")&amp;IF(LEN(IF(LEN(INDEX('Dealer pipeline'!$T$4:$T$503,_calc!$E$958))=0,"",INDEX('Dealer pipeline'!$T$4:$T$503,_calc!$E$958)))=0,"",IF(LEN(INDEX('Dealer pipeline'!$T$4:$T$503,_calc!$E$958))=0,"",INDEX('Dealer pipeline'!$T$4:$T$503,_calc!$E$958)))),TRIM(IF(LEN(IF(LEN(INDEX('My equipment'!$C$4:$C$503,(_calc!$E$958-500)))=0,"",INDEX('My equipment'!$C$4:$C$503,(_calc!$E$958-500))))=0,"","Model: "&amp;IF(LEN(INDEX('My equipment'!$C$4:$C$503,(_calc!$E$958-500)))=0,"",INDEX('My equipment'!$C$4:$C$503,(_calc!$E$958-500)))&amp;". ")&amp;IF(LEN(IF(LEN(INDEX('My equipment'!$D$4:$D$503,(_calc!$E$958-500)))=0,"",INDEX('My equipment'!$D$4:$D$503,(_calc!$E$958-500))))=0,"","Serial: "&amp;IF(LEN(INDEX('My equipment'!$D$4:$D$503,(_calc!$E$958-500)))=0,"",INDEX('My equipment'!$D$4:$D$503,(_calc!$E$958-500)))&amp;". ")&amp;IF(LEN(IF(ISNUMBER(INDEX('My equipment'!$J$4:$J$503,(_calc!$E$958-500))),TEXT(INDEX('My equipment'!$J$4:$J$503,(_calc!$E$958-500)),"yyyy-mm-dd"),""))=0,"","Parts end: "&amp;IF(ISNUMBER(INDEX('My equipment'!$J$4:$J$503,(_calc!$E$958-500))),TEXT(INDEX('My equipment'!$J$4:$J$503,(_calc!$E$958-500)),"yyyy-mm-dd"),"")&amp;". ")&amp;IF(LEN(IF(ISNUMBER(INDEX('My equipment'!$L$4:$L$503,(_calc!$E$958-500))),TEXT(INDEX('My equipment'!$L$4:$L$503,(_calc!$E$958-500)),"yyyy-mm-dd"),""))=0,"","Labor end: "&amp;IF(ISNUMBER(INDEX('My equipment'!$L$4:$L$503,(_calc!$E$958-500))),TEXT(INDEX('My equipment'!$L$4:$L$503,(_calc!$E$958-500)),"yyyy-mm-dd"),"")&amp;". ")&amp;IF(LEN(IF(ISNUMBER(INDEX('My equipment'!$P$4:$P$503,(_calc!$E$958-500))),TEXT(INDEX('My equipment'!$P$4:$P$503,(_calc!$E$958-500)),"yyyy-mm-dd"),""))=0,"","Check by: "&amp;IF(ISNUMBER(INDEX('My equipment'!$P$4:$P$503,(_calc!$E$958-500))),TEXT(INDEX('My equipment'!$P$4:$P$503,(_calc!$E$958-500)),"yyyy-mm-dd"),"")&amp;". ")&amp;IF(LEN(IF(LEN(INDEX('My equipment'!$Q$4:$Q$503,(_calc!$E$958-500)))=0,"",INDEX('My equipment'!$Q$4:$Q$503,(_calc!$E$958-500))))=0,"","Claim status: "&amp;IF(LEN(INDEX('My equipment'!$Q$4:$Q$503,(_calc!$E$958-500)))=0,"",INDEX('My equipment'!$Q$4:$Q$503,(_calc!$E$958-500)))&amp;". ")&amp;IF(LEN(IF(LEN(INDEX('My equipment'!$R$4:$R$503,(_calc!$E$958-500)))=0,"",INDEX('My equipment'!$R$4:$R$503,(_calc!$E$958-500))))=0,"","Claims contact: "&amp;IF(LEN(INDEX('My equipment'!$R$4:$R$503,(_calc!$E$958-500)))=0,"",INDEX('My equipment'!$R$4:$R$503,(_calc!$E$958-500)))&amp;". ")&amp;IF(LEN(IF(LEN(INDEX('My equipment'!$S$4:$S$503,(_calc!$E$958-500)))=0,"",INDEX('My equipment'!$S$4:$S$503,(_calc!$E$958-500))))=0,"","Claims email: "&amp;IF(LEN(INDEX('My equipment'!$S$4:$S$503,(_calc!$E$958-500)))=0,"",INDEX('My equipment'!$S$4:$S$503,(_calc!$E$958-500)))&amp;". ")&amp;IF(LEN(IF(LEN(INDEX('My equipment'!$U$4:$U$503,(_calc!$E$958-500)))=0,"",INDEX('My equipment'!$U$4:$U$503,(_calc!$E$958-500))))=0,"","Registered: "&amp;IF(LEN(INDEX('My equipment'!$U$4:$U$503,(_calc!$E$958-500)))=0,"",INDEX('My equipment'!$U$4:$U$503,(_calc!$E$958-500)))&amp;". ")&amp;IF(LEN(IF(LEN(INDEX('My equipment'!$V$4:$V$503,(_calc!$E$958-500)))=0,"",INDEX('My equipment'!$V$4:$V$503,(_calc!$E$958-500))))=0,"","Proof on file: "&amp;IF(LEN(INDEX('My equipment'!$V$4:$V$503,(_calc!$E$958-500)))=0,"",INDEX('My equipment'!$V$4:$V$503,(_calc!$E$958-500)))&amp;". ")&amp;IF(LEN(IF(LEN(INDEX('My equipment'!$W$4:$W$503,(_calc!$E$958-500)))=0,"",INDEX('My equipment'!$W$4:$W$503,(_calc!$E$958-500))))=0,"","Claim ref: "&amp;IF(LEN(INDEX('My equipment'!$W$4:$W$503,(_calc!$E$958-500)))=0,"",INDEX('My equipment'!$W$4:$W$503,(_calc!$E$958-500)))&amp;". ")&amp;IF(LEN(IF(LEN(INDEX('My equipment'!$Y$4:$Y$503,(_calc!$E$958-500)))=0,"",INDEX('My equipment'!$Y$4:$Y$503,(_calc!$E$958-500))))=0,"",IF(LEN(INDEX('My equipment'!$Y$4:$Y$503,(_calc!$E$958-500)))=0,"",INDEX('My equipment'!$Y$4:$Y$503,(_calc!$E$958-500)))))))</f>
        <v/>
      </c>
      <c r="G956" s="54">
        <f>IF(_calc!$E$958="","",IF(_calc!$E$958&lt;=500,"",IF(LEN(INDEX('My equipment'!$X$4:$X$503,(_calc!$E$958-500)))=0,"",INDEX('My equipment'!$X$4:$X$503,(_calc!$E$958-500)))))</f>
        <v/>
      </c>
      <c r="K956" s="54">
        <f>IF(_calc!$E$958="","",IF(_calc!$E$958&lt;=500,"",IF(LEN(INDEX('My equipment'!$T$4:$T$503,(_calc!$E$958-500)))=0,"",INDEX('My equipment'!$T$4:$T$503,(_calc!$E$958-500)))))</f>
        <v/>
      </c>
    </row>
    <row r="957">
      <c r="A957" s="54">
        <f>IF(_calc!$E$959="","",IF(_calc!$E$959&lt;=500,"Warranty – "&amp;IF(LEN(INDEX('Dealer pipeline'!$C$4:$C$503,_calc!$E$959))=0,"",INDEX('Dealer pipeline'!$C$4:$C$503,_calc!$E$959))&amp;" – "&amp;IF(LEN(INDEX('Dealer pipeline'!$D$4:$D$503,_calc!$E$959))=0,"",INDEX('Dealer pipeline'!$D$4:$D$503,_calc!$E$959))&amp;" – "&amp;IF(LEN(INDEX('Dealer pipeline'!$A$4:$A$503,_calc!$E$959))=0,"",INDEX('Dealer pipeline'!$A$4:$A$503,_calc!$E$959)),"Warranty – "&amp;IF(LEN(INDEX('My equipment'!$A$4:$A$503,(_calc!$E$959-500)))=0,"",INDEX('My equipment'!$A$4:$A$503,(_calc!$E$959-500)))&amp;" – "&amp;IF(LEN(INDEX('My equipment'!$D$4:$D$503,(_calc!$E$959-500)))=0,"",INDEX('My equipment'!$D$4:$D$503,(_calc!$E$959-500)))))</f>
        <v/>
      </c>
      <c r="B957" s="54">
        <f>IF(_calc!$E$959="","",IF(_calc!$E$959&lt;=500,IF(ISNUMBER(INDEX('Dealer pipeline'!$M$4:$M$503,_calc!$E$959)),TEXT(INDEX('Dealer pipeline'!$M$4:$M$503,_calc!$E$959),"yyyy-mm-dd"),""),IF(ISNUMBER(INDEX('My equipment'!$M$4:$M$503,(_calc!$E$959-500))),TEXT(INDEX('My equipment'!$M$4:$M$503,(_calc!$E$959-500)),"yyyy-mm-dd"),"")))</f>
        <v/>
      </c>
      <c r="C957" s="54">
        <f>IF(_calc!$E$959="","",IF(_calc!$E$959&lt;=500,"Warranty","Warranty"))</f>
        <v/>
      </c>
      <c r="D957" s="54">
        <f>IF(_calc!$E$959="","",IF(_calc!$E$959&lt;=500,IF(ISNUMBER(INDEX('Dealer pipeline'!$H$4:$H$503,_calc!$E$959)),TEXT(INDEX('Dealer pipeline'!$H$4:$H$503,_calc!$E$959),"yyyy-mm-dd"),""),IF(ISNUMBER(INDEX('My equipment'!$H$4:$H$503,(_calc!$E$959-500))),TEXT(INDEX('My equipment'!$H$4:$H$503,(_calc!$E$959-500)),"yyyy-mm-dd"),"")))</f>
        <v/>
      </c>
      <c r="F957" s="54">
        <f>IF(_calc!$E$959="","",IF(_calc!$E$959&lt;=500,TRIM(IF(LEN(IF(LEN(INDEX('Dealer pipeline'!$A$4:$A$503,_calc!$E$959))=0,"",INDEX('Dealer pipeline'!$A$4:$A$503,_calc!$E$959)))=0,"","Customer: "&amp;IF(LEN(INDEX('Dealer pipeline'!$A$4:$A$503,_calc!$E$959))=0,"",INDEX('Dealer pipeline'!$A$4:$A$503,_calc!$E$959))&amp;". ")&amp;IF(LEN(IF(LEN(INDEX('Dealer pipeline'!$B$4:$B$503,_calc!$E$959))=0,"",INDEX('Dealer pipeline'!$B$4:$B$503,_calc!$E$959)))=0,"","Contact: "&amp;IF(LEN(INDEX('Dealer pipeline'!$B$4:$B$503,_calc!$E$959))=0,"",INDEX('Dealer pipeline'!$B$4:$B$503,_calc!$E$959))&amp;". ")&amp;IF(LEN(IF(LEN(INDEX('Dealer pipeline'!$D$4:$D$503,_calc!$E$959))=0,"",INDEX('Dealer pipeline'!$D$4:$D$503,_calc!$E$959)))=0,"","Serial: "&amp;IF(LEN(INDEX('Dealer pipeline'!$D$4:$D$503,_calc!$E$959))=0,"",INDEX('Dealer pipeline'!$D$4:$D$503,_calc!$E$959))&amp;". ")&amp;IF(LEN(IF(ISNUMBER(INDEX('Dealer pipeline'!$J$4:$J$503,_calc!$E$959)),TEXT(INDEX('Dealer pipeline'!$J$4:$J$503,_calc!$E$959),"yyyy-mm-dd"),""))=0,"","Parts end: "&amp;IF(ISNUMBER(INDEX('Dealer pipeline'!$J$4:$J$503,_calc!$E$959)),TEXT(INDEX('Dealer pipeline'!$J$4:$J$503,_calc!$E$959),"yyyy-mm-dd"),"")&amp;". ")&amp;IF(LEN(IF(ISNUMBER(INDEX('Dealer pipeline'!$L$4:$L$503,_calc!$E$959)),TEXT(INDEX('Dealer pipeline'!$L$4:$L$503,_calc!$E$959),"yyyy-mm-dd"),""))=0,"","Labor end: "&amp;IF(ISNUMBER(INDEX('Dealer pipeline'!$L$4:$L$503,_calc!$E$959)),TEXT(INDEX('Dealer pipeline'!$L$4:$L$503,_calc!$E$959),"yyyy-mm-dd"),"")&amp;". ")&amp;IF(LEN(IF(LEN(INDEX('Dealer pipeline'!$Q$4:$Q$503,_calc!$E$959))=0,"",INDEX('Dealer pipeline'!$Q$4:$Q$503,_calc!$E$959)))=0,"","Status: "&amp;IF(LEN(INDEX('Dealer pipeline'!$Q$4:$Q$503,_calc!$E$959))=0,"",INDEX('Dealer pipeline'!$Q$4:$Q$503,_calc!$E$959))&amp;". ")&amp;IF(LEN(IF(LEN(INDEX('Dealer pipeline'!$P$4:$P$503,_calc!$E$959))=0,"",INDEX('Dealer pipeline'!$P$4:$P$503,_calc!$E$959)))=0,"","Last touch: "&amp;IF(LEN(INDEX('Dealer pipeline'!$P$4:$P$503,_calc!$E$959))=0,"",INDEX('Dealer pipeline'!$P$4:$P$503,_calc!$E$959))&amp;". ")&amp;IF(LEN(IF(LEN(INDEX('Dealer pipeline'!$R$4:$R$503,_calc!$E$959))=0,"",INDEX('Dealer pipeline'!$R$4:$R$503,_calc!$E$959)))=0,"","Owner: "&amp;IF(LEN(INDEX('Dealer pipeline'!$R$4:$R$503,_calc!$E$959))=0,"",INDEX('Dealer pipeline'!$R$4:$R$503,_calc!$E$959))&amp;". ")&amp;IF(LEN(IF(LEN(INDEX('Dealer pipeline'!$S$4:$S$503,_calc!$E$959))=0,"",INDEX('Dealer pipeline'!$S$4:$S$503,_calc!$E$959)))=0,"","Backup: "&amp;IF(LEN(INDEX('Dealer pipeline'!$S$4:$S$503,_calc!$E$959))=0,"",INDEX('Dealer pipeline'!$S$4:$S$503,_calc!$E$959))&amp;". ")&amp;IF(LEN(IF(LEN(INDEX('Dealer pipeline'!$T$4:$T$503,_calc!$E$959))=0,"",INDEX('Dealer pipeline'!$T$4:$T$503,_calc!$E$959)))=0,"",IF(LEN(INDEX('Dealer pipeline'!$T$4:$T$503,_calc!$E$959))=0,"",INDEX('Dealer pipeline'!$T$4:$T$503,_calc!$E$959)))),TRIM(IF(LEN(IF(LEN(INDEX('My equipment'!$C$4:$C$503,(_calc!$E$959-500)))=0,"",INDEX('My equipment'!$C$4:$C$503,(_calc!$E$959-500))))=0,"","Model: "&amp;IF(LEN(INDEX('My equipment'!$C$4:$C$503,(_calc!$E$959-500)))=0,"",INDEX('My equipment'!$C$4:$C$503,(_calc!$E$959-500)))&amp;". ")&amp;IF(LEN(IF(LEN(INDEX('My equipment'!$D$4:$D$503,(_calc!$E$959-500)))=0,"",INDEX('My equipment'!$D$4:$D$503,(_calc!$E$959-500))))=0,"","Serial: "&amp;IF(LEN(INDEX('My equipment'!$D$4:$D$503,(_calc!$E$959-500)))=0,"",INDEX('My equipment'!$D$4:$D$503,(_calc!$E$959-500)))&amp;". ")&amp;IF(LEN(IF(ISNUMBER(INDEX('My equipment'!$J$4:$J$503,(_calc!$E$959-500))),TEXT(INDEX('My equipment'!$J$4:$J$503,(_calc!$E$959-500)),"yyyy-mm-dd"),""))=0,"","Parts end: "&amp;IF(ISNUMBER(INDEX('My equipment'!$J$4:$J$503,(_calc!$E$959-500))),TEXT(INDEX('My equipment'!$J$4:$J$503,(_calc!$E$959-500)),"yyyy-mm-dd"),"")&amp;". ")&amp;IF(LEN(IF(ISNUMBER(INDEX('My equipment'!$L$4:$L$503,(_calc!$E$959-500))),TEXT(INDEX('My equipment'!$L$4:$L$503,(_calc!$E$959-500)),"yyyy-mm-dd"),""))=0,"","Labor end: "&amp;IF(ISNUMBER(INDEX('My equipment'!$L$4:$L$503,(_calc!$E$959-500))),TEXT(INDEX('My equipment'!$L$4:$L$503,(_calc!$E$959-500)),"yyyy-mm-dd"),"")&amp;". ")&amp;IF(LEN(IF(ISNUMBER(INDEX('My equipment'!$P$4:$P$503,(_calc!$E$959-500))),TEXT(INDEX('My equipment'!$P$4:$P$503,(_calc!$E$959-500)),"yyyy-mm-dd"),""))=0,"","Check by: "&amp;IF(ISNUMBER(INDEX('My equipment'!$P$4:$P$503,(_calc!$E$959-500))),TEXT(INDEX('My equipment'!$P$4:$P$503,(_calc!$E$959-500)),"yyyy-mm-dd"),"")&amp;". ")&amp;IF(LEN(IF(LEN(INDEX('My equipment'!$Q$4:$Q$503,(_calc!$E$959-500)))=0,"",INDEX('My equipment'!$Q$4:$Q$503,(_calc!$E$959-500))))=0,"","Claim status: "&amp;IF(LEN(INDEX('My equipment'!$Q$4:$Q$503,(_calc!$E$959-500)))=0,"",INDEX('My equipment'!$Q$4:$Q$503,(_calc!$E$959-500)))&amp;". ")&amp;IF(LEN(IF(LEN(INDEX('My equipment'!$R$4:$R$503,(_calc!$E$959-500)))=0,"",INDEX('My equipment'!$R$4:$R$503,(_calc!$E$959-500))))=0,"","Claims contact: "&amp;IF(LEN(INDEX('My equipment'!$R$4:$R$503,(_calc!$E$959-500)))=0,"",INDEX('My equipment'!$R$4:$R$503,(_calc!$E$959-500)))&amp;". ")&amp;IF(LEN(IF(LEN(INDEX('My equipment'!$S$4:$S$503,(_calc!$E$959-500)))=0,"",INDEX('My equipment'!$S$4:$S$503,(_calc!$E$959-500))))=0,"","Claims email: "&amp;IF(LEN(INDEX('My equipment'!$S$4:$S$503,(_calc!$E$959-500)))=0,"",INDEX('My equipment'!$S$4:$S$503,(_calc!$E$959-500)))&amp;". ")&amp;IF(LEN(IF(LEN(INDEX('My equipment'!$U$4:$U$503,(_calc!$E$959-500)))=0,"",INDEX('My equipment'!$U$4:$U$503,(_calc!$E$959-500))))=0,"","Registered: "&amp;IF(LEN(INDEX('My equipment'!$U$4:$U$503,(_calc!$E$959-500)))=0,"",INDEX('My equipment'!$U$4:$U$503,(_calc!$E$959-500)))&amp;". ")&amp;IF(LEN(IF(LEN(INDEX('My equipment'!$V$4:$V$503,(_calc!$E$959-500)))=0,"",INDEX('My equipment'!$V$4:$V$503,(_calc!$E$959-500))))=0,"","Proof on file: "&amp;IF(LEN(INDEX('My equipment'!$V$4:$V$503,(_calc!$E$959-500)))=0,"",INDEX('My equipment'!$V$4:$V$503,(_calc!$E$959-500)))&amp;". ")&amp;IF(LEN(IF(LEN(INDEX('My equipment'!$W$4:$W$503,(_calc!$E$959-500)))=0,"",INDEX('My equipment'!$W$4:$W$503,(_calc!$E$959-500))))=0,"","Claim ref: "&amp;IF(LEN(INDEX('My equipment'!$W$4:$W$503,(_calc!$E$959-500)))=0,"",INDEX('My equipment'!$W$4:$W$503,(_calc!$E$959-500)))&amp;". ")&amp;IF(LEN(IF(LEN(INDEX('My equipment'!$Y$4:$Y$503,(_calc!$E$959-500)))=0,"",INDEX('My equipment'!$Y$4:$Y$503,(_calc!$E$959-500))))=0,"",IF(LEN(INDEX('My equipment'!$Y$4:$Y$503,(_calc!$E$959-500)))=0,"",INDEX('My equipment'!$Y$4:$Y$503,(_calc!$E$959-500)))))))</f>
        <v/>
      </c>
      <c r="G957" s="54">
        <f>IF(_calc!$E$959="","",IF(_calc!$E$959&lt;=500,"",IF(LEN(INDEX('My equipment'!$X$4:$X$503,(_calc!$E$959-500)))=0,"",INDEX('My equipment'!$X$4:$X$503,(_calc!$E$959-500)))))</f>
        <v/>
      </c>
      <c r="K957" s="54">
        <f>IF(_calc!$E$959="","",IF(_calc!$E$959&lt;=500,"",IF(LEN(INDEX('My equipment'!$T$4:$T$503,(_calc!$E$959-500)))=0,"",INDEX('My equipment'!$T$4:$T$503,(_calc!$E$959-500)))))</f>
        <v/>
      </c>
    </row>
    <row r="958">
      <c r="A958" s="54">
        <f>IF(_calc!$E$960="","",IF(_calc!$E$960&lt;=500,"Warranty – "&amp;IF(LEN(INDEX('Dealer pipeline'!$C$4:$C$503,_calc!$E$960))=0,"",INDEX('Dealer pipeline'!$C$4:$C$503,_calc!$E$960))&amp;" – "&amp;IF(LEN(INDEX('Dealer pipeline'!$D$4:$D$503,_calc!$E$960))=0,"",INDEX('Dealer pipeline'!$D$4:$D$503,_calc!$E$960))&amp;" – "&amp;IF(LEN(INDEX('Dealer pipeline'!$A$4:$A$503,_calc!$E$960))=0,"",INDEX('Dealer pipeline'!$A$4:$A$503,_calc!$E$960)),"Warranty – "&amp;IF(LEN(INDEX('My equipment'!$A$4:$A$503,(_calc!$E$960-500)))=0,"",INDEX('My equipment'!$A$4:$A$503,(_calc!$E$960-500)))&amp;" – "&amp;IF(LEN(INDEX('My equipment'!$D$4:$D$503,(_calc!$E$960-500)))=0,"",INDEX('My equipment'!$D$4:$D$503,(_calc!$E$960-500)))))</f>
        <v/>
      </c>
      <c r="B958" s="54">
        <f>IF(_calc!$E$960="","",IF(_calc!$E$960&lt;=500,IF(ISNUMBER(INDEX('Dealer pipeline'!$M$4:$M$503,_calc!$E$960)),TEXT(INDEX('Dealer pipeline'!$M$4:$M$503,_calc!$E$960),"yyyy-mm-dd"),""),IF(ISNUMBER(INDEX('My equipment'!$M$4:$M$503,(_calc!$E$960-500))),TEXT(INDEX('My equipment'!$M$4:$M$503,(_calc!$E$960-500)),"yyyy-mm-dd"),"")))</f>
        <v/>
      </c>
      <c r="C958" s="54">
        <f>IF(_calc!$E$960="","",IF(_calc!$E$960&lt;=500,"Warranty","Warranty"))</f>
        <v/>
      </c>
      <c r="D958" s="54">
        <f>IF(_calc!$E$960="","",IF(_calc!$E$960&lt;=500,IF(ISNUMBER(INDEX('Dealer pipeline'!$H$4:$H$503,_calc!$E$960)),TEXT(INDEX('Dealer pipeline'!$H$4:$H$503,_calc!$E$960),"yyyy-mm-dd"),""),IF(ISNUMBER(INDEX('My equipment'!$H$4:$H$503,(_calc!$E$960-500))),TEXT(INDEX('My equipment'!$H$4:$H$503,(_calc!$E$960-500)),"yyyy-mm-dd"),"")))</f>
        <v/>
      </c>
      <c r="F958" s="54">
        <f>IF(_calc!$E$960="","",IF(_calc!$E$960&lt;=500,TRIM(IF(LEN(IF(LEN(INDEX('Dealer pipeline'!$A$4:$A$503,_calc!$E$960))=0,"",INDEX('Dealer pipeline'!$A$4:$A$503,_calc!$E$960)))=0,"","Customer: "&amp;IF(LEN(INDEX('Dealer pipeline'!$A$4:$A$503,_calc!$E$960))=0,"",INDEX('Dealer pipeline'!$A$4:$A$503,_calc!$E$960))&amp;". ")&amp;IF(LEN(IF(LEN(INDEX('Dealer pipeline'!$B$4:$B$503,_calc!$E$960))=0,"",INDEX('Dealer pipeline'!$B$4:$B$503,_calc!$E$960)))=0,"","Contact: "&amp;IF(LEN(INDEX('Dealer pipeline'!$B$4:$B$503,_calc!$E$960))=0,"",INDEX('Dealer pipeline'!$B$4:$B$503,_calc!$E$960))&amp;". ")&amp;IF(LEN(IF(LEN(INDEX('Dealer pipeline'!$D$4:$D$503,_calc!$E$960))=0,"",INDEX('Dealer pipeline'!$D$4:$D$503,_calc!$E$960)))=0,"","Serial: "&amp;IF(LEN(INDEX('Dealer pipeline'!$D$4:$D$503,_calc!$E$960))=0,"",INDEX('Dealer pipeline'!$D$4:$D$503,_calc!$E$960))&amp;". ")&amp;IF(LEN(IF(ISNUMBER(INDEX('Dealer pipeline'!$J$4:$J$503,_calc!$E$960)),TEXT(INDEX('Dealer pipeline'!$J$4:$J$503,_calc!$E$960),"yyyy-mm-dd"),""))=0,"","Parts end: "&amp;IF(ISNUMBER(INDEX('Dealer pipeline'!$J$4:$J$503,_calc!$E$960)),TEXT(INDEX('Dealer pipeline'!$J$4:$J$503,_calc!$E$960),"yyyy-mm-dd"),"")&amp;". ")&amp;IF(LEN(IF(ISNUMBER(INDEX('Dealer pipeline'!$L$4:$L$503,_calc!$E$960)),TEXT(INDEX('Dealer pipeline'!$L$4:$L$503,_calc!$E$960),"yyyy-mm-dd"),""))=0,"","Labor end: "&amp;IF(ISNUMBER(INDEX('Dealer pipeline'!$L$4:$L$503,_calc!$E$960)),TEXT(INDEX('Dealer pipeline'!$L$4:$L$503,_calc!$E$960),"yyyy-mm-dd"),"")&amp;". ")&amp;IF(LEN(IF(LEN(INDEX('Dealer pipeline'!$Q$4:$Q$503,_calc!$E$960))=0,"",INDEX('Dealer pipeline'!$Q$4:$Q$503,_calc!$E$960)))=0,"","Status: "&amp;IF(LEN(INDEX('Dealer pipeline'!$Q$4:$Q$503,_calc!$E$960))=0,"",INDEX('Dealer pipeline'!$Q$4:$Q$503,_calc!$E$960))&amp;". ")&amp;IF(LEN(IF(LEN(INDEX('Dealer pipeline'!$P$4:$P$503,_calc!$E$960))=0,"",INDEX('Dealer pipeline'!$P$4:$P$503,_calc!$E$960)))=0,"","Last touch: "&amp;IF(LEN(INDEX('Dealer pipeline'!$P$4:$P$503,_calc!$E$960))=0,"",INDEX('Dealer pipeline'!$P$4:$P$503,_calc!$E$960))&amp;". ")&amp;IF(LEN(IF(LEN(INDEX('Dealer pipeline'!$R$4:$R$503,_calc!$E$960))=0,"",INDEX('Dealer pipeline'!$R$4:$R$503,_calc!$E$960)))=0,"","Owner: "&amp;IF(LEN(INDEX('Dealer pipeline'!$R$4:$R$503,_calc!$E$960))=0,"",INDEX('Dealer pipeline'!$R$4:$R$503,_calc!$E$960))&amp;". ")&amp;IF(LEN(IF(LEN(INDEX('Dealer pipeline'!$S$4:$S$503,_calc!$E$960))=0,"",INDEX('Dealer pipeline'!$S$4:$S$503,_calc!$E$960)))=0,"","Backup: "&amp;IF(LEN(INDEX('Dealer pipeline'!$S$4:$S$503,_calc!$E$960))=0,"",INDEX('Dealer pipeline'!$S$4:$S$503,_calc!$E$960))&amp;". ")&amp;IF(LEN(IF(LEN(INDEX('Dealer pipeline'!$T$4:$T$503,_calc!$E$960))=0,"",INDEX('Dealer pipeline'!$T$4:$T$503,_calc!$E$960)))=0,"",IF(LEN(INDEX('Dealer pipeline'!$T$4:$T$503,_calc!$E$960))=0,"",INDEX('Dealer pipeline'!$T$4:$T$503,_calc!$E$960)))),TRIM(IF(LEN(IF(LEN(INDEX('My equipment'!$C$4:$C$503,(_calc!$E$960-500)))=0,"",INDEX('My equipment'!$C$4:$C$503,(_calc!$E$960-500))))=0,"","Model: "&amp;IF(LEN(INDEX('My equipment'!$C$4:$C$503,(_calc!$E$960-500)))=0,"",INDEX('My equipment'!$C$4:$C$503,(_calc!$E$960-500)))&amp;". ")&amp;IF(LEN(IF(LEN(INDEX('My equipment'!$D$4:$D$503,(_calc!$E$960-500)))=0,"",INDEX('My equipment'!$D$4:$D$503,(_calc!$E$960-500))))=0,"","Serial: "&amp;IF(LEN(INDEX('My equipment'!$D$4:$D$503,(_calc!$E$960-500)))=0,"",INDEX('My equipment'!$D$4:$D$503,(_calc!$E$960-500)))&amp;". ")&amp;IF(LEN(IF(ISNUMBER(INDEX('My equipment'!$J$4:$J$503,(_calc!$E$960-500))),TEXT(INDEX('My equipment'!$J$4:$J$503,(_calc!$E$960-500)),"yyyy-mm-dd"),""))=0,"","Parts end: "&amp;IF(ISNUMBER(INDEX('My equipment'!$J$4:$J$503,(_calc!$E$960-500))),TEXT(INDEX('My equipment'!$J$4:$J$503,(_calc!$E$960-500)),"yyyy-mm-dd"),"")&amp;". ")&amp;IF(LEN(IF(ISNUMBER(INDEX('My equipment'!$L$4:$L$503,(_calc!$E$960-500))),TEXT(INDEX('My equipment'!$L$4:$L$503,(_calc!$E$960-500)),"yyyy-mm-dd"),""))=0,"","Labor end: "&amp;IF(ISNUMBER(INDEX('My equipment'!$L$4:$L$503,(_calc!$E$960-500))),TEXT(INDEX('My equipment'!$L$4:$L$503,(_calc!$E$960-500)),"yyyy-mm-dd"),"")&amp;". ")&amp;IF(LEN(IF(ISNUMBER(INDEX('My equipment'!$P$4:$P$503,(_calc!$E$960-500))),TEXT(INDEX('My equipment'!$P$4:$P$503,(_calc!$E$960-500)),"yyyy-mm-dd"),""))=0,"","Check by: "&amp;IF(ISNUMBER(INDEX('My equipment'!$P$4:$P$503,(_calc!$E$960-500))),TEXT(INDEX('My equipment'!$P$4:$P$503,(_calc!$E$960-500)),"yyyy-mm-dd"),"")&amp;". ")&amp;IF(LEN(IF(LEN(INDEX('My equipment'!$Q$4:$Q$503,(_calc!$E$960-500)))=0,"",INDEX('My equipment'!$Q$4:$Q$503,(_calc!$E$960-500))))=0,"","Claim status: "&amp;IF(LEN(INDEX('My equipment'!$Q$4:$Q$503,(_calc!$E$960-500)))=0,"",INDEX('My equipment'!$Q$4:$Q$503,(_calc!$E$960-500)))&amp;". ")&amp;IF(LEN(IF(LEN(INDEX('My equipment'!$R$4:$R$503,(_calc!$E$960-500)))=0,"",INDEX('My equipment'!$R$4:$R$503,(_calc!$E$960-500))))=0,"","Claims contact: "&amp;IF(LEN(INDEX('My equipment'!$R$4:$R$503,(_calc!$E$960-500)))=0,"",INDEX('My equipment'!$R$4:$R$503,(_calc!$E$960-500)))&amp;". ")&amp;IF(LEN(IF(LEN(INDEX('My equipment'!$S$4:$S$503,(_calc!$E$960-500)))=0,"",INDEX('My equipment'!$S$4:$S$503,(_calc!$E$960-500))))=0,"","Claims email: "&amp;IF(LEN(INDEX('My equipment'!$S$4:$S$503,(_calc!$E$960-500)))=0,"",INDEX('My equipment'!$S$4:$S$503,(_calc!$E$960-500)))&amp;". ")&amp;IF(LEN(IF(LEN(INDEX('My equipment'!$U$4:$U$503,(_calc!$E$960-500)))=0,"",INDEX('My equipment'!$U$4:$U$503,(_calc!$E$960-500))))=0,"","Registered: "&amp;IF(LEN(INDEX('My equipment'!$U$4:$U$503,(_calc!$E$960-500)))=0,"",INDEX('My equipment'!$U$4:$U$503,(_calc!$E$960-500)))&amp;". ")&amp;IF(LEN(IF(LEN(INDEX('My equipment'!$V$4:$V$503,(_calc!$E$960-500)))=0,"",INDEX('My equipment'!$V$4:$V$503,(_calc!$E$960-500))))=0,"","Proof on file: "&amp;IF(LEN(INDEX('My equipment'!$V$4:$V$503,(_calc!$E$960-500)))=0,"",INDEX('My equipment'!$V$4:$V$503,(_calc!$E$960-500)))&amp;". ")&amp;IF(LEN(IF(LEN(INDEX('My equipment'!$W$4:$W$503,(_calc!$E$960-500)))=0,"",INDEX('My equipment'!$W$4:$W$503,(_calc!$E$960-500))))=0,"","Claim ref: "&amp;IF(LEN(INDEX('My equipment'!$W$4:$W$503,(_calc!$E$960-500)))=0,"",INDEX('My equipment'!$W$4:$W$503,(_calc!$E$960-500)))&amp;". ")&amp;IF(LEN(IF(LEN(INDEX('My equipment'!$Y$4:$Y$503,(_calc!$E$960-500)))=0,"",INDEX('My equipment'!$Y$4:$Y$503,(_calc!$E$960-500))))=0,"",IF(LEN(INDEX('My equipment'!$Y$4:$Y$503,(_calc!$E$960-500)))=0,"",INDEX('My equipment'!$Y$4:$Y$503,(_calc!$E$960-500)))))))</f>
        <v/>
      </c>
      <c r="G958" s="54">
        <f>IF(_calc!$E$960="","",IF(_calc!$E$960&lt;=500,"",IF(LEN(INDEX('My equipment'!$X$4:$X$503,(_calc!$E$960-500)))=0,"",INDEX('My equipment'!$X$4:$X$503,(_calc!$E$960-500)))))</f>
        <v/>
      </c>
      <c r="K958" s="54">
        <f>IF(_calc!$E$960="","",IF(_calc!$E$960&lt;=500,"",IF(LEN(INDEX('My equipment'!$T$4:$T$503,(_calc!$E$960-500)))=0,"",INDEX('My equipment'!$T$4:$T$503,(_calc!$E$960-500)))))</f>
        <v/>
      </c>
    </row>
    <row r="959">
      <c r="A959" s="54">
        <f>IF(_calc!$E$961="","",IF(_calc!$E$961&lt;=500,"Warranty – "&amp;IF(LEN(INDEX('Dealer pipeline'!$C$4:$C$503,_calc!$E$961))=0,"",INDEX('Dealer pipeline'!$C$4:$C$503,_calc!$E$961))&amp;" – "&amp;IF(LEN(INDEX('Dealer pipeline'!$D$4:$D$503,_calc!$E$961))=0,"",INDEX('Dealer pipeline'!$D$4:$D$503,_calc!$E$961))&amp;" – "&amp;IF(LEN(INDEX('Dealer pipeline'!$A$4:$A$503,_calc!$E$961))=0,"",INDEX('Dealer pipeline'!$A$4:$A$503,_calc!$E$961)),"Warranty – "&amp;IF(LEN(INDEX('My equipment'!$A$4:$A$503,(_calc!$E$961-500)))=0,"",INDEX('My equipment'!$A$4:$A$503,(_calc!$E$961-500)))&amp;" – "&amp;IF(LEN(INDEX('My equipment'!$D$4:$D$503,(_calc!$E$961-500)))=0,"",INDEX('My equipment'!$D$4:$D$503,(_calc!$E$961-500)))))</f>
        <v/>
      </c>
      <c r="B959" s="54">
        <f>IF(_calc!$E$961="","",IF(_calc!$E$961&lt;=500,IF(ISNUMBER(INDEX('Dealer pipeline'!$M$4:$M$503,_calc!$E$961)),TEXT(INDEX('Dealer pipeline'!$M$4:$M$503,_calc!$E$961),"yyyy-mm-dd"),""),IF(ISNUMBER(INDEX('My equipment'!$M$4:$M$503,(_calc!$E$961-500))),TEXT(INDEX('My equipment'!$M$4:$M$503,(_calc!$E$961-500)),"yyyy-mm-dd"),"")))</f>
        <v/>
      </c>
      <c r="C959" s="54">
        <f>IF(_calc!$E$961="","",IF(_calc!$E$961&lt;=500,"Warranty","Warranty"))</f>
        <v/>
      </c>
      <c r="D959" s="54">
        <f>IF(_calc!$E$961="","",IF(_calc!$E$961&lt;=500,IF(ISNUMBER(INDEX('Dealer pipeline'!$H$4:$H$503,_calc!$E$961)),TEXT(INDEX('Dealer pipeline'!$H$4:$H$503,_calc!$E$961),"yyyy-mm-dd"),""),IF(ISNUMBER(INDEX('My equipment'!$H$4:$H$503,(_calc!$E$961-500))),TEXT(INDEX('My equipment'!$H$4:$H$503,(_calc!$E$961-500)),"yyyy-mm-dd"),"")))</f>
        <v/>
      </c>
      <c r="F959" s="54">
        <f>IF(_calc!$E$961="","",IF(_calc!$E$961&lt;=500,TRIM(IF(LEN(IF(LEN(INDEX('Dealer pipeline'!$A$4:$A$503,_calc!$E$961))=0,"",INDEX('Dealer pipeline'!$A$4:$A$503,_calc!$E$961)))=0,"","Customer: "&amp;IF(LEN(INDEX('Dealer pipeline'!$A$4:$A$503,_calc!$E$961))=0,"",INDEX('Dealer pipeline'!$A$4:$A$503,_calc!$E$961))&amp;". ")&amp;IF(LEN(IF(LEN(INDEX('Dealer pipeline'!$B$4:$B$503,_calc!$E$961))=0,"",INDEX('Dealer pipeline'!$B$4:$B$503,_calc!$E$961)))=0,"","Contact: "&amp;IF(LEN(INDEX('Dealer pipeline'!$B$4:$B$503,_calc!$E$961))=0,"",INDEX('Dealer pipeline'!$B$4:$B$503,_calc!$E$961))&amp;". ")&amp;IF(LEN(IF(LEN(INDEX('Dealer pipeline'!$D$4:$D$503,_calc!$E$961))=0,"",INDEX('Dealer pipeline'!$D$4:$D$503,_calc!$E$961)))=0,"","Serial: "&amp;IF(LEN(INDEX('Dealer pipeline'!$D$4:$D$503,_calc!$E$961))=0,"",INDEX('Dealer pipeline'!$D$4:$D$503,_calc!$E$961))&amp;". ")&amp;IF(LEN(IF(ISNUMBER(INDEX('Dealer pipeline'!$J$4:$J$503,_calc!$E$961)),TEXT(INDEX('Dealer pipeline'!$J$4:$J$503,_calc!$E$961),"yyyy-mm-dd"),""))=0,"","Parts end: "&amp;IF(ISNUMBER(INDEX('Dealer pipeline'!$J$4:$J$503,_calc!$E$961)),TEXT(INDEX('Dealer pipeline'!$J$4:$J$503,_calc!$E$961),"yyyy-mm-dd"),"")&amp;". ")&amp;IF(LEN(IF(ISNUMBER(INDEX('Dealer pipeline'!$L$4:$L$503,_calc!$E$961)),TEXT(INDEX('Dealer pipeline'!$L$4:$L$503,_calc!$E$961),"yyyy-mm-dd"),""))=0,"","Labor end: "&amp;IF(ISNUMBER(INDEX('Dealer pipeline'!$L$4:$L$503,_calc!$E$961)),TEXT(INDEX('Dealer pipeline'!$L$4:$L$503,_calc!$E$961),"yyyy-mm-dd"),"")&amp;". ")&amp;IF(LEN(IF(LEN(INDEX('Dealer pipeline'!$Q$4:$Q$503,_calc!$E$961))=0,"",INDEX('Dealer pipeline'!$Q$4:$Q$503,_calc!$E$961)))=0,"","Status: "&amp;IF(LEN(INDEX('Dealer pipeline'!$Q$4:$Q$503,_calc!$E$961))=0,"",INDEX('Dealer pipeline'!$Q$4:$Q$503,_calc!$E$961))&amp;". ")&amp;IF(LEN(IF(LEN(INDEX('Dealer pipeline'!$P$4:$P$503,_calc!$E$961))=0,"",INDEX('Dealer pipeline'!$P$4:$P$503,_calc!$E$961)))=0,"","Last touch: "&amp;IF(LEN(INDEX('Dealer pipeline'!$P$4:$P$503,_calc!$E$961))=0,"",INDEX('Dealer pipeline'!$P$4:$P$503,_calc!$E$961))&amp;". ")&amp;IF(LEN(IF(LEN(INDEX('Dealer pipeline'!$R$4:$R$503,_calc!$E$961))=0,"",INDEX('Dealer pipeline'!$R$4:$R$503,_calc!$E$961)))=0,"","Owner: "&amp;IF(LEN(INDEX('Dealer pipeline'!$R$4:$R$503,_calc!$E$961))=0,"",INDEX('Dealer pipeline'!$R$4:$R$503,_calc!$E$961))&amp;". ")&amp;IF(LEN(IF(LEN(INDEX('Dealer pipeline'!$S$4:$S$503,_calc!$E$961))=0,"",INDEX('Dealer pipeline'!$S$4:$S$503,_calc!$E$961)))=0,"","Backup: "&amp;IF(LEN(INDEX('Dealer pipeline'!$S$4:$S$503,_calc!$E$961))=0,"",INDEX('Dealer pipeline'!$S$4:$S$503,_calc!$E$961))&amp;". ")&amp;IF(LEN(IF(LEN(INDEX('Dealer pipeline'!$T$4:$T$503,_calc!$E$961))=0,"",INDEX('Dealer pipeline'!$T$4:$T$503,_calc!$E$961)))=0,"",IF(LEN(INDEX('Dealer pipeline'!$T$4:$T$503,_calc!$E$961))=0,"",INDEX('Dealer pipeline'!$T$4:$T$503,_calc!$E$961)))),TRIM(IF(LEN(IF(LEN(INDEX('My equipment'!$C$4:$C$503,(_calc!$E$961-500)))=0,"",INDEX('My equipment'!$C$4:$C$503,(_calc!$E$961-500))))=0,"","Model: "&amp;IF(LEN(INDEX('My equipment'!$C$4:$C$503,(_calc!$E$961-500)))=0,"",INDEX('My equipment'!$C$4:$C$503,(_calc!$E$961-500)))&amp;". ")&amp;IF(LEN(IF(LEN(INDEX('My equipment'!$D$4:$D$503,(_calc!$E$961-500)))=0,"",INDEX('My equipment'!$D$4:$D$503,(_calc!$E$961-500))))=0,"","Serial: "&amp;IF(LEN(INDEX('My equipment'!$D$4:$D$503,(_calc!$E$961-500)))=0,"",INDEX('My equipment'!$D$4:$D$503,(_calc!$E$961-500)))&amp;". ")&amp;IF(LEN(IF(ISNUMBER(INDEX('My equipment'!$J$4:$J$503,(_calc!$E$961-500))),TEXT(INDEX('My equipment'!$J$4:$J$503,(_calc!$E$961-500)),"yyyy-mm-dd"),""))=0,"","Parts end: "&amp;IF(ISNUMBER(INDEX('My equipment'!$J$4:$J$503,(_calc!$E$961-500))),TEXT(INDEX('My equipment'!$J$4:$J$503,(_calc!$E$961-500)),"yyyy-mm-dd"),"")&amp;". ")&amp;IF(LEN(IF(ISNUMBER(INDEX('My equipment'!$L$4:$L$503,(_calc!$E$961-500))),TEXT(INDEX('My equipment'!$L$4:$L$503,(_calc!$E$961-500)),"yyyy-mm-dd"),""))=0,"","Labor end: "&amp;IF(ISNUMBER(INDEX('My equipment'!$L$4:$L$503,(_calc!$E$961-500))),TEXT(INDEX('My equipment'!$L$4:$L$503,(_calc!$E$961-500)),"yyyy-mm-dd"),"")&amp;". ")&amp;IF(LEN(IF(ISNUMBER(INDEX('My equipment'!$P$4:$P$503,(_calc!$E$961-500))),TEXT(INDEX('My equipment'!$P$4:$P$503,(_calc!$E$961-500)),"yyyy-mm-dd"),""))=0,"","Check by: "&amp;IF(ISNUMBER(INDEX('My equipment'!$P$4:$P$503,(_calc!$E$961-500))),TEXT(INDEX('My equipment'!$P$4:$P$503,(_calc!$E$961-500)),"yyyy-mm-dd"),"")&amp;". ")&amp;IF(LEN(IF(LEN(INDEX('My equipment'!$Q$4:$Q$503,(_calc!$E$961-500)))=0,"",INDEX('My equipment'!$Q$4:$Q$503,(_calc!$E$961-500))))=0,"","Claim status: "&amp;IF(LEN(INDEX('My equipment'!$Q$4:$Q$503,(_calc!$E$961-500)))=0,"",INDEX('My equipment'!$Q$4:$Q$503,(_calc!$E$961-500)))&amp;". ")&amp;IF(LEN(IF(LEN(INDEX('My equipment'!$R$4:$R$503,(_calc!$E$961-500)))=0,"",INDEX('My equipment'!$R$4:$R$503,(_calc!$E$961-500))))=0,"","Claims contact: "&amp;IF(LEN(INDEX('My equipment'!$R$4:$R$503,(_calc!$E$961-500)))=0,"",INDEX('My equipment'!$R$4:$R$503,(_calc!$E$961-500)))&amp;". ")&amp;IF(LEN(IF(LEN(INDEX('My equipment'!$S$4:$S$503,(_calc!$E$961-500)))=0,"",INDEX('My equipment'!$S$4:$S$503,(_calc!$E$961-500))))=0,"","Claims email: "&amp;IF(LEN(INDEX('My equipment'!$S$4:$S$503,(_calc!$E$961-500)))=0,"",INDEX('My equipment'!$S$4:$S$503,(_calc!$E$961-500)))&amp;". ")&amp;IF(LEN(IF(LEN(INDEX('My equipment'!$U$4:$U$503,(_calc!$E$961-500)))=0,"",INDEX('My equipment'!$U$4:$U$503,(_calc!$E$961-500))))=0,"","Registered: "&amp;IF(LEN(INDEX('My equipment'!$U$4:$U$503,(_calc!$E$961-500)))=0,"",INDEX('My equipment'!$U$4:$U$503,(_calc!$E$961-500)))&amp;". ")&amp;IF(LEN(IF(LEN(INDEX('My equipment'!$V$4:$V$503,(_calc!$E$961-500)))=0,"",INDEX('My equipment'!$V$4:$V$503,(_calc!$E$961-500))))=0,"","Proof on file: "&amp;IF(LEN(INDEX('My equipment'!$V$4:$V$503,(_calc!$E$961-500)))=0,"",INDEX('My equipment'!$V$4:$V$503,(_calc!$E$961-500)))&amp;". ")&amp;IF(LEN(IF(LEN(INDEX('My equipment'!$W$4:$W$503,(_calc!$E$961-500)))=0,"",INDEX('My equipment'!$W$4:$W$503,(_calc!$E$961-500))))=0,"","Claim ref: "&amp;IF(LEN(INDEX('My equipment'!$W$4:$W$503,(_calc!$E$961-500)))=0,"",INDEX('My equipment'!$W$4:$W$503,(_calc!$E$961-500)))&amp;". ")&amp;IF(LEN(IF(LEN(INDEX('My equipment'!$Y$4:$Y$503,(_calc!$E$961-500)))=0,"",INDEX('My equipment'!$Y$4:$Y$503,(_calc!$E$961-500))))=0,"",IF(LEN(INDEX('My equipment'!$Y$4:$Y$503,(_calc!$E$961-500)))=0,"",INDEX('My equipment'!$Y$4:$Y$503,(_calc!$E$961-500)))))))</f>
        <v/>
      </c>
      <c r="G959" s="54">
        <f>IF(_calc!$E$961="","",IF(_calc!$E$961&lt;=500,"",IF(LEN(INDEX('My equipment'!$X$4:$X$503,(_calc!$E$961-500)))=0,"",INDEX('My equipment'!$X$4:$X$503,(_calc!$E$961-500)))))</f>
        <v/>
      </c>
      <c r="K959" s="54">
        <f>IF(_calc!$E$961="","",IF(_calc!$E$961&lt;=500,"",IF(LEN(INDEX('My equipment'!$T$4:$T$503,(_calc!$E$961-500)))=0,"",INDEX('My equipment'!$T$4:$T$503,(_calc!$E$961-500)))))</f>
        <v/>
      </c>
    </row>
    <row r="960">
      <c r="A960" s="54">
        <f>IF(_calc!$E$962="","",IF(_calc!$E$962&lt;=500,"Warranty – "&amp;IF(LEN(INDEX('Dealer pipeline'!$C$4:$C$503,_calc!$E$962))=0,"",INDEX('Dealer pipeline'!$C$4:$C$503,_calc!$E$962))&amp;" – "&amp;IF(LEN(INDEX('Dealer pipeline'!$D$4:$D$503,_calc!$E$962))=0,"",INDEX('Dealer pipeline'!$D$4:$D$503,_calc!$E$962))&amp;" – "&amp;IF(LEN(INDEX('Dealer pipeline'!$A$4:$A$503,_calc!$E$962))=0,"",INDEX('Dealer pipeline'!$A$4:$A$503,_calc!$E$962)),"Warranty – "&amp;IF(LEN(INDEX('My equipment'!$A$4:$A$503,(_calc!$E$962-500)))=0,"",INDEX('My equipment'!$A$4:$A$503,(_calc!$E$962-500)))&amp;" – "&amp;IF(LEN(INDEX('My equipment'!$D$4:$D$503,(_calc!$E$962-500)))=0,"",INDEX('My equipment'!$D$4:$D$503,(_calc!$E$962-500)))))</f>
        <v/>
      </c>
      <c r="B960" s="54">
        <f>IF(_calc!$E$962="","",IF(_calc!$E$962&lt;=500,IF(ISNUMBER(INDEX('Dealer pipeline'!$M$4:$M$503,_calc!$E$962)),TEXT(INDEX('Dealer pipeline'!$M$4:$M$503,_calc!$E$962),"yyyy-mm-dd"),""),IF(ISNUMBER(INDEX('My equipment'!$M$4:$M$503,(_calc!$E$962-500))),TEXT(INDEX('My equipment'!$M$4:$M$503,(_calc!$E$962-500)),"yyyy-mm-dd"),"")))</f>
        <v/>
      </c>
      <c r="C960" s="54">
        <f>IF(_calc!$E$962="","",IF(_calc!$E$962&lt;=500,"Warranty","Warranty"))</f>
        <v/>
      </c>
      <c r="D960" s="54">
        <f>IF(_calc!$E$962="","",IF(_calc!$E$962&lt;=500,IF(ISNUMBER(INDEX('Dealer pipeline'!$H$4:$H$503,_calc!$E$962)),TEXT(INDEX('Dealer pipeline'!$H$4:$H$503,_calc!$E$962),"yyyy-mm-dd"),""),IF(ISNUMBER(INDEX('My equipment'!$H$4:$H$503,(_calc!$E$962-500))),TEXT(INDEX('My equipment'!$H$4:$H$503,(_calc!$E$962-500)),"yyyy-mm-dd"),"")))</f>
        <v/>
      </c>
      <c r="F960" s="54">
        <f>IF(_calc!$E$962="","",IF(_calc!$E$962&lt;=500,TRIM(IF(LEN(IF(LEN(INDEX('Dealer pipeline'!$A$4:$A$503,_calc!$E$962))=0,"",INDEX('Dealer pipeline'!$A$4:$A$503,_calc!$E$962)))=0,"","Customer: "&amp;IF(LEN(INDEX('Dealer pipeline'!$A$4:$A$503,_calc!$E$962))=0,"",INDEX('Dealer pipeline'!$A$4:$A$503,_calc!$E$962))&amp;". ")&amp;IF(LEN(IF(LEN(INDEX('Dealer pipeline'!$B$4:$B$503,_calc!$E$962))=0,"",INDEX('Dealer pipeline'!$B$4:$B$503,_calc!$E$962)))=0,"","Contact: "&amp;IF(LEN(INDEX('Dealer pipeline'!$B$4:$B$503,_calc!$E$962))=0,"",INDEX('Dealer pipeline'!$B$4:$B$503,_calc!$E$962))&amp;". ")&amp;IF(LEN(IF(LEN(INDEX('Dealer pipeline'!$D$4:$D$503,_calc!$E$962))=0,"",INDEX('Dealer pipeline'!$D$4:$D$503,_calc!$E$962)))=0,"","Serial: "&amp;IF(LEN(INDEX('Dealer pipeline'!$D$4:$D$503,_calc!$E$962))=0,"",INDEX('Dealer pipeline'!$D$4:$D$503,_calc!$E$962))&amp;". ")&amp;IF(LEN(IF(ISNUMBER(INDEX('Dealer pipeline'!$J$4:$J$503,_calc!$E$962)),TEXT(INDEX('Dealer pipeline'!$J$4:$J$503,_calc!$E$962),"yyyy-mm-dd"),""))=0,"","Parts end: "&amp;IF(ISNUMBER(INDEX('Dealer pipeline'!$J$4:$J$503,_calc!$E$962)),TEXT(INDEX('Dealer pipeline'!$J$4:$J$503,_calc!$E$962),"yyyy-mm-dd"),"")&amp;". ")&amp;IF(LEN(IF(ISNUMBER(INDEX('Dealer pipeline'!$L$4:$L$503,_calc!$E$962)),TEXT(INDEX('Dealer pipeline'!$L$4:$L$503,_calc!$E$962),"yyyy-mm-dd"),""))=0,"","Labor end: "&amp;IF(ISNUMBER(INDEX('Dealer pipeline'!$L$4:$L$503,_calc!$E$962)),TEXT(INDEX('Dealer pipeline'!$L$4:$L$503,_calc!$E$962),"yyyy-mm-dd"),"")&amp;". ")&amp;IF(LEN(IF(LEN(INDEX('Dealer pipeline'!$Q$4:$Q$503,_calc!$E$962))=0,"",INDEX('Dealer pipeline'!$Q$4:$Q$503,_calc!$E$962)))=0,"","Status: "&amp;IF(LEN(INDEX('Dealer pipeline'!$Q$4:$Q$503,_calc!$E$962))=0,"",INDEX('Dealer pipeline'!$Q$4:$Q$503,_calc!$E$962))&amp;". ")&amp;IF(LEN(IF(LEN(INDEX('Dealer pipeline'!$P$4:$P$503,_calc!$E$962))=0,"",INDEX('Dealer pipeline'!$P$4:$P$503,_calc!$E$962)))=0,"","Last touch: "&amp;IF(LEN(INDEX('Dealer pipeline'!$P$4:$P$503,_calc!$E$962))=0,"",INDEX('Dealer pipeline'!$P$4:$P$503,_calc!$E$962))&amp;". ")&amp;IF(LEN(IF(LEN(INDEX('Dealer pipeline'!$R$4:$R$503,_calc!$E$962))=0,"",INDEX('Dealer pipeline'!$R$4:$R$503,_calc!$E$962)))=0,"","Owner: "&amp;IF(LEN(INDEX('Dealer pipeline'!$R$4:$R$503,_calc!$E$962))=0,"",INDEX('Dealer pipeline'!$R$4:$R$503,_calc!$E$962))&amp;". ")&amp;IF(LEN(IF(LEN(INDEX('Dealer pipeline'!$S$4:$S$503,_calc!$E$962))=0,"",INDEX('Dealer pipeline'!$S$4:$S$503,_calc!$E$962)))=0,"","Backup: "&amp;IF(LEN(INDEX('Dealer pipeline'!$S$4:$S$503,_calc!$E$962))=0,"",INDEX('Dealer pipeline'!$S$4:$S$503,_calc!$E$962))&amp;". ")&amp;IF(LEN(IF(LEN(INDEX('Dealer pipeline'!$T$4:$T$503,_calc!$E$962))=0,"",INDEX('Dealer pipeline'!$T$4:$T$503,_calc!$E$962)))=0,"",IF(LEN(INDEX('Dealer pipeline'!$T$4:$T$503,_calc!$E$962))=0,"",INDEX('Dealer pipeline'!$T$4:$T$503,_calc!$E$962)))),TRIM(IF(LEN(IF(LEN(INDEX('My equipment'!$C$4:$C$503,(_calc!$E$962-500)))=0,"",INDEX('My equipment'!$C$4:$C$503,(_calc!$E$962-500))))=0,"","Model: "&amp;IF(LEN(INDEX('My equipment'!$C$4:$C$503,(_calc!$E$962-500)))=0,"",INDEX('My equipment'!$C$4:$C$503,(_calc!$E$962-500)))&amp;". ")&amp;IF(LEN(IF(LEN(INDEX('My equipment'!$D$4:$D$503,(_calc!$E$962-500)))=0,"",INDEX('My equipment'!$D$4:$D$503,(_calc!$E$962-500))))=0,"","Serial: "&amp;IF(LEN(INDEX('My equipment'!$D$4:$D$503,(_calc!$E$962-500)))=0,"",INDEX('My equipment'!$D$4:$D$503,(_calc!$E$962-500)))&amp;". ")&amp;IF(LEN(IF(ISNUMBER(INDEX('My equipment'!$J$4:$J$503,(_calc!$E$962-500))),TEXT(INDEX('My equipment'!$J$4:$J$503,(_calc!$E$962-500)),"yyyy-mm-dd"),""))=0,"","Parts end: "&amp;IF(ISNUMBER(INDEX('My equipment'!$J$4:$J$503,(_calc!$E$962-500))),TEXT(INDEX('My equipment'!$J$4:$J$503,(_calc!$E$962-500)),"yyyy-mm-dd"),"")&amp;". ")&amp;IF(LEN(IF(ISNUMBER(INDEX('My equipment'!$L$4:$L$503,(_calc!$E$962-500))),TEXT(INDEX('My equipment'!$L$4:$L$503,(_calc!$E$962-500)),"yyyy-mm-dd"),""))=0,"","Labor end: "&amp;IF(ISNUMBER(INDEX('My equipment'!$L$4:$L$503,(_calc!$E$962-500))),TEXT(INDEX('My equipment'!$L$4:$L$503,(_calc!$E$962-500)),"yyyy-mm-dd"),"")&amp;". ")&amp;IF(LEN(IF(ISNUMBER(INDEX('My equipment'!$P$4:$P$503,(_calc!$E$962-500))),TEXT(INDEX('My equipment'!$P$4:$P$503,(_calc!$E$962-500)),"yyyy-mm-dd"),""))=0,"","Check by: "&amp;IF(ISNUMBER(INDEX('My equipment'!$P$4:$P$503,(_calc!$E$962-500))),TEXT(INDEX('My equipment'!$P$4:$P$503,(_calc!$E$962-500)),"yyyy-mm-dd"),"")&amp;". ")&amp;IF(LEN(IF(LEN(INDEX('My equipment'!$Q$4:$Q$503,(_calc!$E$962-500)))=0,"",INDEX('My equipment'!$Q$4:$Q$503,(_calc!$E$962-500))))=0,"","Claim status: "&amp;IF(LEN(INDEX('My equipment'!$Q$4:$Q$503,(_calc!$E$962-500)))=0,"",INDEX('My equipment'!$Q$4:$Q$503,(_calc!$E$962-500)))&amp;". ")&amp;IF(LEN(IF(LEN(INDEX('My equipment'!$R$4:$R$503,(_calc!$E$962-500)))=0,"",INDEX('My equipment'!$R$4:$R$503,(_calc!$E$962-500))))=0,"","Claims contact: "&amp;IF(LEN(INDEX('My equipment'!$R$4:$R$503,(_calc!$E$962-500)))=0,"",INDEX('My equipment'!$R$4:$R$503,(_calc!$E$962-500)))&amp;". ")&amp;IF(LEN(IF(LEN(INDEX('My equipment'!$S$4:$S$503,(_calc!$E$962-500)))=0,"",INDEX('My equipment'!$S$4:$S$503,(_calc!$E$962-500))))=0,"","Claims email: "&amp;IF(LEN(INDEX('My equipment'!$S$4:$S$503,(_calc!$E$962-500)))=0,"",INDEX('My equipment'!$S$4:$S$503,(_calc!$E$962-500)))&amp;". ")&amp;IF(LEN(IF(LEN(INDEX('My equipment'!$U$4:$U$503,(_calc!$E$962-500)))=0,"",INDEX('My equipment'!$U$4:$U$503,(_calc!$E$962-500))))=0,"","Registered: "&amp;IF(LEN(INDEX('My equipment'!$U$4:$U$503,(_calc!$E$962-500)))=0,"",INDEX('My equipment'!$U$4:$U$503,(_calc!$E$962-500)))&amp;". ")&amp;IF(LEN(IF(LEN(INDEX('My equipment'!$V$4:$V$503,(_calc!$E$962-500)))=0,"",INDEX('My equipment'!$V$4:$V$503,(_calc!$E$962-500))))=0,"","Proof on file: "&amp;IF(LEN(INDEX('My equipment'!$V$4:$V$503,(_calc!$E$962-500)))=0,"",INDEX('My equipment'!$V$4:$V$503,(_calc!$E$962-500)))&amp;". ")&amp;IF(LEN(IF(LEN(INDEX('My equipment'!$W$4:$W$503,(_calc!$E$962-500)))=0,"",INDEX('My equipment'!$W$4:$W$503,(_calc!$E$962-500))))=0,"","Claim ref: "&amp;IF(LEN(INDEX('My equipment'!$W$4:$W$503,(_calc!$E$962-500)))=0,"",INDEX('My equipment'!$W$4:$W$503,(_calc!$E$962-500)))&amp;". ")&amp;IF(LEN(IF(LEN(INDEX('My equipment'!$Y$4:$Y$503,(_calc!$E$962-500)))=0,"",INDEX('My equipment'!$Y$4:$Y$503,(_calc!$E$962-500))))=0,"",IF(LEN(INDEX('My equipment'!$Y$4:$Y$503,(_calc!$E$962-500)))=0,"",INDEX('My equipment'!$Y$4:$Y$503,(_calc!$E$962-500)))))))</f>
        <v/>
      </c>
      <c r="G960" s="54">
        <f>IF(_calc!$E$962="","",IF(_calc!$E$962&lt;=500,"",IF(LEN(INDEX('My equipment'!$X$4:$X$503,(_calc!$E$962-500)))=0,"",INDEX('My equipment'!$X$4:$X$503,(_calc!$E$962-500)))))</f>
        <v/>
      </c>
      <c r="K960" s="54">
        <f>IF(_calc!$E$962="","",IF(_calc!$E$962&lt;=500,"",IF(LEN(INDEX('My equipment'!$T$4:$T$503,(_calc!$E$962-500)))=0,"",INDEX('My equipment'!$T$4:$T$503,(_calc!$E$962-500)))))</f>
        <v/>
      </c>
    </row>
    <row r="961">
      <c r="A961" s="54">
        <f>IF(_calc!$E$963="","",IF(_calc!$E$963&lt;=500,"Warranty – "&amp;IF(LEN(INDEX('Dealer pipeline'!$C$4:$C$503,_calc!$E$963))=0,"",INDEX('Dealer pipeline'!$C$4:$C$503,_calc!$E$963))&amp;" – "&amp;IF(LEN(INDEX('Dealer pipeline'!$D$4:$D$503,_calc!$E$963))=0,"",INDEX('Dealer pipeline'!$D$4:$D$503,_calc!$E$963))&amp;" – "&amp;IF(LEN(INDEX('Dealer pipeline'!$A$4:$A$503,_calc!$E$963))=0,"",INDEX('Dealer pipeline'!$A$4:$A$503,_calc!$E$963)),"Warranty – "&amp;IF(LEN(INDEX('My equipment'!$A$4:$A$503,(_calc!$E$963-500)))=0,"",INDEX('My equipment'!$A$4:$A$503,(_calc!$E$963-500)))&amp;" – "&amp;IF(LEN(INDEX('My equipment'!$D$4:$D$503,(_calc!$E$963-500)))=0,"",INDEX('My equipment'!$D$4:$D$503,(_calc!$E$963-500)))))</f>
        <v/>
      </c>
      <c r="B961" s="54">
        <f>IF(_calc!$E$963="","",IF(_calc!$E$963&lt;=500,IF(ISNUMBER(INDEX('Dealer pipeline'!$M$4:$M$503,_calc!$E$963)),TEXT(INDEX('Dealer pipeline'!$M$4:$M$503,_calc!$E$963),"yyyy-mm-dd"),""),IF(ISNUMBER(INDEX('My equipment'!$M$4:$M$503,(_calc!$E$963-500))),TEXT(INDEX('My equipment'!$M$4:$M$503,(_calc!$E$963-500)),"yyyy-mm-dd"),"")))</f>
        <v/>
      </c>
      <c r="C961" s="54">
        <f>IF(_calc!$E$963="","",IF(_calc!$E$963&lt;=500,"Warranty","Warranty"))</f>
        <v/>
      </c>
      <c r="D961" s="54">
        <f>IF(_calc!$E$963="","",IF(_calc!$E$963&lt;=500,IF(ISNUMBER(INDEX('Dealer pipeline'!$H$4:$H$503,_calc!$E$963)),TEXT(INDEX('Dealer pipeline'!$H$4:$H$503,_calc!$E$963),"yyyy-mm-dd"),""),IF(ISNUMBER(INDEX('My equipment'!$H$4:$H$503,(_calc!$E$963-500))),TEXT(INDEX('My equipment'!$H$4:$H$503,(_calc!$E$963-500)),"yyyy-mm-dd"),"")))</f>
        <v/>
      </c>
      <c r="F961" s="54">
        <f>IF(_calc!$E$963="","",IF(_calc!$E$963&lt;=500,TRIM(IF(LEN(IF(LEN(INDEX('Dealer pipeline'!$A$4:$A$503,_calc!$E$963))=0,"",INDEX('Dealer pipeline'!$A$4:$A$503,_calc!$E$963)))=0,"","Customer: "&amp;IF(LEN(INDEX('Dealer pipeline'!$A$4:$A$503,_calc!$E$963))=0,"",INDEX('Dealer pipeline'!$A$4:$A$503,_calc!$E$963))&amp;". ")&amp;IF(LEN(IF(LEN(INDEX('Dealer pipeline'!$B$4:$B$503,_calc!$E$963))=0,"",INDEX('Dealer pipeline'!$B$4:$B$503,_calc!$E$963)))=0,"","Contact: "&amp;IF(LEN(INDEX('Dealer pipeline'!$B$4:$B$503,_calc!$E$963))=0,"",INDEX('Dealer pipeline'!$B$4:$B$503,_calc!$E$963))&amp;". ")&amp;IF(LEN(IF(LEN(INDEX('Dealer pipeline'!$D$4:$D$503,_calc!$E$963))=0,"",INDEX('Dealer pipeline'!$D$4:$D$503,_calc!$E$963)))=0,"","Serial: "&amp;IF(LEN(INDEX('Dealer pipeline'!$D$4:$D$503,_calc!$E$963))=0,"",INDEX('Dealer pipeline'!$D$4:$D$503,_calc!$E$963))&amp;". ")&amp;IF(LEN(IF(ISNUMBER(INDEX('Dealer pipeline'!$J$4:$J$503,_calc!$E$963)),TEXT(INDEX('Dealer pipeline'!$J$4:$J$503,_calc!$E$963),"yyyy-mm-dd"),""))=0,"","Parts end: "&amp;IF(ISNUMBER(INDEX('Dealer pipeline'!$J$4:$J$503,_calc!$E$963)),TEXT(INDEX('Dealer pipeline'!$J$4:$J$503,_calc!$E$963),"yyyy-mm-dd"),"")&amp;". ")&amp;IF(LEN(IF(ISNUMBER(INDEX('Dealer pipeline'!$L$4:$L$503,_calc!$E$963)),TEXT(INDEX('Dealer pipeline'!$L$4:$L$503,_calc!$E$963),"yyyy-mm-dd"),""))=0,"","Labor end: "&amp;IF(ISNUMBER(INDEX('Dealer pipeline'!$L$4:$L$503,_calc!$E$963)),TEXT(INDEX('Dealer pipeline'!$L$4:$L$503,_calc!$E$963),"yyyy-mm-dd"),"")&amp;". ")&amp;IF(LEN(IF(LEN(INDEX('Dealer pipeline'!$Q$4:$Q$503,_calc!$E$963))=0,"",INDEX('Dealer pipeline'!$Q$4:$Q$503,_calc!$E$963)))=0,"","Status: "&amp;IF(LEN(INDEX('Dealer pipeline'!$Q$4:$Q$503,_calc!$E$963))=0,"",INDEX('Dealer pipeline'!$Q$4:$Q$503,_calc!$E$963))&amp;". ")&amp;IF(LEN(IF(LEN(INDEX('Dealer pipeline'!$P$4:$P$503,_calc!$E$963))=0,"",INDEX('Dealer pipeline'!$P$4:$P$503,_calc!$E$963)))=0,"","Last touch: "&amp;IF(LEN(INDEX('Dealer pipeline'!$P$4:$P$503,_calc!$E$963))=0,"",INDEX('Dealer pipeline'!$P$4:$P$503,_calc!$E$963))&amp;". ")&amp;IF(LEN(IF(LEN(INDEX('Dealer pipeline'!$R$4:$R$503,_calc!$E$963))=0,"",INDEX('Dealer pipeline'!$R$4:$R$503,_calc!$E$963)))=0,"","Owner: "&amp;IF(LEN(INDEX('Dealer pipeline'!$R$4:$R$503,_calc!$E$963))=0,"",INDEX('Dealer pipeline'!$R$4:$R$503,_calc!$E$963))&amp;". ")&amp;IF(LEN(IF(LEN(INDEX('Dealer pipeline'!$S$4:$S$503,_calc!$E$963))=0,"",INDEX('Dealer pipeline'!$S$4:$S$503,_calc!$E$963)))=0,"","Backup: "&amp;IF(LEN(INDEX('Dealer pipeline'!$S$4:$S$503,_calc!$E$963))=0,"",INDEX('Dealer pipeline'!$S$4:$S$503,_calc!$E$963))&amp;". ")&amp;IF(LEN(IF(LEN(INDEX('Dealer pipeline'!$T$4:$T$503,_calc!$E$963))=0,"",INDEX('Dealer pipeline'!$T$4:$T$503,_calc!$E$963)))=0,"",IF(LEN(INDEX('Dealer pipeline'!$T$4:$T$503,_calc!$E$963))=0,"",INDEX('Dealer pipeline'!$T$4:$T$503,_calc!$E$963)))),TRIM(IF(LEN(IF(LEN(INDEX('My equipment'!$C$4:$C$503,(_calc!$E$963-500)))=0,"",INDEX('My equipment'!$C$4:$C$503,(_calc!$E$963-500))))=0,"","Model: "&amp;IF(LEN(INDEX('My equipment'!$C$4:$C$503,(_calc!$E$963-500)))=0,"",INDEX('My equipment'!$C$4:$C$503,(_calc!$E$963-500)))&amp;". ")&amp;IF(LEN(IF(LEN(INDEX('My equipment'!$D$4:$D$503,(_calc!$E$963-500)))=0,"",INDEX('My equipment'!$D$4:$D$503,(_calc!$E$963-500))))=0,"","Serial: "&amp;IF(LEN(INDEX('My equipment'!$D$4:$D$503,(_calc!$E$963-500)))=0,"",INDEX('My equipment'!$D$4:$D$503,(_calc!$E$963-500)))&amp;". ")&amp;IF(LEN(IF(ISNUMBER(INDEX('My equipment'!$J$4:$J$503,(_calc!$E$963-500))),TEXT(INDEX('My equipment'!$J$4:$J$503,(_calc!$E$963-500)),"yyyy-mm-dd"),""))=0,"","Parts end: "&amp;IF(ISNUMBER(INDEX('My equipment'!$J$4:$J$503,(_calc!$E$963-500))),TEXT(INDEX('My equipment'!$J$4:$J$503,(_calc!$E$963-500)),"yyyy-mm-dd"),"")&amp;". ")&amp;IF(LEN(IF(ISNUMBER(INDEX('My equipment'!$L$4:$L$503,(_calc!$E$963-500))),TEXT(INDEX('My equipment'!$L$4:$L$503,(_calc!$E$963-500)),"yyyy-mm-dd"),""))=0,"","Labor end: "&amp;IF(ISNUMBER(INDEX('My equipment'!$L$4:$L$503,(_calc!$E$963-500))),TEXT(INDEX('My equipment'!$L$4:$L$503,(_calc!$E$963-500)),"yyyy-mm-dd"),"")&amp;". ")&amp;IF(LEN(IF(ISNUMBER(INDEX('My equipment'!$P$4:$P$503,(_calc!$E$963-500))),TEXT(INDEX('My equipment'!$P$4:$P$503,(_calc!$E$963-500)),"yyyy-mm-dd"),""))=0,"","Check by: "&amp;IF(ISNUMBER(INDEX('My equipment'!$P$4:$P$503,(_calc!$E$963-500))),TEXT(INDEX('My equipment'!$P$4:$P$503,(_calc!$E$963-500)),"yyyy-mm-dd"),"")&amp;". ")&amp;IF(LEN(IF(LEN(INDEX('My equipment'!$Q$4:$Q$503,(_calc!$E$963-500)))=0,"",INDEX('My equipment'!$Q$4:$Q$503,(_calc!$E$963-500))))=0,"","Claim status: "&amp;IF(LEN(INDEX('My equipment'!$Q$4:$Q$503,(_calc!$E$963-500)))=0,"",INDEX('My equipment'!$Q$4:$Q$503,(_calc!$E$963-500)))&amp;". ")&amp;IF(LEN(IF(LEN(INDEX('My equipment'!$R$4:$R$503,(_calc!$E$963-500)))=0,"",INDEX('My equipment'!$R$4:$R$503,(_calc!$E$963-500))))=0,"","Claims contact: "&amp;IF(LEN(INDEX('My equipment'!$R$4:$R$503,(_calc!$E$963-500)))=0,"",INDEX('My equipment'!$R$4:$R$503,(_calc!$E$963-500)))&amp;". ")&amp;IF(LEN(IF(LEN(INDEX('My equipment'!$S$4:$S$503,(_calc!$E$963-500)))=0,"",INDEX('My equipment'!$S$4:$S$503,(_calc!$E$963-500))))=0,"","Claims email: "&amp;IF(LEN(INDEX('My equipment'!$S$4:$S$503,(_calc!$E$963-500)))=0,"",INDEX('My equipment'!$S$4:$S$503,(_calc!$E$963-500)))&amp;". ")&amp;IF(LEN(IF(LEN(INDEX('My equipment'!$U$4:$U$503,(_calc!$E$963-500)))=0,"",INDEX('My equipment'!$U$4:$U$503,(_calc!$E$963-500))))=0,"","Registered: "&amp;IF(LEN(INDEX('My equipment'!$U$4:$U$503,(_calc!$E$963-500)))=0,"",INDEX('My equipment'!$U$4:$U$503,(_calc!$E$963-500)))&amp;". ")&amp;IF(LEN(IF(LEN(INDEX('My equipment'!$V$4:$V$503,(_calc!$E$963-500)))=0,"",INDEX('My equipment'!$V$4:$V$503,(_calc!$E$963-500))))=0,"","Proof on file: "&amp;IF(LEN(INDEX('My equipment'!$V$4:$V$503,(_calc!$E$963-500)))=0,"",INDEX('My equipment'!$V$4:$V$503,(_calc!$E$963-500)))&amp;". ")&amp;IF(LEN(IF(LEN(INDEX('My equipment'!$W$4:$W$503,(_calc!$E$963-500)))=0,"",INDEX('My equipment'!$W$4:$W$503,(_calc!$E$963-500))))=0,"","Claim ref: "&amp;IF(LEN(INDEX('My equipment'!$W$4:$W$503,(_calc!$E$963-500)))=0,"",INDEX('My equipment'!$W$4:$W$503,(_calc!$E$963-500)))&amp;". ")&amp;IF(LEN(IF(LEN(INDEX('My equipment'!$Y$4:$Y$503,(_calc!$E$963-500)))=0,"",INDEX('My equipment'!$Y$4:$Y$503,(_calc!$E$963-500))))=0,"",IF(LEN(INDEX('My equipment'!$Y$4:$Y$503,(_calc!$E$963-500)))=0,"",INDEX('My equipment'!$Y$4:$Y$503,(_calc!$E$963-500)))))))</f>
        <v/>
      </c>
      <c r="G961" s="54">
        <f>IF(_calc!$E$963="","",IF(_calc!$E$963&lt;=500,"",IF(LEN(INDEX('My equipment'!$X$4:$X$503,(_calc!$E$963-500)))=0,"",INDEX('My equipment'!$X$4:$X$503,(_calc!$E$963-500)))))</f>
        <v/>
      </c>
      <c r="K961" s="54">
        <f>IF(_calc!$E$963="","",IF(_calc!$E$963&lt;=500,"",IF(LEN(INDEX('My equipment'!$T$4:$T$503,(_calc!$E$963-500)))=0,"",INDEX('My equipment'!$T$4:$T$503,(_calc!$E$963-500)))))</f>
        <v/>
      </c>
    </row>
    <row r="962">
      <c r="A962" s="54">
        <f>IF(_calc!$E$964="","",IF(_calc!$E$964&lt;=500,"Warranty – "&amp;IF(LEN(INDEX('Dealer pipeline'!$C$4:$C$503,_calc!$E$964))=0,"",INDEX('Dealer pipeline'!$C$4:$C$503,_calc!$E$964))&amp;" – "&amp;IF(LEN(INDEX('Dealer pipeline'!$D$4:$D$503,_calc!$E$964))=0,"",INDEX('Dealer pipeline'!$D$4:$D$503,_calc!$E$964))&amp;" – "&amp;IF(LEN(INDEX('Dealer pipeline'!$A$4:$A$503,_calc!$E$964))=0,"",INDEX('Dealer pipeline'!$A$4:$A$503,_calc!$E$964)),"Warranty – "&amp;IF(LEN(INDEX('My equipment'!$A$4:$A$503,(_calc!$E$964-500)))=0,"",INDEX('My equipment'!$A$4:$A$503,(_calc!$E$964-500)))&amp;" – "&amp;IF(LEN(INDEX('My equipment'!$D$4:$D$503,(_calc!$E$964-500)))=0,"",INDEX('My equipment'!$D$4:$D$503,(_calc!$E$964-500)))))</f>
        <v/>
      </c>
      <c r="B962" s="54">
        <f>IF(_calc!$E$964="","",IF(_calc!$E$964&lt;=500,IF(ISNUMBER(INDEX('Dealer pipeline'!$M$4:$M$503,_calc!$E$964)),TEXT(INDEX('Dealer pipeline'!$M$4:$M$503,_calc!$E$964),"yyyy-mm-dd"),""),IF(ISNUMBER(INDEX('My equipment'!$M$4:$M$503,(_calc!$E$964-500))),TEXT(INDEX('My equipment'!$M$4:$M$503,(_calc!$E$964-500)),"yyyy-mm-dd"),"")))</f>
        <v/>
      </c>
      <c r="C962" s="54">
        <f>IF(_calc!$E$964="","",IF(_calc!$E$964&lt;=500,"Warranty","Warranty"))</f>
        <v/>
      </c>
      <c r="D962" s="54">
        <f>IF(_calc!$E$964="","",IF(_calc!$E$964&lt;=500,IF(ISNUMBER(INDEX('Dealer pipeline'!$H$4:$H$503,_calc!$E$964)),TEXT(INDEX('Dealer pipeline'!$H$4:$H$503,_calc!$E$964),"yyyy-mm-dd"),""),IF(ISNUMBER(INDEX('My equipment'!$H$4:$H$503,(_calc!$E$964-500))),TEXT(INDEX('My equipment'!$H$4:$H$503,(_calc!$E$964-500)),"yyyy-mm-dd"),"")))</f>
        <v/>
      </c>
      <c r="F962" s="54">
        <f>IF(_calc!$E$964="","",IF(_calc!$E$964&lt;=500,TRIM(IF(LEN(IF(LEN(INDEX('Dealer pipeline'!$A$4:$A$503,_calc!$E$964))=0,"",INDEX('Dealer pipeline'!$A$4:$A$503,_calc!$E$964)))=0,"","Customer: "&amp;IF(LEN(INDEX('Dealer pipeline'!$A$4:$A$503,_calc!$E$964))=0,"",INDEX('Dealer pipeline'!$A$4:$A$503,_calc!$E$964))&amp;". ")&amp;IF(LEN(IF(LEN(INDEX('Dealer pipeline'!$B$4:$B$503,_calc!$E$964))=0,"",INDEX('Dealer pipeline'!$B$4:$B$503,_calc!$E$964)))=0,"","Contact: "&amp;IF(LEN(INDEX('Dealer pipeline'!$B$4:$B$503,_calc!$E$964))=0,"",INDEX('Dealer pipeline'!$B$4:$B$503,_calc!$E$964))&amp;". ")&amp;IF(LEN(IF(LEN(INDEX('Dealer pipeline'!$D$4:$D$503,_calc!$E$964))=0,"",INDEX('Dealer pipeline'!$D$4:$D$503,_calc!$E$964)))=0,"","Serial: "&amp;IF(LEN(INDEX('Dealer pipeline'!$D$4:$D$503,_calc!$E$964))=0,"",INDEX('Dealer pipeline'!$D$4:$D$503,_calc!$E$964))&amp;". ")&amp;IF(LEN(IF(ISNUMBER(INDEX('Dealer pipeline'!$J$4:$J$503,_calc!$E$964)),TEXT(INDEX('Dealer pipeline'!$J$4:$J$503,_calc!$E$964),"yyyy-mm-dd"),""))=0,"","Parts end: "&amp;IF(ISNUMBER(INDEX('Dealer pipeline'!$J$4:$J$503,_calc!$E$964)),TEXT(INDEX('Dealer pipeline'!$J$4:$J$503,_calc!$E$964),"yyyy-mm-dd"),"")&amp;". ")&amp;IF(LEN(IF(ISNUMBER(INDEX('Dealer pipeline'!$L$4:$L$503,_calc!$E$964)),TEXT(INDEX('Dealer pipeline'!$L$4:$L$503,_calc!$E$964),"yyyy-mm-dd"),""))=0,"","Labor end: "&amp;IF(ISNUMBER(INDEX('Dealer pipeline'!$L$4:$L$503,_calc!$E$964)),TEXT(INDEX('Dealer pipeline'!$L$4:$L$503,_calc!$E$964),"yyyy-mm-dd"),"")&amp;". ")&amp;IF(LEN(IF(LEN(INDEX('Dealer pipeline'!$Q$4:$Q$503,_calc!$E$964))=0,"",INDEX('Dealer pipeline'!$Q$4:$Q$503,_calc!$E$964)))=0,"","Status: "&amp;IF(LEN(INDEX('Dealer pipeline'!$Q$4:$Q$503,_calc!$E$964))=0,"",INDEX('Dealer pipeline'!$Q$4:$Q$503,_calc!$E$964))&amp;". ")&amp;IF(LEN(IF(LEN(INDEX('Dealer pipeline'!$P$4:$P$503,_calc!$E$964))=0,"",INDEX('Dealer pipeline'!$P$4:$P$503,_calc!$E$964)))=0,"","Last touch: "&amp;IF(LEN(INDEX('Dealer pipeline'!$P$4:$P$503,_calc!$E$964))=0,"",INDEX('Dealer pipeline'!$P$4:$P$503,_calc!$E$964))&amp;". ")&amp;IF(LEN(IF(LEN(INDEX('Dealer pipeline'!$R$4:$R$503,_calc!$E$964))=0,"",INDEX('Dealer pipeline'!$R$4:$R$503,_calc!$E$964)))=0,"","Owner: "&amp;IF(LEN(INDEX('Dealer pipeline'!$R$4:$R$503,_calc!$E$964))=0,"",INDEX('Dealer pipeline'!$R$4:$R$503,_calc!$E$964))&amp;". ")&amp;IF(LEN(IF(LEN(INDEX('Dealer pipeline'!$S$4:$S$503,_calc!$E$964))=0,"",INDEX('Dealer pipeline'!$S$4:$S$503,_calc!$E$964)))=0,"","Backup: "&amp;IF(LEN(INDEX('Dealer pipeline'!$S$4:$S$503,_calc!$E$964))=0,"",INDEX('Dealer pipeline'!$S$4:$S$503,_calc!$E$964))&amp;". ")&amp;IF(LEN(IF(LEN(INDEX('Dealer pipeline'!$T$4:$T$503,_calc!$E$964))=0,"",INDEX('Dealer pipeline'!$T$4:$T$503,_calc!$E$964)))=0,"",IF(LEN(INDEX('Dealer pipeline'!$T$4:$T$503,_calc!$E$964))=0,"",INDEX('Dealer pipeline'!$T$4:$T$503,_calc!$E$964)))),TRIM(IF(LEN(IF(LEN(INDEX('My equipment'!$C$4:$C$503,(_calc!$E$964-500)))=0,"",INDEX('My equipment'!$C$4:$C$503,(_calc!$E$964-500))))=0,"","Model: "&amp;IF(LEN(INDEX('My equipment'!$C$4:$C$503,(_calc!$E$964-500)))=0,"",INDEX('My equipment'!$C$4:$C$503,(_calc!$E$964-500)))&amp;". ")&amp;IF(LEN(IF(LEN(INDEX('My equipment'!$D$4:$D$503,(_calc!$E$964-500)))=0,"",INDEX('My equipment'!$D$4:$D$503,(_calc!$E$964-500))))=0,"","Serial: "&amp;IF(LEN(INDEX('My equipment'!$D$4:$D$503,(_calc!$E$964-500)))=0,"",INDEX('My equipment'!$D$4:$D$503,(_calc!$E$964-500)))&amp;". ")&amp;IF(LEN(IF(ISNUMBER(INDEX('My equipment'!$J$4:$J$503,(_calc!$E$964-500))),TEXT(INDEX('My equipment'!$J$4:$J$503,(_calc!$E$964-500)),"yyyy-mm-dd"),""))=0,"","Parts end: "&amp;IF(ISNUMBER(INDEX('My equipment'!$J$4:$J$503,(_calc!$E$964-500))),TEXT(INDEX('My equipment'!$J$4:$J$503,(_calc!$E$964-500)),"yyyy-mm-dd"),"")&amp;". ")&amp;IF(LEN(IF(ISNUMBER(INDEX('My equipment'!$L$4:$L$503,(_calc!$E$964-500))),TEXT(INDEX('My equipment'!$L$4:$L$503,(_calc!$E$964-500)),"yyyy-mm-dd"),""))=0,"","Labor end: "&amp;IF(ISNUMBER(INDEX('My equipment'!$L$4:$L$503,(_calc!$E$964-500))),TEXT(INDEX('My equipment'!$L$4:$L$503,(_calc!$E$964-500)),"yyyy-mm-dd"),"")&amp;". ")&amp;IF(LEN(IF(ISNUMBER(INDEX('My equipment'!$P$4:$P$503,(_calc!$E$964-500))),TEXT(INDEX('My equipment'!$P$4:$P$503,(_calc!$E$964-500)),"yyyy-mm-dd"),""))=0,"","Check by: "&amp;IF(ISNUMBER(INDEX('My equipment'!$P$4:$P$503,(_calc!$E$964-500))),TEXT(INDEX('My equipment'!$P$4:$P$503,(_calc!$E$964-500)),"yyyy-mm-dd"),"")&amp;". ")&amp;IF(LEN(IF(LEN(INDEX('My equipment'!$Q$4:$Q$503,(_calc!$E$964-500)))=0,"",INDEX('My equipment'!$Q$4:$Q$503,(_calc!$E$964-500))))=0,"","Claim status: "&amp;IF(LEN(INDEX('My equipment'!$Q$4:$Q$503,(_calc!$E$964-500)))=0,"",INDEX('My equipment'!$Q$4:$Q$503,(_calc!$E$964-500)))&amp;". ")&amp;IF(LEN(IF(LEN(INDEX('My equipment'!$R$4:$R$503,(_calc!$E$964-500)))=0,"",INDEX('My equipment'!$R$4:$R$503,(_calc!$E$964-500))))=0,"","Claims contact: "&amp;IF(LEN(INDEX('My equipment'!$R$4:$R$503,(_calc!$E$964-500)))=0,"",INDEX('My equipment'!$R$4:$R$503,(_calc!$E$964-500)))&amp;". ")&amp;IF(LEN(IF(LEN(INDEX('My equipment'!$S$4:$S$503,(_calc!$E$964-500)))=0,"",INDEX('My equipment'!$S$4:$S$503,(_calc!$E$964-500))))=0,"","Claims email: "&amp;IF(LEN(INDEX('My equipment'!$S$4:$S$503,(_calc!$E$964-500)))=0,"",INDEX('My equipment'!$S$4:$S$503,(_calc!$E$964-500)))&amp;". ")&amp;IF(LEN(IF(LEN(INDEX('My equipment'!$U$4:$U$503,(_calc!$E$964-500)))=0,"",INDEX('My equipment'!$U$4:$U$503,(_calc!$E$964-500))))=0,"","Registered: "&amp;IF(LEN(INDEX('My equipment'!$U$4:$U$503,(_calc!$E$964-500)))=0,"",INDEX('My equipment'!$U$4:$U$503,(_calc!$E$964-500)))&amp;". ")&amp;IF(LEN(IF(LEN(INDEX('My equipment'!$V$4:$V$503,(_calc!$E$964-500)))=0,"",INDEX('My equipment'!$V$4:$V$503,(_calc!$E$964-500))))=0,"","Proof on file: "&amp;IF(LEN(INDEX('My equipment'!$V$4:$V$503,(_calc!$E$964-500)))=0,"",INDEX('My equipment'!$V$4:$V$503,(_calc!$E$964-500)))&amp;". ")&amp;IF(LEN(IF(LEN(INDEX('My equipment'!$W$4:$W$503,(_calc!$E$964-500)))=0,"",INDEX('My equipment'!$W$4:$W$503,(_calc!$E$964-500))))=0,"","Claim ref: "&amp;IF(LEN(INDEX('My equipment'!$W$4:$W$503,(_calc!$E$964-500)))=0,"",INDEX('My equipment'!$W$4:$W$503,(_calc!$E$964-500)))&amp;". ")&amp;IF(LEN(IF(LEN(INDEX('My equipment'!$Y$4:$Y$503,(_calc!$E$964-500)))=0,"",INDEX('My equipment'!$Y$4:$Y$503,(_calc!$E$964-500))))=0,"",IF(LEN(INDEX('My equipment'!$Y$4:$Y$503,(_calc!$E$964-500)))=0,"",INDEX('My equipment'!$Y$4:$Y$503,(_calc!$E$964-500)))))))</f>
        <v/>
      </c>
      <c r="G962" s="54">
        <f>IF(_calc!$E$964="","",IF(_calc!$E$964&lt;=500,"",IF(LEN(INDEX('My equipment'!$X$4:$X$503,(_calc!$E$964-500)))=0,"",INDEX('My equipment'!$X$4:$X$503,(_calc!$E$964-500)))))</f>
        <v/>
      </c>
      <c r="K962" s="54">
        <f>IF(_calc!$E$964="","",IF(_calc!$E$964&lt;=500,"",IF(LEN(INDEX('My equipment'!$T$4:$T$503,(_calc!$E$964-500)))=0,"",INDEX('My equipment'!$T$4:$T$503,(_calc!$E$964-500)))))</f>
        <v/>
      </c>
    </row>
    <row r="963">
      <c r="A963" s="54">
        <f>IF(_calc!$E$965="","",IF(_calc!$E$965&lt;=500,"Warranty – "&amp;IF(LEN(INDEX('Dealer pipeline'!$C$4:$C$503,_calc!$E$965))=0,"",INDEX('Dealer pipeline'!$C$4:$C$503,_calc!$E$965))&amp;" – "&amp;IF(LEN(INDEX('Dealer pipeline'!$D$4:$D$503,_calc!$E$965))=0,"",INDEX('Dealer pipeline'!$D$4:$D$503,_calc!$E$965))&amp;" – "&amp;IF(LEN(INDEX('Dealer pipeline'!$A$4:$A$503,_calc!$E$965))=0,"",INDEX('Dealer pipeline'!$A$4:$A$503,_calc!$E$965)),"Warranty – "&amp;IF(LEN(INDEX('My equipment'!$A$4:$A$503,(_calc!$E$965-500)))=0,"",INDEX('My equipment'!$A$4:$A$503,(_calc!$E$965-500)))&amp;" – "&amp;IF(LEN(INDEX('My equipment'!$D$4:$D$503,(_calc!$E$965-500)))=0,"",INDEX('My equipment'!$D$4:$D$503,(_calc!$E$965-500)))))</f>
        <v/>
      </c>
      <c r="B963" s="54">
        <f>IF(_calc!$E$965="","",IF(_calc!$E$965&lt;=500,IF(ISNUMBER(INDEX('Dealer pipeline'!$M$4:$M$503,_calc!$E$965)),TEXT(INDEX('Dealer pipeline'!$M$4:$M$503,_calc!$E$965),"yyyy-mm-dd"),""),IF(ISNUMBER(INDEX('My equipment'!$M$4:$M$503,(_calc!$E$965-500))),TEXT(INDEX('My equipment'!$M$4:$M$503,(_calc!$E$965-500)),"yyyy-mm-dd"),"")))</f>
        <v/>
      </c>
      <c r="C963" s="54">
        <f>IF(_calc!$E$965="","",IF(_calc!$E$965&lt;=500,"Warranty","Warranty"))</f>
        <v/>
      </c>
      <c r="D963" s="54">
        <f>IF(_calc!$E$965="","",IF(_calc!$E$965&lt;=500,IF(ISNUMBER(INDEX('Dealer pipeline'!$H$4:$H$503,_calc!$E$965)),TEXT(INDEX('Dealer pipeline'!$H$4:$H$503,_calc!$E$965),"yyyy-mm-dd"),""),IF(ISNUMBER(INDEX('My equipment'!$H$4:$H$503,(_calc!$E$965-500))),TEXT(INDEX('My equipment'!$H$4:$H$503,(_calc!$E$965-500)),"yyyy-mm-dd"),"")))</f>
        <v/>
      </c>
      <c r="F963" s="54">
        <f>IF(_calc!$E$965="","",IF(_calc!$E$965&lt;=500,TRIM(IF(LEN(IF(LEN(INDEX('Dealer pipeline'!$A$4:$A$503,_calc!$E$965))=0,"",INDEX('Dealer pipeline'!$A$4:$A$503,_calc!$E$965)))=0,"","Customer: "&amp;IF(LEN(INDEX('Dealer pipeline'!$A$4:$A$503,_calc!$E$965))=0,"",INDEX('Dealer pipeline'!$A$4:$A$503,_calc!$E$965))&amp;". ")&amp;IF(LEN(IF(LEN(INDEX('Dealer pipeline'!$B$4:$B$503,_calc!$E$965))=0,"",INDEX('Dealer pipeline'!$B$4:$B$503,_calc!$E$965)))=0,"","Contact: "&amp;IF(LEN(INDEX('Dealer pipeline'!$B$4:$B$503,_calc!$E$965))=0,"",INDEX('Dealer pipeline'!$B$4:$B$503,_calc!$E$965))&amp;". ")&amp;IF(LEN(IF(LEN(INDEX('Dealer pipeline'!$D$4:$D$503,_calc!$E$965))=0,"",INDEX('Dealer pipeline'!$D$4:$D$503,_calc!$E$965)))=0,"","Serial: "&amp;IF(LEN(INDEX('Dealer pipeline'!$D$4:$D$503,_calc!$E$965))=0,"",INDEX('Dealer pipeline'!$D$4:$D$503,_calc!$E$965))&amp;". ")&amp;IF(LEN(IF(ISNUMBER(INDEX('Dealer pipeline'!$J$4:$J$503,_calc!$E$965)),TEXT(INDEX('Dealer pipeline'!$J$4:$J$503,_calc!$E$965),"yyyy-mm-dd"),""))=0,"","Parts end: "&amp;IF(ISNUMBER(INDEX('Dealer pipeline'!$J$4:$J$503,_calc!$E$965)),TEXT(INDEX('Dealer pipeline'!$J$4:$J$503,_calc!$E$965),"yyyy-mm-dd"),"")&amp;". ")&amp;IF(LEN(IF(ISNUMBER(INDEX('Dealer pipeline'!$L$4:$L$503,_calc!$E$965)),TEXT(INDEX('Dealer pipeline'!$L$4:$L$503,_calc!$E$965),"yyyy-mm-dd"),""))=0,"","Labor end: "&amp;IF(ISNUMBER(INDEX('Dealer pipeline'!$L$4:$L$503,_calc!$E$965)),TEXT(INDEX('Dealer pipeline'!$L$4:$L$503,_calc!$E$965),"yyyy-mm-dd"),"")&amp;". ")&amp;IF(LEN(IF(LEN(INDEX('Dealer pipeline'!$Q$4:$Q$503,_calc!$E$965))=0,"",INDEX('Dealer pipeline'!$Q$4:$Q$503,_calc!$E$965)))=0,"","Status: "&amp;IF(LEN(INDEX('Dealer pipeline'!$Q$4:$Q$503,_calc!$E$965))=0,"",INDEX('Dealer pipeline'!$Q$4:$Q$503,_calc!$E$965))&amp;". ")&amp;IF(LEN(IF(LEN(INDEX('Dealer pipeline'!$P$4:$P$503,_calc!$E$965))=0,"",INDEX('Dealer pipeline'!$P$4:$P$503,_calc!$E$965)))=0,"","Last touch: "&amp;IF(LEN(INDEX('Dealer pipeline'!$P$4:$P$503,_calc!$E$965))=0,"",INDEX('Dealer pipeline'!$P$4:$P$503,_calc!$E$965))&amp;". ")&amp;IF(LEN(IF(LEN(INDEX('Dealer pipeline'!$R$4:$R$503,_calc!$E$965))=0,"",INDEX('Dealer pipeline'!$R$4:$R$503,_calc!$E$965)))=0,"","Owner: "&amp;IF(LEN(INDEX('Dealer pipeline'!$R$4:$R$503,_calc!$E$965))=0,"",INDEX('Dealer pipeline'!$R$4:$R$503,_calc!$E$965))&amp;". ")&amp;IF(LEN(IF(LEN(INDEX('Dealer pipeline'!$S$4:$S$503,_calc!$E$965))=0,"",INDEX('Dealer pipeline'!$S$4:$S$503,_calc!$E$965)))=0,"","Backup: "&amp;IF(LEN(INDEX('Dealer pipeline'!$S$4:$S$503,_calc!$E$965))=0,"",INDEX('Dealer pipeline'!$S$4:$S$503,_calc!$E$965))&amp;". ")&amp;IF(LEN(IF(LEN(INDEX('Dealer pipeline'!$T$4:$T$503,_calc!$E$965))=0,"",INDEX('Dealer pipeline'!$T$4:$T$503,_calc!$E$965)))=0,"",IF(LEN(INDEX('Dealer pipeline'!$T$4:$T$503,_calc!$E$965))=0,"",INDEX('Dealer pipeline'!$T$4:$T$503,_calc!$E$965)))),TRIM(IF(LEN(IF(LEN(INDEX('My equipment'!$C$4:$C$503,(_calc!$E$965-500)))=0,"",INDEX('My equipment'!$C$4:$C$503,(_calc!$E$965-500))))=0,"","Model: "&amp;IF(LEN(INDEX('My equipment'!$C$4:$C$503,(_calc!$E$965-500)))=0,"",INDEX('My equipment'!$C$4:$C$503,(_calc!$E$965-500)))&amp;". ")&amp;IF(LEN(IF(LEN(INDEX('My equipment'!$D$4:$D$503,(_calc!$E$965-500)))=0,"",INDEX('My equipment'!$D$4:$D$503,(_calc!$E$965-500))))=0,"","Serial: "&amp;IF(LEN(INDEX('My equipment'!$D$4:$D$503,(_calc!$E$965-500)))=0,"",INDEX('My equipment'!$D$4:$D$503,(_calc!$E$965-500)))&amp;". ")&amp;IF(LEN(IF(ISNUMBER(INDEX('My equipment'!$J$4:$J$503,(_calc!$E$965-500))),TEXT(INDEX('My equipment'!$J$4:$J$503,(_calc!$E$965-500)),"yyyy-mm-dd"),""))=0,"","Parts end: "&amp;IF(ISNUMBER(INDEX('My equipment'!$J$4:$J$503,(_calc!$E$965-500))),TEXT(INDEX('My equipment'!$J$4:$J$503,(_calc!$E$965-500)),"yyyy-mm-dd"),"")&amp;". ")&amp;IF(LEN(IF(ISNUMBER(INDEX('My equipment'!$L$4:$L$503,(_calc!$E$965-500))),TEXT(INDEX('My equipment'!$L$4:$L$503,(_calc!$E$965-500)),"yyyy-mm-dd"),""))=0,"","Labor end: "&amp;IF(ISNUMBER(INDEX('My equipment'!$L$4:$L$503,(_calc!$E$965-500))),TEXT(INDEX('My equipment'!$L$4:$L$503,(_calc!$E$965-500)),"yyyy-mm-dd"),"")&amp;". ")&amp;IF(LEN(IF(ISNUMBER(INDEX('My equipment'!$P$4:$P$503,(_calc!$E$965-500))),TEXT(INDEX('My equipment'!$P$4:$P$503,(_calc!$E$965-500)),"yyyy-mm-dd"),""))=0,"","Check by: "&amp;IF(ISNUMBER(INDEX('My equipment'!$P$4:$P$503,(_calc!$E$965-500))),TEXT(INDEX('My equipment'!$P$4:$P$503,(_calc!$E$965-500)),"yyyy-mm-dd"),"")&amp;". ")&amp;IF(LEN(IF(LEN(INDEX('My equipment'!$Q$4:$Q$503,(_calc!$E$965-500)))=0,"",INDEX('My equipment'!$Q$4:$Q$503,(_calc!$E$965-500))))=0,"","Claim status: "&amp;IF(LEN(INDEX('My equipment'!$Q$4:$Q$503,(_calc!$E$965-500)))=0,"",INDEX('My equipment'!$Q$4:$Q$503,(_calc!$E$965-500)))&amp;". ")&amp;IF(LEN(IF(LEN(INDEX('My equipment'!$R$4:$R$503,(_calc!$E$965-500)))=0,"",INDEX('My equipment'!$R$4:$R$503,(_calc!$E$965-500))))=0,"","Claims contact: "&amp;IF(LEN(INDEX('My equipment'!$R$4:$R$503,(_calc!$E$965-500)))=0,"",INDEX('My equipment'!$R$4:$R$503,(_calc!$E$965-500)))&amp;". ")&amp;IF(LEN(IF(LEN(INDEX('My equipment'!$S$4:$S$503,(_calc!$E$965-500)))=0,"",INDEX('My equipment'!$S$4:$S$503,(_calc!$E$965-500))))=0,"","Claims email: "&amp;IF(LEN(INDEX('My equipment'!$S$4:$S$503,(_calc!$E$965-500)))=0,"",INDEX('My equipment'!$S$4:$S$503,(_calc!$E$965-500)))&amp;". ")&amp;IF(LEN(IF(LEN(INDEX('My equipment'!$U$4:$U$503,(_calc!$E$965-500)))=0,"",INDEX('My equipment'!$U$4:$U$503,(_calc!$E$965-500))))=0,"","Registered: "&amp;IF(LEN(INDEX('My equipment'!$U$4:$U$503,(_calc!$E$965-500)))=0,"",INDEX('My equipment'!$U$4:$U$503,(_calc!$E$965-500)))&amp;". ")&amp;IF(LEN(IF(LEN(INDEX('My equipment'!$V$4:$V$503,(_calc!$E$965-500)))=0,"",INDEX('My equipment'!$V$4:$V$503,(_calc!$E$965-500))))=0,"","Proof on file: "&amp;IF(LEN(INDEX('My equipment'!$V$4:$V$503,(_calc!$E$965-500)))=0,"",INDEX('My equipment'!$V$4:$V$503,(_calc!$E$965-500)))&amp;". ")&amp;IF(LEN(IF(LEN(INDEX('My equipment'!$W$4:$W$503,(_calc!$E$965-500)))=0,"",INDEX('My equipment'!$W$4:$W$503,(_calc!$E$965-500))))=0,"","Claim ref: "&amp;IF(LEN(INDEX('My equipment'!$W$4:$W$503,(_calc!$E$965-500)))=0,"",INDEX('My equipment'!$W$4:$W$503,(_calc!$E$965-500)))&amp;". ")&amp;IF(LEN(IF(LEN(INDEX('My equipment'!$Y$4:$Y$503,(_calc!$E$965-500)))=0,"",INDEX('My equipment'!$Y$4:$Y$503,(_calc!$E$965-500))))=0,"",IF(LEN(INDEX('My equipment'!$Y$4:$Y$503,(_calc!$E$965-500)))=0,"",INDEX('My equipment'!$Y$4:$Y$503,(_calc!$E$965-500)))))))</f>
        <v/>
      </c>
      <c r="G963" s="54">
        <f>IF(_calc!$E$965="","",IF(_calc!$E$965&lt;=500,"",IF(LEN(INDEX('My equipment'!$X$4:$X$503,(_calc!$E$965-500)))=0,"",INDEX('My equipment'!$X$4:$X$503,(_calc!$E$965-500)))))</f>
        <v/>
      </c>
      <c r="K963" s="54">
        <f>IF(_calc!$E$965="","",IF(_calc!$E$965&lt;=500,"",IF(LEN(INDEX('My equipment'!$T$4:$T$503,(_calc!$E$965-500)))=0,"",INDEX('My equipment'!$T$4:$T$503,(_calc!$E$965-500)))))</f>
        <v/>
      </c>
    </row>
    <row r="964">
      <c r="A964" s="54">
        <f>IF(_calc!$E$966="","",IF(_calc!$E$966&lt;=500,"Warranty – "&amp;IF(LEN(INDEX('Dealer pipeline'!$C$4:$C$503,_calc!$E$966))=0,"",INDEX('Dealer pipeline'!$C$4:$C$503,_calc!$E$966))&amp;" – "&amp;IF(LEN(INDEX('Dealer pipeline'!$D$4:$D$503,_calc!$E$966))=0,"",INDEX('Dealer pipeline'!$D$4:$D$503,_calc!$E$966))&amp;" – "&amp;IF(LEN(INDEX('Dealer pipeline'!$A$4:$A$503,_calc!$E$966))=0,"",INDEX('Dealer pipeline'!$A$4:$A$503,_calc!$E$966)),"Warranty – "&amp;IF(LEN(INDEX('My equipment'!$A$4:$A$503,(_calc!$E$966-500)))=0,"",INDEX('My equipment'!$A$4:$A$503,(_calc!$E$966-500)))&amp;" – "&amp;IF(LEN(INDEX('My equipment'!$D$4:$D$503,(_calc!$E$966-500)))=0,"",INDEX('My equipment'!$D$4:$D$503,(_calc!$E$966-500)))))</f>
        <v/>
      </c>
      <c r="B964" s="54">
        <f>IF(_calc!$E$966="","",IF(_calc!$E$966&lt;=500,IF(ISNUMBER(INDEX('Dealer pipeline'!$M$4:$M$503,_calc!$E$966)),TEXT(INDEX('Dealer pipeline'!$M$4:$M$503,_calc!$E$966),"yyyy-mm-dd"),""),IF(ISNUMBER(INDEX('My equipment'!$M$4:$M$503,(_calc!$E$966-500))),TEXT(INDEX('My equipment'!$M$4:$M$503,(_calc!$E$966-500)),"yyyy-mm-dd"),"")))</f>
        <v/>
      </c>
      <c r="C964" s="54">
        <f>IF(_calc!$E$966="","",IF(_calc!$E$966&lt;=500,"Warranty","Warranty"))</f>
        <v/>
      </c>
      <c r="D964" s="54">
        <f>IF(_calc!$E$966="","",IF(_calc!$E$966&lt;=500,IF(ISNUMBER(INDEX('Dealer pipeline'!$H$4:$H$503,_calc!$E$966)),TEXT(INDEX('Dealer pipeline'!$H$4:$H$503,_calc!$E$966),"yyyy-mm-dd"),""),IF(ISNUMBER(INDEX('My equipment'!$H$4:$H$503,(_calc!$E$966-500))),TEXT(INDEX('My equipment'!$H$4:$H$503,(_calc!$E$966-500)),"yyyy-mm-dd"),"")))</f>
        <v/>
      </c>
      <c r="F964" s="54">
        <f>IF(_calc!$E$966="","",IF(_calc!$E$966&lt;=500,TRIM(IF(LEN(IF(LEN(INDEX('Dealer pipeline'!$A$4:$A$503,_calc!$E$966))=0,"",INDEX('Dealer pipeline'!$A$4:$A$503,_calc!$E$966)))=0,"","Customer: "&amp;IF(LEN(INDEX('Dealer pipeline'!$A$4:$A$503,_calc!$E$966))=0,"",INDEX('Dealer pipeline'!$A$4:$A$503,_calc!$E$966))&amp;". ")&amp;IF(LEN(IF(LEN(INDEX('Dealer pipeline'!$B$4:$B$503,_calc!$E$966))=0,"",INDEX('Dealer pipeline'!$B$4:$B$503,_calc!$E$966)))=0,"","Contact: "&amp;IF(LEN(INDEX('Dealer pipeline'!$B$4:$B$503,_calc!$E$966))=0,"",INDEX('Dealer pipeline'!$B$4:$B$503,_calc!$E$966))&amp;". ")&amp;IF(LEN(IF(LEN(INDEX('Dealer pipeline'!$D$4:$D$503,_calc!$E$966))=0,"",INDEX('Dealer pipeline'!$D$4:$D$503,_calc!$E$966)))=0,"","Serial: "&amp;IF(LEN(INDEX('Dealer pipeline'!$D$4:$D$503,_calc!$E$966))=0,"",INDEX('Dealer pipeline'!$D$4:$D$503,_calc!$E$966))&amp;". ")&amp;IF(LEN(IF(ISNUMBER(INDEX('Dealer pipeline'!$J$4:$J$503,_calc!$E$966)),TEXT(INDEX('Dealer pipeline'!$J$4:$J$503,_calc!$E$966),"yyyy-mm-dd"),""))=0,"","Parts end: "&amp;IF(ISNUMBER(INDEX('Dealer pipeline'!$J$4:$J$503,_calc!$E$966)),TEXT(INDEX('Dealer pipeline'!$J$4:$J$503,_calc!$E$966),"yyyy-mm-dd"),"")&amp;". ")&amp;IF(LEN(IF(ISNUMBER(INDEX('Dealer pipeline'!$L$4:$L$503,_calc!$E$966)),TEXT(INDEX('Dealer pipeline'!$L$4:$L$503,_calc!$E$966),"yyyy-mm-dd"),""))=0,"","Labor end: "&amp;IF(ISNUMBER(INDEX('Dealer pipeline'!$L$4:$L$503,_calc!$E$966)),TEXT(INDEX('Dealer pipeline'!$L$4:$L$503,_calc!$E$966),"yyyy-mm-dd"),"")&amp;". ")&amp;IF(LEN(IF(LEN(INDEX('Dealer pipeline'!$Q$4:$Q$503,_calc!$E$966))=0,"",INDEX('Dealer pipeline'!$Q$4:$Q$503,_calc!$E$966)))=0,"","Status: "&amp;IF(LEN(INDEX('Dealer pipeline'!$Q$4:$Q$503,_calc!$E$966))=0,"",INDEX('Dealer pipeline'!$Q$4:$Q$503,_calc!$E$966))&amp;". ")&amp;IF(LEN(IF(LEN(INDEX('Dealer pipeline'!$P$4:$P$503,_calc!$E$966))=0,"",INDEX('Dealer pipeline'!$P$4:$P$503,_calc!$E$966)))=0,"","Last touch: "&amp;IF(LEN(INDEX('Dealer pipeline'!$P$4:$P$503,_calc!$E$966))=0,"",INDEX('Dealer pipeline'!$P$4:$P$503,_calc!$E$966))&amp;". ")&amp;IF(LEN(IF(LEN(INDEX('Dealer pipeline'!$R$4:$R$503,_calc!$E$966))=0,"",INDEX('Dealer pipeline'!$R$4:$R$503,_calc!$E$966)))=0,"","Owner: "&amp;IF(LEN(INDEX('Dealer pipeline'!$R$4:$R$503,_calc!$E$966))=0,"",INDEX('Dealer pipeline'!$R$4:$R$503,_calc!$E$966))&amp;". ")&amp;IF(LEN(IF(LEN(INDEX('Dealer pipeline'!$S$4:$S$503,_calc!$E$966))=0,"",INDEX('Dealer pipeline'!$S$4:$S$503,_calc!$E$966)))=0,"","Backup: "&amp;IF(LEN(INDEX('Dealer pipeline'!$S$4:$S$503,_calc!$E$966))=0,"",INDEX('Dealer pipeline'!$S$4:$S$503,_calc!$E$966))&amp;". ")&amp;IF(LEN(IF(LEN(INDEX('Dealer pipeline'!$T$4:$T$503,_calc!$E$966))=0,"",INDEX('Dealer pipeline'!$T$4:$T$503,_calc!$E$966)))=0,"",IF(LEN(INDEX('Dealer pipeline'!$T$4:$T$503,_calc!$E$966))=0,"",INDEX('Dealer pipeline'!$T$4:$T$503,_calc!$E$966)))),TRIM(IF(LEN(IF(LEN(INDEX('My equipment'!$C$4:$C$503,(_calc!$E$966-500)))=0,"",INDEX('My equipment'!$C$4:$C$503,(_calc!$E$966-500))))=0,"","Model: "&amp;IF(LEN(INDEX('My equipment'!$C$4:$C$503,(_calc!$E$966-500)))=0,"",INDEX('My equipment'!$C$4:$C$503,(_calc!$E$966-500)))&amp;". ")&amp;IF(LEN(IF(LEN(INDEX('My equipment'!$D$4:$D$503,(_calc!$E$966-500)))=0,"",INDEX('My equipment'!$D$4:$D$503,(_calc!$E$966-500))))=0,"","Serial: "&amp;IF(LEN(INDEX('My equipment'!$D$4:$D$503,(_calc!$E$966-500)))=0,"",INDEX('My equipment'!$D$4:$D$503,(_calc!$E$966-500)))&amp;". ")&amp;IF(LEN(IF(ISNUMBER(INDEX('My equipment'!$J$4:$J$503,(_calc!$E$966-500))),TEXT(INDEX('My equipment'!$J$4:$J$503,(_calc!$E$966-500)),"yyyy-mm-dd"),""))=0,"","Parts end: "&amp;IF(ISNUMBER(INDEX('My equipment'!$J$4:$J$503,(_calc!$E$966-500))),TEXT(INDEX('My equipment'!$J$4:$J$503,(_calc!$E$966-500)),"yyyy-mm-dd"),"")&amp;". ")&amp;IF(LEN(IF(ISNUMBER(INDEX('My equipment'!$L$4:$L$503,(_calc!$E$966-500))),TEXT(INDEX('My equipment'!$L$4:$L$503,(_calc!$E$966-500)),"yyyy-mm-dd"),""))=0,"","Labor end: "&amp;IF(ISNUMBER(INDEX('My equipment'!$L$4:$L$503,(_calc!$E$966-500))),TEXT(INDEX('My equipment'!$L$4:$L$503,(_calc!$E$966-500)),"yyyy-mm-dd"),"")&amp;". ")&amp;IF(LEN(IF(ISNUMBER(INDEX('My equipment'!$P$4:$P$503,(_calc!$E$966-500))),TEXT(INDEX('My equipment'!$P$4:$P$503,(_calc!$E$966-500)),"yyyy-mm-dd"),""))=0,"","Check by: "&amp;IF(ISNUMBER(INDEX('My equipment'!$P$4:$P$503,(_calc!$E$966-500))),TEXT(INDEX('My equipment'!$P$4:$P$503,(_calc!$E$966-500)),"yyyy-mm-dd"),"")&amp;". ")&amp;IF(LEN(IF(LEN(INDEX('My equipment'!$Q$4:$Q$503,(_calc!$E$966-500)))=0,"",INDEX('My equipment'!$Q$4:$Q$503,(_calc!$E$966-500))))=0,"","Claim status: "&amp;IF(LEN(INDEX('My equipment'!$Q$4:$Q$503,(_calc!$E$966-500)))=0,"",INDEX('My equipment'!$Q$4:$Q$503,(_calc!$E$966-500)))&amp;". ")&amp;IF(LEN(IF(LEN(INDEX('My equipment'!$R$4:$R$503,(_calc!$E$966-500)))=0,"",INDEX('My equipment'!$R$4:$R$503,(_calc!$E$966-500))))=0,"","Claims contact: "&amp;IF(LEN(INDEX('My equipment'!$R$4:$R$503,(_calc!$E$966-500)))=0,"",INDEX('My equipment'!$R$4:$R$503,(_calc!$E$966-500)))&amp;". ")&amp;IF(LEN(IF(LEN(INDEX('My equipment'!$S$4:$S$503,(_calc!$E$966-500)))=0,"",INDEX('My equipment'!$S$4:$S$503,(_calc!$E$966-500))))=0,"","Claims email: "&amp;IF(LEN(INDEX('My equipment'!$S$4:$S$503,(_calc!$E$966-500)))=0,"",INDEX('My equipment'!$S$4:$S$503,(_calc!$E$966-500)))&amp;". ")&amp;IF(LEN(IF(LEN(INDEX('My equipment'!$U$4:$U$503,(_calc!$E$966-500)))=0,"",INDEX('My equipment'!$U$4:$U$503,(_calc!$E$966-500))))=0,"","Registered: "&amp;IF(LEN(INDEX('My equipment'!$U$4:$U$503,(_calc!$E$966-500)))=0,"",INDEX('My equipment'!$U$4:$U$503,(_calc!$E$966-500)))&amp;". ")&amp;IF(LEN(IF(LEN(INDEX('My equipment'!$V$4:$V$503,(_calc!$E$966-500)))=0,"",INDEX('My equipment'!$V$4:$V$503,(_calc!$E$966-500))))=0,"","Proof on file: "&amp;IF(LEN(INDEX('My equipment'!$V$4:$V$503,(_calc!$E$966-500)))=0,"",INDEX('My equipment'!$V$4:$V$503,(_calc!$E$966-500)))&amp;". ")&amp;IF(LEN(IF(LEN(INDEX('My equipment'!$W$4:$W$503,(_calc!$E$966-500)))=0,"",INDEX('My equipment'!$W$4:$W$503,(_calc!$E$966-500))))=0,"","Claim ref: "&amp;IF(LEN(INDEX('My equipment'!$W$4:$W$503,(_calc!$E$966-500)))=0,"",INDEX('My equipment'!$W$4:$W$503,(_calc!$E$966-500)))&amp;". ")&amp;IF(LEN(IF(LEN(INDEX('My equipment'!$Y$4:$Y$503,(_calc!$E$966-500)))=0,"",INDEX('My equipment'!$Y$4:$Y$503,(_calc!$E$966-500))))=0,"",IF(LEN(INDEX('My equipment'!$Y$4:$Y$503,(_calc!$E$966-500)))=0,"",INDEX('My equipment'!$Y$4:$Y$503,(_calc!$E$966-500)))))))</f>
        <v/>
      </c>
      <c r="G964" s="54">
        <f>IF(_calc!$E$966="","",IF(_calc!$E$966&lt;=500,"",IF(LEN(INDEX('My equipment'!$X$4:$X$503,(_calc!$E$966-500)))=0,"",INDEX('My equipment'!$X$4:$X$503,(_calc!$E$966-500)))))</f>
        <v/>
      </c>
      <c r="K964" s="54">
        <f>IF(_calc!$E$966="","",IF(_calc!$E$966&lt;=500,"",IF(LEN(INDEX('My equipment'!$T$4:$T$503,(_calc!$E$966-500)))=0,"",INDEX('My equipment'!$T$4:$T$503,(_calc!$E$966-500)))))</f>
        <v/>
      </c>
    </row>
    <row r="965">
      <c r="A965" s="54">
        <f>IF(_calc!$E$967="","",IF(_calc!$E$967&lt;=500,"Warranty – "&amp;IF(LEN(INDEX('Dealer pipeline'!$C$4:$C$503,_calc!$E$967))=0,"",INDEX('Dealer pipeline'!$C$4:$C$503,_calc!$E$967))&amp;" – "&amp;IF(LEN(INDEX('Dealer pipeline'!$D$4:$D$503,_calc!$E$967))=0,"",INDEX('Dealer pipeline'!$D$4:$D$503,_calc!$E$967))&amp;" – "&amp;IF(LEN(INDEX('Dealer pipeline'!$A$4:$A$503,_calc!$E$967))=0,"",INDEX('Dealer pipeline'!$A$4:$A$503,_calc!$E$967)),"Warranty – "&amp;IF(LEN(INDEX('My equipment'!$A$4:$A$503,(_calc!$E$967-500)))=0,"",INDEX('My equipment'!$A$4:$A$503,(_calc!$E$967-500)))&amp;" – "&amp;IF(LEN(INDEX('My equipment'!$D$4:$D$503,(_calc!$E$967-500)))=0,"",INDEX('My equipment'!$D$4:$D$503,(_calc!$E$967-500)))))</f>
        <v/>
      </c>
      <c r="B965" s="54">
        <f>IF(_calc!$E$967="","",IF(_calc!$E$967&lt;=500,IF(ISNUMBER(INDEX('Dealer pipeline'!$M$4:$M$503,_calc!$E$967)),TEXT(INDEX('Dealer pipeline'!$M$4:$M$503,_calc!$E$967),"yyyy-mm-dd"),""),IF(ISNUMBER(INDEX('My equipment'!$M$4:$M$503,(_calc!$E$967-500))),TEXT(INDEX('My equipment'!$M$4:$M$503,(_calc!$E$967-500)),"yyyy-mm-dd"),"")))</f>
        <v/>
      </c>
      <c r="C965" s="54">
        <f>IF(_calc!$E$967="","",IF(_calc!$E$967&lt;=500,"Warranty","Warranty"))</f>
        <v/>
      </c>
      <c r="D965" s="54">
        <f>IF(_calc!$E$967="","",IF(_calc!$E$967&lt;=500,IF(ISNUMBER(INDEX('Dealer pipeline'!$H$4:$H$503,_calc!$E$967)),TEXT(INDEX('Dealer pipeline'!$H$4:$H$503,_calc!$E$967),"yyyy-mm-dd"),""),IF(ISNUMBER(INDEX('My equipment'!$H$4:$H$503,(_calc!$E$967-500))),TEXT(INDEX('My equipment'!$H$4:$H$503,(_calc!$E$967-500)),"yyyy-mm-dd"),"")))</f>
        <v/>
      </c>
      <c r="F965" s="54">
        <f>IF(_calc!$E$967="","",IF(_calc!$E$967&lt;=500,TRIM(IF(LEN(IF(LEN(INDEX('Dealer pipeline'!$A$4:$A$503,_calc!$E$967))=0,"",INDEX('Dealer pipeline'!$A$4:$A$503,_calc!$E$967)))=0,"","Customer: "&amp;IF(LEN(INDEX('Dealer pipeline'!$A$4:$A$503,_calc!$E$967))=0,"",INDEX('Dealer pipeline'!$A$4:$A$503,_calc!$E$967))&amp;". ")&amp;IF(LEN(IF(LEN(INDEX('Dealer pipeline'!$B$4:$B$503,_calc!$E$967))=0,"",INDEX('Dealer pipeline'!$B$4:$B$503,_calc!$E$967)))=0,"","Contact: "&amp;IF(LEN(INDEX('Dealer pipeline'!$B$4:$B$503,_calc!$E$967))=0,"",INDEX('Dealer pipeline'!$B$4:$B$503,_calc!$E$967))&amp;". ")&amp;IF(LEN(IF(LEN(INDEX('Dealer pipeline'!$D$4:$D$503,_calc!$E$967))=0,"",INDEX('Dealer pipeline'!$D$4:$D$503,_calc!$E$967)))=0,"","Serial: "&amp;IF(LEN(INDEX('Dealer pipeline'!$D$4:$D$503,_calc!$E$967))=0,"",INDEX('Dealer pipeline'!$D$4:$D$503,_calc!$E$967))&amp;". ")&amp;IF(LEN(IF(ISNUMBER(INDEX('Dealer pipeline'!$J$4:$J$503,_calc!$E$967)),TEXT(INDEX('Dealer pipeline'!$J$4:$J$503,_calc!$E$967),"yyyy-mm-dd"),""))=0,"","Parts end: "&amp;IF(ISNUMBER(INDEX('Dealer pipeline'!$J$4:$J$503,_calc!$E$967)),TEXT(INDEX('Dealer pipeline'!$J$4:$J$503,_calc!$E$967),"yyyy-mm-dd"),"")&amp;". ")&amp;IF(LEN(IF(ISNUMBER(INDEX('Dealer pipeline'!$L$4:$L$503,_calc!$E$967)),TEXT(INDEX('Dealer pipeline'!$L$4:$L$503,_calc!$E$967),"yyyy-mm-dd"),""))=0,"","Labor end: "&amp;IF(ISNUMBER(INDEX('Dealer pipeline'!$L$4:$L$503,_calc!$E$967)),TEXT(INDEX('Dealer pipeline'!$L$4:$L$503,_calc!$E$967),"yyyy-mm-dd"),"")&amp;". ")&amp;IF(LEN(IF(LEN(INDEX('Dealer pipeline'!$Q$4:$Q$503,_calc!$E$967))=0,"",INDEX('Dealer pipeline'!$Q$4:$Q$503,_calc!$E$967)))=0,"","Status: "&amp;IF(LEN(INDEX('Dealer pipeline'!$Q$4:$Q$503,_calc!$E$967))=0,"",INDEX('Dealer pipeline'!$Q$4:$Q$503,_calc!$E$967))&amp;". ")&amp;IF(LEN(IF(LEN(INDEX('Dealer pipeline'!$P$4:$P$503,_calc!$E$967))=0,"",INDEX('Dealer pipeline'!$P$4:$P$503,_calc!$E$967)))=0,"","Last touch: "&amp;IF(LEN(INDEX('Dealer pipeline'!$P$4:$P$503,_calc!$E$967))=0,"",INDEX('Dealer pipeline'!$P$4:$P$503,_calc!$E$967))&amp;". ")&amp;IF(LEN(IF(LEN(INDEX('Dealer pipeline'!$R$4:$R$503,_calc!$E$967))=0,"",INDEX('Dealer pipeline'!$R$4:$R$503,_calc!$E$967)))=0,"","Owner: "&amp;IF(LEN(INDEX('Dealer pipeline'!$R$4:$R$503,_calc!$E$967))=0,"",INDEX('Dealer pipeline'!$R$4:$R$503,_calc!$E$967))&amp;". ")&amp;IF(LEN(IF(LEN(INDEX('Dealer pipeline'!$S$4:$S$503,_calc!$E$967))=0,"",INDEX('Dealer pipeline'!$S$4:$S$503,_calc!$E$967)))=0,"","Backup: "&amp;IF(LEN(INDEX('Dealer pipeline'!$S$4:$S$503,_calc!$E$967))=0,"",INDEX('Dealer pipeline'!$S$4:$S$503,_calc!$E$967))&amp;". ")&amp;IF(LEN(IF(LEN(INDEX('Dealer pipeline'!$T$4:$T$503,_calc!$E$967))=0,"",INDEX('Dealer pipeline'!$T$4:$T$503,_calc!$E$967)))=0,"",IF(LEN(INDEX('Dealer pipeline'!$T$4:$T$503,_calc!$E$967))=0,"",INDEX('Dealer pipeline'!$T$4:$T$503,_calc!$E$967)))),TRIM(IF(LEN(IF(LEN(INDEX('My equipment'!$C$4:$C$503,(_calc!$E$967-500)))=0,"",INDEX('My equipment'!$C$4:$C$503,(_calc!$E$967-500))))=0,"","Model: "&amp;IF(LEN(INDEX('My equipment'!$C$4:$C$503,(_calc!$E$967-500)))=0,"",INDEX('My equipment'!$C$4:$C$503,(_calc!$E$967-500)))&amp;". ")&amp;IF(LEN(IF(LEN(INDEX('My equipment'!$D$4:$D$503,(_calc!$E$967-500)))=0,"",INDEX('My equipment'!$D$4:$D$503,(_calc!$E$967-500))))=0,"","Serial: "&amp;IF(LEN(INDEX('My equipment'!$D$4:$D$503,(_calc!$E$967-500)))=0,"",INDEX('My equipment'!$D$4:$D$503,(_calc!$E$967-500)))&amp;". ")&amp;IF(LEN(IF(ISNUMBER(INDEX('My equipment'!$J$4:$J$503,(_calc!$E$967-500))),TEXT(INDEX('My equipment'!$J$4:$J$503,(_calc!$E$967-500)),"yyyy-mm-dd"),""))=0,"","Parts end: "&amp;IF(ISNUMBER(INDEX('My equipment'!$J$4:$J$503,(_calc!$E$967-500))),TEXT(INDEX('My equipment'!$J$4:$J$503,(_calc!$E$967-500)),"yyyy-mm-dd"),"")&amp;". ")&amp;IF(LEN(IF(ISNUMBER(INDEX('My equipment'!$L$4:$L$503,(_calc!$E$967-500))),TEXT(INDEX('My equipment'!$L$4:$L$503,(_calc!$E$967-500)),"yyyy-mm-dd"),""))=0,"","Labor end: "&amp;IF(ISNUMBER(INDEX('My equipment'!$L$4:$L$503,(_calc!$E$967-500))),TEXT(INDEX('My equipment'!$L$4:$L$503,(_calc!$E$967-500)),"yyyy-mm-dd"),"")&amp;". ")&amp;IF(LEN(IF(ISNUMBER(INDEX('My equipment'!$P$4:$P$503,(_calc!$E$967-500))),TEXT(INDEX('My equipment'!$P$4:$P$503,(_calc!$E$967-500)),"yyyy-mm-dd"),""))=0,"","Check by: "&amp;IF(ISNUMBER(INDEX('My equipment'!$P$4:$P$503,(_calc!$E$967-500))),TEXT(INDEX('My equipment'!$P$4:$P$503,(_calc!$E$967-500)),"yyyy-mm-dd"),"")&amp;". ")&amp;IF(LEN(IF(LEN(INDEX('My equipment'!$Q$4:$Q$503,(_calc!$E$967-500)))=0,"",INDEX('My equipment'!$Q$4:$Q$503,(_calc!$E$967-500))))=0,"","Claim status: "&amp;IF(LEN(INDEX('My equipment'!$Q$4:$Q$503,(_calc!$E$967-500)))=0,"",INDEX('My equipment'!$Q$4:$Q$503,(_calc!$E$967-500)))&amp;". ")&amp;IF(LEN(IF(LEN(INDEX('My equipment'!$R$4:$R$503,(_calc!$E$967-500)))=0,"",INDEX('My equipment'!$R$4:$R$503,(_calc!$E$967-500))))=0,"","Claims contact: "&amp;IF(LEN(INDEX('My equipment'!$R$4:$R$503,(_calc!$E$967-500)))=0,"",INDEX('My equipment'!$R$4:$R$503,(_calc!$E$967-500)))&amp;". ")&amp;IF(LEN(IF(LEN(INDEX('My equipment'!$S$4:$S$503,(_calc!$E$967-500)))=0,"",INDEX('My equipment'!$S$4:$S$503,(_calc!$E$967-500))))=0,"","Claims email: "&amp;IF(LEN(INDEX('My equipment'!$S$4:$S$503,(_calc!$E$967-500)))=0,"",INDEX('My equipment'!$S$4:$S$503,(_calc!$E$967-500)))&amp;". ")&amp;IF(LEN(IF(LEN(INDEX('My equipment'!$U$4:$U$503,(_calc!$E$967-500)))=0,"",INDEX('My equipment'!$U$4:$U$503,(_calc!$E$967-500))))=0,"","Registered: "&amp;IF(LEN(INDEX('My equipment'!$U$4:$U$503,(_calc!$E$967-500)))=0,"",INDEX('My equipment'!$U$4:$U$503,(_calc!$E$967-500)))&amp;". ")&amp;IF(LEN(IF(LEN(INDEX('My equipment'!$V$4:$V$503,(_calc!$E$967-500)))=0,"",INDEX('My equipment'!$V$4:$V$503,(_calc!$E$967-500))))=0,"","Proof on file: "&amp;IF(LEN(INDEX('My equipment'!$V$4:$V$503,(_calc!$E$967-500)))=0,"",INDEX('My equipment'!$V$4:$V$503,(_calc!$E$967-500)))&amp;". ")&amp;IF(LEN(IF(LEN(INDEX('My equipment'!$W$4:$W$503,(_calc!$E$967-500)))=0,"",INDEX('My equipment'!$W$4:$W$503,(_calc!$E$967-500))))=0,"","Claim ref: "&amp;IF(LEN(INDEX('My equipment'!$W$4:$W$503,(_calc!$E$967-500)))=0,"",INDEX('My equipment'!$W$4:$W$503,(_calc!$E$967-500)))&amp;". ")&amp;IF(LEN(IF(LEN(INDEX('My equipment'!$Y$4:$Y$503,(_calc!$E$967-500)))=0,"",INDEX('My equipment'!$Y$4:$Y$503,(_calc!$E$967-500))))=0,"",IF(LEN(INDEX('My equipment'!$Y$4:$Y$503,(_calc!$E$967-500)))=0,"",INDEX('My equipment'!$Y$4:$Y$503,(_calc!$E$967-500)))))))</f>
        <v/>
      </c>
      <c r="G965" s="54">
        <f>IF(_calc!$E$967="","",IF(_calc!$E$967&lt;=500,"",IF(LEN(INDEX('My equipment'!$X$4:$X$503,(_calc!$E$967-500)))=0,"",INDEX('My equipment'!$X$4:$X$503,(_calc!$E$967-500)))))</f>
        <v/>
      </c>
      <c r="K965" s="54">
        <f>IF(_calc!$E$967="","",IF(_calc!$E$967&lt;=500,"",IF(LEN(INDEX('My equipment'!$T$4:$T$503,(_calc!$E$967-500)))=0,"",INDEX('My equipment'!$T$4:$T$503,(_calc!$E$967-500)))))</f>
        <v/>
      </c>
    </row>
    <row r="966">
      <c r="A966" s="54">
        <f>IF(_calc!$E$968="","",IF(_calc!$E$968&lt;=500,"Warranty – "&amp;IF(LEN(INDEX('Dealer pipeline'!$C$4:$C$503,_calc!$E$968))=0,"",INDEX('Dealer pipeline'!$C$4:$C$503,_calc!$E$968))&amp;" – "&amp;IF(LEN(INDEX('Dealer pipeline'!$D$4:$D$503,_calc!$E$968))=0,"",INDEX('Dealer pipeline'!$D$4:$D$503,_calc!$E$968))&amp;" – "&amp;IF(LEN(INDEX('Dealer pipeline'!$A$4:$A$503,_calc!$E$968))=0,"",INDEX('Dealer pipeline'!$A$4:$A$503,_calc!$E$968)),"Warranty – "&amp;IF(LEN(INDEX('My equipment'!$A$4:$A$503,(_calc!$E$968-500)))=0,"",INDEX('My equipment'!$A$4:$A$503,(_calc!$E$968-500)))&amp;" – "&amp;IF(LEN(INDEX('My equipment'!$D$4:$D$503,(_calc!$E$968-500)))=0,"",INDEX('My equipment'!$D$4:$D$503,(_calc!$E$968-500)))))</f>
        <v/>
      </c>
      <c r="B966" s="54">
        <f>IF(_calc!$E$968="","",IF(_calc!$E$968&lt;=500,IF(ISNUMBER(INDEX('Dealer pipeline'!$M$4:$M$503,_calc!$E$968)),TEXT(INDEX('Dealer pipeline'!$M$4:$M$503,_calc!$E$968),"yyyy-mm-dd"),""),IF(ISNUMBER(INDEX('My equipment'!$M$4:$M$503,(_calc!$E$968-500))),TEXT(INDEX('My equipment'!$M$4:$M$503,(_calc!$E$968-500)),"yyyy-mm-dd"),"")))</f>
        <v/>
      </c>
      <c r="C966" s="54">
        <f>IF(_calc!$E$968="","",IF(_calc!$E$968&lt;=500,"Warranty","Warranty"))</f>
        <v/>
      </c>
      <c r="D966" s="54">
        <f>IF(_calc!$E$968="","",IF(_calc!$E$968&lt;=500,IF(ISNUMBER(INDEX('Dealer pipeline'!$H$4:$H$503,_calc!$E$968)),TEXT(INDEX('Dealer pipeline'!$H$4:$H$503,_calc!$E$968),"yyyy-mm-dd"),""),IF(ISNUMBER(INDEX('My equipment'!$H$4:$H$503,(_calc!$E$968-500))),TEXT(INDEX('My equipment'!$H$4:$H$503,(_calc!$E$968-500)),"yyyy-mm-dd"),"")))</f>
        <v/>
      </c>
      <c r="F966" s="54">
        <f>IF(_calc!$E$968="","",IF(_calc!$E$968&lt;=500,TRIM(IF(LEN(IF(LEN(INDEX('Dealer pipeline'!$A$4:$A$503,_calc!$E$968))=0,"",INDEX('Dealer pipeline'!$A$4:$A$503,_calc!$E$968)))=0,"","Customer: "&amp;IF(LEN(INDEX('Dealer pipeline'!$A$4:$A$503,_calc!$E$968))=0,"",INDEX('Dealer pipeline'!$A$4:$A$503,_calc!$E$968))&amp;". ")&amp;IF(LEN(IF(LEN(INDEX('Dealer pipeline'!$B$4:$B$503,_calc!$E$968))=0,"",INDEX('Dealer pipeline'!$B$4:$B$503,_calc!$E$968)))=0,"","Contact: "&amp;IF(LEN(INDEX('Dealer pipeline'!$B$4:$B$503,_calc!$E$968))=0,"",INDEX('Dealer pipeline'!$B$4:$B$503,_calc!$E$968))&amp;". ")&amp;IF(LEN(IF(LEN(INDEX('Dealer pipeline'!$D$4:$D$503,_calc!$E$968))=0,"",INDEX('Dealer pipeline'!$D$4:$D$503,_calc!$E$968)))=0,"","Serial: "&amp;IF(LEN(INDEX('Dealer pipeline'!$D$4:$D$503,_calc!$E$968))=0,"",INDEX('Dealer pipeline'!$D$4:$D$503,_calc!$E$968))&amp;". ")&amp;IF(LEN(IF(ISNUMBER(INDEX('Dealer pipeline'!$J$4:$J$503,_calc!$E$968)),TEXT(INDEX('Dealer pipeline'!$J$4:$J$503,_calc!$E$968),"yyyy-mm-dd"),""))=0,"","Parts end: "&amp;IF(ISNUMBER(INDEX('Dealer pipeline'!$J$4:$J$503,_calc!$E$968)),TEXT(INDEX('Dealer pipeline'!$J$4:$J$503,_calc!$E$968),"yyyy-mm-dd"),"")&amp;". ")&amp;IF(LEN(IF(ISNUMBER(INDEX('Dealer pipeline'!$L$4:$L$503,_calc!$E$968)),TEXT(INDEX('Dealer pipeline'!$L$4:$L$503,_calc!$E$968),"yyyy-mm-dd"),""))=0,"","Labor end: "&amp;IF(ISNUMBER(INDEX('Dealer pipeline'!$L$4:$L$503,_calc!$E$968)),TEXT(INDEX('Dealer pipeline'!$L$4:$L$503,_calc!$E$968),"yyyy-mm-dd"),"")&amp;". ")&amp;IF(LEN(IF(LEN(INDEX('Dealer pipeline'!$Q$4:$Q$503,_calc!$E$968))=0,"",INDEX('Dealer pipeline'!$Q$4:$Q$503,_calc!$E$968)))=0,"","Status: "&amp;IF(LEN(INDEX('Dealer pipeline'!$Q$4:$Q$503,_calc!$E$968))=0,"",INDEX('Dealer pipeline'!$Q$4:$Q$503,_calc!$E$968))&amp;". ")&amp;IF(LEN(IF(LEN(INDEX('Dealer pipeline'!$P$4:$P$503,_calc!$E$968))=0,"",INDEX('Dealer pipeline'!$P$4:$P$503,_calc!$E$968)))=0,"","Last touch: "&amp;IF(LEN(INDEX('Dealer pipeline'!$P$4:$P$503,_calc!$E$968))=0,"",INDEX('Dealer pipeline'!$P$4:$P$503,_calc!$E$968))&amp;". ")&amp;IF(LEN(IF(LEN(INDEX('Dealer pipeline'!$R$4:$R$503,_calc!$E$968))=0,"",INDEX('Dealer pipeline'!$R$4:$R$503,_calc!$E$968)))=0,"","Owner: "&amp;IF(LEN(INDEX('Dealer pipeline'!$R$4:$R$503,_calc!$E$968))=0,"",INDEX('Dealer pipeline'!$R$4:$R$503,_calc!$E$968))&amp;". ")&amp;IF(LEN(IF(LEN(INDEX('Dealer pipeline'!$S$4:$S$503,_calc!$E$968))=0,"",INDEX('Dealer pipeline'!$S$4:$S$503,_calc!$E$968)))=0,"","Backup: "&amp;IF(LEN(INDEX('Dealer pipeline'!$S$4:$S$503,_calc!$E$968))=0,"",INDEX('Dealer pipeline'!$S$4:$S$503,_calc!$E$968))&amp;". ")&amp;IF(LEN(IF(LEN(INDEX('Dealer pipeline'!$T$4:$T$503,_calc!$E$968))=0,"",INDEX('Dealer pipeline'!$T$4:$T$503,_calc!$E$968)))=0,"",IF(LEN(INDEX('Dealer pipeline'!$T$4:$T$503,_calc!$E$968))=0,"",INDEX('Dealer pipeline'!$T$4:$T$503,_calc!$E$968)))),TRIM(IF(LEN(IF(LEN(INDEX('My equipment'!$C$4:$C$503,(_calc!$E$968-500)))=0,"",INDEX('My equipment'!$C$4:$C$503,(_calc!$E$968-500))))=0,"","Model: "&amp;IF(LEN(INDEX('My equipment'!$C$4:$C$503,(_calc!$E$968-500)))=0,"",INDEX('My equipment'!$C$4:$C$503,(_calc!$E$968-500)))&amp;". ")&amp;IF(LEN(IF(LEN(INDEX('My equipment'!$D$4:$D$503,(_calc!$E$968-500)))=0,"",INDEX('My equipment'!$D$4:$D$503,(_calc!$E$968-500))))=0,"","Serial: "&amp;IF(LEN(INDEX('My equipment'!$D$4:$D$503,(_calc!$E$968-500)))=0,"",INDEX('My equipment'!$D$4:$D$503,(_calc!$E$968-500)))&amp;". ")&amp;IF(LEN(IF(ISNUMBER(INDEX('My equipment'!$J$4:$J$503,(_calc!$E$968-500))),TEXT(INDEX('My equipment'!$J$4:$J$503,(_calc!$E$968-500)),"yyyy-mm-dd"),""))=0,"","Parts end: "&amp;IF(ISNUMBER(INDEX('My equipment'!$J$4:$J$503,(_calc!$E$968-500))),TEXT(INDEX('My equipment'!$J$4:$J$503,(_calc!$E$968-500)),"yyyy-mm-dd"),"")&amp;". ")&amp;IF(LEN(IF(ISNUMBER(INDEX('My equipment'!$L$4:$L$503,(_calc!$E$968-500))),TEXT(INDEX('My equipment'!$L$4:$L$503,(_calc!$E$968-500)),"yyyy-mm-dd"),""))=0,"","Labor end: "&amp;IF(ISNUMBER(INDEX('My equipment'!$L$4:$L$503,(_calc!$E$968-500))),TEXT(INDEX('My equipment'!$L$4:$L$503,(_calc!$E$968-500)),"yyyy-mm-dd"),"")&amp;". ")&amp;IF(LEN(IF(ISNUMBER(INDEX('My equipment'!$P$4:$P$503,(_calc!$E$968-500))),TEXT(INDEX('My equipment'!$P$4:$P$503,(_calc!$E$968-500)),"yyyy-mm-dd"),""))=0,"","Check by: "&amp;IF(ISNUMBER(INDEX('My equipment'!$P$4:$P$503,(_calc!$E$968-500))),TEXT(INDEX('My equipment'!$P$4:$P$503,(_calc!$E$968-500)),"yyyy-mm-dd"),"")&amp;". ")&amp;IF(LEN(IF(LEN(INDEX('My equipment'!$Q$4:$Q$503,(_calc!$E$968-500)))=0,"",INDEX('My equipment'!$Q$4:$Q$503,(_calc!$E$968-500))))=0,"","Claim status: "&amp;IF(LEN(INDEX('My equipment'!$Q$4:$Q$503,(_calc!$E$968-500)))=0,"",INDEX('My equipment'!$Q$4:$Q$503,(_calc!$E$968-500)))&amp;". ")&amp;IF(LEN(IF(LEN(INDEX('My equipment'!$R$4:$R$503,(_calc!$E$968-500)))=0,"",INDEX('My equipment'!$R$4:$R$503,(_calc!$E$968-500))))=0,"","Claims contact: "&amp;IF(LEN(INDEX('My equipment'!$R$4:$R$503,(_calc!$E$968-500)))=0,"",INDEX('My equipment'!$R$4:$R$503,(_calc!$E$968-500)))&amp;". ")&amp;IF(LEN(IF(LEN(INDEX('My equipment'!$S$4:$S$503,(_calc!$E$968-500)))=0,"",INDEX('My equipment'!$S$4:$S$503,(_calc!$E$968-500))))=0,"","Claims email: "&amp;IF(LEN(INDEX('My equipment'!$S$4:$S$503,(_calc!$E$968-500)))=0,"",INDEX('My equipment'!$S$4:$S$503,(_calc!$E$968-500)))&amp;". ")&amp;IF(LEN(IF(LEN(INDEX('My equipment'!$U$4:$U$503,(_calc!$E$968-500)))=0,"",INDEX('My equipment'!$U$4:$U$503,(_calc!$E$968-500))))=0,"","Registered: "&amp;IF(LEN(INDEX('My equipment'!$U$4:$U$503,(_calc!$E$968-500)))=0,"",INDEX('My equipment'!$U$4:$U$503,(_calc!$E$968-500)))&amp;". ")&amp;IF(LEN(IF(LEN(INDEX('My equipment'!$V$4:$V$503,(_calc!$E$968-500)))=0,"",INDEX('My equipment'!$V$4:$V$503,(_calc!$E$968-500))))=0,"","Proof on file: "&amp;IF(LEN(INDEX('My equipment'!$V$4:$V$503,(_calc!$E$968-500)))=0,"",INDEX('My equipment'!$V$4:$V$503,(_calc!$E$968-500)))&amp;". ")&amp;IF(LEN(IF(LEN(INDEX('My equipment'!$W$4:$W$503,(_calc!$E$968-500)))=0,"",INDEX('My equipment'!$W$4:$W$503,(_calc!$E$968-500))))=0,"","Claim ref: "&amp;IF(LEN(INDEX('My equipment'!$W$4:$W$503,(_calc!$E$968-500)))=0,"",INDEX('My equipment'!$W$4:$W$503,(_calc!$E$968-500)))&amp;". ")&amp;IF(LEN(IF(LEN(INDEX('My equipment'!$Y$4:$Y$503,(_calc!$E$968-500)))=0,"",INDEX('My equipment'!$Y$4:$Y$503,(_calc!$E$968-500))))=0,"",IF(LEN(INDEX('My equipment'!$Y$4:$Y$503,(_calc!$E$968-500)))=0,"",INDEX('My equipment'!$Y$4:$Y$503,(_calc!$E$968-500)))))))</f>
        <v/>
      </c>
      <c r="G966" s="54">
        <f>IF(_calc!$E$968="","",IF(_calc!$E$968&lt;=500,"",IF(LEN(INDEX('My equipment'!$X$4:$X$503,(_calc!$E$968-500)))=0,"",INDEX('My equipment'!$X$4:$X$503,(_calc!$E$968-500)))))</f>
        <v/>
      </c>
      <c r="K966" s="54">
        <f>IF(_calc!$E$968="","",IF(_calc!$E$968&lt;=500,"",IF(LEN(INDEX('My equipment'!$T$4:$T$503,(_calc!$E$968-500)))=0,"",INDEX('My equipment'!$T$4:$T$503,(_calc!$E$968-500)))))</f>
        <v/>
      </c>
    </row>
    <row r="967">
      <c r="A967" s="54">
        <f>IF(_calc!$E$969="","",IF(_calc!$E$969&lt;=500,"Warranty – "&amp;IF(LEN(INDEX('Dealer pipeline'!$C$4:$C$503,_calc!$E$969))=0,"",INDEX('Dealer pipeline'!$C$4:$C$503,_calc!$E$969))&amp;" – "&amp;IF(LEN(INDEX('Dealer pipeline'!$D$4:$D$503,_calc!$E$969))=0,"",INDEX('Dealer pipeline'!$D$4:$D$503,_calc!$E$969))&amp;" – "&amp;IF(LEN(INDEX('Dealer pipeline'!$A$4:$A$503,_calc!$E$969))=0,"",INDEX('Dealer pipeline'!$A$4:$A$503,_calc!$E$969)),"Warranty – "&amp;IF(LEN(INDEX('My equipment'!$A$4:$A$503,(_calc!$E$969-500)))=0,"",INDEX('My equipment'!$A$4:$A$503,(_calc!$E$969-500)))&amp;" – "&amp;IF(LEN(INDEX('My equipment'!$D$4:$D$503,(_calc!$E$969-500)))=0,"",INDEX('My equipment'!$D$4:$D$503,(_calc!$E$969-500)))))</f>
        <v/>
      </c>
      <c r="B967" s="54">
        <f>IF(_calc!$E$969="","",IF(_calc!$E$969&lt;=500,IF(ISNUMBER(INDEX('Dealer pipeline'!$M$4:$M$503,_calc!$E$969)),TEXT(INDEX('Dealer pipeline'!$M$4:$M$503,_calc!$E$969),"yyyy-mm-dd"),""),IF(ISNUMBER(INDEX('My equipment'!$M$4:$M$503,(_calc!$E$969-500))),TEXT(INDEX('My equipment'!$M$4:$M$503,(_calc!$E$969-500)),"yyyy-mm-dd"),"")))</f>
        <v/>
      </c>
      <c r="C967" s="54">
        <f>IF(_calc!$E$969="","",IF(_calc!$E$969&lt;=500,"Warranty","Warranty"))</f>
        <v/>
      </c>
      <c r="D967" s="54">
        <f>IF(_calc!$E$969="","",IF(_calc!$E$969&lt;=500,IF(ISNUMBER(INDEX('Dealer pipeline'!$H$4:$H$503,_calc!$E$969)),TEXT(INDEX('Dealer pipeline'!$H$4:$H$503,_calc!$E$969),"yyyy-mm-dd"),""),IF(ISNUMBER(INDEX('My equipment'!$H$4:$H$503,(_calc!$E$969-500))),TEXT(INDEX('My equipment'!$H$4:$H$503,(_calc!$E$969-500)),"yyyy-mm-dd"),"")))</f>
        <v/>
      </c>
      <c r="F967" s="54">
        <f>IF(_calc!$E$969="","",IF(_calc!$E$969&lt;=500,TRIM(IF(LEN(IF(LEN(INDEX('Dealer pipeline'!$A$4:$A$503,_calc!$E$969))=0,"",INDEX('Dealer pipeline'!$A$4:$A$503,_calc!$E$969)))=0,"","Customer: "&amp;IF(LEN(INDEX('Dealer pipeline'!$A$4:$A$503,_calc!$E$969))=0,"",INDEX('Dealer pipeline'!$A$4:$A$503,_calc!$E$969))&amp;". ")&amp;IF(LEN(IF(LEN(INDEX('Dealer pipeline'!$B$4:$B$503,_calc!$E$969))=0,"",INDEX('Dealer pipeline'!$B$4:$B$503,_calc!$E$969)))=0,"","Contact: "&amp;IF(LEN(INDEX('Dealer pipeline'!$B$4:$B$503,_calc!$E$969))=0,"",INDEX('Dealer pipeline'!$B$4:$B$503,_calc!$E$969))&amp;". ")&amp;IF(LEN(IF(LEN(INDEX('Dealer pipeline'!$D$4:$D$503,_calc!$E$969))=0,"",INDEX('Dealer pipeline'!$D$4:$D$503,_calc!$E$969)))=0,"","Serial: "&amp;IF(LEN(INDEX('Dealer pipeline'!$D$4:$D$503,_calc!$E$969))=0,"",INDEX('Dealer pipeline'!$D$4:$D$503,_calc!$E$969))&amp;". ")&amp;IF(LEN(IF(ISNUMBER(INDEX('Dealer pipeline'!$J$4:$J$503,_calc!$E$969)),TEXT(INDEX('Dealer pipeline'!$J$4:$J$503,_calc!$E$969),"yyyy-mm-dd"),""))=0,"","Parts end: "&amp;IF(ISNUMBER(INDEX('Dealer pipeline'!$J$4:$J$503,_calc!$E$969)),TEXT(INDEX('Dealer pipeline'!$J$4:$J$503,_calc!$E$969),"yyyy-mm-dd"),"")&amp;". ")&amp;IF(LEN(IF(ISNUMBER(INDEX('Dealer pipeline'!$L$4:$L$503,_calc!$E$969)),TEXT(INDEX('Dealer pipeline'!$L$4:$L$503,_calc!$E$969),"yyyy-mm-dd"),""))=0,"","Labor end: "&amp;IF(ISNUMBER(INDEX('Dealer pipeline'!$L$4:$L$503,_calc!$E$969)),TEXT(INDEX('Dealer pipeline'!$L$4:$L$503,_calc!$E$969),"yyyy-mm-dd"),"")&amp;". ")&amp;IF(LEN(IF(LEN(INDEX('Dealer pipeline'!$Q$4:$Q$503,_calc!$E$969))=0,"",INDEX('Dealer pipeline'!$Q$4:$Q$503,_calc!$E$969)))=0,"","Status: "&amp;IF(LEN(INDEX('Dealer pipeline'!$Q$4:$Q$503,_calc!$E$969))=0,"",INDEX('Dealer pipeline'!$Q$4:$Q$503,_calc!$E$969))&amp;". ")&amp;IF(LEN(IF(LEN(INDEX('Dealer pipeline'!$P$4:$P$503,_calc!$E$969))=0,"",INDEX('Dealer pipeline'!$P$4:$P$503,_calc!$E$969)))=0,"","Last touch: "&amp;IF(LEN(INDEX('Dealer pipeline'!$P$4:$P$503,_calc!$E$969))=0,"",INDEX('Dealer pipeline'!$P$4:$P$503,_calc!$E$969))&amp;". ")&amp;IF(LEN(IF(LEN(INDEX('Dealer pipeline'!$R$4:$R$503,_calc!$E$969))=0,"",INDEX('Dealer pipeline'!$R$4:$R$503,_calc!$E$969)))=0,"","Owner: "&amp;IF(LEN(INDEX('Dealer pipeline'!$R$4:$R$503,_calc!$E$969))=0,"",INDEX('Dealer pipeline'!$R$4:$R$503,_calc!$E$969))&amp;". ")&amp;IF(LEN(IF(LEN(INDEX('Dealer pipeline'!$S$4:$S$503,_calc!$E$969))=0,"",INDEX('Dealer pipeline'!$S$4:$S$503,_calc!$E$969)))=0,"","Backup: "&amp;IF(LEN(INDEX('Dealer pipeline'!$S$4:$S$503,_calc!$E$969))=0,"",INDEX('Dealer pipeline'!$S$4:$S$503,_calc!$E$969))&amp;". ")&amp;IF(LEN(IF(LEN(INDEX('Dealer pipeline'!$T$4:$T$503,_calc!$E$969))=0,"",INDEX('Dealer pipeline'!$T$4:$T$503,_calc!$E$969)))=0,"",IF(LEN(INDEX('Dealer pipeline'!$T$4:$T$503,_calc!$E$969))=0,"",INDEX('Dealer pipeline'!$T$4:$T$503,_calc!$E$969)))),TRIM(IF(LEN(IF(LEN(INDEX('My equipment'!$C$4:$C$503,(_calc!$E$969-500)))=0,"",INDEX('My equipment'!$C$4:$C$503,(_calc!$E$969-500))))=0,"","Model: "&amp;IF(LEN(INDEX('My equipment'!$C$4:$C$503,(_calc!$E$969-500)))=0,"",INDEX('My equipment'!$C$4:$C$503,(_calc!$E$969-500)))&amp;". ")&amp;IF(LEN(IF(LEN(INDEX('My equipment'!$D$4:$D$503,(_calc!$E$969-500)))=0,"",INDEX('My equipment'!$D$4:$D$503,(_calc!$E$969-500))))=0,"","Serial: "&amp;IF(LEN(INDEX('My equipment'!$D$4:$D$503,(_calc!$E$969-500)))=0,"",INDEX('My equipment'!$D$4:$D$503,(_calc!$E$969-500)))&amp;". ")&amp;IF(LEN(IF(ISNUMBER(INDEX('My equipment'!$J$4:$J$503,(_calc!$E$969-500))),TEXT(INDEX('My equipment'!$J$4:$J$503,(_calc!$E$969-500)),"yyyy-mm-dd"),""))=0,"","Parts end: "&amp;IF(ISNUMBER(INDEX('My equipment'!$J$4:$J$503,(_calc!$E$969-500))),TEXT(INDEX('My equipment'!$J$4:$J$503,(_calc!$E$969-500)),"yyyy-mm-dd"),"")&amp;". ")&amp;IF(LEN(IF(ISNUMBER(INDEX('My equipment'!$L$4:$L$503,(_calc!$E$969-500))),TEXT(INDEX('My equipment'!$L$4:$L$503,(_calc!$E$969-500)),"yyyy-mm-dd"),""))=0,"","Labor end: "&amp;IF(ISNUMBER(INDEX('My equipment'!$L$4:$L$503,(_calc!$E$969-500))),TEXT(INDEX('My equipment'!$L$4:$L$503,(_calc!$E$969-500)),"yyyy-mm-dd"),"")&amp;". ")&amp;IF(LEN(IF(ISNUMBER(INDEX('My equipment'!$P$4:$P$503,(_calc!$E$969-500))),TEXT(INDEX('My equipment'!$P$4:$P$503,(_calc!$E$969-500)),"yyyy-mm-dd"),""))=0,"","Check by: "&amp;IF(ISNUMBER(INDEX('My equipment'!$P$4:$P$503,(_calc!$E$969-500))),TEXT(INDEX('My equipment'!$P$4:$P$503,(_calc!$E$969-500)),"yyyy-mm-dd"),"")&amp;". ")&amp;IF(LEN(IF(LEN(INDEX('My equipment'!$Q$4:$Q$503,(_calc!$E$969-500)))=0,"",INDEX('My equipment'!$Q$4:$Q$503,(_calc!$E$969-500))))=0,"","Claim status: "&amp;IF(LEN(INDEX('My equipment'!$Q$4:$Q$503,(_calc!$E$969-500)))=0,"",INDEX('My equipment'!$Q$4:$Q$503,(_calc!$E$969-500)))&amp;". ")&amp;IF(LEN(IF(LEN(INDEX('My equipment'!$R$4:$R$503,(_calc!$E$969-500)))=0,"",INDEX('My equipment'!$R$4:$R$503,(_calc!$E$969-500))))=0,"","Claims contact: "&amp;IF(LEN(INDEX('My equipment'!$R$4:$R$503,(_calc!$E$969-500)))=0,"",INDEX('My equipment'!$R$4:$R$503,(_calc!$E$969-500)))&amp;". ")&amp;IF(LEN(IF(LEN(INDEX('My equipment'!$S$4:$S$503,(_calc!$E$969-500)))=0,"",INDEX('My equipment'!$S$4:$S$503,(_calc!$E$969-500))))=0,"","Claims email: "&amp;IF(LEN(INDEX('My equipment'!$S$4:$S$503,(_calc!$E$969-500)))=0,"",INDEX('My equipment'!$S$4:$S$503,(_calc!$E$969-500)))&amp;". ")&amp;IF(LEN(IF(LEN(INDEX('My equipment'!$U$4:$U$503,(_calc!$E$969-500)))=0,"",INDEX('My equipment'!$U$4:$U$503,(_calc!$E$969-500))))=0,"","Registered: "&amp;IF(LEN(INDEX('My equipment'!$U$4:$U$503,(_calc!$E$969-500)))=0,"",INDEX('My equipment'!$U$4:$U$503,(_calc!$E$969-500)))&amp;". ")&amp;IF(LEN(IF(LEN(INDEX('My equipment'!$V$4:$V$503,(_calc!$E$969-500)))=0,"",INDEX('My equipment'!$V$4:$V$503,(_calc!$E$969-500))))=0,"","Proof on file: "&amp;IF(LEN(INDEX('My equipment'!$V$4:$V$503,(_calc!$E$969-500)))=0,"",INDEX('My equipment'!$V$4:$V$503,(_calc!$E$969-500)))&amp;". ")&amp;IF(LEN(IF(LEN(INDEX('My equipment'!$W$4:$W$503,(_calc!$E$969-500)))=0,"",INDEX('My equipment'!$W$4:$W$503,(_calc!$E$969-500))))=0,"","Claim ref: "&amp;IF(LEN(INDEX('My equipment'!$W$4:$W$503,(_calc!$E$969-500)))=0,"",INDEX('My equipment'!$W$4:$W$503,(_calc!$E$969-500)))&amp;". ")&amp;IF(LEN(IF(LEN(INDEX('My equipment'!$Y$4:$Y$503,(_calc!$E$969-500)))=0,"",INDEX('My equipment'!$Y$4:$Y$503,(_calc!$E$969-500))))=0,"",IF(LEN(INDEX('My equipment'!$Y$4:$Y$503,(_calc!$E$969-500)))=0,"",INDEX('My equipment'!$Y$4:$Y$503,(_calc!$E$969-500)))))))</f>
        <v/>
      </c>
      <c r="G967" s="54">
        <f>IF(_calc!$E$969="","",IF(_calc!$E$969&lt;=500,"",IF(LEN(INDEX('My equipment'!$X$4:$X$503,(_calc!$E$969-500)))=0,"",INDEX('My equipment'!$X$4:$X$503,(_calc!$E$969-500)))))</f>
        <v/>
      </c>
      <c r="K967" s="54">
        <f>IF(_calc!$E$969="","",IF(_calc!$E$969&lt;=500,"",IF(LEN(INDEX('My equipment'!$T$4:$T$503,(_calc!$E$969-500)))=0,"",INDEX('My equipment'!$T$4:$T$503,(_calc!$E$969-500)))))</f>
        <v/>
      </c>
    </row>
    <row r="968">
      <c r="A968" s="54">
        <f>IF(_calc!$E$970="","",IF(_calc!$E$970&lt;=500,"Warranty – "&amp;IF(LEN(INDEX('Dealer pipeline'!$C$4:$C$503,_calc!$E$970))=0,"",INDEX('Dealer pipeline'!$C$4:$C$503,_calc!$E$970))&amp;" – "&amp;IF(LEN(INDEX('Dealer pipeline'!$D$4:$D$503,_calc!$E$970))=0,"",INDEX('Dealer pipeline'!$D$4:$D$503,_calc!$E$970))&amp;" – "&amp;IF(LEN(INDEX('Dealer pipeline'!$A$4:$A$503,_calc!$E$970))=0,"",INDEX('Dealer pipeline'!$A$4:$A$503,_calc!$E$970)),"Warranty – "&amp;IF(LEN(INDEX('My equipment'!$A$4:$A$503,(_calc!$E$970-500)))=0,"",INDEX('My equipment'!$A$4:$A$503,(_calc!$E$970-500)))&amp;" – "&amp;IF(LEN(INDEX('My equipment'!$D$4:$D$503,(_calc!$E$970-500)))=0,"",INDEX('My equipment'!$D$4:$D$503,(_calc!$E$970-500)))))</f>
        <v/>
      </c>
      <c r="B968" s="54">
        <f>IF(_calc!$E$970="","",IF(_calc!$E$970&lt;=500,IF(ISNUMBER(INDEX('Dealer pipeline'!$M$4:$M$503,_calc!$E$970)),TEXT(INDEX('Dealer pipeline'!$M$4:$M$503,_calc!$E$970),"yyyy-mm-dd"),""),IF(ISNUMBER(INDEX('My equipment'!$M$4:$M$503,(_calc!$E$970-500))),TEXT(INDEX('My equipment'!$M$4:$M$503,(_calc!$E$970-500)),"yyyy-mm-dd"),"")))</f>
        <v/>
      </c>
      <c r="C968" s="54">
        <f>IF(_calc!$E$970="","",IF(_calc!$E$970&lt;=500,"Warranty","Warranty"))</f>
        <v/>
      </c>
      <c r="D968" s="54">
        <f>IF(_calc!$E$970="","",IF(_calc!$E$970&lt;=500,IF(ISNUMBER(INDEX('Dealer pipeline'!$H$4:$H$503,_calc!$E$970)),TEXT(INDEX('Dealer pipeline'!$H$4:$H$503,_calc!$E$970),"yyyy-mm-dd"),""),IF(ISNUMBER(INDEX('My equipment'!$H$4:$H$503,(_calc!$E$970-500))),TEXT(INDEX('My equipment'!$H$4:$H$503,(_calc!$E$970-500)),"yyyy-mm-dd"),"")))</f>
        <v/>
      </c>
      <c r="F968" s="54">
        <f>IF(_calc!$E$970="","",IF(_calc!$E$970&lt;=500,TRIM(IF(LEN(IF(LEN(INDEX('Dealer pipeline'!$A$4:$A$503,_calc!$E$970))=0,"",INDEX('Dealer pipeline'!$A$4:$A$503,_calc!$E$970)))=0,"","Customer: "&amp;IF(LEN(INDEX('Dealer pipeline'!$A$4:$A$503,_calc!$E$970))=0,"",INDEX('Dealer pipeline'!$A$4:$A$503,_calc!$E$970))&amp;". ")&amp;IF(LEN(IF(LEN(INDEX('Dealer pipeline'!$B$4:$B$503,_calc!$E$970))=0,"",INDEX('Dealer pipeline'!$B$4:$B$503,_calc!$E$970)))=0,"","Contact: "&amp;IF(LEN(INDEX('Dealer pipeline'!$B$4:$B$503,_calc!$E$970))=0,"",INDEX('Dealer pipeline'!$B$4:$B$503,_calc!$E$970))&amp;". ")&amp;IF(LEN(IF(LEN(INDEX('Dealer pipeline'!$D$4:$D$503,_calc!$E$970))=0,"",INDEX('Dealer pipeline'!$D$4:$D$503,_calc!$E$970)))=0,"","Serial: "&amp;IF(LEN(INDEX('Dealer pipeline'!$D$4:$D$503,_calc!$E$970))=0,"",INDEX('Dealer pipeline'!$D$4:$D$503,_calc!$E$970))&amp;". ")&amp;IF(LEN(IF(ISNUMBER(INDEX('Dealer pipeline'!$J$4:$J$503,_calc!$E$970)),TEXT(INDEX('Dealer pipeline'!$J$4:$J$503,_calc!$E$970),"yyyy-mm-dd"),""))=0,"","Parts end: "&amp;IF(ISNUMBER(INDEX('Dealer pipeline'!$J$4:$J$503,_calc!$E$970)),TEXT(INDEX('Dealer pipeline'!$J$4:$J$503,_calc!$E$970),"yyyy-mm-dd"),"")&amp;". ")&amp;IF(LEN(IF(ISNUMBER(INDEX('Dealer pipeline'!$L$4:$L$503,_calc!$E$970)),TEXT(INDEX('Dealer pipeline'!$L$4:$L$503,_calc!$E$970),"yyyy-mm-dd"),""))=0,"","Labor end: "&amp;IF(ISNUMBER(INDEX('Dealer pipeline'!$L$4:$L$503,_calc!$E$970)),TEXT(INDEX('Dealer pipeline'!$L$4:$L$503,_calc!$E$970),"yyyy-mm-dd"),"")&amp;". ")&amp;IF(LEN(IF(LEN(INDEX('Dealer pipeline'!$Q$4:$Q$503,_calc!$E$970))=0,"",INDEX('Dealer pipeline'!$Q$4:$Q$503,_calc!$E$970)))=0,"","Status: "&amp;IF(LEN(INDEX('Dealer pipeline'!$Q$4:$Q$503,_calc!$E$970))=0,"",INDEX('Dealer pipeline'!$Q$4:$Q$503,_calc!$E$970))&amp;". ")&amp;IF(LEN(IF(LEN(INDEX('Dealer pipeline'!$P$4:$P$503,_calc!$E$970))=0,"",INDEX('Dealer pipeline'!$P$4:$P$503,_calc!$E$970)))=0,"","Last touch: "&amp;IF(LEN(INDEX('Dealer pipeline'!$P$4:$P$503,_calc!$E$970))=0,"",INDEX('Dealer pipeline'!$P$4:$P$503,_calc!$E$970))&amp;". ")&amp;IF(LEN(IF(LEN(INDEX('Dealer pipeline'!$R$4:$R$503,_calc!$E$970))=0,"",INDEX('Dealer pipeline'!$R$4:$R$503,_calc!$E$970)))=0,"","Owner: "&amp;IF(LEN(INDEX('Dealer pipeline'!$R$4:$R$503,_calc!$E$970))=0,"",INDEX('Dealer pipeline'!$R$4:$R$503,_calc!$E$970))&amp;". ")&amp;IF(LEN(IF(LEN(INDEX('Dealer pipeline'!$S$4:$S$503,_calc!$E$970))=0,"",INDEX('Dealer pipeline'!$S$4:$S$503,_calc!$E$970)))=0,"","Backup: "&amp;IF(LEN(INDEX('Dealer pipeline'!$S$4:$S$503,_calc!$E$970))=0,"",INDEX('Dealer pipeline'!$S$4:$S$503,_calc!$E$970))&amp;". ")&amp;IF(LEN(IF(LEN(INDEX('Dealer pipeline'!$T$4:$T$503,_calc!$E$970))=0,"",INDEX('Dealer pipeline'!$T$4:$T$503,_calc!$E$970)))=0,"",IF(LEN(INDEX('Dealer pipeline'!$T$4:$T$503,_calc!$E$970))=0,"",INDEX('Dealer pipeline'!$T$4:$T$503,_calc!$E$970)))),TRIM(IF(LEN(IF(LEN(INDEX('My equipment'!$C$4:$C$503,(_calc!$E$970-500)))=0,"",INDEX('My equipment'!$C$4:$C$503,(_calc!$E$970-500))))=0,"","Model: "&amp;IF(LEN(INDEX('My equipment'!$C$4:$C$503,(_calc!$E$970-500)))=0,"",INDEX('My equipment'!$C$4:$C$503,(_calc!$E$970-500)))&amp;". ")&amp;IF(LEN(IF(LEN(INDEX('My equipment'!$D$4:$D$503,(_calc!$E$970-500)))=0,"",INDEX('My equipment'!$D$4:$D$503,(_calc!$E$970-500))))=0,"","Serial: "&amp;IF(LEN(INDEX('My equipment'!$D$4:$D$503,(_calc!$E$970-500)))=0,"",INDEX('My equipment'!$D$4:$D$503,(_calc!$E$970-500)))&amp;". ")&amp;IF(LEN(IF(ISNUMBER(INDEX('My equipment'!$J$4:$J$503,(_calc!$E$970-500))),TEXT(INDEX('My equipment'!$J$4:$J$503,(_calc!$E$970-500)),"yyyy-mm-dd"),""))=0,"","Parts end: "&amp;IF(ISNUMBER(INDEX('My equipment'!$J$4:$J$503,(_calc!$E$970-500))),TEXT(INDEX('My equipment'!$J$4:$J$503,(_calc!$E$970-500)),"yyyy-mm-dd"),"")&amp;". ")&amp;IF(LEN(IF(ISNUMBER(INDEX('My equipment'!$L$4:$L$503,(_calc!$E$970-500))),TEXT(INDEX('My equipment'!$L$4:$L$503,(_calc!$E$970-500)),"yyyy-mm-dd"),""))=0,"","Labor end: "&amp;IF(ISNUMBER(INDEX('My equipment'!$L$4:$L$503,(_calc!$E$970-500))),TEXT(INDEX('My equipment'!$L$4:$L$503,(_calc!$E$970-500)),"yyyy-mm-dd"),"")&amp;". ")&amp;IF(LEN(IF(ISNUMBER(INDEX('My equipment'!$P$4:$P$503,(_calc!$E$970-500))),TEXT(INDEX('My equipment'!$P$4:$P$503,(_calc!$E$970-500)),"yyyy-mm-dd"),""))=0,"","Check by: "&amp;IF(ISNUMBER(INDEX('My equipment'!$P$4:$P$503,(_calc!$E$970-500))),TEXT(INDEX('My equipment'!$P$4:$P$503,(_calc!$E$970-500)),"yyyy-mm-dd"),"")&amp;". ")&amp;IF(LEN(IF(LEN(INDEX('My equipment'!$Q$4:$Q$503,(_calc!$E$970-500)))=0,"",INDEX('My equipment'!$Q$4:$Q$503,(_calc!$E$970-500))))=0,"","Claim status: "&amp;IF(LEN(INDEX('My equipment'!$Q$4:$Q$503,(_calc!$E$970-500)))=0,"",INDEX('My equipment'!$Q$4:$Q$503,(_calc!$E$970-500)))&amp;". ")&amp;IF(LEN(IF(LEN(INDEX('My equipment'!$R$4:$R$503,(_calc!$E$970-500)))=0,"",INDEX('My equipment'!$R$4:$R$503,(_calc!$E$970-500))))=0,"","Claims contact: "&amp;IF(LEN(INDEX('My equipment'!$R$4:$R$503,(_calc!$E$970-500)))=0,"",INDEX('My equipment'!$R$4:$R$503,(_calc!$E$970-500)))&amp;". ")&amp;IF(LEN(IF(LEN(INDEX('My equipment'!$S$4:$S$503,(_calc!$E$970-500)))=0,"",INDEX('My equipment'!$S$4:$S$503,(_calc!$E$970-500))))=0,"","Claims email: "&amp;IF(LEN(INDEX('My equipment'!$S$4:$S$503,(_calc!$E$970-500)))=0,"",INDEX('My equipment'!$S$4:$S$503,(_calc!$E$970-500)))&amp;". ")&amp;IF(LEN(IF(LEN(INDEX('My equipment'!$U$4:$U$503,(_calc!$E$970-500)))=0,"",INDEX('My equipment'!$U$4:$U$503,(_calc!$E$970-500))))=0,"","Registered: "&amp;IF(LEN(INDEX('My equipment'!$U$4:$U$503,(_calc!$E$970-500)))=0,"",INDEX('My equipment'!$U$4:$U$503,(_calc!$E$970-500)))&amp;". ")&amp;IF(LEN(IF(LEN(INDEX('My equipment'!$V$4:$V$503,(_calc!$E$970-500)))=0,"",INDEX('My equipment'!$V$4:$V$503,(_calc!$E$970-500))))=0,"","Proof on file: "&amp;IF(LEN(INDEX('My equipment'!$V$4:$V$503,(_calc!$E$970-500)))=0,"",INDEX('My equipment'!$V$4:$V$503,(_calc!$E$970-500)))&amp;". ")&amp;IF(LEN(IF(LEN(INDEX('My equipment'!$W$4:$W$503,(_calc!$E$970-500)))=0,"",INDEX('My equipment'!$W$4:$W$503,(_calc!$E$970-500))))=0,"","Claim ref: "&amp;IF(LEN(INDEX('My equipment'!$W$4:$W$503,(_calc!$E$970-500)))=0,"",INDEX('My equipment'!$W$4:$W$503,(_calc!$E$970-500)))&amp;". ")&amp;IF(LEN(IF(LEN(INDEX('My equipment'!$Y$4:$Y$503,(_calc!$E$970-500)))=0,"",INDEX('My equipment'!$Y$4:$Y$503,(_calc!$E$970-500))))=0,"",IF(LEN(INDEX('My equipment'!$Y$4:$Y$503,(_calc!$E$970-500)))=0,"",INDEX('My equipment'!$Y$4:$Y$503,(_calc!$E$970-500)))))))</f>
        <v/>
      </c>
      <c r="G968" s="54">
        <f>IF(_calc!$E$970="","",IF(_calc!$E$970&lt;=500,"",IF(LEN(INDEX('My equipment'!$X$4:$X$503,(_calc!$E$970-500)))=0,"",INDEX('My equipment'!$X$4:$X$503,(_calc!$E$970-500)))))</f>
        <v/>
      </c>
      <c r="K968" s="54">
        <f>IF(_calc!$E$970="","",IF(_calc!$E$970&lt;=500,"",IF(LEN(INDEX('My equipment'!$T$4:$T$503,(_calc!$E$970-500)))=0,"",INDEX('My equipment'!$T$4:$T$503,(_calc!$E$970-500)))))</f>
        <v/>
      </c>
    </row>
    <row r="969">
      <c r="A969" s="54">
        <f>IF(_calc!$E$971="","",IF(_calc!$E$971&lt;=500,"Warranty – "&amp;IF(LEN(INDEX('Dealer pipeline'!$C$4:$C$503,_calc!$E$971))=0,"",INDEX('Dealer pipeline'!$C$4:$C$503,_calc!$E$971))&amp;" – "&amp;IF(LEN(INDEX('Dealer pipeline'!$D$4:$D$503,_calc!$E$971))=0,"",INDEX('Dealer pipeline'!$D$4:$D$503,_calc!$E$971))&amp;" – "&amp;IF(LEN(INDEX('Dealer pipeline'!$A$4:$A$503,_calc!$E$971))=0,"",INDEX('Dealer pipeline'!$A$4:$A$503,_calc!$E$971)),"Warranty – "&amp;IF(LEN(INDEX('My equipment'!$A$4:$A$503,(_calc!$E$971-500)))=0,"",INDEX('My equipment'!$A$4:$A$503,(_calc!$E$971-500)))&amp;" – "&amp;IF(LEN(INDEX('My equipment'!$D$4:$D$503,(_calc!$E$971-500)))=0,"",INDEX('My equipment'!$D$4:$D$503,(_calc!$E$971-500)))))</f>
        <v/>
      </c>
      <c r="B969" s="54">
        <f>IF(_calc!$E$971="","",IF(_calc!$E$971&lt;=500,IF(ISNUMBER(INDEX('Dealer pipeline'!$M$4:$M$503,_calc!$E$971)),TEXT(INDEX('Dealer pipeline'!$M$4:$M$503,_calc!$E$971),"yyyy-mm-dd"),""),IF(ISNUMBER(INDEX('My equipment'!$M$4:$M$503,(_calc!$E$971-500))),TEXT(INDEX('My equipment'!$M$4:$M$503,(_calc!$E$971-500)),"yyyy-mm-dd"),"")))</f>
        <v/>
      </c>
      <c r="C969" s="54">
        <f>IF(_calc!$E$971="","",IF(_calc!$E$971&lt;=500,"Warranty","Warranty"))</f>
        <v/>
      </c>
      <c r="D969" s="54">
        <f>IF(_calc!$E$971="","",IF(_calc!$E$971&lt;=500,IF(ISNUMBER(INDEX('Dealer pipeline'!$H$4:$H$503,_calc!$E$971)),TEXT(INDEX('Dealer pipeline'!$H$4:$H$503,_calc!$E$971),"yyyy-mm-dd"),""),IF(ISNUMBER(INDEX('My equipment'!$H$4:$H$503,(_calc!$E$971-500))),TEXT(INDEX('My equipment'!$H$4:$H$503,(_calc!$E$971-500)),"yyyy-mm-dd"),"")))</f>
        <v/>
      </c>
      <c r="F969" s="54">
        <f>IF(_calc!$E$971="","",IF(_calc!$E$971&lt;=500,TRIM(IF(LEN(IF(LEN(INDEX('Dealer pipeline'!$A$4:$A$503,_calc!$E$971))=0,"",INDEX('Dealer pipeline'!$A$4:$A$503,_calc!$E$971)))=0,"","Customer: "&amp;IF(LEN(INDEX('Dealer pipeline'!$A$4:$A$503,_calc!$E$971))=0,"",INDEX('Dealer pipeline'!$A$4:$A$503,_calc!$E$971))&amp;". ")&amp;IF(LEN(IF(LEN(INDEX('Dealer pipeline'!$B$4:$B$503,_calc!$E$971))=0,"",INDEX('Dealer pipeline'!$B$4:$B$503,_calc!$E$971)))=0,"","Contact: "&amp;IF(LEN(INDEX('Dealer pipeline'!$B$4:$B$503,_calc!$E$971))=0,"",INDEX('Dealer pipeline'!$B$4:$B$503,_calc!$E$971))&amp;". ")&amp;IF(LEN(IF(LEN(INDEX('Dealer pipeline'!$D$4:$D$503,_calc!$E$971))=0,"",INDEX('Dealer pipeline'!$D$4:$D$503,_calc!$E$971)))=0,"","Serial: "&amp;IF(LEN(INDEX('Dealer pipeline'!$D$4:$D$503,_calc!$E$971))=0,"",INDEX('Dealer pipeline'!$D$4:$D$503,_calc!$E$971))&amp;". ")&amp;IF(LEN(IF(ISNUMBER(INDEX('Dealer pipeline'!$J$4:$J$503,_calc!$E$971)),TEXT(INDEX('Dealer pipeline'!$J$4:$J$503,_calc!$E$971),"yyyy-mm-dd"),""))=0,"","Parts end: "&amp;IF(ISNUMBER(INDEX('Dealer pipeline'!$J$4:$J$503,_calc!$E$971)),TEXT(INDEX('Dealer pipeline'!$J$4:$J$503,_calc!$E$971),"yyyy-mm-dd"),"")&amp;". ")&amp;IF(LEN(IF(ISNUMBER(INDEX('Dealer pipeline'!$L$4:$L$503,_calc!$E$971)),TEXT(INDEX('Dealer pipeline'!$L$4:$L$503,_calc!$E$971),"yyyy-mm-dd"),""))=0,"","Labor end: "&amp;IF(ISNUMBER(INDEX('Dealer pipeline'!$L$4:$L$503,_calc!$E$971)),TEXT(INDEX('Dealer pipeline'!$L$4:$L$503,_calc!$E$971),"yyyy-mm-dd"),"")&amp;". ")&amp;IF(LEN(IF(LEN(INDEX('Dealer pipeline'!$Q$4:$Q$503,_calc!$E$971))=0,"",INDEX('Dealer pipeline'!$Q$4:$Q$503,_calc!$E$971)))=0,"","Status: "&amp;IF(LEN(INDEX('Dealer pipeline'!$Q$4:$Q$503,_calc!$E$971))=0,"",INDEX('Dealer pipeline'!$Q$4:$Q$503,_calc!$E$971))&amp;". ")&amp;IF(LEN(IF(LEN(INDEX('Dealer pipeline'!$P$4:$P$503,_calc!$E$971))=0,"",INDEX('Dealer pipeline'!$P$4:$P$503,_calc!$E$971)))=0,"","Last touch: "&amp;IF(LEN(INDEX('Dealer pipeline'!$P$4:$P$503,_calc!$E$971))=0,"",INDEX('Dealer pipeline'!$P$4:$P$503,_calc!$E$971))&amp;". ")&amp;IF(LEN(IF(LEN(INDEX('Dealer pipeline'!$R$4:$R$503,_calc!$E$971))=0,"",INDEX('Dealer pipeline'!$R$4:$R$503,_calc!$E$971)))=0,"","Owner: "&amp;IF(LEN(INDEX('Dealer pipeline'!$R$4:$R$503,_calc!$E$971))=0,"",INDEX('Dealer pipeline'!$R$4:$R$503,_calc!$E$971))&amp;". ")&amp;IF(LEN(IF(LEN(INDEX('Dealer pipeline'!$S$4:$S$503,_calc!$E$971))=0,"",INDEX('Dealer pipeline'!$S$4:$S$503,_calc!$E$971)))=0,"","Backup: "&amp;IF(LEN(INDEX('Dealer pipeline'!$S$4:$S$503,_calc!$E$971))=0,"",INDEX('Dealer pipeline'!$S$4:$S$503,_calc!$E$971))&amp;". ")&amp;IF(LEN(IF(LEN(INDEX('Dealer pipeline'!$T$4:$T$503,_calc!$E$971))=0,"",INDEX('Dealer pipeline'!$T$4:$T$503,_calc!$E$971)))=0,"",IF(LEN(INDEX('Dealer pipeline'!$T$4:$T$503,_calc!$E$971))=0,"",INDEX('Dealer pipeline'!$T$4:$T$503,_calc!$E$971)))),TRIM(IF(LEN(IF(LEN(INDEX('My equipment'!$C$4:$C$503,(_calc!$E$971-500)))=0,"",INDEX('My equipment'!$C$4:$C$503,(_calc!$E$971-500))))=0,"","Model: "&amp;IF(LEN(INDEX('My equipment'!$C$4:$C$503,(_calc!$E$971-500)))=0,"",INDEX('My equipment'!$C$4:$C$503,(_calc!$E$971-500)))&amp;". ")&amp;IF(LEN(IF(LEN(INDEX('My equipment'!$D$4:$D$503,(_calc!$E$971-500)))=0,"",INDEX('My equipment'!$D$4:$D$503,(_calc!$E$971-500))))=0,"","Serial: "&amp;IF(LEN(INDEX('My equipment'!$D$4:$D$503,(_calc!$E$971-500)))=0,"",INDEX('My equipment'!$D$4:$D$503,(_calc!$E$971-500)))&amp;". ")&amp;IF(LEN(IF(ISNUMBER(INDEX('My equipment'!$J$4:$J$503,(_calc!$E$971-500))),TEXT(INDEX('My equipment'!$J$4:$J$503,(_calc!$E$971-500)),"yyyy-mm-dd"),""))=0,"","Parts end: "&amp;IF(ISNUMBER(INDEX('My equipment'!$J$4:$J$503,(_calc!$E$971-500))),TEXT(INDEX('My equipment'!$J$4:$J$503,(_calc!$E$971-500)),"yyyy-mm-dd"),"")&amp;". ")&amp;IF(LEN(IF(ISNUMBER(INDEX('My equipment'!$L$4:$L$503,(_calc!$E$971-500))),TEXT(INDEX('My equipment'!$L$4:$L$503,(_calc!$E$971-500)),"yyyy-mm-dd"),""))=0,"","Labor end: "&amp;IF(ISNUMBER(INDEX('My equipment'!$L$4:$L$503,(_calc!$E$971-500))),TEXT(INDEX('My equipment'!$L$4:$L$503,(_calc!$E$971-500)),"yyyy-mm-dd"),"")&amp;". ")&amp;IF(LEN(IF(ISNUMBER(INDEX('My equipment'!$P$4:$P$503,(_calc!$E$971-500))),TEXT(INDEX('My equipment'!$P$4:$P$503,(_calc!$E$971-500)),"yyyy-mm-dd"),""))=0,"","Check by: "&amp;IF(ISNUMBER(INDEX('My equipment'!$P$4:$P$503,(_calc!$E$971-500))),TEXT(INDEX('My equipment'!$P$4:$P$503,(_calc!$E$971-500)),"yyyy-mm-dd"),"")&amp;". ")&amp;IF(LEN(IF(LEN(INDEX('My equipment'!$Q$4:$Q$503,(_calc!$E$971-500)))=0,"",INDEX('My equipment'!$Q$4:$Q$503,(_calc!$E$971-500))))=0,"","Claim status: "&amp;IF(LEN(INDEX('My equipment'!$Q$4:$Q$503,(_calc!$E$971-500)))=0,"",INDEX('My equipment'!$Q$4:$Q$503,(_calc!$E$971-500)))&amp;". ")&amp;IF(LEN(IF(LEN(INDEX('My equipment'!$R$4:$R$503,(_calc!$E$971-500)))=0,"",INDEX('My equipment'!$R$4:$R$503,(_calc!$E$971-500))))=0,"","Claims contact: "&amp;IF(LEN(INDEX('My equipment'!$R$4:$R$503,(_calc!$E$971-500)))=0,"",INDEX('My equipment'!$R$4:$R$503,(_calc!$E$971-500)))&amp;". ")&amp;IF(LEN(IF(LEN(INDEX('My equipment'!$S$4:$S$503,(_calc!$E$971-500)))=0,"",INDEX('My equipment'!$S$4:$S$503,(_calc!$E$971-500))))=0,"","Claims email: "&amp;IF(LEN(INDEX('My equipment'!$S$4:$S$503,(_calc!$E$971-500)))=0,"",INDEX('My equipment'!$S$4:$S$503,(_calc!$E$971-500)))&amp;". ")&amp;IF(LEN(IF(LEN(INDEX('My equipment'!$U$4:$U$503,(_calc!$E$971-500)))=0,"",INDEX('My equipment'!$U$4:$U$503,(_calc!$E$971-500))))=0,"","Registered: "&amp;IF(LEN(INDEX('My equipment'!$U$4:$U$503,(_calc!$E$971-500)))=0,"",INDEX('My equipment'!$U$4:$U$503,(_calc!$E$971-500)))&amp;". ")&amp;IF(LEN(IF(LEN(INDEX('My equipment'!$V$4:$V$503,(_calc!$E$971-500)))=0,"",INDEX('My equipment'!$V$4:$V$503,(_calc!$E$971-500))))=0,"","Proof on file: "&amp;IF(LEN(INDEX('My equipment'!$V$4:$V$503,(_calc!$E$971-500)))=0,"",INDEX('My equipment'!$V$4:$V$503,(_calc!$E$971-500)))&amp;". ")&amp;IF(LEN(IF(LEN(INDEX('My equipment'!$W$4:$W$503,(_calc!$E$971-500)))=0,"",INDEX('My equipment'!$W$4:$W$503,(_calc!$E$971-500))))=0,"","Claim ref: "&amp;IF(LEN(INDEX('My equipment'!$W$4:$W$503,(_calc!$E$971-500)))=0,"",INDEX('My equipment'!$W$4:$W$503,(_calc!$E$971-500)))&amp;". ")&amp;IF(LEN(IF(LEN(INDEX('My equipment'!$Y$4:$Y$503,(_calc!$E$971-500)))=0,"",INDEX('My equipment'!$Y$4:$Y$503,(_calc!$E$971-500))))=0,"",IF(LEN(INDEX('My equipment'!$Y$4:$Y$503,(_calc!$E$971-500)))=0,"",INDEX('My equipment'!$Y$4:$Y$503,(_calc!$E$971-500)))))))</f>
        <v/>
      </c>
      <c r="G969" s="54">
        <f>IF(_calc!$E$971="","",IF(_calc!$E$971&lt;=500,"",IF(LEN(INDEX('My equipment'!$X$4:$X$503,(_calc!$E$971-500)))=0,"",INDEX('My equipment'!$X$4:$X$503,(_calc!$E$971-500)))))</f>
        <v/>
      </c>
      <c r="K969" s="54">
        <f>IF(_calc!$E$971="","",IF(_calc!$E$971&lt;=500,"",IF(LEN(INDEX('My equipment'!$T$4:$T$503,(_calc!$E$971-500)))=0,"",INDEX('My equipment'!$T$4:$T$503,(_calc!$E$971-500)))))</f>
        <v/>
      </c>
    </row>
    <row r="970">
      <c r="A970" s="54">
        <f>IF(_calc!$E$972="","",IF(_calc!$E$972&lt;=500,"Warranty – "&amp;IF(LEN(INDEX('Dealer pipeline'!$C$4:$C$503,_calc!$E$972))=0,"",INDEX('Dealer pipeline'!$C$4:$C$503,_calc!$E$972))&amp;" – "&amp;IF(LEN(INDEX('Dealer pipeline'!$D$4:$D$503,_calc!$E$972))=0,"",INDEX('Dealer pipeline'!$D$4:$D$503,_calc!$E$972))&amp;" – "&amp;IF(LEN(INDEX('Dealer pipeline'!$A$4:$A$503,_calc!$E$972))=0,"",INDEX('Dealer pipeline'!$A$4:$A$503,_calc!$E$972)),"Warranty – "&amp;IF(LEN(INDEX('My equipment'!$A$4:$A$503,(_calc!$E$972-500)))=0,"",INDEX('My equipment'!$A$4:$A$503,(_calc!$E$972-500)))&amp;" – "&amp;IF(LEN(INDEX('My equipment'!$D$4:$D$503,(_calc!$E$972-500)))=0,"",INDEX('My equipment'!$D$4:$D$503,(_calc!$E$972-500)))))</f>
        <v/>
      </c>
      <c r="B970" s="54">
        <f>IF(_calc!$E$972="","",IF(_calc!$E$972&lt;=500,IF(ISNUMBER(INDEX('Dealer pipeline'!$M$4:$M$503,_calc!$E$972)),TEXT(INDEX('Dealer pipeline'!$M$4:$M$503,_calc!$E$972),"yyyy-mm-dd"),""),IF(ISNUMBER(INDEX('My equipment'!$M$4:$M$503,(_calc!$E$972-500))),TEXT(INDEX('My equipment'!$M$4:$M$503,(_calc!$E$972-500)),"yyyy-mm-dd"),"")))</f>
        <v/>
      </c>
      <c r="C970" s="54">
        <f>IF(_calc!$E$972="","",IF(_calc!$E$972&lt;=500,"Warranty","Warranty"))</f>
        <v/>
      </c>
      <c r="D970" s="54">
        <f>IF(_calc!$E$972="","",IF(_calc!$E$972&lt;=500,IF(ISNUMBER(INDEX('Dealer pipeline'!$H$4:$H$503,_calc!$E$972)),TEXT(INDEX('Dealer pipeline'!$H$4:$H$503,_calc!$E$972),"yyyy-mm-dd"),""),IF(ISNUMBER(INDEX('My equipment'!$H$4:$H$503,(_calc!$E$972-500))),TEXT(INDEX('My equipment'!$H$4:$H$503,(_calc!$E$972-500)),"yyyy-mm-dd"),"")))</f>
        <v/>
      </c>
      <c r="F970" s="54">
        <f>IF(_calc!$E$972="","",IF(_calc!$E$972&lt;=500,TRIM(IF(LEN(IF(LEN(INDEX('Dealer pipeline'!$A$4:$A$503,_calc!$E$972))=0,"",INDEX('Dealer pipeline'!$A$4:$A$503,_calc!$E$972)))=0,"","Customer: "&amp;IF(LEN(INDEX('Dealer pipeline'!$A$4:$A$503,_calc!$E$972))=0,"",INDEX('Dealer pipeline'!$A$4:$A$503,_calc!$E$972))&amp;". ")&amp;IF(LEN(IF(LEN(INDEX('Dealer pipeline'!$B$4:$B$503,_calc!$E$972))=0,"",INDEX('Dealer pipeline'!$B$4:$B$503,_calc!$E$972)))=0,"","Contact: "&amp;IF(LEN(INDEX('Dealer pipeline'!$B$4:$B$503,_calc!$E$972))=0,"",INDEX('Dealer pipeline'!$B$4:$B$503,_calc!$E$972))&amp;". ")&amp;IF(LEN(IF(LEN(INDEX('Dealer pipeline'!$D$4:$D$503,_calc!$E$972))=0,"",INDEX('Dealer pipeline'!$D$4:$D$503,_calc!$E$972)))=0,"","Serial: "&amp;IF(LEN(INDEX('Dealer pipeline'!$D$4:$D$503,_calc!$E$972))=0,"",INDEX('Dealer pipeline'!$D$4:$D$503,_calc!$E$972))&amp;". ")&amp;IF(LEN(IF(ISNUMBER(INDEX('Dealer pipeline'!$J$4:$J$503,_calc!$E$972)),TEXT(INDEX('Dealer pipeline'!$J$4:$J$503,_calc!$E$972),"yyyy-mm-dd"),""))=0,"","Parts end: "&amp;IF(ISNUMBER(INDEX('Dealer pipeline'!$J$4:$J$503,_calc!$E$972)),TEXT(INDEX('Dealer pipeline'!$J$4:$J$503,_calc!$E$972),"yyyy-mm-dd"),"")&amp;". ")&amp;IF(LEN(IF(ISNUMBER(INDEX('Dealer pipeline'!$L$4:$L$503,_calc!$E$972)),TEXT(INDEX('Dealer pipeline'!$L$4:$L$503,_calc!$E$972),"yyyy-mm-dd"),""))=0,"","Labor end: "&amp;IF(ISNUMBER(INDEX('Dealer pipeline'!$L$4:$L$503,_calc!$E$972)),TEXT(INDEX('Dealer pipeline'!$L$4:$L$503,_calc!$E$972),"yyyy-mm-dd"),"")&amp;". ")&amp;IF(LEN(IF(LEN(INDEX('Dealer pipeline'!$Q$4:$Q$503,_calc!$E$972))=0,"",INDEX('Dealer pipeline'!$Q$4:$Q$503,_calc!$E$972)))=0,"","Status: "&amp;IF(LEN(INDEX('Dealer pipeline'!$Q$4:$Q$503,_calc!$E$972))=0,"",INDEX('Dealer pipeline'!$Q$4:$Q$503,_calc!$E$972))&amp;". ")&amp;IF(LEN(IF(LEN(INDEX('Dealer pipeline'!$P$4:$P$503,_calc!$E$972))=0,"",INDEX('Dealer pipeline'!$P$4:$P$503,_calc!$E$972)))=0,"","Last touch: "&amp;IF(LEN(INDEX('Dealer pipeline'!$P$4:$P$503,_calc!$E$972))=0,"",INDEX('Dealer pipeline'!$P$4:$P$503,_calc!$E$972))&amp;". ")&amp;IF(LEN(IF(LEN(INDEX('Dealer pipeline'!$R$4:$R$503,_calc!$E$972))=0,"",INDEX('Dealer pipeline'!$R$4:$R$503,_calc!$E$972)))=0,"","Owner: "&amp;IF(LEN(INDEX('Dealer pipeline'!$R$4:$R$503,_calc!$E$972))=0,"",INDEX('Dealer pipeline'!$R$4:$R$503,_calc!$E$972))&amp;". ")&amp;IF(LEN(IF(LEN(INDEX('Dealer pipeline'!$S$4:$S$503,_calc!$E$972))=0,"",INDEX('Dealer pipeline'!$S$4:$S$503,_calc!$E$972)))=0,"","Backup: "&amp;IF(LEN(INDEX('Dealer pipeline'!$S$4:$S$503,_calc!$E$972))=0,"",INDEX('Dealer pipeline'!$S$4:$S$503,_calc!$E$972))&amp;". ")&amp;IF(LEN(IF(LEN(INDEX('Dealer pipeline'!$T$4:$T$503,_calc!$E$972))=0,"",INDEX('Dealer pipeline'!$T$4:$T$503,_calc!$E$972)))=0,"",IF(LEN(INDEX('Dealer pipeline'!$T$4:$T$503,_calc!$E$972))=0,"",INDEX('Dealer pipeline'!$T$4:$T$503,_calc!$E$972)))),TRIM(IF(LEN(IF(LEN(INDEX('My equipment'!$C$4:$C$503,(_calc!$E$972-500)))=0,"",INDEX('My equipment'!$C$4:$C$503,(_calc!$E$972-500))))=0,"","Model: "&amp;IF(LEN(INDEX('My equipment'!$C$4:$C$503,(_calc!$E$972-500)))=0,"",INDEX('My equipment'!$C$4:$C$503,(_calc!$E$972-500)))&amp;". ")&amp;IF(LEN(IF(LEN(INDEX('My equipment'!$D$4:$D$503,(_calc!$E$972-500)))=0,"",INDEX('My equipment'!$D$4:$D$503,(_calc!$E$972-500))))=0,"","Serial: "&amp;IF(LEN(INDEX('My equipment'!$D$4:$D$503,(_calc!$E$972-500)))=0,"",INDEX('My equipment'!$D$4:$D$503,(_calc!$E$972-500)))&amp;". ")&amp;IF(LEN(IF(ISNUMBER(INDEX('My equipment'!$J$4:$J$503,(_calc!$E$972-500))),TEXT(INDEX('My equipment'!$J$4:$J$503,(_calc!$E$972-500)),"yyyy-mm-dd"),""))=0,"","Parts end: "&amp;IF(ISNUMBER(INDEX('My equipment'!$J$4:$J$503,(_calc!$E$972-500))),TEXT(INDEX('My equipment'!$J$4:$J$503,(_calc!$E$972-500)),"yyyy-mm-dd"),"")&amp;". ")&amp;IF(LEN(IF(ISNUMBER(INDEX('My equipment'!$L$4:$L$503,(_calc!$E$972-500))),TEXT(INDEX('My equipment'!$L$4:$L$503,(_calc!$E$972-500)),"yyyy-mm-dd"),""))=0,"","Labor end: "&amp;IF(ISNUMBER(INDEX('My equipment'!$L$4:$L$503,(_calc!$E$972-500))),TEXT(INDEX('My equipment'!$L$4:$L$503,(_calc!$E$972-500)),"yyyy-mm-dd"),"")&amp;". ")&amp;IF(LEN(IF(ISNUMBER(INDEX('My equipment'!$P$4:$P$503,(_calc!$E$972-500))),TEXT(INDEX('My equipment'!$P$4:$P$503,(_calc!$E$972-500)),"yyyy-mm-dd"),""))=0,"","Check by: "&amp;IF(ISNUMBER(INDEX('My equipment'!$P$4:$P$503,(_calc!$E$972-500))),TEXT(INDEX('My equipment'!$P$4:$P$503,(_calc!$E$972-500)),"yyyy-mm-dd"),"")&amp;". ")&amp;IF(LEN(IF(LEN(INDEX('My equipment'!$Q$4:$Q$503,(_calc!$E$972-500)))=0,"",INDEX('My equipment'!$Q$4:$Q$503,(_calc!$E$972-500))))=0,"","Claim status: "&amp;IF(LEN(INDEX('My equipment'!$Q$4:$Q$503,(_calc!$E$972-500)))=0,"",INDEX('My equipment'!$Q$4:$Q$503,(_calc!$E$972-500)))&amp;". ")&amp;IF(LEN(IF(LEN(INDEX('My equipment'!$R$4:$R$503,(_calc!$E$972-500)))=0,"",INDEX('My equipment'!$R$4:$R$503,(_calc!$E$972-500))))=0,"","Claims contact: "&amp;IF(LEN(INDEX('My equipment'!$R$4:$R$503,(_calc!$E$972-500)))=0,"",INDEX('My equipment'!$R$4:$R$503,(_calc!$E$972-500)))&amp;". ")&amp;IF(LEN(IF(LEN(INDEX('My equipment'!$S$4:$S$503,(_calc!$E$972-500)))=0,"",INDEX('My equipment'!$S$4:$S$503,(_calc!$E$972-500))))=0,"","Claims email: "&amp;IF(LEN(INDEX('My equipment'!$S$4:$S$503,(_calc!$E$972-500)))=0,"",INDEX('My equipment'!$S$4:$S$503,(_calc!$E$972-500)))&amp;". ")&amp;IF(LEN(IF(LEN(INDEX('My equipment'!$U$4:$U$503,(_calc!$E$972-500)))=0,"",INDEX('My equipment'!$U$4:$U$503,(_calc!$E$972-500))))=0,"","Registered: "&amp;IF(LEN(INDEX('My equipment'!$U$4:$U$503,(_calc!$E$972-500)))=0,"",INDEX('My equipment'!$U$4:$U$503,(_calc!$E$972-500)))&amp;". ")&amp;IF(LEN(IF(LEN(INDEX('My equipment'!$V$4:$V$503,(_calc!$E$972-500)))=0,"",INDEX('My equipment'!$V$4:$V$503,(_calc!$E$972-500))))=0,"","Proof on file: "&amp;IF(LEN(INDEX('My equipment'!$V$4:$V$503,(_calc!$E$972-500)))=0,"",INDEX('My equipment'!$V$4:$V$503,(_calc!$E$972-500)))&amp;". ")&amp;IF(LEN(IF(LEN(INDEX('My equipment'!$W$4:$W$503,(_calc!$E$972-500)))=0,"",INDEX('My equipment'!$W$4:$W$503,(_calc!$E$972-500))))=0,"","Claim ref: "&amp;IF(LEN(INDEX('My equipment'!$W$4:$W$503,(_calc!$E$972-500)))=0,"",INDEX('My equipment'!$W$4:$W$503,(_calc!$E$972-500)))&amp;". ")&amp;IF(LEN(IF(LEN(INDEX('My equipment'!$Y$4:$Y$503,(_calc!$E$972-500)))=0,"",INDEX('My equipment'!$Y$4:$Y$503,(_calc!$E$972-500))))=0,"",IF(LEN(INDEX('My equipment'!$Y$4:$Y$503,(_calc!$E$972-500)))=0,"",INDEX('My equipment'!$Y$4:$Y$503,(_calc!$E$972-500)))))))</f>
        <v/>
      </c>
      <c r="G970" s="54">
        <f>IF(_calc!$E$972="","",IF(_calc!$E$972&lt;=500,"",IF(LEN(INDEX('My equipment'!$X$4:$X$503,(_calc!$E$972-500)))=0,"",INDEX('My equipment'!$X$4:$X$503,(_calc!$E$972-500)))))</f>
        <v/>
      </c>
      <c r="K970" s="54">
        <f>IF(_calc!$E$972="","",IF(_calc!$E$972&lt;=500,"",IF(LEN(INDEX('My equipment'!$T$4:$T$503,(_calc!$E$972-500)))=0,"",INDEX('My equipment'!$T$4:$T$503,(_calc!$E$972-500)))))</f>
        <v/>
      </c>
    </row>
    <row r="971">
      <c r="A971" s="54">
        <f>IF(_calc!$E$973="","",IF(_calc!$E$973&lt;=500,"Warranty – "&amp;IF(LEN(INDEX('Dealer pipeline'!$C$4:$C$503,_calc!$E$973))=0,"",INDEX('Dealer pipeline'!$C$4:$C$503,_calc!$E$973))&amp;" – "&amp;IF(LEN(INDEX('Dealer pipeline'!$D$4:$D$503,_calc!$E$973))=0,"",INDEX('Dealer pipeline'!$D$4:$D$503,_calc!$E$973))&amp;" – "&amp;IF(LEN(INDEX('Dealer pipeline'!$A$4:$A$503,_calc!$E$973))=0,"",INDEX('Dealer pipeline'!$A$4:$A$503,_calc!$E$973)),"Warranty – "&amp;IF(LEN(INDEX('My equipment'!$A$4:$A$503,(_calc!$E$973-500)))=0,"",INDEX('My equipment'!$A$4:$A$503,(_calc!$E$973-500)))&amp;" – "&amp;IF(LEN(INDEX('My equipment'!$D$4:$D$503,(_calc!$E$973-500)))=0,"",INDEX('My equipment'!$D$4:$D$503,(_calc!$E$973-500)))))</f>
        <v/>
      </c>
      <c r="B971" s="54">
        <f>IF(_calc!$E$973="","",IF(_calc!$E$973&lt;=500,IF(ISNUMBER(INDEX('Dealer pipeline'!$M$4:$M$503,_calc!$E$973)),TEXT(INDEX('Dealer pipeline'!$M$4:$M$503,_calc!$E$973),"yyyy-mm-dd"),""),IF(ISNUMBER(INDEX('My equipment'!$M$4:$M$503,(_calc!$E$973-500))),TEXT(INDEX('My equipment'!$M$4:$M$503,(_calc!$E$973-500)),"yyyy-mm-dd"),"")))</f>
        <v/>
      </c>
      <c r="C971" s="54">
        <f>IF(_calc!$E$973="","",IF(_calc!$E$973&lt;=500,"Warranty","Warranty"))</f>
        <v/>
      </c>
      <c r="D971" s="54">
        <f>IF(_calc!$E$973="","",IF(_calc!$E$973&lt;=500,IF(ISNUMBER(INDEX('Dealer pipeline'!$H$4:$H$503,_calc!$E$973)),TEXT(INDEX('Dealer pipeline'!$H$4:$H$503,_calc!$E$973),"yyyy-mm-dd"),""),IF(ISNUMBER(INDEX('My equipment'!$H$4:$H$503,(_calc!$E$973-500))),TEXT(INDEX('My equipment'!$H$4:$H$503,(_calc!$E$973-500)),"yyyy-mm-dd"),"")))</f>
        <v/>
      </c>
      <c r="F971" s="54">
        <f>IF(_calc!$E$973="","",IF(_calc!$E$973&lt;=500,TRIM(IF(LEN(IF(LEN(INDEX('Dealer pipeline'!$A$4:$A$503,_calc!$E$973))=0,"",INDEX('Dealer pipeline'!$A$4:$A$503,_calc!$E$973)))=0,"","Customer: "&amp;IF(LEN(INDEX('Dealer pipeline'!$A$4:$A$503,_calc!$E$973))=0,"",INDEX('Dealer pipeline'!$A$4:$A$503,_calc!$E$973))&amp;". ")&amp;IF(LEN(IF(LEN(INDEX('Dealer pipeline'!$B$4:$B$503,_calc!$E$973))=0,"",INDEX('Dealer pipeline'!$B$4:$B$503,_calc!$E$973)))=0,"","Contact: "&amp;IF(LEN(INDEX('Dealer pipeline'!$B$4:$B$503,_calc!$E$973))=0,"",INDEX('Dealer pipeline'!$B$4:$B$503,_calc!$E$973))&amp;". ")&amp;IF(LEN(IF(LEN(INDEX('Dealer pipeline'!$D$4:$D$503,_calc!$E$973))=0,"",INDEX('Dealer pipeline'!$D$4:$D$503,_calc!$E$973)))=0,"","Serial: "&amp;IF(LEN(INDEX('Dealer pipeline'!$D$4:$D$503,_calc!$E$973))=0,"",INDEX('Dealer pipeline'!$D$4:$D$503,_calc!$E$973))&amp;". ")&amp;IF(LEN(IF(ISNUMBER(INDEX('Dealer pipeline'!$J$4:$J$503,_calc!$E$973)),TEXT(INDEX('Dealer pipeline'!$J$4:$J$503,_calc!$E$973),"yyyy-mm-dd"),""))=0,"","Parts end: "&amp;IF(ISNUMBER(INDEX('Dealer pipeline'!$J$4:$J$503,_calc!$E$973)),TEXT(INDEX('Dealer pipeline'!$J$4:$J$503,_calc!$E$973),"yyyy-mm-dd"),"")&amp;". ")&amp;IF(LEN(IF(ISNUMBER(INDEX('Dealer pipeline'!$L$4:$L$503,_calc!$E$973)),TEXT(INDEX('Dealer pipeline'!$L$4:$L$503,_calc!$E$973),"yyyy-mm-dd"),""))=0,"","Labor end: "&amp;IF(ISNUMBER(INDEX('Dealer pipeline'!$L$4:$L$503,_calc!$E$973)),TEXT(INDEX('Dealer pipeline'!$L$4:$L$503,_calc!$E$973),"yyyy-mm-dd"),"")&amp;". ")&amp;IF(LEN(IF(LEN(INDEX('Dealer pipeline'!$Q$4:$Q$503,_calc!$E$973))=0,"",INDEX('Dealer pipeline'!$Q$4:$Q$503,_calc!$E$973)))=0,"","Status: "&amp;IF(LEN(INDEX('Dealer pipeline'!$Q$4:$Q$503,_calc!$E$973))=0,"",INDEX('Dealer pipeline'!$Q$4:$Q$503,_calc!$E$973))&amp;". ")&amp;IF(LEN(IF(LEN(INDEX('Dealer pipeline'!$P$4:$P$503,_calc!$E$973))=0,"",INDEX('Dealer pipeline'!$P$4:$P$503,_calc!$E$973)))=0,"","Last touch: "&amp;IF(LEN(INDEX('Dealer pipeline'!$P$4:$P$503,_calc!$E$973))=0,"",INDEX('Dealer pipeline'!$P$4:$P$503,_calc!$E$973))&amp;". ")&amp;IF(LEN(IF(LEN(INDEX('Dealer pipeline'!$R$4:$R$503,_calc!$E$973))=0,"",INDEX('Dealer pipeline'!$R$4:$R$503,_calc!$E$973)))=0,"","Owner: "&amp;IF(LEN(INDEX('Dealer pipeline'!$R$4:$R$503,_calc!$E$973))=0,"",INDEX('Dealer pipeline'!$R$4:$R$503,_calc!$E$973))&amp;". ")&amp;IF(LEN(IF(LEN(INDEX('Dealer pipeline'!$S$4:$S$503,_calc!$E$973))=0,"",INDEX('Dealer pipeline'!$S$4:$S$503,_calc!$E$973)))=0,"","Backup: "&amp;IF(LEN(INDEX('Dealer pipeline'!$S$4:$S$503,_calc!$E$973))=0,"",INDEX('Dealer pipeline'!$S$4:$S$503,_calc!$E$973))&amp;". ")&amp;IF(LEN(IF(LEN(INDEX('Dealer pipeline'!$T$4:$T$503,_calc!$E$973))=0,"",INDEX('Dealer pipeline'!$T$4:$T$503,_calc!$E$973)))=0,"",IF(LEN(INDEX('Dealer pipeline'!$T$4:$T$503,_calc!$E$973))=0,"",INDEX('Dealer pipeline'!$T$4:$T$503,_calc!$E$973)))),TRIM(IF(LEN(IF(LEN(INDEX('My equipment'!$C$4:$C$503,(_calc!$E$973-500)))=0,"",INDEX('My equipment'!$C$4:$C$503,(_calc!$E$973-500))))=0,"","Model: "&amp;IF(LEN(INDEX('My equipment'!$C$4:$C$503,(_calc!$E$973-500)))=0,"",INDEX('My equipment'!$C$4:$C$503,(_calc!$E$973-500)))&amp;". ")&amp;IF(LEN(IF(LEN(INDEX('My equipment'!$D$4:$D$503,(_calc!$E$973-500)))=0,"",INDEX('My equipment'!$D$4:$D$503,(_calc!$E$973-500))))=0,"","Serial: "&amp;IF(LEN(INDEX('My equipment'!$D$4:$D$503,(_calc!$E$973-500)))=0,"",INDEX('My equipment'!$D$4:$D$503,(_calc!$E$973-500)))&amp;". ")&amp;IF(LEN(IF(ISNUMBER(INDEX('My equipment'!$J$4:$J$503,(_calc!$E$973-500))),TEXT(INDEX('My equipment'!$J$4:$J$503,(_calc!$E$973-500)),"yyyy-mm-dd"),""))=0,"","Parts end: "&amp;IF(ISNUMBER(INDEX('My equipment'!$J$4:$J$503,(_calc!$E$973-500))),TEXT(INDEX('My equipment'!$J$4:$J$503,(_calc!$E$973-500)),"yyyy-mm-dd"),"")&amp;". ")&amp;IF(LEN(IF(ISNUMBER(INDEX('My equipment'!$L$4:$L$503,(_calc!$E$973-500))),TEXT(INDEX('My equipment'!$L$4:$L$503,(_calc!$E$973-500)),"yyyy-mm-dd"),""))=0,"","Labor end: "&amp;IF(ISNUMBER(INDEX('My equipment'!$L$4:$L$503,(_calc!$E$973-500))),TEXT(INDEX('My equipment'!$L$4:$L$503,(_calc!$E$973-500)),"yyyy-mm-dd"),"")&amp;". ")&amp;IF(LEN(IF(ISNUMBER(INDEX('My equipment'!$P$4:$P$503,(_calc!$E$973-500))),TEXT(INDEX('My equipment'!$P$4:$P$503,(_calc!$E$973-500)),"yyyy-mm-dd"),""))=0,"","Check by: "&amp;IF(ISNUMBER(INDEX('My equipment'!$P$4:$P$503,(_calc!$E$973-500))),TEXT(INDEX('My equipment'!$P$4:$P$503,(_calc!$E$973-500)),"yyyy-mm-dd"),"")&amp;". ")&amp;IF(LEN(IF(LEN(INDEX('My equipment'!$Q$4:$Q$503,(_calc!$E$973-500)))=0,"",INDEX('My equipment'!$Q$4:$Q$503,(_calc!$E$973-500))))=0,"","Claim status: "&amp;IF(LEN(INDEX('My equipment'!$Q$4:$Q$503,(_calc!$E$973-500)))=0,"",INDEX('My equipment'!$Q$4:$Q$503,(_calc!$E$973-500)))&amp;". ")&amp;IF(LEN(IF(LEN(INDEX('My equipment'!$R$4:$R$503,(_calc!$E$973-500)))=0,"",INDEX('My equipment'!$R$4:$R$503,(_calc!$E$973-500))))=0,"","Claims contact: "&amp;IF(LEN(INDEX('My equipment'!$R$4:$R$503,(_calc!$E$973-500)))=0,"",INDEX('My equipment'!$R$4:$R$503,(_calc!$E$973-500)))&amp;". ")&amp;IF(LEN(IF(LEN(INDEX('My equipment'!$S$4:$S$503,(_calc!$E$973-500)))=0,"",INDEX('My equipment'!$S$4:$S$503,(_calc!$E$973-500))))=0,"","Claims email: "&amp;IF(LEN(INDEX('My equipment'!$S$4:$S$503,(_calc!$E$973-500)))=0,"",INDEX('My equipment'!$S$4:$S$503,(_calc!$E$973-500)))&amp;". ")&amp;IF(LEN(IF(LEN(INDEX('My equipment'!$U$4:$U$503,(_calc!$E$973-500)))=0,"",INDEX('My equipment'!$U$4:$U$503,(_calc!$E$973-500))))=0,"","Registered: "&amp;IF(LEN(INDEX('My equipment'!$U$4:$U$503,(_calc!$E$973-500)))=0,"",INDEX('My equipment'!$U$4:$U$503,(_calc!$E$973-500)))&amp;". ")&amp;IF(LEN(IF(LEN(INDEX('My equipment'!$V$4:$V$503,(_calc!$E$973-500)))=0,"",INDEX('My equipment'!$V$4:$V$503,(_calc!$E$973-500))))=0,"","Proof on file: "&amp;IF(LEN(INDEX('My equipment'!$V$4:$V$503,(_calc!$E$973-500)))=0,"",INDEX('My equipment'!$V$4:$V$503,(_calc!$E$973-500)))&amp;". ")&amp;IF(LEN(IF(LEN(INDEX('My equipment'!$W$4:$W$503,(_calc!$E$973-500)))=0,"",INDEX('My equipment'!$W$4:$W$503,(_calc!$E$973-500))))=0,"","Claim ref: "&amp;IF(LEN(INDEX('My equipment'!$W$4:$W$503,(_calc!$E$973-500)))=0,"",INDEX('My equipment'!$W$4:$W$503,(_calc!$E$973-500)))&amp;". ")&amp;IF(LEN(IF(LEN(INDEX('My equipment'!$Y$4:$Y$503,(_calc!$E$973-500)))=0,"",INDEX('My equipment'!$Y$4:$Y$503,(_calc!$E$973-500))))=0,"",IF(LEN(INDEX('My equipment'!$Y$4:$Y$503,(_calc!$E$973-500)))=0,"",INDEX('My equipment'!$Y$4:$Y$503,(_calc!$E$973-500)))))))</f>
        <v/>
      </c>
      <c r="G971" s="54">
        <f>IF(_calc!$E$973="","",IF(_calc!$E$973&lt;=500,"",IF(LEN(INDEX('My equipment'!$X$4:$X$503,(_calc!$E$973-500)))=0,"",INDEX('My equipment'!$X$4:$X$503,(_calc!$E$973-500)))))</f>
        <v/>
      </c>
      <c r="K971" s="54">
        <f>IF(_calc!$E$973="","",IF(_calc!$E$973&lt;=500,"",IF(LEN(INDEX('My equipment'!$T$4:$T$503,(_calc!$E$973-500)))=0,"",INDEX('My equipment'!$T$4:$T$503,(_calc!$E$973-500)))))</f>
        <v/>
      </c>
    </row>
    <row r="972">
      <c r="A972" s="54">
        <f>IF(_calc!$E$974="","",IF(_calc!$E$974&lt;=500,"Warranty – "&amp;IF(LEN(INDEX('Dealer pipeline'!$C$4:$C$503,_calc!$E$974))=0,"",INDEX('Dealer pipeline'!$C$4:$C$503,_calc!$E$974))&amp;" – "&amp;IF(LEN(INDEX('Dealer pipeline'!$D$4:$D$503,_calc!$E$974))=0,"",INDEX('Dealer pipeline'!$D$4:$D$503,_calc!$E$974))&amp;" – "&amp;IF(LEN(INDEX('Dealer pipeline'!$A$4:$A$503,_calc!$E$974))=0,"",INDEX('Dealer pipeline'!$A$4:$A$503,_calc!$E$974)),"Warranty – "&amp;IF(LEN(INDEX('My equipment'!$A$4:$A$503,(_calc!$E$974-500)))=0,"",INDEX('My equipment'!$A$4:$A$503,(_calc!$E$974-500)))&amp;" – "&amp;IF(LEN(INDEX('My equipment'!$D$4:$D$503,(_calc!$E$974-500)))=0,"",INDEX('My equipment'!$D$4:$D$503,(_calc!$E$974-500)))))</f>
        <v/>
      </c>
      <c r="B972" s="54">
        <f>IF(_calc!$E$974="","",IF(_calc!$E$974&lt;=500,IF(ISNUMBER(INDEX('Dealer pipeline'!$M$4:$M$503,_calc!$E$974)),TEXT(INDEX('Dealer pipeline'!$M$4:$M$503,_calc!$E$974),"yyyy-mm-dd"),""),IF(ISNUMBER(INDEX('My equipment'!$M$4:$M$503,(_calc!$E$974-500))),TEXT(INDEX('My equipment'!$M$4:$M$503,(_calc!$E$974-500)),"yyyy-mm-dd"),"")))</f>
        <v/>
      </c>
      <c r="C972" s="54">
        <f>IF(_calc!$E$974="","",IF(_calc!$E$974&lt;=500,"Warranty","Warranty"))</f>
        <v/>
      </c>
      <c r="D972" s="54">
        <f>IF(_calc!$E$974="","",IF(_calc!$E$974&lt;=500,IF(ISNUMBER(INDEX('Dealer pipeline'!$H$4:$H$503,_calc!$E$974)),TEXT(INDEX('Dealer pipeline'!$H$4:$H$503,_calc!$E$974),"yyyy-mm-dd"),""),IF(ISNUMBER(INDEX('My equipment'!$H$4:$H$503,(_calc!$E$974-500))),TEXT(INDEX('My equipment'!$H$4:$H$503,(_calc!$E$974-500)),"yyyy-mm-dd"),"")))</f>
        <v/>
      </c>
      <c r="F972" s="54">
        <f>IF(_calc!$E$974="","",IF(_calc!$E$974&lt;=500,TRIM(IF(LEN(IF(LEN(INDEX('Dealer pipeline'!$A$4:$A$503,_calc!$E$974))=0,"",INDEX('Dealer pipeline'!$A$4:$A$503,_calc!$E$974)))=0,"","Customer: "&amp;IF(LEN(INDEX('Dealer pipeline'!$A$4:$A$503,_calc!$E$974))=0,"",INDEX('Dealer pipeline'!$A$4:$A$503,_calc!$E$974))&amp;". ")&amp;IF(LEN(IF(LEN(INDEX('Dealer pipeline'!$B$4:$B$503,_calc!$E$974))=0,"",INDEX('Dealer pipeline'!$B$4:$B$503,_calc!$E$974)))=0,"","Contact: "&amp;IF(LEN(INDEX('Dealer pipeline'!$B$4:$B$503,_calc!$E$974))=0,"",INDEX('Dealer pipeline'!$B$4:$B$503,_calc!$E$974))&amp;". ")&amp;IF(LEN(IF(LEN(INDEX('Dealer pipeline'!$D$4:$D$503,_calc!$E$974))=0,"",INDEX('Dealer pipeline'!$D$4:$D$503,_calc!$E$974)))=0,"","Serial: "&amp;IF(LEN(INDEX('Dealer pipeline'!$D$4:$D$503,_calc!$E$974))=0,"",INDEX('Dealer pipeline'!$D$4:$D$503,_calc!$E$974))&amp;". ")&amp;IF(LEN(IF(ISNUMBER(INDEX('Dealer pipeline'!$J$4:$J$503,_calc!$E$974)),TEXT(INDEX('Dealer pipeline'!$J$4:$J$503,_calc!$E$974),"yyyy-mm-dd"),""))=0,"","Parts end: "&amp;IF(ISNUMBER(INDEX('Dealer pipeline'!$J$4:$J$503,_calc!$E$974)),TEXT(INDEX('Dealer pipeline'!$J$4:$J$503,_calc!$E$974),"yyyy-mm-dd"),"")&amp;". ")&amp;IF(LEN(IF(ISNUMBER(INDEX('Dealer pipeline'!$L$4:$L$503,_calc!$E$974)),TEXT(INDEX('Dealer pipeline'!$L$4:$L$503,_calc!$E$974),"yyyy-mm-dd"),""))=0,"","Labor end: "&amp;IF(ISNUMBER(INDEX('Dealer pipeline'!$L$4:$L$503,_calc!$E$974)),TEXT(INDEX('Dealer pipeline'!$L$4:$L$503,_calc!$E$974),"yyyy-mm-dd"),"")&amp;". ")&amp;IF(LEN(IF(LEN(INDEX('Dealer pipeline'!$Q$4:$Q$503,_calc!$E$974))=0,"",INDEX('Dealer pipeline'!$Q$4:$Q$503,_calc!$E$974)))=0,"","Status: "&amp;IF(LEN(INDEX('Dealer pipeline'!$Q$4:$Q$503,_calc!$E$974))=0,"",INDEX('Dealer pipeline'!$Q$4:$Q$503,_calc!$E$974))&amp;". ")&amp;IF(LEN(IF(LEN(INDEX('Dealer pipeline'!$P$4:$P$503,_calc!$E$974))=0,"",INDEX('Dealer pipeline'!$P$4:$P$503,_calc!$E$974)))=0,"","Last touch: "&amp;IF(LEN(INDEX('Dealer pipeline'!$P$4:$P$503,_calc!$E$974))=0,"",INDEX('Dealer pipeline'!$P$4:$P$503,_calc!$E$974))&amp;". ")&amp;IF(LEN(IF(LEN(INDEX('Dealer pipeline'!$R$4:$R$503,_calc!$E$974))=0,"",INDEX('Dealer pipeline'!$R$4:$R$503,_calc!$E$974)))=0,"","Owner: "&amp;IF(LEN(INDEX('Dealer pipeline'!$R$4:$R$503,_calc!$E$974))=0,"",INDEX('Dealer pipeline'!$R$4:$R$503,_calc!$E$974))&amp;". ")&amp;IF(LEN(IF(LEN(INDEX('Dealer pipeline'!$S$4:$S$503,_calc!$E$974))=0,"",INDEX('Dealer pipeline'!$S$4:$S$503,_calc!$E$974)))=0,"","Backup: "&amp;IF(LEN(INDEX('Dealer pipeline'!$S$4:$S$503,_calc!$E$974))=0,"",INDEX('Dealer pipeline'!$S$4:$S$503,_calc!$E$974))&amp;". ")&amp;IF(LEN(IF(LEN(INDEX('Dealer pipeline'!$T$4:$T$503,_calc!$E$974))=0,"",INDEX('Dealer pipeline'!$T$4:$T$503,_calc!$E$974)))=0,"",IF(LEN(INDEX('Dealer pipeline'!$T$4:$T$503,_calc!$E$974))=0,"",INDEX('Dealer pipeline'!$T$4:$T$503,_calc!$E$974)))),TRIM(IF(LEN(IF(LEN(INDEX('My equipment'!$C$4:$C$503,(_calc!$E$974-500)))=0,"",INDEX('My equipment'!$C$4:$C$503,(_calc!$E$974-500))))=0,"","Model: "&amp;IF(LEN(INDEX('My equipment'!$C$4:$C$503,(_calc!$E$974-500)))=0,"",INDEX('My equipment'!$C$4:$C$503,(_calc!$E$974-500)))&amp;". ")&amp;IF(LEN(IF(LEN(INDEX('My equipment'!$D$4:$D$503,(_calc!$E$974-500)))=0,"",INDEX('My equipment'!$D$4:$D$503,(_calc!$E$974-500))))=0,"","Serial: "&amp;IF(LEN(INDEX('My equipment'!$D$4:$D$503,(_calc!$E$974-500)))=0,"",INDEX('My equipment'!$D$4:$D$503,(_calc!$E$974-500)))&amp;". ")&amp;IF(LEN(IF(ISNUMBER(INDEX('My equipment'!$J$4:$J$503,(_calc!$E$974-500))),TEXT(INDEX('My equipment'!$J$4:$J$503,(_calc!$E$974-500)),"yyyy-mm-dd"),""))=0,"","Parts end: "&amp;IF(ISNUMBER(INDEX('My equipment'!$J$4:$J$503,(_calc!$E$974-500))),TEXT(INDEX('My equipment'!$J$4:$J$503,(_calc!$E$974-500)),"yyyy-mm-dd"),"")&amp;". ")&amp;IF(LEN(IF(ISNUMBER(INDEX('My equipment'!$L$4:$L$503,(_calc!$E$974-500))),TEXT(INDEX('My equipment'!$L$4:$L$503,(_calc!$E$974-500)),"yyyy-mm-dd"),""))=0,"","Labor end: "&amp;IF(ISNUMBER(INDEX('My equipment'!$L$4:$L$503,(_calc!$E$974-500))),TEXT(INDEX('My equipment'!$L$4:$L$503,(_calc!$E$974-500)),"yyyy-mm-dd"),"")&amp;". ")&amp;IF(LEN(IF(ISNUMBER(INDEX('My equipment'!$P$4:$P$503,(_calc!$E$974-500))),TEXT(INDEX('My equipment'!$P$4:$P$503,(_calc!$E$974-500)),"yyyy-mm-dd"),""))=0,"","Check by: "&amp;IF(ISNUMBER(INDEX('My equipment'!$P$4:$P$503,(_calc!$E$974-500))),TEXT(INDEX('My equipment'!$P$4:$P$503,(_calc!$E$974-500)),"yyyy-mm-dd"),"")&amp;". ")&amp;IF(LEN(IF(LEN(INDEX('My equipment'!$Q$4:$Q$503,(_calc!$E$974-500)))=0,"",INDEX('My equipment'!$Q$4:$Q$503,(_calc!$E$974-500))))=0,"","Claim status: "&amp;IF(LEN(INDEX('My equipment'!$Q$4:$Q$503,(_calc!$E$974-500)))=0,"",INDEX('My equipment'!$Q$4:$Q$503,(_calc!$E$974-500)))&amp;". ")&amp;IF(LEN(IF(LEN(INDEX('My equipment'!$R$4:$R$503,(_calc!$E$974-500)))=0,"",INDEX('My equipment'!$R$4:$R$503,(_calc!$E$974-500))))=0,"","Claims contact: "&amp;IF(LEN(INDEX('My equipment'!$R$4:$R$503,(_calc!$E$974-500)))=0,"",INDEX('My equipment'!$R$4:$R$503,(_calc!$E$974-500)))&amp;". ")&amp;IF(LEN(IF(LEN(INDEX('My equipment'!$S$4:$S$503,(_calc!$E$974-500)))=0,"",INDEX('My equipment'!$S$4:$S$503,(_calc!$E$974-500))))=0,"","Claims email: "&amp;IF(LEN(INDEX('My equipment'!$S$4:$S$503,(_calc!$E$974-500)))=0,"",INDEX('My equipment'!$S$4:$S$503,(_calc!$E$974-500)))&amp;". ")&amp;IF(LEN(IF(LEN(INDEX('My equipment'!$U$4:$U$503,(_calc!$E$974-500)))=0,"",INDEX('My equipment'!$U$4:$U$503,(_calc!$E$974-500))))=0,"","Registered: "&amp;IF(LEN(INDEX('My equipment'!$U$4:$U$503,(_calc!$E$974-500)))=0,"",INDEX('My equipment'!$U$4:$U$503,(_calc!$E$974-500)))&amp;". ")&amp;IF(LEN(IF(LEN(INDEX('My equipment'!$V$4:$V$503,(_calc!$E$974-500)))=0,"",INDEX('My equipment'!$V$4:$V$503,(_calc!$E$974-500))))=0,"","Proof on file: "&amp;IF(LEN(INDEX('My equipment'!$V$4:$V$503,(_calc!$E$974-500)))=0,"",INDEX('My equipment'!$V$4:$V$503,(_calc!$E$974-500)))&amp;". ")&amp;IF(LEN(IF(LEN(INDEX('My equipment'!$W$4:$W$503,(_calc!$E$974-500)))=0,"",INDEX('My equipment'!$W$4:$W$503,(_calc!$E$974-500))))=0,"","Claim ref: "&amp;IF(LEN(INDEX('My equipment'!$W$4:$W$503,(_calc!$E$974-500)))=0,"",INDEX('My equipment'!$W$4:$W$503,(_calc!$E$974-500)))&amp;". ")&amp;IF(LEN(IF(LEN(INDEX('My equipment'!$Y$4:$Y$503,(_calc!$E$974-500)))=0,"",INDEX('My equipment'!$Y$4:$Y$503,(_calc!$E$974-500))))=0,"",IF(LEN(INDEX('My equipment'!$Y$4:$Y$503,(_calc!$E$974-500)))=0,"",INDEX('My equipment'!$Y$4:$Y$503,(_calc!$E$974-500)))))))</f>
        <v/>
      </c>
      <c r="G972" s="54">
        <f>IF(_calc!$E$974="","",IF(_calc!$E$974&lt;=500,"",IF(LEN(INDEX('My equipment'!$X$4:$X$503,(_calc!$E$974-500)))=0,"",INDEX('My equipment'!$X$4:$X$503,(_calc!$E$974-500)))))</f>
        <v/>
      </c>
      <c r="K972" s="54">
        <f>IF(_calc!$E$974="","",IF(_calc!$E$974&lt;=500,"",IF(LEN(INDEX('My equipment'!$T$4:$T$503,(_calc!$E$974-500)))=0,"",INDEX('My equipment'!$T$4:$T$503,(_calc!$E$974-500)))))</f>
        <v/>
      </c>
    </row>
    <row r="973">
      <c r="A973" s="54">
        <f>IF(_calc!$E$975="","",IF(_calc!$E$975&lt;=500,"Warranty – "&amp;IF(LEN(INDEX('Dealer pipeline'!$C$4:$C$503,_calc!$E$975))=0,"",INDEX('Dealer pipeline'!$C$4:$C$503,_calc!$E$975))&amp;" – "&amp;IF(LEN(INDEX('Dealer pipeline'!$D$4:$D$503,_calc!$E$975))=0,"",INDEX('Dealer pipeline'!$D$4:$D$503,_calc!$E$975))&amp;" – "&amp;IF(LEN(INDEX('Dealer pipeline'!$A$4:$A$503,_calc!$E$975))=0,"",INDEX('Dealer pipeline'!$A$4:$A$503,_calc!$E$975)),"Warranty – "&amp;IF(LEN(INDEX('My equipment'!$A$4:$A$503,(_calc!$E$975-500)))=0,"",INDEX('My equipment'!$A$4:$A$503,(_calc!$E$975-500)))&amp;" – "&amp;IF(LEN(INDEX('My equipment'!$D$4:$D$503,(_calc!$E$975-500)))=0,"",INDEX('My equipment'!$D$4:$D$503,(_calc!$E$975-500)))))</f>
        <v/>
      </c>
      <c r="B973" s="54">
        <f>IF(_calc!$E$975="","",IF(_calc!$E$975&lt;=500,IF(ISNUMBER(INDEX('Dealer pipeline'!$M$4:$M$503,_calc!$E$975)),TEXT(INDEX('Dealer pipeline'!$M$4:$M$503,_calc!$E$975),"yyyy-mm-dd"),""),IF(ISNUMBER(INDEX('My equipment'!$M$4:$M$503,(_calc!$E$975-500))),TEXT(INDEX('My equipment'!$M$4:$M$503,(_calc!$E$975-500)),"yyyy-mm-dd"),"")))</f>
        <v/>
      </c>
      <c r="C973" s="54">
        <f>IF(_calc!$E$975="","",IF(_calc!$E$975&lt;=500,"Warranty","Warranty"))</f>
        <v/>
      </c>
      <c r="D973" s="54">
        <f>IF(_calc!$E$975="","",IF(_calc!$E$975&lt;=500,IF(ISNUMBER(INDEX('Dealer pipeline'!$H$4:$H$503,_calc!$E$975)),TEXT(INDEX('Dealer pipeline'!$H$4:$H$503,_calc!$E$975),"yyyy-mm-dd"),""),IF(ISNUMBER(INDEX('My equipment'!$H$4:$H$503,(_calc!$E$975-500))),TEXT(INDEX('My equipment'!$H$4:$H$503,(_calc!$E$975-500)),"yyyy-mm-dd"),"")))</f>
        <v/>
      </c>
      <c r="F973" s="54">
        <f>IF(_calc!$E$975="","",IF(_calc!$E$975&lt;=500,TRIM(IF(LEN(IF(LEN(INDEX('Dealer pipeline'!$A$4:$A$503,_calc!$E$975))=0,"",INDEX('Dealer pipeline'!$A$4:$A$503,_calc!$E$975)))=0,"","Customer: "&amp;IF(LEN(INDEX('Dealer pipeline'!$A$4:$A$503,_calc!$E$975))=0,"",INDEX('Dealer pipeline'!$A$4:$A$503,_calc!$E$975))&amp;". ")&amp;IF(LEN(IF(LEN(INDEX('Dealer pipeline'!$B$4:$B$503,_calc!$E$975))=0,"",INDEX('Dealer pipeline'!$B$4:$B$503,_calc!$E$975)))=0,"","Contact: "&amp;IF(LEN(INDEX('Dealer pipeline'!$B$4:$B$503,_calc!$E$975))=0,"",INDEX('Dealer pipeline'!$B$4:$B$503,_calc!$E$975))&amp;". ")&amp;IF(LEN(IF(LEN(INDEX('Dealer pipeline'!$D$4:$D$503,_calc!$E$975))=0,"",INDEX('Dealer pipeline'!$D$4:$D$503,_calc!$E$975)))=0,"","Serial: "&amp;IF(LEN(INDEX('Dealer pipeline'!$D$4:$D$503,_calc!$E$975))=0,"",INDEX('Dealer pipeline'!$D$4:$D$503,_calc!$E$975))&amp;". ")&amp;IF(LEN(IF(ISNUMBER(INDEX('Dealer pipeline'!$J$4:$J$503,_calc!$E$975)),TEXT(INDEX('Dealer pipeline'!$J$4:$J$503,_calc!$E$975),"yyyy-mm-dd"),""))=0,"","Parts end: "&amp;IF(ISNUMBER(INDEX('Dealer pipeline'!$J$4:$J$503,_calc!$E$975)),TEXT(INDEX('Dealer pipeline'!$J$4:$J$503,_calc!$E$975),"yyyy-mm-dd"),"")&amp;". ")&amp;IF(LEN(IF(ISNUMBER(INDEX('Dealer pipeline'!$L$4:$L$503,_calc!$E$975)),TEXT(INDEX('Dealer pipeline'!$L$4:$L$503,_calc!$E$975),"yyyy-mm-dd"),""))=0,"","Labor end: "&amp;IF(ISNUMBER(INDEX('Dealer pipeline'!$L$4:$L$503,_calc!$E$975)),TEXT(INDEX('Dealer pipeline'!$L$4:$L$503,_calc!$E$975),"yyyy-mm-dd"),"")&amp;". ")&amp;IF(LEN(IF(LEN(INDEX('Dealer pipeline'!$Q$4:$Q$503,_calc!$E$975))=0,"",INDEX('Dealer pipeline'!$Q$4:$Q$503,_calc!$E$975)))=0,"","Status: "&amp;IF(LEN(INDEX('Dealer pipeline'!$Q$4:$Q$503,_calc!$E$975))=0,"",INDEX('Dealer pipeline'!$Q$4:$Q$503,_calc!$E$975))&amp;". ")&amp;IF(LEN(IF(LEN(INDEX('Dealer pipeline'!$P$4:$P$503,_calc!$E$975))=0,"",INDEX('Dealer pipeline'!$P$4:$P$503,_calc!$E$975)))=0,"","Last touch: "&amp;IF(LEN(INDEX('Dealer pipeline'!$P$4:$P$503,_calc!$E$975))=0,"",INDEX('Dealer pipeline'!$P$4:$P$503,_calc!$E$975))&amp;". ")&amp;IF(LEN(IF(LEN(INDEX('Dealer pipeline'!$R$4:$R$503,_calc!$E$975))=0,"",INDEX('Dealer pipeline'!$R$4:$R$503,_calc!$E$975)))=0,"","Owner: "&amp;IF(LEN(INDEX('Dealer pipeline'!$R$4:$R$503,_calc!$E$975))=0,"",INDEX('Dealer pipeline'!$R$4:$R$503,_calc!$E$975))&amp;". ")&amp;IF(LEN(IF(LEN(INDEX('Dealer pipeline'!$S$4:$S$503,_calc!$E$975))=0,"",INDEX('Dealer pipeline'!$S$4:$S$503,_calc!$E$975)))=0,"","Backup: "&amp;IF(LEN(INDEX('Dealer pipeline'!$S$4:$S$503,_calc!$E$975))=0,"",INDEX('Dealer pipeline'!$S$4:$S$503,_calc!$E$975))&amp;". ")&amp;IF(LEN(IF(LEN(INDEX('Dealer pipeline'!$T$4:$T$503,_calc!$E$975))=0,"",INDEX('Dealer pipeline'!$T$4:$T$503,_calc!$E$975)))=0,"",IF(LEN(INDEX('Dealer pipeline'!$T$4:$T$503,_calc!$E$975))=0,"",INDEX('Dealer pipeline'!$T$4:$T$503,_calc!$E$975)))),TRIM(IF(LEN(IF(LEN(INDEX('My equipment'!$C$4:$C$503,(_calc!$E$975-500)))=0,"",INDEX('My equipment'!$C$4:$C$503,(_calc!$E$975-500))))=0,"","Model: "&amp;IF(LEN(INDEX('My equipment'!$C$4:$C$503,(_calc!$E$975-500)))=0,"",INDEX('My equipment'!$C$4:$C$503,(_calc!$E$975-500)))&amp;". ")&amp;IF(LEN(IF(LEN(INDEX('My equipment'!$D$4:$D$503,(_calc!$E$975-500)))=0,"",INDEX('My equipment'!$D$4:$D$503,(_calc!$E$975-500))))=0,"","Serial: "&amp;IF(LEN(INDEX('My equipment'!$D$4:$D$503,(_calc!$E$975-500)))=0,"",INDEX('My equipment'!$D$4:$D$503,(_calc!$E$975-500)))&amp;". ")&amp;IF(LEN(IF(ISNUMBER(INDEX('My equipment'!$J$4:$J$503,(_calc!$E$975-500))),TEXT(INDEX('My equipment'!$J$4:$J$503,(_calc!$E$975-500)),"yyyy-mm-dd"),""))=0,"","Parts end: "&amp;IF(ISNUMBER(INDEX('My equipment'!$J$4:$J$503,(_calc!$E$975-500))),TEXT(INDEX('My equipment'!$J$4:$J$503,(_calc!$E$975-500)),"yyyy-mm-dd"),"")&amp;". ")&amp;IF(LEN(IF(ISNUMBER(INDEX('My equipment'!$L$4:$L$503,(_calc!$E$975-500))),TEXT(INDEX('My equipment'!$L$4:$L$503,(_calc!$E$975-500)),"yyyy-mm-dd"),""))=0,"","Labor end: "&amp;IF(ISNUMBER(INDEX('My equipment'!$L$4:$L$503,(_calc!$E$975-500))),TEXT(INDEX('My equipment'!$L$4:$L$503,(_calc!$E$975-500)),"yyyy-mm-dd"),"")&amp;". ")&amp;IF(LEN(IF(ISNUMBER(INDEX('My equipment'!$P$4:$P$503,(_calc!$E$975-500))),TEXT(INDEX('My equipment'!$P$4:$P$503,(_calc!$E$975-500)),"yyyy-mm-dd"),""))=0,"","Check by: "&amp;IF(ISNUMBER(INDEX('My equipment'!$P$4:$P$503,(_calc!$E$975-500))),TEXT(INDEX('My equipment'!$P$4:$P$503,(_calc!$E$975-500)),"yyyy-mm-dd"),"")&amp;". ")&amp;IF(LEN(IF(LEN(INDEX('My equipment'!$Q$4:$Q$503,(_calc!$E$975-500)))=0,"",INDEX('My equipment'!$Q$4:$Q$503,(_calc!$E$975-500))))=0,"","Claim status: "&amp;IF(LEN(INDEX('My equipment'!$Q$4:$Q$503,(_calc!$E$975-500)))=0,"",INDEX('My equipment'!$Q$4:$Q$503,(_calc!$E$975-500)))&amp;". ")&amp;IF(LEN(IF(LEN(INDEX('My equipment'!$R$4:$R$503,(_calc!$E$975-500)))=0,"",INDEX('My equipment'!$R$4:$R$503,(_calc!$E$975-500))))=0,"","Claims contact: "&amp;IF(LEN(INDEX('My equipment'!$R$4:$R$503,(_calc!$E$975-500)))=0,"",INDEX('My equipment'!$R$4:$R$503,(_calc!$E$975-500)))&amp;". ")&amp;IF(LEN(IF(LEN(INDEX('My equipment'!$S$4:$S$503,(_calc!$E$975-500)))=0,"",INDEX('My equipment'!$S$4:$S$503,(_calc!$E$975-500))))=0,"","Claims email: "&amp;IF(LEN(INDEX('My equipment'!$S$4:$S$503,(_calc!$E$975-500)))=0,"",INDEX('My equipment'!$S$4:$S$503,(_calc!$E$975-500)))&amp;". ")&amp;IF(LEN(IF(LEN(INDEX('My equipment'!$U$4:$U$503,(_calc!$E$975-500)))=0,"",INDEX('My equipment'!$U$4:$U$503,(_calc!$E$975-500))))=0,"","Registered: "&amp;IF(LEN(INDEX('My equipment'!$U$4:$U$503,(_calc!$E$975-500)))=0,"",INDEX('My equipment'!$U$4:$U$503,(_calc!$E$975-500)))&amp;". ")&amp;IF(LEN(IF(LEN(INDEX('My equipment'!$V$4:$V$503,(_calc!$E$975-500)))=0,"",INDEX('My equipment'!$V$4:$V$503,(_calc!$E$975-500))))=0,"","Proof on file: "&amp;IF(LEN(INDEX('My equipment'!$V$4:$V$503,(_calc!$E$975-500)))=0,"",INDEX('My equipment'!$V$4:$V$503,(_calc!$E$975-500)))&amp;". ")&amp;IF(LEN(IF(LEN(INDEX('My equipment'!$W$4:$W$503,(_calc!$E$975-500)))=0,"",INDEX('My equipment'!$W$4:$W$503,(_calc!$E$975-500))))=0,"","Claim ref: "&amp;IF(LEN(INDEX('My equipment'!$W$4:$W$503,(_calc!$E$975-500)))=0,"",INDEX('My equipment'!$W$4:$W$503,(_calc!$E$975-500)))&amp;". ")&amp;IF(LEN(IF(LEN(INDEX('My equipment'!$Y$4:$Y$503,(_calc!$E$975-500)))=0,"",INDEX('My equipment'!$Y$4:$Y$503,(_calc!$E$975-500))))=0,"",IF(LEN(INDEX('My equipment'!$Y$4:$Y$503,(_calc!$E$975-500)))=0,"",INDEX('My equipment'!$Y$4:$Y$503,(_calc!$E$975-500)))))))</f>
        <v/>
      </c>
      <c r="G973" s="54">
        <f>IF(_calc!$E$975="","",IF(_calc!$E$975&lt;=500,"",IF(LEN(INDEX('My equipment'!$X$4:$X$503,(_calc!$E$975-500)))=0,"",INDEX('My equipment'!$X$4:$X$503,(_calc!$E$975-500)))))</f>
        <v/>
      </c>
      <c r="K973" s="54">
        <f>IF(_calc!$E$975="","",IF(_calc!$E$975&lt;=500,"",IF(LEN(INDEX('My equipment'!$T$4:$T$503,(_calc!$E$975-500)))=0,"",INDEX('My equipment'!$T$4:$T$503,(_calc!$E$975-500)))))</f>
        <v/>
      </c>
    </row>
    <row r="974">
      <c r="A974" s="54">
        <f>IF(_calc!$E$976="","",IF(_calc!$E$976&lt;=500,"Warranty – "&amp;IF(LEN(INDEX('Dealer pipeline'!$C$4:$C$503,_calc!$E$976))=0,"",INDEX('Dealer pipeline'!$C$4:$C$503,_calc!$E$976))&amp;" – "&amp;IF(LEN(INDEX('Dealer pipeline'!$D$4:$D$503,_calc!$E$976))=0,"",INDEX('Dealer pipeline'!$D$4:$D$503,_calc!$E$976))&amp;" – "&amp;IF(LEN(INDEX('Dealer pipeline'!$A$4:$A$503,_calc!$E$976))=0,"",INDEX('Dealer pipeline'!$A$4:$A$503,_calc!$E$976)),"Warranty – "&amp;IF(LEN(INDEX('My equipment'!$A$4:$A$503,(_calc!$E$976-500)))=0,"",INDEX('My equipment'!$A$4:$A$503,(_calc!$E$976-500)))&amp;" – "&amp;IF(LEN(INDEX('My equipment'!$D$4:$D$503,(_calc!$E$976-500)))=0,"",INDEX('My equipment'!$D$4:$D$503,(_calc!$E$976-500)))))</f>
        <v/>
      </c>
      <c r="B974" s="54">
        <f>IF(_calc!$E$976="","",IF(_calc!$E$976&lt;=500,IF(ISNUMBER(INDEX('Dealer pipeline'!$M$4:$M$503,_calc!$E$976)),TEXT(INDEX('Dealer pipeline'!$M$4:$M$503,_calc!$E$976),"yyyy-mm-dd"),""),IF(ISNUMBER(INDEX('My equipment'!$M$4:$M$503,(_calc!$E$976-500))),TEXT(INDEX('My equipment'!$M$4:$M$503,(_calc!$E$976-500)),"yyyy-mm-dd"),"")))</f>
        <v/>
      </c>
      <c r="C974" s="54">
        <f>IF(_calc!$E$976="","",IF(_calc!$E$976&lt;=500,"Warranty","Warranty"))</f>
        <v/>
      </c>
      <c r="D974" s="54">
        <f>IF(_calc!$E$976="","",IF(_calc!$E$976&lt;=500,IF(ISNUMBER(INDEX('Dealer pipeline'!$H$4:$H$503,_calc!$E$976)),TEXT(INDEX('Dealer pipeline'!$H$4:$H$503,_calc!$E$976),"yyyy-mm-dd"),""),IF(ISNUMBER(INDEX('My equipment'!$H$4:$H$503,(_calc!$E$976-500))),TEXT(INDEX('My equipment'!$H$4:$H$503,(_calc!$E$976-500)),"yyyy-mm-dd"),"")))</f>
        <v/>
      </c>
      <c r="F974" s="54">
        <f>IF(_calc!$E$976="","",IF(_calc!$E$976&lt;=500,TRIM(IF(LEN(IF(LEN(INDEX('Dealer pipeline'!$A$4:$A$503,_calc!$E$976))=0,"",INDEX('Dealer pipeline'!$A$4:$A$503,_calc!$E$976)))=0,"","Customer: "&amp;IF(LEN(INDEX('Dealer pipeline'!$A$4:$A$503,_calc!$E$976))=0,"",INDEX('Dealer pipeline'!$A$4:$A$503,_calc!$E$976))&amp;". ")&amp;IF(LEN(IF(LEN(INDEX('Dealer pipeline'!$B$4:$B$503,_calc!$E$976))=0,"",INDEX('Dealer pipeline'!$B$4:$B$503,_calc!$E$976)))=0,"","Contact: "&amp;IF(LEN(INDEX('Dealer pipeline'!$B$4:$B$503,_calc!$E$976))=0,"",INDEX('Dealer pipeline'!$B$4:$B$503,_calc!$E$976))&amp;". ")&amp;IF(LEN(IF(LEN(INDEX('Dealer pipeline'!$D$4:$D$503,_calc!$E$976))=0,"",INDEX('Dealer pipeline'!$D$4:$D$503,_calc!$E$976)))=0,"","Serial: "&amp;IF(LEN(INDEX('Dealer pipeline'!$D$4:$D$503,_calc!$E$976))=0,"",INDEX('Dealer pipeline'!$D$4:$D$503,_calc!$E$976))&amp;". ")&amp;IF(LEN(IF(ISNUMBER(INDEX('Dealer pipeline'!$J$4:$J$503,_calc!$E$976)),TEXT(INDEX('Dealer pipeline'!$J$4:$J$503,_calc!$E$976),"yyyy-mm-dd"),""))=0,"","Parts end: "&amp;IF(ISNUMBER(INDEX('Dealer pipeline'!$J$4:$J$503,_calc!$E$976)),TEXT(INDEX('Dealer pipeline'!$J$4:$J$503,_calc!$E$976),"yyyy-mm-dd"),"")&amp;". ")&amp;IF(LEN(IF(ISNUMBER(INDEX('Dealer pipeline'!$L$4:$L$503,_calc!$E$976)),TEXT(INDEX('Dealer pipeline'!$L$4:$L$503,_calc!$E$976),"yyyy-mm-dd"),""))=0,"","Labor end: "&amp;IF(ISNUMBER(INDEX('Dealer pipeline'!$L$4:$L$503,_calc!$E$976)),TEXT(INDEX('Dealer pipeline'!$L$4:$L$503,_calc!$E$976),"yyyy-mm-dd"),"")&amp;". ")&amp;IF(LEN(IF(LEN(INDEX('Dealer pipeline'!$Q$4:$Q$503,_calc!$E$976))=0,"",INDEX('Dealer pipeline'!$Q$4:$Q$503,_calc!$E$976)))=0,"","Status: "&amp;IF(LEN(INDEX('Dealer pipeline'!$Q$4:$Q$503,_calc!$E$976))=0,"",INDEX('Dealer pipeline'!$Q$4:$Q$503,_calc!$E$976))&amp;". ")&amp;IF(LEN(IF(LEN(INDEX('Dealer pipeline'!$P$4:$P$503,_calc!$E$976))=0,"",INDEX('Dealer pipeline'!$P$4:$P$503,_calc!$E$976)))=0,"","Last touch: "&amp;IF(LEN(INDEX('Dealer pipeline'!$P$4:$P$503,_calc!$E$976))=0,"",INDEX('Dealer pipeline'!$P$4:$P$503,_calc!$E$976))&amp;". ")&amp;IF(LEN(IF(LEN(INDEX('Dealer pipeline'!$R$4:$R$503,_calc!$E$976))=0,"",INDEX('Dealer pipeline'!$R$4:$R$503,_calc!$E$976)))=0,"","Owner: "&amp;IF(LEN(INDEX('Dealer pipeline'!$R$4:$R$503,_calc!$E$976))=0,"",INDEX('Dealer pipeline'!$R$4:$R$503,_calc!$E$976))&amp;". ")&amp;IF(LEN(IF(LEN(INDEX('Dealer pipeline'!$S$4:$S$503,_calc!$E$976))=0,"",INDEX('Dealer pipeline'!$S$4:$S$503,_calc!$E$976)))=0,"","Backup: "&amp;IF(LEN(INDEX('Dealer pipeline'!$S$4:$S$503,_calc!$E$976))=0,"",INDEX('Dealer pipeline'!$S$4:$S$503,_calc!$E$976))&amp;". ")&amp;IF(LEN(IF(LEN(INDEX('Dealer pipeline'!$T$4:$T$503,_calc!$E$976))=0,"",INDEX('Dealer pipeline'!$T$4:$T$503,_calc!$E$976)))=0,"",IF(LEN(INDEX('Dealer pipeline'!$T$4:$T$503,_calc!$E$976))=0,"",INDEX('Dealer pipeline'!$T$4:$T$503,_calc!$E$976)))),TRIM(IF(LEN(IF(LEN(INDEX('My equipment'!$C$4:$C$503,(_calc!$E$976-500)))=0,"",INDEX('My equipment'!$C$4:$C$503,(_calc!$E$976-500))))=0,"","Model: "&amp;IF(LEN(INDEX('My equipment'!$C$4:$C$503,(_calc!$E$976-500)))=0,"",INDEX('My equipment'!$C$4:$C$503,(_calc!$E$976-500)))&amp;". ")&amp;IF(LEN(IF(LEN(INDEX('My equipment'!$D$4:$D$503,(_calc!$E$976-500)))=0,"",INDEX('My equipment'!$D$4:$D$503,(_calc!$E$976-500))))=0,"","Serial: "&amp;IF(LEN(INDEX('My equipment'!$D$4:$D$503,(_calc!$E$976-500)))=0,"",INDEX('My equipment'!$D$4:$D$503,(_calc!$E$976-500)))&amp;". ")&amp;IF(LEN(IF(ISNUMBER(INDEX('My equipment'!$J$4:$J$503,(_calc!$E$976-500))),TEXT(INDEX('My equipment'!$J$4:$J$503,(_calc!$E$976-500)),"yyyy-mm-dd"),""))=0,"","Parts end: "&amp;IF(ISNUMBER(INDEX('My equipment'!$J$4:$J$503,(_calc!$E$976-500))),TEXT(INDEX('My equipment'!$J$4:$J$503,(_calc!$E$976-500)),"yyyy-mm-dd"),"")&amp;". ")&amp;IF(LEN(IF(ISNUMBER(INDEX('My equipment'!$L$4:$L$503,(_calc!$E$976-500))),TEXT(INDEX('My equipment'!$L$4:$L$503,(_calc!$E$976-500)),"yyyy-mm-dd"),""))=0,"","Labor end: "&amp;IF(ISNUMBER(INDEX('My equipment'!$L$4:$L$503,(_calc!$E$976-500))),TEXT(INDEX('My equipment'!$L$4:$L$503,(_calc!$E$976-500)),"yyyy-mm-dd"),"")&amp;". ")&amp;IF(LEN(IF(ISNUMBER(INDEX('My equipment'!$P$4:$P$503,(_calc!$E$976-500))),TEXT(INDEX('My equipment'!$P$4:$P$503,(_calc!$E$976-500)),"yyyy-mm-dd"),""))=0,"","Check by: "&amp;IF(ISNUMBER(INDEX('My equipment'!$P$4:$P$503,(_calc!$E$976-500))),TEXT(INDEX('My equipment'!$P$4:$P$503,(_calc!$E$976-500)),"yyyy-mm-dd"),"")&amp;". ")&amp;IF(LEN(IF(LEN(INDEX('My equipment'!$Q$4:$Q$503,(_calc!$E$976-500)))=0,"",INDEX('My equipment'!$Q$4:$Q$503,(_calc!$E$976-500))))=0,"","Claim status: "&amp;IF(LEN(INDEX('My equipment'!$Q$4:$Q$503,(_calc!$E$976-500)))=0,"",INDEX('My equipment'!$Q$4:$Q$503,(_calc!$E$976-500)))&amp;". ")&amp;IF(LEN(IF(LEN(INDEX('My equipment'!$R$4:$R$503,(_calc!$E$976-500)))=0,"",INDEX('My equipment'!$R$4:$R$503,(_calc!$E$976-500))))=0,"","Claims contact: "&amp;IF(LEN(INDEX('My equipment'!$R$4:$R$503,(_calc!$E$976-500)))=0,"",INDEX('My equipment'!$R$4:$R$503,(_calc!$E$976-500)))&amp;". ")&amp;IF(LEN(IF(LEN(INDEX('My equipment'!$S$4:$S$503,(_calc!$E$976-500)))=0,"",INDEX('My equipment'!$S$4:$S$503,(_calc!$E$976-500))))=0,"","Claims email: "&amp;IF(LEN(INDEX('My equipment'!$S$4:$S$503,(_calc!$E$976-500)))=0,"",INDEX('My equipment'!$S$4:$S$503,(_calc!$E$976-500)))&amp;". ")&amp;IF(LEN(IF(LEN(INDEX('My equipment'!$U$4:$U$503,(_calc!$E$976-500)))=0,"",INDEX('My equipment'!$U$4:$U$503,(_calc!$E$976-500))))=0,"","Registered: "&amp;IF(LEN(INDEX('My equipment'!$U$4:$U$503,(_calc!$E$976-500)))=0,"",INDEX('My equipment'!$U$4:$U$503,(_calc!$E$976-500)))&amp;". ")&amp;IF(LEN(IF(LEN(INDEX('My equipment'!$V$4:$V$503,(_calc!$E$976-500)))=0,"",INDEX('My equipment'!$V$4:$V$503,(_calc!$E$976-500))))=0,"","Proof on file: "&amp;IF(LEN(INDEX('My equipment'!$V$4:$V$503,(_calc!$E$976-500)))=0,"",INDEX('My equipment'!$V$4:$V$503,(_calc!$E$976-500)))&amp;". ")&amp;IF(LEN(IF(LEN(INDEX('My equipment'!$W$4:$W$503,(_calc!$E$976-500)))=0,"",INDEX('My equipment'!$W$4:$W$503,(_calc!$E$976-500))))=0,"","Claim ref: "&amp;IF(LEN(INDEX('My equipment'!$W$4:$W$503,(_calc!$E$976-500)))=0,"",INDEX('My equipment'!$W$4:$W$503,(_calc!$E$976-500)))&amp;". ")&amp;IF(LEN(IF(LEN(INDEX('My equipment'!$Y$4:$Y$503,(_calc!$E$976-500)))=0,"",INDEX('My equipment'!$Y$4:$Y$503,(_calc!$E$976-500))))=0,"",IF(LEN(INDEX('My equipment'!$Y$4:$Y$503,(_calc!$E$976-500)))=0,"",INDEX('My equipment'!$Y$4:$Y$503,(_calc!$E$976-500)))))))</f>
        <v/>
      </c>
      <c r="G974" s="54">
        <f>IF(_calc!$E$976="","",IF(_calc!$E$976&lt;=500,"",IF(LEN(INDEX('My equipment'!$X$4:$X$503,(_calc!$E$976-500)))=0,"",INDEX('My equipment'!$X$4:$X$503,(_calc!$E$976-500)))))</f>
        <v/>
      </c>
      <c r="K974" s="54">
        <f>IF(_calc!$E$976="","",IF(_calc!$E$976&lt;=500,"",IF(LEN(INDEX('My equipment'!$T$4:$T$503,(_calc!$E$976-500)))=0,"",INDEX('My equipment'!$T$4:$T$503,(_calc!$E$976-500)))))</f>
        <v/>
      </c>
    </row>
    <row r="975">
      <c r="A975" s="54">
        <f>IF(_calc!$E$977="","",IF(_calc!$E$977&lt;=500,"Warranty – "&amp;IF(LEN(INDEX('Dealer pipeline'!$C$4:$C$503,_calc!$E$977))=0,"",INDEX('Dealer pipeline'!$C$4:$C$503,_calc!$E$977))&amp;" – "&amp;IF(LEN(INDEX('Dealer pipeline'!$D$4:$D$503,_calc!$E$977))=0,"",INDEX('Dealer pipeline'!$D$4:$D$503,_calc!$E$977))&amp;" – "&amp;IF(LEN(INDEX('Dealer pipeline'!$A$4:$A$503,_calc!$E$977))=0,"",INDEX('Dealer pipeline'!$A$4:$A$503,_calc!$E$977)),"Warranty – "&amp;IF(LEN(INDEX('My equipment'!$A$4:$A$503,(_calc!$E$977-500)))=0,"",INDEX('My equipment'!$A$4:$A$503,(_calc!$E$977-500)))&amp;" – "&amp;IF(LEN(INDEX('My equipment'!$D$4:$D$503,(_calc!$E$977-500)))=0,"",INDEX('My equipment'!$D$4:$D$503,(_calc!$E$977-500)))))</f>
        <v/>
      </c>
      <c r="B975" s="54">
        <f>IF(_calc!$E$977="","",IF(_calc!$E$977&lt;=500,IF(ISNUMBER(INDEX('Dealer pipeline'!$M$4:$M$503,_calc!$E$977)),TEXT(INDEX('Dealer pipeline'!$M$4:$M$503,_calc!$E$977),"yyyy-mm-dd"),""),IF(ISNUMBER(INDEX('My equipment'!$M$4:$M$503,(_calc!$E$977-500))),TEXT(INDEX('My equipment'!$M$4:$M$503,(_calc!$E$977-500)),"yyyy-mm-dd"),"")))</f>
        <v/>
      </c>
      <c r="C975" s="54">
        <f>IF(_calc!$E$977="","",IF(_calc!$E$977&lt;=500,"Warranty","Warranty"))</f>
        <v/>
      </c>
      <c r="D975" s="54">
        <f>IF(_calc!$E$977="","",IF(_calc!$E$977&lt;=500,IF(ISNUMBER(INDEX('Dealer pipeline'!$H$4:$H$503,_calc!$E$977)),TEXT(INDEX('Dealer pipeline'!$H$4:$H$503,_calc!$E$977),"yyyy-mm-dd"),""),IF(ISNUMBER(INDEX('My equipment'!$H$4:$H$503,(_calc!$E$977-500))),TEXT(INDEX('My equipment'!$H$4:$H$503,(_calc!$E$977-500)),"yyyy-mm-dd"),"")))</f>
        <v/>
      </c>
      <c r="F975" s="54">
        <f>IF(_calc!$E$977="","",IF(_calc!$E$977&lt;=500,TRIM(IF(LEN(IF(LEN(INDEX('Dealer pipeline'!$A$4:$A$503,_calc!$E$977))=0,"",INDEX('Dealer pipeline'!$A$4:$A$503,_calc!$E$977)))=0,"","Customer: "&amp;IF(LEN(INDEX('Dealer pipeline'!$A$4:$A$503,_calc!$E$977))=0,"",INDEX('Dealer pipeline'!$A$4:$A$503,_calc!$E$977))&amp;". ")&amp;IF(LEN(IF(LEN(INDEX('Dealer pipeline'!$B$4:$B$503,_calc!$E$977))=0,"",INDEX('Dealer pipeline'!$B$4:$B$503,_calc!$E$977)))=0,"","Contact: "&amp;IF(LEN(INDEX('Dealer pipeline'!$B$4:$B$503,_calc!$E$977))=0,"",INDEX('Dealer pipeline'!$B$4:$B$503,_calc!$E$977))&amp;". ")&amp;IF(LEN(IF(LEN(INDEX('Dealer pipeline'!$D$4:$D$503,_calc!$E$977))=0,"",INDEX('Dealer pipeline'!$D$4:$D$503,_calc!$E$977)))=0,"","Serial: "&amp;IF(LEN(INDEX('Dealer pipeline'!$D$4:$D$503,_calc!$E$977))=0,"",INDEX('Dealer pipeline'!$D$4:$D$503,_calc!$E$977))&amp;". ")&amp;IF(LEN(IF(ISNUMBER(INDEX('Dealer pipeline'!$J$4:$J$503,_calc!$E$977)),TEXT(INDEX('Dealer pipeline'!$J$4:$J$503,_calc!$E$977),"yyyy-mm-dd"),""))=0,"","Parts end: "&amp;IF(ISNUMBER(INDEX('Dealer pipeline'!$J$4:$J$503,_calc!$E$977)),TEXT(INDEX('Dealer pipeline'!$J$4:$J$503,_calc!$E$977),"yyyy-mm-dd"),"")&amp;". ")&amp;IF(LEN(IF(ISNUMBER(INDEX('Dealer pipeline'!$L$4:$L$503,_calc!$E$977)),TEXT(INDEX('Dealer pipeline'!$L$4:$L$503,_calc!$E$977),"yyyy-mm-dd"),""))=0,"","Labor end: "&amp;IF(ISNUMBER(INDEX('Dealer pipeline'!$L$4:$L$503,_calc!$E$977)),TEXT(INDEX('Dealer pipeline'!$L$4:$L$503,_calc!$E$977),"yyyy-mm-dd"),"")&amp;". ")&amp;IF(LEN(IF(LEN(INDEX('Dealer pipeline'!$Q$4:$Q$503,_calc!$E$977))=0,"",INDEX('Dealer pipeline'!$Q$4:$Q$503,_calc!$E$977)))=0,"","Status: "&amp;IF(LEN(INDEX('Dealer pipeline'!$Q$4:$Q$503,_calc!$E$977))=0,"",INDEX('Dealer pipeline'!$Q$4:$Q$503,_calc!$E$977))&amp;". ")&amp;IF(LEN(IF(LEN(INDEX('Dealer pipeline'!$P$4:$P$503,_calc!$E$977))=0,"",INDEX('Dealer pipeline'!$P$4:$P$503,_calc!$E$977)))=0,"","Last touch: "&amp;IF(LEN(INDEX('Dealer pipeline'!$P$4:$P$503,_calc!$E$977))=0,"",INDEX('Dealer pipeline'!$P$4:$P$503,_calc!$E$977))&amp;". ")&amp;IF(LEN(IF(LEN(INDEX('Dealer pipeline'!$R$4:$R$503,_calc!$E$977))=0,"",INDEX('Dealer pipeline'!$R$4:$R$503,_calc!$E$977)))=0,"","Owner: "&amp;IF(LEN(INDEX('Dealer pipeline'!$R$4:$R$503,_calc!$E$977))=0,"",INDEX('Dealer pipeline'!$R$4:$R$503,_calc!$E$977))&amp;". ")&amp;IF(LEN(IF(LEN(INDEX('Dealer pipeline'!$S$4:$S$503,_calc!$E$977))=0,"",INDEX('Dealer pipeline'!$S$4:$S$503,_calc!$E$977)))=0,"","Backup: "&amp;IF(LEN(INDEX('Dealer pipeline'!$S$4:$S$503,_calc!$E$977))=0,"",INDEX('Dealer pipeline'!$S$4:$S$503,_calc!$E$977))&amp;". ")&amp;IF(LEN(IF(LEN(INDEX('Dealer pipeline'!$T$4:$T$503,_calc!$E$977))=0,"",INDEX('Dealer pipeline'!$T$4:$T$503,_calc!$E$977)))=0,"",IF(LEN(INDEX('Dealer pipeline'!$T$4:$T$503,_calc!$E$977))=0,"",INDEX('Dealer pipeline'!$T$4:$T$503,_calc!$E$977)))),TRIM(IF(LEN(IF(LEN(INDEX('My equipment'!$C$4:$C$503,(_calc!$E$977-500)))=0,"",INDEX('My equipment'!$C$4:$C$503,(_calc!$E$977-500))))=0,"","Model: "&amp;IF(LEN(INDEX('My equipment'!$C$4:$C$503,(_calc!$E$977-500)))=0,"",INDEX('My equipment'!$C$4:$C$503,(_calc!$E$977-500)))&amp;". ")&amp;IF(LEN(IF(LEN(INDEX('My equipment'!$D$4:$D$503,(_calc!$E$977-500)))=0,"",INDEX('My equipment'!$D$4:$D$503,(_calc!$E$977-500))))=0,"","Serial: "&amp;IF(LEN(INDEX('My equipment'!$D$4:$D$503,(_calc!$E$977-500)))=0,"",INDEX('My equipment'!$D$4:$D$503,(_calc!$E$977-500)))&amp;". ")&amp;IF(LEN(IF(ISNUMBER(INDEX('My equipment'!$J$4:$J$503,(_calc!$E$977-500))),TEXT(INDEX('My equipment'!$J$4:$J$503,(_calc!$E$977-500)),"yyyy-mm-dd"),""))=0,"","Parts end: "&amp;IF(ISNUMBER(INDEX('My equipment'!$J$4:$J$503,(_calc!$E$977-500))),TEXT(INDEX('My equipment'!$J$4:$J$503,(_calc!$E$977-500)),"yyyy-mm-dd"),"")&amp;". ")&amp;IF(LEN(IF(ISNUMBER(INDEX('My equipment'!$L$4:$L$503,(_calc!$E$977-500))),TEXT(INDEX('My equipment'!$L$4:$L$503,(_calc!$E$977-500)),"yyyy-mm-dd"),""))=0,"","Labor end: "&amp;IF(ISNUMBER(INDEX('My equipment'!$L$4:$L$503,(_calc!$E$977-500))),TEXT(INDEX('My equipment'!$L$4:$L$503,(_calc!$E$977-500)),"yyyy-mm-dd"),"")&amp;". ")&amp;IF(LEN(IF(ISNUMBER(INDEX('My equipment'!$P$4:$P$503,(_calc!$E$977-500))),TEXT(INDEX('My equipment'!$P$4:$P$503,(_calc!$E$977-500)),"yyyy-mm-dd"),""))=0,"","Check by: "&amp;IF(ISNUMBER(INDEX('My equipment'!$P$4:$P$503,(_calc!$E$977-500))),TEXT(INDEX('My equipment'!$P$4:$P$503,(_calc!$E$977-500)),"yyyy-mm-dd"),"")&amp;". ")&amp;IF(LEN(IF(LEN(INDEX('My equipment'!$Q$4:$Q$503,(_calc!$E$977-500)))=0,"",INDEX('My equipment'!$Q$4:$Q$503,(_calc!$E$977-500))))=0,"","Claim status: "&amp;IF(LEN(INDEX('My equipment'!$Q$4:$Q$503,(_calc!$E$977-500)))=0,"",INDEX('My equipment'!$Q$4:$Q$503,(_calc!$E$977-500)))&amp;". ")&amp;IF(LEN(IF(LEN(INDEX('My equipment'!$R$4:$R$503,(_calc!$E$977-500)))=0,"",INDEX('My equipment'!$R$4:$R$503,(_calc!$E$977-500))))=0,"","Claims contact: "&amp;IF(LEN(INDEX('My equipment'!$R$4:$R$503,(_calc!$E$977-500)))=0,"",INDEX('My equipment'!$R$4:$R$503,(_calc!$E$977-500)))&amp;". ")&amp;IF(LEN(IF(LEN(INDEX('My equipment'!$S$4:$S$503,(_calc!$E$977-500)))=0,"",INDEX('My equipment'!$S$4:$S$503,(_calc!$E$977-500))))=0,"","Claims email: "&amp;IF(LEN(INDEX('My equipment'!$S$4:$S$503,(_calc!$E$977-500)))=0,"",INDEX('My equipment'!$S$4:$S$503,(_calc!$E$977-500)))&amp;". ")&amp;IF(LEN(IF(LEN(INDEX('My equipment'!$U$4:$U$503,(_calc!$E$977-500)))=0,"",INDEX('My equipment'!$U$4:$U$503,(_calc!$E$977-500))))=0,"","Registered: "&amp;IF(LEN(INDEX('My equipment'!$U$4:$U$503,(_calc!$E$977-500)))=0,"",INDEX('My equipment'!$U$4:$U$503,(_calc!$E$977-500)))&amp;". ")&amp;IF(LEN(IF(LEN(INDEX('My equipment'!$V$4:$V$503,(_calc!$E$977-500)))=0,"",INDEX('My equipment'!$V$4:$V$503,(_calc!$E$977-500))))=0,"","Proof on file: "&amp;IF(LEN(INDEX('My equipment'!$V$4:$V$503,(_calc!$E$977-500)))=0,"",INDEX('My equipment'!$V$4:$V$503,(_calc!$E$977-500)))&amp;". ")&amp;IF(LEN(IF(LEN(INDEX('My equipment'!$W$4:$W$503,(_calc!$E$977-500)))=0,"",INDEX('My equipment'!$W$4:$W$503,(_calc!$E$977-500))))=0,"","Claim ref: "&amp;IF(LEN(INDEX('My equipment'!$W$4:$W$503,(_calc!$E$977-500)))=0,"",INDEX('My equipment'!$W$4:$W$503,(_calc!$E$977-500)))&amp;". ")&amp;IF(LEN(IF(LEN(INDEX('My equipment'!$Y$4:$Y$503,(_calc!$E$977-500)))=0,"",INDEX('My equipment'!$Y$4:$Y$503,(_calc!$E$977-500))))=0,"",IF(LEN(INDEX('My equipment'!$Y$4:$Y$503,(_calc!$E$977-500)))=0,"",INDEX('My equipment'!$Y$4:$Y$503,(_calc!$E$977-500)))))))</f>
        <v/>
      </c>
      <c r="G975" s="54">
        <f>IF(_calc!$E$977="","",IF(_calc!$E$977&lt;=500,"",IF(LEN(INDEX('My equipment'!$X$4:$X$503,(_calc!$E$977-500)))=0,"",INDEX('My equipment'!$X$4:$X$503,(_calc!$E$977-500)))))</f>
        <v/>
      </c>
      <c r="K975" s="54">
        <f>IF(_calc!$E$977="","",IF(_calc!$E$977&lt;=500,"",IF(LEN(INDEX('My equipment'!$T$4:$T$503,(_calc!$E$977-500)))=0,"",INDEX('My equipment'!$T$4:$T$503,(_calc!$E$977-500)))))</f>
        <v/>
      </c>
    </row>
    <row r="976">
      <c r="A976" s="54">
        <f>IF(_calc!$E$978="","",IF(_calc!$E$978&lt;=500,"Warranty – "&amp;IF(LEN(INDEX('Dealer pipeline'!$C$4:$C$503,_calc!$E$978))=0,"",INDEX('Dealer pipeline'!$C$4:$C$503,_calc!$E$978))&amp;" – "&amp;IF(LEN(INDEX('Dealer pipeline'!$D$4:$D$503,_calc!$E$978))=0,"",INDEX('Dealer pipeline'!$D$4:$D$503,_calc!$E$978))&amp;" – "&amp;IF(LEN(INDEX('Dealer pipeline'!$A$4:$A$503,_calc!$E$978))=0,"",INDEX('Dealer pipeline'!$A$4:$A$503,_calc!$E$978)),"Warranty – "&amp;IF(LEN(INDEX('My equipment'!$A$4:$A$503,(_calc!$E$978-500)))=0,"",INDEX('My equipment'!$A$4:$A$503,(_calc!$E$978-500)))&amp;" – "&amp;IF(LEN(INDEX('My equipment'!$D$4:$D$503,(_calc!$E$978-500)))=0,"",INDEX('My equipment'!$D$4:$D$503,(_calc!$E$978-500)))))</f>
        <v/>
      </c>
      <c r="B976" s="54">
        <f>IF(_calc!$E$978="","",IF(_calc!$E$978&lt;=500,IF(ISNUMBER(INDEX('Dealer pipeline'!$M$4:$M$503,_calc!$E$978)),TEXT(INDEX('Dealer pipeline'!$M$4:$M$503,_calc!$E$978),"yyyy-mm-dd"),""),IF(ISNUMBER(INDEX('My equipment'!$M$4:$M$503,(_calc!$E$978-500))),TEXT(INDEX('My equipment'!$M$4:$M$503,(_calc!$E$978-500)),"yyyy-mm-dd"),"")))</f>
        <v/>
      </c>
      <c r="C976" s="54">
        <f>IF(_calc!$E$978="","",IF(_calc!$E$978&lt;=500,"Warranty","Warranty"))</f>
        <v/>
      </c>
      <c r="D976" s="54">
        <f>IF(_calc!$E$978="","",IF(_calc!$E$978&lt;=500,IF(ISNUMBER(INDEX('Dealer pipeline'!$H$4:$H$503,_calc!$E$978)),TEXT(INDEX('Dealer pipeline'!$H$4:$H$503,_calc!$E$978),"yyyy-mm-dd"),""),IF(ISNUMBER(INDEX('My equipment'!$H$4:$H$503,(_calc!$E$978-500))),TEXT(INDEX('My equipment'!$H$4:$H$503,(_calc!$E$978-500)),"yyyy-mm-dd"),"")))</f>
        <v/>
      </c>
      <c r="F976" s="54">
        <f>IF(_calc!$E$978="","",IF(_calc!$E$978&lt;=500,TRIM(IF(LEN(IF(LEN(INDEX('Dealer pipeline'!$A$4:$A$503,_calc!$E$978))=0,"",INDEX('Dealer pipeline'!$A$4:$A$503,_calc!$E$978)))=0,"","Customer: "&amp;IF(LEN(INDEX('Dealer pipeline'!$A$4:$A$503,_calc!$E$978))=0,"",INDEX('Dealer pipeline'!$A$4:$A$503,_calc!$E$978))&amp;". ")&amp;IF(LEN(IF(LEN(INDEX('Dealer pipeline'!$B$4:$B$503,_calc!$E$978))=0,"",INDEX('Dealer pipeline'!$B$4:$B$503,_calc!$E$978)))=0,"","Contact: "&amp;IF(LEN(INDEX('Dealer pipeline'!$B$4:$B$503,_calc!$E$978))=0,"",INDEX('Dealer pipeline'!$B$4:$B$503,_calc!$E$978))&amp;". ")&amp;IF(LEN(IF(LEN(INDEX('Dealer pipeline'!$D$4:$D$503,_calc!$E$978))=0,"",INDEX('Dealer pipeline'!$D$4:$D$503,_calc!$E$978)))=0,"","Serial: "&amp;IF(LEN(INDEX('Dealer pipeline'!$D$4:$D$503,_calc!$E$978))=0,"",INDEX('Dealer pipeline'!$D$4:$D$503,_calc!$E$978))&amp;". ")&amp;IF(LEN(IF(ISNUMBER(INDEX('Dealer pipeline'!$J$4:$J$503,_calc!$E$978)),TEXT(INDEX('Dealer pipeline'!$J$4:$J$503,_calc!$E$978),"yyyy-mm-dd"),""))=0,"","Parts end: "&amp;IF(ISNUMBER(INDEX('Dealer pipeline'!$J$4:$J$503,_calc!$E$978)),TEXT(INDEX('Dealer pipeline'!$J$4:$J$503,_calc!$E$978),"yyyy-mm-dd"),"")&amp;". ")&amp;IF(LEN(IF(ISNUMBER(INDEX('Dealer pipeline'!$L$4:$L$503,_calc!$E$978)),TEXT(INDEX('Dealer pipeline'!$L$4:$L$503,_calc!$E$978),"yyyy-mm-dd"),""))=0,"","Labor end: "&amp;IF(ISNUMBER(INDEX('Dealer pipeline'!$L$4:$L$503,_calc!$E$978)),TEXT(INDEX('Dealer pipeline'!$L$4:$L$503,_calc!$E$978),"yyyy-mm-dd"),"")&amp;". ")&amp;IF(LEN(IF(LEN(INDEX('Dealer pipeline'!$Q$4:$Q$503,_calc!$E$978))=0,"",INDEX('Dealer pipeline'!$Q$4:$Q$503,_calc!$E$978)))=0,"","Status: "&amp;IF(LEN(INDEX('Dealer pipeline'!$Q$4:$Q$503,_calc!$E$978))=0,"",INDEX('Dealer pipeline'!$Q$4:$Q$503,_calc!$E$978))&amp;". ")&amp;IF(LEN(IF(LEN(INDEX('Dealer pipeline'!$P$4:$P$503,_calc!$E$978))=0,"",INDEX('Dealer pipeline'!$P$4:$P$503,_calc!$E$978)))=0,"","Last touch: "&amp;IF(LEN(INDEX('Dealer pipeline'!$P$4:$P$503,_calc!$E$978))=0,"",INDEX('Dealer pipeline'!$P$4:$P$503,_calc!$E$978))&amp;". ")&amp;IF(LEN(IF(LEN(INDEX('Dealer pipeline'!$R$4:$R$503,_calc!$E$978))=0,"",INDEX('Dealer pipeline'!$R$4:$R$503,_calc!$E$978)))=0,"","Owner: "&amp;IF(LEN(INDEX('Dealer pipeline'!$R$4:$R$503,_calc!$E$978))=0,"",INDEX('Dealer pipeline'!$R$4:$R$503,_calc!$E$978))&amp;". ")&amp;IF(LEN(IF(LEN(INDEX('Dealer pipeline'!$S$4:$S$503,_calc!$E$978))=0,"",INDEX('Dealer pipeline'!$S$4:$S$503,_calc!$E$978)))=0,"","Backup: "&amp;IF(LEN(INDEX('Dealer pipeline'!$S$4:$S$503,_calc!$E$978))=0,"",INDEX('Dealer pipeline'!$S$4:$S$503,_calc!$E$978))&amp;". ")&amp;IF(LEN(IF(LEN(INDEX('Dealer pipeline'!$T$4:$T$503,_calc!$E$978))=0,"",INDEX('Dealer pipeline'!$T$4:$T$503,_calc!$E$978)))=0,"",IF(LEN(INDEX('Dealer pipeline'!$T$4:$T$503,_calc!$E$978))=0,"",INDEX('Dealer pipeline'!$T$4:$T$503,_calc!$E$978)))),TRIM(IF(LEN(IF(LEN(INDEX('My equipment'!$C$4:$C$503,(_calc!$E$978-500)))=0,"",INDEX('My equipment'!$C$4:$C$503,(_calc!$E$978-500))))=0,"","Model: "&amp;IF(LEN(INDEX('My equipment'!$C$4:$C$503,(_calc!$E$978-500)))=0,"",INDEX('My equipment'!$C$4:$C$503,(_calc!$E$978-500)))&amp;". ")&amp;IF(LEN(IF(LEN(INDEX('My equipment'!$D$4:$D$503,(_calc!$E$978-500)))=0,"",INDEX('My equipment'!$D$4:$D$503,(_calc!$E$978-500))))=0,"","Serial: "&amp;IF(LEN(INDEX('My equipment'!$D$4:$D$503,(_calc!$E$978-500)))=0,"",INDEX('My equipment'!$D$4:$D$503,(_calc!$E$978-500)))&amp;". ")&amp;IF(LEN(IF(ISNUMBER(INDEX('My equipment'!$J$4:$J$503,(_calc!$E$978-500))),TEXT(INDEX('My equipment'!$J$4:$J$503,(_calc!$E$978-500)),"yyyy-mm-dd"),""))=0,"","Parts end: "&amp;IF(ISNUMBER(INDEX('My equipment'!$J$4:$J$503,(_calc!$E$978-500))),TEXT(INDEX('My equipment'!$J$4:$J$503,(_calc!$E$978-500)),"yyyy-mm-dd"),"")&amp;". ")&amp;IF(LEN(IF(ISNUMBER(INDEX('My equipment'!$L$4:$L$503,(_calc!$E$978-500))),TEXT(INDEX('My equipment'!$L$4:$L$503,(_calc!$E$978-500)),"yyyy-mm-dd"),""))=0,"","Labor end: "&amp;IF(ISNUMBER(INDEX('My equipment'!$L$4:$L$503,(_calc!$E$978-500))),TEXT(INDEX('My equipment'!$L$4:$L$503,(_calc!$E$978-500)),"yyyy-mm-dd"),"")&amp;". ")&amp;IF(LEN(IF(ISNUMBER(INDEX('My equipment'!$P$4:$P$503,(_calc!$E$978-500))),TEXT(INDEX('My equipment'!$P$4:$P$503,(_calc!$E$978-500)),"yyyy-mm-dd"),""))=0,"","Check by: "&amp;IF(ISNUMBER(INDEX('My equipment'!$P$4:$P$503,(_calc!$E$978-500))),TEXT(INDEX('My equipment'!$P$4:$P$503,(_calc!$E$978-500)),"yyyy-mm-dd"),"")&amp;". ")&amp;IF(LEN(IF(LEN(INDEX('My equipment'!$Q$4:$Q$503,(_calc!$E$978-500)))=0,"",INDEX('My equipment'!$Q$4:$Q$503,(_calc!$E$978-500))))=0,"","Claim status: "&amp;IF(LEN(INDEX('My equipment'!$Q$4:$Q$503,(_calc!$E$978-500)))=0,"",INDEX('My equipment'!$Q$4:$Q$503,(_calc!$E$978-500)))&amp;". ")&amp;IF(LEN(IF(LEN(INDEX('My equipment'!$R$4:$R$503,(_calc!$E$978-500)))=0,"",INDEX('My equipment'!$R$4:$R$503,(_calc!$E$978-500))))=0,"","Claims contact: "&amp;IF(LEN(INDEX('My equipment'!$R$4:$R$503,(_calc!$E$978-500)))=0,"",INDEX('My equipment'!$R$4:$R$503,(_calc!$E$978-500)))&amp;". ")&amp;IF(LEN(IF(LEN(INDEX('My equipment'!$S$4:$S$503,(_calc!$E$978-500)))=0,"",INDEX('My equipment'!$S$4:$S$503,(_calc!$E$978-500))))=0,"","Claims email: "&amp;IF(LEN(INDEX('My equipment'!$S$4:$S$503,(_calc!$E$978-500)))=0,"",INDEX('My equipment'!$S$4:$S$503,(_calc!$E$978-500)))&amp;". ")&amp;IF(LEN(IF(LEN(INDEX('My equipment'!$U$4:$U$503,(_calc!$E$978-500)))=0,"",INDEX('My equipment'!$U$4:$U$503,(_calc!$E$978-500))))=0,"","Registered: "&amp;IF(LEN(INDEX('My equipment'!$U$4:$U$503,(_calc!$E$978-500)))=0,"",INDEX('My equipment'!$U$4:$U$503,(_calc!$E$978-500)))&amp;". ")&amp;IF(LEN(IF(LEN(INDEX('My equipment'!$V$4:$V$503,(_calc!$E$978-500)))=0,"",INDEX('My equipment'!$V$4:$V$503,(_calc!$E$978-500))))=0,"","Proof on file: "&amp;IF(LEN(INDEX('My equipment'!$V$4:$V$503,(_calc!$E$978-500)))=0,"",INDEX('My equipment'!$V$4:$V$503,(_calc!$E$978-500)))&amp;". ")&amp;IF(LEN(IF(LEN(INDEX('My equipment'!$W$4:$W$503,(_calc!$E$978-500)))=0,"",INDEX('My equipment'!$W$4:$W$503,(_calc!$E$978-500))))=0,"","Claim ref: "&amp;IF(LEN(INDEX('My equipment'!$W$4:$W$503,(_calc!$E$978-500)))=0,"",INDEX('My equipment'!$W$4:$W$503,(_calc!$E$978-500)))&amp;". ")&amp;IF(LEN(IF(LEN(INDEX('My equipment'!$Y$4:$Y$503,(_calc!$E$978-500)))=0,"",INDEX('My equipment'!$Y$4:$Y$503,(_calc!$E$978-500))))=0,"",IF(LEN(INDEX('My equipment'!$Y$4:$Y$503,(_calc!$E$978-500)))=0,"",INDEX('My equipment'!$Y$4:$Y$503,(_calc!$E$978-500)))))))</f>
        <v/>
      </c>
      <c r="G976" s="54">
        <f>IF(_calc!$E$978="","",IF(_calc!$E$978&lt;=500,"",IF(LEN(INDEX('My equipment'!$X$4:$X$503,(_calc!$E$978-500)))=0,"",INDEX('My equipment'!$X$4:$X$503,(_calc!$E$978-500)))))</f>
        <v/>
      </c>
      <c r="K976" s="54">
        <f>IF(_calc!$E$978="","",IF(_calc!$E$978&lt;=500,"",IF(LEN(INDEX('My equipment'!$T$4:$T$503,(_calc!$E$978-500)))=0,"",INDEX('My equipment'!$T$4:$T$503,(_calc!$E$978-500)))))</f>
        <v/>
      </c>
    </row>
    <row r="977">
      <c r="A977" s="54">
        <f>IF(_calc!$E$979="","",IF(_calc!$E$979&lt;=500,"Warranty – "&amp;IF(LEN(INDEX('Dealer pipeline'!$C$4:$C$503,_calc!$E$979))=0,"",INDEX('Dealer pipeline'!$C$4:$C$503,_calc!$E$979))&amp;" – "&amp;IF(LEN(INDEX('Dealer pipeline'!$D$4:$D$503,_calc!$E$979))=0,"",INDEX('Dealer pipeline'!$D$4:$D$503,_calc!$E$979))&amp;" – "&amp;IF(LEN(INDEX('Dealer pipeline'!$A$4:$A$503,_calc!$E$979))=0,"",INDEX('Dealer pipeline'!$A$4:$A$503,_calc!$E$979)),"Warranty – "&amp;IF(LEN(INDEX('My equipment'!$A$4:$A$503,(_calc!$E$979-500)))=0,"",INDEX('My equipment'!$A$4:$A$503,(_calc!$E$979-500)))&amp;" – "&amp;IF(LEN(INDEX('My equipment'!$D$4:$D$503,(_calc!$E$979-500)))=0,"",INDEX('My equipment'!$D$4:$D$503,(_calc!$E$979-500)))))</f>
        <v/>
      </c>
      <c r="B977" s="54">
        <f>IF(_calc!$E$979="","",IF(_calc!$E$979&lt;=500,IF(ISNUMBER(INDEX('Dealer pipeline'!$M$4:$M$503,_calc!$E$979)),TEXT(INDEX('Dealer pipeline'!$M$4:$M$503,_calc!$E$979),"yyyy-mm-dd"),""),IF(ISNUMBER(INDEX('My equipment'!$M$4:$M$503,(_calc!$E$979-500))),TEXT(INDEX('My equipment'!$M$4:$M$503,(_calc!$E$979-500)),"yyyy-mm-dd"),"")))</f>
        <v/>
      </c>
      <c r="C977" s="54">
        <f>IF(_calc!$E$979="","",IF(_calc!$E$979&lt;=500,"Warranty","Warranty"))</f>
        <v/>
      </c>
      <c r="D977" s="54">
        <f>IF(_calc!$E$979="","",IF(_calc!$E$979&lt;=500,IF(ISNUMBER(INDEX('Dealer pipeline'!$H$4:$H$503,_calc!$E$979)),TEXT(INDEX('Dealer pipeline'!$H$4:$H$503,_calc!$E$979),"yyyy-mm-dd"),""),IF(ISNUMBER(INDEX('My equipment'!$H$4:$H$503,(_calc!$E$979-500))),TEXT(INDEX('My equipment'!$H$4:$H$503,(_calc!$E$979-500)),"yyyy-mm-dd"),"")))</f>
        <v/>
      </c>
      <c r="F977" s="54">
        <f>IF(_calc!$E$979="","",IF(_calc!$E$979&lt;=500,TRIM(IF(LEN(IF(LEN(INDEX('Dealer pipeline'!$A$4:$A$503,_calc!$E$979))=0,"",INDEX('Dealer pipeline'!$A$4:$A$503,_calc!$E$979)))=0,"","Customer: "&amp;IF(LEN(INDEX('Dealer pipeline'!$A$4:$A$503,_calc!$E$979))=0,"",INDEX('Dealer pipeline'!$A$4:$A$503,_calc!$E$979))&amp;". ")&amp;IF(LEN(IF(LEN(INDEX('Dealer pipeline'!$B$4:$B$503,_calc!$E$979))=0,"",INDEX('Dealer pipeline'!$B$4:$B$503,_calc!$E$979)))=0,"","Contact: "&amp;IF(LEN(INDEX('Dealer pipeline'!$B$4:$B$503,_calc!$E$979))=0,"",INDEX('Dealer pipeline'!$B$4:$B$503,_calc!$E$979))&amp;". ")&amp;IF(LEN(IF(LEN(INDEX('Dealer pipeline'!$D$4:$D$503,_calc!$E$979))=0,"",INDEX('Dealer pipeline'!$D$4:$D$503,_calc!$E$979)))=0,"","Serial: "&amp;IF(LEN(INDEX('Dealer pipeline'!$D$4:$D$503,_calc!$E$979))=0,"",INDEX('Dealer pipeline'!$D$4:$D$503,_calc!$E$979))&amp;". ")&amp;IF(LEN(IF(ISNUMBER(INDEX('Dealer pipeline'!$J$4:$J$503,_calc!$E$979)),TEXT(INDEX('Dealer pipeline'!$J$4:$J$503,_calc!$E$979),"yyyy-mm-dd"),""))=0,"","Parts end: "&amp;IF(ISNUMBER(INDEX('Dealer pipeline'!$J$4:$J$503,_calc!$E$979)),TEXT(INDEX('Dealer pipeline'!$J$4:$J$503,_calc!$E$979),"yyyy-mm-dd"),"")&amp;". ")&amp;IF(LEN(IF(ISNUMBER(INDEX('Dealer pipeline'!$L$4:$L$503,_calc!$E$979)),TEXT(INDEX('Dealer pipeline'!$L$4:$L$503,_calc!$E$979),"yyyy-mm-dd"),""))=0,"","Labor end: "&amp;IF(ISNUMBER(INDEX('Dealer pipeline'!$L$4:$L$503,_calc!$E$979)),TEXT(INDEX('Dealer pipeline'!$L$4:$L$503,_calc!$E$979),"yyyy-mm-dd"),"")&amp;". ")&amp;IF(LEN(IF(LEN(INDEX('Dealer pipeline'!$Q$4:$Q$503,_calc!$E$979))=0,"",INDEX('Dealer pipeline'!$Q$4:$Q$503,_calc!$E$979)))=0,"","Status: "&amp;IF(LEN(INDEX('Dealer pipeline'!$Q$4:$Q$503,_calc!$E$979))=0,"",INDEX('Dealer pipeline'!$Q$4:$Q$503,_calc!$E$979))&amp;". ")&amp;IF(LEN(IF(LEN(INDEX('Dealer pipeline'!$P$4:$P$503,_calc!$E$979))=0,"",INDEX('Dealer pipeline'!$P$4:$P$503,_calc!$E$979)))=0,"","Last touch: "&amp;IF(LEN(INDEX('Dealer pipeline'!$P$4:$P$503,_calc!$E$979))=0,"",INDEX('Dealer pipeline'!$P$4:$P$503,_calc!$E$979))&amp;". ")&amp;IF(LEN(IF(LEN(INDEX('Dealer pipeline'!$R$4:$R$503,_calc!$E$979))=0,"",INDEX('Dealer pipeline'!$R$4:$R$503,_calc!$E$979)))=0,"","Owner: "&amp;IF(LEN(INDEX('Dealer pipeline'!$R$4:$R$503,_calc!$E$979))=0,"",INDEX('Dealer pipeline'!$R$4:$R$503,_calc!$E$979))&amp;". ")&amp;IF(LEN(IF(LEN(INDEX('Dealer pipeline'!$S$4:$S$503,_calc!$E$979))=0,"",INDEX('Dealer pipeline'!$S$4:$S$503,_calc!$E$979)))=0,"","Backup: "&amp;IF(LEN(INDEX('Dealer pipeline'!$S$4:$S$503,_calc!$E$979))=0,"",INDEX('Dealer pipeline'!$S$4:$S$503,_calc!$E$979))&amp;". ")&amp;IF(LEN(IF(LEN(INDEX('Dealer pipeline'!$T$4:$T$503,_calc!$E$979))=0,"",INDEX('Dealer pipeline'!$T$4:$T$503,_calc!$E$979)))=0,"",IF(LEN(INDEX('Dealer pipeline'!$T$4:$T$503,_calc!$E$979))=0,"",INDEX('Dealer pipeline'!$T$4:$T$503,_calc!$E$979)))),TRIM(IF(LEN(IF(LEN(INDEX('My equipment'!$C$4:$C$503,(_calc!$E$979-500)))=0,"",INDEX('My equipment'!$C$4:$C$503,(_calc!$E$979-500))))=0,"","Model: "&amp;IF(LEN(INDEX('My equipment'!$C$4:$C$503,(_calc!$E$979-500)))=0,"",INDEX('My equipment'!$C$4:$C$503,(_calc!$E$979-500)))&amp;". ")&amp;IF(LEN(IF(LEN(INDEX('My equipment'!$D$4:$D$503,(_calc!$E$979-500)))=0,"",INDEX('My equipment'!$D$4:$D$503,(_calc!$E$979-500))))=0,"","Serial: "&amp;IF(LEN(INDEX('My equipment'!$D$4:$D$503,(_calc!$E$979-500)))=0,"",INDEX('My equipment'!$D$4:$D$503,(_calc!$E$979-500)))&amp;". ")&amp;IF(LEN(IF(ISNUMBER(INDEX('My equipment'!$J$4:$J$503,(_calc!$E$979-500))),TEXT(INDEX('My equipment'!$J$4:$J$503,(_calc!$E$979-500)),"yyyy-mm-dd"),""))=0,"","Parts end: "&amp;IF(ISNUMBER(INDEX('My equipment'!$J$4:$J$503,(_calc!$E$979-500))),TEXT(INDEX('My equipment'!$J$4:$J$503,(_calc!$E$979-500)),"yyyy-mm-dd"),"")&amp;". ")&amp;IF(LEN(IF(ISNUMBER(INDEX('My equipment'!$L$4:$L$503,(_calc!$E$979-500))),TEXT(INDEX('My equipment'!$L$4:$L$503,(_calc!$E$979-500)),"yyyy-mm-dd"),""))=0,"","Labor end: "&amp;IF(ISNUMBER(INDEX('My equipment'!$L$4:$L$503,(_calc!$E$979-500))),TEXT(INDEX('My equipment'!$L$4:$L$503,(_calc!$E$979-500)),"yyyy-mm-dd"),"")&amp;". ")&amp;IF(LEN(IF(ISNUMBER(INDEX('My equipment'!$P$4:$P$503,(_calc!$E$979-500))),TEXT(INDEX('My equipment'!$P$4:$P$503,(_calc!$E$979-500)),"yyyy-mm-dd"),""))=0,"","Check by: "&amp;IF(ISNUMBER(INDEX('My equipment'!$P$4:$P$503,(_calc!$E$979-500))),TEXT(INDEX('My equipment'!$P$4:$P$503,(_calc!$E$979-500)),"yyyy-mm-dd"),"")&amp;". ")&amp;IF(LEN(IF(LEN(INDEX('My equipment'!$Q$4:$Q$503,(_calc!$E$979-500)))=0,"",INDEX('My equipment'!$Q$4:$Q$503,(_calc!$E$979-500))))=0,"","Claim status: "&amp;IF(LEN(INDEX('My equipment'!$Q$4:$Q$503,(_calc!$E$979-500)))=0,"",INDEX('My equipment'!$Q$4:$Q$503,(_calc!$E$979-500)))&amp;". ")&amp;IF(LEN(IF(LEN(INDEX('My equipment'!$R$4:$R$503,(_calc!$E$979-500)))=0,"",INDEX('My equipment'!$R$4:$R$503,(_calc!$E$979-500))))=0,"","Claims contact: "&amp;IF(LEN(INDEX('My equipment'!$R$4:$R$503,(_calc!$E$979-500)))=0,"",INDEX('My equipment'!$R$4:$R$503,(_calc!$E$979-500)))&amp;". ")&amp;IF(LEN(IF(LEN(INDEX('My equipment'!$S$4:$S$503,(_calc!$E$979-500)))=0,"",INDEX('My equipment'!$S$4:$S$503,(_calc!$E$979-500))))=0,"","Claims email: "&amp;IF(LEN(INDEX('My equipment'!$S$4:$S$503,(_calc!$E$979-500)))=0,"",INDEX('My equipment'!$S$4:$S$503,(_calc!$E$979-500)))&amp;". ")&amp;IF(LEN(IF(LEN(INDEX('My equipment'!$U$4:$U$503,(_calc!$E$979-500)))=0,"",INDEX('My equipment'!$U$4:$U$503,(_calc!$E$979-500))))=0,"","Registered: "&amp;IF(LEN(INDEX('My equipment'!$U$4:$U$503,(_calc!$E$979-500)))=0,"",INDEX('My equipment'!$U$4:$U$503,(_calc!$E$979-500)))&amp;". ")&amp;IF(LEN(IF(LEN(INDEX('My equipment'!$V$4:$V$503,(_calc!$E$979-500)))=0,"",INDEX('My equipment'!$V$4:$V$503,(_calc!$E$979-500))))=0,"","Proof on file: "&amp;IF(LEN(INDEX('My equipment'!$V$4:$V$503,(_calc!$E$979-500)))=0,"",INDEX('My equipment'!$V$4:$V$503,(_calc!$E$979-500)))&amp;". ")&amp;IF(LEN(IF(LEN(INDEX('My equipment'!$W$4:$W$503,(_calc!$E$979-500)))=0,"",INDEX('My equipment'!$W$4:$W$503,(_calc!$E$979-500))))=0,"","Claim ref: "&amp;IF(LEN(INDEX('My equipment'!$W$4:$W$503,(_calc!$E$979-500)))=0,"",INDEX('My equipment'!$W$4:$W$503,(_calc!$E$979-500)))&amp;". ")&amp;IF(LEN(IF(LEN(INDEX('My equipment'!$Y$4:$Y$503,(_calc!$E$979-500)))=0,"",INDEX('My equipment'!$Y$4:$Y$503,(_calc!$E$979-500))))=0,"",IF(LEN(INDEX('My equipment'!$Y$4:$Y$503,(_calc!$E$979-500)))=0,"",INDEX('My equipment'!$Y$4:$Y$503,(_calc!$E$979-500)))))))</f>
        <v/>
      </c>
      <c r="G977" s="54">
        <f>IF(_calc!$E$979="","",IF(_calc!$E$979&lt;=500,"",IF(LEN(INDEX('My equipment'!$X$4:$X$503,(_calc!$E$979-500)))=0,"",INDEX('My equipment'!$X$4:$X$503,(_calc!$E$979-500)))))</f>
        <v/>
      </c>
      <c r="K977" s="54">
        <f>IF(_calc!$E$979="","",IF(_calc!$E$979&lt;=500,"",IF(LEN(INDEX('My equipment'!$T$4:$T$503,(_calc!$E$979-500)))=0,"",INDEX('My equipment'!$T$4:$T$503,(_calc!$E$979-500)))))</f>
        <v/>
      </c>
    </row>
    <row r="978">
      <c r="A978" s="54">
        <f>IF(_calc!$E$980="","",IF(_calc!$E$980&lt;=500,"Warranty – "&amp;IF(LEN(INDEX('Dealer pipeline'!$C$4:$C$503,_calc!$E$980))=0,"",INDEX('Dealer pipeline'!$C$4:$C$503,_calc!$E$980))&amp;" – "&amp;IF(LEN(INDEX('Dealer pipeline'!$D$4:$D$503,_calc!$E$980))=0,"",INDEX('Dealer pipeline'!$D$4:$D$503,_calc!$E$980))&amp;" – "&amp;IF(LEN(INDEX('Dealer pipeline'!$A$4:$A$503,_calc!$E$980))=0,"",INDEX('Dealer pipeline'!$A$4:$A$503,_calc!$E$980)),"Warranty – "&amp;IF(LEN(INDEX('My equipment'!$A$4:$A$503,(_calc!$E$980-500)))=0,"",INDEX('My equipment'!$A$4:$A$503,(_calc!$E$980-500)))&amp;" – "&amp;IF(LEN(INDEX('My equipment'!$D$4:$D$503,(_calc!$E$980-500)))=0,"",INDEX('My equipment'!$D$4:$D$503,(_calc!$E$980-500)))))</f>
        <v/>
      </c>
      <c r="B978" s="54">
        <f>IF(_calc!$E$980="","",IF(_calc!$E$980&lt;=500,IF(ISNUMBER(INDEX('Dealer pipeline'!$M$4:$M$503,_calc!$E$980)),TEXT(INDEX('Dealer pipeline'!$M$4:$M$503,_calc!$E$980),"yyyy-mm-dd"),""),IF(ISNUMBER(INDEX('My equipment'!$M$4:$M$503,(_calc!$E$980-500))),TEXT(INDEX('My equipment'!$M$4:$M$503,(_calc!$E$980-500)),"yyyy-mm-dd"),"")))</f>
        <v/>
      </c>
      <c r="C978" s="54">
        <f>IF(_calc!$E$980="","",IF(_calc!$E$980&lt;=500,"Warranty","Warranty"))</f>
        <v/>
      </c>
      <c r="D978" s="54">
        <f>IF(_calc!$E$980="","",IF(_calc!$E$980&lt;=500,IF(ISNUMBER(INDEX('Dealer pipeline'!$H$4:$H$503,_calc!$E$980)),TEXT(INDEX('Dealer pipeline'!$H$4:$H$503,_calc!$E$980),"yyyy-mm-dd"),""),IF(ISNUMBER(INDEX('My equipment'!$H$4:$H$503,(_calc!$E$980-500))),TEXT(INDEX('My equipment'!$H$4:$H$503,(_calc!$E$980-500)),"yyyy-mm-dd"),"")))</f>
        <v/>
      </c>
      <c r="F978" s="54">
        <f>IF(_calc!$E$980="","",IF(_calc!$E$980&lt;=500,TRIM(IF(LEN(IF(LEN(INDEX('Dealer pipeline'!$A$4:$A$503,_calc!$E$980))=0,"",INDEX('Dealer pipeline'!$A$4:$A$503,_calc!$E$980)))=0,"","Customer: "&amp;IF(LEN(INDEX('Dealer pipeline'!$A$4:$A$503,_calc!$E$980))=0,"",INDEX('Dealer pipeline'!$A$4:$A$503,_calc!$E$980))&amp;". ")&amp;IF(LEN(IF(LEN(INDEX('Dealer pipeline'!$B$4:$B$503,_calc!$E$980))=0,"",INDEX('Dealer pipeline'!$B$4:$B$503,_calc!$E$980)))=0,"","Contact: "&amp;IF(LEN(INDEX('Dealer pipeline'!$B$4:$B$503,_calc!$E$980))=0,"",INDEX('Dealer pipeline'!$B$4:$B$503,_calc!$E$980))&amp;". ")&amp;IF(LEN(IF(LEN(INDEX('Dealer pipeline'!$D$4:$D$503,_calc!$E$980))=0,"",INDEX('Dealer pipeline'!$D$4:$D$503,_calc!$E$980)))=0,"","Serial: "&amp;IF(LEN(INDEX('Dealer pipeline'!$D$4:$D$503,_calc!$E$980))=0,"",INDEX('Dealer pipeline'!$D$4:$D$503,_calc!$E$980))&amp;". ")&amp;IF(LEN(IF(ISNUMBER(INDEX('Dealer pipeline'!$J$4:$J$503,_calc!$E$980)),TEXT(INDEX('Dealer pipeline'!$J$4:$J$503,_calc!$E$980),"yyyy-mm-dd"),""))=0,"","Parts end: "&amp;IF(ISNUMBER(INDEX('Dealer pipeline'!$J$4:$J$503,_calc!$E$980)),TEXT(INDEX('Dealer pipeline'!$J$4:$J$503,_calc!$E$980),"yyyy-mm-dd"),"")&amp;". ")&amp;IF(LEN(IF(ISNUMBER(INDEX('Dealer pipeline'!$L$4:$L$503,_calc!$E$980)),TEXT(INDEX('Dealer pipeline'!$L$4:$L$503,_calc!$E$980),"yyyy-mm-dd"),""))=0,"","Labor end: "&amp;IF(ISNUMBER(INDEX('Dealer pipeline'!$L$4:$L$503,_calc!$E$980)),TEXT(INDEX('Dealer pipeline'!$L$4:$L$503,_calc!$E$980),"yyyy-mm-dd"),"")&amp;". ")&amp;IF(LEN(IF(LEN(INDEX('Dealer pipeline'!$Q$4:$Q$503,_calc!$E$980))=0,"",INDEX('Dealer pipeline'!$Q$4:$Q$503,_calc!$E$980)))=0,"","Status: "&amp;IF(LEN(INDEX('Dealer pipeline'!$Q$4:$Q$503,_calc!$E$980))=0,"",INDEX('Dealer pipeline'!$Q$4:$Q$503,_calc!$E$980))&amp;". ")&amp;IF(LEN(IF(LEN(INDEX('Dealer pipeline'!$P$4:$P$503,_calc!$E$980))=0,"",INDEX('Dealer pipeline'!$P$4:$P$503,_calc!$E$980)))=0,"","Last touch: "&amp;IF(LEN(INDEX('Dealer pipeline'!$P$4:$P$503,_calc!$E$980))=0,"",INDEX('Dealer pipeline'!$P$4:$P$503,_calc!$E$980))&amp;". ")&amp;IF(LEN(IF(LEN(INDEX('Dealer pipeline'!$R$4:$R$503,_calc!$E$980))=0,"",INDEX('Dealer pipeline'!$R$4:$R$503,_calc!$E$980)))=0,"","Owner: "&amp;IF(LEN(INDEX('Dealer pipeline'!$R$4:$R$503,_calc!$E$980))=0,"",INDEX('Dealer pipeline'!$R$4:$R$503,_calc!$E$980))&amp;". ")&amp;IF(LEN(IF(LEN(INDEX('Dealer pipeline'!$S$4:$S$503,_calc!$E$980))=0,"",INDEX('Dealer pipeline'!$S$4:$S$503,_calc!$E$980)))=0,"","Backup: "&amp;IF(LEN(INDEX('Dealer pipeline'!$S$4:$S$503,_calc!$E$980))=0,"",INDEX('Dealer pipeline'!$S$4:$S$503,_calc!$E$980))&amp;". ")&amp;IF(LEN(IF(LEN(INDEX('Dealer pipeline'!$T$4:$T$503,_calc!$E$980))=0,"",INDEX('Dealer pipeline'!$T$4:$T$503,_calc!$E$980)))=0,"",IF(LEN(INDEX('Dealer pipeline'!$T$4:$T$503,_calc!$E$980))=0,"",INDEX('Dealer pipeline'!$T$4:$T$503,_calc!$E$980)))),TRIM(IF(LEN(IF(LEN(INDEX('My equipment'!$C$4:$C$503,(_calc!$E$980-500)))=0,"",INDEX('My equipment'!$C$4:$C$503,(_calc!$E$980-500))))=0,"","Model: "&amp;IF(LEN(INDEX('My equipment'!$C$4:$C$503,(_calc!$E$980-500)))=0,"",INDEX('My equipment'!$C$4:$C$503,(_calc!$E$980-500)))&amp;". ")&amp;IF(LEN(IF(LEN(INDEX('My equipment'!$D$4:$D$503,(_calc!$E$980-500)))=0,"",INDEX('My equipment'!$D$4:$D$503,(_calc!$E$980-500))))=0,"","Serial: "&amp;IF(LEN(INDEX('My equipment'!$D$4:$D$503,(_calc!$E$980-500)))=0,"",INDEX('My equipment'!$D$4:$D$503,(_calc!$E$980-500)))&amp;". ")&amp;IF(LEN(IF(ISNUMBER(INDEX('My equipment'!$J$4:$J$503,(_calc!$E$980-500))),TEXT(INDEX('My equipment'!$J$4:$J$503,(_calc!$E$980-500)),"yyyy-mm-dd"),""))=0,"","Parts end: "&amp;IF(ISNUMBER(INDEX('My equipment'!$J$4:$J$503,(_calc!$E$980-500))),TEXT(INDEX('My equipment'!$J$4:$J$503,(_calc!$E$980-500)),"yyyy-mm-dd"),"")&amp;". ")&amp;IF(LEN(IF(ISNUMBER(INDEX('My equipment'!$L$4:$L$503,(_calc!$E$980-500))),TEXT(INDEX('My equipment'!$L$4:$L$503,(_calc!$E$980-500)),"yyyy-mm-dd"),""))=0,"","Labor end: "&amp;IF(ISNUMBER(INDEX('My equipment'!$L$4:$L$503,(_calc!$E$980-500))),TEXT(INDEX('My equipment'!$L$4:$L$503,(_calc!$E$980-500)),"yyyy-mm-dd"),"")&amp;". ")&amp;IF(LEN(IF(ISNUMBER(INDEX('My equipment'!$P$4:$P$503,(_calc!$E$980-500))),TEXT(INDEX('My equipment'!$P$4:$P$503,(_calc!$E$980-500)),"yyyy-mm-dd"),""))=0,"","Check by: "&amp;IF(ISNUMBER(INDEX('My equipment'!$P$4:$P$503,(_calc!$E$980-500))),TEXT(INDEX('My equipment'!$P$4:$P$503,(_calc!$E$980-500)),"yyyy-mm-dd"),"")&amp;". ")&amp;IF(LEN(IF(LEN(INDEX('My equipment'!$Q$4:$Q$503,(_calc!$E$980-500)))=0,"",INDEX('My equipment'!$Q$4:$Q$503,(_calc!$E$980-500))))=0,"","Claim status: "&amp;IF(LEN(INDEX('My equipment'!$Q$4:$Q$503,(_calc!$E$980-500)))=0,"",INDEX('My equipment'!$Q$4:$Q$503,(_calc!$E$980-500)))&amp;". ")&amp;IF(LEN(IF(LEN(INDEX('My equipment'!$R$4:$R$503,(_calc!$E$980-500)))=0,"",INDEX('My equipment'!$R$4:$R$503,(_calc!$E$980-500))))=0,"","Claims contact: "&amp;IF(LEN(INDEX('My equipment'!$R$4:$R$503,(_calc!$E$980-500)))=0,"",INDEX('My equipment'!$R$4:$R$503,(_calc!$E$980-500)))&amp;". ")&amp;IF(LEN(IF(LEN(INDEX('My equipment'!$S$4:$S$503,(_calc!$E$980-500)))=0,"",INDEX('My equipment'!$S$4:$S$503,(_calc!$E$980-500))))=0,"","Claims email: "&amp;IF(LEN(INDEX('My equipment'!$S$4:$S$503,(_calc!$E$980-500)))=0,"",INDEX('My equipment'!$S$4:$S$503,(_calc!$E$980-500)))&amp;". ")&amp;IF(LEN(IF(LEN(INDEX('My equipment'!$U$4:$U$503,(_calc!$E$980-500)))=0,"",INDEX('My equipment'!$U$4:$U$503,(_calc!$E$980-500))))=0,"","Registered: "&amp;IF(LEN(INDEX('My equipment'!$U$4:$U$503,(_calc!$E$980-500)))=0,"",INDEX('My equipment'!$U$4:$U$503,(_calc!$E$980-500)))&amp;". ")&amp;IF(LEN(IF(LEN(INDEX('My equipment'!$V$4:$V$503,(_calc!$E$980-500)))=0,"",INDEX('My equipment'!$V$4:$V$503,(_calc!$E$980-500))))=0,"","Proof on file: "&amp;IF(LEN(INDEX('My equipment'!$V$4:$V$503,(_calc!$E$980-500)))=0,"",INDEX('My equipment'!$V$4:$V$503,(_calc!$E$980-500)))&amp;". ")&amp;IF(LEN(IF(LEN(INDEX('My equipment'!$W$4:$W$503,(_calc!$E$980-500)))=0,"",INDEX('My equipment'!$W$4:$W$503,(_calc!$E$980-500))))=0,"","Claim ref: "&amp;IF(LEN(INDEX('My equipment'!$W$4:$W$503,(_calc!$E$980-500)))=0,"",INDEX('My equipment'!$W$4:$W$503,(_calc!$E$980-500)))&amp;". ")&amp;IF(LEN(IF(LEN(INDEX('My equipment'!$Y$4:$Y$503,(_calc!$E$980-500)))=0,"",INDEX('My equipment'!$Y$4:$Y$503,(_calc!$E$980-500))))=0,"",IF(LEN(INDEX('My equipment'!$Y$4:$Y$503,(_calc!$E$980-500)))=0,"",INDEX('My equipment'!$Y$4:$Y$503,(_calc!$E$980-500)))))))</f>
        <v/>
      </c>
      <c r="G978" s="54">
        <f>IF(_calc!$E$980="","",IF(_calc!$E$980&lt;=500,"",IF(LEN(INDEX('My equipment'!$X$4:$X$503,(_calc!$E$980-500)))=0,"",INDEX('My equipment'!$X$4:$X$503,(_calc!$E$980-500)))))</f>
        <v/>
      </c>
      <c r="K978" s="54">
        <f>IF(_calc!$E$980="","",IF(_calc!$E$980&lt;=500,"",IF(LEN(INDEX('My equipment'!$T$4:$T$503,(_calc!$E$980-500)))=0,"",INDEX('My equipment'!$T$4:$T$503,(_calc!$E$980-500)))))</f>
        <v/>
      </c>
    </row>
    <row r="979">
      <c r="A979" s="54">
        <f>IF(_calc!$E$981="","",IF(_calc!$E$981&lt;=500,"Warranty – "&amp;IF(LEN(INDEX('Dealer pipeline'!$C$4:$C$503,_calc!$E$981))=0,"",INDEX('Dealer pipeline'!$C$4:$C$503,_calc!$E$981))&amp;" – "&amp;IF(LEN(INDEX('Dealer pipeline'!$D$4:$D$503,_calc!$E$981))=0,"",INDEX('Dealer pipeline'!$D$4:$D$503,_calc!$E$981))&amp;" – "&amp;IF(LEN(INDEX('Dealer pipeline'!$A$4:$A$503,_calc!$E$981))=0,"",INDEX('Dealer pipeline'!$A$4:$A$503,_calc!$E$981)),"Warranty – "&amp;IF(LEN(INDEX('My equipment'!$A$4:$A$503,(_calc!$E$981-500)))=0,"",INDEX('My equipment'!$A$4:$A$503,(_calc!$E$981-500)))&amp;" – "&amp;IF(LEN(INDEX('My equipment'!$D$4:$D$503,(_calc!$E$981-500)))=0,"",INDEX('My equipment'!$D$4:$D$503,(_calc!$E$981-500)))))</f>
        <v/>
      </c>
      <c r="B979" s="54">
        <f>IF(_calc!$E$981="","",IF(_calc!$E$981&lt;=500,IF(ISNUMBER(INDEX('Dealer pipeline'!$M$4:$M$503,_calc!$E$981)),TEXT(INDEX('Dealer pipeline'!$M$4:$M$503,_calc!$E$981),"yyyy-mm-dd"),""),IF(ISNUMBER(INDEX('My equipment'!$M$4:$M$503,(_calc!$E$981-500))),TEXT(INDEX('My equipment'!$M$4:$M$503,(_calc!$E$981-500)),"yyyy-mm-dd"),"")))</f>
        <v/>
      </c>
      <c r="C979" s="54">
        <f>IF(_calc!$E$981="","",IF(_calc!$E$981&lt;=500,"Warranty","Warranty"))</f>
        <v/>
      </c>
      <c r="D979" s="54">
        <f>IF(_calc!$E$981="","",IF(_calc!$E$981&lt;=500,IF(ISNUMBER(INDEX('Dealer pipeline'!$H$4:$H$503,_calc!$E$981)),TEXT(INDEX('Dealer pipeline'!$H$4:$H$503,_calc!$E$981),"yyyy-mm-dd"),""),IF(ISNUMBER(INDEX('My equipment'!$H$4:$H$503,(_calc!$E$981-500))),TEXT(INDEX('My equipment'!$H$4:$H$503,(_calc!$E$981-500)),"yyyy-mm-dd"),"")))</f>
        <v/>
      </c>
      <c r="F979" s="54">
        <f>IF(_calc!$E$981="","",IF(_calc!$E$981&lt;=500,TRIM(IF(LEN(IF(LEN(INDEX('Dealer pipeline'!$A$4:$A$503,_calc!$E$981))=0,"",INDEX('Dealer pipeline'!$A$4:$A$503,_calc!$E$981)))=0,"","Customer: "&amp;IF(LEN(INDEX('Dealer pipeline'!$A$4:$A$503,_calc!$E$981))=0,"",INDEX('Dealer pipeline'!$A$4:$A$503,_calc!$E$981))&amp;". ")&amp;IF(LEN(IF(LEN(INDEX('Dealer pipeline'!$B$4:$B$503,_calc!$E$981))=0,"",INDEX('Dealer pipeline'!$B$4:$B$503,_calc!$E$981)))=0,"","Contact: "&amp;IF(LEN(INDEX('Dealer pipeline'!$B$4:$B$503,_calc!$E$981))=0,"",INDEX('Dealer pipeline'!$B$4:$B$503,_calc!$E$981))&amp;". ")&amp;IF(LEN(IF(LEN(INDEX('Dealer pipeline'!$D$4:$D$503,_calc!$E$981))=0,"",INDEX('Dealer pipeline'!$D$4:$D$503,_calc!$E$981)))=0,"","Serial: "&amp;IF(LEN(INDEX('Dealer pipeline'!$D$4:$D$503,_calc!$E$981))=0,"",INDEX('Dealer pipeline'!$D$4:$D$503,_calc!$E$981))&amp;". ")&amp;IF(LEN(IF(ISNUMBER(INDEX('Dealer pipeline'!$J$4:$J$503,_calc!$E$981)),TEXT(INDEX('Dealer pipeline'!$J$4:$J$503,_calc!$E$981),"yyyy-mm-dd"),""))=0,"","Parts end: "&amp;IF(ISNUMBER(INDEX('Dealer pipeline'!$J$4:$J$503,_calc!$E$981)),TEXT(INDEX('Dealer pipeline'!$J$4:$J$503,_calc!$E$981),"yyyy-mm-dd"),"")&amp;". ")&amp;IF(LEN(IF(ISNUMBER(INDEX('Dealer pipeline'!$L$4:$L$503,_calc!$E$981)),TEXT(INDEX('Dealer pipeline'!$L$4:$L$503,_calc!$E$981),"yyyy-mm-dd"),""))=0,"","Labor end: "&amp;IF(ISNUMBER(INDEX('Dealer pipeline'!$L$4:$L$503,_calc!$E$981)),TEXT(INDEX('Dealer pipeline'!$L$4:$L$503,_calc!$E$981),"yyyy-mm-dd"),"")&amp;". ")&amp;IF(LEN(IF(LEN(INDEX('Dealer pipeline'!$Q$4:$Q$503,_calc!$E$981))=0,"",INDEX('Dealer pipeline'!$Q$4:$Q$503,_calc!$E$981)))=0,"","Status: "&amp;IF(LEN(INDEX('Dealer pipeline'!$Q$4:$Q$503,_calc!$E$981))=0,"",INDEX('Dealer pipeline'!$Q$4:$Q$503,_calc!$E$981))&amp;". ")&amp;IF(LEN(IF(LEN(INDEX('Dealer pipeline'!$P$4:$P$503,_calc!$E$981))=0,"",INDEX('Dealer pipeline'!$P$4:$P$503,_calc!$E$981)))=0,"","Last touch: "&amp;IF(LEN(INDEX('Dealer pipeline'!$P$4:$P$503,_calc!$E$981))=0,"",INDEX('Dealer pipeline'!$P$4:$P$503,_calc!$E$981))&amp;". ")&amp;IF(LEN(IF(LEN(INDEX('Dealer pipeline'!$R$4:$R$503,_calc!$E$981))=0,"",INDEX('Dealer pipeline'!$R$4:$R$503,_calc!$E$981)))=0,"","Owner: "&amp;IF(LEN(INDEX('Dealer pipeline'!$R$4:$R$503,_calc!$E$981))=0,"",INDEX('Dealer pipeline'!$R$4:$R$503,_calc!$E$981))&amp;". ")&amp;IF(LEN(IF(LEN(INDEX('Dealer pipeline'!$S$4:$S$503,_calc!$E$981))=0,"",INDEX('Dealer pipeline'!$S$4:$S$503,_calc!$E$981)))=0,"","Backup: "&amp;IF(LEN(INDEX('Dealer pipeline'!$S$4:$S$503,_calc!$E$981))=0,"",INDEX('Dealer pipeline'!$S$4:$S$503,_calc!$E$981))&amp;". ")&amp;IF(LEN(IF(LEN(INDEX('Dealer pipeline'!$T$4:$T$503,_calc!$E$981))=0,"",INDEX('Dealer pipeline'!$T$4:$T$503,_calc!$E$981)))=0,"",IF(LEN(INDEX('Dealer pipeline'!$T$4:$T$503,_calc!$E$981))=0,"",INDEX('Dealer pipeline'!$T$4:$T$503,_calc!$E$981)))),TRIM(IF(LEN(IF(LEN(INDEX('My equipment'!$C$4:$C$503,(_calc!$E$981-500)))=0,"",INDEX('My equipment'!$C$4:$C$503,(_calc!$E$981-500))))=0,"","Model: "&amp;IF(LEN(INDEX('My equipment'!$C$4:$C$503,(_calc!$E$981-500)))=0,"",INDEX('My equipment'!$C$4:$C$503,(_calc!$E$981-500)))&amp;". ")&amp;IF(LEN(IF(LEN(INDEX('My equipment'!$D$4:$D$503,(_calc!$E$981-500)))=0,"",INDEX('My equipment'!$D$4:$D$503,(_calc!$E$981-500))))=0,"","Serial: "&amp;IF(LEN(INDEX('My equipment'!$D$4:$D$503,(_calc!$E$981-500)))=0,"",INDEX('My equipment'!$D$4:$D$503,(_calc!$E$981-500)))&amp;". ")&amp;IF(LEN(IF(ISNUMBER(INDEX('My equipment'!$J$4:$J$503,(_calc!$E$981-500))),TEXT(INDEX('My equipment'!$J$4:$J$503,(_calc!$E$981-500)),"yyyy-mm-dd"),""))=0,"","Parts end: "&amp;IF(ISNUMBER(INDEX('My equipment'!$J$4:$J$503,(_calc!$E$981-500))),TEXT(INDEX('My equipment'!$J$4:$J$503,(_calc!$E$981-500)),"yyyy-mm-dd"),"")&amp;". ")&amp;IF(LEN(IF(ISNUMBER(INDEX('My equipment'!$L$4:$L$503,(_calc!$E$981-500))),TEXT(INDEX('My equipment'!$L$4:$L$503,(_calc!$E$981-500)),"yyyy-mm-dd"),""))=0,"","Labor end: "&amp;IF(ISNUMBER(INDEX('My equipment'!$L$4:$L$503,(_calc!$E$981-500))),TEXT(INDEX('My equipment'!$L$4:$L$503,(_calc!$E$981-500)),"yyyy-mm-dd"),"")&amp;". ")&amp;IF(LEN(IF(ISNUMBER(INDEX('My equipment'!$P$4:$P$503,(_calc!$E$981-500))),TEXT(INDEX('My equipment'!$P$4:$P$503,(_calc!$E$981-500)),"yyyy-mm-dd"),""))=0,"","Check by: "&amp;IF(ISNUMBER(INDEX('My equipment'!$P$4:$P$503,(_calc!$E$981-500))),TEXT(INDEX('My equipment'!$P$4:$P$503,(_calc!$E$981-500)),"yyyy-mm-dd"),"")&amp;". ")&amp;IF(LEN(IF(LEN(INDEX('My equipment'!$Q$4:$Q$503,(_calc!$E$981-500)))=0,"",INDEX('My equipment'!$Q$4:$Q$503,(_calc!$E$981-500))))=0,"","Claim status: "&amp;IF(LEN(INDEX('My equipment'!$Q$4:$Q$503,(_calc!$E$981-500)))=0,"",INDEX('My equipment'!$Q$4:$Q$503,(_calc!$E$981-500)))&amp;". ")&amp;IF(LEN(IF(LEN(INDEX('My equipment'!$R$4:$R$503,(_calc!$E$981-500)))=0,"",INDEX('My equipment'!$R$4:$R$503,(_calc!$E$981-500))))=0,"","Claims contact: "&amp;IF(LEN(INDEX('My equipment'!$R$4:$R$503,(_calc!$E$981-500)))=0,"",INDEX('My equipment'!$R$4:$R$503,(_calc!$E$981-500)))&amp;". ")&amp;IF(LEN(IF(LEN(INDEX('My equipment'!$S$4:$S$503,(_calc!$E$981-500)))=0,"",INDEX('My equipment'!$S$4:$S$503,(_calc!$E$981-500))))=0,"","Claims email: "&amp;IF(LEN(INDEX('My equipment'!$S$4:$S$503,(_calc!$E$981-500)))=0,"",INDEX('My equipment'!$S$4:$S$503,(_calc!$E$981-500)))&amp;". ")&amp;IF(LEN(IF(LEN(INDEX('My equipment'!$U$4:$U$503,(_calc!$E$981-500)))=0,"",INDEX('My equipment'!$U$4:$U$503,(_calc!$E$981-500))))=0,"","Registered: "&amp;IF(LEN(INDEX('My equipment'!$U$4:$U$503,(_calc!$E$981-500)))=0,"",INDEX('My equipment'!$U$4:$U$503,(_calc!$E$981-500)))&amp;". ")&amp;IF(LEN(IF(LEN(INDEX('My equipment'!$V$4:$V$503,(_calc!$E$981-500)))=0,"",INDEX('My equipment'!$V$4:$V$503,(_calc!$E$981-500))))=0,"","Proof on file: "&amp;IF(LEN(INDEX('My equipment'!$V$4:$V$503,(_calc!$E$981-500)))=0,"",INDEX('My equipment'!$V$4:$V$503,(_calc!$E$981-500)))&amp;". ")&amp;IF(LEN(IF(LEN(INDEX('My equipment'!$W$4:$W$503,(_calc!$E$981-500)))=0,"",INDEX('My equipment'!$W$4:$W$503,(_calc!$E$981-500))))=0,"","Claim ref: "&amp;IF(LEN(INDEX('My equipment'!$W$4:$W$503,(_calc!$E$981-500)))=0,"",INDEX('My equipment'!$W$4:$W$503,(_calc!$E$981-500)))&amp;". ")&amp;IF(LEN(IF(LEN(INDEX('My equipment'!$Y$4:$Y$503,(_calc!$E$981-500)))=0,"",INDEX('My equipment'!$Y$4:$Y$503,(_calc!$E$981-500))))=0,"",IF(LEN(INDEX('My equipment'!$Y$4:$Y$503,(_calc!$E$981-500)))=0,"",INDEX('My equipment'!$Y$4:$Y$503,(_calc!$E$981-500)))))))</f>
        <v/>
      </c>
      <c r="G979" s="54">
        <f>IF(_calc!$E$981="","",IF(_calc!$E$981&lt;=500,"",IF(LEN(INDEX('My equipment'!$X$4:$X$503,(_calc!$E$981-500)))=0,"",INDEX('My equipment'!$X$4:$X$503,(_calc!$E$981-500)))))</f>
        <v/>
      </c>
      <c r="K979" s="54">
        <f>IF(_calc!$E$981="","",IF(_calc!$E$981&lt;=500,"",IF(LEN(INDEX('My equipment'!$T$4:$T$503,(_calc!$E$981-500)))=0,"",INDEX('My equipment'!$T$4:$T$503,(_calc!$E$981-500)))))</f>
        <v/>
      </c>
    </row>
    <row r="980">
      <c r="A980" s="54">
        <f>IF(_calc!$E$982="","",IF(_calc!$E$982&lt;=500,"Warranty – "&amp;IF(LEN(INDEX('Dealer pipeline'!$C$4:$C$503,_calc!$E$982))=0,"",INDEX('Dealer pipeline'!$C$4:$C$503,_calc!$E$982))&amp;" – "&amp;IF(LEN(INDEX('Dealer pipeline'!$D$4:$D$503,_calc!$E$982))=0,"",INDEX('Dealer pipeline'!$D$4:$D$503,_calc!$E$982))&amp;" – "&amp;IF(LEN(INDEX('Dealer pipeline'!$A$4:$A$503,_calc!$E$982))=0,"",INDEX('Dealer pipeline'!$A$4:$A$503,_calc!$E$982)),"Warranty – "&amp;IF(LEN(INDEX('My equipment'!$A$4:$A$503,(_calc!$E$982-500)))=0,"",INDEX('My equipment'!$A$4:$A$503,(_calc!$E$982-500)))&amp;" – "&amp;IF(LEN(INDEX('My equipment'!$D$4:$D$503,(_calc!$E$982-500)))=0,"",INDEX('My equipment'!$D$4:$D$503,(_calc!$E$982-500)))))</f>
        <v/>
      </c>
      <c r="B980" s="54">
        <f>IF(_calc!$E$982="","",IF(_calc!$E$982&lt;=500,IF(ISNUMBER(INDEX('Dealer pipeline'!$M$4:$M$503,_calc!$E$982)),TEXT(INDEX('Dealer pipeline'!$M$4:$M$503,_calc!$E$982),"yyyy-mm-dd"),""),IF(ISNUMBER(INDEX('My equipment'!$M$4:$M$503,(_calc!$E$982-500))),TEXT(INDEX('My equipment'!$M$4:$M$503,(_calc!$E$982-500)),"yyyy-mm-dd"),"")))</f>
        <v/>
      </c>
      <c r="C980" s="54">
        <f>IF(_calc!$E$982="","",IF(_calc!$E$982&lt;=500,"Warranty","Warranty"))</f>
        <v/>
      </c>
      <c r="D980" s="54">
        <f>IF(_calc!$E$982="","",IF(_calc!$E$982&lt;=500,IF(ISNUMBER(INDEX('Dealer pipeline'!$H$4:$H$503,_calc!$E$982)),TEXT(INDEX('Dealer pipeline'!$H$4:$H$503,_calc!$E$982),"yyyy-mm-dd"),""),IF(ISNUMBER(INDEX('My equipment'!$H$4:$H$503,(_calc!$E$982-500))),TEXT(INDEX('My equipment'!$H$4:$H$503,(_calc!$E$982-500)),"yyyy-mm-dd"),"")))</f>
        <v/>
      </c>
      <c r="F980" s="54">
        <f>IF(_calc!$E$982="","",IF(_calc!$E$982&lt;=500,TRIM(IF(LEN(IF(LEN(INDEX('Dealer pipeline'!$A$4:$A$503,_calc!$E$982))=0,"",INDEX('Dealer pipeline'!$A$4:$A$503,_calc!$E$982)))=0,"","Customer: "&amp;IF(LEN(INDEX('Dealer pipeline'!$A$4:$A$503,_calc!$E$982))=0,"",INDEX('Dealer pipeline'!$A$4:$A$503,_calc!$E$982))&amp;". ")&amp;IF(LEN(IF(LEN(INDEX('Dealer pipeline'!$B$4:$B$503,_calc!$E$982))=0,"",INDEX('Dealer pipeline'!$B$4:$B$503,_calc!$E$982)))=0,"","Contact: "&amp;IF(LEN(INDEX('Dealer pipeline'!$B$4:$B$503,_calc!$E$982))=0,"",INDEX('Dealer pipeline'!$B$4:$B$503,_calc!$E$982))&amp;". ")&amp;IF(LEN(IF(LEN(INDEX('Dealer pipeline'!$D$4:$D$503,_calc!$E$982))=0,"",INDEX('Dealer pipeline'!$D$4:$D$503,_calc!$E$982)))=0,"","Serial: "&amp;IF(LEN(INDEX('Dealer pipeline'!$D$4:$D$503,_calc!$E$982))=0,"",INDEX('Dealer pipeline'!$D$4:$D$503,_calc!$E$982))&amp;". ")&amp;IF(LEN(IF(ISNUMBER(INDEX('Dealer pipeline'!$J$4:$J$503,_calc!$E$982)),TEXT(INDEX('Dealer pipeline'!$J$4:$J$503,_calc!$E$982),"yyyy-mm-dd"),""))=0,"","Parts end: "&amp;IF(ISNUMBER(INDEX('Dealer pipeline'!$J$4:$J$503,_calc!$E$982)),TEXT(INDEX('Dealer pipeline'!$J$4:$J$503,_calc!$E$982),"yyyy-mm-dd"),"")&amp;". ")&amp;IF(LEN(IF(ISNUMBER(INDEX('Dealer pipeline'!$L$4:$L$503,_calc!$E$982)),TEXT(INDEX('Dealer pipeline'!$L$4:$L$503,_calc!$E$982),"yyyy-mm-dd"),""))=0,"","Labor end: "&amp;IF(ISNUMBER(INDEX('Dealer pipeline'!$L$4:$L$503,_calc!$E$982)),TEXT(INDEX('Dealer pipeline'!$L$4:$L$503,_calc!$E$982),"yyyy-mm-dd"),"")&amp;". ")&amp;IF(LEN(IF(LEN(INDEX('Dealer pipeline'!$Q$4:$Q$503,_calc!$E$982))=0,"",INDEX('Dealer pipeline'!$Q$4:$Q$503,_calc!$E$982)))=0,"","Status: "&amp;IF(LEN(INDEX('Dealer pipeline'!$Q$4:$Q$503,_calc!$E$982))=0,"",INDEX('Dealer pipeline'!$Q$4:$Q$503,_calc!$E$982))&amp;". ")&amp;IF(LEN(IF(LEN(INDEX('Dealer pipeline'!$P$4:$P$503,_calc!$E$982))=0,"",INDEX('Dealer pipeline'!$P$4:$P$503,_calc!$E$982)))=0,"","Last touch: "&amp;IF(LEN(INDEX('Dealer pipeline'!$P$4:$P$503,_calc!$E$982))=0,"",INDEX('Dealer pipeline'!$P$4:$P$503,_calc!$E$982))&amp;". ")&amp;IF(LEN(IF(LEN(INDEX('Dealer pipeline'!$R$4:$R$503,_calc!$E$982))=0,"",INDEX('Dealer pipeline'!$R$4:$R$503,_calc!$E$982)))=0,"","Owner: "&amp;IF(LEN(INDEX('Dealer pipeline'!$R$4:$R$503,_calc!$E$982))=0,"",INDEX('Dealer pipeline'!$R$4:$R$503,_calc!$E$982))&amp;". ")&amp;IF(LEN(IF(LEN(INDEX('Dealer pipeline'!$S$4:$S$503,_calc!$E$982))=0,"",INDEX('Dealer pipeline'!$S$4:$S$503,_calc!$E$982)))=0,"","Backup: "&amp;IF(LEN(INDEX('Dealer pipeline'!$S$4:$S$503,_calc!$E$982))=0,"",INDEX('Dealer pipeline'!$S$4:$S$503,_calc!$E$982))&amp;". ")&amp;IF(LEN(IF(LEN(INDEX('Dealer pipeline'!$T$4:$T$503,_calc!$E$982))=0,"",INDEX('Dealer pipeline'!$T$4:$T$503,_calc!$E$982)))=0,"",IF(LEN(INDEX('Dealer pipeline'!$T$4:$T$503,_calc!$E$982))=0,"",INDEX('Dealer pipeline'!$T$4:$T$503,_calc!$E$982)))),TRIM(IF(LEN(IF(LEN(INDEX('My equipment'!$C$4:$C$503,(_calc!$E$982-500)))=0,"",INDEX('My equipment'!$C$4:$C$503,(_calc!$E$982-500))))=0,"","Model: "&amp;IF(LEN(INDEX('My equipment'!$C$4:$C$503,(_calc!$E$982-500)))=0,"",INDEX('My equipment'!$C$4:$C$503,(_calc!$E$982-500)))&amp;". ")&amp;IF(LEN(IF(LEN(INDEX('My equipment'!$D$4:$D$503,(_calc!$E$982-500)))=0,"",INDEX('My equipment'!$D$4:$D$503,(_calc!$E$982-500))))=0,"","Serial: "&amp;IF(LEN(INDEX('My equipment'!$D$4:$D$503,(_calc!$E$982-500)))=0,"",INDEX('My equipment'!$D$4:$D$503,(_calc!$E$982-500)))&amp;". ")&amp;IF(LEN(IF(ISNUMBER(INDEX('My equipment'!$J$4:$J$503,(_calc!$E$982-500))),TEXT(INDEX('My equipment'!$J$4:$J$503,(_calc!$E$982-500)),"yyyy-mm-dd"),""))=0,"","Parts end: "&amp;IF(ISNUMBER(INDEX('My equipment'!$J$4:$J$503,(_calc!$E$982-500))),TEXT(INDEX('My equipment'!$J$4:$J$503,(_calc!$E$982-500)),"yyyy-mm-dd"),"")&amp;". ")&amp;IF(LEN(IF(ISNUMBER(INDEX('My equipment'!$L$4:$L$503,(_calc!$E$982-500))),TEXT(INDEX('My equipment'!$L$4:$L$503,(_calc!$E$982-500)),"yyyy-mm-dd"),""))=0,"","Labor end: "&amp;IF(ISNUMBER(INDEX('My equipment'!$L$4:$L$503,(_calc!$E$982-500))),TEXT(INDEX('My equipment'!$L$4:$L$503,(_calc!$E$982-500)),"yyyy-mm-dd"),"")&amp;". ")&amp;IF(LEN(IF(ISNUMBER(INDEX('My equipment'!$P$4:$P$503,(_calc!$E$982-500))),TEXT(INDEX('My equipment'!$P$4:$P$503,(_calc!$E$982-500)),"yyyy-mm-dd"),""))=0,"","Check by: "&amp;IF(ISNUMBER(INDEX('My equipment'!$P$4:$P$503,(_calc!$E$982-500))),TEXT(INDEX('My equipment'!$P$4:$P$503,(_calc!$E$982-500)),"yyyy-mm-dd"),"")&amp;". ")&amp;IF(LEN(IF(LEN(INDEX('My equipment'!$Q$4:$Q$503,(_calc!$E$982-500)))=0,"",INDEX('My equipment'!$Q$4:$Q$503,(_calc!$E$982-500))))=0,"","Claim status: "&amp;IF(LEN(INDEX('My equipment'!$Q$4:$Q$503,(_calc!$E$982-500)))=0,"",INDEX('My equipment'!$Q$4:$Q$503,(_calc!$E$982-500)))&amp;". ")&amp;IF(LEN(IF(LEN(INDEX('My equipment'!$R$4:$R$503,(_calc!$E$982-500)))=0,"",INDEX('My equipment'!$R$4:$R$503,(_calc!$E$982-500))))=0,"","Claims contact: "&amp;IF(LEN(INDEX('My equipment'!$R$4:$R$503,(_calc!$E$982-500)))=0,"",INDEX('My equipment'!$R$4:$R$503,(_calc!$E$982-500)))&amp;". ")&amp;IF(LEN(IF(LEN(INDEX('My equipment'!$S$4:$S$503,(_calc!$E$982-500)))=0,"",INDEX('My equipment'!$S$4:$S$503,(_calc!$E$982-500))))=0,"","Claims email: "&amp;IF(LEN(INDEX('My equipment'!$S$4:$S$503,(_calc!$E$982-500)))=0,"",INDEX('My equipment'!$S$4:$S$503,(_calc!$E$982-500)))&amp;". ")&amp;IF(LEN(IF(LEN(INDEX('My equipment'!$U$4:$U$503,(_calc!$E$982-500)))=0,"",INDEX('My equipment'!$U$4:$U$503,(_calc!$E$982-500))))=0,"","Registered: "&amp;IF(LEN(INDEX('My equipment'!$U$4:$U$503,(_calc!$E$982-500)))=0,"",INDEX('My equipment'!$U$4:$U$503,(_calc!$E$982-500)))&amp;". ")&amp;IF(LEN(IF(LEN(INDEX('My equipment'!$V$4:$V$503,(_calc!$E$982-500)))=0,"",INDEX('My equipment'!$V$4:$V$503,(_calc!$E$982-500))))=0,"","Proof on file: "&amp;IF(LEN(INDEX('My equipment'!$V$4:$V$503,(_calc!$E$982-500)))=0,"",INDEX('My equipment'!$V$4:$V$503,(_calc!$E$982-500)))&amp;". ")&amp;IF(LEN(IF(LEN(INDEX('My equipment'!$W$4:$W$503,(_calc!$E$982-500)))=0,"",INDEX('My equipment'!$W$4:$W$503,(_calc!$E$982-500))))=0,"","Claim ref: "&amp;IF(LEN(INDEX('My equipment'!$W$4:$W$503,(_calc!$E$982-500)))=0,"",INDEX('My equipment'!$W$4:$W$503,(_calc!$E$982-500)))&amp;". ")&amp;IF(LEN(IF(LEN(INDEX('My equipment'!$Y$4:$Y$503,(_calc!$E$982-500)))=0,"",INDEX('My equipment'!$Y$4:$Y$503,(_calc!$E$982-500))))=0,"",IF(LEN(INDEX('My equipment'!$Y$4:$Y$503,(_calc!$E$982-500)))=0,"",INDEX('My equipment'!$Y$4:$Y$503,(_calc!$E$982-500)))))))</f>
        <v/>
      </c>
      <c r="G980" s="54">
        <f>IF(_calc!$E$982="","",IF(_calc!$E$982&lt;=500,"",IF(LEN(INDEX('My equipment'!$X$4:$X$503,(_calc!$E$982-500)))=0,"",INDEX('My equipment'!$X$4:$X$503,(_calc!$E$982-500)))))</f>
        <v/>
      </c>
      <c r="K980" s="54">
        <f>IF(_calc!$E$982="","",IF(_calc!$E$982&lt;=500,"",IF(LEN(INDEX('My equipment'!$T$4:$T$503,(_calc!$E$982-500)))=0,"",INDEX('My equipment'!$T$4:$T$503,(_calc!$E$982-500)))))</f>
        <v/>
      </c>
    </row>
    <row r="981">
      <c r="A981" s="54">
        <f>IF(_calc!$E$983="","",IF(_calc!$E$983&lt;=500,"Warranty – "&amp;IF(LEN(INDEX('Dealer pipeline'!$C$4:$C$503,_calc!$E$983))=0,"",INDEX('Dealer pipeline'!$C$4:$C$503,_calc!$E$983))&amp;" – "&amp;IF(LEN(INDEX('Dealer pipeline'!$D$4:$D$503,_calc!$E$983))=0,"",INDEX('Dealer pipeline'!$D$4:$D$503,_calc!$E$983))&amp;" – "&amp;IF(LEN(INDEX('Dealer pipeline'!$A$4:$A$503,_calc!$E$983))=0,"",INDEX('Dealer pipeline'!$A$4:$A$503,_calc!$E$983)),"Warranty – "&amp;IF(LEN(INDEX('My equipment'!$A$4:$A$503,(_calc!$E$983-500)))=0,"",INDEX('My equipment'!$A$4:$A$503,(_calc!$E$983-500)))&amp;" – "&amp;IF(LEN(INDEX('My equipment'!$D$4:$D$503,(_calc!$E$983-500)))=0,"",INDEX('My equipment'!$D$4:$D$503,(_calc!$E$983-500)))))</f>
        <v/>
      </c>
      <c r="B981" s="54">
        <f>IF(_calc!$E$983="","",IF(_calc!$E$983&lt;=500,IF(ISNUMBER(INDEX('Dealer pipeline'!$M$4:$M$503,_calc!$E$983)),TEXT(INDEX('Dealer pipeline'!$M$4:$M$503,_calc!$E$983),"yyyy-mm-dd"),""),IF(ISNUMBER(INDEX('My equipment'!$M$4:$M$503,(_calc!$E$983-500))),TEXT(INDEX('My equipment'!$M$4:$M$503,(_calc!$E$983-500)),"yyyy-mm-dd"),"")))</f>
        <v/>
      </c>
      <c r="C981" s="54">
        <f>IF(_calc!$E$983="","",IF(_calc!$E$983&lt;=500,"Warranty","Warranty"))</f>
        <v/>
      </c>
      <c r="D981" s="54">
        <f>IF(_calc!$E$983="","",IF(_calc!$E$983&lt;=500,IF(ISNUMBER(INDEX('Dealer pipeline'!$H$4:$H$503,_calc!$E$983)),TEXT(INDEX('Dealer pipeline'!$H$4:$H$503,_calc!$E$983),"yyyy-mm-dd"),""),IF(ISNUMBER(INDEX('My equipment'!$H$4:$H$503,(_calc!$E$983-500))),TEXT(INDEX('My equipment'!$H$4:$H$503,(_calc!$E$983-500)),"yyyy-mm-dd"),"")))</f>
        <v/>
      </c>
      <c r="F981" s="54">
        <f>IF(_calc!$E$983="","",IF(_calc!$E$983&lt;=500,TRIM(IF(LEN(IF(LEN(INDEX('Dealer pipeline'!$A$4:$A$503,_calc!$E$983))=0,"",INDEX('Dealer pipeline'!$A$4:$A$503,_calc!$E$983)))=0,"","Customer: "&amp;IF(LEN(INDEX('Dealer pipeline'!$A$4:$A$503,_calc!$E$983))=0,"",INDEX('Dealer pipeline'!$A$4:$A$503,_calc!$E$983))&amp;". ")&amp;IF(LEN(IF(LEN(INDEX('Dealer pipeline'!$B$4:$B$503,_calc!$E$983))=0,"",INDEX('Dealer pipeline'!$B$4:$B$503,_calc!$E$983)))=0,"","Contact: "&amp;IF(LEN(INDEX('Dealer pipeline'!$B$4:$B$503,_calc!$E$983))=0,"",INDEX('Dealer pipeline'!$B$4:$B$503,_calc!$E$983))&amp;". ")&amp;IF(LEN(IF(LEN(INDEX('Dealer pipeline'!$D$4:$D$503,_calc!$E$983))=0,"",INDEX('Dealer pipeline'!$D$4:$D$503,_calc!$E$983)))=0,"","Serial: "&amp;IF(LEN(INDEX('Dealer pipeline'!$D$4:$D$503,_calc!$E$983))=0,"",INDEX('Dealer pipeline'!$D$4:$D$503,_calc!$E$983))&amp;". ")&amp;IF(LEN(IF(ISNUMBER(INDEX('Dealer pipeline'!$J$4:$J$503,_calc!$E$983)),TEXT(INDEX('Dealer pipeline'!$J$4:$J$503,_calc!$E$983),"yyyy-mm-dd"),""))=0,"","Parts end: "&amp;IF(ISNUMBER(INDEX('Dealer pipeline'!$J$4:$J$503,_calc!$E$983)),TEXT(INDEX('Dealer pipeline'!$J$4:$J$503,_calc!$E$983),"yyyy-mm-dd"),"")&amp;". ")&amp;IF(LEN(IF(ISNUMBER(INDEX('Dealer pipeline'!$L$4:$L$503,_calc!$E$983)),TEXT(INDEX('Dealer pipeline'!$L$4:$L$503,_calc!$E$983),"yyyy-mm-dd"),""))=0,"","Labor end: "&amp;IF(ISNUMBER(INDEX('Dealer pipeline'!$L$4:$L$503,_calc!$E$983)),TEXT(INDEX('Dealer pipeline'!$L$4:$L$503,_calc!$E$983),"yyyy-mm-dd"),"")&amp;". ")&amp;IF(LEN(IF(LEN(INDEX('Dealer pipeline'!$Q$4:$Q$503,_calc!$E$983))=0,"",INDEX('Dealer pipeline'!$Q$4:$Q$503,_calc!$E$983)))=0,"","Status: "&amp;IF(LEN(INDEX('Dealer pipeline'!$Q$4:$Q$503,_calc!$E$983))=0,"",INDEX('Dealer pipeline'!$Q$4:$Q$503,_calc!$E$983))&amp;". ")&amp;IF(LEN(IF(LEN(INDEX('Dealer pipeline'!$P$4:$P$503,_calc!$E$983))=0,"",INDEX('Dealer pipeline'!$P$4:$P$503,_calc!$E$983)))=0,"","Last touch: "&amp;IF(LEN(INDEX('Dealer pipeline'!$P$4:$P$503,_calc!$E$983))=0,"",INDEX('Dealer pipeline'!$P$4:$P$503,_calc!$E$983))&amp;". ")&amp;IF(LEN(IF(LEN(INDEX('Dealer pipeline'!$R$4:$R$503,_calc!$E$983))=0,"",INDEX('Dealer pipeline'!$R$4:$R$503,_calc!$E$983)))=0,"","Owner: "&amp;IF(LEN(INDEX('Dealer pipeline'!$R$4:$R$503,_calc!$E$983))=0,"",INDEX('Dealer pipeline'!$R$4:$R$503,_calc!$E$983))&amp;". ")&amp;IF(LEN(IF(LEN(INDEX('Dealer pipeline'!$S$4:$S$503,_calc!$E$983))=0,"",INDEX('Dealer pipeline'!$S$4:$S$503,_calc!$E$983)))=0,"","Backup: "&amp;IF(LEN(INDEX('Dealer pipeline'!$S$4:$S$503,_calc!$E$983))=0,"",INDEX('Dealer pipeline'!$S$4:$S$503,_calc!$E$983))&amp;". ")&amp;IF(LEN(IF(LEN(INDEX('Dealer pipeline'!$T$4:$T$503,_calc!$E$983))=0,"",INDEX('Dealer pipeline'!$T$4:$T$503,_calc!$E$983)))=0,"",IF(LEN(INDEX('Dealer pipeline'!$T$4:$T$503,_calc!$E$983))=0,"",INDEX('Dealer pipeline'!$T$4:$T$503,_calc!$E$983)))),TRIM(IF(LEN(IF(LEN(INDEX('My equipment'!$C$4:$C$503,(_calc!$E$983-500)))=0,"",INDEX('My equipment'!$C$4:$C$503,(_calc!$E$983-500))))=0,"","Model: "&amp;IF(LEN(INDEX('My equipment'!$C$4:$C$503,(_calc!$E$983-500)))=0,"",INDEX('My equipment'!$C$4:$C$503,(_calc!$E$983-500)))&amp;". ")&amp;IF(LEN(IF(LEN(INDEX('My equipment'!$D$4:$D$503,(_calc!$E$983-500)))=0,"",INDEX('My equipment'!$D$4:$D$503,(_calc!$E$983-500))))=0,"","Serial: "&amp;IF(LEN(INDEX('My equipment'!$D$4:$D$503,(_calc!$E$983-500)))=0,"",INDEX('My equipment'!$D$4:$D$503,(_calc!$E$983-500)))&amp;". ")&amp;IF(LEN(IF(ISNUMBER(INDEX('My equipment'!$J$4:$J$503,(_calc!$E$983-500))),TEXT(INDEX('My equipment'!$J$4:$J$503,(_calc!$E$983-500)),"yyyy-mm-dd"),""))=0,"","Parts end: "&amp;IF(ISNUMBER(INDEX('My equipment'!$J$4:$J$503,(_calc!$E$983-500))),TEXT(INDEX('My equipment'!$J$4:$J$503,(_calc!$E$983-500)),"yyyy-mm-dd"),"")&amp;". ")&amp;IF(LEN(IF(ISNUMBER(INDEX('My equipment'!$L$4:$L$503,(_calc!$E$983-500))),TEXT(INDEX('My equipment'!$L$4:$L$503,(_calc!$E$983-500)),"yyyy-mm-dd"),""))=0,"","Labor end: "&amp;IF(ISNUMBER(INDEX('My equipment'!$L$4:$L$503,(_calc!$E$983-500))),TEXT(INDEX('My equipment'!$L$4:$L$503,(_calc!$E$983-500)),"yyyy-mm-dd"),"")&amp;". ")&amp;IF(LEN(IF(ISNUMBER(INDEX('My equipment'!$P$4:$P$503,(_calc!$E$983-500))),TEXT(INDEX('My equipment'!$P$4:$P$503,(_calc!$E$983-500)),"yyyy-mm-dd"),""))=0,"","Check by: "&amp;IF(ISNUMBER(INDEX('My equipment'!$P$4:$P$503,(_calc!$E$983-500))),TEXT(INDEX('My equipment'!$P$4:$P$503,(_calc!$E$983-500)),"yyyy-mm-dd"),"")&amp;". ")&amp;IF(LEN(IF(LEN(INDEX('My equipment'!$Q$4:$Q$503,(_calc!$E$983-500)))=0,"",INDEX('My equipment'!$Q$4:$Q$503,(_calc!$E$983-500))))=0,"","Claim status: "&amp;IF(LEN(INDEX('My equipment'!$Q$4:$Q$503,(_calc!$E$983-500)))=0,"",INDEX('My equipment'!$Q$4:$Q$503,(_calc!$E$983-500)))&amp;". ")&amp;IF(LEN(IF(LEN(INDEX('My equipment'!$R$4:$R$503,(_calc!$E$983-500)))=0,"",INDEX('My equipment'!$R$4:$R$503,(_calc!$E$983-500))))=0,"","Claims contact: "&amp;IF(LEN(INDEX('My equipment'!$R$4:$R$503,(_calc!$E$983-500)))=0,"",INDEX('My equipment'!$R$4:$R$503,(_calc!$E$983-500)))&amp;". ")&amp;IF(LEN(IF(LEN(INDEX('My equipment'!$S$4:$S$503,(_calc!$E$983-500)))=0,"",INDEX('My equipment'!$S$4:$S$503,(_calc!$E$983-500))))=0,"","Claims email: "&amp;IF(LEN(INDEX('My equipment'!$S$4:$S$503,(_calc!$E$983-500)))=0,"",INDEX('My equipment'!$S$4:$S$503,(_calc!$E$983-500)))&amp;". ")&amp;IF(LEN(IF(LEN(INDEX('My equipment'!$U$4:$U$503,(_calc!$E$983-500)))=0,"",INDEX('My equipment'!$U$4:$U$503,(_calc!$E$983-500))))=0,"","Registered: "&amp;IF(LEN(INDEX('My equipment'!$U$4:$U$503,(_calc!$E$983-500)))=0,"",INDEX('My equipment'!$U$4:$U$503,(_calc!$E$983-500)))&amp;". ")&amp;IF(LEN(IF(LEN(INDEX('My equipment'!$V$4:$V$503,(_calc!$E$983-500)))=0,"",INDEX('My equipment'!$V$4:$V$503,(_calc!$E$983-500))))=0,"","Proof on file: "&amp;IF(LEN(INDEX('My equipment'!$V$4:$V$503,(_calc!$E$983-500)))=0,"",INDEX('My equipment'!$V$4:$V$503,(_calc!$E$983-500)))&amp;". ")&amp;IF(LEN(IF(LEN(INDEX('My equipment'!$W$4:$W$503,(_calc!$E$983-500)))=0,"",INDEX('My equipment'!$W$4:$W$503,(_calc!$E$983-500))))=0,"","Claim ref: "&amp;IF(LEN(INDEX('My equipment'!$W$4:$W$503,(_calc!$E$983-500)))=0,"",INDEX('My equipment'!$W$4:$W$503,(_calc!$E$983-500)))&amp;". ")&amp;IF(LEN(IF(LEN(INDEX('My equipment'!$Y$4:$Y$503,(_calc!$E$983-500)))=0,"",INDEX('My equipment'!$Y$4:$Y$503,(_calc!$E$983-500))))=0,"",IF(LEN(INDEX('My equipment'!$Y$4:$Y$503,(_calc!$E$983-500)))=0,"",INDEX('My equipment'!$Y$4:$Y$503,(_calc!$E$983-500)))))))</f>
        <v/>
      </c>
      <c r="G981" s="54">
        <f>IF(_calc!$E$983="","",IF(_calc!$E$983&lt;=500,"",IF(LEN(INDEX('My equipment'!$X$4:$X$503,(_calc!$E$983-500)))=0,"",INDEX('My equipment'!$X$4:$X$503,(_calc!$E$983-500)))))</f>
        <v/>
      </c>
      <c r="K981" s="54">
        <f>IF(_calc!$E$983="","",IF(_calc!$E$983&lt;=500,"",IF(LEN(INDEX('My equipment'!$T$4:$T$503,(_calc!$E$983-500)))=0,"",INDEX('My equipment'!$T$4:$T$503,(_calc!$E$983-500)))))</f>
        <v/>
      </c>
    </row>
    <row r="982">
      <c r="A982" s="54">
        <f>IF(_calc!$E$984="","",IF(_calc!$E$984&lt;=500,"Warranty – "&amp;IF(LEN(INDEX('Dealer pipeline'!$C$4:$C$503,_calc!$E$984))=0,"",INDEX('Dealer pipeline'!$C$4:$C$503,_calc!$E$984))&amp;" – "&amp;IF(LEN(INDEX('Dealer pipeline'!$D$4:$D$503,_calc!$E$984))=0,"",INDEX('Dealer pipeline'!$D$4:$D$503,_calc!$E$984))&amp;" – "&amp;IF(LEN(INDEX('Dealer pipeline'!$A$4:$A$503,_calc!$E$984))=0,"",INDEX('Dealer pipeline'!$A$4:$A$503,_calc!$E$984)),"Warranty – "&amp;IF(LEN(INDEX('My equipment'!$A$4:$A$503,(_calc!$E$984-500)))=0,"",INDEX('My equipment'!$A$4:$A$503,(_calc!$E$984-500)))&amp;" – "&amp;IF(LEN(INDEX('My equipment'!$D$4:$D$503,(_calc!$E$984-500)))=0,"",INDEX('My equipment'!$D$4:$D$503,(_calc!$E$984-500)))))</f>
        <v/>
      </c>
      <c r="B982" s="54">
        <f>IF(_calc!$E$984="","",IF(_calc!$E$984&lt;=500,IF(ISNUMBER(INDEX('Dealer pipeline'!$M$4:$M$503,_calc!$E$984)),TEXT(INDEX('Dealer pipeline'!$M$4:$M$503,_calc!$E$984),"yyyy-mm-dd"),""),IF(ISNUMBER(INDEX('My equipment'!$M$4:$M$503,(_calc!$E$984-500))),TEXT(INDEX('My equipment'!$M$4:$M$503,(_calc!$E$984-500)),"yyyy-mm-dd"),"")))</f>
        <v/>
      </c>
      <c r="C982" s="54">
        <f>IF(_calc!$E$984="","",IF(_calc!$E$984&lt;=500,"Warranty","Warranty"))</f>
        <v/>
      </c>
      <c r="D982" s="54">
        <f>IF(_calc!$E$984="","",IF(_calc!$E$984&lt;=500,IF(ISNUMBER(INDEX('Dealer pipeline'!$H$4:$H$503,_calc!$E$984)),TEXT(INDEX('Dealer pipeline'!$H$4:$H$503,_calc!$E$984),"yyyy-mm-dd"),""),IF(ISNUMBER(INDEX('My equipment'!$H$4:$H$503,(_calc!$E$984-500))),TEXT(INDEX('My equipment'!$H$4:$H$503,(_calc!$E$984-500)),"yyyy-mm-dd"),"")))</f>
        <v/>
      </c>
      <c r="F982" s="54">
        <f>IF(_calc!$E$984="","",IF(_calc!$E$984&lt;=500,TRIM(IF(LEN(IF(LEN(INDEX('Dealer pipeline'!$A$4:$A$503,_calc!$E$984))=0,"",INDEX('Dealer pipeline'!$A$4:$A$503,_calc!$E$984)))=0,"","Customer: "&amp;IF(LEN(INDEX('Dealer pipeline'!$A$4:$A$503,_calc!$E$984))=0,"",INDEX('Dealer pipeline'!$A$4:$A$503,_calc!$E$984))&amp;". ")&amp;IF(LEN(IF(LEN(INDEX('Dealer pipeline'!$B$4:$B$503,_calc!$E$984))=0,"",INDEX('Dealer pipeline'!$B$4:$B$503,_calc!$E$984)))=0,"","Contact: "&amp;IF(LEN(INDEX('Dealer pipeline'!$B$4:$B$503,_calc!$E$984))=0,"",INDEX('Dealer pipeline'!$B$4:$B$503,_calc!$E$984))&amp;". ")&amp;IF(LEN(IF(LEN(INDEX('Dealer pipeline'!$D$4:$D$503,_calc!$E$984))=0,"",INDEX('Dealer pipeline'!$D$4:$D$503,_calc!$E$984)))=0,"","Serial: "&amp;IF(LEN(INDEX('Dealer pipeline'!$D$4:$D$503,_calc!$E$984))=0,"",INDEX('Dealer pipeline'!$D$4:$D$503,_calc!$E$984))&amp;". ")&amp;IF(LEN(IF(ISNUMBER(INDEX('Dealer pipeline'!$J$4:$J$503,_calc!$E$984)),TEXT(INDEX('Dealer pipeline'!$J$4:$J$503,_calc!$E$984),"yyyy-mm-dd"),""))=0,"","Parts end: "&amp;IF(ISNUMBER(INDEX('Dealer pipeline'!$J$4:$J$503,_calc!$E$984)),TEXT(INDEX('Dealer pipeline'!$J$4:$J$503,_calc!$E$984),"yyyy-mm-dd"),"")&amp;". ")&amp;IF(LEN(IF(ISNUMBER(INDEX('Dealer pipeline'!$L$4:$L$503,_calc!$E$984)),TEXT(INDEX('Dealer pipeline'!$L$4:$L$503,_calc!$E$984),"yyyy-mm-dd"),""))=0,"","Labor end: "&amp;IF(ISNUMBER(INDEX('Dealer pipeline'!$L$4:$L$503,_calc!$E$984)),TEXT(INDEX('Dealer pipeline'!$L$4:$L$503,_calc!$E$984),"yyyy-mm-dd"),"")&amp;". ")&amp;IF(LEN(IF(LEN(INDEX('Dealer pipeline'!$Q$4:$Q$503,_calc!$E$984))=0,"",INDEX('Dealer pipeline'!$Q$4:$Q$503,_calc!$E$984)))=0,"","Status: "&amp;IF(LEN(INDEX('Dealer pipeline'!$Q$4:$Q$503,_calc!$E$984))=0,"",INDEX('Dealer pipeline'!$Q$4:$Q$503,_calc!$E$984))&amp;". ")&amp;IF(LEN(IF(LEN(INDEX('Dealer pipeline'!$P$4:$P$503,_calc!$E$984))=0,"",INDEX('Dealer pipeline'!$P$4:$P$503,_calc!$E$984)))=0,"","Last touch: "&amp;IF(LEN(INDEX('Dealer pipeline'!$P$4:$P$503,_calc!$E$984))=0,"",INDEX('Dealer pipeline'!$P$4:$P$503,_calc!$E$984))&amp;". ")&amp;IF(LEN(IF(LEN(INDEX('Dealer pipeline'!$R$4:$R$503,_calc!$E$984))=0,"",INDEX('Dealer pipeline'!$R$4:$R$503,_calc!$E$984)))=0,"","Owner: "&amp;IF(LEN(INDEX('Dealer pipeline'!$R$4:$R$503,_calc!$E$984))=0,"",INDEX('Dealer pipeline'!$R$4:$R$503,_calc!$E$984))&amp;". ")&amp;IF(LEN(IF(LEN(INDEX('Dealer pipeline'!$S$4:$S$503,_calc!$E$984))=0,"",INDEX('Dealer pipeline'!$S$4:$S$503,_calc!$E$984)))=0,"","Backup: "&amp;IF(LEN(INDEX('Dealer pipeline'!$S$4:$S$503,_calc!$E$984))=0,"",INDEX('Dealer pipeline'!$S$4:$S$503,_calc!$E$984))&amp;". ")&amp;IF(LEN(IF(LEN(INDEX('Dealer pipeline'!$T$4:$T$503,_calc!$E$984))=0,"",INDEX('Dealer pipeline'!$T$4:$T$503,_calc!$E$984)))=0,"",IF(LEN(INDEX('Dealer pipeline'!$T$4:$T$503,_calc!$E$984))=0,"",INDEX('Dealer pipeline'!$T$4:$T$503,_calc!$E$984)))),TRIM(IF(LEN(IF(LEN(INDEX('My equipment'!$C$4:$C$503,(_calc!$E$984-500)))=0,"",INDEX('My equipment'!$C$4:$C$503,(_calc!$E$984-500))))=0,"","Model: "&amp;IF(LEN(INDEX('My equipment'!$C$4:$C$503,(_calc!$E$984-500)))=0,"",INDEX('My equipment'!$C$4:$C$503,(_calc!$E$984-500)))&amp;". ")&amp;IF(LEN(IF(LEN(INDEX('My equipment'!$D$4:$D$503,(_calc!$E$984-500)))=0,"",INDEX('My equipment'!$D$4:$D$503,(_calc!$E$984-500))))=0,"","Serial: "&amp;IF(LEN(INDEX('My equipment'!$D$4:$D$503,(_calc!$E$984-500)))=0,"",INDEX('My equipment'!$D$4:$D$503,(_calc!$E$984-500)))&amp;". ")&amp;IF(LEN(IF(ISNUMBER(INDEX('My equipment'!$J$4:$J$503,(_calc!$E$984-500))),TEXT(INDEX('My equipment'!$J$4:$J$503,(_calc!$E$984-500)),"yyyy-mm-dd"),""))=0,"","Parts end: "&amp;IF(ISNUMBER(INDEX('My equipment'!$J$4:$J$503,(_calc!$E$984-500))),TEXT(INDEX('My equipment'!$J$4:$J$503,(_calc!$E$984-500)),"yyyy-mm-dd"),"")&amp;". ")&amp;IF(LEN(IF(ISNUMBER(INDEX('My equipment'!$L$4:$L$503,(_calc!$E$984-500))),TEXT(INDEX('My equipment'!$L$4:$L$503,(_calc!$E$984-500)),"yyyy-mm-dd"),""))=0,"","Labor end: "&amp;IF(ISNUMBER(INDEX('My equipment'!$L$4:$L$503,(_calc!$E$984-500))),TEXT(INDEX('My equipment'!$L$4:$L$503,(_calc!$E$984-500)),"yyyy-mm-dd"),"")&amp;". ")&amp;IF(LEN(IF(ISNUMBER(INDEX('My equipment'!$P$4:$P$503,(_calc!$E$984-500))),TEXT(INDEX('My equipment'!$P$4:$P$503,(_calc!$E$984-500)),"yyyy-mm-dd"),""))=0,"","Check by: "&amp;IF(ISNUMBER(INDEX('My equipment'!$P$4:$P$503,(_calc!$E$984-500))),TEXT(INDEX('My equipment'!$P$4:$P$503,(_calc!$E$984-500)),"yyyy-mm-dd"),"")&amp;". ")&amp;IF(LEN(IF(LEN(INDEX('My equipment'!$Q$4:$Q$503,(_calc!$E$984-500)))=0,"",INDEX('My equipment'!$Q$4:$Q$503,(_calc!$E$984-500))))=0,"","Claim status: "&amp;IF(LEN(INDEX('My equipment'!$Q$4:$Q$503,(_calc!$E$984-500)))=0,"",INDEX('My equipment'!$Q$4:$Q$503,(_calc!$E$984-500)))&amp;". ")&amp;IF(LEN(IF(LEN(INDEX('My equipment'!$R$4:$R$503,(_calc!$E$984-500)))=0,"",INDEX('My equipment'!$R$4:$R$503,(_calc!$E$984-500))))=0,"","Claims contact: "&amp;IF(LEN(INDEX('My equipment'!$R$4:$R$503,(_calc!$E$984-500)))=0,"",INDEX('My equipment'!$R$4:$R$503,(_calc!$E$984-500)))&amp;". ")&amp;IF(LEN(IF(LEN(INDEX('My equipment'!$S$4:$S$503,(_calc!$E$984-500)))=0,"",INDEX('My equipment'!$S$4:$S$503,(_calc!$E$984-500))))=0,"","Claims email: "&amp;IF(LEN(INDEX('My equipment'!$S$4:$S$503,(_calc!$E$984-500)))=0,"",INDEX('My equipment'!$S$4:$S$503,(_calc!$E$984-500)))&amp;". ")&amp;IF(LEN(IF(LEN(INDEX('My equipment'!$U$4:$U$503,(_calc!$E$984-500)))=0,"",INDEX('My equipment'!$U$4:$U$503,(_calc!$E$984-500))))=0,"","Registered: "&amp;IF(LEN(INDEX('My equipment'!$U$4:$U$503,(_calc!$E$984-500)))=0,"",INDEX('My equipment'!$U$4:$U$503,(_calc!$E$984-500)))&amp;". ")&amp;IF(LEN(IF(LEN(INDEX('My equipment'!$V$4:$V$503,(_calc!$E$984-500)))=0,"",INDEX('My equipment'!$V$4:$V$503,(_calc!$E$984-500))))=0,"","Proof on file: "&amp;IF(LEN(INDEX('My equipment'!$V$4:$V$503,(_calc!$E$984-500)))=0,"",INDEX('My equipment'!$V$4:$V$503,(_calc!$E$984-500)))&amp;". ")&amp;IF(LEN(IF(LEN(INDEX('My equipment'!$W$4:$W$503,(_calc!$E$984-500)))=0,"",INDEX('My equipment'!$W$4:$W$503,(_calc!$E$984-500))))=0,"","Claim ref: "&amp;IF(LEN(INDEX('My equipment'!$W$4:$W$503,(_calc!$E$984-500)))=0,"",INDEX('My equipment'!$W$4:$W$503,(_calc!$E$984-500)))&amp;". ")&amp;IF(LEN(IF(LEN(INDEX('My equipment'!$Y$4:$Y$503,(_calc!$E$984-500)))=0,"",INDEX('My equipment'!$Y$4:$Y$503,(_calc!$E$984-500))))=0,"",IF(LEN(INDEX('My equipment'!$Y$4:$Y$503,(_calc!$E$984-500)))=0,"",INDEX('My equipment'!$Y$4:$Y$503,(_calc!$E$984-500)))))))</f>
        <v/>
      </c>
      <c r="G982" s="54">
        <f>IF(_calc!$E$984="","",IF(_calc!$E$984&lt;=500,"",IF(LEN(INDEX('My equipment'!$X$4:$X$503,(_calc!$E$984-500)))=0,"",INDEX('My equipment'!$X$4:$X$503,(_calc!$E$984-500)))))</f>
        <v/>
      </c>
      <c r="K982" s="54">
        <f>IF(_calc!$E$984="","",IF(_calc!$E$984&lt;=500,"",IF(LEN(INDEX('My equipment'!$T$4:$T$503,(_calc!$E$984-500)))=0,"",INDEX('My equipment'!$T$4:$T$503,(_calc!$E$984-500)))))</f>
        <v/>
      </c>
    </row>
    <row r="983">
      <c r="A983" s="54">
        <f>IF(_calc!$E$985="","",IF(_calc!$E$985&lt;=500,"Warranty – "&amp;IF(LEN(INDEX('Dealer pipeline'!$C$4:$C$503,_calc!$E$985))=0,"",INDEX('Dealer pipeline'!$C$4:$C$503,_calc!$E$985))&amp;" – "&amp;IF(LEN(INDEX('Dealer pipeline'!$D$4:$D$503,_calc!$E$985))=0,"",INDEX('Dealer pipeline'!$D$4:$D$503,_calc!$E$985))&amp;" – "&amp;IF(LEN(INDEX('Dealer pipeline'!$A$4:$A$503,_calc!$E$985))=0,"",INDEX('Dealer pipeline'!$A$4:$A$503,_calc!$E$985)),"Warranty – "&amp;IF(LEN(INDEX('My equipment'!$A$4:$A$503,(_calc!$E$985-500)))=0,"",INDEX('My equipment'!$A$4:$A$503,(_calc!$E$985-500)))&amp;" – "&amp;IF(LEN(INDEX('My equipment'!$D$4:$D$503,(_calc!$E$985-500)))=0,"",INDEX('My equipment'!$D$4:$D$503,(_calc!$E$985-500)))))</f>
        <v/>
      </c>
      <c r="B983" s="54">
        <f>IF(_calc!$E$985="","",IF(_calc!$E$985&lt;=500,IF(ISNUMBER(INDEX('Dealer pipeline'!$M$4:$M$503,_calc!$E$985)),TEXT(INDEX('Dealer pipeline'!$M$4:$M$503,_calc!$E$985),"yyyy-mm-dd"),""),IF(ISNUMBER(INDEX('My equipment'!$M$4:$M$503,(_calc!$E$985-500))),TEXT(INDEX('My equipment'!$M$4:$M$503,(_calc!$E$985-500)),"yyyy-mm-dd"),"")))</f>
        <v/>
      </c>
      <c r="C983" s="54">
        <f>IF(_calc!$E$985="","",IF(_calc!$E$985&lt;=500,"Warranty","Warranty"))</f>
        <v/>
      </c>
      <c r="D983" s="54">
        <f>IF(_calc!$E$985="","",IF(_calc!$E$985&lt;=500,IF(ISNUMBER(INDEX('Dealer pipeline'!$H$4:$H$503,_calc!$E$985)),TEXT(INDEX('Dealer pipeline'!$H$4:$H$503,_calc!$E$985),"yyyy-mm-dd"),""),IF(ISNUMBER(INDEX('My equipment'!$H$4:$H$503,(_calc!$E$985-500))),TEXT(INDEX('My equipment'!$H$4:$H$503,(_calc!$E$985-500)),"yyyy-mm-dd"),"")))</f>
        <v/>
      </c>
      <c r="F983" s="54">
        <f>IF(_calc!$E$985="","",IF(_calc!$E$985&lt;=500,TRIM(IF(LEN(IF(LEN(INDEX('Dealer pipeline'!$A$4:$A$503,_calc!$E$985))=0,"",INDEX('Dealer pipeline'!$A$4:$A$503,_calc!$E$985)))=0,"","Customer: "&amp;IF(LEN(INDEX('Dealer pipeline'!$A$4:$A$503,_calc!$E$985))=0,"",INDEX('Dealer pipeline'!$A$4:$A$503,_calc!$E$985))&amp;". ")&amp;IF(LEN(IF(LEN(INDEX('Dealer pipeline'!$B$4:$B$503,_calc!$E$985))=0,"",INDEX('Dealer pipeline'!$B$4:$B$503,_calc!$E$985)))=0,"","Contact: "&amp;IF(LEN(INDEX('Dealer pipeline'!$B$4:$B$503,_calc!$E$985))=0,"",INDEX('Dealer pipeline'!$B$4:$B$503,_calc!$E$985))&amp;". ")&amp;IF(LEN(IF(LEN(INDEX('Dealer pipeline'!$D$4:$D$503,_calc!$E$985))=0,"",INDEX('Dealer pipeline'!$D$4:$D$503,_calc!$E$985)))=0,"","Serial: "&amp;IF(LEN(INDEX('Dealer pipeline'!$D$4:$D$503,_calc!$E$985))=0,"",INDEX('Dealer pipeline'!$D$4:$D$503,_calc!$E$985))&amp;". ")&amp;IF(LEN(IF(ISNUMBER(INDEX('Dealer pipeline'!$J$4:$J$503,_calc!$E$985)),TEXT(INDEX('Dealer pipeline'!$J$4:$J$503,_calc!$E$985),"yyyy-mm-dd"),""))=0,"","Parts end: "&amp;IF(ISNUMBER(INDEX('Dealer pipeline'!$J$4:$J$503,_calc!$E$985)),TEXT(INDEX('Dealer pipeline'!$J$4:$J$503,_calc!$E$985),"yyyy-mm-dd"),"")&amp;". ")&amp;IF(LEN(IF(ISNUMBER(INDEX('Dealer pipeline'!$L$4:$L$503,_calc!$E$985)),TEXT(INDEX('Dealer pipeline'!$L$4:$L$503,_calc!$E$985),"yyyy-mm-dd"),""))=0,"","Labor end: "&amp;IF(ISNUMBER(INDEX('Dealer pipeline'!$L$4:$L$503,_calc!$E$985)),TEXT(INDEX('Dealer pipeline'!$L$4:$L$503,_calc!$E$985),"yyyy-mm-dd"),"")&amp;". ")&amp;IF(LEN(IF(LEN(INDEX('Dealer pipeline'!$Q$4:$Q$503,_calc!$E$985))=0,"",INDEX('Dealer pipeline'!$Q$4:$Q$503,_calc!$E$985)))=0,"","Status: "&amp;IF(LEN(INDEX('Dealer pipeline'!$Q$4:$Q$503,_calc!$E$985))=0,"",INDEX('Dealer pipeline'!$Q$4:$Q$503,_calc!$E$985))&amp;". ")&amp;IF(LEN(IF(LEN(INDEX('Dealer pipeline'!$P$4:$P$503,_calc!$E$985))=0,"",INDEX('Dealer pipeline'!$P$4:$P$503,_calc!$E$985)))=0,"","Last touch: "&amp;IF(LEN(INDEX('Dealer pipeline'!$P$4:$P$503,_calc!$E$985))=0,"",INDEX('Dealer pipeline'!$P$4:$P$503,_calc!$E$985))&amp;". ")&amp;IF(LEN(IF(LEN(INDEX('Dealer pipeline'!$R$4:$R$503,_calc!$E$985))=0,"",INDEX('Dealer pipeline'!$R$4:$R$503,_calc!$E$985)))=0,"","Owner: "&amp;IF(LEN(INDEX('Dealer pipeline'!$R$4:$R$503,_calc!$E$985))=0,"",INDEX('Dealer pipeline'!$R$4:$R$503,_calc!$E$985))&amp;". ")&amp;IF(LEN(IF(LEN(INDEX('Dealer pipeline'!$S$4:$S$503,_calc!$E$985))=0,"",INDEX('Dealer pipeline'!$S$4:$S$503,_calc!$E$985)))=0,"","Backup: "&amp;IF(LEN(INDEX('Dealer pipeline'!$S$4:$S$503,_calc!$E$985))=0,"",INDEX('Dealer pipeline'!$S$4:$S$503,_calc!$E$985))&amp;". ")&amp;IF(LEN(IF(LEN(INDEX('Dealer pipeline'!$T$4:$T$503,_calc!$E$985))=0,"",INDEX('Dealer pipeline'!$T$4:$T$503,_calc!$E$985)))=0,"",IF(LEN(INDEX('Dealer pipeline'!$T$4:$T$503,_calc!$E$985))=0,"",INDEX('Dealer pipeline'!$T$4:$T$503,_calc!$E$985)))),TRIM(IF(LEN(IF(LEN(INDEX('My equipment'!$C$4:$C$503,(_calc!$E$985-500)))=0,"",INDEX('My equipment'!$C$4:$C$503,(_calc!$E$985-500))))=0,"","Model: "&amp;IF(LEN(INDEX('My equipment'!$C$4:$C$503,(_calc!$E$985-500)))=0,"",INDEX('My equipment'!$C$4:$C$503,(_calc!$E$985-500)))&amp;". ")&amp;IF(LEN(IF(LEN(INDEX('My equipment'!$D$4:$D$503,(_calc!$E$985-500)))=0,"",INDEX('My equipment'!$D$4:$D$503,(_calc!$E$985-500))))=0,"","Serial: "&amp;IF(LEN(INDEX('My equipment'!$D$4:$D$503,(_calc!$E$985-500)))=0,"",INDEX('My equipment'!$D$4:$D$503,(_calc!$E$985-500)))&amp;". ")&amp;IF(LEN(IF(ISNUMBER(INDEX('My equipment'!$J$4:$J$503,(_calc!$E$985-500))),TEXT(INDEX('My equipment'!$J$4:$J$503,(_calc!$E$985-500)),"yyyy-mm-dd"),""))=0,"","Parts end: "&amp;IF(ISNUMBER(INDEX('My equipment'!$J$4:$J$503,(_calc!$E$985-500))),TEXT(INDEX('My equipment'!$J$4:$J$503,(_calc!$E$985-500)),"yyyy-mm-dd"),"")&amp;". ")&amp;IF(LEN(IF(ISNUMBER(INDEX('My equipment'!$L$4:$L$503,(_calc!$E$985-500))),TEXT(INDEX('My equipment'!$L$4:$L$503,(_calc!$E$985-500)),"yyyy-mm-dd"),""))=0,"","Labor end: "&amp;IF(ISNUMBER(INDEX('My equipment'!$L$4:$L$503,(_calc!$E$985-500))),TEXT(INDEX('My equipment'!$L$4:$L$503,(_calc!$E$985-500)),"yyyy-mm-dd"),"")&amp;". ")&amp;IF(LEN(IF(ISNUMBER(INDEX('My equipment'!$P$4:$P$503,(_calc!$E$985-500))),TEXT(INDEX('My equipment'!$P$4:$P$503,(_calc!$E$985-500)),"yyyy-mm-dd"),""))=0,"","Check by: "&amp;IF(ISNUMBER(INDEX('My equipment'!$P$4:$P$503,(_calc!$E$985-500))),TEXT(INDEX('My equipment'!$P$4:$P$503,(_calc!$E$985-500)),"yyyy-mm-dd"),"")&amp;". ")&amp;IF(LEN(IF(LEN(INDEX('My equipment'!$Q$4:$Q$503,(_calc!$E$985-500)))=0,"",INDEX('My equipment'!$Q$4:$Q$503,(_calc!$E$985-500))))=0,"","Claim status: "&amp;IF(LEN(INDEX('My equipment'!$Q$4:$Q$503,(_calc!$E$985-500)))=0,"",INDEX('My equipment'!$Q$4:$Q$503,(_calc!$E$985-500)))&amp;". ")&amp;IF(LEN(IF(LEN(INDEX('My equipment'!$R$4:$R$503,(_calc!$E$985-500)))=0,"",INDEX('My equipment'!$R$4:$R$503,(_calc!$E$985-500))))=0,"","Claims contact: "&amp;IF(LEN(INDEX('My equipment'!$R$4:$R$503,(_calc!$E$985-500)))=0,"",INDEX('My equipment'!$R$4:$R$503,(_calc!$E$985-500)))&amp;". ")&amp;IF(LEN(IF(LEN(INDEX('My equipment'!$S$4:$S$503,(_calc!$E$985-500)))=0,"",INDEX('My equipment'!$S$4:$S$503,(_calc!$E$985-500))))=0,"","Claims email: "&amp;IF(LEN(INDEX('My equipment'!$S$4:$S$503,(_calc!$E$985-500)))=0,"",INDEX('My equipment'!$S$4:$S$503,(_calc!$E$985-500)))&amp;". ")&amp;IF(LEN(IF(LEN(INDEX('My equipment'!$U$4:$U$503,(_calc!$E$985-500)))=0,"",INDEX('My equipment'!$U$4:$U$503,(_calc!$E$985-500))))=0,"","Registered: "&amp;IF(LEN(INDEX('My equipment'!$U$4:$U$503,(_calc!$E$985-500)))=0,"",INDEX('My equipment'!$U$4:$U$503,(_calc!$E$985-500)))&amp;". ")&amp;IF(LEN(IF(LEN(INDEX('My equipment'!$V$4:$V$503,(_calc!$E$985-500)))=0,"",INDEX('My equipment'!$V$4:$V$503,(_calc!$E$985-500))))=0,"","Proof on file: "&amp;IF(LEN(INDEX('My equipment'!$V$4:$V$503,(_calc!$E$985-500)))=0,"",INDEX('My equipment'!$V$4:$V$503,(_calc!$E$985-500)))&amp;". ")&amp;IF(LEN(IF(LEN(INDEX('My equipment'!$W$4:$W$503,(_calc!$E$985-500)))=0,"",INDEX('My equipment'!$W$4:$W$503,(_calc!$E$985-500))))=0,"","Claim ref: "&amp;IF(LEN(INDEX('My equipment'!$W$4:$W$503,(_calc!$E$985-500)))=0,"",INDEX('My equipment'!$W$4:$W$503,(_calc!$E$985-500)))&amp;". ")&amp;IF(LEN(IF(LEN(INDEX('My equipment'!$Y$4:$Y$503,(_calc!$E$985-500)))=0,"",INDEX('My equipment'!$Y$4:$Y$503,(_calc!$E$985-500))))=0,"",IF(LEN(INDEX('My equipment'!$Y$4:$Y$503,(_calc!$E$985-500)))=0,"",INDEX('My equipment'!$Y$4:$Y$503,(_calc!$E$985-500)))))))</f>
        <v/>
      </c>
      <c r="G983" s="54">
        <f>IF(_calc!$E$985="","",IF(_calc!$E$985&lt;=500,"",IF(LEN(INDEX('My equipment'!$X$4:$X$503,(_calc!$E$985-500)))=0,"",INDEX('My equipment'!$X$4:$X$503,(_calc!$E$985-500)))))</f>
        <v/>
      </c>
      <c r="K983" s="54">
        <f>IF(_calc!$E$985="","",IF(_calc!$E$985&lt;=500,"",IF(LEN(INDEX('My equipment'!$T$4:$T$503,(_calc!$E$985-500)))=0,"",INDEX('My equipment'!$T$4:$T$503,(_calc!$E$985-500)))))</f>
        <v/>
      </c>
    </row>
    <row r="984">
      <c r="A984" s="54">
        <f>IF(_calc!$E$986="","",IF(_calc!$E$986&lt;=500,"Warranty – "&amp;IF(LEN(INDEX('Dealer pipeline'!$C$4:$C$503,_calc!$E$986))=0,"",INDEX('Dealer pipeline'!$C$4:$C$503,_calc!$E$986))&amp;" – "&amp;IF(LEN(INDEX('Dealer pipeline'!$D$4:$D$503,_calc!$E$986))=0,"",INDEX('Dealer pipeline'!$D$4:$D$503,_calc!$E$986))&amp;" – "&amp;IF(LEN(INDEX('Dealer pipeline'!$A$4:$A$503,_calc!$E$986))=0,"",INDEX('Dealer pipeline'!$A$4:$A$503,_calc!$E$986)),"Warranty – "&amp;IF(LEN(INDEX('My equipment'!$A$4:$A$503,(_calc!$E$986-500)))=0,"",INDEX('My equipment'!$A$4:$A$503,(_calc!$E$986-500)))&amp;" – "&amp;IF(LEN(INDEX('My equipment'!$D$4:$D$503,(_calc!$E$986-500)))=0,"",INDEX('My equipment'!$D$4:$D$503,(_calc!$E$986-500)))))</f>
        <v/>
      </c>
      <c r="B984" s="54">
        <f>IF(_calc!$E$986="","",IF(_calc!$E$986&lt;=500,IF(ISNUMBER(INDEX('Dealer pipeline'!$M$4:$M$503,_calc!$E$986)),TEXT(INDEX('Dealer pipeline'!$M$4:$M$503,_calc!$E$986),"yyyy-mm-dd"),""),IF(ISNUMBER(INDEX('My equipment'!$M$4:$M$503,(_calc!$E$986-500))),TEXT(INDEX('My equipment'!$M$4:$M$503,(_calc!$E$986-500)),"yyyy-mm-dd"),"")))</f>
        <v/>
      </c>
      <c r="C984" s="54">
        <f>IF(_calc!$E$986="","",IF(_calc!$E$986&lt;=500,"Warranty","Warranty"))</f>
        <v/>
      </c>
      <c r="D984" s="54">
        <f>IF(_calc!$E$986="","",IF(_calc!$E$986&lt;=500,IF(ISNUMBER(INDEX('Dealer pipeline'!$H$4:$H$503,_calc!$E$986)),TEXT(INDEX('Dealer pipeline'!$H$4:$H$503,_calc!$E$986),"yyyy-mm-dd"),""),IF(ISNUMBER(INDEX('My equipment'!$H$4:$H$503,(_calc!$E$986-500))),TEXT(INDEX('My equipment'!$H$4:$H$503,(_calc!$E$986-500)),"yyyy-mm-dd"),"")))</f>
        <v/>
      </c>
      <c r="F984" s="54">
        <f>IF(_calc!$E$986="","",IF(_calc!$E$986&lt;=500,TRIM(IF(LEN(IF(LEN(INDEX('Dealer pipeline'!$A$4:$A$503,_calc!$E$986))=0,"",INDEX('Dealer pipeline'!$A$4:$A$503,_calc!$E$986)))=0,"","Customer: "&amp;IF(LEN(INDEX('Dealer pipeline'!$A$4:$A$503,_calc!$E$986))=0,"",INDEX('Dealer pipeline'!$A$4:$A$503,_calc!$E$986))&amp;". ")&amp;IF(LEN(IF(LEN(INDEX('Dealer pipeline'!$B$4:$B$503,_calc!$E$986))=0,"",INDEX('Dealer pipeline'!$B$4:$B$503,_calc!$E$986)))=0,"","Contact: "&amp;IF(LEN(INDEX('Dealer pipeline'!$B$4:$B$503,_calc!$E$986))=0,"",INDEX('Dealer pipeline'!$B$4:$B$503,_calc!$E$986))&amp;". ")&amp;IF(LEN(IF(LEN(INDEX('Dealer pipeline'!$D$4:$D$503,_calc!$E$986))=0,"",INDEX('Dealer pipeline'!$D$4:$D$503,_calc!$E$986)))=0,"","Serial: "&amp;IF(LEN(INDEX('Dealer pipeline'!$D$4:$D$503,_calc!$E$986))=0,"",INDEX('Dealer pipeline'!$D$4:$D$503,_calc!$E$986))&amp;". ")&amp;IF(LEN(IF(ISNUMBER(INDEX('Dealer pipeline'!$J$4:$J$503,_calc!$E$986)),TEXT(INDEX('Dealer pipeline'!$J$4:$J$503,_calc!$E$986),"yyyy-mm-dd"),""))=0,"","Parts end: "&amp;IF(ISNUMBER(INDEX('Dealer pipeline'!$J$4:$J$503,_calc!$E$986)),TEXT(INDEX('Dealer pipeline'!$J$4:$J$503,_calc!$E$986),"yyyy-mm-dd"),"")&amp;". ")&amp;IF(LEN(IF(ISNUMBER(INDEX('Dealer pipeline'!$L$4:$L$503,_calc!$E$986)),TEXT(INDEX('Dealer pipeline'!$L$4:$L$503,_calc!$E$986),"yyyy-mm-dd"),""))=0,"","Labor end: "&amp;IF(ISNUMBER(INDEX('Dealer pipeline'!$L$4:$L$503,_calc!$E$986)),TEXT(INDEX('Dealer pipeline'!$L$4:$L$503,_calc!$E$986),"yyyy-mm-dd"),"")&amp;". ")&amp;IF(LEN(IF(LEN(INDEX('Dealer pipeline'!$Q$4:$Q$503,_calc!$E$986))=0,"",INDEX('Dealer pipeline'!$Q$4:$Q$503,_calc!$E$986)))=0,"","Status: "&amp;IF(LEN(INDEX('Dealer pipeline'!$Q$4:$Q$503,_calc!$E$986))=0,"",INDEX('Dealer pipeline'!$Q$4:$Q$503,_calc!$E$986))&amp;". ")&amp;IF(LEN(IF(LEN(INDEX('Dealer pipeline'!$P$4:$P$503,_calc!$E$986))=0,"",INDEX('Dealer pipeline'!$P$4:$P$503,_calc!$E$986)))=0,"","Last touch: "&amp;IF(LEN(INDEX('Dealer pipeline'!$P$4:$P$503,_calc!$E$986))=0,"",INDEX('Dealer pipeline'!$P$4:$P$503,_calc!$E$986))&amp;". ")&amp;IF(LEN(IF(LEN(INDEX('Dealer pipeline'!$R$4:$R$503,_calc!$E$986))=0,"",INDEX('Dealer pipeline'!$R$4:$R$503,_calc!$E$986)))=0,"","Owner: "&amp;IF(LEN(INDEX('Dealer pipeline'!$R$4:$R$503,_calc!$E$986))=0,"",INDEX('Dealer pipeline'!$R$4:$R$503,_calc!$E$986))&amp;". ")&amp;IF(LEN(IF(LEN(INDEX('Dealer pipeline'!$S$4:$S$503,_calc!$E$986))=0,"",INDEX('Dealer pipeline'!$S$4:$S$503,_calc!$E$986)))=0,"","Backup: "&amp;IF(LEN(INDEX('Dealer pipeline'!$S$4:$S$503,_calc!$E$986))=0,"",INDEX('Dealer pipeline'!$S$4:$S$503,_calc!$E$986))&amp;". ")&amp;IF(LEN(IF(LEN(INDEX('Dealer pipeline'!$T$4:$T$503,_calc!$E$986))=0,"",INDEX('Dealer pipeline'!$T$4:$T$503,_calc!$E$986)))=0,"",IF(LEN(INDEX('Dealer pipeline'!$T$4:$T$503,_calc!$E$986))=0,"",INDEX('Dealer pipeline'!$T$4:$T$503,_calc!$E$986)))),TRIM(IF(LEN(IF(LEN(INDEX('My equipment'!$C$4:$C$503,(_calc!$E$986-500)))=0,"",INDEX('My equipment'!$C$4:$C$503,(_calc!$E$986-500))))=0,"","Model: "&amp;IF(LEN(INDEX('My equipment'!$C$4:$C$503,(_calc!$E$986-500)))=0,"",INDEX('My equipment'!$C$4:$C$503,(_calc!$E$986-500)))&amp;". ")&amp;IF(LEN(IF(LEN(INDEX('My equipment'!$D$4:$D$503,(_calc!$E$986-500)))=0,"",INDEX('My equipment'!$D$4:$D$503,(_calc!$E$986-500))))=0,"","Serial: "&amp;IF(LEN(INDEX('My equipment'!$D$4:$D$503,(_calc!$E$986-500)))=0,"",INDEX('My equipment'!$D$4:$D$503,(_calc!$E$986-500)))&amp;". ")&amp;IF(LEN(IF(ISNUMBER(INDEX('My equipment'!$J$4:$J$503,(_calc!$E$986-500))),TEXT(INDEX('My equipment'!$J$4:$J$503,(_calc!$E$986-500)),"yyyy-mm-dd"),""))=0,"","Parts end: "&amp;IF(ISNUMBER(INDEX('My equipment'!$J$4:$J$503,(_calc!$E$986-500))),TEXT(INDEX('My equipment'!$J$4:$J$503,(_calc!$E$986-500)),"yyyy-mm-dd"),"")&amp;". ")&amp;IF(LEN(IF(ISNUMBER(INDEX('My equipment'!$L$4:$L$503,(_calc!$E$986-500))),TEXT(INDEX('My equipment'!$L$4:$L$503,(_calc!$E$986-500)),"yyyy-mm-dd"),""))=0,"","Labor end: "&amp;IF(ISNUMBER(INDEX('My equipment'!$L$4:$L$503,(_calc!$E$986-500))),TEXT(INDEX('My equipment'!$L$4:$L$503,(_calc!$E$986-500)),"yyyy-mm-dd"),"")&amp;". ")&amp;IF(LEN(IF(ISNUMBER(INDEX('My equipment'!$P$4:$P$503,(_calc!$E$986-500))),TEXT(INDEX('My equipment'!$P$4:$P$503,(_calc!$E$986-500)),"yyyy-mm-dd"),""))=0,"","Check by: "&amp;IF(ISNUMBER(INDEX('My equipment'!$P$4:$P$503,(_calc!$E$986-500))),TEXT(INDEX('My equipment'!$P$4:$P$503,(_calc!$E$986-500)),"yyyy-mm-dd"),"")&amp;". ")&amp;IF(LEN(IF(LEN(INDEX('My equipment'!$Q$4:$Q$503,(_calc!$E$986-500)))=0,"",INDEX('My equipment'!$Q$4:$Q$503,(_calc!$E$986-500))))=0,"","Claim status: "&amp;IF(LEN(INDEX('My equipment'!$Q$4:$Q$503,(_calc!$E$986-500)))=0,"",INDEX('My equipment'!$Q$4:$Q$503,(_calc!$E$986-500)))&amp;". ")&amp;IF(LEN(IF(LEN(INDEX('My equipment'!$R$4:$R$503,(_calc!$E$986-500)))=0,"",INDEX('My equipment'!$R$4:$R$503,(_calc!$E$986-500))))=0,"","Claims contact: "&amp;IF(LEN(INDEX('My equipment'!$R$4:$R$503,(_calc!$E$986-500)))=0,"",INDEX('My equipment'!$R$4:$R$503,(_calc!$E$986-500)))&amp;". ")&amp;IF(LEN(IF(LEN(INDEX('My equipment'!$S$4:$S$503,(_calc!$E$986-500)))=0,"",INDEX('My equipment'!$S$4:$S$503,(_calc!$E$986-500))))=0,"","Claims email: "&amp;IF(LEN(INDEX('My equipment'!$S$4:$S$503,(_calc!$E$986-500)))=0,"",INDEX('My equipment'!$S$4:$S$503,(_calc!$E$986-500)))&amp;". ")&amp;IF(LEN(IF(LEN(INDEX('My equipment'!$U$4:$U$503,(_calc!$E$986-500)))=0,"",INDEX('My equipment'!$U$4:$U$503,(_calc!$E$986-500))))=0,"","Registered: "&amp;IF(LEN(INDEX('My equipment'!$U$4:$U$503,(_calc!$E$986-500)))=0,"",INDEX('My equipment'!$U$4:$U$503,(_calc!$E$986-500)))&amp;". ")&amp;IF(LEN(IF(LEN(INDEX('My equipment'!$V$4:$V$503,(_calc!$E$986-500)))=0,"",INDEX('My equipment'!$V$4:$V$503,(_calc!$E$986-500))))=0,"","Proof on file: "&amp;IF(LEN(INDEX('My equipment'!$V$4:$V$503,(_calc!$E$986-500)))=0,"",INDEX('My equipment'!$V$4:$V$503,(_calc!$E$986-500)))&amp;". ")&amp;IF(LEN(IF(LEN(INDEX('My equipment'!$W$4:$W$503,(_calc!$E$986-500)))=0,"",INDEX('My equipment'!$W$4:$W$503,(_calc!$E$986-500))))=0,"","Claim ref: "&amp;IF(LEN(INDEX('My equipment'!$W$4:$W$503,(_calc!$E$986-500)))=0,"",INDEX('My equipment'!$W$4:$W$503,(_calc!$E$986-500)))&amp;". ")&amp;IF(LEN(IF(LEN(INDEX('My equipment'!$Y$4:$Y$503,(_calc!$E$986-500)))=0,"",INDEX('My equipment'!$Y$4:$Y$503,(_calc!$E$986-500))))=0,"",IF(LEN(INDEX('My equipment'!$Y$4:$Y$503,(_calc!$E$986-500)))=0,"",INDEX('My equipment'!$Y$4:$Y$503,(_calc!$E$986-500)))))))</f>
        <v/>
      </c>
      <c r="G984" s="54">
        <f>IF(_calc!$E$986="","",IF(_calc!$E$986&lt;=500,"",IF(LEN(INDEX('My equipment'!$X$4:$X$503,(_calc!$E$986-500)))=0,"",INDEX('My equipment'!$X$4:$X$503,(_calc!$E$986-500)))))</f>
        <v/>
      </c>
      <c r="K984" s="54">
        <f>IF(_calc!$E$986="","",IF(_calc!$E$986&lt;=500,"",IF(LEN(INDEX('My equipment'!$T$4:$T$503,(_calc!$E$986-500)))=0,"",INDEX('My equipment'!$T$4:$T$503,(_calc!$E$986-500)))))</f>
        <v/>
      </c>
    </row>
    <row r="985">
      <c r="A985" s="54">
        <f>IF(_calc!$E$987="","",IF(_calc!$E$987&lt;=500,"Warranty – "&amp;IF(LEN(INDEX('Dealer pipeline'!$C$4:$C$503,_calc!$E$987))=0,"",INDEX('Dealer pipeline'!$C$4:$C$503,_calc!$E$987))&amp;" – "&amp;IF(LEN(INDEX('Dealer pipeline'!$D$4:$D$503,_calc!$E$987))=0,"",INDEX('Dealer pipeline'!$D$4:$D$503,_calc!$E$987))&amp;" – "&amp;IF(LEN(INDEX('Dealer pipeline'!$A$4:$A$503,_calc!$E$987))=0,"",INDEX('Dealer pipeline'!$A$4:$A$503,_calc!$E$987)),"Warranty – "&amp;IF(LEN(INDEX('My equipment'!$A$4:$A$503,(_calc!$E$987-500)))=0,"",INDEX('My equipment'!$A$4:$A$503,(_calc!$E$987-500)))&amp;" – "&amp;IF(LEN(INDEX('My equipment'!$D$4:$D$503,(_calc!$E$987-500)))=0,"",INDEX('My equipment'!$D$4:$D$503,(_calc!$E$987-500)))))</f>
        <v/>
      </c>
      <c r="B985" s="54">
        <f>IF(_calc!$E$987="","",IF(_calc!$E$987&lt;=500,IF(ISNUMBER(INDEX('Dealer pipeline'!$M$4:$M$503,_calc!$E$987)),TEXT(INDEX('Dealer pipeline'!$M$4:$M$503,_calc!$E$987),"yyyy-mm-dd"),""),IF(ISNUMBER(INDEX('My equipment'!$M$4:$M$503,(_calc!$E$987-500))),TEXT(INDEX('My equipment'!$M$4:$M$503,(_calc!$E$987-500)),"yyyy-mm-dd"),"")))</f>
        <v/>
      </c>
      <c r="C985" s="54">
        <f>IF(_calc!$E$987="","",IF(_calc!$E$987&lt;=500,"Warranty","Warranty"))</f>
        <v/>
      </c>
      <c r="D985" s="54">
        <f>IF(_calc!$E$987="","",IF(_calc!$E$987&lt;=500,IF(ISNUMBER(INDEX('Dealer pipeline'!$H$4:$H$503,_calc!$E$987)),TEXT(INDEX('Dealer pipeline'!$H$4:$H$503,_calc!$E$987),"yyyy-mm-dd"),""),IF(ISNUMBER(INDEX('My equipment'!$H$4:$H$503,(_calc!$E$987-500))),TEXT(INDEX('My equipment'!$H$4:$H$503,(_calc!$E$987-500)),"yyyy-mm-dd"),"")))</f>
        <v/>
      </c>
      <c r="F985" s="54">
        <f>IF(_calc!$E$987="","",IF(_calc!$E$987&lt;=500,TRIM(IF(LEN(IF(LEN(INDEX('Dealer pipeline'!$A$4:$A$503,_calc!$E$987))=0,"",INDEX('Dealer pipeline'!$A$4:$A$503,_calc!$E$987)))=0,"","Customer: "&amp;IF(LEN(INDEX('Dealer pipeline'!$A$4:$A$503,_calc!$E$987))=0,"",INDEX('Dealer pipeline'!$A$4:$A$503,_calc!$E$987))&amp;". ")&amp;IF(LEN(IF(LEN(INDEX('Dealer pipeline'!$B$4:$B$503,_calc!$E$987))=0,"",INDEX('Dealer pipeline'!$B$4:$B$503,_calc!$E$987)))=0,"","Contact: "&amp;IF(LEN(INDEX('Dealer pipeline'!$B$4:$B$503,_calc!$E$987))=0,"",INDEX('Dealer pipeline'!$B$4:$B$503,_calc!$E$987))&amp;". ")&amp;IF(LEN(IF(LEN(INDEX('Dealer pipeline'!$D$4:$D$503,_calc!$E$987))=0,"",INDEX('Dealer pipeline'!$D$4:$D$503,_calc!$E$987)))=0,"","Serial: "&amp;IF(LEN(INDEX('Dealer pipeline'!$D$4:$D$503,_calc!$E$987))=0,"",INDEX('Dealer pipeline'!$D$4:$D$503,_calc!$E$987))&amp;". ")&amp;IF(LEN(IF(ISNUMBER(INDEX('Dealer pipeline'!$J$4:$J$503,_calc!$E$987)),TEXT(INDEX('Dealer pipeline'!$J$4:$J$503,_calc!$E$987),"yyyy-mm-dd"),""))=0,"","Parts end: "&amp;IF(ISNUMBER(INDEX('Dealer pipeline'!$J$4:$J$503,_calc!$E$987)),TEXT(INDEX('Dealer pipeline'!$J$4:$J$503,_calc!$E$987),"yyyy-mm-dd"),"")&amp;". ")&amp;IF(LEN(IF(ISNUMBER(INDEX('Dealer pipeline'!$L$4:$L$503,_calc!$E$987)),TEXT(INDEX('Dealer pipeline'!$L$4:$L$503,_calc!$E$987),"yyyy-mm-dd"),""))=0,"","Labor end: "&amp;IF(ISNUMBER(INDEX('Dealer pipeline'!$L$4:$L$503,_calc!$E$987)),TEXT(INDEX('Dealer pipeline'!$L$4:$L$503,_calc!$E$987),"yyyy-mm-dd"),"")&amp;". ")&amp;IF(LEN(IF(LEN(INDEX('Dealer pipeline'!$Q$4:$Q$503,_calc!$E$987))=0,"",INDEX('Dealer pipeline'!$Q$4:$Q$503,_calc!$E$987)))=0,"","Status: "&amp;IF(LEN(INDEX('Dealer pipeline'!$Q$4:$Q$503,_calc!$E$987))=0,"",INDEX('Dealer pipeline'!$Q$4:$Q$503,_calc!$E$987))&amp;". ")&amp;IF(LEN(IF(LEN(INDEX('Dealer pipeline'!$P$4:$P$503,_calc!$E$987))=0,"",INDEX('Dealer pipeline'!$P$4:$P$503,_calc!$E$987)))=0,"","Last touch: "&amp;IF(LEN(INDEX('Dealer pipeline'!$P$4:$P$503,_calc!$E$987))=0,"",INDEX('Dealer pipeline'!$P$4:$P$503,_calc!$E$987))&amp;". ")&amp;IF(LEN(IF(LEN(INDEX('Dealer pipeline'!$R$4:$R$503,_calc!$E$987))=0,"",INDEX('Dealer pipeline'!$R$4:$R$503,_calc!$E$987)))=0,"","Owner: "&amp;IF(LEN(INDEX('Dealer pipeline'!$R$4:$R$503,_calc!$E$987))=0,"",INDEX('Dealer pipeline'!$R$4:$R$503,_calc!$E$987))&amp;". ")&amp;IF(LEN(IF(LEN(INDEX('Dealer pipeline'!$S$4:$S$503,_calc!$E$987))=0,"",INDEX('Dealer pipeline'!$S$4:$S$503,_calc!$E$987)))=0,"","Backup: "&amp;IF(LEN(INDEX('Dealer pipeline'!$S$4:$S$503,_calc!$E$987))=0,"",INDEX('Dealer pipeline'!$S$4:$S$503,_calc!$E$987))&amp;". ")&amp;IF(LEN(IF(LEN(INDEX('Dealer pipeline'!$T$4:$T$503,_calc!$E$987))=0,"",INDEX('Dealer pipeline'!$T$4:$T$503,_calc!$E$987)))=0,"",IF(LEN(INDEX('Dealer pipeline'!$T$4:$T$503,_calc!$E$987))=0,"",INDEX('Dealer pipeline'!$T$4:$T$503,_calc!$E$987)))),TRIM(IF(LEN(IF(LEN(INDEX('My equipment'!$C$4:$C$503,(_calc!$E$987-500)))=0,"",INDEX('My equipment'!$C$4:$C$503,(_calc!$E$987-500))))=0,"","Model: "&amp;IF(LEN(INDEX('My equipment'!$C$4:$C$503,(_calc!$E$987-500)))=0,"",INDEX('My equipment'!$C$4:$C$503,(_calc!$E$987-500)))&amp;". ")&amp;IF(LEN(IF(LEN(INDEX('My equipment'!$D$4:$D$503,(_calc!$E$987-500)))=0,"",INDEX('My equipment'!$D$4:$D$503,(_calc!$E$987-500))))=0,"","Serial: "&amp;IF(LEN(INDEX('My equipment'!$D$4:$D$503,(_calc!$E$987-500)))=0,"",INDEX('My equipment'!$D$4:$D$503,(_calc!$E$987-500)))&amp;". ")&amp;IF(LEN(IF(ISNUMBER(INDEX('My equipment'!$J$4:$J$503,(_calc!$E$987-500))),TEXT(INDEX('My equipment'!$J$4:$J$503,(_calc!$E$987-500)),"yyyy-mm-dd"),""))=0,"","Parts end: "&amp;IF(ISNUMBER(INDEX('My equipment'!$J$4:$J$503,(_calc!$E$987-500))),TEXT(INDEX('My equipment'!$J$4:$J$503,(_calc!$E$987-500)),"yyyy-mm-dd"),"")&amp;". ")&amp;IF(LEN(IF(ISNUMBER(INDEX('My equipment'!$L$4:$L$503,(_calc!$E$987-500))),TEXT(INDEX('My equipment'!$L$4:$L$503,(_calc!$E$987-500)),"yyyy-mm-dd"),""))=0,"","Labor end: "&amp;IF(ISNUMBER(INDEX('My equipment'!$L$4:$L$503,(_calc!$E$987-500))),TEXT(INDEX('My equipment'!$L$4:$L$503,(_calc!$E$987-500)),"yyyy-mm-dd"),"")&amp;". ")&amp;IF(LEN(IF(ISNUMBER(INDEX('My equipment'!$P$4:$P$503,(_calc!$E$987-500))),TEXT(INDEX('My equipment'!$P$4:$P$503,(_calc!$E$987-500)),"yyyy-mm-dd"),""))=0,"","Check by: "&amp;IF(ISNUMBER(INDEX('My equipment'!$P$4:$P$503,(_calc!$E$987-500))),TEXT(INDEX('My equipment'!$P$4:$P$503,(_calc!$E$987-500)),"yyyy-mm-dd"),"")&amp;". ")&amp;IF(LEN(IF(LEN(INDEX('My equipment'!$Q$4:$Q$503,(_calc!$E$987-500)))=0,"",INDEX('My equipment'!$Q$4:$Q$503,(_calc!$E$987-500))))=0,"","Claim status: "&amp;IF(LEN(INDEX('My equipment'!$Q$4:$Q$503,(_calc!$E$987-500)))=0,"",INDEX('My equipment'!$Q$4:$Q$503,(_calc!$E$987-500)))&amp;". ")&amp;IF(LEN(IF(LEN(INDEX('My equipment'!$R$4:$R$503,(_calc!$E$987-500)))=0,"",INDEX('My equipment'!$R$4:$R$503,(_calc!$E$987-500))))=0,"","Claims contact: "&amp;IF(LEN(INDEX('My equipment'!$R$4:$R$503,(_calc!$E$987-500)))=0,"",INDEX('My equipment'!$R$4:$R$503,(_calc!$E$987-500)))&amp;". ")&amp;IF(LEN(IF(LEN(INDEX('My equipment'!$S$4:$S$503,(_calc!$E$987-500)))=0,"",INDEX('My equipment'!$S$4:$S$503,(_calc!$E$987-500))))=0,"","Claims email: "&amp;IF(LEN(INDEX('My equipment'!$S$4:$S$503,(_calc!$E$987-500)))=0,"",INDEX('My equipment'!$S$4:$S$503,(_calc!$E$987-500)))&amp;". ")&amp;IF(LEN(IF(LEN(INDEX('My equipment'!$U$4:$U$503,(_calc!$E$987-500)))=0,"",INDEX('My equipment'!$U$4:$U$503,(_calc!$E$987-500))))=0,"","Registered: "&amp;IF(LEN(INDEX('My equipment'!$U$4:$U$503,(_calc!$E$987-500)))=0,"",INDEX('My equipment'!$U$4:$U$503,(_calc!$E$987-500)))&amp;". ")&amp;IF(LEN(IF(LEN(INDEX('My equipment'!$V$4:$V$503,(_calc!$E$987-500)))=0,"",INDEX('My equipment'!$V$4:$V$503,(_calc!$E$987-500))))=0,"","Proof on file: "&amp;IF(LEN(INDEX('My equipment'!$V$4:$V$503,(_calc!$E$987-500)))=0,"",INDEX('My equipment'!$V$4:$V$503,(_calc!$E$987-500)))&amp;". ")&amp;IF(LEN(IF(LEN(INDEX('My equipment'!$W$4:$W$503,(_calc!$E$987-500)))=0,"",INDEX('My equipment'!$W$4:$W$503,(_calc!$E$987-500))))=0,"","Claim ref: "&amp;IF(LEN(INDEX('My equipment'!$W$4:$W$503,(_calc!$E$987-500)))=0,"",INDEX('My equipment'!$W$4:$W$503,(_calc!$E$987-500)))&amp;". ")&amp;IF(LEN(IF(LEN(INDEX('My equipment'!$Y$4:$Y$503,(_calc!$E$987-500)))=0,"",INDEX('My equipment'!$Y$4:$Y$503,(_calc!$E$987-500))))=0,"",IF(LEN(INDEX('My equipment'!$Y$4:$Y$503,(_calc!$E$987-500)))=0,"",INDEX('My equipment'!$Y$4:$Y$503,(_calc!$E$987-500)))))))</f>
        <v/>
      </c>
      <c r="G985" s="54">
        <f>IF(_calc!$E$987="","",IF(_calc!$E$987&lt;=500,"",IF(LEN(INDEX('My equipment'!$X$4:$X$503,(_calc!$E$987-500)))=0,"",INDEX('My equipment'!$X$4:$X$503,(_calc!$E$987-500)))))</f>
        <v/>
      </c>
      <c r="K985" s="54">
        <f>IF(_calc!$E$987="","",IF(_calc!$E$987&lt;=500,"",IF(LEN(INDEX('My equipment'!$T$4:$T$503,(_calc!$E$987-500)))=0,"",INDEX('My equipment'!$T$4:$T$503,(_calc!$E$987-500)))))</f>
        <v/>
      </c>
    </row>
    <row r="986">
      <c r="A986" s="54">
        <f>IF(_calc!$E$988="","",IF(_calc!$E$988&lt;=500,"Warranty – "&amp;IF(LEN(INDEX('Dealer pipeline'!$C$4:$C$503,_calc!$E$988))=0,"",INDEX('Dealer pipeline'!$C$4:$C$503,_calc!$E$988))&amp;" – "&amp;IF(LEN(INDEX('Dealer pipeline'!$D$4:$D$503,_calc!$E$988))=0,"",INDEX('Dealer pipeline'!$D$4:$D$503,_calc!$E$988))&amp;" – "&amp;IF(LEN(INDEX('Dealer pipeline'!$A$4:$A$503,_calc!$E$988))=0,"",INDEX('Dealer pipeline'!$A$4:$A$503,_calc!$E$988)),"Warranty – "&amp;IF(LEN(INDEX('My equipment'!$A$4:$A$503,(_calc!$E$988-500)))=0,"",INDEX('My equipment'!$A$4:$A$503,(_calc!$E$988-500)))&amp;" – "&amp;IF(LEN(INDEX('My equipment'!$D$4:$D$503,(_calc!$E$988-500)))=0,"",INDEX('My equipment'!$D$4:$D$503,(_calc!$E$988-500)))))</f>
        <v/>
      </c>
      <c r="B986" s="54">
        <f>IF(_calc!$E$988="","",IF(_calc!$E$988&lt;=500,IF(ISNUMBER(INDEX('Dealer pipeline'!$M$4:$M$503,_calc!$E$988)),TEXT(INDEX('Dealer pipeline'!$M$4:$M$503,_calc!$E$988),"yyyy-mm-dd"),""),IF(ISNUMBER(INDEX('My equipment'!$M$4:$M$503,(_calc!$E$988-500))),TEXT(INDEX('My equipment'!$M$4:$M$503,(_calc!$E$988-500)),"yyyy-mm-dd"),"")))</f>
        <v/>
      </c>
      <c r="C986" s="54">
        <f>IF(_calc!$E$988="","",IF(_calc!$E$988&lt;=500,"Warranty","Warranty"))</f>
        <v/>
      </c>
      <c r="D986" s="54">
        <f>IF(_calc!$E$988="","",IF(_calc!$E$988&lt;=500,IF(ISNUMBER(INDEX('Dealer pipeline'!$H$4:$H$503,_calc!$E$988)),TEXT(INDEX('Dealer pipeline'!$H$4:$H$503,_calc!$E$988),"yyyy-mm-dd"),""),IF(ISNUMBER(INDEX('My equipment'!$H$4:$H$503,(_calc!$E$988-500))),TEXT(INDEX('My equipment'!$H$4:$H$503,(_calc!$E$988-500)),"yyyy-mm-dd"),"")))</f>
        <v/>
      </c>
      <c r="F986" s="54">
        <f>IF(_calc!$E$988="","",IF(_calc!$E$988&lt;=500,TRIM(IF(LEN(IF(LEN(INDEX('Dealer pipeline'!$A$4:$A$503,_calc!$E$988))=0,"",INDEX('Dealer pipeline'!$A$4:$A$503,_calc!$E$988)))=0,"","Customer: "&amp;IF(LEN(INDEX('Dealer pipeline'!$A$4:$A$503,_calc!$E$988))=0,"",INDEX('Dealer pipeline'!$A$4:$A$503,_calc!$E$988))&amp;". ")&amp;IF(LEN(IF(LEN(INDEX('Dealer pipeline'!$B$4:$B$503,_calc!$E$988))=0,"",INDEX('Dealer pipeline'!$B$4:$B$503,_calc!$E$988)))=0,"","Contact: "&amp;IF(LEN(INDEX('Dealer pipeline'!$B$4:$B$503,_calc!$E$988))=0,"",INDEX('Dealer pipeline'!$B$4:$B$503,_calc!$E$988))&amp;". ")&amp;IF(LEN(IF(LEN(INDEX('Dealer pipeline'!$D$4:$D$503,_calc!$E$988))=0,"",INDEX('Dealer pipeline'!$D$4:$D$503,_calc!$E$988)))=0,"","Serial: "&amp;IF(LEN(INDEX('Dealer pipeline'!$D$4:$D$503,_calc!$E$988))=0,"",INDEX('Dealer pipeline'!$D$4:$D$503,_calc!$E$988))&amp;". ")&amp;IF(LEN(IF(ISNUMBER(INDEX('Dealer pipeline'!$J$4:$J$503,_calc!$E$988)),TEXT(INDEX('Dealer pipeline'!$J$4:$J$503,_calc!$E$988),"yyyy-mm-dd"),""))=0,"","Parts end: "&amp;IF(ISNUMBER(INDEX('Dealer pipeline'!$J$4:$J$503,_calc!$E$988)),TEXT(INDEX('Dealer pipeline'!$J$4:$J$503,_calc!$E$988),"yyyy-mm-dd"),"")&amp;". ")&amp;IF(LEN(IF(ISNUMBER(INDEX('Dealer pipeline'!$L$4:$L$503,_calc!$E$988)),TEXT(INDEX('Dealer pipeline'!$L$4:$L$503,_calc!$E$988),"yyyy-mm-dd"),""))=0,"","Labor end: "&amp;IF(ISNUMBER(INDEX('Dealer pipeline'!$L$4:$L$503,_calc!$E$988)),TEXT(INDEX('Dealer pipeline'!$L$4:$L$503,_calc!$E$988),"yyyy-mm-dd"),"")&amp;". ")&amp;IF(LEN(IF(LEN(INDEX('Dealer pipeline'!$Q$4:$Q$503,_calc!$E$988))=0,"",INDEX('Dealer pipeline'!$Q$4:$Q$503,_calc!$E$988)))=0,"","Status: "&amp;IF(LEN(INDEX('Dealer pipeline'!$Q$4:$Q$503,_calc!$E$988))=0,"",INDEX('Dealer pipeline'!$Q$4:$Q$503,_calc!$E$988))&amp;". ")&amp;IF(LEN(IF(LEN(INDEX('Dealer pipeline'!$P$4:$P$503,_calc!$E$988))=0,"",INDEX('Dealer pipeline'!$P$4:$P$503,_calc!$E$988)))=0,"","Last touch: "&amp;IF(LEN(INDEX('Dealer pipeline'!$P$4:$P$503,_calc!$E$988))=0,"",INDEX('Dealer pipeline'!$P$4:$P$503,_calc!$E$988))&amp;". ")&amp;IF(LEN(IF(LEN(INDEX('Dealer pipeline'!$R$4:$R$503,_calc!$E$988))=0,"",INDEX('Dealer pipeline'!$R$4:$R$503,_calc!$E$988)))=0,"","Owner: "&amp;IF(LEN(INDEX('Dealer pipeline'!$R$4:$R$503,_calc!$E$988))=0,"",INDEX('Dealer pipeline'!$R$4:$R$503,_calc!$E$988))&amp;". ")&amp;IF(LEN(IF(LEN(INDEX('Dealer pipeline'!$S$4:$S$503,_calc!$E$988))=0,"",INDEX('Dealer pipeline'!$S$4:$S$503,_calc!$E$988)))=0,"","Backup: "&amp;IF(LEN(INDEX('Dealer pipeline'!$S$4:$S$503,_calc!$E$988))=0,"",INDEX('Dealer pipeline'!$S$4:$S$503,_calc!$E$988))&amp;". ")&amp;IF(LEN(IF(LEN(INDEX('Dealer pipeline'!$T$4:$T$503,_calc!$E$988))=0,"",INDEX('Dealer pipeline'!$T$4:$T$503,_calc!$E$988)))=0,"",IF(LEN(INDEX('Dealer pipeline'!$T$4:$T$503,_calc!$E$988))=0,"",INDEX('Dealer pipeline'!$T$4:$T$503,_calc!$E$988)))),TRIM(IF(LEN(IF(LEN(INDEX('My equipment'!$C$4:$C$503,(_calc!$E$988-500)))=0,"",INDEX('My equipment'!$C$4:$C$503,(_calc!$E$988-500))))=0,"","Model: "&amp;IF(LEN(INDEX('My equipment'!$C$4:$C$503,(_calc!$E$988-500)))=0,"",INDEX('My equipment'!$C$4:$C$503,(_calc!$E$988-500)))&amp;". ")&amp;IF(LEN(IF(LEN(INDEX('My equipment'!$D$4:$D$503,(_calc!$E$988-500)))=0,"",INDEX('My equipment'!$D$4:$D$503,(_calc!$E$988-500))))=0,"","Serial: "&amp;IF(LEN(INDEX('My equipment'!$D$4:$D$503,(_calc!$E$988-500)))=0,"",INDEX('My equipment'!$D$4:$D$503,(_calc!$E$988-500)))&amp;". ")&amp;IF(LEN(IF(ISNUMBER(INDEX('My equipment'!$J$4:$J$503,(_calc!$E$988-500))),TEXT(INDEX('My equipment'!$J$4:$J$503,(_calc!$E$988-500)),"yyyy-mm-dd"),""))=0,"","Parts end: "&amp;IF(ISNUMBER(INDEX('My equipment'!$J$4:$J$503,(_calc!$E$988-500))),TEXT(INDEX('My equipment'!$J$4:$J$503,(_calc!$E$988-500)),"yyyy-mm-dd"),"")&amp;". ")&amp;IF(LEN(IF(ISNUMBER(INDEX('My equipment'!$L$4:$L$503,(_calc!$E$988-500))),TEXT(INDEX('My equipment'!$L$4:$L$503,(_calc!$E$988-500)),"yyyy-mm-dd"),""))=0,"","Labor end: "&amp;IF(ISNUMBER(INDEX('My equipment'!$L$4:$L$503,(_calc!$E$988-500))),TEXT(INDEX('My equipment'!$L$4:$L$503,(_calc!$E$988-500)),"yyyy-mm-dd"),"")&amp;". ")&amp;IF(LEN(IF(ISNUMBER(INDEX('My equipment'!$P$4:$P$503,(_calc!$E$988-500))),TEXT(INDEX('My equipment'!$P$4:$P$503,(_calc!$E$988-500)),"yyyy-mm-dd"),""))=0,"","Check by: "&amp;IF(ISNUMBER(INDEX('My equipment'!$P$4:$P$503,(_calc!$E$988-500))),TEXT(INDEX('My equipment'!$P$4:$P$503,(_calc!$E$988-500)),"yyyy-mm-dd"),"")&amp;". ")&amp;IF(LEN(IF(LEN(INDEX('My equipment'!$Q$4:$Q$503,(_calc!$E$988-500)))=0,"",INDEX('My equipment'!$Q$4:$Q$503,(_calc!$E$988-500))))=0,"","Claim status: "&amp;IF(LEN(INDEX('My equipment'!$Q$4:$Q$503,(_calc!$E$988-500)))=0,"",INDEX('My equipment'!$Q$4:$Q$503,(_calc!$E$988-500)))&amp;". ")&amp;IF(LEN(IF(LEN(INDEX('My equipment'!$R$4:$R$503,(_calc!$E$988-500)))=0,"",INDEX('My equipment'!$R$4:$R$503,(_calc!$E$988-500))))=0,"","Claims contact: "&amp;IF(LEN(INDEX('My equipment'!$R$4:$R$503,(_calc!$E$988-500)))=0,"",INDEX('My equipment'!$R$4:$R$503,(_calc!$E$988-500)))&amp;". ")&amp;IF(LEN(IF(LEN(INDEX('My equipment'!$S$4:$S$503,(_calc!$E$988-500)))=0,"",INDEX('My equipment'!$S$4:$S$503,(_calc!$E$988-500))))=0,"","Claims email: "&amp;IF(LEN(INDEX('My equipment'!$S$4:$S$503,(_calc!$E$988-500)))=0,"",INDEX('My equipment'!$S$4:$S$503,(_calc!$E$988-500)))&amp;". ")&amp;IF(LEN(IF(LEN(INDEX('My equipment'!$U$4:$U$503,(_calc!$E$988-500)))=0,"",INDEX('My equipment'!$U$4:$U$503,(_calc!$E$988-500))))=0,"","Registered: "&amp;IF(LEN(INDEX('My equipment'!$U$4:$U$503,(_calc!$E$988-500)))=0,"",INDEX('My equipment'!$U$4:$U$503,(_calc!$E$988-500)))&amp;". ")&amp;IF(LEN(IF(LEN(INDEX('My equipment'!$V$4:$V$503,(_calc!$E$988-500)))=0,"",INDEX('My equipment'!$V$4:$V$503,(_calc!$E$988-500))))=0,"","Proof on file: "&amp;IF(LEN(INDEX('My equipment'!$V$4:$V$503,(_calc!$E$988-500)))=0,"",INDEX('My equipment'!$V$4:$V$503,(_calc!$E$988-500)))&amp;". ")&amp;IF(LEN(IF(LEN(INDEX('My equipment'!$W$4:$W$503,(_calc!$E$988-500)))=0,"",INDEX('My equipment'!$W$4:$W$503,(_calc!$E$988-500))))=0,"","Claim ref: "&amp;IF(LEN(INDEX('My equipment'!$W$4:$W$503,(_calc!$E$988-500)))=0,"",INDEX('My equipment'!$W$4:$W$503,(_calc!$E$988-500)))&amp;". ")&amp;IF(LEN(IF(LEN(INDEX('My equipment'!$Y$4:$Y$503,(_calc!$E$988-500)))=0,"",INDEX('My equipment'!$Y$4:$Y$503,(_calc!$E$988-500))))=0,"",IF(LEN(INDEX('My equipment'!$Y$4:$Y$503,(_calc!$E$988-500)))=0,"",INDEX('My equipment'!$Y$4:$Y$503,(_calc!$E$988-500)))))))</f>
        <v/>
      </c>
      <c r="G986" s="54">
        <f>IF(_calc!$E$988="","",IF(_calc!$E$988&lt;=500,"",IF(LEN(INDEX('My equipment'!$X$4:$X$503,(_calc!$E$988-500)))=0,"",INDEX('My equipment'!$X$4:$X$503,(_calc!$E$988-500)))))</f>
        <v/>
      </c>
      <c r="K986" s="54">
        <f>IF(_calc!$E$988="","",IF(_calc!$E$988&lt;=500,"",IF(LEN(INDEX('My equipment'!$T$4:$T$503,(_calc!$E$988-500)))=0,"",INDEX('My equipment'!$T$4:$T$503,(_calc!$E$988-500)))))</f>
        <v/>
      </c>
    </row>
    <row r="987">
      <c r="A987" s="54">
        <f>IF(_calc!$E$989="","",IF(_calc!$E$989&lt;=500,"Warranty – "&amp;IF(LEN(INDEX('Dealer pipeline'!$C$4:$C$503,_calc!$E$989))=0,"",INDEX('Dealer pipeline'!$C$4:$C$503,_calc!$E$989))&amp;" – "&amp;IF(LEN(INDEX('Dealer pipeline'!$D$4:$D$503,_calc!$E$989))=0,"",INDEX('Dealer pipeline'!$D$4:$D$503,_calc!$E$989))&amp;" – "&amp;IF(LEN(INDEX('Dealer pipeline'!$A$4:$A$503,_calc!$E$989))=0,"",INDEX('Dealer pipeline'!$A$4:$A$503,_calc!$E$989)),"Warranty – "&amp;IF(LEN(INDEX('My equipment'!$A$4:$A$503,(_calc!$E$989-500)))=0,"",INDEX('My equipment'!$A$4:$A$503,(_calc!$E$989-500)))&amp;" – "&amp;IF(LEN(INDEX('My equipment'!$D$4:$D$503,(_calc!$E$989-500)))=0,"",INDEX('My equipment'!$D$4:$D$503,(_calc!$E$989-500)))))</f>
        <v/>
      </c>
      <c r="B987" s="54">
        <f>IF(_calc!$E$989="","",IF(_calc!$E$989&lt;=500,IF(ISNUMBER(INDEX('Dealer pipeline'!$M$4:$M$503,_calc!$E$989)),TEXT(INDEX('Dealer pipeline'!$M$4:$M$503,_calc!$E$989),"yyyy-mm-dd"),""),IF(ISNUMBER(INDEX('My equipment'!$M$4:$M$503,(_calc!$E$989-500))),TEXT(INDEX('My equipment'!$M$4:$M$503,(_calc!$E$989-500)),"yyyy-mm-dd"),"")))</f>
        <v/>
      </c>
      <c r="C987" s="54">
        <f>IF(_calc!$E$989="","",IF(_calc!$E$989&lt;=500,"Warranty","Warranty"))</f>
        <v/>
      </c>
      <c r="D987" s="54">
        <f>IF(_calc!$E$989="","",IF(_calc!$E$989&lt;=500,IF(ISNUMBER(INDEX('Dealer pipeline'!$H$4:$H$503,_calc!$E$989)),TEXT(INDEX('Dealer pipeline'!$H$4:$H$503,_calc!$E$989),"yyyy-mm-dd"),""),IF(ISNUMBER(INDEX('My equipment'!$H$4:$H$503,(_calc!$E$989-500))),TEXT(INDEX('My equipment'!$H$4:$H$503,(_calc!$E$989-500)),"yyyy-mm-dd"),"")))</f>
        <v/>
      </c>
      <c r="F987" s="54">
        <f>IF(_calc!$E$989="","",IF(_calc!$E$989&lt;=500,TRIM(IF(LEN(IF(LEN(INDEX('Dealer pipeline'!$A$4:$A$503,_calc!$E$989))=0,"",INDEX('Dealer pipeline'!$A$4:$A$503,_calc!$E$989)))=0,"","Customer: "&amp;IF(LEN(INDEX('Dealer pipeline'!$A$4:$A$503,_calc!$E$989))=0,"",INDEX('Dealer pipeline'!$A$4:$A$503,_calc!$E$989))&amp;". ")&amp;IF(LEN(IF(LEN(INDEX('Dealer pipeline'!$B$4:$B$503,_calc!$E$989))=0,"",INDEX('Dealer pipeline'!$B$4:$B$503,_calc!$E$989)))=0,"","Contact: "&amp;IF(LEN(INDEX('Dealer pipeline'!$B$4:$B$503,_calc!$E$989))=0,"",INDEX('Dealer pipeline'!$B$4:$B$503,_calc!$E$989))&amp;". ")&amp;IF(LEN(IF(LEN(INDEX('Dealer pipeline'!$D$4:$D$503,_calc!$E$989))=0,"",INDEX('Dealer pipeline'!$D$4:$D$503,_calc!$E$989)))=0,"","Serial: "&amp;IF(LEN(INDEX('Dealer pipeline'!$D$4:$D$503,_calc!$E$989))=0,"",INDEX('Dealer pipeline'!$D$4:$D$503,_calc!$E$989))&amp;". ")&amp;IF(LEN(IF(ISNUMBER(INDEX('Dealer pipeline'!$J$4:$J$503,_calc!$E$989)),TEXT(INDEX('Dealer pipeline'!$J$4:$J$503,_calc!$E$989),"yyyy-mm-dd"),""))=0,"","Parts end: "&amp;IF(ISNUMBER(INDEX('Dealer pipeline'!$J$4:$J$503,_calc!$E$989)),TEXT(INDEX('Dealer pipeline'!$J$4:$J$503,_calc!$E$989),"yyyy-mm-dd"),"")&amp;". ")&amp;IF(LEN(IF(ISNUMBER(INDEX('Dealer pipeline'!$L$4:$L$503,_calc!$E$989)),TEXT(INDEX('Dealer pipeline'!$L$4:$L$503,_calc!$E$989),"yyyy-mm-dd"),""))=0,"","Labor end: "&amp;IF(ISNUMBER(INDEX('Dealer pipeline'!$L$4:$L$503,_calc!$E$989)),TEXT(INDEX('Dealer pipeline'!$L$4:$L$503,_calc!$E$989),"yyyy-mm-dd"),"")&amp;". ")&amp;IF(LEN(IF(LEN(INDEX('Dealer pipeline'!$Q$4:$Q$503,_calc!$E$989))=0,"",INDEX('Dealer pipeline'!$Q$4:$Q$503,_calc!$E$989)))=0,"","Status: "&amp;IF(LEN(INDEX('Dealer pipeline'!$Q$4:$Q$503,_calc!$E$989))=0,"",INDEX('Dealer pipeline'!$Q$4:$Q$503,_calc!$E$989))&amp;". ")&amp;IF(LEN(IF(LEN(INDEX('Dealer pipeline'!$P$4:$P$503,_calc!$E$989))=0,"",INDEX('Dealer pipeline'!$P$4:$P$503,_calc!$E$989)))=0,"","Last touch: "&amp;IF(LEN(INDEX('Dealer pipeline'!$P$4:$P$503,_calc!$E$989))=0,"",INDEX('Dealer pipeline'!$P$4:$P$503,_calc!$E$989))&amp;". ")&amp;IF(LEN(IF(LEN(INDEX('Dealer pipeline'!$R$4:$R$503,_calc!$E$989))=0,"",INDEX('Dealer pipeline'!$R$4:$R$503,_calc!$E$989)))=0,"","Owner: "&amp;IF(LEN(INDEX('Dealer pipeline'!$R$4:$R$503,_calc!$E$989))=0,"",INDEX('Dealer pipeline'!$R$4:$R$503,_calc!$E$989))&amp;". ")&amp;IF(LEN(IF(LEN(INDEX('Dealer pipeline'!$S$4:$S$503,_calc!$E$989))=0,"",INDEX('Dealer pipeline'!$S$4:$S$503,_calc!$E$989)))=0,"","Backup: "&amp;IF(LEN(INDEX('Dealer pipeline'!$S$4:$S$503,_calc!$E$989))=0,"",INDEX('Dealer pipeline'!$S$4:$S$503,_calc!$E$989))&amp;". ")&amp;IF(LEN(IF(LEN(INDEX('Dealer pipeline'!$T$4:$T$503,_calc!$E$989))=0,"",INDEX('Dealer pipeline'!$T$4:$T$503,_calc!$E$989)))=0,"",IF(LEN(INDEX('Dealer pipeline'!$T$4:$T$503,_calc!$E$989))=0,"",INDEX('Dealer pipeline'!$T$4:$T$503,_calc!$E$989)))),TRIM(IF(LEN(IF(LEN(INDEX('My equipment'!$C$4:$C$503,(_calc!$E$989-500)))=0,"",INDEX('My equipment'!$C$4:$C$503,(_calc!$E$989-500))))=0,"","Model: "&amp;IF(LEN(INDEX('My equipment'!$C$4:$C$503,(_calc!$E$989-500)))=0,"",INDEX('My equipment'!$C$4:$C$503,(_calc!$E$989-500)))&amp;". ")&amp;IF(LEN(IF(LEN(INDEX('My equipment'!$D$4:$D$503,(_calc!$E$989-500)))=0,"",INDEX('My equipment'!$D$4:$D$503,(_calc!$E$989-500))))=0,"","Serial: "&amp;IF(LEN(INDEX('My equipment'!$D$4:$D$503,(_calc!$E$989-500)))=0,"",INDEX('My equipment'!$D$4:$D$503,(_calc!$E$989-500)))&amp;". ")&amp;IF(LEN(IF(ISNUMBER(INDEX('My equipment'!$J$4:$J$503,(_calc!$E$989-500))),TEXT(INDEX('My equipment'!$J$4:$J$503,(_calc!$E$989-500)),"yyyy-mm-dd"),""))=0,"","Parts end: "&amp;IF(ISNUMBER(INDEX('My equipment'!$J$4:$J$503,(_calc!$E$989-500))),TEXT(INDEX('My equipment'!$J$4:$J$503,(_calc!$E$989-500)),"yyyy-mm-dd"),"")&amp;". ")&amp;IF(LEN(IF(ISNUMBER(INDEX('My equipment'!$L$4:$L$503,(_calc!$E$989-500))),TEXT(INDEX('My equipment'!$L$4:$L$503,(_calc!$E$989-500)),"yyyy-mm-dd"),""))=0,"","Labor end: "&amp;IF(ISNUMBER(INDEX('My equipment'!$L$4:$L$503,(_calc!$E$989-500))),TEXT(INDEX('My equipment'!$L$4:$L$503,(_calc!$E$989-500)),"yyyy-mm-dd"),"")&amp;". ")&amp;IF(LEN(IF(ISNUMBER(INDEX('My equipment'!$P$4:$P$503,(_calc!$E$989-500))),TEXT(INDEX('My equipment'!$P$4:$P$503,(_calc!$E$989-500)),"yyyy-mm-dd"),""))=0,"","Check by: "&amp;IF(ISNUMBER(INDEX('My equipment'!$P$4:$P$503,(_calc!$E$989-500))),TEXT(INDEX('My equipment'!$P$4:$P$503,(_calc!$E$989-500)),"yyyy-mm-dd"),"")&amp;". ")&amp;IF(LEN(IF(LEN(INDEX('My equipment'!$Q$4:$Q$503,(_calc!$E$989-500)))=0,"",INDEX('My equipment'!$Q$4:$Q$503,(_calc!$E$989-500))))=0,"","Claim status: "&amp;IF(LEN(INDEX('My equipment'!$Q$4:$Q$503,(_calc!$E$989-500)))=0,"",INDEX('My equipment'!$Q$4:$Q$503,(_calc!$E$989-500)))&amp;". ")&amp;IF(LEN(IF(LEN(INDEX('My equipment'!$R$4:$R$503,(_calc!$E$989-500)))=0,"",INDEX('My equipment'!$R$4:$R$503,(_calc!$E$989-500))))=0,"","Claims contact: "&amp;IF(LEN(INDEX('My equipment'!$R$4:$R$503,(_calc!$E$989-500)))=0,"",INDEX('My equipment'!$R$4:$R$503,(_calc!$E$989-500)))&amp;". ")&amp;IF(LEN(IF(LEN(INDEX('My equipment'!$S$4:$S$503,(_calc!$E$989-500)))=0,"",INDEX('My equipment'!$S$4:$S$503,(_calc!$E$989-500))))=0,"","Claims email: "&amp;IF(LEN(INDEX('My equipment'!$S$4:$S$503,(_calc!$E$989-500)))=0,"",INDEX('My equipment'!$S$4:$S$503,(_calc!$E$989-500)))&amp;". ")&amp;IF(LEN(IF(LEN(INDEX('My equipment'!$U$4:$U$503,(_calc!$E$989-500)))=0,"",INDEX('My equipment'!$U$4:$U$503,(_calc!$E$989-500))))=0,"","Registered: "&amp;IF(LEN(INDEX('My equipment'!$U$4:$U$503,(_calc!$E$989-500)))=0,"",INDEX('My equipment'!$U$4:$U$503,(_calc!$E$989-500)))&amp;". ")&amp;IF(LEN(IF(LEN(INDEX('My equipment'!$V$4:$V$503,(_calc!$E$989-500)))=0,"",INDEX('My equipment'!$V$4:$V$503,(_calc!$E$989-500))))=0,"","Proof on file: "&amp;IF(LEN(INDEX('My equipment'!$V$4:$V$503,(_calc!$E$989-500)))=0,"",INDEX('My equipment'!$V$4:$V$503,(_calc!$E$989-500)))&amp;". ")&amp;IF(LEN(IF(LEN(INDEX('My equipment'!$W$4:$W$503,(_calc!$E$989-500)))=0,"",INDEX('My equipment'!$W$4:$W$503,(_calc!$E$989-500))))=0,"","Claim ref: "&amp;IF(LEN(INDEX('My equipment'!$W$4:$W$503,(_calc!$E$989-500)))=0,"",INDEX('My equipment'!$W$4:$W$503,(_calc!$E$989-500)))&amp;". ")&amp;IF(LEN(IF(LEN(INDEX('My equipment'!$Y$4:$Y$503,(_calc!$E$989-500)))=0,"",INDEX('My equipment'!$Y$4:$Y$503,(_calc!$E$989-500))))=0,"",IF(LEN(INDEX('My equipment'!$Y$4:$Y$503,(_calc!$E$989-500)))=0,"",INDEX('My equipment'!$Y$4:$Y$503,(_calc!$E$989-500)))))))</f>
        <v/>
      </c>
      <c r="G987" s="54">
        <f>IF(_calc!$E$989="","",IF(_calc!$E$989&lt;=500,"",IF(LEN(INDEX('My equipment'!$X$4:$X$503,(_calc!$E$989-500)))=0,"",INDEX('My equipment'!$X$4:$X$503,(_calc!$E$989-500)))))</f>
        <v/>
      </c>
      <c r="K987" s="54">
        <f>IF(_calc!$E$989="","",IF(_calc!$E$989&lt;=500,"",IF(LEN(INDEX('My equipment'!$T$4:$T$503,(_calc!$E$989-500)))=0,"",INDEX('My equipment'!$T$4:$T$503,(_calc!$E$989-500)))))</f>
        <v/>
      </c>
    </row>
    <row r="988">
      <c r="A988" s="54">
        <f>IF(_calc!$E$990="","",IF(_calc!$E$990&lt;=500,"Warranty – "&amp;IF(LEN(INDEX('Dealer pipeline'!$C$4:$C$503,_calc!$E$990))=0,"",INDEX('Dealer pipeline'!$C$4:$C$503,_calc!$E$990))&amp;" – "&amp;IF(LEN(INDEX('Dealer pipeline'!$D$4:$D$503,_calc!$E$990))=0,"",INDEX('Dealer pipeline'!$D$4:$D$503,_calc!$E$990))&amp;" – "&amp;IF(LEN(INDEX('Dealer pipeline'!$A$4:$A$503,_calc!$E$990))=0,"",INDEX('Dealer pipeline'!$A$4:$A$503,_calc!$E$990)),"Warranty – "&amp;IF(LEN(INDEX('My equipment'!$A$4:$A$503,(_calc!$E$990-500)))=0,"",INDEX('My equipment'!$A$4:$A$503,(_calc!$E$990-500)))&amp;" – "&amp;IF(LEN(INDEX('My equipment'!$D$4:$D$503,(_calc!$E$990-500)))=0,"",INDEX('My equipment'!$D$4:$D$503,(_calc!$E$990-500)))))</f>
        <v/>
      </c>
      <c r="B988" s="54">
        <f>IF(_calc!$E$990="","",IF(_calc!$E$990&lt;=500,IF(ISNUMBER(INDEX('Dealer pipeline'!$M$4:$M$503,_calc!$E$990)),TEXT(INDEX('Dealer pipeline'!$M$4:$M$503,_calc!$E$990),"yyyy-mm-dd"),""),IF(ISNUMBER(INDEX('My equipment'!$M$4:$M$503,(_calc!$E$990-500))),TEXT(INDEX('My equipment'!$M$4:$M$503,(_calc!$E$990-500)),"yyyy-mm-dd"),"")))</f>
        <v/>
      </c>
      <c r="C988" s="54">
        <f>IF(_calc!$E$990="","",IF(_calc!$E$990&lt;=500,"Warranty","Warranty"))</f>
        <v/>
      </c>
      <c r="D988" s="54">
        <f>IF(_calc!$E$990="","",IF(_calc!$E$990&lt;=500,IF(ISNUMBER(INDEX('Dealer pipeline'!$H$4:$H$503,_calc!$E$990)),TEXT(INDEX('Dealer pipeline'!$H$4:$H$503,_calc!$E$990),"yyyy-mm-dd"),""),IF(ISNUMBER(INDEX('My equipment'!$H$4:$H$503,(_calc!$E$990-500))),TEXT(INDEX('My equipment'!$H$4:$H$503,(_calc!$E$990-500)),"yyyy-mm-dd"),"")))</f>
        <v/>
      </c>
      <c r="F988" s="54">
        <f>IF(_calc!$E$990="","",IF(_calc!$E$990&lt;=500,TRIM(IF(LEN(IF(LEN(INDEX('Dealer pipeline'!$A$4:$A$503,_calc!$E$990))=0,"",INDEX('Dealer pipeline'!$A$4:$A$503,_calc!$E$990)))=0,"","Customer: "&amp;IF(LEN(INDEX('Dealer pipeline'!$A$4:$A$503,_calc!$E$990))=0,"",INDEX('Dealer pipeline'!$A$4:$A$503,_calc!$E$990))&amp;". ")&amp;IF(LEN(IF(LEN(INDEX('Dealer pipeline'!$B$4:$B$503,_calc!$E$990))=0,"",INDEX('Dealer pipeline'!$B$4:$B$503,_calc!$E$990)))=0,"","Contact: "&amp;IF(LEN(INDEX('Dealer pipeline'!$B$4:$B$503,_calc!$E$990))=0,"",INDEX('Dealer pipeline'!$B$4:$B$503,_calc!$E$990))&amp;". ")&amp;IF(LEN(IF(LEN(INDEX('Dealer pipeline'!$D$4:$D$503,_calc!$E$990))=0,"",INDEX('Dealer pipeline'!$D$4:$D$503,_calc!$E$990)))=0,"","Serial: "&amp;IF(LEN(INDEX('Dealer pipeline'!$D$4:$D$503,_calc!$E$990))=0,"",INDEX('Dealer pipeline'!$D$4:$D$503,_calc!$E$990))&amp;". ")&amp;IF(LEN(IF(ISNUMBER(INDEX('Dealer pipeline'!$J$4:$J$503,_calc!$E$990)),TEXT(INDEX('Dealer pipeline'!$J$4:$J$503,_calc!$E$990),"yyyy-mm-dd"),""))=0,"","Parts end: "&amp;IF(ISNUMBER(INDEX('Dealer pipeline'!$J$4:$J$503,_calc!$E$990)),TEXT(INDEX('Dealer pipeline'!$J$4:$J$503,_calc!$E$990),"yyyy-mm-dd"),"")&amp;". ")&amp;IF(LEN(IF(ISNUMBER(INDEX('Dealer pipeline'!$L$4:$L$503,_calc!$E$990)),TEXT(INDEX('Dealer pipeline'!$L$4:$L$503,_calc!$E$990),"yyyy-mm-dd"),""))=0,"","Labor end: "&amp;IF(ISNUMBER(INDEX('Dealer pipeline'!$L$4:$L$503,_calc!$E$990)),TEXT(INDEX('Dealer pipeline'!$L$4:$L$503,_calc!$E$990),"yyyy-mm-dd"),"")&amp;". ")&amp;IF(LEN(IF(LEN(INDEX('Dealer pipeline'!$Q$4:$Q$503,_calc!$E$990))=0,"",INDEX('Dealer pipeline'!$Q$4:$Q$503,_calc!$E$990)))=0,"","Status: "&amp;IF(LEN(INDEX('Dealer pipeline'!$Q$4:$Q$503,_calc!$E$990))=0,"",INDEX('Dealer pipeline'!$Q$4:$Q$503,_calc!$E$990))&amp;". ")&amp;IF(LEN(IF(LEN(INDEX('Dealer pipeline'!$P$4:$P$503,_calc!$E$990))=0,"",INDEX('Dealer pipeline'!$P$4:$P$503,_calc!$E$990)))=0,"","Last touch: "&amp;IF(LEN(INDEX('Dealer pipeline'!$P$4:$P$503,_calc!$E$990))=0,"",INDEX('Dealer pipeline'!$P$4:$P$503,_calc!$E$990))&amp;". ")&amp;IF(LEN(IF(LEN(INDEX('Dealer pipeline'!$R$4:$R$503,_calc!$E$990))=0,"",INDEX('Dealer pipeline'!$R$4:$R$503,_calc!$E$990)))=0,"","Owner: "&amp;IF(LEN(INDEX('Dealer pipeline'!$R$4:$R$503,_calc!$E$990))=0,"",INDEX('Dealer pipeline'!$R$4:$R$503,_calc!$E$990))&amp;". ")&amp;IF(LEN(IF(LEN(INDEX('Dealer pipeline'!$S$4:$S$503,_calc!$E$990))=0,"",INDEX('Dealer pipeline'!$S$4:$S$503,_calc!$E$990)))=0,"","Backup: "&amp;IF(LEN(INDEX('Dealer pipeline'!$S$4:$S$503,_calc!$E$990))=0,"",INDEX('Dealer pipeline'!$S$4:$S$503,_calc!$E$990))&amp;". ")&amp;IF(LEN(IF(LEN(INDEX('Dealer pipeline'!$T$4:$T$503,_calc!$E$990))=0,"",INDEX('Dealer pipeline'!$T$4:$T$503,_calc!$E$990)))=0,"",IF(LEN(INDEX('Dealer pipeline'!$T$4:$T$503,_calc!$E$990))=0,"",INDEX('Dealer pipeline'!$T$4:$T$503,_calc!$E$990)))),TRIM(IF(LEN(IF(LEN(INDEX('My equipment'!$C$4:$C$503,(_calc!$E$990-500)))=0,"",INDEX('My equipment'!$C$4:$C$503,(_calc!$E$990-500))))=0,"","Model: "&amp;IF(LEN(INDEX('My equipment'!$C$4:$C$503,(_calc!$E$990-500)))=0,"",INDEX('My equipment'!$C$4:$C$503,(_calc!$E$990-500)))&amp;". ")&amp;IF(LEN(IF(LEN(INDEX('My equipment'!$D$4:$D$503,(_calc!$E$990-500)))=0,"",INDEX('My equipment'!$D$4:$D$503,(_calc!$E$990-500))))=0,"","Serial: "&amp;IF(LEN(INDEX('My equipment'!$D$4:$D$503,(_calc!$E$990-500)))=0,"",INDEX('My equipment'!$D$4:$D$503,(_calc!$E$990-500)))&amp;". ")&amp;IF(LEN(IF(ISNUMBER(INDEX('My equipment'!$J$4:$J$503,(_calc!$E$990-500))),TEXT(INDEX('My equipment'!$J$4:$J$503,(_calc!$E$990-500)),"yyyy-mm-dd"),""))=0,"","Parts end: "&amp;IF(ISNUMBER(INDEX('My equipment'!$J$4:$J$503,(_calc!$E$990-500))),TEXT(INDEX('My equipment'!$J$4:$J$503,(_calc!$E$990-500)),"yyyy-mm-dd"),"")&amp;". ")&amp;IF(LEN(IF(ISNUMBER(INDEX('My equipment'!$L$4:$L$503,(_calc!$E$990-500))),TEXT(INDEX('My equipment'!$L$4:$L$503,(_calc!$E$990-500)),"yyyy-mm-dd"),""))=0,"","Labor end: "&amp;IF(ISNUMBER(INDEX('My equipment'!$L$4:$L$503,(_calc!$E$990-500))),TEXT(INDEX('My equipment'!$L$4:$L$503,(_calc!$E$990-500)),"yyyy-mm-dd"),"")&amp;". ")&amp;IF(LEN(IF(ISNUMBER(INDEX('My equipment'!$P$4:$P$503,(_calc!$E$990-500))),TEXT(INDEX('My equipment'!$P$4:$P$503,(_calc!$E$990-500)),"yyyy-mm-dd"),""))=0,"","Check by: "&amp;IF(ISNUMBER(INDEX('My equipment'!$P$4:$P$503,(_calc!$E$990-500))),TEXT(INDEX('My equipment'!$P$4:$P$503,(_calc!$E$990-500)),"yyyy-mm-dd"),"")&amp;". ")&amp;IF(LEN(IF(LEN(INDEX('My equipment'!$Q$4:$Q$503,(_calc!$E$990-500)))=0,"",INDEX('My equipment'!$Q$4:$Q$503,(_calc!$E$990-500))))=0,"","Claim status: "&amp;IF(LEN(INDEX('My equipment'!$Q$4:$Q$503,(_calc!$E$990-500)))=0,"",INDEX('My equipment'!$Q$4:$Q$503,(_calc!$E$990-500)))&amp;". ")&amp;IF(LEN(IF(LEN(INDEX('My equipment'!$R$4:$R$503,(_calc!$E$990-500)))=0,"",INDEX('My equipment'!$R$4:$R$503,(_calc!$E$990-500))))=0,"","Claims contact: "&amp;IF(LEN(INDEX('My equipment'!$R$4:$R$503,(_calc!$E$990-500)))=0,"",INDEX('My equipment'!$R$4:$R$503,(_calc!$E$990-500)))&amp;". ")&amp;IF(LEN(IF(LEN(INDEX('My equipment'!$S$4:$S$503,(_calc!$E$990-500)))=0,"",INDEX('My equipment'!$S$4:$S$503,(_calc!$E$990-500))))=0,"","Claims email: "&amp;IF(LEN(INDEX('My equipment'!$S$4:$S$503,(_calc!$E$990-500)))=0,"",INDEX('My equipment'!$S$4:$S$503,(_calc!$E$990-500)))&amp;". ")&amp;IF(LEN(IF(LEN(INDEX('My equipment'!$U$4:$U$503,(_calc!$E$990-500)))=0,"",INDEX('My equipment'!$U$4:$U$503,(_calc!$E$990-500))))=0,"","Registered: "&amp;IF(LEN(INDEX('My equipment'!$U$4:$U$503,(_calc!$E$990-500)))=0,"",INDEX('My equipment'!$U$4:$U$503,(_calc!$E$990-500)))&amp;". ")&amp;IF(LEN(IF(LEN(INDEX('My equipment'!$V$4:$V$503,(_calc!$E$990-500)))=0,"",INDEX('My equipment'!$V$4:$V$503,(_calc!$E$990-500))))=0,"","Proof on file: "&amp;IF(LEN(INDEX('My equipment'!$V$4:$V$503,(_calc!$E$990-500)))=0,"",INDEX('My equipment'!$V$4:$V$503,(_calc!$E$990-500)))&amp;". ")&amp;IF(LEN(IF(LEN(INDEX('My equipment'!$W$4:$W$503,(_calc!$E$990-500)))=0,"",INDEX('My equipment'!$W$4:$W$503,(_calc!$E$990-500))))=0,"","Claim ref: "&amp;IF(LEN(INDEX('My equipment'!$W$4:$W$503,(_calc!$E$990-500)))=0,"",INDEX('My equipment'!$W$4:$W$503,(_calc!$E$990-500)))&amp;". ")&amp;IF(LEN(IF(LEN(INDEX('My equipment'!$Y$4:$Y$503,(_calc!$E$990-500)))=0,"",INDEX('My equipment'!$Y$4:$Y$503,(_calc!$E$990-500))))=0,"",IF(LEN(INDEX('My equipment'!$Y$4:$Y$503,(_calc!$E$990-500)))=0,"",INDEX('My equipment'!$Y$4:$Y$503,(_calc!$E$990-500)))))))</f>
        <v/>
      </c>
      <c r="G988" s="54">
        <f>IF(_calc!$E$990="","",IF(_calc!$E$990&lt;=500,"",IF(LEN(INDEX('My equipment'!$X$4:$X$503,(_calc!$E$990-500)))=0,"",INDEX('My equipment'!$X$4:$X$503,(_calc!$E$990-500)))))</f>
        <v/>
      </c>
      <c r="K988" s="54">
        <f>IF(_calc!$E$990="","",IF(_calc!$E$990&lt;=500,"",IF(LEN(INDEX('My equipment'!$T$4:$T$503,(_calc!$E$990-500)))=0,"",INDEX('My equipment'!$T$4:$T$503,(_calc!$E$990-500)))))</f>
        <v/>
      </c>
    </row>
    <row r="989">
      <c r="A989" s="54">
        <f>IF(_calc!$E$991="","",IF(_calc!$E$991&lt;=500,"Warranty – "&amp;IF(LEN(INDEX('Dealer pipeline'!$C$4:$C$503,_calc!$E$991))=0,"",INDEX('Dealer pipeline'!$C$4:$C$503,_calc!$E$991))&amp;" – "&amp;IF(LEN(INDEX('Dealer pipeline'!$D$4:$D$503,_calc!$E$991))=0,"",INDEX('Dealer pipeline'!$D$4:$D$503,_calc!$E$991))&amp;" – "&amp;IF(LEN(INDEX('Dealer pipeline'!$A$4:$A$503,_calc!$E$991))=0,"",INDEX('Dealer pipeline'!$A$4:$A$503,_calc!$E$991)),"Warranty – "&amp;IF(LEN(INDEX('My equipment'!$A$4:$A$503,(_calc!$E$991-500)))=0,"",INDEX('My equipment'!$A$4:$A$503,(_calc!$E$991-500)))&amp;" – "&amp;IF(LEN(INDEX('My equipment'!$D$4:$D$503,(_calc!$E$991-500)))=0,"",INDEX('My equipment'!$D$4:$D$503,(_calc!$E$991-500)))))</f>
        <v/>
      </c>
      <c r="B989" s="54">
        <f>IF(_calc!$E$991="","",IF(_calc!$E$991&lt;=500,IF(ISNUMBER(INDEX('Dealer pipeline'!$M$4:$M$503,_calc!$E$991)),TEXT(INDEX('Dealer pipeline'!$M$4:$M$503,_calc!$E$991),"yyyy-mm-dd"),""),IF(ISNUMBER(INDEX('My equipment'!$M$4:$M$503,(_calc!$E$991-500))),TEXT(INDEX('My equipment'!$M$4:$M$503,(_calc!$E$991-500)),"yyyy-mm-dd"),"")))</f>
        <v/>
      </c>
      <c r="C989" s="54">
        <f>IF(_calc!$E$991="","",IF(_calc!$E$991&lt;=500,"Warranty","Warranty"))</f>
        <v/>
      </c>
      <c r="D989" s="54">
        <f>IF(_calc!$E$991="","",IF(_calc!$E$991&lt;=500,IF(ISNUMBER(INDEX('Dealer pipeline'!$H$4:$H$503,_calc!$E$991)),TEXT(INDEX('Dealer pipeline'!$H$4:$H$503,_calc!$E$991),"yyyy-mm-dd"),""),IF(ISNUMBER(INDEX('My equipment'!$H$4:$H$503,(_calc!$E$991-500))),TEXT(INDEX('My equipment'!$H$4:$H$503,(_calc!$E$991-500)),"yyyy-mm-dd"),"")))</f>
        <v/>
      </c>
      <c r="F989" s="54">
        <f>IF(_calc!$E$991="","",IF(_calc!$E$991&lt;=500,TRIM(IF(LEN(IF(LEN(INDEX('Dealer pipeline'!$A$4:$A$503,_calc!$E$991))=0,"",INDEX('Dealer pipeline'!$A$4:$A$503,_calc!$E$991)))=0,"","Customer: "&amp;IF(LEN(INDEX('Dealer pipeline'!$A$4:$A$503,_calc!$E$991))=0,"",INDEX('Dealer pipeline'!$A$4:$A$503,_calc!$E$991))&amp;". ")&amp;IF(LEN(IF(LEN(INDEX('Dealer pipeline'!$B$4:$B$503,_calc!$E$991))=0,"",INDEX('Dealer pipeline'!$B$4:$B$503,_calc!$E$991)))=0,"","Contact: "&amp;IF(LEN(INDEX('Dealer pipeline'!$B$4:$B$503,_calc!$E$991))=0,"",INDEX('Dealer pipeline'!$B$4:$B$503,_calc!$E$991))&amp;". ")&amp;IF(LEN(IF(LEN(INDEX('Dealer pipeline'!$D$4:$D$503,_calc!$E$991))=0,"",INDEX('Dealer pipeline'!$D$4:$D$503,_calc!$E$991)))=0,"","Serial: "&amp;IF(LEN(INDEX('Dealer pipeline'!$D$4:$D$503,_calc!$E$991))=0,"",INDEX('Dealer pipeline'!$D$4:$D$503,_calc!$E$991))&amp;". ")&amp;IF(LEN(IF(ISNUMBER(INDEX('Dealer pipeline'!$J$4:$J$503,_calc!$E$991)),TEXT(INDEX('Dealer pipeline'!$J$4:$J$503,_calc!$E$991),"yyyy-mm-dd"),""))=0,"","Parts end: "&amp;IF(ISNUMBER(INDEX('Dealer pipeline'!$J$4:$J$503,_calc!$E$991)),TEXT(INDEX('Dealer pipeline'!$J$4:$J$503,_calc!$E$991),"yyyy-mm-dd"),"")&amp;". ")&amp;IF(LEN(IF(ISNUMBER(INDEX('Dealer pipeline'!$L$4:$L$503,_calc!$E$991)),TEXT(INDEX('Dealer pipeline'!$L$4:$L$503,_calc!$E$991),"yyyy-mm-dd"),""))=0,"","Labor end: "&amp;IF(ISNUMBER(INDEX('Dealer pipeline'!$L$4:$L$503,_calc!$E$991)),TEXT(INDEX('Dealer pipeline'!$L$4:$L$503,_calc!$E$991),"yyyy-mm-dd"),"")&amp;". ")&amp;IF(LEN(IF(LEN(INDEX('Dealer pipeline'!$Q$4:$Q$503,_calc!$E$991))=0,"",INDEX('Dealer pipeline'!$Q$4:$Q$503,_calc!$E$991)))=0,"","Status: "&amp;IF(LEN(INDEX('Dealer pipeline'!$Q$4:$Q$503,_calc!$E$991))=0,"",INDEX('Dealer pipeline'!$Q$4:$Q$503,_calc!$E$991))&amp;". ")&amp;IF(LEN(IF(LEN(INDEX('Dealer pipeline'!$P$4:$P$503,_calc!$E$991))=0,"",INDEX('Dealer pipeline'!$P$4:$P$503,_calc!$E$991)))=0,"","Last touch: "&amp;IF(LEN(INDEX('Dealer pipeline'!$P$4:$P$503,_calc!$E$991))=0,"",INDEX('Dealer pipeline'!$P$4:$P$503,_calc!$E$991))&amp;". ")&amp;IF(LEN(IF(LEN(INDEX('Dealer pipeline'!$R$4:$R$503,_calc!$E$991))=0,"",INDEX('Dealer pipeline'!$R$4:$R$503,_calc!$E$991)))=0,"","Owner: "&amp;IF(LEN(INDEX('Dealer pipeline'!$R$4:$R$503,_calc!$E$991))=0,"",INDEX('Dealer pipeline'!$R$4:$R$503,_calc!$E$991))&amp;". ")&amp;IF(LEN(IF(LEN(INDEX('Dealer pipeline'!$S$4:$S$503,_calc!$E$991))=0,"",INDEX('Dealer pipeline'!$S$4:$S$503,_calc!$E$991)))=0,"","Backup: "&amp;IF(LEN(INDEX('Dealer pipeline'!$S$4:$S$503,_calc!$E$991))=0,"",INDEX('Dealer pipeline'!$S$4:$S$503,_calc!$E$991))&amp;". ")&amp;IF(LEN(IF(LEN(INDEX('Dealer pipeline'!$T$4:$T$503,_calc!$E$991))=0,"",INDEX('Dealer pipeline'!$T$4:$T$503,_calc!$E$991)))=0,"",IF(LEN(INDEX('Dealer pipeline'!$T$4:$T$503,_calc!$E$991))=0,"",INDEX('Dealer pipeline'!$T$4:$T$503,_calc!$E$991)))),TRIM(IF(LEN(IF(LEN(INDEX('My equipment'!$C$4:$C$503,(_calc!$E$991-500)))=0,"",INDEX('My equipment'!$C$4:$C$503,(_calc!$E$991-500))))=0,"","Model: "&amp;IF(LEN(INDEX('My equipment'!$C$4:$C$503,(_calc!$E$991-500)))=0,"",INDEX('My equipment'!$C$4:$C$503,(_calc!$E$991-500)))&amp;". ")&amp;IF(LEN(IF(LEN(INDEX('My equipment'!$D$4:$D$503,(_calc!$E$991-500)))=0,"",INDEX('My equipment'!$D$4:$D$503,(_calc!$E$991-500))))=0,"","Serial: "&amp;IF(LEN(INDEX('My equipment'!$D$4:$D$503,(_calc!$E$991-500)))=0,"",INDEX('My equipment'!$D$4:$D$503,(_calc!$E$991-500)))&amp;". ")&amp;IF(LEN(IF(ISNUMBER(INDEX('My equipment'!$J$4:$J$503,(_calc!$E$991-500))),TEXT(INDEX('My equipment'!$J$4:$J$503,(_calc!$E$991-500)),"yyyy-mm-dd"),""))=0,"","Parts end: "&amp;IF(ISNUMBER(INDEX('My equipment'!$J$4:$J$503,(_calc!$E$991-500))),TEXT(INDEX('My equipment'!$J$4:$J$503,(_calc!$E$991-500)),"yyyy-mm-dd"),"")&amp;". ")&amp;IF(LEN(IF(ISNUMBER(INDEX('My equipment'!$L$4:$L$503,(_calc!$E$991-500))),TEXT(INDEX('My equipment'!$L$4:$L$503,(_calc!$E$991-500)),"yyyy-mm-dd"),""))=0,"","Labor end: "&amp;IF(ISNUMBER(INDEX('My equipment'!$L$4:$L$503,(_calc!$E$991-500))),TEXT(INDEX('My equipment'!$L$4:$L$503,(_calc!$E$991-500)),"yyyy-mm-dd"),"")&amp;". ")&amp;IF(LEN(IF(ISNUMBER(INDEX('My equipment'!$P$4:$P$503,(_calc!$E$991-500))),TEXT(INDEX('My equipment'!$P$4:$P$503,(_calc!$E$991-500)),"yyyy-mm-dd"),""))=0,"","Check by: "&amp;IF(ISNUMBER(INDEX('My equipment'!$P$4:$P$503,(_calc!$E$991-500))),TEXT(INDEX('My equipment'!$P$4:$P$503,(_calc!$E$991-500)),"yyyy-mm-dd"),"")&amp;". ")&amp;IF(LEN(IF(LEN(INDEX('My equipment'!$Q$4:$Q$503,(_calc!$E$991-500)))=0,"",INDEX('My equipment'!$Q$4:$Q$503,(_calc!$E$991-500))))=0,"","Claim status: "&amp;IF(LEN(INDEX('My equipment'!$Q$4:$Q$503,(_calc!$E$991-500)))=0,"",INDEX('My equipment'!$Q$4:$Q$503,(_calc!$E$991-500)))&amp;". ")&amp;IF(LEN(IF(LEN(INDEX('My equipment'!$R$4:$R$503,(_calc!$E$991-500)))=0,"",INDEX('My equipment'!$R$4:$R$503,(_calc!$E$991-500))))=0,"","Claims contact: "&amp;IF(LEN(INDEX('My equipment'!$R$4:$R$503,(_calc!$E$991-500)))=0,"",INDEX('My equipment'!$R$4:$R$503,(_calc!$E$991-500)))&amp;". ")&amp;IF(LEN(IF(LEN(INDEX('My equipment'!$S$4:$S$503,(_calc!$E$991-500)))=0,"",INDEX('My equipment'!$S$4:$S$503,(_calc!$E$991-500))))=0,"","Claims email: "&amp;IF(LEN(INDEX('My equipment'!$S$4:$S$503,(_calc!$E$991-500)))=0,"",INDEX('My equipment'!$S$4:$S$503,(_calc!$E$991-500)))&amp;". ")&amp;IF(LEN(IF(LEN(INDEX('My equipment'!$U$4:$U$503,(_calc!$E$991-500)))=0,"",INDEX('My equipment'!$U$4:$U$503,(_calc!$E$991-500))))=0,"","Registered: "&amp;IF(LEN(INDEX('My equipment'!$U$4:$U$503,(_calc!$E$991-500)))=0,"",INDEX('My equipment'!$U$4:$U$503,(_calc!$E$991-500)))&amp;". ")&amp;IF(LEN(IF(LEN(INDEX('My equipment'!$V$4:$V$503,(_calc!$E$991-500)))=0,"",INDEX('My equipment'!$V$4:$V$503,(_calc!$E$991-500))))=0,"","Proof on file: "&amp;IF(LEN(INDEX('My equipment'!$V$4:$V$503,(_calc!$E$991-500)))=0,"",INDEX('My equipment'!$V$4:$V$503,(_calc!$E$991-500)))&amp;". ")&amp;IF(LEN(IF(LEN(INDEX('My equipment'!$W$4:$W$503,(_calc!$E$991-500)))=0,"",INDEX('My equipment'!$W$4:$W$503,(_calc!$E$991-500))))=0,"","Claim ref: "&amp;IF(LEN(INDEX('My equipment'!$W$4:$W$503,(_calc!$E$991-500)))=0,"",INDEX('My equipment'!$W$4:$W$503,(_calc!$E$991-500)))&amp;". ")&amp;IF(LEN(IF(LEN(INDEX('My equipment'!$Y$4:$Y$503,(_calc!$E$991-500)))=0,"",INDEX('My equipment'!$Y$4:$Y$503,(_calc!$E$991-500))))=0,"",IF(LEN(INDEX('My equipment'!$Y$4:$Y$503,(_calc!$E$991-500)))=0,"",INDEX('My equipment'!$Y$4:$Y$503,(_calc!$E$991-500)))))))</f>
        <v/>
      </c>
      <c r="G989" s="54">
        <f>IF(_calc!$E$991="","",IF(_calc!$E$991&lt;=500,"",IF(LEN(INDEX('My equipment'!$X$4:$X$503,(_calc!$E$991-500)))=0,"",INDEX('My equipment'!$X$4:$X$503,(_calc!$E$991-500)))))</f>
        <v/>
      </c>
      <c r="K989" s="54">
        <f>IF(_calc!$E$991="","",IF(_calc!$E$991&lt;=500,"",IF(LEN(INDEX('My equipment'!$T$4:$T$503,(_calc!$E$991-500)))=0,"",INDEX('My equipment'!$T$4:$T$503,(_calc!$E$991-500)))))</f>
        <v/>
      </c>
    </row>
    <row r="990">
      <c r="A990" s="54">
        <f>IF(_calc!$E$992="","",IF(_calc!$E$992&lt;=500,"Warranty – "&amp;IF(LEN(INDEX('Dealer pipeline'!$C$4:$C$503,_calc!$E$992))=0,"",INDEX('Dealer pipeline'!$C$4:$C$503,_calc!$E$992))&amp;" – "&amp;IF(LEN(INDEX('Dealer pipeline'!$D$4:$D$503,_calc!$E$992))=0,"",INDEX('Dealer pipeline'!$D$4:$D$503,_calc!$E$992))&amp;" – "&amp;IF(LEN(INDEX('Dealer pipeline'!$A$4:$A$503,_calc!$E$992))=0,"",INDEX('Dealer pipeline'!$A$4:$A$503,_calc!$E$992)),"Warranty – "&amp;IF(LEN(INDEX('My equipment'!$A$4:$A$503,(_calc!$E$992-500)))=0,"",INDEX('My equipment'!$A$4:$A$503,(_calc!$E$992-500)))&amp;" – "&amp;IF(LEN(INDEX('My equipment'!$D$4:$D$503,(_calc!$E$992-500)))=0,"",INDEX('My equipment'!$D$4:$D$503,(_calc!$E$992-500)))))</f>
        <v/>
      </c>
      <c r="B990" s="54">
        <f>IF(_calc!$E$992="","",IF(_calc!$E$992&lt;=500,IF(ISNUMBER(INDEX('Dealer pipeline'!$M$4:$M$503,_calc!$E$992)),TEXT(INDEX('Dealer pipeline'!$M$4:$M$503,_calc!$E$992),"yyyy-mm-dd"),""),IF(ISNUMBER(INDEX('My equipment'!$M$4:$M$503,(_calc!$E$992-500))),TEXT(INDEX('My equipment'!$M$4:$M$503,(_calc!$E$992-500)),"yyyy-mm-dd"),"")))</f>
        <v/>
      </c>
      <c r="C990" s="54">
        <f>IF(_calc!$E$992="","",IF(_calc!$E$992&lt;=500,"Warranty","Warranty"))</f>
        <v/>
      </c>
      <c r="D990" s="54">
        <f>IF(_calc!$E$992="","",IF(_calc!$E$992&lt;=500,IF(ISNUMBER(INDEX('Dealer pipeline'!$H$4:$H$503,_calc!$E$992)),TEXT(INDEX('Dealer pipeline'!$H$4:$H$503,_calc!$E$992),"yyyy-mm-dd"),""),IF(ISNUMBER(INDEX('My equipment'!$H$4:$H$503,(_calc!$E$992-500))),TEXT(INDEX('My equipment'!$H$4:$H$503,(_calc!$E$992-500)),"yyyy-mm-dd"),"")))</f>
        <v/>
      </c>
      <c r="F990" s="54">
        <f>IF(_calc!$E$992="","",IF(_calc!$E$992&lt;=500,TRIM(IF(LEN(IF(LEN(INDEX('Dealer pipeline'!$A$4:$A$503,_calc!$E$992))=0,"",INDEX('Dealer pipeline'!$A$4:$A$503,_calc!$E$992)))=0,"","Customer: "&amp;IF(LEN(INDEX('Dealer pipeline'!$A$4:$A$503,_calc!$E$992))=0,"",INDEX('Dealer pipeline'!$A$4:$A$503,_calc!$E$992))&amp;". ")&amp;IF(LEN(IF(LEN(INDEX('Dealer pipeline'!$B$4:$B$503,_calc!$E$992))=0,"",INDEX('Dealer pipeline'!$B$4:$B$503,_calc!$E$992)))=0,"","Contact: "&amp;IF(LEN(INDEX('Dealer pipeline'!$B$4:$B$503,_calc!$E$992))=0,"",INDEX('Dealer pipeline'!$B$4:$B$503,_calc!$E$992))&amp;". ")&amp;IF(LEN(IF(LEN(INDEX('Dealer pipeline'!$D$4:$D$503,_calc!$E$992))=0,"",INDEX('Dealer pipeline'!$D$4:$D$503,_calc!$E$992)))=0,"","Serial: "&amp;IF(LEN(INDEX('Dealer pipeline'!$D$4:$D$503,_calc!$E$992))=0,"",INDEX('Dealer pipeline'!$D$4:$D$503,_calc!$E$992))&amp;". ")&amp;IF(LEN(IF(ISNUMBER(INDEX('Dealer pipeline'!$J$4:$J$503,_calc!$E$992)),TEXT(INDEX('Dealer pipeline'!$J$4:$J$503,_calc!$E$992),"yyyy-mm-dd"),""))=0,"","Parts end: "&amp;IF(ISNUMBER(INDEX('Dealer pipeline'!$J$4:$J$503,_calc!$E$992)),TEXT(INDEX('Dealer pipeline'!$J$4:$J$503,_calc!$E$992),"yyyy-mm-dd"),"")&amp;". ")&amp;IF(LEN(IF(ISNUMBER(INDEX('Dealer pipeline'!$L$4:$L$503,_calc!$E$992)),TEXT(INDEX('Dealer pipeline'!$L$4:$L$503,_calc!$E$992),"yyyy-mm-dd"),""))=0,"","Labor end: "&amp;IF(ISNUMBER(INDEX('Dealer pipeline'!$L$4:$L$503,_calc!$E$992)),TEXT(INDEX('Dealer pipeline'!$L$4:$L$503,_calc!$E$992),"yyyy-mm-dd"),"")&amp;". ")&amp;IF(LEN(IF(LEN(INDEX('Dealer pipeline'!$Q$4:$Q$503,_calc!$E$992))=0,"",INDEX('Dealer pipeline'!$Q$4:$Q$503,_calc!$E$992)))=0,"","Status: "&amp;IF(LEN(INDEX('Dealer pipeline'!$Q$4:$Q$503,_calc!$E$992))=0,"",INDEX('Dealer pipeline'!$Q$4:$Q$503,_calc!$E$992))&amp;". ")&amp;IF(LEN(IF(LEN(INDEX('Dealer pipeline'!$P$4:$P$503,_calc!$E$992))=0,"",INDEX('Dealer pipeline'!$P$4:$P$503,_calc!$E$992)))=0,"","Last touch: "&amp;IF(LEN(INDEX('Dealer pipeline'!$P$4:$P$503,_calc!$E$992))=0,"",INDEX('Dealer pipeline'!$P$4:$P$503,_calc!$E$992))&amp;". ")&amp;IF(LEN(IF(LEN(INDEX('Dealer pipeline'!$R$4:$R$503,_calc!$E$992))=0,"",INDEX('Dealer pipeline'!$R$4:$R$503,_calc!$E$992)))=0,"","Owner: "&amp;IF(LEN(INDEX('Dealer pipeline'!$R$4:$R$503,_calc!$E$992))=0,"",INDEX('Dealer pipeline'!$R$4:$R$503,_calc!$E$992))&amp;". ")&amp;IF(LEN(IF(LEN(INDEX('Dealer pipeline'!$S$4:$S$503,_calc!$E$992))=0,"",INDEX('Dealer pipeline'!$S$4:$S$503,_calc!$E$992)))=0,"","Backup: "&amp;IF(LEN(INDEX('Dealer pipeline'!$S$4:$S$503,_calc!$E$992))=0,"",INDEX('Dealer pipeline'!$S$4:$S$503,_calc!$E$992))&amp;". ")&amp;IF(LEN(IF(LEN(INDEX('Dealer pipeline'!$T$4:$T$503,_calc!$E$992))=0,"",INDEX('Dealer pipeline'!$T$4:$T$503,_calc!$E$992)))=0,"",IF(LEN(INDEX('Dealer pipeline'!$T$4:$T$503,_calc!$E$992))=0,"",INDEX('Dealer pipeline'!$T$4:$T$503,_calc!$E$992)))),TRIM(IF(LEN(IF(LEN(INDEX('My equipment'!$C$4:$C$503,(_calc!$E$992-500)))=0,"",INDEX('My equipment'!$C$4:$C$503,(_calc!$E$992-500))))=0,"","Model: "&amp;IF(LEN(INDEX('My equipment'!$C$4:$C$503,(_calc!$E$992-500)))=0,"",INDEX('My equipment'!$C$4:$C$503,(_calc!$E$992-500)))&amp;". ")&amp;IF(LEN(IF(LEN(INDEX('My equipment'!$D$4:$D$503,(_calc!$E$992-500)))=0,"",INDEX('My equipment'!$D$4:$D$503,(_calc!$E$992-500))))=0,"","Serial: "&amp;IF(LEN(INDEX('My equipment'!$D$4:$D$503,(_calc!$E$992-500)))=0,"",INDEX('My equipment'!$D$4:$D$503,(_calc!$E$992-500)))&amp;". ")&amp;IF(LEN(IF(ISNUMBER(INDEX('My equipment'!$J$4:$J$503,(_calc!$E$992-500))),TEXT(INDEX('My equipment'!$J$4:$J$503,(_calc!$E$992-500)),"yyyy-mm-dd"),""))=0,"","Parts end: "&amp;IF(ISNUMBER(INDEX('My equipment'!$J$4:$J$503,(_calc!$E$992-500))),TEXT(INDEX('My equipment'!$J$4:$J$503,(_calc!$E$992-500)),"yyyy-mm-dd"),"")&amp;". ")&amp;IF(LEN(IF(ISNUMBER(INDEX('My equipment'!$L$4:$L$503,(_calc!$E$992-500))),TEXT(INDEX('My equipment'!$L$4:$L$503,(_calc!$E$992-500)),"yyyy-mm-dd"),""))=0,"","Labor end: "&amp;IF(ISNUMBER(INDEX('My equipment'!$L$4:$L$503,(_calc!$E$992-500))),TEXT(INDEX('My equipment'!$L$4:$L$503,(_calc!$E$992-500)),"yyyy-mm-dd"),"")&amp;". ")&amp;IF(LEN(IF(ISNUMBER(INDEX('My equipment'!$P$4:$P$503,(_calc!$E$992-500))),TEXT(INDEX('My equipment'!$P$4:$P$503,(_calc!$E$992-500)),"yyyy-mm-dd"),""))=0,"","Check by: "&amp;IF(ISNUMBER(INDEX('My equipment'!$P$4:$P$503,(_calc!$E$992-500))),TEXT(INDEX('My equipment'!$P$4:$P$503,(_calc!$E$992-500)),"yyyy-mm-dd"),"")&amp;". ")&amp;IF(LEN(IF(LEN(INDEX('My equipment'!$Q$4:$Q$503,(_calc!$E$992-500)))=0,"",INDEX('My equipment'!$Q$4:$Q$503,(_calc!$E$992-500))))=0,"","Claim status: "&amp;IF(LEN(INDEX('My equipment'!$Q$4:$Q$503,(_calc!$E$992-500)))=0,"",INDEX('My equipment'!$Q$4:$Q$503,(_calc!$E$992-500)))&amp;". ")&amp;IF(LEN(IF(LEN(INDEX('My equipment'!$R$4:$R$503,(_calc!$E$992-500)))=0,"",INDEX('My equipment'!$R$4:$R$503,(_calc!$E$992-500))))=0,"","Claims contact: "&amp;IF(LEN(INDEX('My equipment'!$R$4:$R$503,(_calc!$E$992-500)))=0,"",INDEX('My equipment'!$R$4:$R$503,(_calc!$E$992-500)))&amp;". ")&amp;IF(LEN(IF(LEN(INDEX('My equipment'!$S$4:$S$503,(_calc!$E$992-500)))=0,"",INDEX('My equipment'!$S$4:$S$503,(_calc!$E$992-500))))=0,"","Claims email: "&amp;IF(LEN(INDEX('My equipment'!$S$4:$S$503,(_calc!$E$992-500)))=0,"",INDEX('My equipment'!$S$4:$S$503,(_calc!$E$992-500)))&amp;". ")&amp;IF(LEN(IF(LEN(INDEX('My equipment'!$U$4:$U$503,(_calc!$E$992-500)))=0,"",INDEX('My equipment'!$U$4:$U$503,(_calc!$E$992-500))))=0,"","Registered: "&amp;IF(LEN(INDEX('My equipment'!$U$4:$U$503,(_calc!$E$992-500)))=0,"",INDEX('My equipment'!$U$4:$U$503,(_calc!$E$992-500)))&amp;". ")&amp;IF(LEN(IF(LEN(INDEX('My equipment'!$V$4:$V$503,(_calc!$E$992-500)))=0,"",INDEX('My equipment'!$V$4:$V$503,(_calc!$E$992-500))))=0,"","Proof on file: "&amp;IF(LEN(INDEX('My equipment'!$V$4:$V$503,(_calc!$E$992-500)))=0,"",INDEX('My equipment'!$V$4:$V$503,(_calc!$E$992-500)))&amp;". ")&amp;IF(LEN(IF(LEN(INDEX('My equipment'!$W$4:$W$503,(_calc!$E$992-500)))=0,"",INDEX('My equipment'!$W$4:$W$503,(_calc!$E$992-500))))=0,"","Claim ref: "&amp;IF(LEN(INDEX('My equipment'!$W$4:$W$503,(_calc!$E$992-500)))=0,"",INDEX('My equipment'!$W$4:$W$503,(_calc!$E$992-500)))&amp;". ")&amp;IF(LEN(IF(LEN(INDEX('My equipment'!$Y$4:$Y$503,(_calc!$E$992-500)))=0,"",INDEX('My equipment'!$Y$4:$Y$503,(_calc!$E$992-500))))=0,"",IF(LEN(INDEX('My equipment'!$Y$4:$Y$503,(_calc!$E$992-500)))=0,"",INDEX('My equipment'!$Y$4:$Y$503,(_calc!$E$992-500)))))))</f>
        <v/>
      </c>
      <c r="G990" s="54">
        <f>IF(_calc!$E$992="","",IF(_calc!$E$992&lt;=500,"",IF(LEN(INDEX('My equipment'!$X$4:$X$503,(_calc!$E$992-500)))=0,"",INDEX('My equipment'!$X$4:$X$503,(_calc!$E$992-500)))))</f>
        <v/>
      </c>
      <c r="K990" s="54">
        <f>IF(_calc!$E$992="","",IF(_calc!$E$992&lt;=500,"",IF(LEN(INDEX('My equipment'!$T$4:$T$503,(_calc!$E$992-500)))=0,"",INDEX('My equipment'!$T$4:$T$503,(_calc!$E$992-500)))))</f>
        <v/>
      </c>
    </row>
    <row r="991">
      <c r="A991" s="54">
        <f>IF(_calc!$E$993="","",IF(_calc!$E$993&lt;=500,"Warranty – "&amp;IF(LEN(INDEX('Dealer pipeline'!$C$4:$C$503,_calc!$E$993))=0,"",INDEX('Dealer pipeline'!$C$4:$C$503,_calc!$E$993))&amp;" – "&amp;IF(LEN(INDEX('Dealer pipeline'!$D$4:$D$503,_calc!$E$993))=0,"",INDEX('Dealer pipeline'!$D$4:$D$503,_calc!$E$993))&amp;" – "&amp;IF(LEN(INDEX('Dealer pipeline'!$A$4:$A$503,_calc!$E$993))=0,"",INDEX('Dealer pipeline'!$A$4:$A$503,_calc!$E$993)),"Warranty – "&amp;IF(LEN(INDEX('My equipment'!$A$4:$A$503,(_calc!$E$993-500)))=0,"",INDEX('My equipment'!$A$4:$A$503,(_calc!$E$993-500)))&amp;" – "&amp;IF(LEN(INDEX('My equipment'!$D$4:$D$503,(_calc!$E$993-500)))=0,"",INDEX('My equipment'!$D$4:$D$503,(_calc!$E$993-500)))))</f>
        <v/>
      </c>
      <c r="B991" s="54">
        <f>IF(_calc!$E$993="","",IF(_calc!$E$993&lt;=500,IF(ISNUMBER(INDEX('Dealer pipeline'!$M$4:$M$503,_calc!$E$993)),TEXT(INDEX('Dealer pipeline'!$M$4:$M$503,_calc!$E$993),"yyyy-mm-dd"),""),IF(ISNUMBER(INDEX('My equipment'!$M$4:$M$503,(_calc!$E$993-500))),TEXT(INDEX('My equipment'!$M$4:$M$503,(_calc!$E$993-500)),"yyyy-mm-dd"),"")))</f>
        <v/>
      </c>
      <c r="C991" s="54">
        <f>IF(_calc!$E$993="","",IF(_calc!$E$993&lt;=500,"Warranty","Warranty"))</f>
        <v/>
      </c>
      <c r="D991" s="54">
        <f>IF(_calc!$E$993="","",IF(_calc!$E$993&lt;=500,IF(ISNUMBER(INDEX('Dealer pipeline'!$H$4:$H$503,_calc!$E$993)),TEXT(INDEX('Dealer pipeline'!$H$4:$H$503,_calc!$E$993),"yyyy-mm-dd"),""),IF(ISNUMBER(INDEX('My equipment'!$H$4:$H$503,(_calc!$E$993-500))),TEXT(INDEX('My equipment'!$H$4:$H$503,(_calc!$E$993-500)),"yyyy-mm-dd"),"")))</f>
        <v/>
      </c>
      <c r="F991" s="54">
        <f>IF(_calc!$E$993="","",IF(_calc!$E$993&lt;=500,TRIM(IF(LEN(IF(LEN(INDEX('Dealer pipeline'!$A$4:$A$503,_calc!$E$993))=0,"",INDEX('Dealer pipeline'!$A$4:$A$503,_calc!$E$993)))=0,"","Customer: "&amp;IF(LEN(INDEX('Dealer pipeline'!$A$4:$A$503,_calc!$E$993))=0,"",INDEX('Dealer pipeline'!$A$4:$A$503,_calc!$E$993))&amp;". ")&amp;IF(LEN(IF(LEN(INDEX('Dealer pipeline'!$B$4:$B$503,_calc!$E$993))=0,"",INDEX('Dealer pipeline'!$B$4:$B$503,_calc!$E$993)))=0,"","Contact: "&amp;IF(LEN(INDEX('Dealer pipeline'!$B$4:$B$503,_calc!$E$993))=0,"",INDEX('Dealer pipeline'!$B$4:$B$503,_calc!$E$993))&amp;". ")&amp;IF(LEN(IF(LEN(INDEX('Dealer pipeline'!$D$4:$D$503,_calc!$E$993))=0,"",INDEX('Dealer pipeline'!$D$4:$D$503,_calc!$E$993)))=0,"","Serial: "&amp;IF(LEN(INDEX('Dealer pipeline'!$D$4:$D$503,_calc!$E$993))=0,"",INDEX('Dealer pipeline'!$D$4:$D$503,_calc!$E$993))&amp;". ")&amp;IF(LEN(IF(ISNUMBER(INDEX('Dealer pipeline'!$J$4:$J$503,_calc!$E$993)),TEXT(INDEX('Dealer pipeline'!$J$4:$J$503,_calc!$E$993),"yyyy-mm-dd"),""))=0,"","Parts end: "&amp;IF(ISNUMBER(INDEX('Dealer pipeline'!$J$4:$J$503,_calc!$E$993)),TEXT(INDEX('Dealer pipeline'!$J$4:$J$503,_calc!$E$993),"yyyy-mm-dd"),"")&amp;". ")&amp;IF(LEN(IF(ISNUMBER(INDEX('Dealer pipeline'!$L$4:$L$503,_calc!$E$993)),TEXT(INDEX('Dealer pipeline'!$L$4:$L$503,_calc!$E$993),"yyyy-mm-dd"),""))=0,"","Labor end: "&amp;IF(ISNUMBER(INDEX('Dealer pipeline'!$L$4:$L$503,_calc!$E$993)),TEXT(INDEX('Dealer pipeline'!$L$4:$L$503,_calc!$E$993),"yyyy-mm-dd"),"")&amp;". ")&amp;IF(LEN(IF(LEN(INDEX('Dealer pipeline'!$Q$4:$Q$503,_calc!$E$993))=0,"",INDEX('Dealer pipeline'!$Q$4:$Q$503,_calc!$E$993)))=0,"","Status: "&amp;IF(LEN(INDEX('Dealer pipeline'!$Q$4:$Q$503,_calc!$E$993))=0,"",INDEX('Dealer pipeline'!$Q$4:$Q$503,_calc!$E$993))&amp;". ")&amp;IF(LEN(IF(LEN(INDEX('Dealer pipeline'!$P$4:$P$503,_calc!$E$993))=0,"",INDEX('Dealer pipeline'!$P$4:$P$503,_calc!$E$993)))=0,"","Last touch: "&amp;IF(LEN(INDEX('Dealer pipeline'!$P$4:$P$503,_calc!$E$993))=0,"",INDEX('Dealer pipeline'!$P$4:$P$503,_calc!$E$993))&amp;". ")&amp;IF(LEN(IF(LEN(INDEX('Dealer pipeline'!$R$4:$R$503,_calc!$E$993))=0,"",INDEX('Dealer pipeline'!$R$4:$R$503,_calc!$E$993)))=0,"","Owner: "&amp;IF(LEN(INDEX('Dealer pipeline'!$R$4:$R$503,_calc!$E$993))=0,"",INDEX('Dealer pipeline'!$R$4:$R$503,_calc!$E$993))&amp;". ")&amp;IF(LEN(IF(LEN(INDEX('Dealer pipeline'!$S$4:$S$503,_calc!$E$993))=0,"",INDEX('Dealer pipeline'!$S$4:$S$503,_calc!$E$993)))=0,"","Backup: "&amp;IF(LEN(INDEX('Dealer pipeline'!$S$4:$S$503,_calc!$E$993))=0,"",INDEX('Dealer pipeline'!$S$4:$S$503,_calc!$E$993))&amp;". ")&amp;IF(LEN(IF(LEN(INDEX('Dealer pipeline'!$T$4:$T$503,_calc!$E$993))=0,"",INDEX('Dealer pipeline'!$T$4:$T$503,_calc!$E$993)))=0,"",IF(LEN(INDEX('Dealer pipeline'!$T$4:$T$503,_calc!$E$993))=0,"",INDEX('Dealer pipeline'!$T$4:$T$503,_calc!$E$993)))),TRIM(IF(LEN(IF(LEN(INDEX('My equipment'!$C$4:$C$503,(_calc!$E$993-500)))=0,"",INDEX('My equipment'!$C$4:$C$503,(_calc!$E$993-500))))=0,"","Model: "&amp;IF(LEN(INDEX('My equipment'!$C$4:$C$503,(_calc!$E$993-500)))=0,"",INDEX('My equipment'!$C$4:$C$503,(_calc!$E$993-500)))&amp;". ")&amp;IF(LEN(IF(LEN(INDEX('My equipment'!$D$4:$D$503,(_calc!$E$993-500)))=0,"",INDEX('My equipment'!$D$4:$D$503,(_calc!$E$993-500))))=0,"","Serial: "&amp;IF(LEN(INDEX('My equipment'!$D$4:$D$503,(_calc!$E$993-500)))=0,"",INDEX('My equipment'!$D$4:$D$503,(_calc!$E$993-500)))&amp;". ")&amp;IF(LEN(IF(ISNUMBER(INDEX('My equipment'!$J$4:$J$503,(_calc!$E$993-500))),TEXT(INDEX('My equipment'!$J$4:$J$503,(_calc!$E$993-500)),"yyyy-mm-dd"),""))=0,"","Parts end: "&amp;IF(ISNUMBER(INDEX('My equipment'!$J$4:$J$503,(_calc!$E$993-500))),TEXT(INDEX('My equipment'!$J$4:$J$503,(_calc!$E$993-500)),"yyyy-mm-dd"),"")&amp;". ")&amp;IF(LEN(IF(ISNUMBER(INDEX('My equipment'!$L$4:$L$503,(_calc!$E$993-500))),TEXT(INDEX('My equipment'!$L$4:$L$503,(_calc!$E$993-500)),"yyyy-mm-dd"),""))=0,"","Labor end: "&amp;IF(ISNUMBER(INDEX('My equipment'!$L$4:$L$503,(_calc!$E$993-500))),TEXT(INDEX('My equipment'!$L$4:$L$503,(_calc!$E$993-500)),"yyyy-mm-dd"),"")&amp;". ")&amp;IF(LEN(IF(ISNUMBER(INDEX('My equipment'!$P$4:$P$503,(_calc!$E$993-500))),TEXT(INDEX('My equipment'!$P$4:$P$503,(_calc!$E$993-500)),"yyyy-mm-dd"),""))=0,"","Check by: "&amp;IF(ISNUMBER(INDEX('My equipment'!$P$4:$P$503,(_calc!$E$993-500))),TEXT(INDEX('My equipment'!$P$4:$P$503,(_calc!$E$993-500)),"yyyy-mm-dd"),"")&amp;". ")&amp;IF(LEN(IF(LEN(INDEX('My equipment'!$Q$4:$Q$503,(_calc!$E$993-500)))=0,"",INDEX('My equipment'!$Q$4:$Q$503,(_calc!$E$993-500))))=0,"","Claim status: "&amp;IF(LEN(INDEX('My equipment'!$Q$4:$Q$503,(_calc!$E$993-500)))=0,"",INDEX('My equipment'!$Q$4:$Q$503,(_calc!$E$993-500)))&amp;". ")&amp;IF(LEN(IF(LEN(INDEX('My equipment'!$R$4:$R$503,(_calc!$E$993-500)))=0,"",INDEX('My equipment'!$R$4:$R$503,(_calc!$E$993-500))))=0,"","Claims contact: "&amp;IF(LEN(INDEX('My equipment'!$R$4:$R$503,(_calc!$E$993-500)))=0,"",INDEX('My equipment'!$R$4:$R$503,(_calc!$E$993-500)))&amp;". ")&amp;IF(LEN(IF(LEN(INDEX('My equipment'!$S$4:$S$503,(_calc!$E$993-500)))=0,"",INDEX('My equipment'!$S$4:$S$503,(_calc!$E$993-500))))=0,"","Claims email: "&amp;IF(LEN(INDEX('My equipment'!$S$4:$S$503,(_calc!$E$993-500)))=0,"",INDEX('My equipment'!$S$4:$S$503,(_calc!$E$993-500)))&amp;". ")&amp;IF(LEN(IF(LEN(INDEX('My equipment'!$U$4:$U$503,(_calc!$E$993-500)))=0,"",INDEX('My equipment'!$U$4:$U$503,(_calc!$E$993-500))))=0,"","Registered: "&amp;IF(LEN(INDEX('My equipment'!$U$4:$U$503,(_calc!$E$993-500)))=0,"",INDEX('My equipment'!$U$4:$U$503,(_calc!$E$993-500)))&amp;". ")&amp;IF(LEN(IF(LEN(INDEX('My equipment'!$V$4:$V$503,(_calc!$E$993-500)))=0,"",INDEX('My equipment'!$V$4:$V$503,(_calc!$E$993-500))))=0,"","Proof on file: "&amp;IF(LEN(INDEX('My equipment'!$V$4:$V$503,(_calc!$E$993-500)))=0,"",INDEX('My equipment'!$V$4:$V$503,(_calc!$E$993-500)))&amp;". ")&amp;IF(LEN(IF(LEN(INDEX('My equipment'!$W$4:$W$503,(_calc!$E$993-500)))=0,"",INDEX('My equipment'!$W$4:$W$503,(_calc!$E$993-500))))=0,"","Claim ref: "&amp;IF(LEN(INDEX('My equipment'!$W$4:$W$503,(_calc!$E$993-500)))=0,"",INDEX('My equipment'!$W$4:$W$503,(_calc!$E$993-500)))&amp;". ")&amp;IF(LEN(IF(LEN(INDEX('My equipment'!$Y$4:$Y$503,(_calc!$E$993-500)))=0,"",INDEX('My equipment'!$Y$4:$Y$503,(_calc!$E$993-500))))=0,"",IF(LEN(INDEX('My equipment'!$Y$4:$Y$503,(_calc!$E$993-500)))=0,"",INDEX('My equipment'!$Y$4:$Y$503,(_calc!$E$993-500)))))))</f>
        <v/>
      </c>
      <c r="G991" s="54">
        <f>IF(_calc!$E$993="","",IF(_calc!$E$993&lt;=500,"",IF(LEN(INDEX('My equipment'!$X$4:$X$503,(_calc!$E$993-500)))=0,"",INDEX('My equipment'!$X$4:$X$503,(_calc!$E$993-500)))))</f>
        <v/>
      </c>
      <c r="K991" s="54">
        <f>IF(_calc!$E$993="","",IF(_calc!$E$993&lt;=500,"",IF(LEN(INDEX('My equipment'!$T$4:$T$503,(_calc!$E$993-500)))=0,"",INDEX('My equipment'!$T$4:$T$503,(_calc!$E$993-500)))))</f>
        <v/>
      </c>
    </row>
    <row r="992">
      <c r="A992" s="54">
        <f>IF(_calc!$E$994="","",IF(_calc!$E$994&lt;=500,"Warranty – "&amp;IF(LEN(INDEX('Dealer pipeline'!$C$4:$C$503,_calc!$E$994))=0,"",INDEX('Dealer pipeline'!$C$4:$C$503,_calc!$E$994))&amp;" – "&amp;IF(LEN(INDEX('Dealer pipeline'!$D$4:$D$503,_calc!$E$994))=0,"",INDEX('Dealer pipeline'!$D$4:$D$503,_calc!$E$994))&amp;" – "&amp;IF(LEN(INDEX('Dealer pipeline'!$A$4:$A$503,_calc!$E$994))=0,"",INDEX('Dealer pipeline'!$A$4:$A$503,_calc!$E$994)),"Warranty – "&amp;IF(LEN(INDEX('My equipment'!$A$4:$A$503,(_calc!$E$994-500)))=0,"",INDEX('My equipment'!$A$4:$A$503,(_calc!$E$994-500)))&amp;" – "&amp;IF(LEN(INDEX('My equipment'!$D$4:$D$503,(_calc!$E$994-500)))=0,"",INDEX('My equipment'!$D$4:$D$503,(_calc!$E$994-500)))))</f>
        <v/>
      </c>
      <c r="B992" s="54">
        <f>IF(_calc!$E$994="","",IF(_calc!$E$994&lt;=500,IF(ISNUMBER(INDEX('Dealer pipeline'!$M$4:$M$503,_calc!$E$994)),TEXT(INDEX('Dealer pipeline'!$M$4:$M$503,_calc!$E$994),"yyyy-mm-dd"),""),IF(ISNUMBER(INDEX('My equipment'!$M$4:$M$503,(_calc!$E$994-500))),TEXT(INDEX('My equipment'!$M$4:$M$503,(_calc!$E$994-500)),"yyyy-mm-dd"),"")))</f>
        <v/>
      </c>
      <c r="C992" s="54">
        <f>IF(_calc!$E$994="","",IF(_calc!$E$994&lt;=500,"Warranty","Warranty"))</f>
        <v/>
      </c>
      <c r="D992" s="54">
        <f>IF(_calc!$E$994="","",IF(_calc!$E$994&lt;=500,IF(ISNUMBER(INDEX('Dealer pipeline'!$H$4:$H$503,_calc!$E$994)),TEXT(INDEX('Dealer pipeline'!$H$4:$H$503,_calc!$E$994),"yyyy-mm-dd"),""),IF(ISNUMBER(INDEX('My equipment'!$H$4:$H$503,(_calc!$E$994-500))),TEXT(INDEX('My equipment'!$H$4:$H$503,(_calc!$E$994-500)),"yyyy-mm-dd"),"")))</f>
        <v/>
      </c>
      <c r="F992" s="54">
        <f>IF(_calc!$E$994="","",IF(_calc!$E$994&lt;=500,TRIM(IF(LEN(IF(LEN(INDEX('Dealer pipeline'!$A$4:$A$503,_calc!$E$994))=0,"",INDEX('Dealer pipeline'!$A$4:$A$503,_calc!$E$994)))=0,"","Customer: "&amp;IF(LEN(INDEX('Dealer pipeline'!$A$4:$A$503,_calc!$E$994))=0,"",INDEX('Dealer pipeline'!$A$4:$A$503,_calc!$E$994))&amp;". ")&amp;IF(LEN(IF(LEN(INDEX('Dealer pipeline'!$B$4:$B$503,_calc!$E$994))=0,"",INDEX('Dealer pipeline'!$B$4:$B$503,_calc!$E$994)))=0,"","Contact: "&amp;IF(LEN(INDEX('Dealer pipeline'!$B$4:$B$503,_calc!$E$994))=0,"",INDEX('Dealer pipeline'!$B$4:$B$503,_calc!$E$994))&amp;". ")&amp;IF(LEN(IF(LEN(INDEX('Dealer pipeline'!$D$4:$D$503,_calc!$E$994))=0,"",INDEX('Dealer pipeline'!$D$4:$D$503,_calc!$E$994)))=0,"","Serial: "&amp;IF(LEN(INDEX('Dealer pipeline'!$D$4:$D$503,_calc!$E$994))=0,"",INDEX('Dealer pipeline'!$D$4:$D$503,_calc!$E$994))&amp;". ")&amp;IF(LEN(IF(ISNUMBER(INDEX('Dealer pipeline'!$J$4:$J$503,_calc!$E$994)),TEXT(INDEX('Dealer pipeline'!$J$4:$J$503,_calc!$E$994),"yyyy-mm-dd"),""))=0,"","Parts end: "&amp;IF(ISNUMBER(INDEX('Dealer pipeline'!$J$4:$J$503,_calc!$E$994)),TEXT(INDEX('Dealer pipeline'!$J$4:$J$503,_calc!$E$994),"yyyy-mm-dd"),"")&amp;". ")&amp;IF(LEN(IF(ISNUMBER(INDEX('Dealer pipeline'!$L$4:$L$503,_calc!$E$994)),TEXT(INDEX('Dealer pipeline'!$L$4:$L$503,_calc!$E$994),"yyyy-mm-dd"),""))=0,"","Labor end: "&amp;IF(ISNUMBER(INDEX('Dealer pipeline'!$L$4:$L$503,_calc!$E$994)),TEXT(INDEX('Dealer pipeline'!$L$4:$L$503,_calc!$E$994),"yyyy-mm-dd"),"")&amp;". ")&amp;IF(LEN(IF(LEN(INDEX('Dealer pipeline'!$Q$4:$Q$503,_calc!$E$994))=0,"",INDEX('Dealer pipeline'!$Q$4:$Q$503,_calc!$E$994)))=0,"","Status: "&amp;IF(LEN(INDEX('Dealer pipeline'!$Q$4:$Q$503,_calc!$E$994))=0,"",INDEX('Dealer pipeline'!$Q$4:$Q$503,_calc!$E$994))&amp;". ")&amp;IF(LEN(IF(LEN(INDEX('Dealer pipeline'!$P$4:$P$503,_calc!$E$994))=0,"",INDEX('Dealer pipeline'!$P$4:$P$503,_calc!$E$994)))=0,"","Last touch: "&amp;IF(LEN(INDEX('Dealer pipeline'!$P$4:$P$503,_calc!$E$994))=0,"",INDEX('Dealer pipeline'!$P$4:$P$503,_calc!$E$994))&amp;". ")&amp;IF(LEN(IF(LEN(INDEX('Dealer pipeline'!$R$4:$R$503,_calc!$E$994))=0,"",INDEX('Dealer pipeline'!$R$4:$R$503,_calc!$E$994)))=0,"","Owner: "&amp;IF(LEN(INDEX('Dealer pipeline'!$R$4:$R$503,_calc!$E$994))=0,"",INDEX('Dealer pipeline'!$R$4:$R$503,_calc!$E$994))&amp;". ")&amp;IF(LEN(IF(LEN(INDEX('Dealer pipeline'!$S$4:$S$503,_calc!$E$994))=0,"",INDEX('Dealer pipeline'!$S$4:$S$503,_calc!$E$994)))=0,"","Backup: "&amp;IF(LEN(INDEX('Dealer pipeline'!$S$4:$S$503,_calc!$E$994))=0,"",INDEX('Dealer pipeline'!$S$4:$S$503,_calc!$E$994))&amp;". ")&amp;IF(LEN(IF(LEN(INDEX('Dealer pipeline'!$T$4:$T$503,_calc!$E$994))=0,"",INDEX('Dealer pipeline'!$T$4:$T$503,_calc!$E$994)))=0,"",IF(LEN(INDEX('Dealer pipeline'!$T$4:$T$503,_calc!$E$994))=0,"",INDEX('Dealer pipeline'!$T$4:$T$503,_calc!$E$994)))),TRIM(IF(LEN(IF(LEN(INDEX('My equipment'!$C$4:$C$503,(_calc!$E$994-500)))=0,"",INDEX('My equipment'!$C$4:$C$503,(_calc!$E$994-500))))=0,"","Model: "&amp;IF(LEN(INDEX('My equipment'!$C$4:$C$503,(_calc!$E$994-500)))=0,"",INDEX('My equipment'!$C$4:$C$503,(_calc!$E$994-500)))&amp;". ")&amp;IF(LEN(IF(LEN(INDEX('My equipment'!$D$4:$D$503,(_calc!$E$994-500)))=0,"",INDEX('My equipment'!$D$4:$D$503,(_calc!$E$994-500))))=0,"","Serial: "&amp;IF(LEN(INDEX('My equipment'!$D$4:$D$503,(_calc!$E$994-500)))=0,"",INDEX('My equipment'!$D$4:$D$503,(_calc!$E$994-500)))&amp;". ")&amp;IF(LEN(IF(ISNUMBER(INDEX('My equipment'!$J$4:$J$503,(_calc!$E$994-500))),TEXT(INDEX('My equipment'!$J$4:$J$503,(_calc!$E$994-500)),"yyyy-mm-dd"),""))=0,"","Parts end: "&amp;IF(ISNUMBER(INDEX('My equipment'!$J$4:$J$503,(_calc!$E$994-500))),TEXT(INDEX('My equipment'!$J$4:$J$503,(_calc!$E$994-500)),"yyyy-mm-dd"),"")&amp;". ")&amp;IF(LEN(IF(ISNUMBER(INDEX('My equipment'!$L$4:$L$503,(_calc!$E$994-500))),TEXT(INDEX('My equipment'!$L$4:$L$503,(_calc!$E$994-500)),"yyyy-mm-dd"),""))=0,"","Labor end: "&amp;IF(ISNUMBER(INDEX('My equipment'!$L$4:$L$503,(_calc!$E$994-500))),TEXT(INDEX('My equipment'!$L$4:$L$503,(_calc!$E$994-500)),"yyyy-mm-dd"),"")&amp;". ")&amp;IF(LEN(IF(ISNUMBER(INDEX('My equipment'!$P$4:$P$503,(_calc!$E$994-500))),TEXT(INDEX('My equipment'!$P$4:$P$503,(_calc!$E$994-500)),"yyyy-mm-dd"),""))=0,"","Check by: "&amp;IF(ISNUMBER(INDEX('My equipment'!$P$4:$P$503,(_calc!$E$994-500))),TEXT(INDEX('My equipment'!$P$4:$P$503,(_calc!$E$994-500)),"yyyy-mm-dd"),"")&amp;". ")&amp;IF(LEN(IF(LEN(INDEX('My equipment'!$Q$4:$Q$503,(_calc!$E$994-500)))=0,"",INDEX('My equipment'!$Q$4:$Q$503,(_calc!$E$994-500))))=0,"","Claim status: "&amp;IF(LEN(INDEX('My equipment'!$Q$4:$Q$503,(_calc!$E$994-500)))=0,"",INDEX('My equipment'!$Q$4:$Q$503,(_calc!$E$994-500)))&amp;". ")&amp;IF(LEN(IF(LEN(INDEX('My equipment'!$R$4:$R$503,(_calc!$E$994-500)))=0,"",INDEX('My equipment'!$R$4:$R$503,(_calc!$E$994-500))))=0,"","Claims contact: "&amp;IF(LEN(INDEX('My equipment'!$R$4:$R$503,(_calc!$E$994-500)))=0,"",INDEX('My equipment'!$R$4:$R$503,(_calc!$E$994-500)))&amp;". ")&amp;IF(LEN(IF(LEN(INDEX('My equipment'!$S$4:$S$503,(_calc!$E$994-500)))=0,"",INDEX('My equipment'!$S$4:$S$503,(_calc!$E$994-500))))=0,"","Claims email: "&amp;IF(LEN(INDEX('My equipment'!$S$4:$S$503,(_calc!$E$994-500)))=0,"",INDEX('My equipment'!$S$4:$S$503,(_calc!$E$994-500)))&amp;". ")&amp;IF(LEN(IF(LEN(INDEX('My equipment'!$U$4:$U$503,(_calc!$E$994-500)))=0,"",INDEX('My equipment'!$U$4:$U$503,(_calc!$E$994-500))))=0,"","Registered: "&amp;IF(LEN(INDEX('My equipment'!$U$4:$U$503,(_calc!$E$994-500)))=0,"",INDEX('My equipment'!$U$4:$U$503,(_calc!$E$994-500)))&amp;". ")&amp;IF(LEN(IF(LEN(INDEX('My equipment'!$V$4:$V$503,(_calc!$E$994-500)))=0,"",INDEX('My equipment'!$V$4:$V$503,(_calc!$E$994-500))))=0,"","Proof on file: "&amp;IF(LEN(INDEX('My equipment'!$V$4:$V$503,(_calc!$E$994-500)))=0,"",INDEX('My equipment'!$V$4:$V$503,(_calc!$E$994-500)))&amp;". ")&amp;IF(LEN(IF(LEN(INDEX('My equipment'!$W$4:$W$503,(_calc!$E$994-500)))=0,"",INDEX('My equipment'!$W$4:$W$503,(_calc!$E$994-500))))=0,"","Claim ref: "&amp;IF(LEN(INDEX('My equipment'!$W$4:$W$503,(_calc!$E$994-500)))=0,"",INDEX('My equipment'!$W$4:$W$503,(_calc!$E$994-500)))&amp;". ")&amp;IF(LEN(IF(LEN(INDEX('My equipment'!$Y$4:$Y$503,(_calc!$E$994-500)))=0,"",INDEX('My equipment'!$Y$4:$Y$503,(_calc!$E$994-500))))=0,"",IF(LEN(INDEX('My equipment'!$Y$4:$Y$503,(_calc!$E$994-500)))=0,"",INDEX('My equipment'!$Y$4:$Y$503,(_calc!$E$994-500)))))))</f>
        <v/>
      </c>
      <c r="G992" s="54">
        <f>IF(_calc!$E$994="","",IF(_calc!$E$994&lt;=500,"",IF(LEN(INDEX('My equipment'!$X$4:$X$503,(_calc!$E$994-500)))=0,"",INDEX('My equipment'!$X$4:$X$503,(_calc!$E$994-500)))))</f>
        <v/>
      </c>
      <c r="K992" s="54">
        <f>IF(_calc!$E$994="","",IF(_calc!$E$994&lt;=500,"",IF(LEN(INDEX('My equipment'!$T$4:$T$503,(_calc!$E$994-500)))=0,"",INDEX('My equipment'!$T$4:$T$503,(_calc!$E$994-500)))))</f>
        <v/>
      </c>
    </row>
    <row r="993">
      <c r="A993" s="54">
        <f>IF(_calc!$E$995="","",IF(_calc!$E$995&lt;=500,"Warranty – "&amp;IF(LEN(INDEX('Dealer pipeline'!$C$4:$C$503,_calc!$E$995))=0,"",INDEX('Dealer pipeline'!$C$4:$C$503,_calc!$E$995))&amp;" – "&amp;IF(LEN(INDEX('Dealer pipeline'!$D$4:$D$503,_calc!$E$995))=0,"",INDEX('Dealer pipeline'!$D$4:$D$503,_calc!$E$995))&amp;" – "&amp;IF(LEN(INDEX('Dealer pipeline'!$A$4:$A$503,_calc!$E$995))=0,"",INDEX('Dealer pipeline'!$A$4:$A$503,_calc!$E$995)),"Warranty – "&amp;IF(LEN(INDEX('My equipment'!$A$4:$A$503,(_calc!$E$995-500)))=0,"",INDEX('My equipment'!$A$4:$A$503,(_calc!$E$995-500)))&amp;" – "&amp;IF(LEN(INDEX('My equipment'!$D$4:$D$503,(_calc!$E$995-500)))=0,"",INDEX('My equipment'!$D$4:$D$503,(_calc!$E$995-500)))))</f>
        <v/>
      </c>
      <c r="B993" s="54">
        <f>IF(_calc!$E$995="","",IF(_calc!$E$995&lt;=500,IF(ISNUMBER(INDEX('Dealer pipeline'!$M$4:$M$503,_calc!$E$995)),TEXT(INDEX('Dealer pipeline'!$M$4:$M$503,_calc!$E$995),"yyyy-mm-dd"),""),IF(ISNUMBER(INDEX('My equipment'!$M$4:$M$503,(_calc!$E$995-500))),TEXT(INDEX('My equipment'!$M$4:$M$503,(_calc!$E$995-500)),"yyyy-mm-dd"),"")))</f>
        <v/>
      </c>
      <c r="C993" s="54">
        <f>IF(_calc!$E$995="","",IF(_calc!$E$995&lt;=500,"Warranty","Warranty"))</f>
        <v/>
      </c>
      <c r="D993" s="54">
        <f>IF(_calc!$E$995="","",IF(_calc!$E$995&lt;=500,IF(ISNUMBER(INDEX('Dealer pipeline'!$H$4:$H$503,_calc!$E$995)),TEXT(INDEX('Dealer pipeline'!$H$4:$H$503,_calc!$E$995),"yyyy-mm-dd"),""),IF(ISNUMBER(INDEX('My equipment'!$H$4:$H$503,(_calc!$E$995-500))),TEXT(INDEX('My equipment'!$H$4:$H$503,(_calc!$E$995-500)),"yyyy-mm-dd"),"")))</f>
        <v/>
      </c>
      <c r="F993" s="54">
        <f>IF(_calc!$E$995="","",IF(_calc!$E$995&lt;=500,TRIM(IF(LEN(IF(LEN(INDEX('Dealer pipeline'!$A$4:$A$503,_calc!$E$995))=0,"",INDEX('Dealer pipeline'!$A$4:$A$503,_calc!$E$995)))=0,"","Customer: "&amp;IF(LEN(INDEX('Dealer pipeline'!$A$4:$A$503,_calc!$E$995))=0,"",INDEX('Dealer pipeline'!$A$4:$A$503,_calc!$E$995))&amp;". ")&amp;IF(LEN(IF(LEN(INDEX('Dealer pipeline'!$B$4:$B$503,_calc!$E$995))=0,"",INDEX('Dealer pipeline'!$B$4:$B$503,_calc!$E$995)))=0,"","Contact: "&amp;IF(LEN(INDEX('Dealer pipeline'!$B$4:$B$503,_calc!$E$995))=0,"",INDEX('Dealer pipeline'!$B$4:$B$503,_calc!$E$995))&amp;". ")&amp;IF(LEN(IF(LEN(INDEX('Dealer pipeline'!$D$4:$D$503,_calc!$E$995))=0,"",INDEX('Dealer pipeline'!$D$4:$D$503,_calc!$E$995)))=0,"","Serial: "&amp;IF(LEN(INDEX('Dealer pipeline'!$D$4:$D$503,_calc!$E$995))=0,"",INDEX('Dealer pipeline'!$D$4:$D$503,_calc!$E$995))&amp;". ")&amp;IF(LEN(IF(ISNUMBER(INDEX('Dealer pipeline'!$J$4:$J$503,_calc!$E$995)),TEXT(INDEX('Dealer pipeline'!$J$4:$J$503,_calc!$E$995),"yyyy-mm-dd"),""))=0,"","Parts end: "&amp;IF(ISNUMBER(INDEX('Dealer pipeline'!$J$4:$J$503,_calc!$E$995)),TEXT(INDEX('Dealer pipeline'!$J$4:$J$503,_calc!$E$995),"yyyy-mm-dd"),"")&amp;". ")&amp;IF(LEN(IF(ISNUMBER(INDEX('Dealer pipeline'!$L$4:$L$503,_calc!$E$995)),TEXT(INDEX('Dealer pipeline'!$L$4:$L$503,_calc!$E$995),"yyyy-mm-dd"),""))=0,"","Labor end: "&amp;IF(ISNUMBER(INDEX('Dealer pipeline'!$L$4:$L$503,_calc!$E$995)),TEXT(INDEX('Dealer pipeline'!$L$4:$L$503,_calc!$E$995),"yyyy-mm-dd"),"")&amp;". ")&amp;IF(LEN(IF(LEN(INDEX('Dealer pipeline'!$Q$4:$Q$503,_calc!$E$995))=0,"",INDEX('Dealer pipeline'!$Q$4:$Q$503,_calc!$E$995)))=0,"","Status: "&amp;IF(LEN(INDEX('Dealer pipeline'!$Q$4:$Q$503,_calc!$E$995))=0,"",INDEX('Dealer pipeline'!$Q$4:$Q$503,_calc!$E$995))&amp;". ")&amp;IF(LEN(IF(LEN(INDEX('Dealer pipeline'!$P$4:$P$503,_calc!$E$995))=0,"",INDEX('Dealer pipeline'!$P$4:$P$503,_calc!$E$995)))=0,"","Last touch: "&amp;IF(LEN(INDEX('Dealer pipeline'!$P$4:$P$503,_calc!$E$995))=0,"",INDEX('Dealer pipeline'!$P$4:$P$503,_calc!$E$995))&amp;". ")&amp;IF(LEN(IF(LEN(INDEX('Dealer pipeline'!$R$4:$R$503,_calc!$E$995))=0,"",INDEX('Dealer pipeline'!$R$4:$R$503,_calc!$E$995)))=0,"","Owner: "&amp;IF(LEN(INDEX('Dealer pipeline'!$R$4:$R$503,_calc!$E$995))=0,"",INDEX('Dealer pipeline'!$R$4:$R$503,_calc!$E$995))&amp;". ")&amp;IF(LEN(IF(LEN(INDEX('Dealer pipeline'!$S$4:$S$503,_calc!$E$995))=0,"",INDEX('Dealer pipeline'!$S$4:$S$503,_calc!$E$995)))=0,"","Backup: "&amp;IF(LEN(INDEX('Dealer pipeline'!$S$4:$S$503,_calc!$E$995))=0,"",INDEX('Dealer pipeline'!$S$4:$S$503,_calc!$E$995))&amp;". ")&amp;IF(LEN(IF(LEN(INDEX('Dealer pipeline'!$T$4:$T$503,_calc!$E$995))=0,"",INDEX('Dealer pipeline'!$T$4:$T$503,_calc!$E$995)))=0,"",IF(LEN(INDEX('Dealer pipeline'!$T$4:$T$503,_calc!$E$995))=0,"",INDEX('Dealer pipeline'!$T$4:$T$503,_calc!$E$995)))),TRIM(IF(LEN(IF(LEN(INDEX('My equipment'!$C$4:$C$503,(_calc!$E$995-500)))=0,"",INDEX('My equipment'!$C$4:$C$503,(_calc!$E$995-500))))=0,"","Model: "&amp;IF(LEN(INDEX('My equipment'!$C$4:$C$503,(_calc!$E$995-500)))=0,"",INDEX('My equipment'!$C$4:$C$503,(_calc!$E$995-500)))&amp;". ")&amp;IF(LEN(IF(LEN(INDEX('My equipment'!$D$4:$D$503,(_calc!$E$995-500)))=0,"",INDEX('My equipment'!$D$4:$D$503,(_calc!$E$995-500))))=0,"","Serial: "&amp;IF(LEN(INDEX('My equipment'!$D$4:$D$503,(_calc!$E$995-500)))=0,"",INDEX('My equipment'!$D$4:$D$503,(_calc!$E$995-500)))&amp;". ")&amp;IF(LEN(IF(ISNUMBER(INDEX('My equipment'!$J$4:$J$503,(_calc!$E$995-500))),TEXT(INDEX('My equipment'!$J$4:$J$503,(_calc!$E$995-500)),"yyyy-mm-dd"),""))=0,"","Parts end: "&amp;IF(ISNUMBER(INDEX('My equipment'!$J$4:$J$503,(_calc!$E$995-500))),TEXT(INDEX('My equipment'!$J$4:$J$503,(_calc!$E$995-500)),"yyyy-mm-dd"),"")&amp;". ")&amp;IF(LEN(IF(ISNUMBER(INDEX('My equipment'!$L$4:$L$503,(_calc!$E$995-500))),TEXT(INDEX('My equipment'!$L$4:$L$503,(_calc!$E$995-500)),"yyyy-mm-dd"),""))=0,"","Labor end: "&amp;IF(ISNUMBER(INDEX('My equipment'!$L$4:$L$503,(_calc!$E$995-500))),TEXT(INDEX('My equipment'!$L$4:$L$503,(_calc!$E$995-500)),"yyyy-mm-dd"),"")&amp;". ")&amp;IF(LEN(IF(ISNUMBER(INDEX('My equipment'!$P$4:$P$503,(_calc!$E$995-500))),TEXT(INDEX('My equipment'!$P$4:$P$503,(_calc!$E$995-500)),"yyyy-mm-dd"),""))=0,"","Check by: "&amp;IF(ISNUMBER(INDEX('My equipment'!$P$4:$P$503,(_calc!$E$995-500))),TEXT(INDEX('My equipment'!$P$4:$P$503,(_calc!$E$995-500)),"yyyy-mm-dd"),"")&amp;". ")&amp;IF(LEN(IF(LEN(INDEX('My equipment'!$Q$4:$Q$503,(_calc!$E$995-500)))=0,"",INDEX('My equipment'!$Q$4:$Q$503,(_calc!$E$995-500))))=0,"","Claim status: "&amp;IF(LEN(INDEX('My equipment'!$Q$4:$Q$503,(_calc!$E$995-500)))=0,"",INDEX('My equipment'!$Q$4:$Q$503,(_calc!$E$995-500)))&amp;". ")&amp;IF(LEN(IF(LEN(INDEX('My equipment'!$R$4:$R$503,(_calc!$E$995-500)))=0,"",INDEX('My equipment'!$R$4:$R$503,(_calc!$E$995-500))))=0,"","Claims contact: "&amp;IF(LEN(INDEX('My equipment'!$R$4:$R$503,(_calc!$E$995-500)))=0,"",INDEX('My equipment'!$R$4:$R$503,(_calc!$E$995-500)))&amp;". ")&amp;IF(LEN(IF(LEN(INDEX('My equipment'!$S$4:$S$503,(_calc!$E$995-500)))=0,"",INDEX('My equipment'!$S$4:$S$503,(_calc!$E$995-500))))=0,"","Claims email: "&amp;IF(LEN(INDEX('My equipment'!$S$4:$S$503,(_calc!$E$995-500)))=0,"",INDEX('My equipment'!$S$4:$S$503,(_calc!$E$995-500)))&amp;". ")&amp;IF(LEN(IF(LEN(INDEX('My equipment'!$U$4:$U$503,(_calc!$E$995-500)))=0,"",INDEX('My equipment'!$U$4:$U$503,(_calc!$E$995-500))))=0,"","Registered: "&amp;IF(LEN(INDEX('My equipment'!$U$4:$U$503,(_calc!$E$995-500)))=0,"",INDEX('My equipment'!$U$4:$U$503,(_calc!$E$995-500)))&amp;". ")&amp;IF(LEN(IF(LEN(INDEX('My equipment'!$V$4:$V$503,(_calc!$E$995-500)))=0,"",INDEX('My equipment'!$V$4:$V$503,(_calc!$E$995-500))))=0,"","Proof on file: "&amp;IF(LEN(INDEX('My equipment'!$V$4:$V$503,(_calc!$E$995-500)))=0,"",INDEX('My equipment'!$V$4:$V$503,(_calc!$E$995-500)))&amp;". ")&amp;IF(LEN(IF(LEN(INDEX('My equipment'!$W$4:$W$503,(_calc!$E$995-500)))=0,"",INDEX('My equipment'!$W$4:$W$503,(_calc!$E$995-500))))=0,"","Claim ref: "&amp;IF(LEN(INDEX('My equipment'!$W$4:$W$503,(_calc!$E$995-500)))=0,"",INDEX('My equipment'!$W$4:$W$503,(_calc!$E$995-500)))&amp;". ")&amp;IF(LEN(IF(LEN(INDEX('My equipment'!$Y$4:$Y$503,(_calc!$E$995-500)))=0,"",INDEX('My equipment'!$Y$4:$Y$503,(_calc!$E$995-500))))=0,"",IF(LEN(INDEX('My equipment'!$Y$4:$Y$503,(_calc!$E$995-500)))=0,"",INDEX('My equipment'!$Y$4:$Y$503,(_calc!$E$995-500)))))))</f>
        <v/>
      </c>
      <c r="G993" s="54">
        <f>IF(_calc!$E$995="","",IF(_calc!$E$995&lt;=500,"",IF(LEN(INDEX('My equipment'!$X$4:$X$503,(_calc!$E$995-500)))=0,"",INDEX('My equipment'!$X$4:$X$503,(_calc!$E$995-500)))))</f>
        <v/>
      </c>
      <c r="K993" s="54">
        <f>IF(_calc!$E$995="","",IF(_calc!$E$995&lt;=500,"",IF(LEN(INDEX('My equipment'!$T$4:$T$503,(_calc!$E$995-500)))=0,"",INDEX('My equipment'!$T$4:$T$503,(_calc!$E$995-500)))))</f>
        <v/>
      </c>
    </row>
    <row r="994">
      <c r="A994" s="54">
        <f>IF(_calc!$E$996="","",IF(_calc!$E$996&lt;=500,"Warranty – "&amp;IF(LEN(INDEX('Dealer pipeline'!$C$4:$C$503,_calc!$E$996))=0,"",INDEX('Dealer pipeline'!$C$4:$C$503,_calc!$E$996))&amp;" – "&amp;IF(LEN(INDEX('Dealer pipeline'!$D$4:$D$503,_calc!$E$996))=0,"",INDEX('Dealer pipeline'!$D$4:$D$503,_calc!$E$996))&amp;" – "&amp;IF(LEN(INDEX('Dealer pipeline'!$A$4:$A$503,_calc!$E$996))=0,"",INDEX('Dealer pipeline'!$A$4:$A$503,_calc!$E$996)),"Warranty – "&amp;IF(LEN(INDEX('My equipment'!$A$4:$A$503,(_calc!$E$996-500)))=0,"",INDEX('My equipment'!$A$4:$A$503,(_calc!$E$996-500)))&amp;" – "&amp;IF(LEN(INDEX('My equipment'!$D$4:$D$503,(_calc!$E$996-500)))=0,"",INDEX('My equipment'!$D$4:$D$503,(_calc!$E$996-500)))))</f>
        <v/>
      </c>
      <c r="B994" s="54">
        <f>IF(_calc!$E$996="","",IF(_calc!$E$996&lt;=500,IF(ISNUMBER(INDEX('Dealer pipeline'!$M$4:$M$503,_calc!$E$996)),TEXT(INDEX('Dealer pipeline'!$M$4:$M$503,_calc!$E$996),"yyyy-mm-dd"),""),IF(ISNUMBER(INDEX('My equipment'!$M$4:$M$503,(_calc!$E$996-500))),TEXT(INDEX('My equipment'!$M$4:$M$503,(_calc!$E$996-500)),"yyyy-mm-dd"),"")))</f>
        <v/>
      </c>
      <c r="C994" s="54">
        <f>IF(_calc!$E$996="","",IF(_calc!$E$996&lt;=500,"Warranty","Warranty"))</f>
        <v/>
      </c>
      <c r="D994" s="54">
        <f>IF(_calc!$E$996="","",IF(_calc!$E$996&lt;=500,IF(ISNUMBER(INDEX('Dealer pipeline'!$H$4:$H$503,_calc!$E$996)),TEXT(INDEX('Dealer pipeline'!$H$4:$H$503,_calc!$E$996),"yyyy-mm-dd"),""),IF(ISNUMBER(INDEX('My equipment'!$H$4:$H$503,(_calc!$E$996-500))),TEXT(INDEX('My equipment'!$H$4:$H$503,(_calc!$E$996-500)),"yyyy-mm-dd"),"")))</f>
        <v/>
      </c>
      <c r="F994" s="54">
        <f>IF(_calc!$E$996="","",IF(_calc!$E$996&lt;=500,TRIM(IF(LEN(IF(LEN(INDEX('Dealer pipeline'!$A$4:$A$503,_calc!$E$996))=0,"",INDEX('Dealer pipeline'!$A$4:$A$503,_calc!$E$996)))=0,"","Customer: "&amp;IF(LEN(INDEX('Dealer pipeline'!$A$4:$A$503,_calc!$E$996))=0,"",INDEX('Dealer pipeline'!$A$4:$A$503,_calc!$E$996))&amp;". ")&amp;IF(LEN(IF(LEN(INDEX('Dealer pipeline'!$B$4:$B$503,_calc!$E$996))=0,"",INDEX('Dealer pipeline'!$B$4:$B$503,_calc!$E$996)))=0,"","Contact: "&amp;IF(LEN(INDEX('Dealer pipeline'!$B$4:$B$503,_calc!$E$996))=0,"",INDEX('Dealer pipeline'!$B$4:$B$503,_calc!$E$996))&amp;". ")&amp;IF(LEN(IF(LEN(INDEX('Dealer pipeline'!$D$4:$D$503,_calc!$E$996))=0,"",INDEX('Dealer pipeline'!$D$4:$D$503,_calc!$E$996)))=0,"","Serial: "&amp;IF(LEN(INDEX('Dealer pipeline'!$D$4:$D$503,_calc!$E$996))=0,"",INDEX('Dealer pipeline'!$D$4:$D$503,_calc!$E$996))&amp;". ")&amp;IF(LEN(IF(ISNUMBER(INDEX('Dealer pipeline'!$J$4:$J$503,_calc!$E$996)),TEXT(INDEX('Dealer pipeline'!$J$4:$J$503,_calc!$E$996),"yyyy-mm-dd"),""))=0,"","Parts end: "&amp;IF(ISNUMBER(INDEX('Dealer pipeline'!$J$4:$J$503,_calc!$E$996)),TEXT(INDEX('Dealer pipeline'!$J$4:$J$503,_calc!$E$996),"yyyy-mm-dd"),"")&amp;". ")&amp;IF(LEN(IF(ISNUMBER(INDEX('Dealer pipeline'!$L$4:$L$503,_calc!$E$996)),TEXT(INDEX('Dealer pipeline'!$L$4:$L$503,_calc!$E$996),"yyyy-mm-dd"),""))=0,"","Labor end: "&amp;IF(ISNUMBER(INDEX('Dealer pipeline'!$L$4:$L$503,_calc!$E$996)),TEXT(INDEX('Dealer pipeline'!$L$4:$L$503,_calc!$E$996),"yyyy-mm-dd"),"")&amp;". ")&amp;IF(LEN(IF(LEN(INDEX('Dealer pipeline'!$Q$4:$Q$503,_calc!$E$996))=0,"",INDEX('Dealer pipeline'!$Q$4:$Q$503,_calc!$E$996)))=0,"","Status: "&amp;IF(LEN(INDEX('Dealer pipeline'!$Q$4:$Q$503,_calc!$E$996))=0,"",INDEX('Dealer pipeline'!$Q$4:$Q$503,_calc!$E$996))&amp;". ")&amp;IF(LEN(IF(LEN(INDEX('Dealer pipeline'!$P$4:$P$503,_calc!$E$996))=0,"",INDEX('Dealer pipeline'!$P$4:$P$503,_calc!$E$996)))=0,"","Last touch: "&amp;IF(LEN(INDEX('Dealer pipeline'!$P$4:$P$503,_calc!$E$996))=0,"",INDEX('Dealer pipeline'!$P$4:$P$503,_calc!$E$996))&amp;". ")&amp;IF(LEN(IF(LEN(INDEX('Dealer pipeline'!$R$4:$R$503,_calc!$E$996))=0,"",INDEX('Dealer pipeline'!$R$4:$R$503,_calc!$E$996)))=0,"","Owner: "&amp;IF(LEN(INDEX('Dealer pipeline'!$R$4:$R$503,_calc!$E$996))=0,"",INDEX('Dealer pipeline'!$R$4:$R$503,_calc!$E$996))&amp;". ")&amp;IF(LEN(IF(LEN(INDEX('Dealer pipeline'!$S$4:$S$503,_calc!$E$996))=0,"",INDEX('Dealer pipeline'!$S$4:$S$503,_calc!$E$996)))=0,"","Backup: "&amp;IF(LEN(INDEX('Dealer pipeline'!$S$4:$S$503,_calc!$E$996))=0,"",INDEX('Dealer pipeline'!$S$4:$S$503,_calc!$E$996))&amp;". ")&amp;IF(LEN(IF(LEN(INDEX('Dealer pipeline'!$T$4:$T$503,_calc!$E$996))=0,"",INDEX('Dealer pipeline'!$T$4:$T$503,_calc!$E$996)))=0,"",IF(LEN(INDEX('Dealer pipeline'!$T$4:$T$503,_calc!$E$996))=0,"",INDEX('Dealer pipeline'!$T$4:$T$503,_calc!$E$996)))),TRIM(IF(LEN(IF(LEN(INDEX('My equipment'!$C$4:$C$503,(_calc!$E$996-500)))=0,"",INDEX('My equipment'!$C$4:$C$503,(_calc!$E$996-500))))=0,"","Model: "&amp;IF(LEN(INDEX('My equipment'!$C$4:$C$503,(_calc!$E$996-500)))=0,"",INDEX('My equipment'!$C$4:$C$503,(_calc!$E$996-500)))&amp;". ")&amp;IF(LEN(IF(LEN(INDEX('My equipment'!$D$4:$D$503,(_calc!$E$996-500)))=0,"",INDEX('My equipment'!$D$4:$D$503,(_calc!$E$996-500))))=0,"","Serial: "&amp;IF(LEN(INDEX('My equipment'!$D$4:$D$503,(_calc!$E$996-500)))=0,"",INDEX('My equipment'!$D$4:$D$503,(_calc!$E$996-500)))&amp;". ")&amp;IF(LEN(IF(ISNUMBER(INDEX('My equipment'!$J$4:$J$503,(_calc!$E$996-500))),TEXT(INDEX('My equipment'!$J$4:$J$503,(_calc!$E$996-500)),"yyyy-mm-dd"),""))=0,"","Parts end: "&amp;IF(ISNUMBER(INDEX('My equipment'!$J$4:$J$503,(_calc!$E$996-500))),TEXT(INDEX('My equipment'!$J$4:$J$503,(_calc!$E$996-500)),"yyyy-mm-dd"),"")&amp;". ")&amp;IF(LEN(IF(ISNUMBER(INDEX('My equipment'!$L$4:$L$503,(_calc!$E$996-500))),TEXT(INDEX('My equipment'!$L$4:$L$503,(_calc!$E$996-500)),"yyyy-mm-dd"),""))=0,"","Labor end: "&amp;IF(ISNUMBER(INDEX('My equipment'!$L$4:$L$503,(_calc!$E$996-500))),TEXT(INDEX('My equipment'!$L$4:$L$503,(_calc!$E$996-500)),"yyyy-mm-dd"),"")&amp;". ")&amp;IF(LEN(IF(ISNUMBER(INDEX('My equipment'!$P$4:$P$503,(_calc!$E$996-500))),TEXT(INDEX('My equipment'!$P$4:$P$503,(_calc!$E$996-500)),"yyyy-mm-dd"),""))=0,"","Check by: "&amp;IF(ISNUMBER(INDEX('My equipment'!$P$4:$P$503,(_calc!$E$996-500))),TEXT(INDEX('My equipment'!$P$4:$P$503,(_calc!$E$996-500)),"yyyy-mm-dd"),"")&amp;". ")&amp;IF(LEN(IF(LEN(INDEX('My equipment'!$Q$4:$Q$503,(_calc!$E$996-500)))=0,"",INDEX('My equipment'!$Q$4:$Q$503,(_calc!$E$996-500))))=0,"","Claim status: "&amp;IF(LEN(INDEX('My equipment'!$Q$4:$Q$503,(_calc!$E$996-500)))=0,"",INDEX('My equipment'!$Q$4:$Q$503,(_calc!$E$996-500)))&amp;". ")&amp;IF(LEN(IF(LEN(INDEX('My equipment'!$R$4:$R$503,(_calc!$E$996-500)))=0,"",INDEX('My equipment'!$R$4:$R$503,(_calc!$E$996-500))))=0,"","Claims contact: "&amp;IF(LEN(INDEX('My equipment'!$R$4:$R$503,(_calc!$E$996-500)))=0,"",INDEX('My equipment'!$R$4:$R$503,(_calc!$E$996-500)))&amp;". ")&amp;IF(LEN(IF(LEN(INDEX('My equipment'!$S$4:$S$503,(_calc!$E$996-500)))=0,"",INDEX('My equipment'!$S$4:$S$503,(_calc!$E$996-500))))=0,"","Claims email: "&amp;IF(LEN(INDEX('My equipment'!$S$4:$S$503,(_calc!$E$996-500)))=0,"",INDEX('My equipment'!$S$4:$S$503,(_calc!$E$996-500)))&amp;". ")&amp;IF(LEN(IF(LEN(INDEX('My equipment'!$U$4:$U$503,(_calc!$E$996-500)))=0,"",INDEX('My equipment'!$U$4:$U$503,(_calc!$E$996-500))))=0,"","Registered: "&amp;IF(LEN(INDEX('My equipment'!$U$4:$U$503,(_calc!$E$996-500)))=0,"",INDEX('My equipment'!$U$4:$U$503,(_calc!$E$996-500)))&amp;". ")&amp;IF(LEN(IF(LEN(INDEX('My equipment'!$V$4:$V$503,(_calc!$E$996-500)))=0,"",INDEX('My equipment'!$V$4:$V$503,(_calc!$E$996-500))))=0,"","Proof on file: "&amp;IF(LEN(INDEX('My equipment'!$V$4:$V$503,(_calc!$E$996-500)))=0,"",INDEX('My equipment'!$V$4:$V$503,(_calc!$E$996-500)))&amp;". ")&amp;IF(LEN(IF(LEN(INDEX('My equipment'!$W$4:$W$503,(_calc!$E$996-500)))=0,"",INDEX('My equipment'!$W$4:$W$503,(_calc!$E$996-500))))=0,"","Claim ref: "&amp;IF(LEN(INDEX('My equipment'!$W$4:$W$503,(_calc!$E$996-500)))=0,"",INDEX('My equipment'!$W$4:$W$503,(_calc!$E$996-500)))&amp;". ")&amp;IF(LEN(IF(LEN(INDEX('My equipment'!$Y$4:$Y$503,(_calc!$E$996-500)))=0,"",INDEX('My equipment'!$Y$4:$Y$503,(_calc!$E$996-500))))=0,"",IF(LEN(INDEX('My equipment'!$Y$4:$Y$503,(_calc!$E$996-500)))=0,"",INDEX('My equipment'!$Y$4:$Y$503,(_calc!$E$996-500)))))))</f>
        <v/>
      </c>
      <c r="G994" s="54">
        <f>IF(_calc!$E$996="","",IF(_calc!$E$996&lt;=500,"",IF(LEN(INDEX('My equipment'!$X$4:$X$503,(_calc!$E$996-500)))=0,"",INDEX('My equipment'!$X$4:$X$503,(_calc!$E$996-500)))))</f>
        <v/>
      </c>
      <c r="K994" s="54">
        <f>IF(_calc!$E$996="","",IF(_calc!$E$996&lt;=500,"",IF(LEN(INDEX('My equipment'!$T$4:$T$503,(_calc!$E$996-500)))=0,"",INDEX('My equipment'!$T$4:$T$503,(_calc!$E$996-500)))))</f>
        <v/>
      </c>
    </row>
    <row r="995">
      <c r="A995" s="54">
        <f>IF(_calc!$E$997="","",IF(_calc!$E$997&lt;=500,"Warranty – "&amp;IF(LEN(INDEX('Dealer pipeline'!$C$4:$C$503,_calc!$E$997))=0,"",INDEX('Dealer pipeline'!$C$4:$C$503,_calc!$E$997))&amp;" – "&amp;IF(LEN(INDEX('Dealer pipeline'!$D$4:$D$503,_calc!$E$997))=0,"",INDEX('Dealer pipeline'!$D$4:$D$503,_calc!$E$997))&amp;" – "&amp;IF(LEN(INDEX('Dealer pipeline'!$A$4:$A$503,_calc!$E$997))=0,"",INDEX('Dealer pipeline'!$A$4:$A$503,_calc!$E$997)),"Warranty – "&amp;IF(LEN(INDEX('My equipment'!$A$4:$A$503,(_calc!$E$997-500)))=0,"",INDEX('My equipment'!$A$4:$A$503,(_calc!$E$997-500)))&amp;" – "&amp;IF(LEN(INDEX('My equipment'!$D$4:$D$503,(_calc!$E$997-500)))=0,"",INDEX('My equipment'!$D$4:$D$503,(_calc!$E$997-500)))))</f>
        <v/>
      </c>
      <c r="B995" s="54">
        <f>IF(_calc!$E$997="","",IF(_calc!$E$997&lt;=500,IF(ISNUMBER(INDEX('Dealer pipeline'!$M$4:$M$503,_calc!$E$997)),TEXT(INDEX('Dealer pipeline'!$M$4:$M$503,_calc!$E$997),"yyyy-mm-dd"),""),IF(ISNUMBER(INDEX('My equipment'!$M$4:$M$503,(_calc!$E$997-500))),TEXT(INDEX('My equipment'!$M$4:$M$503,(_calc!$E$997-500)),"yyyy-mm-dd"),"")))</f>
        <v/>
      </c>
      <c r="C995" s="54">
        <f>IF(_calc!$E$997="","",IF(_calc!$E$997&lt;=500,"Warranty","Warranty"))</f>
        <v/>
      </c>
      <c r="D995" s="54">
        <f>IF(_calc!$E$997="","",IF(_calc!$E$997&lt;=500,IF(ISNUMBER(INDEX('Dealer pipeline'!$H$4:$H$503,_calc!$E$997)),TEXT(INDEX('Dealer pipeline'!$H$4:$H$503,_calc!$E$997),"yyyy-mm-dd"),""),IF(ISNUMBER(INDEX('My equipment'!$H$4:$H$503,(_calc!$E$997-500))),TEXT(INDEX('My equipment'!$H$4:$H$503,(_calc!$E$997-500)),"yyyy-mm-dd"),"")))</f>
        <v/>
      </c>
      <c r="F995" s="54">
        <f>IF(_calc!$E$997="","",IF(_calc!$E$997&lt;=500,TRIM(IF(LEN(IF(LEN(INDEX('Dealer pipeline'!$A$4:$A$503,_calc!$E$997))=0,"",INDEX('Dealer pipeline'!$A$4:$A$503,_calc!$E$997)))=0,"","Customer: "&amp;IF(LEN(INDEX('Dealer pipeline'!$A$4:$A$503,_calc!$E$997))=0,"",INDEX('Dealer pipeline'!$A$4:$A$503,_calc!$E$997))&amp;". ")&amp;IF(LEN(IF(LEN(INDEX('Dealer pipeline'!$B$4:$B$503,_calc!$E$997))=0,"",INDEX('Dealer pipeline'!$B$4:$B$503,_calc!$E$997)))=0,"","Contact: "&amp;IF(LEN(INDEX('Dealer pipeline'!$B$4:$B$503,_calc!$E$997))=0,"",INDEX('Dealer pipeline'!$B$4:$B$503,_calc!$E$997))&amp;". ")&amp;IF(LEN(IF(LEN(INDEX('Dealer pipeline'!$D$4:$D$503,_calc!$E$997))=0,"",INDEX('Dealer pipeline'!$D$4:$D$503,_calc!$E$997)))=0,"","Serial: "&amp;IF(LEN(INDEX('Dealer pipeline'!$D$4:$D$503,_calc!$E$997))=0,"",INDEX('Dealer pipeline'!$D$4:$D$503,_calc!$E$997))&amp;". ")&amp;IF(LEN(IF(ISNUMBER(INDEX('Dealer pipeline'!$J$4:$J$503,_calc!$E$997)),TEXT(INDEX('Dealer pipeline'!$J$4:$J$503,_calc!$E$997),"yyyy-mm-dd"),""))=0,"","Parts end: "&amp;IF(ISNUMBER(INDEX('Dealer pipeline'!$J$4:$J$503,_calc!$E$997)),TEXT(INDEX('Dealer pipeline'!$J$4:$J$503,_calc!$E$997),"yyyy-mm-dd"),"")&amp;". ")&amp;IF(LEN(IF(ISNUMBER(INDEX('Dealer pipeline'!$L$4:$L$503,_calc!$E$997)),TEXT(INDEX('Dealer pipeline'!$L$4:$L$503,_calc!$E$997),"yyyy-mm-dd"),""))=0,"","Labor end: "&amp;IF(ISNUMBER(INDEX('Dealer pipeline'!$L$4:$L$503,_calc!$E$997)),TEXT(INDEX('Dealer pipeline'!$L$4:$L$503,_calc!$E$997),"yyyy-mm-dd"),"")&amp;". ")&amp;IF(LEN(IF(LEN(INDEX('Dealer pipeline'!$Q$4:$Q$503,_calc!$E$997))=0,"",INDEX('Dealer pipeline'!$Q$4:$Q$503,_calc!$E$997)))=0,"","Status: "&amp;IF(LEN(INDEX('Dealer pipeline'!$Q$4:$Q$503,_calc!$E$997))=0,"",INDEX('Dealer pipeline'!$Q$4:$Q$503,_calc!$E$997))&amp;". ")&amp;IF(LEN(IF(LEN(INDEX('Dealer pipeline'!$P$4:$P$503,_calc!$E$997))=0,"",INDEX('Dealer pipeline'!$P$4:$P$503,_calc!$E$997)))=0,"","Last touch: "&amp;IF(LEN(INDEX('Dealer pipeline'!$P$4:$P$503,_calc!$E$997))=0,"",INDEX('Dealer pipeline'!$P$4:$P$503,_calc!$E$997))&amp;". ")&amp;IF(LEN(IF(LEN(INDEX('Dealer pipeline'!$R$4:$R$503,_calc!$E$997))=0,"",INDEX('Dealer pipeline'!$R$4:$R$503,_calc!$E$997)))=0,"","Owner: "&amp;IF(LEN(INDEX('Dealer pipeline'!$R$4:$R$503,_calc!$E$997))=0,"",INDEX('Dealer pipeline'!$R$4:$R$503,_calc!$E$997))&amp;". ")&amp;IF(LEN(IF(LEN(INDEX('Dealer pipeline'!$S$4:$S$503,_calc!$E$997))=0,"",INDEX('Dealer pipeline'!$S$4:$S$503,_calc!$E$997)))=0,"","Backup: "&amp;IF(LEN(INDEX('Dealer pipeline'!$S$4:$S$503,_calc!$E$997))=0,"",INDEX('Dealer pipeline'!$S$4:$S$503,_calc!$E$997))&amp;". ")&amp;IF(LEN(IF(LEN(INDEX('Dealer pipeline'!$T$4:$T$503,_calc!$E$997))=0,"",INDEX('Dealer pipeline'!$T$4:$T$503,_calc!$E$997)))=0,"",IF(LEN(INDEX('Dealer pipeline'!$T$4:$T$503,_calc!$E$997))=0,"",INDEX('Dealer pipeline'!$T$4:$T$503,_calc!$E$997)))),TRIM(IF(LEN(IF(LEN(INDEX('My equipment'!$C$4:$C$503,(_calc!$E$997-500)))=0,"",INDEX('My equipment'!$C$4:$C$503,(_calc!$E$997-500))))=0,"","Model: "&amp;IF(LEN(INDEX('My equipment'!$C$4:$C$503,(_calc!$E$997-500)))=0,"",INDEX('My equipment'!$C$4:$C$503,(_calc!$E$997-500)))&amp;". ")&amp;IF(LEN(IF(LEN(INDEX('My equipment'!$D$4:$D$503,(_calc!$E$997-500)))=0,"",INDEX('My equipment'!$D$4:$D$503,(_calc!$E$997-500))))=0,"","Serial: "&amp;IF(LEN(INDEX('My equipment'!$D$4:$D$503,(_calc!$E$997-500)))=0,"",INDEX('My equipment'!$D$4:$D$503,(_calc!$E$997-500)))&amp;". ")&amp;IF(LEN(IF(ISNUMBER(INDEX('My equipment'!$J$4:$J$503,(_calc!$E$997-500))),TEXT(INDEX('My equipment'!$J$4:$J$503,(_calc!$E$997-500)),"yyyy-mm-dd"),""))=0,"","Parts end: "&amp;IF(ISNUMBER(INDEX('My equipment'!$J$4:$J$503,(_calc!$E$997-500))),TEXT(INDEX('My equipment'!$J$4:$J$503,(_calc!$E$997-500)),"yyyy-mm-dd"),"")&amp;". ")&amp;IF(LEN(IF(ISNUMBER(INDEX('My equipment'!$L$4:$L$503,(_calc!$E$997-500))),TEXT(INDEX('My equipment'!$L$4:$L$503,(_calc!$E$997-500)),"yyyy-mm-dd"),""))=0,"","Labor end: "&amp;IF(ISNUMBER(INDEX('My equipment'!$L$4:$L$503,(_calc!$E$997-500))),TEXT(INDEX('My equipment'!$L$4:$L$503,(_calc!$E$997-500)),"yyyy-mm-dd"),"")&amp;". ")&amp;IF(LEN(IF(ISNUMBER(INDEX('My equipment'!$P$4:$P$503,(_calc!$E$997-500))),TEXT(INDEX('My equipment'!$P$4:$P$503,(_calc!$E$997-500)),"yyyy-mm-dd"),""))=0,"","Check by: "&amp;IF(ISNUMBER(INDEX('My equipment'!$P$4:$P$503,(_calc!$E$997-500))),TEXT(INDEX('My equipment'!$P$4:$P$503,(_calc!$E$997-500)),"yyyy-mm-dd"),"")&amp;". ")&amp;IF(LEN(IF(LEN(INDEX('My equipment'!$Q$4:$Q$503,(_calc!$E$997-500)))=0,"",INDEX('My equipment'!$Q$4:$Q$503,(_calc!$E$997-500))))=0,"","Claim status: "&amp;IF(LEN(INDEX('My equipment'!$Q$4:$Q$503,(_calc!$E$997-500)))=0,"",INDEX('My equipment'!$Q$4:$Q$503,(_calc!$E$997-500)))&amp;". ")&amp;IF(LEN(IF(LEN(INDEX('My equipment'!$R$4:$R$503,(_calc!$E$997-500)))=0,"",INDEX('My equipment'!$R$4:$R$503,(_calc!$E$997-500))))=0,"","Claims contact: "&amp;IF(LEN(INDEX('My equipment'!$R$4:$R$503,(_calc!$E$997-500)))=0,"",INDEX('My equipment'!$R$4:$R$503,(_calc!$E$997-500)))&amp;". ")&amp;IF(LEN(IF(LEN(INDEX('My equipment'!$S$4:$S$503,(_calc!$E$997-500)))=0,"",INDEX('My equipment'!$S$4:$S$503,(_calc!$E$997-500))))=0,"","Claims email: "&amp;IF(LEN(INDEX('My equipment'!$S$4:$S$503,(_calc!$E$997-500)))=0,"",INDEX('My equipment'!$S$4:$S$503,(_calc!$E$997-500)))&amp;". ")&amp;IF(LEN(IF(LEN(INDEX('My equipment'!$U$4:$U$503,(_calc!$E$997-500)))=0,"",INDEX('My equipment'!$U$4:$U$503,(_calc!$E$997-500))))=0,"","Registered: "&amp;IF(LEN(INDEX('My equipment'!$U$4:$U$503,(_calc!$E$997-500)))=0,"",INDEX('My equipment'!$U$4:$U$503,(_calc!$E$997-500)))&amp;". ")&amp;IF(LEN(IF(LEN(INDEX('My equipment'!$V$4:$V$503,(_calc!$E$997-500)))=0,"",INDEX('My equipment'!$V$4:$V$503,(_calc!$E$997-500))))=0,"","Proof on file: "&amp;IF(LEN(INDEX('My equipment'!$V$4:$V$503,(_calc!$E$997-500)))=0,"",INDEX('My equipment'!$V$4:$V$503,(_calc!$E$997-500)))&amp;". ")&amp;IF(LEN(IF(LEN(INDEX('My equipment'!$W$4:$W$503,(_calc!$E$997-500)))=0,"",INDEX('My equipment'!$W$4:$W$503,(_calc!$E$997-500))))=0,"","Claim ref: "&amp;IF(LEN(INDEX('My equipment'!$W$4:$W$503,(_calc!$E$997-500)))=0,"",INDEX('My equipment'!$W$4:$W$503,(_calc!$E$997-500)))&amp;". ")&amp;IF(LEN(IF(LEN(INDEX('My equipment'!$Y$4:$Y$503,(_calc!$E$997-500)))=0,"",INDEX('My equipment'!$Y$4:$Y$503,(_calc!$E$997-500))))=0,"",IF(LEN(INDEX('My equipment'!$Y$4:$Y$503,(_calc!$E$997-500)))=0,"",INDEX('My equipment'!$Y$4:$Y$503,(_calc!$E$997-500)))))))</f>
        <v/>
      </c>
      <c r="G995" s="54">
        <f>IF(_calc!$E$997="","",IF(_calc!$E$997&lt;=500,"",IF(LEN(INDEX('My equipment'!$X$4:$X$503,(_calc!$E$997-500)))=0,"",INDEX('My equipment'!$X$4:$X$503,(_calc!$E$997-500)))))</f>
        <v/>
      </c>
      <c r="K995" s="54">
        <f>IF(_calc!$E$997="","",IF(_calc!$E$997&lt;=500,"",IF(LEN(INDEX('My equipment'!$T$4:$T$503,(_calc!$E$997-500)))=0,"",INDEX('My equipment'!$T$4:$T$503,(_calc!$E$997-500)))))</f>
        <v/>
      </c>
    </row>
    <row r="996">
      <c r="A996" s="54">
        <f>IF(_calc!$E$998="","",IF(_calc!$E$998&lt;=500,"Warranty – "&amp;IF(LEN(INDEX('Dealer pipeline'!$C$4:$C$503,_calc!$E$998))=0,"",INDEX('Dealer pipeline'!$C$4:$C$503,_calc!$E$998))&amp;" – "&amp;IF(LEN(INDEX('Dealer pipeline'!$D$4:$D$503,_calc!$E$998))=0,"",INDEX('Dealer pipeline'!$D$4:$D$503,_calc!$E$998))&amp;" – "&amp;IF(LEN(INDEX('Dealer pipeline'!$A$4:$A$503,_calc!$E$998))=0,"",INDEX('Dealer pipeline'!$A$4:$A$503,_calc!$E$998)),"Warranty – "&amp;IF(LEN(INDEX('My equipment'!$A$4:$A$503,(_calc!$E$998-500)))=0,"",INDEX('My equipment'!$A$4:$A$503,(_calc!$E$998-500)))&amp;" – "&amp;IF(LEN(INDEX('My equipment'!$D$4:$D$503,(_calc!$E$998-500)))=0,"",INDEX('My equipment'!$D$4:$D$503,(_calc!$E$998-500)))))</f>
        <v/>
      </c>
      <c r="B996" s="54">
        <f>IF(_calc!$E$998="","",IF(_calc!$E$998&lt;=500,IF(ISNUMBER(INDEX('Dealer pipeline'!$M$4:$M$503,_calc!$E$998)),TEXT(INDEX('Dealer pipeline'!$M$4:$M$503,_calc!$E$998),"yyyy-mm-dd"),""),IF(ISNUMBER(INDEX('My equipment'!$M$4:$M$503,(_calc!$E$998-500))),TEXT(INDEX('My equipment'!$M$4:$M$503,(_calc!$E$998-500)),"yyyy-mm-dd"),"")))</f>
        <v/>
      </c>
      <c r="C996" s="54">
        <f>IF(_calc!$E$998="","",IF(_calc!$E$998&lt;=500,"Warranty","Warranty"))</f>
        <v/>
      </c>
      <c r="D996" s="54">
        <f>IF(_calc!$E$998="","",IF(_calc!$E$998&lt;=500,IF(ISNUMBER(INDEX('Dealer pipeline'!$H$4:$H$503,_calc!$E$998)),TEXT(INDEX('Dealer pipeline'!$H$4:$H$503,_calc!$E$998),"yyyy-mm-dd"),""),IF(ISNUMBER(INDEX('My equipment'!$H$4:$H$503,(_calc!$E$998-500))),TEXT(INDEX('My equipment'!$H$4:$H$503,(_calc!$E$998-500)),"yyyy-mm-dd"),"")))</f>
        <v/>
      </c>
      <c r="F996" s="54">
        <f>IF(_calc!$E$998="","",IF(_calc!$E$998&lt;=500,TRIM(IF(LEN(IF(LEN(INDEX('Dealer pipeline'!$A$4:$A$503,_calc!$E$998))=0,"",INDEX('Dealer pipeline'!$A$4:$A$503,_calc!$E$998)))=0,"","Customer: "&amp;IF(LEN(INDEX('Dealer pipeline'!$A$4:$A$503,_calc!$E$998))=0,"",INDEX('Dealer pipeline'!$A$4:$A$503,_calc!$E$998))&amp;". ")&amp;IF(LEN(IF(LEN(INDEX('Dealer pipeline'!$B$4:$B$503,_calc!$E$998))=0,"",INDEX('Dealer pipeline'!$B$4:$B$503,_calc!$E$998)))=0,"","Contact: "&amp;IF(LEN(INDEX('Dealer pipeline'!$B$4:$B$503,_calc!$E$998))=0,"",INDEX('Dealer pipeline'!$B$4:$B$503,_calc!$E$998))&amp;". ")&amp;IF(LEN(IF(LEN(INDEX('Dealer pipeline'!$D$4:$D$503,_calc!$E$998))=0,"",INDEX('Dealer pipeline'!$D$4:$D$503,_calc!$E$998)))=0,"","Serial: "&amp;IF(LEN(INDEX('Dealer pipeline'!$D$4:$D$503,_calc!$E$998))=0,"",INDEX('Dealer pipeline'!$D$4:$D$503,_calc!$E$998))&amp;". ")&amp;IF(LEN(IF(ISNUMBER(INDEX('Dealer pipeline'!$J$4:$J$503,_calc!$E$998)),TEXT(INDEX('Dealer pipeline'!$J$4:$J$503,_calc!$E$998),"yyyy-mm-dd"),""))=0,"","Parts end: "&amp;IF(ISNUMBER(INDEX('Dealer pipeline'!$J$4:$J$503,_calc!$E$998)),TEXT(INDEX('Dealer pipeline'!$J$4:$J$503,_calc!$E$998),"yyyy-mm-dd"),"")&amp;". ")&amp;IF(LEN(IF(ISNUMBER(INDEX('Dealer pipeline'!$L$4:$L$503,_calc!$E$998)),TEXT(INDEX('Dealer pipeline'!$L$4:$L$503,_calc!$E$998),"yyyy-mm-dd"),""))=0,"","Labor end: "&amp;IF(ISNUMBER(INDEX('Dealer pipeline'!$L$4:$L$503,_calc!$E$998)),TEXT(INDEX('Dealer pipeline'!$L$4:$L$503,_calc!$E$998),"yyyy-mm-dd"),"")&amp;". ")&amp;IF(LEN(IF(LEN(INDEX('Dealer pipeline'!$Q$4:$Q$503,_calc!$E$998))=0,"",INDEX('Dealer pipeline'!$Q$4:$Q$503,_calc!$E$998)))=0,"","Status: "&amp;IF(LEN(INDEX('Dealer pipeline'!$Q$4:$Q$503,_calc!$E$998))=0,"",INDEX('Dealer pipeline'!$Q$4:$Q$503,_calc!$E$998))&amp;". ")&amp;IF(LEN(IF(LEN(INDEX('Dealer pipeline'!$P$4:$P$503,_calc!$E$998))=0,"",INDEX('Dealer pipeline'!$P$4:$P$503,_calc!$E$998)))=0,"","Last touch: "&amp;IF(LEN(INDEX('Dealer pipeline'!$P$4:$P$503,_calc!$E$998))=0,"",INDEX('Dealer pipeline'!$P$4:$P$503,_calc!$E$998))&amp;". ")&amp;IF(LEN(IF(LEN(INDEX('Dealer pipeline'!$R$4:$R$503,_calc!$E$998))=0,"",INDEX('Dealer pipeline'!$R$4:$R$503,_calc!$E$998)))=0,"","Owner: "&amp;IF(LEN(INDEX('Dealer pipeline'!$R$4:$R$503,_calc!$E$998))=0,"",INDEX('Dealer pipeline'!$R$4:$R$503,_calc!$E$998))&amp;". ")&amp;IF(LEN(IF(LEN(INDEX('Dealer pipeline'!$S$4:$S$503,_calc!$E$998))=0,"",INDEX('Dealer pipeline'!$S$4:$S$503,_calc!$E$998)))=0,"","Backup: "&amp;IF(LEN(INDEX('Dealer pipeline'!$S$4:$S$503,_calc!$E$998))=0,"",INDEX('Dealer pipeline'!$S$4:$S$503,_calc!$E$998))&amp;". ")&amp;IF(LEN(IF(LEN(INDEX('Dealer pipeline'!$T$4:$T$503,_calc!$E$998))=0,"",INDEX('Dealer pipeline'!$T$4:$T$503,_calc!$E$998)))=0,"",IF(LEN(INDEX('Dealer pipeline'!$T$4:$T$503,_calc!$E$998))=0,"",INDEX('Dealer pipeline'!$T$4:$T$503,_calc!$E$998)))),TRIM(IF(LEN(IF(LEN(INDEX('My equipment'!$C$4:$C$503,(_calc!$E$998-500)))=0,"",INDEX('My equipment'!$C$4:$C$503,(_calc!$E$998-500))))=0,"","Model: "&amp;IF(LEN(INDEX('My equipment'!$C$4:$C$503,(_calc!$E$998-500)))=0,"",INDEX('My equipment'!$C$4:$C$503,(_calc!$E$998-500)))&amp;". ")&amp;IF(LEN(IF(LEN(INDEX('My equipment'!$D$4:$D$503,(_calc!$E$998-500)))=0,"",INDEX('My equipment'!$D$4:$D$503,(_calc!$E$998-500))))=0,"","Serial: "&amp;IF(LEN(INDEX('My equipment'!$D$4:$D$503,(_calc!$E$998-500)))=0,"",INDEX('My equipment'!$D$4:$D$503,(_calc!$E$998-500)))&amp;". ")&amp;IF(LEN(IF(ISNUMBER(INDEX('My equipment'!$J$4:$J$503,(_calc!$E$998-500))),TEXT(INDEX('My equipment'!$J$4:$J$503,(_calc!$E$998-500)),"yyyy-mm-dd"),""))=0,"","Parts end: "&amp;IF(ISNUMBER(INDEX('My equipment'!$J$4:$J$503,(_calc!$E$998-500))),TEXT(INDEX('My equipment'!$J$4:$J$503,(_calc!$E$998-500)),"yyyy-mm-dd"),"")&amp;". ")&amp;IF(LEN(IF(ISNUMBER(INDEX('My equipment'!$L$4:$L$503,(_calc!$E$998-500))),TEXT(INDEX('My equipment'!$L$4:$L$503,(_calc!$E$998-500)),"yyyy-mm-dd"),""))=0,"","Labor end: "&amp;IF(ISNUMBER(INDEX('My equipment'!$L$4:$L$503,(_calc!$E$998-500))),TEXT(INDEX('My equipment'!$L$4:$L$503,(_calc!$E$998-500)),"yyyy-mm-dd"),"")&amp;". ")&amp;IF(LEN(IF(ISNUMBER(INDEX('My equipment'!$P$4:$P$503,(_calc!$E$998-500))),TEXT(INDEX('My equipment'!$P$4:$P$503,(_calc!$E$998-500)),"yyyy-mm-dd"),""))=0,"","Check by: "&amp;IF(ISNUMBER(INDEX('My equipment'!$P$4:$P$503,(_calc!$E$998-500))),TEXT(INDEX('My equipment'!$P$4:$P$503,(_calc!$E$998-500)),"yyyy-mm-dd"),"")&amp;". ")&amp;IF(LEN(IF(LEN(INDEX('My equipment'!$Q$4:$Q$503,(_calc!$E$998-500)))=0,"",INDEX('My equipment'!$Q$4:$Q$503,(_calc!$E$998-500))))=0,"","Claim status: "&amp;IF(LEN(INDEX('My equipment'!$Q$4:$Q$503,(_calc!$E$998-500)))=0,"",INDEX('My equipment'!$Q$4:$Q$503,(_calc!$E$998-500)))&amp;". ")&amp;IF(LEN(IF(LEN(INDEX('My equipment'!$R$4:$R$503,(_calc!$E$998-500)))=0,"",INDEX('My equipment'!$R$4:$R$503,(_calc!$E$998-500))))=0,"","Claims contact: "&amp;IF(LEN(INDEX('My equipment'!$R$4:$R$503,(_calc!$E$998-500)))=0,"",INDEX('My equipment'!$R$4:$R$503,(_calc!$E$998-500)))&amp;". ")&amp;IF(LEN(IF(LEN(INDEX('My equipment'!$S$4:$S$503,(_calc!$E$998-500)))=0,"",INDEX('My equipment'!$S$4:$S$503,(_calc!$E$998-500))))=0,"","Claims email: "&amp;IF(LEN(INDEX('My equipment'!$S$4:$S$503,(_calc!$E$998-500)))=0,"",INDEX('My equipment'!$S$4:$S$503,(_calc!$E$998-500)))&amp;". ")&amp;IF(LEN(IF(LEN(INDEX('My equipment'!$U$4:$U$503,(_calc!$E$998-500)))=0,"",INDEX('My equipment'!$U$4:$U$503,(_calc!$E$998-500))))=0,"","Registered: "&amp;IF(LEN(INDEX('My equipment'!$U$4:$U$503,(_calc!$E$998-500)))=0,"",INDEX('My equipment'!$U$4:$U$503,(_calc!$E$998-500)))&amp;". ")&amp;IF(LEN(IF(LEN(INDEX('My equipment'!$V$4:$V$503,(_calc!$E$998-500)))=0,"",INDEX('My equipment'!$V$4:$V$503,(_calc!$E$998-500))))=0,"","Proof on file: "&amp;IF(LEN(INDEX('My equipment'!$V$4:$V$503,(_calc!$E$998-500)))=0,"",INDEX('My equipment'!$V$4:$V$503,(_calc!$E$998-500)))&amp;". ")&amp;IF(LEN(IF(LEN(INDEX('My equipment'!$W$4:$W$503,(_calc!$E$998-500)))=0,"",INDEX('My equipment'!$W$4:$W$503,(_calc!$E$998-500))))=0,"","Claim ref: "&amp;IF(LEN(INDEX('My equipment'!$W$4:$W$503,(_calc!$E$998-500)))=0,"",INDEX('My equipment'!$W$4:$W$503,(_calc!$E$998-500)))&amp;". ")&amp;IF(LEN(IF(LEN(INDEX('My equipment'!$Y$4:$Y$503,(_calc!$E$998-500)))=0,"",INDEX('My equipment'!$Y$4:$Y$503,(_calc!$E$998-500))))=0,"",IF(LEN(INDEX('My equipment'!$Y$4:$Y$503,(_calc!$E$998-500)))=0,"",INDEX('My equipment'!$Y$4:$Y$503,(_calc!$E$998-500)))))))</f>
        <v/>
      </c>
      <c r="G996" s="54">
        <f>IF(_calc!$E$998="","",IF(_calc!$E$998&lt;=500,"",IF(LEN(INDEX('My equipment'!$X$4:$X$503,(_calc!$E$998-500)))=0,"",INDEX('My equipment'!$X$4:$X$503,(_calc!$E$998-500)))))</f>
        <v/>
      </c>
      <c r="K996" s="54">
        <f>IF(_calc!$E$998="","",IF(_calc!$E$998&lt;=500,"",IF(LEN(INDEX('My equipment'!$T$4:$T$503,(_calc!$E$998-500)))=0,"",INDEX('My equipment'!$T$4:$T$503,(_calc!$E$998-500)))))</f>
        <v/>
      </c>
    </row>
    <row r="997">
      <c r="A997" s="54">
        <f>IF(_calc!$E$999="","",IF(_calc!$E$999&lt;=500,"Warranty – "&amp;IF(LEN(INDEX('Dealer pipeline'!$C$4:$C$503,_calc!$E$999))=0,"",INDEX('Dealer pipeline'!$C$4:$C$503,_calc!$E$999))&amp;" – "&amp;IF(LEN(INDEX('Dealer pipeline'!$D$4:$D$503,_calc!$E$999))=0,"",INDEX('Dealer pipeline'!$D$4:$D$503,_calc!$E$999))&amp;" – "&amp;IF(LEN(INDEX('Dealer pipeline'!$A$4:$A$503,_calc!$E$999))=0,"",INDEX('Dealer pipeline'!$A$4:$A$503,_calc!$E$999)),"Warranty – "&amp;IF(LEN(INDEX('My equipment'!$A$4:$A$503,(_calc!$E$999-500)))=0,"",INDEX('My equipment'!$A$4:$A$503,(_calc!$E$999-500)))&amp;" – "&amp;IF(LEN(INDEX('My equipment'!$D$4:$D$503,(_calc!$E$999-500)))=0,"",INDEX('My equipment'!$D$4:$D$503,(_calc!$E$999-500)))))</f>
        <v/>
      </c>
      <c r="B997" s="54">
        <f>IF(_calc!$E$999="","",IF(_calc!$E$999&lt;=500,IF(ISNUMBER(INDEX('Dealer pipeline'!$M$4:$M$503,_calc!$E$999)),TEXT(INDEX('Dealer pipeline'!$M$4:$M$503,_calc!$E$999),"yyyy-mm-dd"),""),IF(ISNUMBER(INDEX('My equipment'!$M$4:$M$503,(_calc!$E$999-500))),TEXT(INDEX('My equipment'!$M$4:$M$503,(_calc!$E$999-500)),"yyyy-mm-dd"),"")))</f>
        <v/>
      </c>
      <c r="C997" s="54">
        <f>IF(_calc!$E$999="","",IF(_calc!$E$999&lt;=500,"Warranty","Warranty"))</f>
        <v/>
      </c>
      <c r="D997" s="54">
        <f>IF(_calc!$E$999="","",IF(_calc!$E$999&lt;=500,IF(ISNUMBER(INDEX('Dealer pipeline'!$H$4:$H$503,_calc!$E$999)),TEXT(INDEX('Dealer pipeline'!$H$4:$H$503,_calc!$E$999),"yyyy-mm-dd"),""),IF(ISNUMBER(INDEX('My equipment'!$H$4:$H$503,(_calc!$E$999-500))),TEXT(INDEX('My equipment'!$H$4:$H$503,(_calc!$E$999-500)),"yyyy-mm-dd"),"")))</f>
        <v/>
      </c>
      <c r="F997" s="54">
        <f>IF(_calc!$E$999="","",IF(_calc!$E$999&lt;=500,TRIM(IF(LEN(IF(LEN(INDEX('Dealer pipeline'!$A$4:$A$503,_calc!$E$999))=0,"",INDEX('Dealer pipeline'!$A$4:$A$503,_calc!$E$999)))=0,"","Customer: "&amp;IF(LEN(INDEX('Dealer pipeline'!$A$4:$A$503,_calc!$E$999))=0,"",INDEX('Dealer pipeline'!$A$4:$A$503,_calc!$E$999))&amp;". ")&amp;IF(LEN(IF(LEN(INDEX('Dealer pipeline'!$B$4:$B$503,_calc!$E$999))=0,"",INDEX('Dealer pipeline'!$B$4:$B$503,_calc!$E$999)))=0,"","Contact: "&amp;IF(LEN(INDEX('Dealer pipeline'!$B$4:$B$503,_calc!$E$999))=0,"",INDEX('Dealer pipeline'!$B$4:$B$503,_calc!$E$999))&amp;". ")&amp;IF(LEN(IF(LEN(INDEX('Dealer pipeline'!$D$4:$D$503,_calc!$E$999))=0,"",INDEX('Dealer pipeline'!$D$4:$D$503,_calc!$E$999)))=0,"","Serial: "&amp;IF(LEN(INDEX('Dealer pipeline'!$D$4:$D$503,_calc!$E$999))=0,"",INDEX('Dealer pipeline'!$D$4:$D$503,_calc!$E$999))&amp;". ")&amp;IF(LEN(IF(ISNUMBER(INDEX('Dealer pipeline'!$J$4:$J$503,_calc!$E$999)),TEXT(INDEX('Dealer pipeline'!$J$4:$J$503,_calc!$E$999),"yyyy-mm-dd"),""))=0,"","Parts end: "&amp;IF(ISNUMBER(INDEX('Dealer pipeline'!$J$4:$J$503,_calc!$E$999)),TEXT(INDEX('Dealer pipeline'!$J$4:$J$503,_calc!$E$999),"yyyy-mm-dd"),"")&amp;". ")&amp;IF(LEN(IF(ISNUMBER(INDEX('Dealer pipeline'!$L$4:$L$503,_calc!$E$999)),TEXT(INDEX('Dealer pipeline'!$L$4:$L$503,_calc!$E$999),"yyyy-mm-dd"),""))=0,"","Labor end: "&amp;IF(ISNUMBER(INDEX('Dealer pipeline'!$L$4:$L$503,_calc!$E$999)),TEXT(INDEX('Dealer pipeline'!$L$4:$L$503,_calc!$E$999),"yyyy-mm-dd"),"")&amp;". ")&amp;IF(LEN(IF(LEN(INDEX('Dealer pipeline'!$Q$4:$Q$503,_calc!$E$999))=0,"",INDEX('Dealer pipeline'!$Q$4:$Q$503,_calc!$E$999)))=0,"","Status: "&amp;IF(LEN(INDEX('Dealer pipeline'!$Q$4:$Q$503,_calc!$E$999))=0,"",INDEX('Dealer pipeline'!$Q$4:$Q$503,_calc!$E$999))&amp;". ")&amp;IF(LEN(IF(LEN(INDEX('Dealer pipeline'!$P$4:$P$503,_calc!$E$999))=0,"",INDEX('Dealer pipeline'!$P$4:$P$503,_calc!$E$999)))=0,"","Last touch: "&amp;IF(LEN(INDEX('Dealer pipeline'!$P$4:$P$503,_calc!$E$999))=0,"",INDEX('Dealer pipeline'!$P$4:$P$503,_calc!$E$999))&amp;". ")&amp;IF(LEN(IF(LEN(INDEX('Dealer pipeline'!$R$4:$R$503,_calc!$E$999))=0,"",INDEX('Dealer pipeline'!$R$4:$R$503,_calc!$E$999)))=0,"","Owner: "&amp;IF(LEN(INDEX('Dealer pipeline'!$R$4:$R$503,_calc!$E$999))=0,"",INDEX('Dealer pipeline'!$R$4:$R$503,_calc!$E$999))&amp;". ")&amp;IF(LEN(IF(LEN(INDEX('Dealer pipeline'!$S$4:$S$503,_calc!$E$999))=0,"",INDEX('Dealer pipeline'!$S$4:$S$503,_calc!$E$999)))=0,"","Backup: "&amp;IF(LEN(INDEX('Dealer pipeline'!$S$4:$S$503,_calc!$E$999))=0,"",INDEX('Dealer pipeline'!$S$4:$S$503,_calc!$E$999))&amp;". ")&amp;IF(LEN(IF(LEN(INDEX('Dealer pipeline'!$T$4:$T$503,_calc!$E$999))=0,"",INDEX('Dealer pipeline'!$T$4:$T$503,_calc!$E$999)))=0,"",IF(LEN(INDEX('Dealer pipeline'!$T$4:$T$503,_calc!$E$999))=0,"",INDEX('Dealer pipeline'!$T$4:$T$503,_calc!$E$999)))),TRIM(IF(LEN(IF(LEN(INDEX('My equipment'!$C$4:$C$503,(_calc!$E$999-500)))=0,"",INDEX('My equipment'!$C$4:$C$503,(_calc!$E$999-500))))=0,"","Model: "&amp;IF(LEN(INDEX('My equipment'!$C$4:$C$503,(_calc!$E$999-500)))=0,"",INDEX('My equipment'!$C$4:$C$503,(_calc!$E$999-500)))&amp;". ")&amp;IF(LEN(IF(LEN(INDEX('My equipment'!$D$4:$D$503,(_calc!$E$999-500)))=0,"",INDEX('My equipment'!$D$4:$D$503,(_calc!$E$999-500))))=0,"","Serial: "&amp;IF(LEN(INDEX('My equipment'!$D$4:$D$503,(_calc!$E$999-500)))=0,"",INDEX('My equipment'!$D$4:$D$503,(_calc!$E$999-500)))&amp;". ")&amp;IF(LEN(IF(ISNUMBER(INDEX('My equipment'!$J$4:$J$503,(_calc!$E$999-500))),TEXT(INDEX('My equipment'!$J$4:$J$503,(_calc!$E$999-500)),"yyyy-mm-dd"),""))=0,"","Parts end: "&amp;IF(ISNUMBER(INDEX('My equipment'!$J$4:$J$503,(_calc!$E$999-500))),TEXT(INDEX('My equipment'!$J$4:$J$503,(_calc!$E$999-500)),"yyyy-mm-dd"),"")&amp;". ")&amp;IF(LEN(IF(ISNUMBER(INDEX('My equipment'!$L$4:$L$503,(_calc!$E$999-500))),TEXT(INDEX('My equipment'!$L$4:$L$503,(_calc!$E$999-500)),"yyyy-mm-dd"),""))=0,"","Labor end: "&amp;IF(ISNUMBER(INDEX('My equipment'!$L$4:$L$503,(_calc!$E$999-500))),TEXT(INDEX('My equipment'!$L$4:$L$503,(_calc!$E$999-500)),"yyyy-mm-dd"),"")&amp;". ")&amp;IF(LEN(IF(ISNUMBER(INDEX('My equipment'!$P$4:$P$503,(_calc!$E$999-500))),TEXT(INDEX('My equipment'!$P$4:$P$503,(_calc!$E$999-500)),"yyyy-mm-dd"),""))=0,"","Check by: "&amp;IF(ISNUMBER(INDEX('My equipment'!$P$4:$P$503,(_calc!$E$999-500))),TEXT(INDEX('My equipment'!$P$4:$P$503,(_calc!$E$999-500)),"yyyy-mm-dd"),"")&amp;". ")&amp;IF(LEN(IF(LEN(INDEX('My equipment'!$Q$4:$Q$503,(_calc!$E$999-500)))=0,"",INDEX('My equipment'!$Q$4:$Q$503,(_calc!$E$999-500))))=0,"","Claim status: "&amp;IF(LEN(INDEX('My equipment'!$Q$4:$Q$503,(_calc!$E$999-500)))=0,"",INDEX('My equipment'!$Q$4:$Q$503,(_calc!$E$999-500)))&amp;". ")&amp;IF(LEN(IF(LEN(INDEX('My equipment'!$R$4:$R$503,(_calc!$E$999-500)))=0,"",INDEX('My equipment'!$R$4:$R$503,(_calc!$E$999-500))))=0,"","Claims contact: "&amp;IF(LEN(INDEX('My equipment'!$R$4:$R$503,(_calc!$E$999-500)))=0,"",INDEX('My equipment'!$R$4:$R$503,(_calc!$E$999-500)))&amp;". ")&amp;IF(LEN(IF(LEN(INDEX('My equipment'!$S$4:$S$503,(_calc!$E$999-500)))=0,"",INDEX('My equipment'!$S$4:$S$503,(_calc!$E$999-500))))=0,"","Claims email: "&amp;IF(LEN(INDEX('My equipment'!$S$4:$S$503,(_calc!$E$999-500)))=0,"",INDEX('My equipment'!$S$4:$S$503,(_calc!$E$999-500)))&amp;". ")&amp;IF(LEN(IF(LEN(INDEX('My equipment'!$U$4:$U$503,(_calc!$E$999-500)))=0,"",INDEX('My equipment'!$U$4:$U$503,(_calc!$E$999-500))))=0,"","Registered: "&amp;IF(LEN(INDEX('My equipment'!$U$4:$U$503,(_calc!$E$999-500)))=0,"",INDEX('My equipment'!$U$4:$U$503,(_calc!$E$999-500)))&amp;". ")&amp;IF(LEN(IF(LEN(INDEX('My equipment'!$V$4:$V$503,(_calc!$E$999-500)))=0,"",INDEX('My equipment'!$V$4:$V$503,(_calc!$E$999-500))))=0,"","Proof on file: "&amp;IF(LEN(INDEX('My equipment'!$V$4:$V$503,(_calc!$E$999-500)))=0,"",INDEX('My equipment'!$V$4:$V$503,(_calc!$E$999-500)))&amp;". ")&amp;IF(LEN(IF(LEN(INDEX('My equipment'!$W$4:$W$503,(_calc!$E$999-500)))=0,"",INDEX('My equipment'!$W$4:$W$503,(_calc!$E$999-500))))=0,"","Claim ref: "&amp;IF(LEN(INDEX('My equipment'!$W$4:$W$503,(_calc!$E$999-500)))=0,"",INDEX('My equipment'!$W$4:$W$503,(_calc!$E$999-500)))&amp;". ")&amp;IF(LEN(IF(LEN(INDEX('My equipment'!$Y$4:$Y$503,(_calc!$E$999-500)))=0,"",INDEX('My equipment'!$Y$4:$Y$503,(_calc!$E$999-500))))=0,"",IF(LEN(INDEX('My equipment'!$Y$4:$Y$503,(_calc!$E$999-500)))=0,"",INDEX('My equipment'!$Y$4:$Y$503,(_calc!$E$999-500)))))))</f>
        <v/>
      </c>
      <c r="G997" s="54">
        <f>IF(_calc!$E$999="","",IF(_calc!$E$999&lt;=500,"",IF(LEN(INDEX('My equipment'!$X$4:$X$503,(_calc!$E$999-500)))=0,"",INDEX('My equipment'!$X$4:$X$503,(_calc!$E$999-500)))))</f>
        <v/>
      </c>
      <c r="K997" s="54">
        <f>IF(_calc!$E$999="","",IF(_calc!$E$999&lt;=500,"",IF(LEN(INDEX('My equipment'!$T$4:$T$503,(_calc!$E$999-500)))=0,"",INDEX('My equipment'!$T$4:$T$503,(_calc!$E$999-500)))))</f>
        <v/>
      </c>
    </row>
    <row r="998">
      <c r="A998" s="54">
        <f>IF(_calc!$E$1000="","",IF(_calc!$E$1000&lt;=500,"Warranty – "&amp;IF(LEN(INDEX('Dealer pipeline'!$C$4:$C$503,_calc!$E$1000))=0,"",INDEX('Dealer pipeline'!$C$4:$C$503,_calc!$E$1000))&amp;" – "&amp;IF(LEN(INDEX('Dealer pipeline'!$D$4:$D$503,_calc!$E$1000))=0,"",INDEX('Dealer pipeline'!$D$4:$D$503,_calc!$E$1000))&amp;" – "&amp;IF(LEN(INDEX('Dealer pipeline'!$A$4:$A$503,_calc!$E$1000))=0,"",INDEX('Dealer pipeline'!$A$4:$A$503,_calc!$E$1000)),"Warranty – "&amp;IF(LEN(INDEX('My equipment'!$A$4:$A$503,(_calc!$E$1000-500)))=0,"",INDEX('My equipment'!$A$4:$A$503,(_calc!$E$1000-500)))&amp;" – "&amp;IF(LEN(INDEX('My equipment'!$D$4:$D$503,(_calc!$E$1000-500)))=0,"",INDEX('My equipment'!$D$4:$D$503,(_calc!$E$1000-500)))))</f>
        <v/>
      </c>
      <c r="B998" s="54">
        <f>IF(_calc!$E$1000="","",IF(_calc!$E$1000&lt;=500,IF(ISNUMBER(INDEX('Dealer pipeline'!$M$4:$M$503,_calc!$E$1000)),TEXT(INDEX('Dealer pipeline'!$M$4:$M$503,_calc!$E$1000),"yyyy-mm-dd"),""),IF(ISNUMBER(INDEX('My equipment'!$M$4:$M$503,(_calc!$E$1000-500))),TEXT(INDEX('My equipment'!$M$4:$M$503,(_calc!$E$1000-500)),"yyyy-mm-dd"),"")))</f>
        <v/>
      </c>
      <c r="C998" s="54">
        <f>IF(_calc!$E$1000="","",IF(_calc!$E$1000&lt;=500,"Warranty","Warranty"))</f>
        <v/>
      </c>
      <c r="D998" s="54">
        <f>IF(_calc!$E$1000="","",IF(_calc!$E$1000&lt;=500,IF(ISNUMBER(INDEX('Dealer pipeline'!$H$4:$H$503,_calc!$E$1000)),TEXT(INDEX('Dealer pipeline'!$H$4:$H$503,_calc!$E$1000),"yyyy-mm-dd"),""),IF(ISNUMBER(INDEX('My equipment'!$H$4:$H$503,(_calc!$E$1000-500))),TEXT(INDEX('My equipment'!$H$4:$H$503,(_calc!$E$1000-500)),"yyyy-mm-dd"),"")))</f>
        <v/>
      </c>
      <c r="F998" s="54">
        <f>IF(_calc!$E$1000="","",IF(_calc!$E$1000&lt;=500,TRIM(IF(LEN(IF(LEN(INDEX('Dealer pipeline'!$A$4:$A$503,_calc!$E$1000))=0,"",INDEX('Dealer pipeline'!$A$4:$A$503,_calc!$E$1000)))=0,"","Customer: "&amp;IF(LEN(INDEX('Dealer pipeline'!$A$4:$A$503,_calc!$E$1000))=0,"",INDEX('Dealer pipeline'!$A$4:$A$503,_calc!$E$1000))&amp;". ")&amp;IF(LEN(IF(LEN(INDEX('Dealer pipeline'!$B$4:$B$503,_calc!$E$1000))=0,"",INDEX('Dealer pipeline'!$B$4:$B$503,_calc!$E$1000)))=0,"","Contact: "&amp;IF(LEN(INDEX('Dealer pipeline'!$B$4:$B$503,_calc!$E$1000))=0,"",INDEX('Dealer pipeline'!$B$4:$B$503,_calc!$E$1000))&amp;". ")&amp;IF(LEN(IF(LEN(INDEX('Dealer pipeline'!$D$4:$D$503,_calc!$E$1000))=0,"",INDEX('Dealer pipeline'!$D$4:$D$503,_calc!$E$1000)))=0,"","Serial: "&amp;IF(LEN(INDEX('Dealer pipeline'!$D$4:$D$503,_calc!$E$1000))=0,"",INDEX('Dealer pipeline'!$D$4:$D$503,_calc!$E$1000))&amp;". ")&amp;IF(LEN(IF(ISNUMBER(INDEX('Dealer pipeline'!$J$4:$J$503,_calc!$E$1000)),TEXT(INDEX('Dealer pipeline'!$J$4:$J$503,_calc!$E$1000),"yyyy-mm-dd"),""))=0,"","Parts end: "&amp;IF(ISNUMBER(INDEX('Dealer pipeline'!$J$4:$J$503,_calc!$E$1000)),TEXT(INDEX('Dealer pipeline'!$J$4:$J$503,_calc!$E$1000),"yyyy-mm-dd"),"")&amp;". ")&amp;IF(LEN(IF(ISNUMBER(INDEX('Dealer pipeline'!$L$4:$L$503,_calc!$E$1000)),TEXT(INDEX('Dealer pipeline'!$L$4:$L$503,_calc!$E$1000),"yyyy-mm-dd"),""))=0,"","Labor end: "&amp;IF(ISNUMBER(INDEX('Dealer pipeline'!$L$4:$L$503,_calc!$E$1000)),TEXT(INDEX('Dealer pipeline'!$L$4:$L$503,_calc!$E$1000),"yyyy-mm-dd"),"")&amp;". ")&amp;IF(LEN(IF(LEN(INDEX('Dealer pipeline'!$Q$4:$Q$503,_calc!$E$1000))=0,"",INDEX('Dealer pipeline'!$Q$4:$Q$503,_calc!$E$1000)))=0,"","Status: "&amp;IF(LEN(INDEX('Dealer pipeline'!$Q$4:$Q$503,_calc!$E$1000))=0,"",INDEX('Dealer pipeline'!$Q$4:$Q$503,_calc!$E$1000))&amp;". ")&amp;IF(LEN(IF(LEN(INDEX('Dealer pipeline'!$P$4:$P$503,_calc!$E$1000))=0,"",INDEX('Dealer pipeline'!$P$4:$P$503,_calc!$E$1000)))=0,"","Last touch: "&amp;IF(LEN(INDEX('Dealer pipeline'!$P$4:$P$503,_calc!$E$1000))=0,"",INDEX('Dealer pipeline'!$P$4:$P$503,_calc!$E$1000))&amp;". ")&amp;IF(LEN(IF(LEN(INDEX('Dealer pipeline'!$R$4:$R$503,_calc!$E$1000))=0,"",INDEX('Dealer pipeline'!$R$4:$R$503,_calc!$E$1000)))=0,"","Owner: "&amp;IF(LEN(INDEX('Dealer pipeline'!$R$4:$R$503,_calc!$E$1000))=0,"",INDEX('Dealer pipeline'!$R$4:$R$503,_calc!$E$1000))&amp;". ")&amp;IF(LEN(IF(LEN(INDEX('Dealer pipeline'!$S$4:$S$503,_calc!$E$1000))=0,"",INDEX('Dealer pipeline'!$S$4:$S$503,_calc!$E$1000)))=0,"","Backup: "&amp;IF(LEN(INDEX('Dealer pipeline'!$S$4:$S$503,_calc!$E$1000))=0,"",INDEX('Dealer pipeline'!$S$4:$S$503,_calc!$E$1000))&amp;". ")&amp;IF(LEN(IF(LEN(INDEX('Dealer pipeline'!$T$4:$T$503,_calc!$E$1000))=0,"",INDEX('Dealer pipeline'!$T$4:$T$503,_calc!$E$1000)))=0,"",IF(LEN(INDEX('Dealer pipeline'!$T$4:$T$503,_calc!$E$1000))=0,"",INDEX('Dealer pipeline'!$T$4:$T$503,_calc!$E$1000)))),TRIM(IF(LEN(IF(LEN(INDEX('My equipment'!$C$4:$C$503,(_calc!$E$1000-500)))=0,"",INDEX('My equipment'!$C$4:$C$503,(_calc!$E$1000-500))))=0,"","Model: "&amp;IF(LEN(INDEX('My equipment'!$C$4:$C$503,(_calc!$E$1000-500)))=0,"",INDEX('My equipment'!$C$4:$C$503,(_calc!$E$1000-500)))&amp;". ")&amp;IF(LEN(IF(LEN(INDEX('My equipment'!$D$4:$D$503,(_calc!$E$1000-500)))=0,"",INDEX('My equipment'!$D$4:$D$503,(_calc!$E$1000-500))))=0,"","Serial: "&amp;IF(LEN(INDEX('My equipment'!$D$4:$D$503,(_calc!$E$1000-500)))=0,"",INDEX('My equipment'!$D$4:$D$503,(_calc!$E$1000-500)))&amp;". ")&amp;IF(LEN(IF(ISNUMBER(INDEX('My equipment'!$J$4:$J$503,(_calc!$E$1000-500))),TEXT(INDEX('My equipment'!$J$4:$J$503,(_calc!$E$1000-500)),"yyyy-mm-dd"),""))=0,"","Parts end: "&amp;IF(ISNUMBER(INDEX('My equipment'!$J$4:$J$503,(_calc!$E$1000-500))),TEXT(INDEX('My equipment'!$J$4:$J$503,(_calc!$E$1000-500)),"yyyy-mm-dd"),"")&amp;". ")&amp;IF(LEN(IF(ISNUMBER(INDEX('My equipment'!$L$4:$L$503,(_calc!$E$1000-500))),TEXT(INDEX('My equipment'!$L$4:$L$503,(_calc!$E$1000-500)),"yyyy-mm-dd"),""))=0,"","Labor end: "&amp;IF(ISNUMBER(INDEX('My equipment'!$L$4:$L$503,(_calc!$E$1000-500))),TEXT(INDEX('My equipment'!$L$4:$L$503,(_calc!$E$1000-500)),"yyyy-mm-dd"),"")&amp;". ")&amp;IF(LEN(IF(ISNUMBER(INDEX('My equipment'!$P$4:$P$503,(_calc!$E$1000-500))),TEXT(INDEX('My equipment'!$P$4:$P$503,(_calc!$E$1000-500)),"yyyy-mm-dd"),""))=0,"","Check by: "&amp;IF(ISNUMBER(INDEX('My equipment'!$P$4:$P$503,(_calc!$E$1000-500))),TEXT(INDEX('My equipment'!$P$4:$P$503,(_calc!$E$1000-500)),"yyyy-mm-dd"),"")&amp;". ")&amp;IF(LEN(IF(LEN(INDEX('My equipment'!$Q$4:$Q$503,(_calc!$E$1000-500)))=0,"",INDEX('My equipment'!$Q$4:$Q$503,(_calc!$E$1000-500))))=0,"","Claim status: "&amp;IF(LEN(INDEX('My equipment'!$Q$4:$Q$503,(_calc!$E$1000-500)))=0,"",INDEX('My equipment'!$Q$4:$Q$503,(_calc!$E$1000-500)))&amp;". ")&amp;IF(LEN(IF(LEN(INDEX('My equipment'!$R$4:$R$503,(_calc!$E$1000-500)))=0,"",INDEX('My equipment'!$R$4:$R$503,(_calc!$E$1000-500))))=0,"","Claims contact: "&amp;IF(LEN(INDEX('My equipment'!$R$4:$R$503,(_calc!$E$1000-500)))=0,"",INDEX('My equipment'!$R$4:$R$503,(_calc!$E$1000-500)))&amp;". ")&amp;IF(LEN(IF(LEN(INDEX('My equipment'!$S$4:$S$503,(_calc!$E$1000-500)))=0,"",INDEX('My equipment'!$S$4:$S$503,(_calc!$E$1000-500))))=0,"","Claims email: "&amp;IF(LEN(INDEX('My equipment'!$S$4:$S$503,(_calc!$E$1000-500)))=0,"",INDEX('My equipment'!$S$4:$S$503,(_calc!$E$1000-500)))&amp;". ")&amp;IF(LEN(IF(LEN(INDEX('My equipment'!$U$4:$U$503,(_calc!$E$1000-500)))=0,"",INDEX('My equipment'!$U$4:$U$503,(_calc!$E$1000-500))))=0,"","Registered: "&amp;IF(LEN(INDEX('My equipment'!$U$4:$U$503,(_calc!$E$1000-500)))=0,"",INDEX('My equipment'!$U$4:$U$503,(_calc!$E$1000-500)))&amp;". ")&amp;IF(LEN(IF(LEN(INDEX('My equipment'!$V$4:$V$503,(_calc!$E$1000-500)))=0,"",INDEX('My equipment'!$V$4:$V$503,(_calc!$E$1000-500))))=0,"","Proof on file: "&amp;IF(LEN(INDEX('My equipment'!$V$4:$V$503,(_calc!$E$1000-500)))=0,"",INDEX('My equipment'!$V$4:$V$503,(_calc!$E$1000-500)))&amp;". ")&amp;IF(LEN(IF(LEN(INDEX('My equipment'!$W$4:$W$503,(_calc!$E$1000-500)))=0,"",INDEX('My equipment'!$W$4:$W$503,(_calc!$E$1000-500))))=0,"","Claim ref: "&amp;IF(LEN(INDEX('My equipment'!$W$4:$W$503,(_calc!$E$1000-500)))=0,"",INDEX('My equipment'!$W$4:$W$503,(_calc!$E$1000-500)))&amp;". ")&amp;IF(LEN(IF(LEN(INDEX('My equipment'!$Y$4:$Y$503,(_calc!$E$1000-500)))=0,"",INDEX('My equipment'!$Y$4:$Y$503,(_calc!$E$1000-500))))=0,"",IF(LEN(INDEX('My equipment'!$Y$4:$Y$503,(_calc!$E$1000-500)))=0,"",INDEX('My equipment'!$Y$4:$Y$503,(_calc!$E$1000-500)))))))</f>
        <v/>
      </c>
      <c r="G998" s="54">
        <f>IF(_calc!$E$1000="","",IF(_calc!$E$1000&lt;=500,"",IF(LEN(INDEX('My equipment'!$X$4:$X$503,(_calc!$E$1000-500)))=0,"",INDEX('My equipment'!$X$4:$X$503,(_calc!$E$1000-500)))))</f>
        <v/>
      </c>
      <c r="K998" s="54">
        <f>IF(_calc!$E$1000="","",IF(_calc!$E$1000&lt;=500,"",IF(LEN(INDEX('My equipment'!$T$4:$T$503,(_calc!$E$1000-500)))=0,"",INDEX('My equipment'!$T$4:$T$503,(_calc!$E$1000-500)))))</f>
        <v/>
      </c>
    </row>
    <row r="999">
      <c r="A999" s="54">
        <f>IF(_calc!$E$1001="","",IF(_calc!$E$1001&lt;=500,"Warranty – "&amp;IF(LEN(INDEX('Dealer pipeline'!$C$4:$C$503,_calc!$E$1001))=0,"",INDEX('Dealer pipeline'!$C$4:$C$503,_calc!$E$1001))&amp;" – "&amp;IF(LEN(INDEX('Dealer pipeline'!$D$4:$D$503,_calc!$E$1001))=0,"",INDEX('Dealer pipeline'!$D$4:$D$503,_calc!$E$1001))&amp;" – "&amp;IF(LEN(INDEX('Dealer pipeline'!$A$4:$A$503,_calc!$E$1001))=0,"",INDEX('Dealer pipeline'!$A$4:$A$503,_calc!$E$1001)),"Warranty – "&amp;IF(LEN(INDEX('My equipment'!$A$4:$A$503,(_calc!$E$1001-500)))=0,"",INDEX('My equipment'!$A$4:$A$503,(_calc!$E$1001-500)))&amp;" – "&amp;IF(LEN(INDEX('My equipment'!$D$4:$D$503,(_calc!$E$1001-500)))=0,"",INDEX('My equipment'!$D$4:$D$503,(_calc!$E$1001-500)))))</f>
        <v/>
      </c>
      <c r="B999" s="54">
        <f>IF(_calc!$E$1001="","",IF(_calc!$E$1001&lt;=500,IF(ISNUMBER(INDEX('Dealer pipeline'!$M$4:$M$503,_calc!$E$1001)),TEXT(INDEX('Dealer pipeline'!$M$4:$M$503,_calc!$E$1001),"yyyy-mm-dd"),""),IF(ISNUMBER(INDEX('My equipment'!$M$4:$M$503,(_calc!$E$1001-500))),TEXT(INDEX('My equipment'!$M$4:$M$503,(_calc!$E$1001-500)),"yyyy-mm-dd"),"")))</f>
        <v/>
      </c>
      <c r="C999" s="54">
        <f>IF(_calc!$E$1001="","",IF(_calc!$E$1001&lt;=500,"Warranty","Warranty"))</f>
        <v/>
      </c>
      <c r="D999" s="54">
        <f>IF(_calc!$E$1001="","",IF(_calc!$E$1001&lt;=500,IF(ISNUMBER(INDEX('Dealer pipeline'!$H$4:$H$503,_calc!$E$1001)),TEXT(INDEX('Dealer pipeline'!$H$4:$H$503,_calc!$E$1001),"yyyy-mm-dd"),""),IF(ISNUMBER(INDEX('My equipment'!$H$4:$H$503,(_calc!$E$1001-500))),TEXT(INDEX('My equipment'!$H$4:$H$503,(_calc!$E$1001-500)),"yyyy-mm-dd"),"")))</f>
        <v/>
      </c>
      <c r="F999" s="54">
        <f>IF(_calc!$E$1001="","",IF(_calc!$E$1001&lt;=500,TRIM(IF(LEN(IF(LEN(INDEX('Dealer pipeline'!$A$4:$A$503,_calc!$E$1001))=0,"",INDEX('Dealer pipeline'!$A$4:$A$503,_calc!$E$1001)))=0,"","Customer: "&amp;IF(LEN(INDEX('Dealer pipeline'!$A$4:$A$503,_calc!$E$1001))=0,"",INDEX('Dealer pipeline'!$A$4:$A$503,_calc!$E$1001))&amp;". ")&amp;IF(LEN(IF(LEN(INDEX('Dealer pipeline'!$B$4:$B$503,_calc!$E$1001))=0,"",INDEX('Dealer pipeline'!$B$4:$B$503,_calc!$E$1001)))=0,"","Contact: "&amp;IF(LEN(INDEX('Dealer pipeline'!$B$4:$B$503,_calc!$E$1001))=0,"",INDEX('Dealer pipeline'!$B$4:$B$503,_calc!$E$1001))&amp;". ")&amp;IF(LEN(IF(LEN(INDEX('Dealer pipeline'!$D$4:$D$503,_calc!$E$1001))=0,"",INDEX('Dealer pipeline'!$D$4:$D$503,_calc!$E$1001)))=0,"","Serial: "&amp;IF(LEN(INDEX('Dealer pipeline'!$D$4:$D$503,_calc!$E$1001))=0,"",INDEX('Dealer pipeline'!$D$4:$D$503,_calc!$E$1001))&amp;". ")&amp;IF(LEN(IF(ISNUMBER(INDEX('Dealer pipeline'!$J$4:$J$503,_calc!$E$1001)),TEXT(INDEX('Dealer pipeline'!$J$4:$J$503,_calc!$E$1001),"yyyy-mm-dd"),""))=0,"","Parts end: "&amp;IF(ISNUMBER(INDEX('Dealer pipeline'!$J$4:$J$503,_calc!$E$1001)),TEXT(INDEX('Dealer pipeline'!$J$4:$J$503,_calc!$E$1001),"yyyy-mm-dd"),"")&amp;". ")&amp;IF(LEN(IF(ISNUMBER(INDEX('Dealer pipeline'!$L$4:$L$503,_calc!$E$1001)),TEXT(INDEX('Dealer pipeline'!$L$4:$L$503,_calc!$E$1001),"yyyy-mm-dd"),""))=0,"","Labor end: "&amp;IF(ISNUMBER(INDEX('Dealer pipeline'!$L$4:$L$503,_calc!$E$1001)),TEXT(INDEX('Dealer pipeline'!$L$4:$L$503,_calc!$E$1001),"yyyy-mm-dd"),"")&amp;". ")&amp;IF(LEN(IF(LEN(INDEX('Dealer pipeline'!$Q$4:$Q$503,_calc!$E$1001))=0,"",INDEX('Dealer pipeline'!$Q$4:$Q$503,_calc!$E$1001)))=0,"","Status: "&amp;IF(LEN(INDEX('Dealer pipeline'!$Q$4:$Q$503,_calc!$E$1001))=0,"",INDEX('Dealer pipeline'!$Q$4:$Q$503,_calc!$E$1001))&amp;". ")&amp;IF(LEN(IF(LEN(INDEX('Dealer pipeline'!$P$4:$P$503,_calc!$E$1001))=0,"",INDEX('Dealer pipeline'!$P$4:$P$503,_calc!$E$1001)))=0,"","Last touch: "&amp;IF(LEN(INDEX('Dealer pipeline'!$P$4:$P$503,_calc!$E$1001))=0,"",INDEX('Dealer pipeline'!$P$4:$P$503,_calc!$E$1001))&amp;". ")&amp;IF(LEN(IF(LEN(INDEX('Dealer pipeline'!$R$4:$R$503,_calc!$E$1001))=0,"",INDEX('Dealer pipeline'!$R$4:$R$503,_calc!$E$1001)))=0,"","Owner: "&amp;IF(LEN(INDEX('Dealer pipeline'!$R$4:$R$503,_calc!$E$1001))=0,"",INDEX('Dealer pipeline'!$R$4:$R$503,_calc!$E$1001))&amp;". ")&amp;IF(LEN(IF(LEN(INDEX('Dealer pipeline'!$S$4:$S$503,_calc!$E$1001))=0,"",INDEX('Dealer pipeline'!$S$4:$S$503,_calc!$E$1001)))=0,"","Backup: "&amp;IF(LEN(INDEX('Dealer pipeline'!$S$4:$S$503,_calc!$E$1001))=0,"",INDEX('Dealer pipeline'!$S$4:$S$503,_calc!$E$1001))&amp;". ")&amp;IF(LEN(IF(LEN(INDEX('Dealer pipeline'!$T$4:$T$503,_calc!$E$1001))=0,"",INDEX('Dealer pipeline'!$T$4:$T$503,_calc!$E$1001)))=0,"",IF(LEN(INDEX('Dealer pipeline'!$T$4:$T$503,_calc!$E$1001))=0,"",INDEX('Dealer pipeline'!$T$4:$T$503,_calc!$E$1001)))),TRIM(IF(LEN(IF(LEN(INDEX('My equipment'!$C$4:$C$503,(_calc!$E$1001-500)))=0,"",INDEX('My equipment'!$C$4:$C$503,(_calc!$E$1001-500))))=0,"","Model: "&amp;IF(LEN(INDEX('My equipment'!$C$4:$C$503,(_calc!$E$1001-500)))=0,"",INDEX('My equipment'!$C$4:$C$503,(_calc!$E$1001-500)))&amp;". ")&amp;IF(LEN(IF(LEN(INDEX('My equipment'!$D$4:$D$503,(_calc!$E$1001-500)))=0,"",INDEX('My equipment'!$D$4:$D$503,(_calc!$E$1001-500))))=0,"","Serial: "&amp;IF(LEN(INDEX('My equipment'!$D$4:$D$503,(_calc!$E$1001-500)))=0,"",INDEX('My equipment'!$D$4:$D$503,(_calc!$E$1001-500)))&amp;". ")&amp;IF(LEN(IF(ISNUMBER(INDEX('My equipment'!$J$4:$J$503,(_calc!$E$1001-500))),TEXT(INDEX('My equipment'!$J$4:$J$503,(_calc!$E$1001-500)),"yyyy-mm-dd"),""))=0,"","Parts end: "&amp;IF(ISNUMBER(INDEX('My equipment'!$J$4:$J$503,(_calc!$E$1001-500))),TEXT(INDEX('My equipment'!$J$4:$J$503,(_calc!$E$1001-500)),"yyyy-mm-dd"),"")&amp;". ")&amp;IF(LEN(IF(ISNUMBER(INDEX('My equipment'!$L$4:$L$503,(_calc!$E$1001-500))),TEXT(INDEX('My equipment'!$L$4:$L$503,(_calc!$E$1001-500)),"yyyy-mm-dd"),""))=0,"","Labor end: "&amp;IF(ISNUMBER(INDEX('My equipment'!$L$4:$L$503,(_calc!$E$1001-500))),TEXT(INDEX('My equipment'!$L$4:$L$503,(_calc!$E$1001-500)),"yyyy-mm-dd"),"")&amp;". ")&amp;IF(LEN(IF(ISNUMBER(INDEX('My equipment'!$P$4:$P$503,(_calc!$E$1001-500))),TEXT(INDEX('My equipment'!$P$4:$P$503,(_calc!$E$1001-500)),"yyyy-mm-dd"),""))=0,"","Check by: "&amp;IF(ISNUMBER(INDEX('My equipment'!$P$4:$P$503,(_calc!$E$1001-500))),TEXT(INDEX('My equipment'!$P$4:$P$503,(_calc!$E$1001-500)),"yyyy-mm-dd"),"")&amp;". ")&amp;IF(LEN(IF(LEN(INDEX('My equipment'!$Q$4:$Q$503,(_calc!$E$1001-500)))=0,"",INDEX('My equipment'!$Q$4:$Q$503,(_calc!$E$1001-500))))=0,"","Claim status: "&amp;IF(LEN(INDEX('My equipment'!$Q$4:$Q$503,(_calc!$E$1001-500)))=0,"",INDEX('My equipment'!$Q$4:$Q$503,(_calc!$E$1001-500)))&amp;". ")&amp;IF(LEN(IF(LEN(INDEX('My equipment'!$R$4:$R$503,(_calc!$E$1001-500)))=0,"",INDEX('My equipment'!$R$4:$R$503,(_calc!$E$1001-500))))=0,"","Claims contact: "&amp;IF(LEN(INDEX('My equipment'!$R$4:$R$503,(_calc!$E$1001-500)))=0,"",INDEX('My equipment'!$R$4:$R$503,(_calc!$E$1001-500)))&amp;". ")&amp;IF(LEN(IF(LEN(INDEX('My equipment'!$S$4:$S$503,(_calc!$E$1001-500)))=0,"",INDEX('My equipment'!$S$4:$S$503,(_calc!$E$1001-500))))=0,"","Claims email: "&amp;IF(LEN(INDEX('My equipment'!$S$4:$S$503,(_calc!$E$1001-500)))=0,"",INDEX('My equipment'!$S$4:$S$503,(_calc!$E$1001-500)))&amp;". ")&amp;IF(LEN(IF(LEN(INDEX('My equipment'!$U$4:$U$503,(_calc!$E$1001-500)))=0,"",INDEX('My equipment'!$U$4:$U$503,(_calc!$E$1001-500))))=0,"","Registered: "&amp;IF(LEN(INDEX('My equipment'!$U$4:$U$503,(_calc!$E$1001-500)))=0,"",INDEX('My equipment'!$U$4:$U$503,(_calc!$E$1001-500)))&amp;". ")&amp;IF(LEN(IF(LEN(INDEX('My equipment'!$V$4:$V$503,(_calc!$E$1001-500)))=0,"",INDEX('My equipment'!$V$4:$V$503,(_calc!$E$1001-500))))=0,"","Proof on file: "&amp;IF(LEN(INDEX('My equipment'!$V$4:$V$503,(_calc!$E$1001-500)))=0,"",INDEX('My equipment'!$V$4:$V$503,(_calc!$E$1001-500)))&amp;". ")&amp;IF(LEN(IF(LEN(INDEX('My equipment'!$W$4:$W$503,(_calc!$E$1001-500)))=0,"",INDEX('My equipment'!$W$4:$W$503,(_calc!$E$1001-500))))=0,"","Claim ref: "&amp;IF(LEN(INDEX('My equipment'!$W$4:$W$503,(_calc!$E$1001-500)))=0,"",INDEX('My equipment'!$W$4:$W$503,(_calc!$E$1001-500)))&amp;". ")&amp;IF(LEN(IF(LEN(INDEX('My equipment'!$Y$4:$Y$503,(_calc!$E$1001-500)))=0,"",INDEX('My equipment'!$Y$4:$Y$503,(_calc!$E$1001-500))))=0,"",IF(LEN(INDEX('My equipment'!$Y$4:$Y$503,(_calc!$E$1001-500)))=0,"",INDEX('My equipment'!$Y$4:$Y$503,(_calc!$E$1001-500)))))))</f>
        <v/>
      </c>
      <c r="G999" s="54">
        <f>IF(_calc!$E$1001="","",IF(_calc!$E$1001&lt;=500,"",IF(LEN(INDEX('My equipment'!$X$4:$X$503,(_calc!$E$1001-500)))=0,"",INDEX('My equipment'!$X$4:$X$503,(_calc!$E$1001-500)))))</f>
        <v/>
      </c>
      <c r="K999" s="54">
        <f>IF(_calc!$E$1001="","",IF(_calc!$E$1001&lt;=500,"",IF(LEN(INDEX('My equipment'!$T$4:$T$503,(_calc!$E$1001-500)))=0,"",INDEX('My equipment'!$T$4:$T$503,(_calc!$E$1001-500)))))</f>
        <v/>
      </c>
    </row>
    <row r="1000">
      <c r="A1000" s="54">
        <f>IF(_calc!$E$1002="","",IF(_calc!$E$1002&lt;=500,"Warranty – "&amp;IF(LEN(INDEX('Dealer pipeline'!$C$4:$C$503,_calc!$E$1002))=0,"",INDEX('Dealer pipeline'!$C$4:$C$503,_calc!$E$1002))&amp;" – "&amp;IF(LEN(INDEX('Dealer pipeline'!$D$4:$D$503,_calc!$E$1002))=0,"",INDEX('Dealer pipeline'!$D$4:$D$503,_calc!$E$1002))&amp;" – "&amp;IF(LEN(INDEX('Dealer pipeline'!$A$4:$A$503,_calc!$E$1002))=0,"",INDEX('Dealer pipeline'!$A$4:$A$503,_calc!$E$1002)),"Warranty – "&amp;IF(LEN(INDEX('My equipment'!$A$4:$A$503,(_calc!$E$1002-500)))=0,"",INDEX('My equipment'!$A$4:$A$503,(_calc!$E$1002-500)))&amp;" – "&amp;IF(LEN(INDEX('My equipment'!$D$4:$D$503,(_calc!$E$1002-500)))=0,"",INDEX('My equipment'!$D$4:$D$503,(_calc!$E$1002-500)))))</f>
        <v/>
      </c>
      <c r="B1000" s="54">
        <f>IF(_calc!$E$1002="","",IF(_calc!$E$1002&lt;=500,IF(ISNUMBER(INDEX('Dealer pipeline'!$M$4:$M$503,_calc!$E$1002)),TEXT(INDEX('Dealer pipeline'!$M$4:$M$503,_calc!$E$1002),"yyyy-mm-dd"),""),IF(ISNUMBER(INDEX('My equipment'!$M$4:$M$503,(_calc!$E$1002-500))),TEXT(INDEX('My equipment'!$M$4:$M$503,(_calc!$E$1002-500)),"yyyy-mm-dd"),"")))</f>
        <v/>
      </c>
      <c r="C1000" s="54">
        <f>IF(_calc!$E$1002="","",IF(_calc!$E$1002&lt;=500,"Warranty","Warranty"))</f>
        <v/>
      </c>
      <c r="D1000" s="54">
        <f>IF(_calc!$E$1002="","",IF(_calc!$E$1002&lt;=500,IF(ISNUMBER(INDEX('Dealer pipeline'!$H$4:$H$503,_calc!$E$1002)),TEXT(INDEX('Dealer pipeline'!$H$4:$H$503,_calc!$E$1002),"yyyy-mm-dd"),""),IF(ISNUMBER(INDEX('My equipment'!$H$4:$H$503,(_calc!$E$1002-500))),TEXT(INDEX('My equipment'!$H$4:$H$503,(_calc!$E$1002-500)),"yyyy-mm-dd"),"")))</f>
        <v/>
      </c>
      <c r="F1000" s="54">
        <f>IF(_calc!$E$1002="","",IF(_calc!$E$1002&lt;=500,TRIM(IF(LEN(IF(LEN(INDEX('Dealer pipeline'!$A$4:$A$503,_calc!$E$1002))=0,"",INDEX('Dealer pipeline'!$A$4:$A$503,_calc!$E$1002)))=0,"","Customer: "&amp;IF(LEN(INDEX('Dealer pipeline'!$A$4:$A$503,_calc!$E$1002))=0,"",INDEX('Dealer pipeline'!$A$4:$A$503,_calc!$E$1002))&amp;". ")&amp;IF(LEN(IF(LEN(INDEX('Dealer pipeline'!$B$4:$B$503,_calc!$E$1002))=0,"",INDEX('Dealer pipeline'!$B$4:$B$503,_calc!$E$1002)))=0,"","Contact: "&amp;IF(LEN(INDEX('Dealer pipeline'!$B$4:$B$503,_calc!$E$1002))=0,"",INDEX('Dealer pipeline'!$B$4:$B$503,_calc!$E$1002))&amp;". ")&amp;IF(LEN(IF(LEN(INDEX('Dealer pipeline'!$D$4:$D$503,_calc!$E$1002))=0,"",INDEX('Dealer pipeline'!$D$4:$D$503,_calc!$E$1002)))=0,"","Serial: "&amp;IF(LEN(INDEX('Dealer pipeline'!$D$4:$D$503,_calc!$E$1002))=0,"",INDEX('Dealer pipeline'!$D$4:$D$503,_calc!$E$1002))&amp;". ")&amp;IF(LEN(IF(ISNUMBER(INDEX('Dealer pipeline'!$J$4:$J$503,_calc!$E$1002)),TEXT(INDEX('Dealer pipeline'!$J$4:$J$503,_calc!$E$1002),"yyyy-mm-dd"),""))=0,"","Parts end: "&amp;IF(ISNUMBER(INDEX('Dealer pipeline'!$J$4:$J$503,_calc!$E$1002)),TEXT(INDEX('Dealer pipeline'!$J$4:$J$503,_calc!$E$1002),"yyyy-mm-dd"),"")&amp;". ")&amp;IF(LEN(IF(ISNUMBER(INDEX('Dealer pipeline'!$L$4:$L$503,_calc!$E$1002)),TEXT(INDEX('Dealer pipeline'!$L$4:$L$503,_calc!$E$1002),"yyyy-mm-dd"),""))=0,"","Labor end: "&amp;IF(ISNUMBER(INDEX('Dealer pipeline'!$L$4:$L$503,_calc!$E$1002)),TEXT(INDEX('Dealer pipeline'!$L$4:$L$503,_calc!$E$1002),"yyyy-mm-dd"),"")&amp;". ")&amp;IF(LEN(IF(LEN(INDEX('Dealer pipeline'!$Q$4:$Q$503,_calc!$E$1002))=0,"",INDEX('Dealer pipeline'!$Q$4:$Q$503,_calc!$E$1002)))=0,"","Status: "&amp;IF(LEN(INDEX('Dealer pipeline'!$Q$4:$Q$503,_calc!$E$1002))=0,"",INDEX('Dealer pipeline'!$Q$4:$Q$503,_calc!$E$1002))&amp;". ")&amp;IF(LEN(IF(LEN(INDEX('Dealer pipeline'!$P$4:$P$503,_calc!$E$1002))=0,"",INDEX('Dealer pipeline'!$P$4:$P$503,_calc!$E$1002)))=0,"","Last touch: "&amp;IF(LEN(INDEX('Dealer pipeline'!$P$4:$P$503,_calc!$E$1002))=0,"",INDEX('Dealer pipeline'!$P$4:$P$503,_calc!$E$1002))&amp;". ")&amp;IF(LEN(IF(LEN(INDEX('Dealer pipeline'!$R$4:$R$503,_calc!$E$1002))=0,"",INDEX('Dealer pipeline'!$R$4:$R$503,_calc!$E$1002)))=0,"","Owner: "&amp;IF(LEN(INDEX('Dealer pipeline'!$R$4:$R$503,_calc!$E$1002))=0,"",INDEX('Dealer pipeline'!$R$4:$R$503,_calc!$E$1002))&amp;". ")&amp;IF(LEN(IF(LEN(INDEX('Dealer pipeline'!$S$4:$S$503,_calc!$E$1002))=0,"",INDEX('Dealer pipeline'!$S$4:$S$503,_calc!$E$1002)))=0,"","Backup: "&amp;IF(LEN(INDEX('Dealer pipeline'!$S$4:$S$503,_calc!$E$1002))=0,"",INDEX('Dealer pipeline'!$S$4:$S$503,_calc!$E$1002))&amp;". ")&amp;IF(LEN(IF(LEN(INDEX('Dealer pipeline'!$T$4:$T$503,_calc!$E$1002))=0,"",INDEX('Dealer pipeline'!$T$4:$T$503,_calc!$E$1002)))=0,"",IF(LEN(INDEX('Dealer pipeline'!$T$4:$T$503,_calc!$E$1002))=0,"",INDEX('Dealer pipeline'!$T$4:$T$503,_calc!$E$1002)))),TRIM(IF(LEN(IF(LEN(INDEX('My equipment'!$C$4:$C$503,(_calc!$E$1002-500)))=0,"",INDEX('My equipment'!$C$4:$C$503,(_calc!$E$1002-500))))=0,"","Model: "&amp;IF(LEN(INDEX('My equipment'!$C$4:$C$503,(_calc!$E$1002-500)))=0,"",INDEX('My equipment'!$C$4:$C$503,(_calc!$E$1002-500)))&amp;". ")&amp;IF(LEN(IF(LEN(INDEX('My equipment'!$D$4:$D$503,(_calc!$E$1002-500)))=0,"",INDEX('My equipment'!$D$4:$D$503,(_calc!$E$1002-500))))=0,"","Serial: "&amp;IF(LEN(INDEX('My equipment'!$D$4:$D$503,(_calc!$E$1002-500)))=0,"",INDEX('My equipment'!$D$4:$D$503,(_calc!$E$1002-500)))&amp;". ")&amp;IF(LEN(IF(ISNUMBER(INDEX('My equipment'!$J$4:$J$503,(_calc!$E$1002-500))),TEXT(INDEX('My equipment'!$J$4:$J$503,(_calc!$E$1002-500)),"yyyy-mm-dd"),""))=0,"","Parts end: "&amp;IF(ISNUMBER(INDEX('My equipment'!$J$4:$J$503,(_calc!$E$1002-500))),TEXT(INDEX('My equipment'!$J$4:$J$503,(_calc!$E$1002-500)),"yyyy-mm-dd"),"")&amp;". ")&amp;IF(LEN(IF(ISNUMBER(INDEX('My equipment'!$L$4:$L$503,(_calc!$E$1002-500))),TEXT(INDEX('My equipment'!$L$4:$L$503,(_calc!$E$1002-500)),"yyyy-mm-dd"),""))=0,"","Labor end: "&amp;IF(ISNUMBER(INDEX('My equipment'!$L$4:$L$503,(_calc!$E$1002-500))),TEXT(INDEX('My equipment'!$L$4:$L$503,(_calc!$E$1002-500)),"yyyy-mm-dd"),"")&amp;". ")&amp;IF(LEN(IF(ISNUMBER(INDEX('My equipment'!$P$4:$P$503,(_calc!$E$1002-500))),TEXT(INDEX('My equipment'!$P$4:$P$503,(_calc!$E$1002-500)),"yyyy-mm-dd"),""))=0,"","Check by: "&amp;IF(ISNUMBER(INDEX('My equipment'!$P$4:$P$503,(_calc!$E$1002-500))),TEXT(INDEX('My equipment'!$P$4:$P$503,(_calc!$E$1002-500)),"yyyy-mm-dd"),"")&amp;". ")&amp;IF(LEN(IF(LEN(INDEX('My equipment'!$Q$4:$Q$503,(_calc!$E$1002-500)))=0,"",INDEX('My equipment'!$Q$4:$Q$503,(_calc!$E$1002-500))))=0,"","Claim status: "&amp;IF(LEN(INDEX('My equipment'!$Q$4:$Q$503,(_calc!$E$1002-500)))=0,"",INDEX('My equipment'!$Q$4:$Q$503,(_calc!$E$1002-500)))&amp;". ")&amp;IF(LEN(IF(LEN(INDEX('My equipment'!$R$4:$R$503,(_calc!$E$1002-500)))=0,"",INDEX('My equipment'!$R$4:$R$503,(_calc!$E$1002-500))))=0,"","Claims contact: "&amp;IF(LEN(INDEX('My equipment'!$R$4:$R$503,(_calc!$E$1002-500)))=0,"",INDEX('My equipment'!$R$4:$R$503,(_calc!$E$1002-500)))&amp;". ")&amp;IF(LEN(IF(LEN(INDEX('My equipment'!$S$4:$S$503,(_calc!$E$1002-500)))=0,"",INDEX('My equipment'!$S$4:$S$503,(_calc!$E$1002-500))))=0,"","Claims email: "&amp;IF(LEN(INDEX('My equipment'!$S$4:$S$503,(_calc!$E$1002-500)))=0,"",INDEX('My equipment'!$S$4:$S$503,(_calc!$E$1002-500)))&amp;". ")&amp;IF(LEN(IF(LEN(INDEX('My equipment'!$U$4:$U$503,(_calc!$E$1002-500)))=0,"",INDEX('My equipment'!$U$4:$U$503,(_calc!$E$1002-500))))=0,"","Registered: "&amp;IF(LEN(INDEX('My equipment'!$U$4:$U$503,(_calc!$E$1002-500)))=0,"",INDEX('My equipment'!$U$4:$U$503,(_calc!$E$1002-500)))&amp;". ")&amp;IF(LEN(IF(LEN(INDEX('My equipment'!$V$4:$V$503,(_calc!$E$1002-500)))=0,"",INDEX('My equipment'!$V$4:$V$503,(_calc!$E$1002-500))))=0,"","Proof on file: "&amp;IF(LEN(INDEX('My equipment'!$V$4:$V$503,(_calc!$E$1002-500)))=0,"",INDEX('My equipment'!$V$4:$V$503,(_calc!$E$1002-500)))&amp;". ")&amp;IF(LEN(IF(LEN(INDEX('My equipment'!$W$4:$W$503,(_calc!$E$1002-500)))=0,"",INDEX('My equipment'!$W$4:$W$503,(_calc!$E$1002-500))))=0,"","Claim ref: "&amp;IF(LEN(INDEX('My equipment'!$W$4:$W$503,(_calc!$E$1002-500)))=0,"",INDEX('My equipment'!$W$4:$W$503,(_calc!$E$1002-500)))&amp;". ")&amp;IF(LEN(IF(LEN(INDEX('My equipment'!$Y$4:$Y$503,(_calc!$E$1002-500)))=0,"",INDEX('My equipment'!$Y$4:$Y$503,(_calc!$E$1002-500))))=0,"",IF(LEN(INDEX('My equipment'!$Y$4:$Y$503,(_calc!$E$1002-500)))=0,"",INDEX('My equipment'!$Y$4:$Y$503,(_calc!$E$1002-500)))))))</f>
        <v/>
      </c>
      <c r="G1000" s="54">
        <f>IF(_calc!$E$1002="","",IF(_calc!$E$1002&lt;=500,"",IF(LEN(INDEX('My equipment'!$X$4:$X$503,(_calc!$E$1002-500)))=0,"",INDEX('My equipment'!$X$4:$X$503,(_calc!$E$1002-500)))))</f>
        <v/>
      </c>
      <c r="K1000" s="54">
        <f>IF(_calc!$E$1002="","",IF(_calc!$E$1002&lt;=500,"",IF(LEN(INDEX('My equipment'!$T$4:$T$503,(_calc!$E$1002-500)))=0,"",INDEX('My equipment'!$T$4:$T$503,(_calc!$E$1002-500)))))</f>
        <v/>
      </c>
    </row>
    <row r="1001">
      <c r="A1001" s="54">
        <f>IF(_calc!$E$1003="","",IF(_calc!$E$1003&lt;=500,"Warranty – "&amp;IF(LEN(INDEX('Dealer pipeline'!$C$4:$C$503,_calc!$E$1003))=0,"",INDEX('Dealer pipeline'!$C$4:$C$503,_calc!$E$1003))&amp;" – "&amp;IF(LEN(INDEX('Dealer pipeline'!$D$4:$D$503,_calc!$E$1003))=0,"",INDEX('Dealer pipeline'!$D$4:$D$503,_calc!$E$1003))&amp;" – "&amp;IF(LEN(INDEX('Dealer pipeline'!$A$4:$A$503,_calc!$E$1003))=0,"",INDEX('Dealer pipeline'!$A$4:$A$503,_calc!$E$1003)),"Warranty – "&amp;IF(LEN(INDEX('My equipment'!$A$4:$A$503,(_calc!$E$1003-500)))=0,"",INDEX('My equipment'!$A$4:$A$503,(_calc!$E$1003-500)))&amp;" – "&amp;IF(LEN(INDEX('My equipment'!$D$4:$D$503,(_calc!$E$1003-500)))=0,"",INDEX('My equipment'!$D$4:$D$503,(_calc!$E$1003-500)))))</f>
        <v/>
      </c>
      <c r="B1001" s="54">
        <f>IF(_calc!$E$1003="","",IF(_calc!$E$1003&lt;=500,IF(ISNUMBER(INDEX('Dealer pipeline'!$M$4:$M$503,_calc!$E$1003)),TEXT(INDEX('Dealer pipeline'!$M$4:$M$503,_calc!$E$1003),"yyyy-mm-dd"),""),IF(ISNUMBER(INDEX('My equipment'!$M$4:$M$503,(_calc!$E$1003-500))),TEXT(INDEX('My equipment'!$M$4:$M$503,(_calc!$E$1003-500)),"yyyy-mm-dd"),"")))</f>
        <v/>
      </c>
      <c r="C1001" s="54">
        <f>IF(_calc!$E$1003="","",IF(_calc!$E$1003&lt;=500,"Warranty","Warranty"))</f>
        <v/>
      </c>
      <c r="D1001" s="54">
        <f>IF(_calc!$E$1003="","",IF(_calc!$E$1003&lt;=500,IF(ISNUMBER(INDEX('Dealer pipeline'!$H$4:$H$503,_calc!$E$1003)),TEXT(INDEX('Dealer pipeline'!$H$4:$H$503,_calc!$E$1003),"yyyy-mm-dd"),""),IF(ISNUMBER(INDEX('My equipment'!$H$4:$H$503,(_calc!$E$1003-500))),TEXT(INDEX('My equipment'!$H$4:$H$503,(_calc!$E$1003-500)),"yyyy-mm-dd"),"")))</f>
        <v/>
      </c>
      <c r="F1001" s="54">
        <f>IF(_calc!$E$1003="","",IF(_calc!$E$1003&lt;=500,TRIM(IF(LEN(IF(LEN(INDEX('Dealer pipeline'!$A$4:$A$503,_calc!$E$1003))=0,"",INDEX('Dealer pipeline'!$A$4:$A$503,_calc!$E$1003)))=0,"","Customer: "&amp;IF(LEN(INDEX('Dealer pipeline'!$A$4:$A$503,_calc!$E$1003))=0,"",INDEX('Dealer pipeline'!$A$4:$A$503,_calc!$E$1003))&amp;". ")&amp;IF(LEN(IF(LEN(INDEX('Dealer pipeline'!$B$4:$B$503,_calc!$E$1003))=0,"",INDEX('Dealer pipeline'!$B$4:$B$503,_calc!$E$1003)))=0,"","Contact: "&amp;IF(LEN(INDEX('Dealer pipeline'!$B$4:$B$503,_calc!$E$1003))=0,"",INDEX('Dealer pipeline'!$B$4:$B$503,_calc!$E$1003))&amp;". ")&amp;IF(LEN(IF(LEN(INDEX('Dealer pipeline'!$D$4:$D$503,_calc!$E$1003))=0,"",INDEX('Dealer pipeline'!$D$4:$D$503,_calc!$E$1003)))=0,"","Serial: "&amp;IF(LEN(INDEX('Dealer pipeline'!$D$4:$D$503,_calc!$E$1003))=0,"",INDEX('Dealer pipeline'!$D$4:$D$503,_calc!$E$1003))&amp;". ")&amp;IF(LEN(IF(ISNUMBER(INDEX('Dealer pipeline'!$J$4:$J$503,_calc!$E$1003)),TEXT(INDEX('Dealer pipeline'!$J$4:$J$503,_calc!$E$1003),"yyyy-mm-dd"),""))=0,"","Parts end: "&amp;IF(ISNUMBER(INDEX('Dealer pipeline'!$J$4:$J$503,_calc!$E$1003)),TEXT(INDEX('Dealer pipeline'!$J$4:$J$503,_calc!$E$1003),"yyyy-mm-dd"),"")&amp;". ")&amp;IF(LEN(IF(ISNUMBER(INDEX('Dealer pipeline'!$L$4:$L$503,_calc!$E$1003)),TEXT(INDEX('Dealer pipeline'!$L$4:$L$503,_calc!$E$1003),"yyyy-mm-dd"),""))=0,"","Labor end: "&amp;IF(ISNUMBER(INDEX('Dealer pipeline'!$L$4:$L$503,_calc!$E$1003)),TEXT(INDEX('Dealer pipeline'!$L$4:$L$503,_calc!$E$1003),"yyyy-mm-dd"),"")&amp;". ")&amp;IF(LEN(IF(LEN(INDEX('Dealer pipeline'!$Q$4:$Q$503,_calc!$E$1003))=0,"",INDEX('Dealer pipeline'!$Q$4:$Q$503,_calc!$E$1003)))=0,"","Status: "&amp;IF(LEN(INDEX('Dealer pipeline'!$Q$4:$Q$503,_calc!$E$1003))=0,"",INDEX('Dealer pipeline'!$Q$4:$Q$503,_calc!$E$1003))&amp;". ")&amp;IF(LEN(IF(LEN(INDEX('Dealer pipeline'!$P$4:$P$503,_calc!$E$1003))=0,"",INDEX('Dealer pipeline'!$P$4:$P$503,_calc!$E$1003)))=0,"","Last touch: "&amp;IF(LEN(INDEX('Dealer pipeline'!$P$4:$P$503,_calc!$E$1003))=0,"",INDEX('Dealer pipeline'!$P$4:$P$503,_calc!$E$1003))&amp;". ")&amp;IF(LEN(IF(LEN(INDEX('Dealer pipeline'!$R$4:$R$503,_calc!$E$1003))=0,"",INDEX('Dealer pipeline'!$R$4:$R$503,_calc!$E$1003)))=0,"","Owner: "&amp;IF(LEN(INDEX('Dealer pipeline'!$R$4:$R$503,_calc!$E$1003))=0,"",INDEX('Dealer pipeline'!$R$4:$R$503,_calc!$E$1003))&amp;". ")&amp;IF(LEN(IF(LEN(INDEX('Dealer pipeline'!$S$4:$S$503,_calc!$E$1003))=0,"",INDEX('Dealer pipeline'!$S$4:$S$503,_calc!$E$1003)))=0,"","Backup: "&amp;IF(LEN(INDEX('Dealer pipeline'!$S$4:$S$503,_calc!$E$1003))=0,"",INDEX('Dealer pipeline'!$S$4:$S$503,_calc!$E$1003))&amp;". ")&amp;IF(LEN(IF(LEN(INDEX('Dealer pipeline'!$T$4:$T$503,_calc!$E$1003))=0,"",INDEX('Dealer pipeline'!$T$4:$T$503,_calc!$E$1003)))=0,"",IF(LEN(INDEX('Dealer pipeline'!$T$4:$T$503,_calc!$E$1003))=0,"",INDEX('Dealer pipeline'!$T$4:$T$503,_calc!$E$1003)))),TRIM(IF(LEN(IF(LEN(INDEX('My equipment'!$C$4:$C$503,(_calc!$E$1003-500)))=0,"",INDEX('My equipment'!$C$4:$C$503,(_calc!$E$1003-500))))=0,"","Model: "&amp;IF(LEN(INDEX('My equipment'!$C$4:$C$503,(_calc!$E$1003-500)))=0,"",INDEX('My equipment'!$C$4:$C$503,(_calc!$E$1003-500)))&amp;". ")&amp;IF(LEN(IF(LEN(INDEX('My equipment'!$D$4:$D$503,(_calc!$E$1003-500)))=0,"",INDEX('My equipment'!$D$4:$D$503,(_calc!$E$1003-500))))=0,"","Serial: "&amp;IF(LEN(INDEX('My equipment'!$D$4:$D$503,(_calc!$E$1003-500)))=0,"",INDEX('My equipment'!$D$4:$D$503,(_calc!$E$1003-500)))&amp;". ")&amp;IF(LEN(IF(ISNUMBER(INDEX('My equipment'!$J$4:$J$503,(_calc!$E$1003-500))),TEXT(INDEX('My equipment'!$J$4:$J$503,(_calc!$E$1003-500)),"yyyy-mm-dd"),""))=0,"","Parts end: "&amp;IF(ISNUMBER(INDEX('My equipment'!$J$4:$J$503,(_calc!$E$1003-500))),TEXT(INDEX('My equipment'!$J$4:$J$503,(_calc!$E$1003-500)),"yyyy-mm-dd"),"")&amp;". ")&amp;IF(LEN(IF(ISNUMBER(INDEX('My equipment'!$L$4:$L$503,(_calc!$E$1003-500))),TEXT(INDEX('My equipment'!$L$4:$L$503,(_calc!$E$1003-500)),"yyyy-mm-dd"),""))=0,"","Labor end: "&amp;IF(ISNUMBER(INDEX('My equipment'!$L$4:$L$503,(_calc!$E$1003-500))),TEXT(INDEX('My equipment'!$L$4:$L$503,(_calc!$E$1003-500)),"yyyy-mm-dd"),"")&amp;". ")&amp;IF(LEN(IF(ISNUMBER(INDEX('My equipment'!$P$4:$P$503,(_calc!$E$1003-500))),TEXT(INDEX('My equipment'!$P$4:$P$503,(_calc!$E$1003-500)),"yyyy-mm-dd"),""))=0,"","Check by: "&amp;IF(ISNUMBER(INDEX('My equipment'!$P$4:$P$503,(_calc!$E$1003-500))),TEXT(INDEX('My equipment'!$P$4:$P$503,(_calc!$E$1003-500)),"yyyy-mm-dd"),"")&amp;". ")&amp;IF(LEN(IF(LEN(INDEX('My equipment'!$Q$4:$Q$503,(_calc!$E$1003-500)))=0,"",INDEX('My equipment'!$Q$4:$Q$503,(_calc!$E$1003-500))))=0,"","Claim status: "&amp;IF(LEN(INDEX('My equipment'!$Q$4:$Q$503,(_calc!$E$1003-500)))=0,"",INDEX('My equipment'!$Q$4:$Q$503,(_calc!$E$1003-500)))&amp;". ")&amp;IF(LEN(IF(LEN(INDEX('My equipment'!$R$4:$R$503,(_calc!$E$1003-500)))=0,"",INDEX('My equipment'!$R$4:$R$503,(_calc!$E$1003-500))))=0,"","Claims contact: "&amp;IF(LEN(INDEX('My equipment'!$R$4:$R$503,(_calc!$E$1003-500)))=0,"",INDEX('My equipment'!$R$4:$R$503,(_calc!$E$1003-500)))&amp;". ")&amp;IF(LEN(IF(LEN(INDEX('My equipment'!$S$4:$S$503,(_calc!$E$1003-500)))=0,"",INDEX('My equipment'!$S$4:$S$503,(_calc!$E$1003-500))))=0,"","Claims email: "&amp;IF(LEN(INDEX('My equipment'!$S$4:$S$503,(_calc!$E$1003-500)))=0,"",INDEX('My equipment'!$S$4:$S$503,(_calc!$E$1003-500)))&amp;". ")&amp;IF(LEN(IF(LEN(INDEX('My equipment'!$U$4:$U$503,(_calc!$E$1003-500)))=0,"",INDEX('My equipment'!$U$4:$U$503,(_calc!$E$1003-500))))=0,"","Registered: "&amp;IF(LEN(INDEX('My equipment'!$U$4:$U$503,(_calc!$E$1003-500)))=0,"",INDEX('My equipment'!$U$4:$U$503,(_calc!$E$1003-500)))&amp;". ")&amp;IF(LEN(IF(LEN(INDEX('My equipment'!$V$4:$V$503,(_calc!$E$1003-500)))=0,"",INDEX('My equipment'!$V$4:$V$503,(_calc!$E$1003-500))))=0,"","Proof on file: "&amp;IF(LEN(INDEX('My equipment'!$V$4:$V$503,(_calc!$E$1003-500)))=0,"",INDEX('My equipment'!$V$4:$V$503,(_calc!$E$1003-500)))&amp;". ")&amp;IF(LEN(IF(LEN(INDEX('My equipment'!$W$4:$W$503,(_calc!$E$1003-500)))=0,"",INDEX('My equipment'!$W$4:$W$503,(_calc!$E$1003-500))))=0,"","Claim ref: "&amp;IF(LEN(INDEX('My equipment'!$W$4:$W$503,(_calc!$E$1003-500)))=0,"",INDEX('My equipment'!$W$4:$W$503,(_calc!$E$1003-500)))&amp;". ")&amp;IF(LEN(IF(LEN(INDEX('My equipment'!$Y$4:$Y$503,(_calc!$E$1003-500)))=0,"",INDEX('My equipment'!$Y$4:$Y$503,(_calc!$E$1003-500))))=0,"",IF(LEN(INDEX('My equipment'!$Y$4:$Y$503,(_calc!$E$1003-500)))=0,"",INDEX('My equipment'!$Y$4:$Y$503,(_calc!$E$1003-500)))))))</f>
        <v/>
      </c>
      <c r="G1001" s="54">
        <f>IF(_calc!$E$1003="","",IF(_calc!$E$1003&lt;=500,"",IF(LEN(INDEX('My equipment'!$X$4:$X$503,(_calc!$E$1003-500)))=0,"",INDEX('My equipment'!$X$4:$X$503,(_calc!$E$1003-500)))))</f>
        <v/>
      </c>
      <c r="K1001" s="54">
        <f>IF(_calc!$E$1003="","",IF(_calc!$E$1003&lt;=500,"",IF(LEN(INDEX('My equipment'!$T$4:$T$503,(_calc!$E$1003-500)))=0,"",INDEX('My equipment'!$T$4:$T$503,(_calc!$E$1003-500)))))</f>
        <v/>
      </c>
    </row>
  </sheetData>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A1:E7"/>
  <sheetViews>
    <sheetView showGridLines="0" tabSelected="0" workbookViewId="0">
      <pane ySplit="1" topLeftCell="A2" activePane="bottomLeft" state="frozen"/>
      <selection pane="bottomLeft" activeCell="A1" sqref="A1"/>
    </sheetView>
  </sheetViews>
  <sheetFormatPr baseColWidth="8" defaultRowHeight="15"/>
  <cols>
    <col width="20" customWidth="1" min="1" max="1"/>
    <col width="16" customWidth="1" min="3" max="3"/>
    <col width="50" customWidth="1" min="5" max="5"/>
  </cols>
  <sheetData>
    <row r="1">
      <c r="A1" s="19" t="inlineStr">
        <is>
          <t>Category</t>
        </is>
      </c>
      <c r="C1" s="19" t="inlineStr">
        <is>
          <t>Priority</t>
        </is>
      </c>
      <c r="E1" s="55" t="inlineStr">
        <is>
          <t>About these lists</t>
        </is>
      </c>
    </row>
    <row r="2">
      <c r="A2" s="54" t="inlineStr">
        <is>
          <t>Production</t>
        </is>
      </c>
      <c r="C2" s="54" t="inlineStr">
        <is>
          <t>Low</t>
        </is>
      </c>
      <c r="E2" s="7" t="inlineStr">
        <is>
          <t>These feed the dropdowns. To add an option, insert a row inside a list (above its last item) so the dropdown range grows with it. Priority must stay Low, Medium or High: ExpiryEdge imports those three values.</t>
        </is>
      </c>
    </row>
    <row r="3">
      <c r="A3" s="54" t="inlineStr">
        <is>
          <t>Office &amp; IT</t>
        </is>
      </c>
      <c r="C3" s="54" t="inlineStr">
        <is>
          <t>Medium</t>
        </is>
      </c>
    </row>
    <row r="4">
      <c r="A4" s="54" t="inlineStr">
        <is>
          <t>Vehicles</t>
        </is>
      </c>
      <c r="C4" s="54" t="inlineStr">
        <is>
          <t>High</t>
        </is>
      </c>
    </row>
    <row r="5">
      <c r="A5" s="54" t="inlineStr">
        <is>
          <t>Building services</t>
        </is>
      </c>
    </row>
    <row r="6">
      <c r="A6" s="54" t="inlineStr">
        <is>
          <t>Kitchen</t>
        </is>
      </c>
    </row>
    <row r="7">
      <c r="A7" s="54" t="inlineStr">
        <is>
          <t>Other</t>
        </is>
      </c>
    </row>
  </sheetData>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3:J1003"/>
  <sheetViews>
    <sheetView tabSelected="0" workbookViewId="0">
      <selection activeCell="A1" sqref="A1"/>
    </sheetView>
  </sheetViews>
  <sheetFormatPr baseColWidth="8" defaultRowHeight="15"/>
  <sheetData>
    <row r="3">
      <c r="A3" t="inlineStr">
        <is>
          <t>next_key</t>
        </is>
      </c>
      <c r="B3" t="inlineStr">
        <is>
          <t>import_seq</t>
        </is>
      </c>
      <c r="C3" t="inlineStr">
        <is>
          <t>kth_key</t>
        </is>
      </c>
      <c r="D3" t="inlineStr">
        <is>
          <t>kth_pos</t>
        </is>
      </c>
      <c r="E3" t="inlineStr">
        <is>
          <t>import_pos</t>
        </is>
      </c>
      <c r="G3" t="inlineStr">
        <is>
          <t>Dealer pipeline key</t>
        </is>
      </c>
      <c r="H3" t="inlineStr">
        <is>
          <t>Dealer pipeline pos</t>
        </is>
      </c>
      <c r="I3" t="inlineStr">
        <is>
          <t>My equipment key</t>
        </is>
      </c>
      <c r="J3" t="inlineStr">
        <is>
          <t>My equipment pos</t>
        </is>
      </c>
    </row>
    <row r="4">
      <c r="A4">
        <f>IF(AND(LEN('Dealer pipeline'!A4)&gt;0,ISNUMBER('Dealer pipeline'!M4),'Dealer pipeline'!Q4&lt;&gt;"Taken",'Dealer pipeline'!Q4&lt;&gt;"Declined"),'Dealer pipeline'!M4+1/100000,"")</f>
        <v/>
      </c>
      <c r="B4">
        <f>IF(AND(LEN('Dealer pipeline'!A4)&gt;0,ISNUMBER('Dealer pipeline'!M4)),MAX($B$3:B3)+1,"")</f>
        <v/>
      </c>
      <c r="C4">
        <f>IFERROR(SMALL($A$4:$A$1003,1),"")</f>
        <v/>
      </c>
      <c r="D4">
        <f>IF(C4="","",MATCH(C4,$A$4:$A$1003,0))</f>
        <v/>
      </c>
      <c r="E4">
        <f>IFERROR(MATCH(1,$B$4:$B$1003,0),"")</f>
        <v/>
      </c>
      <c r="G4">
        <f>IFERROR(SMALL($A$4:$A$503,1),"")</f>
        <v/>
      </c>
      <c r="H4">
        <f>IF(G4="","",MATCH(G4,$A$4:$A$503,0))</f>
        <v/>
      </c>
      <c r="I4">
        <f>IFERROR(SMALL($A$504:$A$1003,1),"")</f>
        <v/>
      </c>
      <c r="J4">
        <f>IF(I4="","",MATCH(I4,$A$504:$A$1003,0))</f>
        <v/>
      </c>
    </row>
    <row r="5">
      <c r="A5">
        <f>IF(AND(LEN('Dealer pipeline'!A5)&gt;0,ISNUMBER('Dealer pipeline'!M5),'Dealer pipeline'!Q5&lt;&gt;"Taken",'Dealer pipeline'!Q5&lt;&gt;"Declined"),'Dealer pipeline'!M5+2/100000,"")</f>
        <v/>
      </c>
      <c r="B5">
        <f>IF(AND(LEN('Dealer pipeline'!A5)&gt;0,ISNUMBER('Dealer pipeline'!M5)),MAX($B$3:B4)+1,"")</f>
        <v/>
      </c>
      <c r="C5">
        <f>IFERROR(SMALL($A$4:$A$1003,2),"")</f>
        <v/>
      </c>
      <c r="D5">
        <f>IF(C5="","",MATCH(C5,$A$4:$A$1003,0))</f>
        <v/>
      </c>
      <c r="E5">
        <f>IFERROR(MATCH(2,$B$4:$B$1003,0),"")</f>
        <v/>
      </c>
      <c r="G5">
        <f>IFERROR(SMALL($A$4:$A$503,2),"")</f>
        <v/>
      </c>
      <c r="H5">
        <f>IF(G5="","",MATCH(G5,$A$4:$A$503,0))</f>
        <v/>
      </c>
      <c r="I5">
        <f>IFERROR(SMALL($A$504:$A$1003,2),"")</f>
        <v/>
      </c>
      <c r="J5">
        <f>IF(I5="","",MATCH(I5,$A$504:$A$1003,0))</f>
        <v/>
      </c>
    </row>
    <row r="6">
      <c r="A6">
        <f>IF(AND(LEN('Dealer pipeline'!A6)&gt;0,ISNUMBER('Dealer pipeline'!M6),'Dealer pipeline'!Q6&lt;&gt;"Taken",'Dealer pipeline'!Q6&lt;&gt;"Declined"),'Dealer pipeline'!M6+3/100000,"")</f>
        <v/>
      </c>
      <c r="B6">
        <f>IF(AND(LEN('Dealer pipeline'!A6)&gt;0,ISNUMBER('Dealer pipeline'!M6)),MAX($B$3:B5)+1,"")</f>
        <v/>
      </c>
      <c r="C6">
        <f>IFERROR(SMALL($A$4:$A$1003,3),"")</f>
        <v/>
      </c>
      <c r="D6">
        <f>IF(C6="","",MATCH(C6,$A$4:$A$1003,0))</f>
        <v/>
      </c>
      <c r="E6">
        <f>IFERROR(MATCH(3,$B$4:$B$1003,0),"")</f>
        <v/>
      </c>
      <c r="G6">
        <f>IFERROR(SMALL($A$4:$A$503,3),"")</f>
        <v/>
      </c>
      <c r="H6">
        <f>IF(G6="","",MATCH(G6,$A$4:$A$503,0))</f>
        <v/>
      </c>
      <c r="I6">
        <f>IFERROR(SMALL($A$504:$A$1003,3),"")</f>
        <v/>
      </c>
      <c r="J6">
        <f>IF(I6="","",MATCH(I6,$A$504:$A$1003,0))</f>
        <v/>
      </c>
    </row>
    <row r="7">
      <c r="A7">
        <f>IF(AND(LEN('Dealer pipeline'!A7)&gt;0,ISNUMBER('Dealer pipeline'!M7),'Dealer pipeline'!Q7&lt;&gt;"Taken",'Dealer pipeline'!Q7&lt;&gt;"Declined"),'Dealer pipeline'!M7+4/100000,"")</f>
        <v/>
      </c>
      <c r="B7">
        <f>IF(AND(LEN('Dealer pipeline'!A7)&gt;0,ISNUMBER('Dealer pipeline'!M7)),MAX($B$3:B6)+1,"")</f>
        <v/>
      </c>
      <c r="C7">
        <f>IFERROR(SMALL($A$4:$A$1003,4),"")</f>
        <v/>
      </c>
      <c r="D7">
        <f>IF(C7="","",MATCH(C7,$A$4:$A$1003,0))</f>
        <v/>
      </c>
      <c r="E7">
        <f>IFERROR(MATCH(4,$B$4:$B$1003,0),"")</f>
        <v/>
      </c>
      <c r="G7">
        <f>IFERROR(SMALL($A$4:$A$503,4),"")</f>
        <v/>
      </c>
      <c r="H7">
        <f>IF(G7="","",MATCH(G7,$A$4:$A$503,0))</f>
        <v/>
      </c>
      <c r="I7">
        <f>IFERROR(SMALL($A$504:$A$1003,4),"")</f>
        <v/>
      </c>
      <c r="J7">
        <f>IF(I7="","",MATCH(I7,$A$504:$A$1003,0))</f>
        <v/>
      </c>
    </row>
    <row r="8">
      <c r="A8">
        <f>IF(AND(LEN('Dealer pipeline'!A8)&gt;0,ISNUMBER('Dealer pipeline'!M8),'Dealer pipeline'!Q8&lt;&gt;"Taken",'Dealer pipeline'!Q8&lt;&gt;"Declined"),'Dealer pipeline'!M8+5/100000,"")</f>
        <v/>
      </c>
      <c r="B8">
        <f>IF(AND(LEN('Dealer pipeline'!A8)&gt;0,ISNUMBER('Dealer pipeline'!M8)),MAX($B$3:B7)+1,"")</f>
        <v/>
      </c>
      <c r="C8">
        <f>IFERROR(SMALL($A$4:$A$1003,5),"")</f>
        <v/>
      </c>
      <c r="D8">
        <f>IF(C8="","",MATCH(C8,$A$4:$A$1003,0))</f>
        <v/>
      </c>
      <c r="E8">
        <f>IFERROR(MATCH(5,$B$4:$B$1003,0),"")</f>
        <v/>
      </c>
      <c r="G8">
        <f>IFERROR(SMALL($A$4:$A$503,5),"")</f>
        <v/>
      </c>
      <c r="H8">
        <f>IF(G8="","",MATCH(G8,$A$4:$A$503,0))</f>
        <v/>
      </c>
      <c r="I8">
        <f>IFERROR(SMALL($A$504:$A$1003,5),"")</f>
        <v/>
      </c>
      <c r="J8">
        <f>IF(I8="","",MATCH(I8,$A$504:$A$1003,0))</f>
        <v/>
      </c>
    </row>
    <row r="9">
      <c r="A9">
        <f>IF(AND(LEN('Dealer pipeline'!A9)&gt;0,ISNUMBER('Dealer pipeline'!M9),'Dealer pipeline'!Q9&lt;&gt;"Taken",'Dealer pipeline'!Q9&lt;&gt;"Declined"),'Dealer pipeline'!M9+6/100000,"")</f>
        <v/>
      </c>
      <c r="B9">
        <f>IF(AND(LEN('Dealer pipeline'!A9)&gt;0,ISNUMBER('Dealer pipeline'!M9)),MAX($B$3:B8)+1,"")</f>
        <v/>
      </c>
      <c r="C9">
        <f>IFERROR(SMALL($A$4:$A$1003,6),"")</f>
        <v/>
      </c>
      <c r="D9">
        <f>IF(C9="","",MATCH(C9,$A$4:$A$1003,0))</f>
        <v/>
      </c>
      <c r="E9">
        <f>IFERROR(MATCH(6,$B$4:$B$1003,0),"")</f>
        <v/>
      </c>
      <c r="G9">
        <f>IFERROR(SMALL($A$4:$A$503,6),"")</f>
        <v/>
      </c>
      <c r="H9">
        <f>IF(G9="","",MATCH(G9,$A$4:$A$503,0))</f>
        <v/>
      </c>
      <c r="I9">
        <f>IFERROR(SMALL($A$504:$A$1003,6),"")</f>
        <v/>
      </c>
      <c r="J9">
        <f>IF(I9="","",MATCH(I9,$A$504:$A$1003,0))</f>
        <v/>
      </c>
    </row>
    <row r="10">
      <c r="A10">
        <f>IF(AND(LEN('Dealer pipeline'!A10)&gt;0,ISNUMBER('Dealer pipeline'!M10),'Dealer pipeline'!Q10&lt;&gt;"Taken",'Dealer pipeline'!Q10&lt;&gt;"Declined"),'Dealer pipeline'!M10+7/100000,"")</f>
        <v/>
      </c>
      <c r="B10">
        <f>IF(AND(LEN('Dealer pipeline'!A10)&gt;0,ISNUMBER('Dealer pipeline'!M10)),MAX($B$3:B9)+1,"")</f>
        <v/>
      </c>
      <c r="C10">
        <f>IFERROR(SMALL($A$4:$A$1003,7),"")</f>
        <v/>
      </c>
      <c r="D10">
        <f>IF(C10="","",MATCH(C10,$A$4:$A$1003,0))</f>
        <v/>
      </c>
      <c r="E10">
        <f>IFERROR(MATCH(7,$B$4:$B$1003,0),"")</f>
        <v/>
      </c>
      <c r="G10">
        <f>IFERROR(SMALL($A$4:$A$503,7),"")</f>
        <v/>
      </c>
      <c r="H10">
        <f>IF(G10="","",MATCH(G10,$A$4:$A$503,0))</f>
        <v/>
      </c>
      <c r="I10">
        <f>IFERROR(SMALL($A$504:$A$1003,7),"")</f>
        <v/>
      </c>
      <c r="J10">
        <f>IF(I10="","",MATCH(I10,$A$504:$A$1003,0))</f>
        <v/>
      </c>
    </row>
    <row r="11">
      <c r="A11">
        <f>IF(AND(LEN('Dealer pipeline'!A11)&gt;0,ISNUMBER('Dealer pipeline'!M11),'Dealer pipeline'!Q11&lt;&gt;"Taken",'Dealer pipeline'!Q11&lt;&gt;"Declined"),'Dealer pipeline'!M11+8/100000,"")</f>
        <v/>
      </c>
      <c r="B11">
        <f>IF(AND(LEN('Dealer pipeline'!A11)&gt;0,ISNUMBER('Dealer pipeline'!M11)),MAX($B$3:B10)+1,"")</f>
        <v/>
      </c>
      <c r="C11">
        <f>IFERROR(SMALL($A$4:$A$1003,8),"")</f>
        <v/>
      </c>
      <c r="D11">
        <f>IF(C11="","",MATCH(C11,$A$4:$A$1003,0))</f>
        <v/>
      </c>
      <c r="E11">
        <f>IFERROR(MATCH(8,$B$4:$B$1003,0),"")</f>
        <v/>
      </c>
      <c r="G11">
        <f>IFERROR(SMALL($A$4:$A$503,8),"")</f>
        <v/>
      </c>
      <c r="H11">
        <f>IF(G11="","",MATCH(G11,$A$4:$A$503,0))</f>
        <v/>
      </c>
      <c r="I11">
        <f>IFERROR(SMALL($A$504:$A$1003,8),"")</f>
        <v/>
      </c>
      <c r="J11">
        <f>IF(I11="","",MATCH(I11,$A$504:$A$1003,0))</f>
        <v/>
      </c>
    </row>
    <row r="12">
      <c r="A12">
        <f>IF(AND(LEN('Dealer pipeline'!A12)&gt;0,ISNUMBER('Dealer pipeline'!M12),'Dealer pipeline'!Q12&lt;&gt;"Taken",'Dealer pipeline'!Q12&lt;&gt;"Declined"),'Dealer pipeline'!M12+9/100000,"")</f>
        <v/>
      </c>
      <c r="B12">
        <f>IF(AND(LEN('Dealer pipeline'!A12)&gt;0,ISNUMBER('Dealer pipeline'!M12)),MAX($B$3:B11)+1,"")</f>
        <v/>
      </c>
      <c r="C12">
        <f>IFERROR(SMALL($A$4:$A$1003,9),"")</f>
        <v/>
      </c>
      <c r="D12">
        <f>IF(C12="","",MATCH(C12,$A$4:$A$1003,0))</f>
        <v/>
      </c>
      <c r="E12">
        <f>IFERROR(MATCH(9,$B$4:$B$1003,0),"")</f>
        <v/>
      </c>
      <c r="G12">
        <f>IFERROR(SMALL($A$4:$A$503,9),"")</f>
        <v/>
      </c>
      <c r="H12">
        <f>IF(G12="","",MATCH(G12,$A$4:$A$503,0))</f>
        <v/>
      </c>
      <c r="I12">
        <f>IFERROR(SMALL($A$504:$A$1003,9),"")</f>
        <v/>
      </c>
      <c r="J12">
        <f>IF(I12="","",MATCH(I12,$A$504:$A$1003,0))</f>
        <v/>
      </c>
    </row>
    <row r="13">
      <c r="A13">
        <f>IF(AND(LEN('Dealer pipeline'!A13)&gt;0,ISNUMBER('Dealer pipeline'!M13),'Dealer pipeline'!Q13&lt;&gt;"Taken",'Dealer pipeline'!Q13&lt;&gt;"Declined"),'Dealer pipeline'!M13+10/100000,"")</f>
        <v/>
      </c>
      <c r="B13">
        <f>IF(AND(LEN('Dealer pipeline'!A13)&gt;0,ISNUMBER('Dealer pipeline'!M13)),MAX($B$3:B12)+1,"")</f>
        <v/>
      </c>
      <c r="C13">
        <f>IFERROR(SMALL($A$4:$A$1003,10),"")</f>
        <v/>
      </c>
      <c r="D13">
        <f>IF(C13="","",MATCH(C13,$A$4:$A$1003,0))</f>
        <v/>
      </c>
      <c r="E13">
        <f>IFERROR(MATCH(10,$B$4:$B$1003,0),"")</f>
        <v/>
      </c>
      <c r="G13">
        <f>IFERROR(SMALL($A$4:$A$503,10),"")</f>
        <v/>
      </c>
      <c r="H13">
        <f>IF(G13="","",MATCH(G13,$A$4:$A$503,0))</f>
        <v/>
      </c>
      <c r="I13">
        <f>IFERROR(SMALL($A$504:$A$1003,10),"")</f>
        <v/>
      </c>
      <c r="J13">
        <f>IF(I13="","",MATCH(I13,$A$504:$A$1003,0))</f>
        <v/>
      </c>
    </row>
    <row r="14">
      <c r="A14">
        <f>IF(AND(LEN('Dealer pipeline'!A14)&gt;0,ISNUMBER('Dealer pipeline'!M14),'Dealer pipeline'!Q14&lt;&gt;"Taken",'Dealer pipeline'!Q14&lt;&gt;"Declined"),'Dealer pipeline'!M14+11/100000,"")</f>
        <v/>
      </c>
      <c r="B14">
        <f>IF(AND(LEN('Dealer pipeline'!A14)&gt;0,ISNUMBER('Dealer pipeline'!M14)),MAX($B$3:B13)+1,"")</f>
        <v/>
      </c>
      <c r="E14">
        <f>IFERROR(MATCH(11,$B$4:$B$1003,0),"")</f>
        <v/>
      </c>
    </row>
    <row r="15">
      <c r="A15">
        <f>IF(AND(LEN('Dealer pipeline'!A15)&gt;0,ISNUMBER('Dealer pipeline'!M15),'Dealer pipeline'!Q15&lt;&gt;"Taken",'Dealer pipeline'!Q15&lt;&gt;"Declined"),'Dealer pipeline'!M15+12/100000,"")</f>
        <v/>
      </c>
      <c r="B15">
        <f>IF(AND(LEN('Dealer pipeline'!A15)&gt;0,ISNUMBER('Dealer pipeline'!M15)),MAX($B$3:B14)+1,"")</f>
        <v/>
      </c>
      <c r="E15">
        <f>IFERROR(MATCH(12,$B$4:$B$1003,0),"")</f>
        <v/>
      </c>
    </row>
    <row r="16">
      <c r="A16">
        <f>IF(AND(LEN('Dealer pipeline'!A16)&gt;0,ISNUMBER('Dealer pipeline'!M16),'Dealer pipeline'!Q16&lt;&gt;"Taken",'Dealer pipeline'!Q16&lt;&gt;"Declined"),'Dealer pipeline'!M16+13/100000,"")</f>
        <v/>
      </c>
      <c r="B16">
        <f>IF(AND(LEN('Dealer pipeline'!A16)&gt;0,ISNUMBER('Dealer pipeline'!M16)),MAX($B$3:B15)+1,"")</f>
        <v/>
      </c>
      <c r="E16">
        <f>IFERROR(MATCH(13,$B$4:$B$1003,0),"")</f>
        <v/>
      </c>
    </row>
    <row r="17">
      <c r="A17">
        <f>IF(AND(LEN('Dealer pipeline'!A17)&gt;0,ISNUMBER('Dealer pipeline'!M17),'Dealer pipeline'!Q17&lt;&gt;"Taken",'Dealer pipeline'!Q17&lt;&gt;"Declined"),'Dealer pipeline'!M17+14/100000,"")</f>
        <v/>
      </c>
      <c r="B17">
        <f>IF(AND(LEN('Dealer pipeline'!A17)&gt;0,ISNUMBER('Dealer pipeline'!M17)),MAX($B$3:B16)+1,"")</f>
        <v/>
      </c>
      <c r="E17">
        <f>IFERROR(MATCH(14,$B$4:$B$1003,0),"")</f>
        <v/>
      </c>
    </row>
    <row r="18">
      <c r="A18">
        <f>IF(AND(LEN('Dealer pipeline'!A18)&gt;0,ISNUMBER('Dealer pipeline'!M18),'Dealer pipeline'!Q18&lt;&gt;"Taken",'Dealer pipeline'!Q18&lt;&gt;"Declined"),'Dealer pipeline'!M18+15/100000,"")</f>
        <v/>
      </c>
      <c r="B18">
        <f>IF(AND(LEN('Dealer pipeline'!A18)&gt;0,ISNUMBER('Dealer pipeline'!M18)),MAX($B$3:B17)+1,"")</f>
        <v/>
      </c>
      <c r="E18">
        <f>IFERROR(MATCH(15,$B$4:$B$1003,0),"")</f>
        <v/>
      </c>
    </row>
    <row r="19">
      <c r="A19">
        <f>IF(AND(LEN('Dealer pipeline'!A19)&gt;0,ISNUMBER('Dealer pipeline'!M19),'Dealer pipeline'!Q19&lt;&gt;"Taken",'Dealer pipeline'!Q19&lt;&gt;"Declined"),'Dealer pipeline'!M19+16/100000,"")</f>
        <v/>
      </c>
      <c r="B19">
        <f>IF(AND(LEN('Dealer pipeline'!A19)&gt;0,ISNUMBER('Dealer pipeline'!M19)),MAX($B$3:B18)+1,"")</f>
        <v/>
      </c>
      <c r="E19">
        <f>IFERROR(MATCH(16,$B$4:$B$1003,0),"")</f>
        <v/>
      </c>
    </row>
    <row r="20">
      <c r="A20">
        <f>IF(AND(LEN('Dealer pipeline'!A20)&gt;0,ISNUMBER('Dealer pipeline'!M20),'Dealer pipeline'!Q20&lt;&gt;"Taken",'Dealer pipeline'!Q20&lt;&gt;"Declined"),'Dealer pipeline'!M20+17/100000,"")</f>
        <v/>
      </c>
      <c r="B20">
        <f>IF(AND(LEN('Dealer pipeline'!A20)&gt;0,ISNUMBER('Dealer pipeline'!M20)),MAX($B$3:B19)+1,"")</f>
        <v/>
      </c>
      <c r="E20">
        <f>IFERROR(MATCH(17,$B$4:$B$1003,0),"")</f>
        <v/>
      </c>
    </row>
    <row r="21">
      <c r="A21">
        <f>IF(AND(LEN('Dealer pipeline'!A21)&gt;0,ISNUMBER('Dealer pipeline'!M21),'Dealer pipeline'!Q21&lt;&gt;"Taken",'Dealer pipeline'!Q21&lt;&gt;"Declined"),'Dealer pipeline'!M21+18/100000,"")</f>
        <v/>
      </c>
      <c r="B21">
        <f>IF(AND(LEN('Dealer pipeline'!A21)&gt;0,ISNUMBER('Dealer pipeline'!M21)),MAX($B$3:B20)+1,"")</f>
        <v/>
      </c>
      <c r="E21">
        <f>IFERROR(MATCH(18,$B$4:$B$1003,0),"")</f>
        <v/>
      </c>
    </row>
    <row r="22">
      <c r="A22">
        <f>IF(AND(LEN('Dealer pipeline'!A22)&gt;0,ISNUMBER('Dealer pipeline'!M22),'Dealer pipeline'!Q22&lt;&gt;"Taken",'Dealer pipeline'!Q22&lt;&gt;"Declined"),'Dealer pipeline'!M22+19/100000,"")</f>
        <v/>
      </c>
      <c r="B22">
        <f>IF(AND(LEN('Dealer pipeline'!A22)&gt;0,ISNUMBER('Dealer pipeline'!M22)),MAX($B$3:B21)+1,"")</f>
        <v/>
      </c>
      <c r="E22">
        <f>IFERROR(MATCH(19,$B$4:$B$1003,0),"")</f>
        <v/>
      </c>
    </row>
    <row r="23">
      <c r="A23">
        <f>IF(AND(LEN('Dealer pipeline'!A23)&gt;0,ISNUMBER('Dealer pipeline'!M23),'Dealer pipeline'!Q23&lt;&gt;"Taken",'Dealer pipeline'!Q23&lt;&gt;"Declined"),'Dealer pipeline'!M23+20/100000,"")</f>
        <v/>
      </c>
      <c r="B23">
        <f>IF(AND(LEN('Dealer pipeline'!A23)&gt;0,ISNUMBER('Dealer pipeline'!M23)),MAX($B$3:B22)+1,"")</f>
        <v/>
      </c>
      <c r="E23">
        <f>IFERROR(MATCH(20,$B$4:$B$1003,0),"")</f>
        <v/>
      </c>
    </row>
    <row r="24">
      <c r="A24">
        <f>IF(AND(LEN('Dealer pipeline'!A24)&gt;0,ISNUMBER('Dealer pipeline'!M24),'Dealer pipeline'!Q24&lt;&gt;"Taken",'Dealer pipeline'!Q24&lt;&gt;"Declined"),'Dealer pipeline'!M24+21/100000,"")</f>
        <v/>
      </c>
      <c r="B24">
        <f>IF(AND(LEN('Dealer pipeline'!A24)&gt;0,ISNUMBER('Dealer pipeline'!M24)),MAX($B$3:B23)+1,"")</f>
        <v/>
      </c>
      <c r="E24">
        <f>IFERROR(MATCH(21,$B$4:$B$1003,0),"")</f>
        <v/>
      </c>
    </row>
    <row r="25">
      <c r="A25">
        <f>IF(AND(LEN('Dealer pipeline'!A25)&gt;0,ISNUMBER('Dealer pipeline'!M25),'Dealer pipeline'!Q25&lt;&gt;"Taken",'Dealer pipeline'!Q25&lt;&gt;"Declined"),'Dealer pipeline'!M25+22/100000,"")</f>
        <v/>
      </c>
      <c r="B25">
        <f>IF(AND(LEN('Dealer pipeline'!A25)&gt;0,ISNUMBER('Dealer pipeline'!M25)),MAX($B$3:B24)+1,"")</f>
        <v/>
      </c>
      <c r="E25">
        <f>IFERROR(MATCH(22,$B$4:$B$1003,0),"")</f>
        <v/>
      </c>
    </row>
    <row r="26">
      <c r="A26">
        <f>IF(AND(LEN('Dealer pipeline'!A26)&gt;0,ISNUMBER('Dealer pipeline'!M26),'Dealer pipeline'!Q26&lt;&gt;"Taken",'Dealer pipeline'!Q26&lt;&gt;"Declined"),'Dealer pipeline'!M26+23/100000,"")</f>
        <v/>
      </c>
      <c r="B26">
        <f>IF(AND(LEN('Dealer pipeline'!A26)&gt;0,ISNUMBER('Dealer pipeline'!M26)),MAX($B$3:B25)+1,"")</f>
        <v/>
      </c>
      <c r="E26">
        <f>IFERROR(MATCH(23,$B$4:$B$1003,0),"")</f>
        <v/>
      </c>
    </row>
    <row r="27">
      <c r="A27">
        <f>IF(AND(LEN('Dealer pipeline'!A27)&gt;0,ISNUMBER('Dealer pipeline'!M27),'Dealer pipeline'!Q27&lt;&gt;"Taken",'Dealer pipeline'!Q27&lt;&gt;"Declined"),'Dealer pipeline'!M27+24/100000,"")</f>
        <v/>
      </c>
      <c r="B27">
        <f>IF(AND(LEN('Dealer pipeline'!A27)&gt;0,ISNUMBER('Dealer pipeline'!M27)),MAX($B$3:B26)+1,"")</f>
        <v/>
      </c>
      <c r="E27">
        <f>IFERROR(MATCH(24,$B$4:$B$1003,0),"")</f>
        <v/>
      </c>
    </row>
    <row r="28">
      <c r="A28">
        <f>IF(AND(LEN('Dealer pipeline'!A28)&gt;0,ISNUMBER('Dealer pipeline'!M28),'Dealer pipeline'!Q28&lt;&gt;"Taken",'Dealer pipeline'!Q28&lt;&gt;"Declined"),'Dealer pipeline'!M28+25/100000,"")</f>
        <v/>
      </c>
      <c r="B28">
        <f>IF(AND(LEN('Dealer pipeline'!A28)&gt;0,ISNUMBER('Dealer pipeline'!M28)),MAX($B$3:B27)+1,"")</f>
        <v/>
      </c>
      <c r="E28">
        <f>IFERROR(MATCH(25,$B$4:$B$1003,0),"")</f>
        <v/>
      </c>
    </row>
    <row r="29">
      <c r="A29">
        <f>IF(AND(LEN('Dealer pipeline'!A29)&gt;0,ISNUMBER('Dealer pipeline'!M29),'Dealer pipeline'!Q29&lt;&gt;"Taken",'Dealer pipeline'!Q29&lt;&gt;"Declined"),'Dealer pipeline'!M29+26/100000,"")</f>
        <v/>
      </c>
      <c r="B29">
        <f>IF(AND(LEN('Dealer pipeline'!A29)&gt;0,ISNUMBER('Dealer pipeline'!M29)),MAX($B$3:B28)+1,"")</f>
        <v/>
      </c>
      <c r="E29">
        <f>IFERROR(MATCH(26,$B$4:$B$1003,0),"")</f>
        <v/>
      </c>
    </row>
    <row r="30">
      <c r="A30">
        <f>IF(AND(LEN('Dealer pipeline'!A30)&gt;0,ISNUMBER('Dealer pipeline'!M30),'Dealer pipeline'!Q30&lt;&gt;"Taken",'Dealer pipeline'!Q30&lt;&gt;"Declined"),'Dealer pipeline'!M30+27/100000,"")</f>
        <v/>
      </c>
      <c r="B30">
        <f>IF(AND(LEN('Dealer pipeline'!A30)&gt;0,ISNUMBER('Dealer pipeline'!M30)),MAX($B$3:B29)+1,"")</f>
        <v/>
      </c>
      <c r="E30">
        <f>IFERROR(MATCH(27,$B$4:$B$1003,0),"")</f>
        <v/>
      </c>
    </row>
    <row r="31">
      <c r="A31">
        <f>IF(AND(LEN('Dealer pipeline'!A31)&gt;0,ISNUMBER('Dealer pipeline'!M31),'Dealer pipeline'!Q31&lt;&gt;"Taken",'Dealer pipeline'!Q31&lt;&gt;"Declined"),'Dealer pipeline'!M31+28/100000,"")</f>
        <v/>
      </c>
      <c r="B31">
        <f>IF(AND(LEN('Dealer pipeline'!A31)&gt;0,ISNUMBER('Dealer pipeline'!M31)),MAX($B$3:B30)+1,"")</f>
        <v/>
      </c>
      <c r="E31">
        <f>IFERROR(MATCH(28,$B$4:$B$1003,0),"")</f>
        <v/>
      </c>
    </row>
    <row r="32">
      <c r="A32">
        <f>IF(AND(LEN('Dealer pipeline'!A32)&gt;0,ISNUMBER('Dealer pipeline'!M32),'Dealer pipeline'!Q32&lt;&gt;"Taken",'Dealer pipeline'!Q32&lt;&gt;"Declined"),'Dealer pipeline'!M32+29/100000,"")</f>
        <v/>
      </c>
      <c r="B32">
        <f>IF(AND(LEN('Dealer pipeline'!A32)&gt;0,ISNUMBER('Dealer pipeline'!M32)),MAX($B$3:B31)+1,"")</f>
        <v/>
      </c>
      <c r="E32">
        <f>IFERROR(MATCH(29,$B$4:$B$1003,0),"")</f>
        <v/>
      </c>
    </row>
    <row r="33">
      <c r="A33">
        <f>IF(AND(LEN('Dealer pipeline'!A33)&gt;0,ISNUMBER('Dealer pipeline'!M33),'Dealer pipeline'!Q33&lt;&gt;"Taken",'Dealer pipeline'!Q33&lt;&gt;"Declined"),'Dealer pipeline'!M33+30/100000,"")</f>
        <v/>
      </c>
      <c r="B33">
        <f>IF(AND(LEN('Dealer pipeline'!A33)&gt;0,ISNUMBER('Dealer pipeline'!M33)),MAX($B$3:B32)+1,"")</f>
        <v/>
      </c>
      <c r="E33">
        <f>IFERROR(MATCH(30,$B$4:$B$1003,0),"")</f>
        <v/>
      </c>
    </row>
    <row r="34">
      <c r="A34">
        <f>IF(AND(LEN('Dealer pipeline'!A34)&gt;0,ISNUMBER('Dealer pipeline'!M34),'Dealer pipeline'!Q34&lt;&gt;"Taken",'Dealer pipeline'!Q34&lt;&gt;"Declined"),'Dealer pipeline'!M34+31/100000,"")</f>
        <v/>
      </c>
      <c r="B34">
        <f>IF(AND(LEN('Dealer pipeline'!A34)&gt;0,ISNUMBER('Dealer pipeline'!M34)),MAX($B$3:B33)+1,"")</f>
        <v/>
      </c>
      <c r="E34">
        <f>IFERROR(MATCH(31,$B$4:$B$1003,0),"")</f>
        <v/>
      </c>
    </row>
    <row r="35">
      <c r="A35">
        <f>IF(AND(LEN('Dealer pipeline'!A35)&gt;0,ISNUMBER('Dealer pipeline'!M35),'Dealer pipeline'!Q35&lt;&gt;"Taken",'Dealer pipeline'!Q35&lt;&gt;"Declined"),'Dealer pipeline'!M35+32/100000,"")</f>
        <v/>
      </c>
      <c r="B35">
        <f>IF(AND(LEN('Dealer pipeline'!A35)&gt;0,ISNUMBER('Dealer pipeline'!M35)),MAX($B$3:B34)+1,"")</f>
        <v/>
      </c>
      <c r="E35">
        <f>IFERROR(MATCH(32,$B$4:$B$1003,0),"")</f>
        <v/>
      </c>
    </row>
    <row r="36">
      <c r="A36">
        <f>IF(AND(LEN('Dealer pipeline'!A36)&gt;0,ISNUMBER('Dealer pipeline'!M36),'Dealer pipeline'!Q36&lt;&gt;"Taken",'Dealer pipeline'!Q36&lt;&gt;"Declined"),'Dealer pipeline'!M36+33/100000,"")</f>
        <v/>
      </c>
      <c r="B36">
        <f>IF(AND(LEN('Dealer pipeline'!A36)&gt;0,ISNUMBER('Dealer pipeline'!M36)),MAX($B$3:B35)+1,"")</f>
        <v/>
      </c>
      <c r="E36">
        <f>IFERROR(MATCH(33,$B$4:$B$1003,0),"")</f>
        <v/>
      </c>
    </row>
    <row r="37">
      <c r="A37">
        <f>IF(AND(LEN('Dealer pipeline'!A37)&gt;0,ISNUMBER('Dealer pipeline'!M37),'Dealer pipeline'!Q37&lt;&gt;"Taken",'Dealer pipeline'!Q37&lt;&gt;"Declined"),'Dealer pipeline'!M37+34/100000,"")</f>
        <v/>
      </c>
      <c r="B37">
        <f>IF(AND(LEN('Dealer pipeline'!A37)&gt;0,ISNUMBER('Dealer pipeline'!M37)),MAX($B$3:B36)+1,"")</f>
        <v/>
      </c>
      <c r="E37">
        <f>IFERROR(MATCH(34,$B$4:$B$1003,0),"")</f>
        <v/>
      </c>
    </row>
    <row r="38">
      <c r="A38">
        <f>IF(AND(LEN('Dealer pipeline'!A38)&gt;0,ISNUMBER('Dealer pipeline'!M38),'Dealer pipeline'!Q38&lt;&gt;"Taken",'Dealer pipeline'!Q38&lt;&gt;"Declined"),'Dealer pipeline'!M38+35/100000,"")</f>
        <v/>
      </c>
      <c r="B38">
        <f>IF(AND(LEN('Dealer pipeline'!A38)&gt;0,ISNUMBER('Dealer pipeline'!M38)),MAX($B$3:B37)+1,"")</f>
        <v/>
      </c>
      <c r="E38">
        <f>IFERROR(MATCH(35,$B$4:$B$1003,0),"")</f>
        <v/>
      </c>
    </row>
    <row r="39">
      <c r="A39">
        <f>IF(AND(LEN('Dealer pipeline'!A39)&gt;0,ISNUMBER('Dealer pipeline'!M39),'Dealer pipeline'!Q39&lt;&gt;"Taken",'Dealer pipeline'!Q39&lt;&gt;"Declined"),'Dealer pipeline'!M39+36/100000,"")</f>
        <v/>
      </c>
      <c r="B39">
        <f>IF(AND(LEN('Dealer pipeline'!A39)&gt;0,ISNUMBER('Dealer pipeline'!M39)),MAX($B$3:B38)+1,"")</f>
        <v/>
      </c>
      <c r="E39">
        <f>IFERROR(MATCH(36,$B$4:$B$1003,0),"")</f>
        <v/>
      </c>
    </row>
    <row r="40">
      <c r="A40">
        <f>IF(AND(LEN('Dealer pipeline'!A40)&gt;0,ISNUMBER('Dealer pipeline'!M40),'Dealer pipeline'!Q40&lt;&gt;"Taken",'Dealer pipeline'!Q40&lt;&gt;"Declined"),'Dealer pipeline'!M40+37/100000,"")</f>
        <v/>
      </c>
      <c r="B40">
        <f>IF(AND(LEN('Dealer pipeline'!A40)&gt;0,ISNUMBER('Dealer pipeline'!M40)),MAX($B$3:B39)+1,"")</f>
        <v/>
      </c>
      <c r="E40">
        <f>IFERROR(MATCH(37,$B$4:$B$1003,0),"")</f>
        <v/>
      </c>
    </row>
    <row r="41">
      <c r="A41">
        <f>IF(AND(LEN('Dealer pipeline'!A41)&gt;0,ISNUMBER('Dealer pipeline'!M41),'Dealer pipeline'!Q41&lt;&gt;"Taken",'Dealer pipeline'!Q41&lt;&gt;"Declined"),'Dealer pipeline'!M41+38/100000,"")</f>
        <v/>
      </c>
      <c r="B41">
        <f>IF(AND(LEN('Dealer pipeline'!A41)&gt;0,ISNUMBER('Dealer pipeline'!M41)),MAX($B$3:B40)+1,"")</f>
        <v/>
      </c>
      <c r="E41">
        <f>IFERROR(MATCH(38,$B$4:$B$1003,0),"")</f>
        <v/>
      </c>
    </row>
    <row r="42">
      <c r="A42">
        <f>IF(AND(LEN('Dealer pipeline'!A42)&gt;0,ISNUMBER('Dealer pipeline'!M42),'Dealer pipeline'!Q42&lt;&gt;"Taken",'Dealer pipeline'!Q42&lt;&gt;"Declined"),'Dealer pipeline'!M42+39/100000,"")</f>
        <v/>
      </c>
      <c r="B42">
        <f>IF(AND(LEN('Dealer pipeline'!A42)&gt;0,ISNUMBER('Dealer pipeline'!M42)),MAX($B$3:B41)+1,"")</f>
        <v/>
      </c>
      <c r="E42">
        <f>IFERROR(MATCH(39,$B$4:$B$1003,0),"")</f>
        <v/>
      </c>
    </row>
    <row r="43">
      <c r="A43">
        <f>IF(AND(LEN('Dealer pipeline'!A43)&gt;0,ISNUMBER('Dealer pipeline'!M43),'Dealer pipeline'!Q43&lt;&gt;"Taken",'Dealer pipeline'!Q43&lt;&gt;"Declined"),'Dealer pipeline'!M43+40/100000,"")</f>
        <v/>
      </c>
      <c r="B43">
        <f>IF(AND(LEN('Dealer pipeline'!A43)&gt;0,ISNUMBER('Dealer pipeline'!M43)),MAX($B$3:B42)+1,"")</f>
        <v/>
      </c>
      <c r="E43">
        <f>IFERROR(MATCH(40,$B$4:$B$1003,0),"")</f>
        <v/>
      </c>
    </row>
    <row r="44">
      <c r="A44">
        <f>IF(AND(LEN('Dealer pipeline'!A44)&gt;0,ISNUMBER('Dealer pipeline'!M44),'Dealer pipeline'!Q44&lt;&gt;"Taken",'Dealer pipeline'!Q44&lt;&gt;"Declined"),'Dealer pipeline'!M44+41/100000,"")</f>
        <v/>
      </c>
      <c r="B44">
        <f>IF(AND(LEN('Dealer pipeline'!A44)&gt;0,ISNUMBER('Dealer pipeline'!M44)),MAX($B$3:B43)+1,"")</f>
        <v/>
      </c>
      <c r="E44">
        <f>IFERROR(MATCH(41,$B$4:$B$1003,0),"")</f>
        <v/>
      </c>
    </row>
    <row r="45">
      <c r="A45">
        <f>IF(AND(LEN('Dealer pipeline'!A45)&gt;0,ISNUMBER('Dealer pipeline'!M45),'Dealer pipeline'!Q45&lt;&gt;"Taken",'Dealer pipeline'!Q45&lt;&gt;"Declined"),'Dealer pipeline'!M45+42/100000,"")</f>
        <v/>
      </c>
      <c r="B45">
        <f>IF(AND(LEN('Dealer pipeline'!A45)&gt;0,ISNUMBER('Dealer pipeline'!M45)),MAX($B$3:B44)+1,"")</f>
        <v/>
      </c>
      <c r="E45">
        <f>IFERROR(MATCH(42,$B$4:$B$1003,0),"")</f>
        <v/>
      </c>
    </row>
    <row r="46">
      <c r="A46">
        <f>IF(AND(LEN('Dealer pipeline'!A46)&gt;0,ISNUMBER('Dealer pipeline'!M46),'Dealer pipeline'!Q46&lt;&gt;"Taken",'Dealer pipeline'!Q46&lt;&gt;"Declined"),'Dealer pipeline'!M46+43/100000,"")</f>
        <v/>
      </c>
      <c r="B46">
        <f>IF(AND(LEN('Dealer pipeline'!A46)&gt;0,ISNUMBER('Dealer pipeline'!M46)),MAX($B$3:B45)+1,"")</f>
        <v/>
      </c>
      <c r="E46">
        <f>IFERROR(MATCH(43,$B$4:$B$1003,0),"")</f>
        <v/>
      </c>
    </row>
    <row r="47">
      <c r="A47">
        <f>IF(AND(LEN('Dealer pipeline'!A47)&gt;0,ISNUMBER('Dealer pipeline'!M47),'Dealer pipeline'!Q47&lt;&gt;"Taken",'Dealer pipeline'!Q47&lt;&gt;"Declined"),'Dealer pipeline'!M47+44/100000,"")</f>
        <v/>
      </c>
      <c r="B47">
        <f>IF(AND(LEN('Dealer pipeline'!A47)&gt;0,ISNUMBER('Dealer pipeline'!M47)),MAX($B$3:B46)+1,"")</f>
        <v/>
      </c>
      <c r="E47">
        <f>IFERROR(MATCH(44,$B$4:$B$1003,0),"")</f>
        <v/>
      </c>
    </row>
    <row r="48">
      <c r="A48">
        <f>IF(AND(LEN('Dealer pipeline'!A48)&gt;0,ISNUMBER('Dealer pipeline'!M48),'Dealer pipeline'!Q48&lt;&gt;"Taken",'Dealer pipeline'!Q48&lt;&gt;"Declined"),'Dealer pipeline'!M48+45/100000,"")</f>
        <v/>
      </c>
      <c r="B48">
        <f>IF(AND(LEN('Dealer pipeline'!A48)&gt;0,ISNUMBER('Dealer pipeline'!M48)),MAX($B$3:B47)+1,"")</f>
        <v/>
      </c>
      <c r="E48">
        <f>IFERROR(MATCH(45,$B$4:$B$1003,0),"")</f>
        <v/>
      </c>
    </row>
    <row r="49">
      <c r="A49">
        <f>IF(AND(LEN('Dealer pipeline'!A49)&gt;0,ISNUMBER('Dealer pipeline'!M49),'Dealer pipeline'!Q49&lt;&gt;"Taken",'Dealer pipeline'!Q49&lt;&gt;"Declined"),'Dealer pipeline'!M49+46/100000,"")</f>
        <v/>
      </c>
      <c r="B49">
        <f>IF(AND(LEN('Dealer pipeline'!A49)&gt;0,ISNUMBER('Dealer pipeline'!M49)),MAX($B$3:B48)+1,"")</f>
        <v/>
      </c>
      <c r="E49">
        <f>IFERROR(MATCH(46,$B$4:$B$1003,0),"")</f>
        <v/>
      </c>
    </row>
    <row r="50">
      <c r="A50">
        <f>IF(AND(LEN('Dealer pipeline'!A50)&gt;0,ISNUMBER('Dealer pipeline'!M50),'Dealer pipeline'!Q50&lt;&gt;"Taken",'Dealer pipeline'!Q50&lt;&gt;"Declined"),'Dealer pipeline'!M50+47/100000,"")</f>
        <v/>
      </c>
      <c r="B50">
        <f>IF(AND(LEN('Dealer pipeline'!A50)&gt;0,ISNUMBER('Dealer pipeline'!M50)),MAX($B$3:B49)+1,"")</f>
        <v/>
      </c>
      <c r="E50">
        <f>IFERROR(MATCH(47,$B$4:$B$1003,0),"")</f>
        <v/>
      </c>
    </row>
    <row r="51">
      <c r="A51">
        <f>IF(AND(LEN('Dealer pipeline'!A51)&gt;0,ISNUMBER('Dealer pipeline'!M51),'Dealer pipeline'!Q51&lt;&gt;"Taken",'Dealer pipeline'!Q51&lt;&gt;"Declined"),'Dealer pipeline'!M51+48/100000,"")</f>
        <v/>
      </c>
      <c r="B51">
        <f>IF(AND(LEN('Dealer pipeline'!A51)&gt;0,ISNUMBER('Dealer pipeline'!M51)),MAX($B$3:B50)+1,"")</f>
        <v/>
      </c>
      <c r="E51">
        <f>IFERROR(MATCH(48,$B$4:$B$1003,0),"")</f>
        <v/>
      </c>
    </row>
    <row r="52">
      <c r="A52">
        <f>IF(AND(LEN('Dealer pipeline'!A52)&gt;0,ISNUMBER('Dealer pipeline'!M52),'Dealer pipeline'!Q52&lt;&gt;"Taken",'Dealer pipeline'!Q52&lt;&gt;"Declined"),'Dealer pipeline'!M52+49/100000,"")</f>
        <v/>
      </c>
      <c r="B52">
        <f>IF(AND(LEN('Dealer pipeline'!A52)&gt;0,ISNUMBER('Dealer pipeline'!M52)),MAX($B$3:B51)+1,"")</f>
        <v/>
      </c>
      <c r="E52">
        <f>IFERROR(MATCH(49,$B$4:$B$1003,0),"")</f>
        <v/>
      </c>
    </row>
    <row r="53">
      <c r="A53">
        <f>IF(AND(LEN('Dealer pipeline'!A53)&gt;0,ISNUMBER('Dealer pipeline'!M53),'Dealer pipeline'!Q53&lt;&gt;"Taken",'Dealer pipeline'!Q53&lt;&gt;"Declined"),'Dealer pipeline'!M53+50/100000,"")</f>
        <v/>
      </c>
      <c r="B53">
        <f>IF(AND(LEN('Dealer pipeline'!A53)&gt;0,ISNUMBER('Dealer pipeline'!M53)),MAX($B$3:B52)+1,"")</f>
        <v/>
      </c>
      <c r="E53">
        <f>IFERROR(MATCH(50,$B$4:$B$1003,0),"")</f>
        <v/>
      </c>
    </row>
    <row r="54">
      <c r="A54">
        <f>IF(AND(LEN('Dealer pipeline'!A54)&gt;0,ISNUMBER('Dealer pipeline'!M54),'Dealer pipeline'!Q54&lt;&gt;"Taken",'Dealer pipeline'!Q54&lt;&gt;"Declined"),'Dealer pipeline'!M54+51/100000,"")</f>
        <v/>
      </c>
      <c r="B54">
        <f>IF(AND(LEN('Dealer pipeline'!A54)&gt;0,ISNUMBER('Dealer pipeline'!M54)),MAX($B$3:B53)+1,"")</f>
        <v/>
      </c>
      <c r="E54">
        <f>IFERROR(MATCH(51,$B$4:$B$1003,0),"")</f>
        <v/>
      </c>
    </row>
    <row r="55">
      <c r="A55">
        <f>IF(AND(LEN('Dealer pipeline'!A55)&gt;0,ISNUMBER('Dealer pipeline'!M55),'Dealer pipeline'!Q55&lt;&gt;"Taken",'Dealer pipeline'!Q55&lt;&gt;"Declined"),'Dealer pipeline'!M55+52/100000,"")</f>
        <v/>
      </c>
      <c r="B55">
        <f>IF(AND(LEN('Dealer pipeline'!A55)&gt;0,ISNUMBER('Dealer pipeline'!M55)),MAX($B$3:B54)+1,"")</f>
        <v/>
      </c>
      <c r="E55">
        <f>IFERROR(MATCH(52,$B$4:$B$1003,0),"")</f>
        <v/>
      </c>
    </row>
    <row r="56">
      <c r="A56">
        <f>IF(AND(LEN('Dealer pipeline'!A56)&gt;0,ISNUMBER('Dealer pipeline'!M56),'Dealer pipeline'!Q56&lt;&gt;"Taken",'Dealer pipeline'!Q56&lt;&gt;"Declined"),'Dealer pipeline'!M56+53/100000,"")</f>
        <v/>
      </c>
      <c r="B56">
        <f>IF(AND(LEN('Dealer pipeline'!A56)&gt;0,ISNUMBER('Dealer pipeline'!M56)),MAX($B$3:B55)+1,"")</f>
        <v/>
      </c>
      <c r="E56">
        <f>IFERROR(MATCH(53,$B$4:$B$1003,0),"")</f>
        <v/>
      </c>
    </row>
    <row r="57">
      <c r="A57">
        <f>IF(AND(LEN('Dealer pipeline'!A57)&gt;0,ISNUMBER('Dealer pipeline'!M57),'Dealer pipeline'!Q57&lt;&gt;"Taken",'Dealer pipeline'!Q57&lt;&gt;"Declined"),'Dealer pipeline'!M57+54/100000,"")</f>
        <v/>
      </c>
      <c r="B57">
        <f>IF(AND(LEN('Dealer pipeline'!A57)&gt;0,ISNUMBER('Dealer pipeline'!M57)),MAX($B$3:B56)+1,"")</f>
        <v/>
      </c>
      <c r="E57">
        <f>IFERROR(MATCH(54,$B$4:$B$1003,0),"")</f>
        <v/>
      </c>
    </row>
    <row r="58">
      <c r="A58">
        <f>IF(AND(LEN('Dealer pipeline'!A58)&gt;0,ISNUMBER('Dealer pipeline'!M58),'Dealer pipeline'!Q58&lt;&gt;"Taken",'Dealer pipeline'!Q58&lt;&gt;"Declined"),'Dealer pipeline'!M58+55/100000,"")</f>
        <v/>
      </c>
      <c r="B58">
        <f>IF(AND(LEN('Dealer pipeline'!A58)&gt;0,ISNUMBER('Dealer pipeline'!M58)),MAX($B$3:B57)+1,"")</f>
        <v/>
      </c>
      <c r="E58">
        <f>IFERROR(MATCH(55,$B$4:$B$1003,0),"")</f>
        <v/>
      </c>
    </row>
    <row r="59">
      <c r="A59">
        <f>IF(AND(LEN('Dealer pipeline'!A59)&gt;0,ISNUMBER('Dealer pipeline'!M59),'Dealer pipeline'!Q59&lt;&gt;"Taken",'Dealer pipeline'!Q59&lt;&gt;"Declined"),'Dealer pipeline'!M59+56/100000,"")</f>
        <v/>
      </c>
      <c r="B59">
        <f>IF(AND(LEN('Dealer pipeline'!A59)&gt;0,ISNUMBER('Dealer pipeline'!M59)),MAX($B$3:B58)+1,"")</f>
        <v/>
      </c>
      <c r="E59">
        <f>IFERROR(MATCH(56,$B$4:$B$1003,0),"")</f>
        <v/>
      </c>
    </row>
    <row r="60">
      <c r="A60">
        <f>IF(AND(LEN('Dealer pipeline'!A60)&gt;0,ISNUMBER('Dealer pipeline'!M60),'Dealer pipeline'!Q60&lt;&gt;"Taken",'Dealer pipeline'!Q60&lt;&gt;"Declined"),'Dealer pipeline'!M60+57/100000,"")</f>
        <v/>
      </c>
      <c r="B60">
        <f>IF(AND(LEN('Dealer pipeline'!A60)&gt;0,ISNUMBER('Dealer pipeline'!M60)),MAX($B$3:B59)+1,"")</f>
        <v/>
      </c>
      <c r="E60">
        <f>IFERROR(MATCH(57,$B$4:$B$1003,0),"")</f>
        <v/>
      </c>
    </row>
    <row r="61">
      <c r="A61">
        <f>IF(AND(LEN('Dealer pipeline'!A61)&gt;0,ISNUMBER('Dealer pipeline'!M61),'Dealer pipeline'!Q61&lt;&gt;"Taken",'Dealer pipeline'!Q61&lt;&gt;"Declined"),'Dealer pipeline'!M61+58/100000,"")</f>
        <v/>
      </c>
      <c r="B61">
        <f>IF(AND(LEN('Dealer pipeline'!A61)&gt;0,ISNUMBER('Dealer pipeline'!M61)),MAX($B$3:B60)+1,"")</f>
        <v/>
      </c>
      <c r="E61">
        <f>IFERROR(MATCH(58,$B$4:$B$1003,0),"")</f>
        <v/>
      </c>
    </row>
    <row r="62">
      <c r="A62">
        <f>IF(AND(LEN('Dealer pipeline'!A62)&gt;0,ISNUMBER('Dealer pipeline'!M62),'Dealer pipeline'!Q62&lt;&gt;"Taken",'Dealer pipeline'!Q62&lt;&gt;"Declined"),'Dealer pipeline'!M62+59/100000,"")</f>
        <v/>
      </c>
      <c r="B62">
        <f>IF(AND(LEN('Dealer pipeline'!A62)&gt;0,ISNUMBER('Dealer pipeline'!M62)),MAX($B$3:B61)+1,"")</f>
        <v/>
      </c>
      <c r="E62">
        <f>IFERROR(MATCH(59,$B$4:$B$1003,0),"")</f>
        <v/>
      </c>
    </row>
    <row r="63">
      <c r="A63">
        <f>IF(AND(LEN('Dealer pipeline'!A63)&gt;0,ISNUMBER('Dealer pipeline'!M63),'Dealer pipeline'!Q63&lt;&gt;"Taken",'Dealer pipeline'!Q63&lt;&gt;"Declined"),'Dealer pipeline'!M63+60/100000,"")</f>
        <v/>
      </c>
      <c r="B63">
        <f>IF(AND(LEN('Dealer pipeline'!A63)&gt;0,ISNUMBER('Dealer pipeline'!M63)),MAX($B$3:B62)+1,"")</f>
        <v/>
      </c>
      <c r="E63">
        <f>IFERROR(MATCH(60,$B$4:$B$1003,0),"")</f>
        <v/>
      </c>
    </row>
    <row r="64">
      <c r="A64">
        <f>IF(AND(LEN('Dealer pipeline'!A64)&gt;0,ISNUMBER('Dealer pipeline'!M64),'Dealer pipeline'!Q64&lt;&gt;"Taken",'Dealer pipeline'!Q64&lt;&gt;"Declined"),'Dealer pipeline'!M64+61/100000,"")</f>
        <v/>
      </c>
      <c r="B64">
        <f>IF(AND(LEN('Dealer pipeline'!A64)&gt;0,ISNUMBER('Dealer pipeline'!M64)),MAX($B$3:B63)+1,"")</f>
        <v/>
      </c>
      <c r="E64">
        <f>IFERROR(MATCH(61,$B$4:$B$1003,0),"")</f>
        <v/>
      </c>
    </row>
    <row r="65">
      <c r="A65">
        <f>IF(AND(LEN('Dealer pipeline'!A65)&gt;0,ISNUMBER('Dealer pipeline'!M65),'Dealer pipeline'!Q65&lt;&gt;"Taken",'Dealer pipeline'!Q65&lt;&gt;"Declined"),'Dealer pipeline'!M65+62/100000,"")</f>
        <v/>
      </c>
      <c r="B65">
        <f>IF(AND(LEN('Dealer pipeline'!A65)&gt;0,ISNUMBER('Dealer pipeline'!M65)),MAX($B$3:B64)+1,"")</f>
        <v/>
      </c>
      <c r="E65">
        <f>IFERROR(MATCH(62,$B$4:$B$1003,0),"")</f>
        <v/>
      </c>
    </row>
    <row r="66">
      <c r="A66">
        <f>IF(AND(LEN('Dealer pipeline'!A66)&gt;0,ISNUMBER('Dealer pipeline'!M66),'Dealer pipeline'!Q66&lt;&gt;"Taken",'Dealer pipeline'!Q66&lt;&gt;"Declined"),'Dealer pipeline'!M66+63/100000,"")</f>
        <v/>
      </c>
      <c r="B66">
        <f>IF(AND(LEN('Dealer pipeline'!A66)&gt;0,ISNUMBER('Dealer pipeline'!M66)),MAX($B$3:B65)+1,"")</f>
        <v/>
      </c>
      <c r="E66">
        <f>IFERROR(MATCH(63,$B$4:$B$1003,0),"")</f>
        <v/>
      </c>
    </row>
    <row r="67">
      <c r="A67">
        <f>IF(AND(LEN('Dealer pipeline'!A67)&gt;0,ISNUMBER('Dealer pipeline'!M67),'Dealer pipeline'!Q67&lt;&gt;"Taken",'Dealer pipeline'!Q67&lt;&gt;"Declined"),'Dealer pipeline'!M67+64/100000,"")</f>
        <v/>
      </c>
      <c r="B67">
        <f>IF(AND(LEN('Dealer pipeline'!A67)&gt;0,ISNUMBER('Dealer pipeline'!M67)),MAX($B$3:B66)+1,"")</f>
        <v/>
      </c>
      <c r="E67">
        <f>IFERROR(MATCH(64,$B$4:$B$1003,0),"")</f>
        <v/>
      </c>
    </row>
    <row r="68">
      <c r="A68">
        <f>IF(AND(LEN('Dealer pipeline'!A68)&gt;0,ISNUMBER('Dealer pipeline'!M68),'Dealer pipeline'!Q68&lt;&gt;"Taken",'Dealer pipeline'!Q68&lt;&gt;"Declined"),'Dealer pipeline'!M68+65/100000,"")</f>
        <v/>
      </c>
      <c r="B68">
        <f>IF(AND(LEN('Dealer pipeline'!A68)&gt;0,ISNUMBER('Dealer pipeline'!M68)),MAX($B$3:B67)+1,"")</f>
        <v/>
      </c>
      <c r="E68">
        <f>IFERROR(MATCH(65,$B$4:$B$1003,0),"")</f>
        <v/>
      </c>
    </row>
    <row r="69">
      <c r="A69">
        <f>IF(AND(LEN('Dealer pipeline'!A69)&gt;0,ISNUMBER('Dealer pipeline'!M69),'Dealer pipeline'!Q69&lt;&gt;"Taken",'Dealer pipeline'!Q69&lt;&gt;"Declined"),'Dealer pipeline'!M69+66/100000,"")</f>
        <v/>
      </c>
      <c r="B69">
        <f>IF(AND(LEN('Dealer pipeline'!A69)&gt;0,ISNUMBER('Dealer pipeline'!M69)),MAX($B$3:B68)+1,"")</f>
        <v/>
      </c>
      <c r="E69">
        <f>IFERROR(MATCH(66,$B$4:$B$1003,0),"")</f>
        <v/>
      </c>
    </row>
    <row r="70">
      <c r="A70">
        <f>IF(AND(LEN('Dealer pipeline'!A70)&gt;0,ISNUMBER('Dealer pipeline'!M70),'Dealer pipeline'!Q70&lt;&gt;"Taken",'Dealer pipeline'!Q70&lt;&gt;"Declined"),'Dealer pipeline'!M70+67/100000,"")</f>
        <v/>
      </c>
      <c r="B70">
        <f>IF(AND(LEN('Dealer pipeline'!A70)&gt;0,ISNUMBER('Dealer pipeline'!M70)),MAX($B$3:B69)+1,"")</f>
        <v/>
      </c>
      <c r="E70">
        <f>IFERROR(MATCH(67,$B$4:$B$1003,0),"")</f>
        <v/>
      </c>
    </row>
    <row r="71">
      <c r="A71">
        <f>IF(AND(LEN('Dealer pipeline'!A71)&gt;0,ISNUMBER('Dealer pipeline'!M71),'Dealer pipeline'!Q71&lt;&gt;"Taken",'Dealer pipeline'!Q71&lt;&gt;"Declined"),'Dealer pipeline'!M71+68/100000,"")</f>
        <v/>
      </c>
      <c r="B71">
        <f>IF(AND(LEN('Dealer pipeline'!A71)&gt;0,ISNUMBER('Dealer pipeline'!M71)),MAX($B$3:B70)+1,"")</f>
        <v/>
      </c>
      <c r="E71">
        <f>IFERROR(MATCH(68,$B$4:$B$1003,0),"")</f>
        <v/>
      </c>
    </row>
    <row r="72">
      <c r="A72">
        <f>IF(AND(LEN('Dealer pipeline'!A72)&gt;0,ISNUMBER('Dealer pipeline'!M72),'Dealer pipeline'!Q72&lt;&gt;"Taken",'Dealer pipeline'!Q72&lt;&gt;"Declined"),'Dealer pipeline'!M72+69/100000,"")</f>
        <v/>
      </c>
      <c r="B72">
        <f>IF(AND(LEN('Dealer pipeline'!A72)&gt;0,ISNUMBER('Dealer pipeline'!M72)),MAX($B$3:B71)+1,"")</f>
        <v/>
      </c>
      <c r="E72">
        <f>IFERROR(MATCH(69,$B$4:$B$1003,0),"")</f>
        <v/>
      </c>
    </row>
    <row r="73">
      <c r="A73">
        <f>IF(AND(LEN('Dealer pipeline'!A73)&gt;0,ISNUMBER('Dealer pipeline'!M73),'Dealer pipeline'!Q73&lt;&gt;"Taken",'Dealer pipeline'!Q73&lt;&gt;"Declined"),'Dealer pipeline'!M73+70/100000,"")</f>
        <v/>
      </c>
      <c r="B73">
        <f>IF(AND(LEN('Dealer pipeline'!A73)&gt;0,ISNUMBER('Dealer pipeline'!M73)),MAX($B$3:B72)+1,"")</f>
        <v/>
      </c>
      <c r="E73">
        <f>IFERROR(MATCH(70,$B$4:$B$1003,0),"")</f>
        <v/>
      </c>
    </row>
    <row r="74">
      <c r="A74">
        <f>IF(AND(LEN('Dealer pipeline'!A74)&gt;0,ISNUMBER('Dealer pipeline'!M74),'Dealer pipeline'!Q74&lt;&gt;"Taken",'Dealer pipeline'!Q74&lt;&gt;"Declined"),'Dealer pipeline'!M74+71/100000,"")</f>
        <v/>
      </c>
      <c r="B74">
        <f>IF(AND(LEN('Dealer pipeline'!A74)&gt;0,ISNUMBER('Dealer pipeline'!M74)),MAX($B$3:B73)+1,"")</f>
        <v/>
      </c>
      <c r="E74">
        <f>IFERROR(MATCH(71,$B$4:$B$1003,0),"")</f>
        <v/>
      </c>
    </row>
    <row r="75">
      <c r="A75">
        <f>IF(AND(LEN('Dealer pipeline'!A75)&gt;0,ISNUMBER('Dealer pipeline'!M75),'Dealer pipeline'!Q75&lt;&gt;"Taken",'Dealer pipeline'!Q75&lt;&gt;"Declined"),'Dealer pipeline'!M75+72/100000,"")</f>
        <v/>
      </c>
      <c r="B75">
        <f>IF(AND(LEN('Dealer pipeline'!A75)&gt;0,ISNUMBER('Dealer pipeline'!M75)),MAX($B$3:B74)+1,"")</f>
        <v/>
      </c>
      <c r="E75">
        <f>IFERROR(MATCH(72,$B$4:$B$1003,0),"")</f>
        <v/>
      </c>
    </row>
    <row r="76">
      <c r="A76">
        <f>IF(AND(LEN('Dealer pipeline'!A76)&gt;0,ISNUMBER('Dealer pipeline'!M76),'Dealer pipeline'!Q76&lt;&gt;"Taken",'Dealer pipeline'!Q76&lt;&gt;"Declined"),'Dealer pipeline'!M76+73/100000,"")</f>
        <v/>
      </c>
      <c r="B76">
        <f>IF(AND(LEN('Dealer pipeline'!A76)&gt;0,ISNUMBER('Dealer pipeline'!M76)),MAX($B$3:B75)+1,"")</f>
        <v/>
      </c>
      <c r="E76">
        <f>IFERROR(MATCH(73,$B$4:$B$1003,0),"")</f>
        <v/>
      </c>
    </row>
    <row r="77">
      <c r="A77">
        <f>IF(AND(LEN('Dealer pipeline'!A77)&gt;0,ISNUMBER('Dealer pipeline'!M77),'Dealer pipeline'!Q77&lt;&gt;"Taken",'Dealer pipeline'!Q77&lt;&gt;"Declined"),'Dealer pipeline'!M77+74/100000,"")</f>
        <v/>
      </c>
      <c r="B77">
        <f>IF(AND(LEN('Dealer pipeline'!A77)&gt;0,ISNUMBER('Dealer pipeline'!M77)),MAX($B$3:B76)+1,"")</f>
        <v/>
      </c>
      <c r="E77">
        <f>IFERROR(MATCH(74,$B$4:$B$1003,0),"")</f>
        <v/>
      </c>
    </row>
    <row r="78">
      <c r="A78">
        <f>IF(AND(LEN('Dealer pipeline'!A78)&gt;0,ISNUMBER('Dealer pipeline'!M78),'Dealer pipeline'!Q78&lt;&gt;"Taken",'Dealer pipeline'!Q78&lt;&gt;"Declined"),'Dealer pipeline'!M78+75/100000,"")</f>
        <v/>
      </c>
      <c r="B78">
        <f>IF(AND(LEN('Dealer pipeline'!A78)&gt;0,ISNUMBER('Dealer pipeline'!M78)),MAX($B$3:B77)+1,"")</f>
        <v/>
      </c>
      <c r="E78">
        <f>IFERROR(MATCH(75,$B$4:$B$1003,0),"")</f>
        <v/>
      </c>
    </row>
    <row r="79">
      <c r="A79">
        <f>IF(AND(LEN('Dealer pipeline'!A79)&gt;0,ISNUMBER('Dealer pipeline'!M79),'Dealer pipeline'!Q79&lt;&gt;"Taken",'Dealer pipeline'!Q79&lt;&gt;"Declined"),'Dealer pipeline'!M79+76/100000,"")</f>
        <v/>
      </c>
      <c r="B79">
        <f>IF(AND(LEN('Dealer pipeline'!A79)&gt;0,ISNUMBER('Dealer pipeline'!M79)),MAX($B$3:B78)+1,"")</f>
        <v/>
      </c>
      <c r="E79">
        <f>IFERROR(MATCH(76,$B$4:$B$1003,0),"")</f>
        <v/>
      </c>
    </row>
    <row r="80">
      <c r="A80">
        <f>IF(AND(LEN('Dealer pipeline'!A80)&gt;0,ISNUMBER('Dealer pipeline'!M80),'Dealer pipeline'!Q80&lt;&gt;"Taken",'Dealer pipeline'!Q80&lt;&gt;"Declined"),'Dealer pipeline'!M80+77/100000,"")</f>
        <v/>
      </c>
      <c r="B80">
        <f>IF(AND(LEN('Dealer pipeline'!A80)&gt;0,ISNUMBER('Dealer pipeline'!M80)),MAX($B$3:B79)+1,"")</f>
        <v/>
      </c>
      <c r="E80">
        <f>IFERROR(MATCH(77,$B$4:$B$1003,0),"")</f>
        <v/>
      </c>
    </row>
    <row r="81">
      <c r="A81">
        <f>IF(AND(LEN('Dealer pipeline'!A81)&gt;0,ISNUMBER('Dealer pipeline'!M81),'Dealer pipeline'!Q81&lt;&gt;"Taken",'Dealer pipeline'!Q81&lt;&gt;"Declined"),'Dealer pipeline'!M81+78/100000,"")</f>
        <v/>
      </c>
      <c r="B81">
        <f>IF(AND(LEN('Dealer pipeline'!A81)&gt;0,ISNUMBER('Dealer pipeline'!M81)),MAX($B$3:B80)+1,"")</f>
        <v/>
      </c>
      <c r="E81">
        <f>IFERROR(MATCH(78,$B$4:$B$1003,0),"")</f>
        <v/>
      </c>
    </row>
    <row r="82">
      <c r="A82">
        <f>IF(AND(LEN('Dealer pipeline'!A82)&gt;0,ISNUMBER('Dealer pipeline'!M82),'Dealer pipeline'!Q82&lt;&gt;"Taken",'Dealer pipeline'!Q82&lt;&gt;"Declined"),'Dealer pipeline'!M82+79/100000,"")</f>
        <v/>
      </c>
      <c r="B82">
        <f>IF(AND(LEN('Dealer pipeline'!A82)&gt;0,ISNUMBER('Dealer pipeline'!M82)),MAX($B$3:B81)+1,"")</f>
        <v/>
      </c>
      <c r="E82">
        <f>IFERROR(MATCH(79,$B$4:$B$1003,0),"")</f>
        <v/>
      </c>
    </row>
    <row r="83">
      <c r="A83">
        <f>IF(AND(LEN('Dealer pipeline'!A83)&gt;0,ISNUMBER('Dealer pipeline'!M83),'Dealer pipeline'!Q83&lt;&gt;"Taken",'Dealer pipeline'!Q83&lt;&gt;"Declined"),'Dealer pipeline'!M83+80/100000,"")</f>
        <v/>
      </c>
      <c r="B83">
        <f>IF(AND(LEN('Dealer pipeline'!A83)&gt;0,ISNUMBER('Dealer pipeline'!M83)),MAX($B$3:B82)+1,"")</f>
        <v/>
      </c>
      <c r="E83">
        <f>IFERROR(MATCH(80,$B$4:$B$1003,0),"")</f>
        <v/>
      </c>
    </row>
    <row r="84">
      <c r="A84">
        <f>IF(AND(LEN('Dealer pipeline'!A84)&gt;0,ISNUMBER('Dealer pipeline'!M84),'Dealer pipeline'!Q84&lt;&gt;"Taken",'Dealer pipeline'!Q84&lt;&gt;"Declined"),'Dealer pipeline'!M84+81/100000,"")</f>
        <v/>
      </c>
      <c r="B84">
        <f>IF(AND(LEN('Dealer pipeline'!A84)&gt;0,ISNUMBER('Dealer pipeline'!M84)),MAX($B$3:B83)+1,"")</f>
        <v/>
      </c>
      <c r="E84">
        <f>IFERROR(MATCH(81,$B$4:$B$1003,0),"")</f>
        <v/>
      </c>
    </row>
    <row r="85">
      <c r="A85">
        <f>IF(AND(LEN('Dealer pipeline'!A85)&gt;0,ISNUMBER('Dealer pipeline'!M85),'Dealer pipeline'!Q85&lt;&gt;"Taken",'Dealer pipeline'!Q85&lt;&gt;"Declined"),'Dealer pipeline'!M85+82/100000,"")</f>
        <v/>
      </c>
      <c r="B85">
        <f>IF(AND(LEN('Dealer pipeline'!A85)&gt;0,ISNUMBER('Dealer pipeline'!M85)),MAX($B$3:B84)+1,"")</f>
        <v/>
      </c>
      <c r="E85">
        <f>IFERROR(MATCH(82,$B$4:$B$1003,0),"")</f>
        <v/>
      </c>
    </row>
    <row r="86">
      <c r="A86">
        <f>IF(AND(LEN('Dealer pipeline'!A86)&gt;0,ISNUMBER('Dealer pipeline'!M86),'Dealer pipeline'!Q86&lt;&gt;"Taken",'Dealer pipeline'!Q86&lt;&gt;"Declined"),'Dealer pipeline'!M86+83/100000,"")</f>
        <v/>
      </c>
      <c r="B86">
        <f>IF(AND(LEN('Dealer pipeline'!A86)&gt;0,ISNUMBER('Dealer pipeline'!M86)),MAX($B$3:B85)+1,"")</f>
        <v/>
      </c>
      <c r="E86">
        <f>IFERROR(MATCH(83,$B$4:$B$1003,0),"")</f>
        <v/>
      </c>
    </row>
    <row r="87">
      <c r="A87">
        <f>IF(AND(LEN('Dealer pipeline'!A87)&gt;0,ISNUMBER('Dealer pipeline'!M87),'Dealer pipeline'!Q87&lt;&gt;"Taken",'Dealer pipeline'!Q87&lt;&gt;"Declined"),'Dealer pipeline'!M87+84/100000,"")</f>
        <v/>
      </c>
      <c r="B87">
        <f>IF(AND(LEN('Dealer pipeline'!A87)&gt;0,ISNUMBER('Dealer pipeline'!M87)),MAX($B$3:B86)+1,"")</f>
        <v/>
      </c>
      <c r="E87">
        <f>IFERROR(MATCH(84,$B$4:$B$1003,0),"")</f>
        <v/>
      </c>
    </row>
    <row r="88">
      <c r="A88">
        <f>IF(AND(LEN('Dealer pipeline'!A88)&gt;0,ISNUMBER('Dealer pipeline'!M88),'Dealer pipeline'!Q88&lt;&gt;"Taken",'Dealer pipeline'!Q88&lt;&gt;"Declined"),'Dealer pipeline'!M88+85/100000,"")</f>
        <v/>
      </c>
      <c r="B88">
        <f>IF(AND(LEN('Dealer pipeline'!A88)&gt;0,ISNUMBER('Dealer pipeline'!M88)),MAX($B$3:B87)+1,"")</f>
        <v/>
      </c>
      <c r="E88">
        <f>IFERROR(MATCH(85,$B$4:$B$1003,0),"")</f>
        <v/>
      </c>
    </row>
    <row r="89">
      <c r="A89">
        <f>IF(AND(LEN('Dealer pipeline'!A89)&gt;0,ISNUMBER('Dealer pipeline'!M89),'Dealer pipeline'!Q89&lt;&gt;"Taken",'Dealer pipeline'!Q89&lt;&gt;"Declined"),'Dealer pipeline'!M89+86/100000,"")</f>
        <v/>
      </c>
      <c r="B89">
        <f>IF(AND(LEN('Dealer pipeline'!A89)&gt;0,ISNUMBER('Dealer pipeline'!M89)),MAX($B$3:B88)+1,"")</f>
        <v/>
      </c>
      <c r="E89">
        <f>IFERROR(MATCH(86,$B$4:$B$1003,0),"")</f>
        <v/>
      </c>
    </row>
    <row r="90">
      <c r="A90">
        <f>IF(AND(LEN('Dealer pipeline'!A90)&gt;0,ISNUMBER('Dealer pipeline'!M90),'Dealer pipeline'!Q90&lt;&gt;"Taken",'Dealer pipeline'!Q90&lt;&gt;"Declined"),'Dealer pipeline'!M90+87/100000,"")</f>
        <v/>
      </c>
      <c r="B90">
        <f>IF(AND(LEN('Dealer pipeline'!A90)&gt;0,ISNUMBER('Dealer pipeline'!M90)),MAX($B$3:B89)+1,"")</f>
        <v/>
      </c>
      <c r="E90">
        <f>IFERROR(MATCH(87,$B$4:$B$1003,0),"")</f>
        <v/>
      </c>
    </row>
    <row r="91">
      <c r="A91">
        <f>IF(AND(LEN('Dealer pipeline'!A91)&gt;0,ISNUMBER('Dealer pipeline'!M91),'Dealer pipeline'!Q91&lt;&gt;"Taken",'Dealer pipeline'!Q91&lt;&gt;"Declined"),'Dealer pipeline'!M91+88/100000,"")</f>
        <v/>
      </c>
      <c r="B91">
        <f>IF(AND(LEN('Dealer pipeline'!A91)&gt;0,ISNUMBER('Dealer pipeline'!M91)),MAX($B$3:B90)+1,"")</f>
        <v/>
      </c>
      <c r="E91">
        <f>IFERROR(MATCH(88,$B$4:$B$1003,0),"")</f>
        <v/>
      </c>
    </row>
    <row r="92">
      <c r="A92">
        <f>IF(AND(LEN('Dealer pipeline'!A92)&gt;0,ISNUMBER('Dealer pipeline'!M92),'Dealer pipeline'!Q92&lt;&gt;"Taken",'Dealer pipeline'!Q92&lt;&gt;"Declined"),'Dealer pipeline'!M92+89/100000,"")</f>
        <v/>
      </c>
      <c r="B92">
        <f>IF(AND(LEN('Dealer pipeline'!A92)&gt;0,ISNUMBER('Dealer pipeline'!M92)),MAX($B$3:B91)+1,"")</f>
        <v/>
      </c>
      <c r="E92">
        <f>IFERROR(MATCH(89,$B$4:$B$1003,0),"")</f>
        <v/>
      </c>
    </row>
    <row r="93">
      <c r="A93">
        <f>IF(AND(LEN('Dealer pipeline'!A93)&gt;0,ISNUMBER('Dealer pipeline'!M93),'Dealer pipeline'!Q93&lt;&gt;"Taken",'Dealer pipeline'!Q93&lt;&gt;"Declined"),'Dealer pipeline'!M93+90/100000,"")</f>
        <v/>
      </c>
      <c r="B93">
        <f>IF(AND(LEN('Dealer pipeline'!A93)&gt;0,ISNUMBER('Dealer pipeline'!M93)),MAX($B$3:B92)+1,"")</f>
        <v/>
      </c>
      <c r="E93">
        <f>IFERROR(MATCH(90,$B$4:$B$1003,0),"")</f>
        <v/>
      </c>
    </row>
    <row r="94">
      <c r="A94">
        <f>IF(AND(LEN('Dealer pipeline'!A94)&gt;0,ISNUMBER('Dealer pipeline'!M94),'Dealer pipeline'!Q94&lt;&gt;"Taken",'Dealer pipeline'!Q94&lt;&gt;"Declined"),'Dealer pipeline'!M94+91/100000,"")</f>
        <v/>
      </c>
      <c r="B94">
        <f>IF(AND(LEN('Dealer pipeline'!A94)&gt;0,ISNUMBER('Dealer pipeline'!M94)),MAX($B$3:B93)+1,"")</f>
        <v/>
      </c>
      <c r="E94">
        <f>IFERROR(MATCH(91,$B$4:$B$1003,0),"")</f>
        <v/>
      </c>
    </row>
    <row r="95">
      <c r="A95">
        <f>IF(AND(LEN('Dealer pipeline'!A95)&gt;0,ISNUMBER('Dealer pipeline'!M95),'Dealer pipeline'!Q95&lt;&gt;"Taken",'Dealer pipeline'!Q95&lt;&gt;"Declined"),'Dealer pipeline'!M95+92/100000,"")</f>
        <v/>
      </c>
      <c r="B95">
        <f>IF(AND(LEN('Dealer pipeline'!A95)&gt;0,ISNUMBER('Dealer pipeline'!M95)),MAX($B$3:B94)+1,"")</f>
        <v/>
      </c>
      <c r="E95">
        <f>IFERROR(MATCH(92,$B$4:$B$1003,0),"")</f>
        <v/>
      </c>
    </row>
    <row r="96">
      <c r="A96">
        <f>IF(AND(LEN('Dealer pipeline'!A96)&gt;0,ISNUMBER('Dealer pipeline'!M96),'Dealer pipeline'!Q96&lt;&gt;"Taken",'Dealer pipeline'!Q96&lt;&gt;"Declined"),'Dealer pipeline'!M96+93/100000,"")</f>
        <v/>
      </c>
      <c r="B96">
        <f>IF(AND(LEN('Dealer pipeline'!A96)&gt;0,ISNUMBER('Dealer pipeline'!M96)),MAX($B$3:B95)+1,"")</f>
        <v/>
      </c>
      <c r="E96">
        <f>IFERROR(MATCH(93,$B$4:$B$1003,0),"")</f>
        <v/>
      </c>
    </row>
    <row r="97">
      <c r="A97">
        <f>IF(AND(LEN('Dealer pipeline'!A97)&gt;0,ISNUMBER('Dealer pipeline'!M97),'Dealer pipeline'!Q97&lt;&gt;"Taken",'Dealer pipeline'!Q97&lt;&gt;"Declined"),'Dealer pipeline'!M97+94/100000,"")</f>
        <v/>
      </c>
      <c r="B97">
        <f>IF(AND(LEN('Dealer pipeline'!A97)&gt;0,ISNUMBER('Dealer pipeline'!M97)),MAX($B$3:B96)+1,"")</f>
        <v/>
      </c>
      <c r="E97">
        <f>IFERROR(MATCH(94,$B$4:$B$1003,0),"")</f>
        <v/>
      </c>
    </row>
    <row r="98">
      <c r="A98">
        <f>IF(AND(LEN('Dealer pipeline'!A98)&gt;0,ISNUMBER('Dealer pipeline'!M98),'Dealer pipeline'!Q98&lt;&gt;"Taken",'Dealer pipeline'!Q98&lt;&gt;"Declined"),'Dealer pipeline'!M98+95/100000,"")</f>
        <v/>
      </c>
      <c r="B98">
        <f>IF(AND(LEN('Dealer pipeline'!A98)&gt;0,ISNUMBER('Dealer pipeline'!M98)),MAX($B$3:B97)+1,"")</f>
        <v/>
      </c>
      <c r="E98">
        <f>IFERROR(MATCH(95,$B$4:$B$1003,0),"")</f>
        <v/>
      </c>
    </row>
    <row r="99">
      <c r="A99">
        <f>IF(AND(LEN('Dealer pipeline'!A99)&gt;0,ISNUMBER('Dealer pipeline'!M99),'Dealer pipeline'!Q99&lt;&gt;"Taken",'Dealer pipeline'!Q99&lt;&gt;"Declined"),'Dealer pipeline'!M99+96/100000,"")</f>
        <v/>
      </c>
      <c r="B99">
        <f>IF(AND(LEN('Dealer pipeline'!A99)&gt;0,ISNUMBER('Dealer pipeline'!M99)),MAX($B$3:B98)+1,"")</f>
        <v/>
      </c>
      <c r="E99">
        <f>IFERROR(MATCH(96,$B$4:$B$1003,0),"")</f>
        <v/>
      </c>
    </row>
    <row r="100">
      <c r="A100">
        <f>IF(AND(LEN('Dealer pipeline'!A100)&gt;0,ISNUMBER('Dealer pipeline'!M100),'Dealer pipeline'!Q100&lt;&gt;"Taken",'Dealer pipeline'!Q100&lt;&gt;"Declined"),'Dealer pipeline'!M100+97/100000,"")</f>
        <v/>
      </c>
      <c r="B100">
        <f>IF(AND(LEN('Dealer pipeline'!A100)&gt;0,ISNUMBER('Dealer pipeline'!M100)),MAX($B$3:B99)+1,"")</f>
        <v/>
      </c>
      <c r="E100">
        <f>IFERROR(MATCH(97,$B$4:$B$1003,0),"")</f>
        <v/>
      </c>
    </row>
    <row r="101">
      <c r="A101">
        <f>IF(AND(LEN('Dealer pipeline'!A101)&gt;0,ISNUMBER('Dealer pipeline'!M101),'Dealer pipeline'!Q101&lt;&gt;"Taken",'Dealer pipeline'!Q101&lt;&gt;"Declined"),'Dealer pipeline'!M101+98/100000,"")</f>
        <v/>
      </c>
      <c r="B101">
        <f>IF(AND(LEN('Dealer pipeline'!A101)&gt;0,ISNUMBER('Dealer pipeline'!M101)),MAX($B$3:B100)+1,"")</f>
        <v/>
      </c>
      <c r="E101">
        <f>IFERROR(MATCH(98,$B$4:$B$1003,0),"")</f>
        <v/>
      </c>
    </row>
    <row r="102">
      <c r="A102">
        <f>IF(AND(LEN('Dealer pipeline'!A102)&gt;0,ISNUMBER('Dealer pipeline'!M102),'Dealer pipeline'!Q102&lt;&gt;"Taken",'Dealer pipeline'!Q102&lt;&gt;"Declined"),'Dealer pipeline'!M102+99/100000,"")</f>
        <v/>
      </c>
      <c r="B102">
        <f>IF(AND(LEN('Dealer pipeline'!A102)&gt;0,ISNUMBER('Dealer pipeline'!M102)),MAX($B$3:B101)+1,"")</f>
        <v/>
      </c>
      <c r="E102">
        <f>IFERROR(MATCH(99,$B$4:$B$1003,0),"")</f>
        <v/>
      </c>
    </row>
    <row r="103">
      <c r="A103">
        <f>IF(AND(LEN('Dealer pipeline'!A103)&gt;0,ISNUMBER('Dealer pipeline'!M103),'Dealer pipeline'!Q103&lt;&gt;"Taken",'Dealer pipeline'!Q103&lt;&gt;"Declined"),'Dealer pipeline'!M103+100/100000,"")</f>
        <v/>
      </c>
      <c r="B103">
        <f>IF(AND(LEN('Dealer pipeline'!A103)&gt;0,ISNUMBER('Dealer pipeline'!M103)),MAX($B$3:B102)+1,"")</f>
        <v/>
      </c>
      <c r="E103">
        <f>IFERROR(MATCH(100,$B$4:$B$1003,0),"")</f>
        <v/>
      </c>
    </row>
    <row r="104">
      <c r="A104">
        <f>IF(AND(LEN('Dealer pipeline'!A104)&gt;0,ISNUMBER('Dealer pipeline'!M104),'Dealer pipeline'!Q104&lt;&gt;"Taken",'Dealer pipeline'!Q104&lt;&gt;"Declined"),'Dealer pipeline'!M104+101/100000,"")</f>
        <v/>
      </c>
      <c r="B104">
        <f>IF(AND(LEN('Dealer pipeline'!A104)&gt;0,ISNUMBER('Dealer pipeline'!M104)),MAX($B$3:B103)+1,"")</f>
        <v/>
      </c>
      <c r="E104">
        <f>IFERROR(MATCH(101,$B$4:$B$1003,0),"")</f>
        <v/>
      </c>
    </row>
    <row r="105">
      <c r="A105">
        <f>IF(AND(LEN('Dealer pipeline'!A105)&gt;0,ISNUMBER('Dealer pipeline'!M105),'Dealer pipeline'!Q105&lt;&gt;"Taken",'Dealer pipeline'!Q105&lt;&gt;"Declined"),'Dealer pipeline'!M105+102/100000,"")</f>
        <v/>
      </c>
      <c r="B105">
        <f>IF(AND(LEN('Dealer pipeline'!A105)&gt;0,ISNUMBER('Dealer pipeline'!M105)),MAX($B$3:B104)+1,"")</f>
        <v/>
      </c>
      <c r="E105">
        <f>IFERROR(MATCH(102,$B$4:$B$1003,0),"")</f>
        <v/>
      </c>
    </row>
    <row r="106">
      <c r="A106">
        <f>IF(AND(LEN('Dealer pipeline'!A106)&gt;0,ISNUMBER('Dealer pipeline'!M106),'Dealer pipeline'!Q106&lt;&gt;"Taken",'Dealer pipeline'!Q106&lt;&gt;"Declined"),'Dealer pipeline'!M106+103/100000,"")</f>
        <v/>
      </c>
      <c r="B106">
        <f>IF(AND(LEN('Dealer pipeline'!A106)&gt;0,ISNUMBER('Dealer pipeline'!M106)),MAX($B$3:B105)+1,"")</f>
        <v/>
      </c>
      <c r="E106">
        <f>IFERROR(MATCH(103,$B$4:$B$1003,0),"")</f>
        <v/>
      </c>
    </row>
    <row r="107">
      <c r="A107">
        <f>IF(AND(LEN('Dealer pipeline'!A107)&gt;0,ISNUMBER('Dealer pipeline'!M107),'Dealer pipeline'!Q107&lt;&gt;"Taken",'Dealer pipeline'!Q107&lt;&gt;"Declined"),'Dealer pipeline'!M107+104/100000,"")</f>
        <v/>
      </c>
      <c r="B107">
        <f>IF(AND(LEN('Dealer pipeline'!A107)&gt;0,ISNUMBER('Dealer pipeline'!M107)),MAX($B$3:B106)+1,"")</f>
        <v/>
      </c>
      <c r="E107">
        <f>IFERROR(MATCH(104,$B$4:$B$1003,0),"")</f>
        <v/>
      </c>
    </row>
    <row r="108">
      <c r="A108">
        <f>IF(AND(LEN('Dealer pipeline'!A108)&gt;0,ISNUMBER('Dealer pipeline'!M108),'Dealer pipeline'!Q108&lt;&gt;"Taken",'Dealer pipeline'!Q108&lt;&gt;"Declined"),'Dealer pipeline'!M108+105/100000,"")</f>
        <v/>
      </c>
      <c r="B108">
        <f>IF(AND(LEN('Dealer pipeline'!A108)&gt;0,ISNUMBER('Dealer pipeline'!M108)),MAX($B$3:B107)+1,"")</f>
        <v/>
      </c>
      <c r="E108">
        <f>IFERROR(MATCH(105,$B$4:$B$1003,0),"")</f>
        <v/>
      </c>
    </row>
    <row r="109">
      <c r="A109">
        <f>IF(AND(LEN('Dealer pipeline'!A109)&gt;0,ISNUMBER('Dealer pipeline'!M109),'Dealer pipeline'!Q109&lt;&gt;"Taken",'Dealer pipeline'!Q109&lt;&gt;"Declined"),'Dealer pipeline'!M109+106/100000,"")</f>
        <v/>
      </c>
      <c r="B109">
        <f>IF(AND(LEN('Dealer pipeline'!A109)&gt;0,ISNUMBER('Dealer pipeline'!M109)),MAX($B$3:B108)+1,"")</f>
        <v/>
      </c>
      <c r="E109">
        <f>IFERROR(MATCH(106,$B$4:$B$1003,0),"")</f>
        <v/>
      </c>
    </row>
    <row r="110">
      <c r="A110">
        <f>IF(AND(LEN('Dealer pipeline'!A110)&gt;0,ISNUMBER('Dealer pipeline'!M110),'Dealer pipeline'!Q110&lt;&gt;"Taken",'Dealer pipeline'!Q110&lt;&gt;"Declined"),'Dealer pipeline'!M110+107/100000,"")</f>
        <v/>
      </c>
      <c r="B110">
        <f>IF(AND(LEN('Dealer pipeline'!A110)&gt;0,ISNUMBER('Dealer pipeline'!M110)),MAX($B$3:B109)+1,"")</f>
        <v/>
      </c>
      <c r="E110">
        <f>IFERROR(MATCH(107,$B$4:$B$1003,0),"")</f>
        <v/>
      </c>
    </row>
    <row r="111">
      <c r="A111">
        <f>IF(AND(LEN('Dealer pipeline'!A111)&gt;0,ISNUMBER('Dealer pipeline'!M111),'Dealer pipeline'!Q111&lt;&gt;"Taken",'Dealer pipeline'!Q111&lt;&gt;"Declined"),'Dealer pipeline'!M111+108/100000,"")</f>
        <v/>
      </c>
      <c r="B111">
        <f>IF(AND(LEN('Dealer pipeline'!A111)&gt;0,ISNUMBER('Dealer pipeline'!M111)),MAX($B$3:B110)+1,"")</f>
        <v/>
      </c>
      <c r="E111">
        <f>IFERROR(MATCH(108,$B$4:$B$1003,0),"")</f>
        <v/>
      </c>
    </row>
    <row r="112">
      <c r="A112">
        <f>IF(AND(LEN('Dealer pipeline'!A112)&gt;0,ISNUMBER('Dealer pipeline'!M112),'Dealer pipeline'!Q112&lt;&gt;"Taken",'Dealer pipeline'!Q112&lt;&gt;"Declined"),'Dealer pipeline'!M112+109/100000,"")</f>
        <v/>
      </c>
      <c r="B112">
        <f>IF(AND(LEN('Dealer pipeline'!A112)&gt;0,ISNUMBER('Dealer pipeline'!M112)),MAX($B$3:B111)+1,"")</f>
        <v/>
      </c>
      <c r="E112">
        <f>IFERROR(MATCH(109,$B$4:$B$1003,0),"")</f>
        <v/>
      </c>
    </row>
    <row r="113">
      <c r="A113">
        <f>IF(AND(LEN('Dealer pipeline'!A113)&gt;0,ISNUMBER('Dealer pipeline'!M113),'Dealer pipeline'!Q113&lt;&gt;"Taken",'Dealer pipeline'!Q113&lt;&gt;"Declined"),'Dealer pipeline'!M113+110/100000,"")</f>
        <v/>
      </c>
      <c r="B113">
        <f>IF(AND(LEN('Dealer pipeline'!A113)&gt;0,ISNUMBER('Dealer pipeline'!M113)),MAX($B$3:B112)+1,"")</f>
        <v/>
      </c>
      <c r="E113">
        <f>IFERROR(MATCH(110,$B$4:$B$1003,0),"")</f>
        <v/>
      </c>
    </row>
    <row r="114">
      <c r="A114">
        <f>IF(AND(LEN('Dealer pipeline'!A114)&gt;0,ISNUMBER('Dealer pipeline'!M114),'Dealer pipeline'!Q114&lt;&gt;"Taken",'Dealer pipeline'!Q114&lt;&gt;"Declined"),'Dealer pipeline'!M114+111/100000,"")</f>
        <v/>
      </c>
      <c r="B114">
        <f>IF(AND(LEN('Dealer pipeline'!A114)&gt;0,ISNUMBER('Dealer pipeline'!M114)),MAX($B$3:B113)+1,"")</f>
        <v/>
      </c>
      <c r="E114">
        <f>IFERROR(MATCH(111,$B$4:$B$1003,0),"")</f>
        <v/>
      </c>
    </row>
    <row r="115">
      <c r="A115">
        <f>IF(AND(LEN('Dealer pipeline'!A115)&gt;0,ISNUMBER('Dealer pipeline'!M115),'Dealer pipeline'!Q115&lt;&gt;"Taken",'Dealer pipeline'!Q115&lt;&gt;"Declined"),'Dealer pipeline'!M115+112/100000,"")</f>
        <v/>
      </c>
      <c r="B115">
        <f>IF(AND(LEN('Dealer pipeline'!A115)&gt;0,ISNUMBER('Dealer pipeline'!M115)),MAX($B$3:B114)+1,"")</f>
        <v/>
      </c>
      <c r="E115">
        <f>IFERROR(MATCH(112,$B$4:$B$1003,0),"")</f>
        <v/>
      </c>
    </row>
    <row r="116">
      <c r="A116">
        <f>IF(AND(LEN('Dealer pipeline'!A116)&gt;0,ISNUMBER('Dealer pipeline'!M116),'Dealer pipeline'!Q116&lt;&gt;"Taken",'Dealer pipeline'!Q116&lt;&gt;"Declined"),'Dealer pipeline'!M116+113/100000,"")</f>
        <v/>
      </c>
      <c r="B116">
        <f>IF(AND(LEN('Dealer pipeline'!A116)&gt;0,ISNUMBER('Dealer pipeline'!M116)),MAX($B$3:B115)+1,"")</f>
        <v/>
      </c>
      <c r="E116">
        <f>IFERROR(MATCH(113,$B$4:$B$1003,0),"")</f>
        <v/>
      </c>
    </row>
    <row r="117">
      <c r="A117">
        <f>IF(AND(LEN('Dealer pipeline'!A117)&gt;0,ISNUMBER('Dealer pipeline'!M117),'Dealer pipeline'!Q117&lt;&gt;"Taken",'Dealer pipeline'!Q117&lt;&gt;"Declined"),'Dealer pipeline'!M117+114/100000,"")</f>
        <v/>
      </c>
      <c r="B117">
        <f>IF(AND(LEN('Dealer pipeline'!A117)&gt;0,ISNUMBER('Dealer pipeline'!M117)),MAX($B$3:B116)+1,"")</f>
        <v/>
      </c>
      <c r="E117">
        <f>IFERROR(MATCH(114,$B$4:$B$1003,0),"")</f>
        <v/>
      </c>
    </row>
    <row r="118">
      <c r="A118">
        <f>IF(AND(LEN('Dealer pipeline'!A118)&gt;0,ISNUMBER('Dealer pipeline'!M118),'Dealer pipeline'!Q118&lt;&gt;"Taken",'Dealer pipeline'!Q118&lt;&gt;"Declined"),'Dealer pipeline'!M118+115/100000,"")</f>
        <v/>
      </c>
      <c r="B118">
        <f>IF(AND(LEN('Dealer pipeline'!A118)&gt;0,ISNUMBER('Dealer pipeline'!M118)),MAX($B$3:B117)+1,"")</f>
        <v/>
      </c>
      <c r="E118">
        <f>IFERROR(MATCH(115,$B$4:$B$1003,0),"")</f>
        <v/>
      </c>
    </row>
    <row r="119">
      <c r="A119">
        <f>IF(AND(LEN('Dealer pipeline'!A119)&gt;0,ISNUMBER('Dealer pipeline'!M119),'Dealer pipeline'!Q119&lt;&gt;"Taken",'Dealer pipeline'!Q119&lt;&gt;"Declined"),'Dealer pipeline'!M119+116/100000,"")</f>
        <v/>
      </c>
      <c r="B119">
        <f>IF(AND(LEN('Dealer pipeline'!A119)&gt;0,ISNUMBER('Dealer pipeline'!M119)),MAX($B$3:B118)+1,"")</f>
        <v/>
      </c>
      <c r="E119">
        <f>IFERROR(MATCH(116,$B$4:$B$1003,0),"")</f>
        <v/>
      </c>
    </row>
    <row r="120">
      <c r="A120">
        <f>IF(AND(LEN('Dealer pipeline'!A120)&gt;0,ISNUMBER('Dealer pipeline'!M120),'Dealer pipeline'!Q120&lt;&gt;"Taken",'Dealer pipeline'!Q120&lt;&gt;"Declined"),'Dealer pipeline'!M120+117/100000,"")</f>
        <v/>
      </c>
      <c r="B120">
        <f>IF(AND(LEN('Dealer pipeline'!A120)&gt;0,ISNUMBER('Dealer pipeline'!M120)),MAX($B$3:B119)+1,"")</f>
        <v/>
      </c>
      <c r="E120">
        <f>IFERROR(MATCH(117,$B$4:$B$1003,0),"")</f>
        <v/>
      </c>
    </row>
    <row r="121">
      <c r="A121">
        <f>IF(AND(LEN('Dealer pipeline'!A121)&gt;0,ISNUMBER('Dealer pipeline'!M121),'Dealer pipeline'!Q121&lt;&gt;"Taken",'Dealer pipeline'!Q121&lt;&gt;"Declined"),'Dealer pipeline'!M121+118/100000,"")</f>
        <v/>
      </c>
      <c r="B121">
        <f>IF(AND(LEN('Dealer pipeline'!A121)&gt;0,ISNUMBER('Dealer pipeline'!M121)),MAX($B$3:B120)+1,"")</f>
        <v/>
      </c>
      <c r="E121">
        <f>IFERROR(MATCH(118,$B$4:$B$1003,0),"")</f>
        <v/>
      </c>
    </row>
    <row r="122">
      <c r="A122">
        <f>IF(AND(LEN('Dealer pipeline'!A122)&gt;0,ISNUMBER('Dealer pipeline'!M122),'Dealer pipeline'!Q122&lt;&gt;"Taken",'Dealer pipeline'!Q122&lt;&gt;"Declined"),'Dealer pipeline'!M122+119/100000,"")</f>
        <v/>
      </c>
      <c r="B122">
        <f>IF(AND(LEN('Dealer pipeline'!A122)&gt;0,ISNUMBER('Dealer pipeline'!M122)),MAX($B$3:B121)+1,"")</f>
        <v/>
      </c>
      <c r="E122">
        <f>IFERROR(MATCH(119,$B$4:$B$1003,0),"")</f>
        <v/>
      </c>
    </row>
    <row r="123">
      <c r="A123">
        <f>IF(AND(LEN('Dealer pipeline'!A123)&gt;0,ISNUMBER('Dealer pipeline'!M123),'Dealer pipeline'!Q123&lt;&gt;"Taken",'Dealer pipeline'!Q123&lt;&gt;"Declined"),'Dealer pipeline'!M123+120/100000,"")</f>
        <v/>
      </c>
      <c r="B123">
        <f>IF(AND(LEN('Dealer pipeline'!A123)&gt;0,ISNUMBER('Dealer pipeline'!M123)),MAX($B$3:B122)+1,"")</f>
        <v/>
      </c>
      <c r="E123">
        <f>IFERROR(MATCH(120,$B$4:$B$1003,0),"")</f>
        <v/>
      </c>
    </row>
    <row r="124">
      <c r="A124">
        <f>IF(AND(LEN('Dealer pipeline'!A124)&gt;0,ISNUMBER('Dealer pipeline'!M124),'Dealer pipeline'!Q124&lt;&gt;"Taken",'Dealer pipeline'!Q124&lt;&gt;"Declined"),'Dealer pipeline'!M124+121/100000,"")</f>
        <v/>
      </c>
      <c r="B124">
        <f>IF(AND(LEN('Dealer pipeline'!A124)&gt;0,ISNUMBER('Dealer pipeline'!M124)),MAX($B$3:B123)+1,"")</f>
        <v/>
      </c>
      <c r="E124">
        <f>IFERROR(MATCH(121,$B$4:$B$1003,0),"")</f>
        <v/>
      </c>
    </row>
    <row r="125">
      <c r="A125">
        <f>IF(AND(LEN('Dealer pipeline'!A125)&gt;0,ISNUMBER('Dealer pipeline'!M125),'Dealer pipeline'!Q125&lt;&gt;"Taken",'Dealer pipeline'!Q125&lt;&gt;"Declined"),'Dealer pipeline'!M125+122/100000,"")</f>
        <v/>
      </c>
      <c r="B125">
        <f>IF(AND(LEN('Dealer pipeline'!A125)&gt;0,ISNUMBER('Dealer pipeline'!M125)),MAX($B$3:B124)+1,"")</f>
        <v/>
      </c>
      <c r="E125">
        <f>IFERROR(MATCH(122,$B$4:$B$1003,0),"")</f>
        <v/>
      </c>
    </row>
    <row r="126">
      <c r="A126">
        <f>IF(AND(LEN('Dealer pipeline'!A126)&gt;0,ISNUMBER('Dealer pipeline'!M126),'Dealer pipeline'!Q126&lt;&gt;"Taken",'Dealer pipeline'!Q126&lt;&gt;"Declined"),'Dealer pipeline'!M126+123/100000,"")</f>
        <v/>
      </c>
      <c r="B126">
        <f>IF(AND(LEN('Dealer pipeline'!A126)&gt;0,ISNUMBER('Dealer pipeline'!M126)),MAX($B$3:B125)+1,"")</f>
        <v/>
      </c>
      <c r="E126">
        <f>IFERROR(MATCH(123,$B$4:$B$1003,0),"")</f>
        <v/>
      </c>
    </row>
    <row r="127">
      <c r="A127">
        <f>IF(AND(LEN('Dealer pipeline'!A127)&gt;0,ISNUMBER('Dealer pipeline'!M127),'Dealer pipeline'!Q127&lt;&gt;"Taken",'Dealer pipeline'!Q127&lt;&gt;"Declined"),'Dealer pipeline'!M127+124/100000,"")</f>
        <v/>
      </c>
      <c r="B127">
        <f>IF(AND(LEN('Dealer pipeline'!A127)&gt;0,ISNUMBER('Dealer pipeline'!M127)),MAX($B$3:B126)+1,"")</f>
        <v/>
      </c>
      <c r="E127">
        <f>IFERROR(MATCH(124,$B$4:$B$1003,0),"")</f>
        <v/>
      </c>
    </row>
    <row r="128">
      <c r="A128">
        <f>IF(AND(LEN('Dealer pipeline'!A128)&gt;0,ISNUMBER('Dealer pipeline'!M128),'Dealer pipeline'!Q128&lt;&gt;"Taken",'Dealer pipeline'!Q128&lt;&gt;"Declined"),'Dealer pipeline'!M128+125/100000,"")</f>
        <v/>
      </c>
      <c r="B128">
        <f>IF(AND(LEN('Dealer pipeline'!A128)&gt;0,ISNUMBER('Dealer pipeline'!M128)),MAX($B$3:B127)+1,"")</f>
        <v/>
      </c>
      <c r="E128">
        <f>IFERROR(MATCH(125,$B$4:$B$1003,0),"")</f>
        <v/>
      </c>
    </row>
    <row r="129">
      <c r="A129">
        <f>IF(AND(LEN('Dealer pipeline'!A129)&gt;0,ISNUMBER('Dealer pipeline'!M129),'Dealer pipeline'!Q129&lt;&gt;"Taken",'Dealer pipeline'!Q129&lt;&gt;"Declined"),'Dealer pipeline'!M129+126/100000,"")</f>
        <v/>
      </c>
      <c r="B129">
        <f>IF(AND(LEN('Dealer pipeline'!A129)&gt;0,ISNUMBER('Dealer pipeline'!M129)),MAX($B$3:B128)+1,"")</f>
        <v/>
      </c>
      <c r="E129">
        <f>IFERROR(MATCH(126,$B$4:$B$1003,0),"")</f>
        <v/>
      </c>
    </row>
    <row r="130">
      <c r="A130">
        <f>IF(AND(LEN('Dealer pipeline'!A130)&gt;0,ISNUMBER('Dealer pipeline'!M130),'Dealer pipeline'!Q130&lt;&gt;"Taken",'Dealer pipeline'!Q130&lt;&gt;"Declined"),'Dealer pipeline'!M130+127/100000,"")</f>
        <v/>
      </c>
      <c r="B130">
        <f>IF(AND(LEN('Dealer pipeline'!A130)&gt;0,ISNUMBER('Dealer pipeline'!M130)),MAX($B$3:B129)+1,"")</f>
        <v/>
      </c>
      <c r="E130">
        <f>IFERROR(MATCH(127,$B$4:$B$1003,0),"")</f>
        <v/>
      </c>
    </row>
    <row r="131">
      <c r="A131">
        <f>IF(AND(LEN('Dealer pipeline'!A131)&gt;0,ISNUMBER('Dealer pipeline'!M131),'Dealer pipeline'!Q131&lt;&gt;"Taken",'Dealer pipeline'!Q131&lt;&gt;"Declined"),'Dealer pipeline'!M131+128/100000,"")</f>
        <v/>
      </c>
      <c r="B131">
        <f>IF(AND(LEN('Dealer pipeline'!A131)&gt;0,ISNUMBER('Dealer pipeline'!M131)),MAX($B$3:B130)+1,"")</f>
        <v/>
      </c>
      <c r="E131">
        <f>IFERROR(MATCH(128,$B$4:$B$1003,0),"")</f>
        <v/>
      </c>
    </row>
    <row r="132">
      <c r="A132">
        <f>IF(AND(LEN('Dealer pipeline'!A132)&gt;0,ISNUMBER('Dealer pipeline'!M132),'Dealer pipeline'!Q132&lt;&gt;"Taken",'Dealer pipeline'!Q132&lt;&gt;"Declined"),'Dealer pipeline'!M132+129/100000,"")</f>
        <v/>
      </c>
      <c r="B132">
        <f>IF(AND(LEN('Dealer pipeline'!A132)&gt;0,ISNUMBER('Dealer pipeline'!M132)),MAX($B$3:B131)+1,"")</f>
        <v/>
      </c>
      <c r="E132">
        <f>IFERROR(MATCH(129,$B$4:$B$1003,0),"")</f>
        <v/>
      </c>
    </row>
    <row r="133">
      <c r="A133">
        <f>IF(AND(LEN('Dealer pipeline'!A133)&gt;0,ISNUMBER('Dealer pipeline'!M133),'Dealer pipeline'!Q133&lt;&gt;"Taken",'Dealer pipeline'!Q133&lt;&gt;"Declined"),'Dealer pipeline'!M133+130/100000,"")</f>
        <v/>
      </c>
      <c r="B133">
        <f>IF(AND(LEN('Dealer pipeline'!A133)&gt;0,ISNUMBER('Dealer pipeline'!M133)),MAX($B$3:B132)+1,"")</f>
        <v/>
      </c>
      <c r="E133">
        <f>IFERROR(MATCH(130,$B$4:$B$1003,0),"")</f>
        <v/>
      </c>
    </row>
    <row r="134">
      <c r="A134">
        <f>IF(AND(LEN('Dealer pipeline'!A134)&gt;0,ISNUMBER('Dealer pipeline'!M134),'Dealer pipeline'!Q134&lt;&gt;"Taken",'Dealer pipeline'!Q134&lt;&gt;"Declined"),'Dealer pipeline'!M134+131/100000,"")</f>
        <v/>
      </c>
      <c r="B134">
        <f>IF(AND(LEN('Dealer pipeline'!A134)&gt;0,ISNUMBER('Dealer pipeline'!M134)),MAX($B$3:B133)+1,"")</f>
        <v/>
      </c>
      <c r="E134">
        <f>IFERROR(MATCH(131,$B$4:$B$1003,0),"")</f>
        <v/>
      </c>
    </row>
    <row r="135">
      <c r="A135">
        <f>IF(AND(LEN('Dealer pipeline'!A135)&gt;0,ISNUMBER('Dealer pipeline'!M135),'Dealer pipeline'!Q135&lt;&gt;"Taken",'Dealer pipeline'!Q135&lt;&gt;"Declined"),'Dealer pipeline'!M135+132/100000,"")</f>
        <v/>
      </c>
      <c r="B135">
        <f>IF(AND(LEN('Dealer pipeline'!A135)&gt;0,ISNUMBER('Dealer pipeline'!M135)),MAX($B$3:B134)+1,"")</f>
        <v/>
      </c>
      <c r="E135">
        <f>IFERROR(MATCH(132,$B$4:$B$1003,0),"")</f>
        <v/>
      </c>
    </row>
    <row r="136">
      <c r="A136">
        <f>IF(AND(LEN('Dealer pipeline'!A136)&gt;0,ISNUMBER('Dealer pipeline'!M136),'Dealer pipeline'!Q136&lt;&gt;"Taken",'Dealer pipeline'!Q136&lt;&gt;"Declined"),'Dealer pipeline'!M136+133/100000,"")</f>
        <v/>
      </c>
      <c r="B136">
        <f>IF(AND(LEN('Dealer pipeline'!A136)&gt;0,ISNUMBER('Dealer pipeline'!M136)),MAX($B$3:B135)+1,"")</f>
        <v/>
      </c>
      <c r="E136">
        <f>IFERROR(MATCH(133,$B$4:$B$1003,0),"")</f>
        <v/>
      </c>
    </row>
    <row r="137">
      <c r="A137">
        <f>IF(AND(LEN('Dealer pipeline'!A137)&gt;0,ISNUMBER('Dealer pipeline'!M137),'Dealer pipeline'!Q137&lt;&gt;"Taken",'Dealer pipeline'!Q137&lt;&gt;"Declined"),'Dealer pipeline'!M137+134/100000,"")</f>
        <v/>
      </c>
      <c r="B137">
        <f>IF(AND(LEN('Dealer pipeline'!A137)&gt;0,ISNUMBER('Dealer pipeline'!M137)),MAX($B$3:B136)+1,"")</f>
        <v/>
      </c>
      <c r="E137">
        <f>IFERROR(MATCH(134,$B$4:$B$1003,0),"")</f>
        <v/>
      </c>
    </row>
    <row r="138">
      <c r="A138">
        <f>IF(AND(LEN('Dealer pipeline'!A138)&gt;0,ISNUMBER('Dealer pipeline'!M138),'Dealer pipeline'!Q138&lt;&gt;"Taken",'Dealer pipeline'!Q138&lt;&gt;"Declined"),'Dealer pipeline'!M138+135/100000,"")</f>
        <v/>
      </c>
      <c r="B138">
        <f>IF(AND(LEN('Dealer pipeline'!A138)&gt;0,ISNUMBER('Dealer pipeline'!M138)),MAX($B$3:B137)+1,"")</f>
        <v/>
      </c>
      <c r="E138">
        <f>IFERROR(MATCH(135,$B$4:$B$1003,0),"")</f>
        <v/>
      </c>
    </row>
    <row r="139">
      <c r="A139">
        <f>IF(AND(LEN('Dealer pipeline'!A139)&gt;0,ISNUMBER('Dealer pipeline'!M139),'Dealer pipeline'!Q139&lt;&gt;"Taken",'Dealer pipeline'!Q139&lt;&gt;"Declined"),'Dealer pipeline'!M139+136/100000,"")</f>
        <v/>
      </c>
      <c r="B139">
        <f>IF(AND(LEN('Dealer pipeline'!A139)&gt;0,ISNUMBER('Dealer pipeline'!M139)),MAX($B$3:B138)+1,"")</f>
        <v/>
      </c>
      <c r="E139">
        <f>IFERROR(MATCH(136,$B$4:$B$1003,0),"")</f>
        <v/>
      </c>
    </row>
    <row r="140">
      <c r="A140">
        <f>IF(AND(LEN('Dealer pipeline'!A140)&gt;0,ISNUMBER('Dealer pipeline'!M140),'Dealer pipeline'!Q140&lt;&gt;"Taken",'Dealer pipeline'!Q140&lt;&gt;"Declined"),'Dealer pipeline'!M140+137/100000,"")</f>
        <v/>
      </c>
      <c r="B140">
        <f>IF(AND(LEN('Dealer pipeline'!A140)&gt;0,ISNUMBER('Dealer pipeline'!M140)),MAX($B$3:B139)+1,"")</f>
        <v/>
      </c>
      <c r="E140">
        <f>IFERROR(MATCH(137,$B$4:$B$1003,0),"")</f>
        <v/>
      </c>
    </row>
    <row r="141">
      <c r="A141">
        <f>IF(AND(LEN('Dealer pipeline'!A141)&gt;0,ISNUMBER('Dealer pipeline'!M141),'Dealer pipeline'!Q141&lt;&gt;"Taken",'Dealer pipeline'!Q141&lt;&gt;"Declined"),'Dealer pipeline'!M141+138/100000,"")</f>
        <v/>
      </c>
      <c r="B141">
        <f>IF(AND(LEN('Dealer pipeline'!A141)&gt;0,ISNUMBER('Dealer pipeline'!M141)),MAX($B$3:B140)+1,"")</f>
        <v/>
      </c>
      <c r="E141">
        <f>IFERROR(MATCH(138,$B$4:$B$1003,0),"")</f>
        <v/>
      </c>
    </row>
    <row r="142">
      <c r="A142">
        <f>IF(AND(LEN('Dealer pipeline'!A142)&gt;0,ISNUMBER('Dealer pipeline'!M142),'Dealer pipeline'!Q142&lt;&gt;"Taken",'Dealer pipeline'!Q142&lt;&gt;"Declined"),'Dealer pipeline'!M142+139/100000,"")</f>
        <v/>
      </c>
      <c r="B142">
        <f>IF(AND(LEN('Dealer pipeline'!A142)&gt;0,ISNUMBER('Dealer pipeline'!M142)),MAX($B$3:B141)+1,"")</f>
        <v/>
      </c>
      <c r="E142">
        <f>IFERROR(MATCH(139,$B$4:$B$1003,0),"")</f>
        <v/>
      </c>
    </row>
    <row r="143">
      <c r="A143">
        <f>IF(AND(LEN('Dealer pipeline'!A143)&gt;0,ISNUMBER('Dealer pipeline'!M143),'Dealer pipeline'!Q143&lt;&gt;"Taken",'Dealer pipeline'!Q143&lt;&gt;"Declined"),'Dealer pipeline'!M143+140/100000,"")</f>
        <v/>
      </c>
      <c r="B143">
        <f>IF(AND(LEN('Dealer pipeline'!A143)&gt;0,ISNUMBER('Dealer pipeline'!M143)),MAX($B$3:B142)+1,"")</f>
        <v/>
      </c>
      <c r="E143">
        <f>IFERROR(MATCH(140,$B$4:$B$1003,0),"")</f>
        <v/>
      </c>
    </row>
    <row r="144">
      <c r="A144">
        <f>IF(AND(LEN('Dealer pipeline'!A144)&gt;0,ISNUMBER('Dealer pipeline'!M144),'Dealer pipeline'!Q144&lt;&gt;"Taken",'Dealer pipeline'!Q144&lt;&gt;"Declined"),'Dealer pipeline'!M144+141/100000,"")</f>
        <v/>
      </c>
      <c r="B144">
        <f>IF(AND(LEN('Dealer pipeline'!A144)&gt;0,ISNUMBER('Dealer pipeline'!M144)),MAX($B$3:B143)+1,"")</f>
        <v/>
      </c>
      <c r="E144">
        <f>IFERROR(MATCH(141,$B$4:$B$1003,0),"")</f>
        <v/>
      </c>
    </row>
    <row r="145">
      <c r="A145">
        <f>IF(AND(LEN('Dealer pipeline'!A145)&gt;0,ISNUMBER('Dealer pipeline'!M145),'Dealer pipeline'!Q145&lt;&gt;"Taken",'Dealer pipeline'!Q145&lt;&gt;"Declined"),'Dealer pipeline'!M145+142/100000,"")</f>
        <v/>
      </c>
      <c r="B145">
        <f>IF(AND(LEN('Dealer pipeline'!A145)&gt;0,ISNUMBER('Dealer pipeline'!M145)),MAX($B$3:B144)+1,"")</f>
        <v/>
      </c>
      <c r="E145">
        <f>IFERROR(MATCH(142,$B$4:$B$1003,0),"")</f>
        <v/>
      </c>
    </row>
    <row r="146">
      <c r="A146">
        <f>IF(AND(LEN('Dealer pipeline'!A146)&gt;0,ISNUMBER('Dealer pipeline'!M146),'Dealer pipeline'!Q146&lt;&gt;"Taken",'Dealer pipeline'!Q146&lt;&gt;"Declined"),'Dealer pipeline'!M146+143/100000,"")</f>
        <v/>
      </c>
      <c r="B146">
        <f>IF(AND(LEN('Dealer pipeline'!A146)&gt;0,ISNUMBER('Dealer pipeline'!M146)),MAX($B$3:B145)+1,"")</f>
        <v/>
      </c>
      <c r="E146">
        <f>IFERROR(MATCH(143,$B$4:$B$1003,0),"")</f>
        <v/>
      </c>
    </row>
    <row r="147">
      <c r="A147">
        <f>IF(AND(LEN('Dealer pipeline'!A147)&gt;0,ISNUMBER('Dealer pipeline'!M147),'Dealer pipeline'!Q147&lt;&gt;"Taken",'Dealer pipeline'!Q147&lt;&gt;"Declined"),'Dealer pipeline'!M147+144/100000,"")</f>
        <v/>
      </c>
      <c r="B147">
        <f>IF(AND(LEN('Dealer pipeline'!A147)&gt;0,ISNUMBER('Dealer pipeline'!M147)),MAX($B$3:B146)+1,"")</f>
        <v/>
      </c>
      <c r="E147">
        <f>IFERROR(MATCH(144,$B$4:$B$1003,0),"")</f>
        <v/>
      </c>
    </row>
    <row r="148">
      <c r="A148">
        <f>IF(AND(LEN('Dealer pipeline'!A148)&gt;0,ISNUMBER('Dealer pipeline'!M148),'Dealer pipeline'!Q148&lt;&gt;"Taken",'Dealer pipeline'!Q148&lt;&gt;"Declined"),'Dealer pipeline'!M148+145/100000,"")</f>
        <v/>
      </c>
      <c r="B148">
        <f>IF(AND(LEN('Dealer pipeline'!A148)&gt;0,ISNUMBER('Dealer pipeline'!M148)),MAX($B$3:B147)+1,"")</f>
        <v/>
      </c>
      <c r="E148">
        <f>IFERROR(MATCH(145,$B$4:$B$1003,0),"")</f>
        <v/>
      </c>
    </row>
    <row r="149">
      <c r="A149">
        <f>IF(AND(LEN('Dealer pipeline'!A149)&gt;0,ISNUMBER('Dealer pipeline'!M149),'Dealer pipeline'!Q149&lt;&gt;"Taken",'Dealer pipeline'!Q149&lt;&gt;"Declined"),'Dealer pipeline'!M149+146/100000,"")</f>
        <v/>
      </c>
      <c r="B149">
        <f>IF(AND(LEN('Dealer pipeline'!A149)&gt;0,ISNUMBER('Dealer pipeline'!M149)),MAX($B$3:B148)+1,"")</f>
        <v/>
      </c>
      <c r="E149">
        <f>IFERROR(MATCH(146,$B$4:$B$1003,0),"")</f>
        <v/>
      </c>
    </row>
    <row r="150">
      <c r="A150">
        <f>IF(AND(LEN('Dealer pipeline'!A150)&gt;0,ISNUMBER('Dealer pipeline'!M150),'Dealer pipeline'!Q150&lt;&gt;"Taken",'Dealer pipeline'!Q150&lt;&gt;"Declined"),'Dealer pipeline'!M150+147/100000,"")</f>
        <v/>
      </c>
      <c r="B150">
        <f>IF(AND(LEN('Dealer pipeline'!A150)&gt;0,ISNUMBER('Dealer pipeline'!M150)),MAX($B$3:B149)+1,"")</f>
        <v/>
      </c>
      <c r="E150">
        <f>IFERROR(MATCH(147,$B$4:$B$1003,0),"")</f>
        <v/>
      </c>
    </row>
    <row r="151">
      <c r="A151">
        <f>IF(AND(LEN('Dealer pipeline'!A151)&gt;0,ISNUMBER('Dealer pipeline'!M151),'Dealer pipeline'!Q151&lt;&gt;"Taken",'Dealer pipeline'!Q151&lt;&gt;"Declined"),'Dealer pipeline'!M151+148/100000,"")</f>
        <v/>
      </c>
      <c r="B151">
        <f>IF(AND(LEN('Dealer pipeline'!A151)&gt;0,ISNUMBER('Dealer pipeline'!M151)),MAX($B$3:B150)+1,"")</f>
        <v/>
      </c>
      <c r="E151">
        <f>IFERROR(MATCH(148,$B$4:$B$1003,0),"")</f>
        <v/>
      </c>
    </row>
    <row r="152">
      <c r="A152">
        <f>IF(AND(LEN('Dealer pipeline'!A152)&gt;0,ISNUMBER('Dealer pipeline'!M152),'Dealer pipeline'!Q152&lt;&gt;"Taken",'Dealer pipeline'!Q152&lt;&gt;"Declined"),'Dealer pipeline'!M152+149/100000,"")</f>
        <v/>
      </c>
      <c r="B152">
        <f>IF(AND(LEN('Dealer pipeline'!A152)&gt;0,ISNUMBER('Dealer pipeline'!M152)),MAX($B$3:B151)+1,"")</f>
        <v/>
      </c>
      <c r="E152">
        <f>IFERROR(MATCH(149,$B$4:$B$1003,0),"")</f>
        <v/>
      </c>
    </row>
    <row r="153">
      <c r="A153">
        <f>IF(AND(LEN('Dealer pipeline'!A153)&gt;0,ISNUMBER('Dealer pipeline'!M153),'Dealer pipeline'!Q153&lt;&gt;"Taken",'Dealer pipeline'!Q153&lt;&gt;"Declined"),'Dealer pipeline'!M153+150/100000,"")</f>
        <v/>
      </c>
      <c r="B153">
        <f>IF(AND(LEN('Dealer pipeline'!A153)&gt;0,ISNUMBER('Dealer pipeline'!M153)),MAX($B$3:B152)+1,"")</f>
        <v/>
      </c>
      <c r="E153">
        <f>IFERROR(MATCH(150,$B$4:$B$1003,0),"")</f>
        <v/>
      </c>
    </row>
    <row r="154">
      <c r="A154">
        <f>IF(AND(LEN('Dealer pipeline'!A154)&gt;0,ISNUMBER('Dealer pipeline'!M154),'Dealer pipeline'!Q154&lt;&gt;"Taken",'Dealer pipeline'!Q154&lt;&gt;"Declined"),'Dealer pipeline'!M154+151/100000,"")</f>
        <v/>
      </c>
      <c r="B154">
        <f>IF(AND(LEN('Dealer pipeline'!A154)&gt;0,ISNUMBER('Dealer pipeline'!M154)),MAX($B$3:B153)+1,"")</f>
        <v/>
      </c>
      <c r="E154">
        <f>IFERROR(MATCH(151,$B$4:$B$1003,0),"")</f>
        <v/>
      </c>
    </row>
    <row r="155">
      <c r="A155">
        <f>IF(AND(LEN('Dealer pipeline'!A155)&gt;0,ISNUMBER('Dealer pipeline'!M155),'Dealer pipeline'!Q155&lt;&gt;"Taken",'Dealer pipeline'!Q155&lt;&gt;"Declined"),'Dealer pipeline'!M155+152/100000,"")</f>
        <v/>
      </c>
      <c r="B155">
        <f>IF(AND(LEN('Dealer pipeline'!A155)&gt;0,ISNUMBER('Dealer pipeline'!M155)),MAX($B$3:B154)+1,"")</f>
        <v/>
      </c>
      <c r="E155">
        <f>IFERROR(MATCH(152,$B$4:$B$1003,0),"")</f>
        <v/>
      </c>
    </row>
    <row r="156">
      <c r="A156">
        <f>IF(AND(LEN('Dealer pipeline'!A156)&gt;0,ISNUMBER('Dealer pipeline'!M156),'Dealer pipeline'!Q156&lt;&gt;"Taken",'Dealer pipeline'!Q156&lt;&gt;"Declined"),'Dealer pipeline'!M156+153/100000,"")</f>
        <v/>
      </c>
      <c r="B156">
        <f>IF(AND(LEN('Dealer pipeline'!A156)&gt;0,ISNUMBER('Dealer pipeline'!M156)),MAX($B$3:B155)+1,"")</f>
        <v/>
      </c>
      <c r="E156">
        <f>IFERROR(MATCH(153,$B$4:$B$1003,0),"")</f>
        <v/>
      </c>
    </row>
    <row r="157">
      <c r="A157">
        <f>IF(AND(LEN('Dealer pipeline'!A157)&gt;0,ISNUMBER('Dealer pipeline'!M157),'Dealer pipeline'!Q157&lt;&gt;"Taken",'Dealer pipeline'!Q157&lt;&gt;"Declined"),'Dealer pipeline'!M157+154/100000,"")</f>
        <v/>
      </c>
      <c r="B157">
        <f>IF(AND(LEN('Dealer pipeline'!A157)&gt;0,ISNUMBER('Dealer pipeline'!M157)),MAX($B$3:B156)+1,"")</f>
        <v/>
      </c>
      <c r="E157">
        <f>IFERROR(MATCH(154,$B$4:$B$1003,0),"")</f>
        <v/>
      </c>
    </row>
    <row r="158">
      <c r="A158">
        <f>IF(AND(LEN('Dealer pipeline'!A158)&gt;0,ISNUMBER('Dealer pipeline'!M158),'Dealer pipeline'!Q158&lt;&gt;"Taken",'Dealer pipeline'!Q158&lt;&gt;"Declined"),'Dealer pipeline'!M158+155/100000,"")</f>
        <v/>
      </c>
      <c r="B158">
        <f>IF(AND(LEN('Dealer pipeline'!A158)&gt;0,ISNUMBER('Dealer pipeline'!M158)),MAX($B$3:B157)+1,"")</f>
        <v/>
      </c>
      <c r="E158">
        <f>IFERROR(MATCH(155,$B$4:$B$1003,0),"")</f>
        <v/>
      </c>
    </row>
    <row r="159">
      <c r="A159">
        <f>IF(AND(LEN('Dealer pipeline'!A159)&gt;0,ISNUMBER('Dealer pipeline'!M159),'Dealer pipeline'!Q159&lt;&gt;"Taken",'Dealer pipeline'!Q159&lt;&gt;"Declined"),'Dealer pipeline'!M159+156/100000,"")</f>
        <v/>
      </c>
      <c r="B159">
        <f>IF(AND(LEN('Dealer pipeline'!A159)&gt;0,ISNUMBER('Dealer pipeline'!M159)),MAX($B$3:B158)+1,"")</f>
        <v/>
      </c>
      <c r="E159">
        <f>IFERROR(MATCH(156,$B$4:$B$1003,0),"")</f>
        <v/>
      </c>
    </row>
    <row r="160">
      <c r="A160">
        <f>IF(AND(LEN('Dealer pipeline'!A160)&gt;0,ISNUMBER('Dealer pipeline'!M160),'Dealer pipeline'!Q160&lt;&gt;"Taken",'Dealer pipeline'!Q160&lt;&gt;"Declined"),'Dealer pipeline'!M160+157/100000,"")</f>
        <v/>
      </c>
      <c r="B160">
        <f>IF(AND(LEN('Dealer pipeline'!A160)&gt;0,ISNUMBER('Dealer pipeline'!M160)),MAX($B$3:B159)+1,"")</f>
        <v/>
      </c>
      <c r="E160">
        <f>IFERROR(MATCH(157,$B$4:$B$1003,0),"")</f>
        <v/>
      </c>
    </row>
    <row r="161">
      <c r="A161">
        <f>IF(AND(LEN('Dealer pipeline'!A161)&gt;0,ISNUMBER('Dealer pipeline'!M161),'Dealer pipeline'!Q161&lt;&gt;"Taken",'Dealer pipeline'!Q161&lt;&gt;"Declined"),'Dealer pipeline'!M161+158/100000,"")</f>
        <v/>
      </c>
      <c r="B161">
        <f>IF(AND(LEN('Dealer pipeline'!A161)&gt;0,ISNUMBER('Dealer pipeline'!M161)),MAX($B$3:B160)+1,"")</f>
        <v/>
      </c>
      <c r="E161">
        <f>IFERROR(MATCH(158,$B$4:$B$1003,0),"")</f>
        <v/>
      </c>
    </row>
    <row r="162">
      <c r="A162">
        <f>IF(AND(LEN('Dealer pipeline'!A162)&gt;0,ISNUMBER('Dealer pipeline'!M162),'Dealer pipeline'!Q162&lt;&gt;"Taken",'Dealer pipeline'!Q162&lt;&gt;"Declined"),'Dealer pipeline'!M162+159/100000,"")</f>
        <v/>
      </c>
      <c r="B162">
        <f>IF(AND(LEN('Dealer pipeline'!A162)&gt;0,ISNUMBER('Dealer pipeline'!M162)),MAX($B$3:B161)+1,"")</f>
        <v/>
      </c>
      <c r="E162">
        <f>IFERROR(MATCH(159,$B$4:$B$1003,0),"")</f>
        <v/>
      </c>
    </row>
    <row r="163">
      <c r="A163">
        <f>IF(AND(LEN('Dealer pipeline'!A163)&gt;0,ISNUMBER('Dealer pipeline'!M163),'Dealer pipeline'!Q163&lt;&gt;"Taken",'Dealer pipeline'!Q163&lt;&gt;"Declined"),'Dealer pipeline'!M163+160/100000,"")</f>
        <v/>
      </c>
      <c r="B163">
        <f>IF(AND(LEN('Dealer pipeline'!A163)&gt;0,ISNUMBER('Dealer pipeline'!M163)),MAX($B$3:B162)+1,"")</f>
        <v/>
      </c>
      <c r="E163">
        <f>IFERROR(MATCH(160,$B$4:$B$1003,0),"")</f>
        <v/>
      </c>
    </row>
    <row r="164">
      <c r="A164">
        <f>IF(AND(LEN('Dealer pipeline'!A164)&gt;0,ISNUMBER('Dealer pipeline'!M164),'Dealer pipeline'!Q164&lt;&gt;"Taken",'Dealer pipeline'!Q164&lt;&gt;"Declined"),'Dealer pipeline'!M164+161/100000,"")</f>
        <v/>
      </c>
      <c r="B164">
        <f>IF(AND(LEN('Dealer pipeline'!A164)&gt;0,ISNUMBER('Dealer pipeline'!M164)),MAX($B$3:B163)+1,"")</f>
        <v/>
      </c>
      <c r="E164">
        <f>IFERROR(MATCH(161,$B$4:$B$1003,0),"")</f>
        <v/>
      </c>
    </row>
    <row r="165">
      <c r="A165">
        <f>IF(AND(LEN('Dealer pipeline'!A165)&gt;0,ISNUMBER('Dealer pipeline'!M165),'Dealer pipeline'!Q165&lt;&gt;"Taken",'Dealer pipeline'!Q165&lt;&gt;"Declined"),'Dealer pipeline'!M165+162/100000,"")</f>
        <v/>
      </c>
      <c r="B165">
        <f>IF(AND(LEN('Dealer pipeline'!A165)&gt;0,ISNUMBER('Dealer pipeline'!M165)),MAX($B$3:B164)+1,"")</f>
        <v/>
      </c>
      <c r="E165">
        <f>IFERROR(MATCH(162,$B$4:$B$1003,0),"")</f>
        <v/>
      </c>
    </row>
    <row r="166">
      <c r="A166">
        <f>IF(AND(LEN('Dealer pipeline'!A166)&gt;0,ISNUMBER('Dealer pipeline'!M166),'Dealer pipeline'!Q166&lt;&gt;"Taken",'Dealer pipeline'!Q166&lt;&gt;"Declined"),'Dealer pipeline'!M166+163/100000,"")</f>
        <v/>
      </c>
      <c r="B166">
        <f>IF(AND(LEN('Dealer pipeline'!A166)&gt;0,ISNUMBER('Dealer pipeline'!M166)),MAX($B$3:B165)+1,"")</f>
        <v/>
      </c>
      <c r="E166">
        <f>IFERROR(MATCH(163,$B$4:$B$1003,0),"")</f>
        <v/>
      </c>
    </row>
    <row r="167">
      <c r="A167">
        <f>IF(AND(LEN('Dealer pipeline'!A167)&gt;0,ISNUMBER('Dealer pipeline'!M167),'Dealer pipeline'!Q167&lt;&gt;"Taken",'Dealer pipeline'!Q167&lt;&gt;"Declined"),'Dealer pipeline'!M167+164/100000,"")</f>
        <v/>
      </c>
      <c r="B167">
        <f>IF(AND(LEN('Dealer pipeline'!A167)&gt;0,ISNUMBER('Dealer pipeline'!M167)),MAX($B$3:B166)+1,"")</f>
        <v/>
      </c>
      <c r="E167">
        <f>IFERROR(MATCH(164,$B$4:$B$1003,0),"")</f>
        <v/>
      </c>
    </row>
    <row r="168">
      <c r="A168">
        <f>IF(AND(LEN('Dealer pipeline'!A168)&gt;0,ISNUMBER('Dealer pipeline'!M168),'Dealer pipeline'!Q168&lt;&gt;"Taken",'Dealer pipeline'!Q168&lt;&gt;"Declined"),'Dealer pipeline'!M168+165/100000,"")</f>
        <v/>
      </c>
      <c r="B168">
        <f>IF(AND(LEN('Dealer pipeline'!A168)&gt;0,ISNUMBER('Dealer pipeline'!M168)),MAX($B$3:B167)+1,"")</f>
        <v/>
      </c>
      <c r="E168">
        <f>IFERROR(MATCH(165,$B$4:$B$1003,0),"")</f>
        <v/>
      </c>
    </row>
    <row r="169">
      <c r="A169">
        <f>IF(AND(LEN('Dealer pipeline'!A169)&gt;0,ISNUMBER('Dealer pipeline'!M169),'Dealer pipeline'!Q169&lt;&gt;"Taken",'Dealer pipeline'!Q169&lt;&gt;"Declined"),'Dealer pipeline'!M169+166/100000,"")</f>
        <v/>
      </c>
      <c r="B169">
        <f>IF(AND(LEN('Dealer pipeline'!A169)&gt;0,ISNUMBER('Dealer pipeline'!M169)),MAX($B$3:B168)+1,"")</f>
        <v/>
      </c>
      <c r="E169">
        <f>IFERROR(MATCH(166,$B$4:$B$1003,0),"")</f>
        <v/>
      </c>
    </row>
    <row r="170">
      <c r="A170">
        <f>IF(AND(LEN('Dealer pipeline'!A170)&gt;0,ISNUMBER('Dealer pipeline'!M170),'Dealer pipeline'!Q170&lt;&gt;"Taken",'Dealer pipeline'!Q170&lt;&gt;"Declined"),'Dealer pipeline'!M170+167/100000,"")</f>
        <v/>
      </c>
      <c r="B170">
        <f>IF(AND(LEN('Dealer pipeline'!A170)&gt;0,ISNUMBER('Dealer pipeline'!M170)),MAX($B$3:B169)+1,"")</f>
        <v/>
      </c>
      <c r="E170">
        <f>IFERROR(MATCH(167,$B$4:$B$1003,0),"")</f>
        <v/>
      </c>
    </row>
    <row r="171">
      <c r="A171">
        <f>IF(AND(LEN('Dealer pipeline'!A171)&gt;0,ISNUMBER('Dealer pipeline'!M171),'Dealer pipeline'!Q171&lt;&gt;"Taken",'Dealer pipeline'!Q171&lt;&gt;"Declined"),'Dealer pipeline'!M171+168/100000,"")</f>
        <v/>
      </c>
      <c r="B171">
        <f>IF(AND(LEN('Dealer pipeline'!A171)&gt;0,ISNUMBER('Dealer pipeline'!M171)),MAX($B$3:B170)+1,"")</f>
        <v/>
      </c>
      <c r="E171">
        <f>IFERROR(MATCH(168,$B$4:$B$1003,0),"")</f>
        <v/>
      </c>
    </row>
    <row r="172">
      <c r="A172">
        <f>IF(AND(LEN('Dealer pipeline'!A172)&gt;0,ISNUMBER('Dealer pipeline'!M172),'Dealer pipeline'!Q172&lt;&gt;"Taken",'Dealer pipeline'!Q172&lt;&gt;"Declined"),'Dealer pipeline'!M172+169/100000,"")</f>
        <v/>
      </c>
      <c r="B172">
        <f>IF(AND(LEN('Dealer pipeline'!A172)&gt;0,ISNUMBER('Dealer pipeline'!M172)),MAX($B$3:B171)+1,"")</f>
        <v/>
      </c>
      <c r="E172">
        <f>IFERROR(MATCH(169,$B$4:$B$1003,0),"")</f>
        <v/>
      </c>
    </row>
    <row r="173">
      <c r="A173">
        <f>IF(AND(LEN('Dealer pipeline'!A173)&gt;0,ISNUMBER('Dealer pipeline'!M173),'Dealer pipeline'!Q173&lt;&gt;"Taken",'Dealer pipeline'!Q173&lt;&gt;"Declined"),'Dealer pipeline'!M173+170/100000,"")</f>
        <v/>
      </c>
      <c r="B173">
        <f>IF(AND(LEN('Dealer pipeline'!A173)&gt;0,ISNUMBER('Dealer pipeline'!M173)),MAX($B$3:B172)+1,"")</f>
        <v/>
      </c>
      <c r="E173">
        <f>IFERROR(MATCH(170,$B$4:$B$1003,0),"")</f>
        <v/>
      </c>
    </row>
    <row r="174">
      <c r="A174">
        <f>IF(AND(LEN('Dealer pipeline'!A174)&gt;0,ISNUMBER('Dealer pipeline'!M174),'Dealer pipeline'!Q174&lt;&gt;"Taken",'Dealer pipeline'!Q174&lt;&gt;"Declined"),'Dealer pipeline'!M174+171/100000,"")</f>
        <v/>
      </c>
      <c r="B174">
        <f>IF(AND(LEN('Dealer pipeline'!A174)&gt;0,ISNUMBER('Dealer pipeline'!M174)),MAX($B$3:B173)+1,"")</f>
        <v/>
      </c>
      <c r="E174">
        <f>IFERROR(MATCH(171,$B$4:$B$1003,0),"")</f>
        <v/>
      </c>
    </row>
    <row r="175">
      <c r="A175">
        <f>IF(AND(LEN('Dealer pipeline'!A175)&gt;0,ISNUMBER('Dealer pipeline'!M175),'Dealer pipeline'!Q175&lt;&gt;"Taken",'Dealer pipeline'!Q175&lt;&gt;"Declined"),'Dealer pipeline'!M175+172/100000,"")</f>
        <v/>
      </c>
      <c r="B175">
        <f>IF(AND(LEN('Dealer pipeline'!A175)&gt;0,ISNUMBER('Dealer pipeline'!M175)),MAX($B$3:B174)+1,"")</f>
        <v/>
      </c>
      <c r="E175">
        <f>IFERROR(MATCH(172,$B$4:$B$1003,0),"")</f>
        <v/>
      </c>
    </row>
    <row r="176">
      <c r="A176">
        <f>IF(AND(LEN('Dealer pipeline'!A176)&gt;0,ISNUMBER('Dealer pipeline'!M176),'Dealer pipeline'!Q176&lt;&gt;"Taken",'Dealer pipeline'!Q176&lt;&gt;"Declined"),'Dealer pipeline'!M176+173/100000,"")</f>
        <v/>
      </c>
      <c r="B176">
        <f>IF(AND(LEN('Dealer pipeline'!A176)&gt;0,ISNUMBER('Dealer pipeline'!M176)),MAX($B$3:B175)+1,"")</f>
        <v/>
      </c>
      <c r="E176">
        <f>IFERROR(MATCH(173,$B$4:$B$1003,0),"")</f>
        <v/>
      </c>
    </row>
    <row r="177">
      <c r="A177">
        <f>IF(AND(LEN('Dealer pipeline'!A177)&gt;0,ISNUMBER('Dealer pipeline'!M177),'Dealer pipeline'!Q177&lt;&gt;"Taken",'Dealer pipeline'!Q177&lt;&gt;"Declined"),'Dealer pipeline'!M177+174/100000,"")</f>
        <v/>
      </c>
      <c r="B177">
        <f>IF(AND(LEN('Dealer pipeline'!A177)&gt;0,ISNUMBER('Dealer pipeline'!M177)),MAX($B$3:B176)+1,"")</f>
        <v/>
      </c>
      <c r="E177">
        <f>IFERROR(MATCH(174,$B$4:$B$1003,0),"")</f>
        <v/>
      </c>
    </row>
    <row r="178">
      <c r="A178">
        <f>IF(AND(LEN('Dealer pipeline'!A178)&gt;0,ISNUMBER('Dealer pipeline'!M178),'Dealer pipeline'!Q178&lt;&gt;"Taken",'Dealer pipeline'!Q178&lt;&gt;"Declined"),'Dealer pipeline'!M178+175/100000,"")</f>
        <v/>
      </c>
      <c r="B178">
        <f>IF(AND(LEN('Dealer pipeline'!A178)&gt;0,ISNUMBER('Dealer pipeline'!M178)),MAX($B$3:B177)+1,"")</f>
        <v/>
      </c>
      <c r="E178">
        <f>IFERROR(MATCH(175,$B$4:$B$1003,0),"")</f>
        <v/>
      </c>
    </row>
    <row r="179">
      <c r="A179">
        <f>IF(AND(LEN('Dealer pipeline'!A179)&gt;0,ISNUMBER('Dealer pipeline'!M179),'Dealer pipeline'!Q179&lt;&gt;"Taken",'Dealer pipeline'!Q179&lt;&gt;"Declined"),'Dealer pipeline'!M179+176/100000,"")</f>
        <v/>
      </c>
      <c r="B179">
        <f>IF(AND(LEN('Dealer pipeline'!A179)&gt;0,ISNUMBER('Dealer pipeline'!M179)),MAX($B$3:B178)+1,"")</f>
        <v/>
      </c>
      <c r="E179">
        <f>IFERROR(MATCH(176,$B$4:$B$1003,0),"")</f>
        <v/>
      </c>
    </row>
    <row r="180">
      <c r="A180">
        <f>IF(AND(LEN('Dealer pipeline'!A180)&gt;0,ISNUMBER('Dealer pipeline'!M180),'Dealer pipeline'!Q180&lt;&gt;"Taken",'Dealer pipeline'!Q180&lt;&gt;"Declined"),'Dealer pipeline'!M180+177/100000,"")</f>
        <v/>
      </c>
      <c r="B180">
        <f>IF(AND(LEN('Dealer pipeline'!A180)&gt;0,ISNUMBER('Dealer pipeline'!M180)),MAX($B$3:B179)+1,"")</f>
        <v/>
      </c>
      <c r="E180">
        <f>IFERROR(MATCH(177,$B$4:$B$1003,0),"")</f>
        <v/>
      </c>
    </row>
    <row r="181">
      <c r="A181">
        <f>IF(AND(LEN('Dealer pipeline'!A181)&gt;0,ISNUMBER('Dealer pipeline'!M181),'Dealer pipeline'!Q181&lt;&gt;"Taken",'Dealer pipeline'!Q181&lt;&gt;"Declined"),'Dealer pipeline'!M181+178/100000,"")</f>
        <v/>
      </c>
      <c r="B181">
        <f>IF(AND(LEN('Dealer pipeline'!A181)&gt;0,ISNUMBER('Dealer pipeline'!M181)),MAX($B$3:B180)+1,"")</f>
        <v/>
      </c>
      <c r="E181">
        <f>IFERROR(MATCH(178,$B$4:$B$1003,0),"")</f>
        <v/>
      </c>
    </row>
    <row r="182">
      <c r="A182">
        <f>IF(AND(LEN('Dealer pipeline'!A182)&gt;0,ISNUMBER('Dealer pipeline'!M182),'Dealer pipeline'!Q182&lt;&gt;"Taken",'Dealer pipeline'!Q182&lt;&gt;"Declined"),'Dealer pipeline'!M182+179/100000,"")</f>
        <v/>
      </c>
      <c r="B182">
        <f>IF(AND(LEN('Dealer pipeline'!A182)&gt;0,ISNUMBER('Dealer pipeline'!M182)),MAX($B$3:B181)+1,"")</f>
        <v/>
      </c>
      <c r="E182">
        <f>IFERROR(MATCH(179,$B$4:$B$1003,0),"")</f>
        <v/>
      </c>
    </row>
    <row r="183">
      <c r="A183">
        <f>IF(AND(LEN('Dealer pipeline'!A183)&gt;0,ISNUMBER('Dealer pipeline'!M183),'Dealer pipeline'!Q183&lt;&gt;"Taken",'Dealer pipeline'!Q183&lt;&gt;"Declined"),'Dealer pipeline'!M183+180/100000,"")</f>
        <v/>
      </c>
      <c r="B183">
        <f>IF(AND(LEN('Dealer pipeline'!A183)&gt;0,ISNUMBER('Dealer pipeline'!M183)),MAX($B$3:B182)+1,"")</f>
        <v/>
      </c>
      <c r="E183">
        <f>IFERROR(MATCH(180,$B$4:$B$1003,0),"")</f>
        <v/>
      </c>
    </row>
    <row r="184">
      <c r="A184">
        <f>IF(AND(LEN('Dealer pipeline'!A184)&gt;0,ISNUMBER('Dealer pipeline'!M184),'Dealer pipeline'!Q184&lt;&gt;"Taken",'Dealer pipeline'!Q184&lt;&gt;"Declined"),'Dealer pipeline'!M184+181/100000,"")</f>
        <v/>
      </c>
      <c r="B184">
        <f>IF(AND(LEN('Dealer pipeline'!A184)&gt;0,ISNUMBER('Dealer pipeline'!M184)),MAX($B$3:B183)+1,"")</f>
        <v/>
      </c>
      <c r="E184">
        <f>IFERROR(MATCH(181,$B$4:$B$1003,0),"")</f>
        <v/>
      </c>
    </row>
    <row r="185">
      <c r="A185">
        <f>IF(AND(LEN('Dealer pipeline'!A185)&gt;0,ISNUMBER('Dealer pipeline'!M185),'Dealer pipeline'!Q185&lt;&gt;"Taken",'Dealer pipeline'!Q185&lt;&gt;"Declined"),'Dealer pipeline'!M185+182/100000,"")</f>
        <v/>
      </c>
      <c r="B185">
        <f>IF(AND(LEN('Dealer pipeline'!A185)&gt;0,ISNUMBER('Dealer pipeline'!M185)),MAX($B$3:B184)+1,"")</f>
        <v/>
      </c>
      <c r="E185">
        <f>IFERROR(MATCH(182,$B$4:$B$1003,0),"")</f>
        <v/>
      </c>
    </row>
    <row r="186">
      <c r="A186">
        <f>IF(AND(LEN('Dealer pipeline'!A186)&gt;0,ISNUMBER('Dealer pipeline'!M186),'Dealer pipeline'!Q186&lt;&gt;"Taken",'Dealer pipeline'!Q186&lt;&gt;"Declined"),'Dealer pipeline'!M186+183/100000,"")</f>
        <v/>
      </c>
      <c r="B186">
        <f>IF(AND(LEN('Dealer pipeline'!A186)&gt;0,ISNUMBER('Dealer pipeline'!M186)),MAX($B$3:B185)+1,"")</f>
        <v/>
      </c>
      <c r="E186">
        <f>IFERROR(MATCH(183,$B$4:$B$1003,0),"")</f>
        <v/>
      </c>
    </row>
    <row r="187">
      <c r="A187">
        <f>IF(AND(LEN('Dealer pipeline'!A187)&gt;0,ISNUMBER('Dealer pipeline'!M187),'Dealer pipeline'!Q187&lt;&gt;"Taken",'Dealer pipeline'!Q187&lt;&gt;"Declined"),'Dealer pipeline'!M187+184/100000,"")</f>
        <v/>
      </c>
      <c r="B187">
        <f>IF(AND(LEN('Dealer pipeline'!A187)&gt;0,ISNUMBER('Dealer pipeline'!M187)),MAX($B$3:B186)+1,"")</f>
        <v/>
      </c>
      <c r="E187">
        <f>IFERROR(MATCH(184,$B$4:$B$1003,0),"")</f>
        <v/>
      </c>
    </row>
    <row r="188">
      <c r="A188">
        <f>IF(AND(LEN('Dealer pipeline'!A188)&gt;0,ISNUMBER('Dealer pipeline'!M188),'Dealer pipeline'!Q188&lt;&gt;"Taken",'Dealer pipeline'!Q188&lt;&gt;"Declined"),'Dealer pipeline'!M188+185/100000,"")</f>
        <v/>
      </c>
      <c r="B188">
        <f>IF(AND(LEN('Dealer pipeline'!A188)&gt;0,ISNUMBER('Dealer pipeline'!M188)),MAX($B$3:B187)+1,"")</f>
        <v/>
      </c>
      <c r="E188">
        <f>IFERROR(MATCH(185,$B$4:$B$1003,0),"")</f>
        <v/>
      </c>
    </row>
    <row r="189">
      <c r="A189">
        <f>IF(AND(LEN('Dealer pipeline'!A189)&gt;0,ISNUMBER('Dealer pipeline'!M189),'Dealer pipeline'!Q189&lt;&gt;"Taken",'Dealer pipeline'!Q189&lt;&gt;"Declined"),'Dealer pipeline'!M189+186/100000,"")</f>
        <v/>
      </c>
      <c r="B189">
        <f>IF(AND(LEN('Dealer pipeline'!A189)&gt;0,ISNUMBER('Dealer pipeline'!M189)),MAX($B$3:B188)+1,"")</f>
        <v/>
      </c>
      <c r="E189">
        <f>IFERROR(MATCH(186,$B$4:$B$1003,0),"")</f>
        <v/>
      </c>
    </row>
    <row r="190">
      <c r="A190">
        <f>IF(AND(LEN('Dealer pipeline'!A190)&gt;0,ISNUMBER('Dealer pipeline'!M190),'Dealer pipeline'!Q190&lt;&gt;"Taken",'Dealer pipeline'!Q190&lt;&gt;"Declined"),'Dealer pipeline'!M190+187/100000,"")</f>
        <v/>
      </c>
      <c r="B190">
        <f>IF(AND(LEN('Dealer pipeline'!A190)&gt;0,ISNUMBER('Dealer pipeline'!M190)),MAX($B$3:B189)+1,"")</f>
        <v/>
      </c>
      <c r="E190">
        <f>IFERROR(MATCH(187,$B$4:$B$1003,0),"")</f>
        <v/>
      </c>
    </row>
    <row r="191">
      <c r="A191">
        <f>IF(AND(LEN('Dealer pipeline'!A191)&gt;0,ISNUMBER('Dealer pipeline'!M191),'Dealer pipeline'!Q191&lt;&gt;"Taken",'Dealer pipeline'!Q191&lt;&gt;"Declined"),'Dealer pipeline'!M191+188/100000,"")</f>
        <v/>
      </c>
      <c r="B191">
        <f>IF(AND(LEN('Dealer pipeline'!A191)&gt;0,ISNUMBER('Dealer pipeline'!M191)),MAX($B$3:B190)+1,"")</f>
        <v/>
      </c>
      <c r="E191">
        <f>IFERROR(MATCH(188,$B$4:$B$1003,0),"")</f>
        <v/>
      </c>
    </row>
    <row r="192">
      <c r="A192">
        <f>IF(AND(LEN('Dealer pipeline'!A192)&gt;0,ISNUMBER('Dealer pipeline'!M192),'Dealer pipeline'!Q192&lt;&gt;"Taken",'Dealer pipeline'!Q192&lt;&gt;"Declined"),'Dealer pipeline'!M192+189/100000,"")</f>
        <v/>
      </c>
      <c r="B192">
        <f>IF(AND(LEN('Dealer pipeline'!A192)&gt;0,ISNUMBER('Dealer pipeline'!M192)),MAX($B$3:B191)+1,"")</f>
        <v/>
      </c>
      <c r="E192">
        <f>IFERROR(MATCH(189,$B$4:$B$1003,0),"")</f>
        <v/>
      </c>
    </row>
    <row r="193">
      <c r="A193">
        <f>IF(AND(LEN('Dealer pipeline'!A193)&gt;0,ISNUMBER('Dealer pipeline'!M193),'Dealer pipeline'!Q193&lt;&gt;"Taken",'Dealer pipeline'!Q193&lt;&gt;"Declined"),'Dealer pipeline'!M193+190/100000,"")</f>
        <v/>
      </c>
      <c r="B193">
        <f>IF(AND(LEN('Dealer pipeline'!A193)&gt;0,ISNUMBER('Dealer pipeline'!M193)),MAX($B$3:B192)+1,"")</f>
        <v/>
      </c>
      <c r="E193">
        <f>IFERROR(MATCH(190,$B$4:$B$1003,0),"")</f>
        <v/>
      </c>
    </row>
    <row r="194">
      <c r="A194">
        <f>IF(AND(LEN('Dealer pipeline'!A194)&gt;0,ISNUMBER('Dealer pipeline'!M194),'Dealer pipeline'!Q194&lt;&gt;"Taken",'Dealer pipeline'!Q194&lt;&gt;"Declined"),'Dealer pipeline'!M194+191/100000,"")</f>
        <v/>
      </c>
      <c r="B194">
        <f>IF(AND(LEN('Dealer pipeline'!A194)&gt;0,ISNUMBER('Dealer pipeline'!M194)),MAX($B$3:B193)+1,"")</f>
        <v/>
      </c>
      <c r="E194">
        <f>IFERROR(MATCH(191,$B$4:$B$1003,0),"")</f>
        <v/>
      </c>
    </row>
    <row r="195">
      <c r="A195">
        <f>IF(AND(LEN('Dealer pipeline'!A195)&gt;0,ISNUMBER('Dealer pipeline'!M195),'Dealer pipeline'!Q195&lt;&gt;"Taken",'Dealer pipeline'!Q195&lt;&gt;"Declined"),'Dealer pipeline'!M195+192/100000,"")</f>
        <v/>
      </c>
      <c r="B195">
        <f>IF(AND(LEN('Dealer pipeline'!A195)&gt;0,ISNUMBER('Dealer pipeline'!M195)),MAX($B$3:B194)+1,"")</f>
        <v/>
      </c>
      <c r="E195">
        <f>IFERROR(MATCH(192,$B$4:$B$1003,0),"")</f>
        <v/>
      </c>
    </row>
    <row r="196">
      <c r="A196">
        <f>IF(AND(LEN('Dealer pipeline'!A196)&gt;0,ISNUMBER('Dealer pipeline'!M196),'Dealer pipeline'!Q196&lt;&gt;"Taken",'Dealer pipeline'!Q196&lt;&gt;"Declined"),'Dealer pipeline'!M196+193/100000,"")</f>
        <v/>
      </c>
      <c r="B196">
        <f>IF(AND(LEN('Dealer pipeline'!A196)&gt;0,ISNUMBER('Dealer pipeline'!M196)),MAX($B$3:B195)+1,"")</f>
        <v/>
      </c>
      <c r="E196">
        <f>IFERROR(MATCH(193,$B$4:$B$1003,0),"")</f>
        <v/>
      </c>
    </row>
    <row r="197">
      <c r="A197">
        <f>IF(AND(LEN('Dealer pipeline'!A197)&gt;0,ISNUMBER('Dealer pipeline'!M197),'Dealer pipeline'!Q197&lt;&gt;"Taken",'Dealer pipeline'!Q197&lt;&gt;"Declined"),'Dealer pipeline'!M197+194/100000,"")</f>
        <v/>
      </c>
      <c r="B197">
        <f>IF(AND(LEN('Dealer pipeline'!A197)&gt;0,ISNUMBER('Dealer pipeline'!M197)),MAX($B$3:B196)+1,"")</f>
        <v/>
      </c>
      <c r="E197">
        <f>IFERROR(MATCH(194,$B$4:$B$1003,0),"")</f>
        <v/>
      </c>
    </row>
    <row r="198">
      <c r="A198">
        <f>IF(AND(LEN('Dealer pipeline'!A198)&gt;0,ISNUMBER('Dealer pipeline'!M198),'Dealer pipeline'!Q198&lt;&gt;"Taken",'Dealer pipeline'!Q198&lt;&gt;"Declined"),'Dealer pipeline'!M198+195/100000,"")</f>
        <v/>
      </c>
      <c r="B198">
        <f>IF(AND(LEN('Dealer pipeline'!A198)&gt;0,ISNUMBER('Dealer pipeline'!M198)),MAX($B$3:B197)+1,"")</f>
        <v/>
      </c>
      <c r="E198">
        <f>IFERROR(MATCH(195,$B$4:$B$1003,0),"")</f>
        <v/>
      </c>
    </row>
    <row r="199">
      <c r="A199">
        <f>IF(AND(LEN('Dealer pipeline'!A199)&gt;0,ISNUMBER('Dealer pipeline'!M199),'Dealer pipeline'!Q199&lt;&gt;"Taken",'Dealer pipeline'!Q199&lt;&gt;"Declined"),'Dealer pipeline'!M199+196/100000,"")</f>
        <v/>
      </c>
      <c r="B199">
        <f>IF(AND(LEN('Dealer pipeline'!A199)&gt;0,ISNUMBER('Dealer pipeline'!M199)),MAX($B$3:B198)+1,"")</f>
        <v/>
      </c>
      <c r="E199">
        <f>IFERROR(MATCH(196,$B$4:$B$1003,0),"")</f>
        <v/>
      </c>
    </row>
    <row r="200">
      <c r="A200">
        <f>IF(AND(LEN('Dealer pipeline'!A200)&gt;0,ISNUMBER('Dealer pipeline'!M200),'Dealer pipeline'!Q200&lt;&gt;"Taken",'Dealer pipeline'!Q200&lt;&gt;"Declined"),'Dealer pipeline'!M200+197/100000,"")</f>
        <v/>
      </c>
      <c r="B200">
        <f>IF(AND(LEN('Dealer pipeline'!A200)&gt;0,ISNUMBER('Dealer pipeline'!M200)),MAX($B$3:B199)+1,"")</f>
        <v/>
      </c>
      <c r="E200">
        <f>IFERROR(MATCH(197,$B$4:$B$1003,0),"")</f>
        <v/>
      </c>
    </row>
    <row r="201">
      <c r="A201">
        <f>IF(AND(LEN('Dealer pipeline'!A201)&gt;0,ISNUMBER('Dealer pipeline'!M201),'Dealer pipeline'!Q201&lt;&gt;"Taken",'Dealer pipeline'!Q201&lt;&gt;"Declined"),'Dealer pipeline'!M201+198/100000,"")</f>
        <v/>
      </c>
      <c r="B201">
        <f>IF(AND(LEN('Dealer pipeline'!A201)&gt;0,ISNUMBER('Dealer pipeline'!M201)),MAX($B$3:B200)+1,"")</f>
        <v/>
      </c>
      <c r="E201">
        <f>IFERROR(MATCH(198,$B$4:$B$1003,0),"")</f>
        <v/>
      </c>
    </row>
    <row r="202">
      <c r="A202">
        <f>IF(AND(LEN('Dealer pipeline'!A202)&gt;0,ISNUMBER('Dealer pipeline'!M202),'Dealer pipeline'!Q202&lt;&gt;"Taken",'Dealer pipeline'!Q202&lt;&gt;"Declined"),'Dealer pipeline'!M202+199/100000,"")</f>
        <v/>
      </c>
      <c r="B202">
        <f>IF(AND(LEN('Dealer pipeline'!A202)&gt;0,ISNUMBER('Dealer pipeline'!M202)),MAX($B$3:B201)+1,"")</f>
        <v/>
      </c>
      <c r="E202">
        <f>IFERROR(MATCH(199,$B$4:$B$1003,0),"")</f>
        <v/>
      </c>
    </row>
    <row r="203">
      <c r="A203">
        <f>IF(AND(LEN('Dealer pipeline'!A203)&gt;0,ISNUMBER('Dealer pipeline'!M203),'Dealer pipeline'!Q203&lt;&gt;"Taken",'Dealer pipeline'!Q203&lt;&gt;"Declined"),'Dealer pipeline'!M203+200/100000,"")</f>
        <v/>
      </c>
      <c r="B203">
        <f>IF(AND(LEN('Dealer pipeline'!A203)&gt;0,ISNUMBER('Dealer pipeline'!M203)),MAX($B$3:B202)+1,"")</f>
        <v/>
      </c>
      <c r="E203">
        <f>IFERROR(MATCH(200,$B$4:$B$1003,0),"")</f>
        <v/>
      </c>
    </row>
    <row r="204">
      <c r="A204">
        <f>IF(AND(LEN('Dealer pipeline'!A204)&gt;0,ISNUMBER('Dealer pipeline'!M204),'Dealer pipeline'!Q204&lt;&gt;"Taken",'Dealer pipeline'!Q204&lt;&gt;"Declined"),'Dealer pipeline'!M204+201/100000,"")</f>
        <v/>
      </c>
      <c r="B204">
        <f>IF(AND(LEN('Dealer pipeline'!A204)&gt;0,ISNUMBER('Dealer pipeline'!M204)),MAX($B$3:B203)+1,"")</f>
        <v/>
      </c>
      <c r="E204">
        <f>IFERROR(MATCH(201,$B$4:$B$1003,0),"")</f>
        <v/>
      </c>
    </row>
    <row r="205">
      <c r="A205">
        <f>IF(AND(LEN('Dealer pipeline'!A205)&gt;0,ISNUMBER('Dealer pipeline'!M205),'Dealer pipeline'!Q205&lt;&gt;"Taken",'Dealer pipeline'!Q205&lt;&gt;"Declined"),'Dealer pipeline'!M205+202/100000,"")</f>
        <v/>
      </c>
      <c r="B205">
        <f>IF(AND(LEN('Dealer pipeline'!A205)&gt;0,ISNUMBER('Dealer pipeline'!M205)),MAX($B$3:B204)+1,"")</f>
        <v/>
      </c>
      <c r="E205">
        <f>IFERROR(MATCH(202,$B$4:$B$1003,0),"")</f>
        <v/>
      </c>
    </row>
    <row r="206">
      <c r="A206">
        <f>IF(AND(LEN('Dealer pipeline'!A206)&gt;0,ISNUMBER('Dealer pipeline'!M206),'Dealer pipeline'!Q206&lt;&gt;"Taken",'Dealer pipeline'!Q206&lt;&gt;"Declined"),'Dealer pipeline'!M206+203/100000,"")</f>
        <v/>
      </c>
      <c r="B206">
        <f>IF(AND(LEN('Dealer pipeline'!A206)&gt;0,ISNUMBER('Dealer pipeline'!M206)),MAX($B$3:B205)+1,"")</f>
        <v/>
      </c>
      <c r="E206">
        <f>IFERROR(MATCH(203,$B$4:$B$1003,0),"")</f>
        <v/>
      </c>
    </row>
    <row r="207">
      <c r="A207">
        <f>IF(AND(LEN('Dealer pipeline'!A207)&gt;0,ISNUMBER('Dealer pipeline'!M207),'Dealer pipeline'!Q207&lt;&gt;"Taken",'Dealer pipeline'!Q207&lt;&gt;"Declined"),'Dealer pipeline'!M207+204/100000,"")</f>
        <v/>
      </c>
      <c r="B207">
        <f>IF(AND(LEN('Dealer pipeline'!A207)&gt;0,ISNUMBER('Dealer pipeline'!M207)),MAX($B$3:B206)+1,"")</f>
        <v/>
      </c>
      <c r="E207">
        <f>IFERROR(MATCH(204,$B$4:$B$1003,0),"")</f>
        <v/>
      </c>
    </row>
    <row r="208">
      <c r="A208">
        <f>IF(AND(LEN('Dealer pipeline'!A208)&gt;0,ISNUMBER('Dealer pipeline'!M208),'Dealer pipeline'!Q208&lt;&gt;"Taken",'Dealer pipeline'!Q208&lt;&gt;"Declined"),'Dealer pipeline'!M208+205/100000,"")</f>
        <v/>
      </c>
      <c r="B208">
        <f>IF(AND(LEN('Dealer pipeline'!A208)&gt;0,ISNUMBER('Dealer pipeline'!M208)),MAX($B$3:B207)+1,"")</f>
        <v/>
      </c>
      <c r="E208">
        <f>IFERROR(MATCH(205,$B$4:$B$1003,0),"")</f>
        <v/>
      </c>
    </row>
    <row r="209">
      <c r="A209">
        <f>IF(AND(LEN('Dealer pipeline'!A209)&gt;0,ISNUMBER('Dealer pipeline'!M209),'Dealer pipeline'!Q209&lt;&gt;"Taken",'Dealer pipeline'!Q209&lt;&gt;"Declined"),'Dealer pipeline'!M209+206/100000,"")</f>
        <v/>
      </c>
      <c r="B209">
        <f>IF(AND(LEN('Dealer pipeline'!A209)&gt;0,ISNUMBER('Dealer pipeline'!M209)),MAX($B$3:B208)+1,"")</f>
        <v/>
      </c>
      <c r="E209">
        <f>IFERROR(MATCH(206,$B$4:$B$1003,0),"")</f>
        <v/>
      </c>
    </row>
    <row r="210">
      <c r="A210">
        <f>IF(AND(LEN('Dealer pipeline'!A210)&gt;0,ISNUMBER('Dealer pipeline'!M210),'Dealer pipeline'!Q210&lt;&gt;"Taken",'Dealer pipeline'!Q210&lt;&gt;"Declined"),'Dealer pipeline'!M210+207/100000,"")</f>
        <v/>
      </c>
      <c r="B210">
        <f>IF(AND(LEN('Dealer pipeline'!A210)&gt;0,ISNUMBER('Dealer pipeline'!M210)),MAX($B$3:B209)+1,"")</f>
        <v/>
      </c>
      <c r="E210">
        <f>IFERROR(MATCH(207,$B$4:$B$1003,0),"")</f>
        <v/>
      </c>
    </row>
    <row r="211">
      <c r="A211">
        <f>IF(AND(LEN('Dealer pipeline'!A211)&gt;0,ISNUMBER('Dealer pipeline'!M211),'Dealer pipeline'!Q211&lt;&gt;"Taken",'Dealer pipeline'!Q211&lt;&gt;"Declined"),'Dealer pipeline'!M211+208/100000,"")</f>
        <v/>
      </c>
      <c r="B211">
        <f>IF(AND(LEN('Dealer pipeline'!A211)&gt;0,ISNUMBER('Dealer pipeline'!M211)),MAX($B$3:B210)+1,"")</f>
        <v/>
      </c>
      <c r="E211">
        <f>IFERROR(MATCH(208,$B$4:$B$1003,0),"")</f>
        <v/>
      </c>
    </row>
    <row r="212">
      <c r="A212">
        <f>IF(AND(LEN('Dealer pipeline'!A212)&gt;0,ISNUMBER('Dealer pipeline'!M212),'Dealer pipeline'!Q212&lt;&gt;"Taken",'Dealer pipeline'!Q212&lt;&gt;"Declined"),'Dealer pipeline'!M212+209/100000,"")</f>
        <v/>
      </c>
      <c r="B212">
        <f>IF(AND(LEN('Dealer pipeline'!A212)&gt;0,ISNUMBER('Dealer pipeline'!M212)),MAX($B$3:B211)+1,"")</f>
        <v/>
      </c>
      <c r="E212">
        <f>IFERROR(MATCH(209,$B$4:$B$1003,0),"")</f>
        <v/>
      </c>
    </row>
    <row r="213">
      <c r="A213">
        <f>IF(AND(LEN('Dealer pipeline'!A213)&gt;0,ISNUMBER('Dealer pipeline'!M213),'Dealer pipeline'!Q213&lt;&gt;"Taken",'Dealer pipeline'!Q213&lt;&gt;"Declined"),'Dealer pipeline'!M213+210/100000,"")</f>
        <v/>
      </c>
      <c r="B213">
        <f>IF(AND(LEN('Dealer pipeline'!A213)&gt;0,ISNUMBER('Dealer pipeline'!M213)),MAX($B$3:B212)+1,"")</f>
        <v/>
      </c>
      <c r="E213">
        <f>IFERROR(MATCH(210,$B$4:$B$1003,0),"")</f>
        <v/>
      </c>
    </row>
    <row r="214">
      <c r="A214">
        <f>IF(AND(LEN('Dealer pipeline'!A214)&gt;0,ISNUMBER('Dealer pipeline'!M214),'Dealer pipeline'!Q214&lt;&gt;"Taken",'Dealer pipeline'!Q214&lt;&gt;"Declined"),'Dealer pipeline'!M214+211/100000,"")</f>
        <v/>
      </c>
      <c r="B214">
        <f>IF(AND(LEN('Dealer pipeline'!A214)&gt;0,ISNUMBER('Dealer pipeline'!M214)),MAX($B$3:B213)+1,"")</f>
        <v/>
      </c>
      <c r="E214">
        <f>IFERROR(MATCH(211,$B$4:$B$1003,0),"")</f>
        <v/>
      </c>
    </row>
    <row r="215">
      <c r="A215">
        <f>IF(AND(LEN('Dealer pipeline'!A215)&gt;0,ISNUMBER('Dealer pipeline'!M215),'Dealer pipeline'!Q215&lt;&gt;"Taken",'Dealer pipeline'!Q215&lt;&gt;"Declined"),'Dealer pipeline'!M215+212/100000,"")</f>
        <v/>
      </c>
      <c r="B215">
        <f>IF(AND(LEN('Dealer pipeline'!A215)&gt;0,ISNUMBER('Dealer pipeline'!M215)),MAX($B$3:B214)+1,"")</f>
        <v/>
      </c>
      <c r="E215">
        <f>IFERROR(MATCH(212,$B$4:$B$1003,0),"")</f>
        <v/>
      </c>
    </row>
    <row r="216">
      <c r="A216">
        <f>IF(AND(LEN('Dealer pipeline'!A216)&gt;0,ISNUMBER('Dealer pipeline'!M216),'Dealer pipeline'!Q216&lt;&gt;"Taken",'Dealer pipeline'!Q216&lt;&gt;"Declined"),'Dealer pipeline'!M216+213/100000,"")</f>
        <v/>
      </c>
      <c r="B216">
        <f>IF(AND(LEN('Dealer pipeline'!A216)&gt;0,ISNUMBER('Dealer pipeline'!M216)),MAX($B$3:B215)+1,"")</f>
        <v/>
      </c>
      <c r="E216">
        <f>IFERROR(MATCH(213,$B$4:$B$1003,0),"")</f>
        <v/>
      </c>
    </row>
    <row r="217">
      <c r="A217">
        <f>IF(AND(LEN('Dealer pipeline'!A217)&gt;0,ISNUMBER('Dealer pipeline'!M217),'Dealer pipeline'!Q217&lt;&gt;"Taken",'Dealer pipeline'!Q217&lt;&gt;"Declined"),'Dealer pipeline'!M217+214/100000,"")</f>
        <v/>
      </c>
      <c r="B217">
        <f>IF(AND(LEN('Dealer pipeline'!A217)&gt;0,ISNUMBER('Dealer pipeline'!M217)),MAX($B$3:B216)+1,"")</f>
        <v/>
      </c>
      <c r="E217">
        <f>IFERROR(MATCH(214,$B$4:$B$1003,0),"")</f>
        <v/>
      </c>
    </row>
    <row r="218">
      <c r="A218">
        <f>IF(AND(LEN('Dealer pipeline'!A218)&gt;0,ISNUMBER('Dealer pipeline'!M218),'Dealer pipeline'!Q218&lt;&gt;"Taken",'Dealer pipeline'!Q218&lt;&gt;"Declined"),'Dealer pipeline'!M218+215/100000,"")</f>
        <v/>
      </c>
      <c r="B218">
        <f>IF(AND(LEN('Dealer pipeline'!A218)&gt;0,ISNUMBER('Dealer pipeline'!M218)),MAX($B$3:B217)+1,"")</f>
        <v/>
      </c>
      <c r="E218">
        <f>IFERROR(MATCH(215,$B$4:$B$1003,0),"")</f>
        <v/>
      </c>
    </row>
    <row r="219">
      <c r="A219">
        <f>IF(AND(LEN('Dealer pipeline'!A219)&gt;0,ISNUMBER('Dealer pipeline'!M219),'Dealer pipeline'!Q219&lt;&gt;"Taken",'Dealer pipeline'!Q219&lt;&gt;"Declined"),'Dealer pipeline'!M219+216/100000,"")</f>
        <v/>
      </c>
      <c r="B219">
        <f>IF(AND(LEN('Dealer pipeline'!A219)&gt;0,ISNUMBER('Dealer pipeline'!M219)),MAX($B$3:B218)+1,"")</f>
        <v/>
      </c>
      <c r="E219">
        <f>IFERROR(MATCH(216,$B$4:$B$1003,0),"")</f>
        <v/>
      </c>
    </row>
    <row r="220">
      <c r="A220">
        <f>IF(AND(LEN('Dealer pipeline'!A220)&gt;0,ISNUMBER('Dealer pipeline'!M220),'Dealer pipeline'!Q220&lt;&gt;"Taken",'Dealer pipeline'!Q220&lt;&gt;"Declined"),'Dealer pipeline'!M220+217/100000,"")</f>
        <v/>
      </c>
      <c r="B220">
        <f>IF(AND(LEN('Dealer pipeline'!A220)&gt;0,ISNUMBER('Dealer pipeline'!M220)),MAX($B$3:B219)+1,"")</f>
        <v/>
      </c>
      <c r="E220">
        <f>IFERROR(MATCH(217,$B$4:$B$1003,0),"")</f>
        <v/>
      </c>
    </row>
    <row r="221">
      <c r="A221">
        <f>IF(AND(LEN('Dealer pipeline'!A221)&gt;0,ISNUMBER('Dealer pipeline'!M221),'Dealer pipeline'!Q221&lt;&gt;"Taken",'Dealer pipeline'!Q221&lt;&gt;"Declined"),'Dealer pipeline'!M221+218/100000,"")</f>
        <v/>
      </c>
      <c r="B221">
        <f>IF(AND(LEN('Dealer pipeline'!A221)&gt;0,ISNUMBER('Dealer pipeline'!M221)),MAX($B$3:B220)+1,"")</f>
        <v/>
      </c>
      <c r="E221">
        <f>IFERROR(MATCH(218,$B$4:$B$1003,0),"")</f>
        <v/>
      </c>
    </row>
    <row r="222">
      <c r="A222">
        <f>IF(AND(LEN('Dealer pipeline'!A222)&gt;0,ISNUMBER('Dealer pipeline'!M222),'Dealer pipeline'!Q222&lt;&gt;"Taken",'Dealer pipeline'!Q222&lt;&gt;"Declined"),'Dealer pipeline'!M222+219/100000,"")</f>
        <v/>
      </c>
      <c r="B222">
        <f>IF(AND(LEN('Dealer pipeline'!A222)&gt;0,ISNUMBER('Dealer pipeline'!M222)),MAX($B$3:B221)+1,"")</f>
        <v/>
      </c>
      <c r="E222">
        <f>IFERROR(MATCH(219,$B$4:$B$1003,0),"")</f>
        <v/>
      </c>
    </row>
    <row r="223">
      <c r="A223">
        <f>IF(AND(LEN('Dealer pipeline'!A223)&gt;0,ISNUMBER('Dealer pipeline'!M223),'Dealer pipeline'!Q223&lt;&gt;"Taken",'Dealer pipeline'!Q223&lt;&gt;"Declined"),'Dealer pipeline'!M223+220/100000,"")</f>
        <v/>
      </c>
      <c r="B223">
        <f>IF(AND(LEN('Dealer pipeline'!A223)&gt;0,ISNUMBER('Dealer pipeline'!M223)),MAX($B$3:B222)+1,"")</f>
        <v/>
      </c>
      <c r="E223">
        <f>IFERROR(MATCH(220,$B$4:$B$1003,0),"")</f>
        <v/>
      </c>
    </row>
    <row r="224">
      <c r="A224">
        <f>IF(AND(LEN('Dealer pipeline'!A224)&gt;0,ISNUMBER('Dealer pipeline'!M224),'Dealer pipeline'!Q224&lt;&gt;"Taken",'Dealer pipeline'!Q224&lt;&gt;"Declined"),'Dealer pipeline'!M224+221/100000,"")</f>
        <v/>
      </c>
      <c r="B224">
        <f>IF(AND(LEN('Dealer pipeline'!A224)&gt;0,ISNUMBER('Dealer pipeline'!M224)),MAX($B$3:B223)+1,"")</f>
        <v/>
      </c>
      <c r="E224">
        <f>IFERROR(MATCH(221,$B$4:$B$1003,0),"")</f>
        <v/>
      </c>
    </row>
    <row r="225">
      <c r="A225">
        <f>IF(AND(LEN('Dealer pipeline'!A225)&gt;0,ISNUMBER('Dealer pipeline'!M225),'Dealer pipeline'!Q225&lt;&gt;"Taken",'Dealer pipeline'!Q225&lt;&gt;"Declined"),'Dealer pipeline'!M225+222/100000,"")</f>
        <v/>
      </c>
      <c r="B225">
        <f>IF(AND(LEN('Dealer pipeline'!A225)&gt;0,ISNUMBER('Dealer pipeline'!M225)),MAX($B$3:B224)+1,"")</f>
        <v/>
      </c>
      <c r="E225">
        <f>IFERROR(MATCH(222,$B$4:$B$1003,0),"")</f>
        <v/>
      </c>
    </row>
    <row r="226">
      <c r="A226">
        <f>IF(AND(LEN('Dealer pipeline'!A226)&gt;0,ISNUMBER('Dealer pipeline'!M226),'Dealer pipeline'!Q226&lt;&gt;"Taken",'Dealer pipeline'!Q226&lt;&gt;"Declined"),'Dealer pipeline'!M226+223/100000,"")</f>
        <v/>
      </c>
      <c r="B226">
        <f>IF(AND(LEN('Dealer pipeline'!A226)&gt;0,ISNUMBER('Dealer pipeline'!M226)),MAX($B$3:B225)+1,"")</f>
        <v/>
      </c>
      <c r="E226">
        <f>IFERROR(MATCH(223,$B$4:$B$1003,0),"")</f>
        <v/>
      </c>
    </row>
    <row r="227">
      <c r="A227">
        <f>IF(AND(LEN('Dealer pipeline'!A227)&gt;0,ISNUMBER('Dealer pipeline'!M227),'Dealer pipeline'!Q227&lt;&gt;"Taken",'Dealer pipeline'!Q227&lt;&gt;"Declined"),'Dealer pipeline'!M227+224/100000,"")</f>
        <v/>
      </c>
      <c r="B227">
        <f>IF(AND(LEN('Dealer pipeline'!A227)&gt;0,ISNUMBER('Dealer pipeline'!M227)),MAX($B$3:B226)+1,"")</f>
        <v/>
      </c>
      <c r="E227">
        <f>IFERROR(MATCH(224,$B$4:$B$1003,0),"")</f>
        <v/>
      </c>
    </row>
    <row r="228">
      <c r="A228">
        <f>IF(AND(LEN('Dealer pipeline'!A228)&gt;0,ISNUMBER('Dealer pipeline'!M228),'Dealer pipeline'!Q228&lt;&gt;"Taken",'Dealer pipeline'!Q228&lt;&gt;"Declined"),'Dealer pipeline'!M228+225/100000,"")</f>
        <v/>
      </c>
      <c r="B228">
        <f>IF(AND(LEN('Dealer pipeline'!A228)&gt;0,ISNUMBER('Dealer pipeline'!M228)),MAX($B$3:B227)+1,"")</f>
        <v/>
      </c>
      <c r="E228">
        <f>IFERROR(MATCH(225,$B$4:$B$1003,0),"")</f>
        <v/>
      </c>
    </row>
    <row r="229">
      <c r="A229">
        <f>IF(AND(LEN('Dealer pipeline'!A229)&gt;0,ISNUMBER('Dealer pipeline'!M229),'Dealer pipeline'!Q229&lt;&gt;"Taken",'Dealer pipeline'!Q229&lt;&gt;"Declined"),'Dealer pipeline'!M229+226/100000,"")</f>
        <v/>
      </c>
      <c r="B229">
        <f>IF(AND(LEN('Dealer pipeline'!A229)&gt;0,ISNUMBER('Dealer pipeline'!M229)),MAX($B$3:B228)+1,"")</f>
        <v/>
      </c>
      <c r="E229">
        <f>IFERROR(MATCH(226,$B$4:$B$1003,0),"")</f>
        <v/>
      </c>
    </row>
    <row r="230">
      <c r="A230">
        <f>IF(AND(LEN('Dealer pipeline'!A230)&gt;0,ISNUMBER('Dealer pipeline'!M230),'Dealer pipeline'!Q230&lt;&gt;"Taken",'Dealer pipeline'!Q230&lt;&gt;"Declined"),'Dealer pipeline'!M230+227/100000,"")</f>
        <v/>
      </c>
      <c r="B230">
        <f>IF(AND(LEN('Dealer pipeline'!A230)&gt;0,ISNUMBER('Dealer pipeline'!M230)),MAX($B$3:B229)+1,"")</f>
        <v/>
      </c>
      <c r="E230">
        <f>IFERROR(MATCH(227,$B$4:$B$1003,0),"")</f>
        <v/>
      </c>
    </row>
    <row r="231">
      <c r="A231">
        <f>IF(AND(LEN('Dealer pipeline'!A231)&gt;0,ISNUMBER('Dealer pipeline'!M231),'Dealer pipeline'!Q231&lt;&gt;"Taken",'Dealer pipeline'!Q231&lt;&gt;"Declined"),'Dealer pipeline'!M231+228/100000,"")</f>
        <v/>
      </c>
      <c r="B231">
        <f>IF(AND(LEN('Dealer pipeline'!A231)&gt;0,ISNUMBER('Dealer pipeline'!M231)),MAX($B$3:B230)+1,"")</f>
        <v/>
      </c>
      <c r="E231">
        <f>IFERROR(MATCH(228,$B$4:$B$1003,0),"")</f>
        <v/>
      </c>
    </row>
    <row r="232">
      <c r="A232">
        <f>IF(AND(LEN('Dealer pipeline'!A232)&gt;0,ISNUMBER('Dealer pipeline'!M232),'Dealer pipeline'!Q232&lt;&gt;"Taken",'Dealer pipeline'!Q232&lt;&gt;"Declined"),'Dealer pipeline'!M232+229/100000,"")</f>
        <v/>
      </c>
      <c r="B232">
        <f>IF(AND(LEN('Dealer pipeline'!A232)&gt;0,ISNUMBER('Dealer pipeline'!M232)),MAX($B$3:B231)+1,"")</f>
        <v/>
      </c>
      <c r="E232">
        <f>IFERROR(MATCH(229,$B$4:$B$1003,0),"")</f>
        <v/>
      </c>
    </row>
    <row r="233">
      <c r="A233">
        <f>IF(AND(LEN('Dealer pipeline'!A233)&gt;0,ISNUMBER('Dealer pipeline'!M233),'Dealer pipeline'!Q233&lt;&gt;"Taken",'Dealer pipeline'!Q233&lt;&gt;"Declined"),'Dealer pipeline'!M233+230/100000,"")</f>
        <v/>
      </c>
      <c r="B233">
        <f>IF(AND(LEN('Dealer pipeline'!A233)&gt;0,ISNUMBER('Dealer pipeline'!M233)),MAX($B$3:B232)+1,"")</f>
        <v/>
      </c>
      <c r="E233">
        <f>IFERROR(MATCH(230,$B$4:$B$1003,0),"")</f>
        <v/>
      </c>
    </row>
    <row r="234">
      <c r="A234">
        <f>IF(AND(LEN('Dealer pipeline'!A234)&gt;0,ISNUMBER('Dealer pipeline'!M234),'Dealer pipeline'!Q234&lt;&gt;"Taken",'Dealer pipeline'!Q234&lt;&gt;"Declined"),'Dealer pipeline'!M234+231/100000,"")</f>
        <v/>
      </c>
      <c r="B234">
        <f>IF(AND(LEN('Dealer pipeline'!A234)&gt;0,ISNUMBER('Dealer pipeline'!M234)),MAX($B$3:B233)+1,"")</f>
        <v/>
      </c>
      <c r="E234">
        <f>IFERROR(MATCH(231,$B$4:$B$1003,0),"")</f>
        <v/>
      </c>
    </row>
    <row r="235">
      <c r="A235">
        <f>IF(AND(LEN('Dealer pipeline'!A235)&gt;0,ISNUMBER('Dealer pipeline'!M235),'Dealer pipeline'!Q235&lt;&gt;"Taken",'Dealer pipeline'!Q235&lt;&gt;"Declined"),'Dealer pipeline'!M235+232/100000,"")</f>
        <v/>
      </c>
      <c r="B235">
        <f>IF(AND(LEN('Dealer pipeline'!A235)&gt;0,ISNUMBER('Dealer pipeline'!M235)),MAX($B$3:B234)+1,"")</f>
        <v/>
      </c>
      <c r="E235">
        <f>IFERROR(MATCH(232,$B$4:$B$1003,0),"")</f>
        <v/>
      </c>
    </row>
    <row r="236">
      <c r="A236">
        <f>IF(AND(LEN('Dealer pipeline'!A236)&gt;0,ISNUMBER('Dealer pipeline'!M236),'Dealer pipeline'!Q236&lt;&gt;"Taken",'Dealer pipeline'!Q236&lt;&gt;"Declined"),'Dealer pipeline'!M236+233/100000,"")</f>
        <v/>
      </c>
      <c r="B236">
        <f>IF(AND(LEN('Dealer pipeline'!A236)&gt;0,ISNUMBER('Dealer pipeline'!M236)),MAX($B$3:B235)+1,"")</f>
        <v/>
      </c>
      <c r="E236">
        <f>IFERROR(MATCH(233,$B$4:$B$1003,0),"")</f>
        <v/>
      </c>
    </row>
    <row r="237">
      <c r="A237">
        <f>IF(AND(LEN('Dealer pipeline'!A237)&gt;0,ISNUMBER('Dealer pipeline'!M237),'Dealer pipeline'!Q237&lt;&gt;"Taken",'Dealer pipeline'!Q237&lt;&gt;"Declined"),'Dealer pipeline'!M237+234/100000,"")</f>
        <v/>
      </c>
      <c r="B237">
        <f>IF(AND(LEN('Dealer pipeline'!A237)&gt;0,ISNUMBER('Dealer pipeline'!M237)),MAX($B$3:B236)+1,"")</f>
        <v/>
      </c>
      <c r="E237">
        <f>IFERROR(MATCH(234,$B$4:$B$1003,0),"")</f>
        <v/>
      </c>
    </row>
    <row r="238">
      <c r="A238">
        <f>IF(AND(LEN('Dealer pipeline'!A238)&gt;0,ISNUMBER('Dealer pipeline'!M238),'Dealer pipeline'!Q238&lt;&gt;"Taken",'Dealer pipeline'!Q238&lt;&gt;"Declined"),'Dealer pipeline'!M238+235/100000,"")</f>
        <v/>
      </c>
      <c r="B238">
        <f>IF(AND(LEN('Dealer pipeline'!A238)&gt;0,ISNUMBER('Dealer pipeline'!M238)),MAX($B$3:B237)+1,"")</f>
        <v/>
      </c>
      <c r="E238">
        <f>IFERROR(MATCH(235,$B$4:$B$1003,0),"")</f>
        <v/>
      </c>
    </row>
    <row r="239">
      <c r="A239">
        <f>IF(AND(LEN('Dealer pipeline'!A239)&gt;0,ISNUMBER('Dealer pipeline'!M239),'Dealer pipeline'!Q239&lt;&gt;"Taken",'Dealer pipeline'!Q239&lt;&gt;"Declined"),'Dealer pipeline'!M239+236/100000,"")</f>
        <v/>
      </c>
      <c r="B239">
        <f>IF(AND(LEN('Dealer pipeline'!A239)&gt;0,ISNUMBER('Dealer pipeline'!M239)),MAX($B$3:B238)+1,"")</f>
        <v/>
      </c>
      <c r="E239">
        <f>IFERROR(MATCH(236,$B$4:$B$1003,0),"")</f>
        <v/>
      </c>
    </row>
    <row r="240">
      <c r="A240">
        <f>IF(AND(LEN('Dealer pipeline'!A240)&gt;0,ISNUMBER('Dealer pipeline'!M240),'Dealer pipeline'!Q240&lt;&gt;"Taken",'Dealer pipeline'!Q240&lt;&gt;"Declined"),'Dealer pipeline'!M240+237/100000,"")</f>
        <v/>
      </c>
      <c r="B240">
        <f>IF(AND(LEN('Dealer pipeline'!A240)&gt;0,ISNUMBER('Dealer pipeline'!M240)),MAX($B$3:B239)+1,"")</f>
        <v/>
      </c>
      <c r="E240">
        <f>IFERROR(MATCH(237,$B$4:$B$1003,0),"")</f>
        <v/>
      </c>
    </row>
    <row r="241">
      <c r="A241">
        <f>IF(AND(LEN('Dealer pipeline'!A241)&gt;0,ISNUMBER('Dealer pipeline'!M241),'Dealer pipeline'!Q241&lt;&gt;"Taken",'Dealer pipeline'!Q241&lt;&gt;"Declined"),'Dealer pipeline'!M241+238/100000,"")</f>
        <v/>
      </c>
      <c r="B241">
        <f>IF(AND(LEN('Dealer pipeline'!A241)&gt;0,ISNUMBER('Dealer pipeline'!M241)),MAX($B$3:B240)+1,"")</f>
        <v/>
      </c>
      <c r="E241">
        <f>IFERROR(MATCH(238,$B$4:$B$1003,0),"")</f>
        <v/>
      </c>
    </row>
    <row r="242">
      <c r="A242">
        <f>IF(AND(LEN('Dealer pipeline'!A242)&gt;0,ISNUMBER('Dealer pipeline'!M242),'Dealer pipeline'!Q242&lt;&gt;"Taken",'Dealer pipeline'!Q242&lt;&gt;"Declined"),'Dealer pipeline'!M242+239/100000,"")</f>
        <v/>
      </c>
      <c r="B242">
        <f>IF(AND(LEN('Dealer pipeline'!A242)&gt;0,ISNUMBER('Dealer pipeline'!M242)),MAX($B$3:B241)+1,"")</f>
        <v/>
      </c>
      <c r="E242">
        <f>IFERROR(MATCH(239,$B$4:$B$1003,0),"")</f>
        <v/>
      </c>
    </row>
    <row r="243">
      <c r="A243">
        <f>IF(AND(LEN('Dealer pipeline'!A243)&gt;0,ISNUMBER('Dealer pipeline'!M243),'Dealer pipeline'!Q243&lt;&gt;"Taken",'Dealer pipeline'!Q243&lt;&gt;"Declined"),'Dealer pipeline'!M243+240/100000,"")</f>
        <v/>
      </c>
      <c r="B243">
        <f>IF(AND(LEN('Dealer pipeline'!A243)&gt;0,ISNUMBER('Dealer pipeline'!M243)),MAX($B$3:B242)+1,"")</f>
        <v/>
      </c>
      <c r="E243">
        <f>IFERROR(MATCH(240,$B$4:$B$1003,0),"")</f>
        <v/>
      </c>
    </row>
    <row r="244">
      <c r="A244">
        <f>IF(AND(LEN('Dealer pipeline'!A244)&gt;0,ISNUMBER('Dealer pipeline'!M244),'Dealer pipeline'!Q244&lt;&gt;"Taken",'Dealer pipeline'!Q244&lt;&gt;"Declined"),'Dealer pipeline'!M244+241/100000,"")</f>
        <v/>
      </c>
      <c r="B244">
        <f>IF(AND(LEN('Dealer pipeline'!A244)&gt;0,ISNUMBER('Dealer pipeline'!M244)),MAX($B$3:B243)+1,"")</f>
        <v/>
      </c>
      <c r="E244">
        <f>IFERROR(MATCH(241,$B$4:$B$1003,0),"")</f>
        <v/>
      </c>
    </row>
    <row r="245">
      <c r="A245">
        <f>IF(AND(LEN('Dealer pipeline'!A245)&gt;0,ISNUMBER('Dealer pipeline'!M245),'Dealer pipeline'!Q245&lt;&gt;"Taken",'Dealer pipeline'!Q245&lt;&gt;"Declined"),'Dealer pipeline'!M245+242/100000,"")</f>
        <v/>
      </c>
      <c r="B245">
        <f>IF(AND(LEN('Dealer pipeline'!A245)&gt;0,ISNUMBER('Dealer pipeline'!M245)),MAX($B$3:B244)+1,"")</f>
        <v/>
      </c>
      <c r="E245">
        <f>IFERROR(MATCH(242,$B$4:$B$1003,0),"")</f>
        <v/>
      </c>
    </row>
    <row r="246">
      <c r="A246">
        <f>IF(AND(LEN('Dealer pipeline'!A246)&gt;0,ISNUMBER('Dealer pipeline'!M246),'Dealer pipeline'!Q246&lt;&gt;"Taken",'Dealer pipeline'!Q246&lt;&gt;"Declined"),'Dealer pipeline'!M246+243/100000,"")</f>
        <v/>
      </c>
      <c r="B246">
        <f>IF(AND(LEN('Dealer pipeline'!A246)&gt;0,ISNUMBER('Dealer pipeline'!M246)),MAX($B$3:B245)+1,"")</f>
        <v/>
      </c>
      <c r="E246">
        <f>IFERROR(MATCH(243,$B$4:$B$1003,0),"")</f>
        <v/>
      </c>
    </row>
    <row r="247">
      <c r="A247">
        <f>IF(AND(LEN('Dealer pipeline'!A247)&gt;0,ISNUMBER('Dealer pipeline'!M247),'Dealer pipeline'!Q247&lt;&gt;"Taken",'Dealer pipeline'!Q247&lt;&gt;"Declined"),'Dealer pipeline'!M247+244/100000,"")</f>
        <v/>
      </c>
      <c r="B247">
        <f>IF(AND(LEN('Dealer pipeline'!A247)&gt;0,ISNUMBER('Dealer pipeline'!M247)),MAX($B$3:B246)+1,"")</f>
        <v/>
      </c>
      <c r="E247">
        <f>IFERROR(MATCH(244,$B$4:$B$1003,0),"")</f>
        <v/>
      </c>
    </row>
    <row r="248">
      <c r="A248">
        <f>IF(AND(LEN('Dealer pipeline'!A248)&gt;0,ISNUMBER('Dealer pipeline'!M248),'Dealer pipeline'!Q248&lt;&gt;"Taken",'Dealer pipeline'!Q248&lt;&gt;"Declined"),'Dealer pipeline'!M248+245/100000,"")</f>
        <v/>
      </c>
      <c r="B248">
        <f>IF(AND(LEN('Dealer pipeline'!A248)&gt;0,ISNUMBER('Dealer pipeline'!M248)),MAX($B$3:B247)+1,"")</f>
        <v/>
      </c>
      <c r="E248">
        <f>IFERROR(MATCH(245,$B$4:$B$1003,0),"")</f>
        <v/>
      </c>
    </row>
    <row r="249">
      <c r="A249">
        <f>IF(AND(LEN('Dealer pipeline'!A249)&gt;0,ISNUMBER('Dealer pipeline'!M249),'Dealer pipeline'!Q249&lt;&gt;"Taken",'Dealer pipeline'!Q249&lt;&gt;"Declined"),'Dealer pipeline'!M249+246/100000,"")</f>
        <v/>
      </c>
      <c r="B249">
        <f>IF(AND(LEN('Dealer pipeline'!A249)&gt;0,ISNUMBER('Dealer pipeline'!M249)),MAX($B$3:B248)+1,"")</f>
        <v/>
      </c>
      <c r="E249">
        <f>IFERROR(MATCH(246,$B$4:$B$1003,0),"")</f>
        <v/>
      </c>
    </row>
    <row r="250">
      <c r="A250">
        <f>IF(AND(LEN('Dealer pipeline'!A250)&gt;0,ISNUMBER('Dealer pipeline'!M250),'Dealer pipeline'!Q250&lt;&gt;"Taken",'Dealer pipeline'!Q250&lt;&gt;"Declined"),'Dealer pipeline'!M250+247/100000,"")</f>
        <v/>
      </c>
      <c r="B250">
        <f>IF(AND(LEN('Dealer pipeline'!A250)&gt;0,ISNUMBER('Dealer pipeline'!M250)),MAX($B$3:B249)+1,"")</f>
        <v/>
      </c>
      <c r="E250">
        <f>IFERROR(MATCH(247,$B$4:$B$1003,0),"")</f>
        <v/>
      </c>
    </row>
    <row r="251">
      <c r="A251">
        <f>IF(AND(LEN('Dealer pipeline'!A251)&gt;0,ISNUMBER('Dealer pipeline'!M251),'Dealer pipeline'!Q251&lt;&gt;"Taken",'Dealer pipeline'!Q251&lt;&gt;"Declined"),'Dealer pipeline'!M251+248/100000,"")</f>
        <v/>
      </c>
      <c r="B251">
        <f>IF(AND(LEN('Dealer pipeline'!A251)&gt;0,ISNUMBER('Dealer pipeline'!M251)),MAX($B$3:B250)+1,"")</f>
        <v/>
      </c>
      <c r="E251">
        <f>IFERROR(MATCH(248,$B$4:$B$1003,0),"")</f>
        <v/>
      </c>
    </row>
    <row r="252">
      <c r="A252">
        <f>IF(AND(LEN('Dealer pipeline'!A252)&gt;0,ISNUMBER('Dealer pipeline'!M252),'Dealer pipeline'!Q252&lt;&gt;"Taken",'Dealer pipeline'!Q252&lt;&gt;"Declined"),'Dealer pipeline'!M252+249/100000,"")</f>
        <v/>
      </c>
      <c r="B252">
        <f>IF(AND(LEN('Dealer pipeline'!A252)&gt;0,ISNUMBER('Dealer pipeline'!M252)),MAX($B$3:B251)+1,"")</f>
        <v/>
      </c>
      <c r="E252">
        <f>IFERROR(MATCH(249,$B$4:$B$1003,0),"")</f>
        <v/>
      </c>
    </row>
    <row r="253">
      <c r="A253">
        <f>IF(AND(LEN('Dealer pipeline'!A253)&gt;0,ISNUMBER('Dealer pipeline'!M253),'Dealer pipeline'!Q253&lt;&gt;"Taken",'Dealer pipeline'!Q253&lt;&gt;"Declined"),'Dealer pipeline'!M253+250/100000,"")</f>
        <v/>
      </c>
      <c r="B253">
        <f>IF(AND(LEN('Dealer pipeline'!A253)&gt;0,ISNUMBER('Dealer pipeline'!M253)),MAX($B$3:B252)+1,"")</f>
        <v/>
      </c>
      <c r="E253">
        <f>IFERROR(MATCH(250,$B$4:$B$1003,0),"")</f>
        <v/>
      </c>
    </row>
    <row r="254">
      <c r="A254">
        <f>IF(AND(LEN('Dealer pipeline'!A254)&gt;0,ISNUMBER('Dealer pipeline'!M254),'Dealer pipeline'!Q254&lt;&gt;"Taken",'Dealer pipeline'!Q254&lt;&gt;"Declined"),'Dealer pipeline'!M254+251/100000,"")</f>
        <v/>
      </c>
      <c r="B254">
        <f>IF(AND(LEN('Dealer pipeline'!A254)&gt;0,ISNUMBER('Dealer pipeline'!M254)),MAX($B$3:B253)+1,"")</f>
        <v/>
      </c>
      <c r="E254">
        <f>IFERROR(MATCH(251,$B$4:$B$1003,0),"")</f>
        <v/>
      </c>
    </row>
    <row r="255">
      <c r="A255">
        <f>IF(AND(LEN('Dealer pipeline'!A255)&gt;0,ISNUMBER('Dealer pipeline'!M255),'Dealer pipeline'!Q255&lt;&gt;"Taken",'Dealer pipeline'!Q255&lt;&gt;"Declined"),'Dealer pipeline'!M255+252/100000,"")</f>
        <v/>
      </c>
      <c r="B255">
        <f>IF(AND(LEN('Dealer pipeline'!A255)&gt;0,ISNUMBER('Dealer pipeline'!M255)),MAX($B$3:B254)+1,"")</f>
        <v/>
      </c>
      <c r="E255">
        <f>IFERROR(MATCH(252,$B$4:$B$1003,0),"")</f>
        <v/>
      </c>
    </row>
    <row r="256">
      <c r="A256">
        <f>IF(AND(LEN('Dealer pipeline'!A256)&gt;0,ISNUMBER('Dealer pipeline'!M256),'Dealer pipeline'!Q256&lt;&gt;"Taken",'Dealer pipeline'!Q256&lt;&gt;"Declined"),'Dealer pipeline'!M256+253/100000,"")</f>
        <v/>
      </c>
      <c r="B256">
        <f>IF(AND(LEN('Dealer pipeline'!A256)&gt;0,ISNUMBER('Dealer pipeline'!M256)),MAX($B$3:B255)+1,"")</f>
        <v/>
      </c>
      <c r="E256">
        <f>IFERROR(MATCH(253,$B$4:$B$1003,0),"")</f>
        <v/>
      </c>
    </row>
    <row r="257">
      <c r="A257">
        <f>IF(AND(LEN('Dealer pipeline'!A257)&gt;0,ISNUMBER('Dealer pipeline'!M257),'Dealer pipeline'!Q257&lt;&gt;"Taken",'Dealer pipeline'!Q257&lt;&gt;"Declined"),'Dealer pipeline'!M257+254/100000,"")</f>
        <v/>
      </c>
      <c r="B257">
        <f>IF(AND(LEN('Dealer pipeline'!A257)&gt;0,ISNUMBER('Dealer pipeline'!M257)),MAX($B$3:B256)+1,"")</f>
        <v/>
      </c>
      <c r="E257">
        <f>IFERROR(MATCH(254,$B$4:$B$1003,0),"")</f>
        <v/>
      </c>
    </row>
    <row r="258">
      <c r="A258">
        <f>IF(AND(LEN('Dealer pipeline'!A258)&gt;0,ISNUMBER('Dealer pipeline'!M258),'Dealer pipeline'!Q258&lt;&gt;"Taken",'Dealer pipeline'!Q258&lt;&gt;"Declined"),'Dealer pipeline'!M258+255/100000,"")</f>
        <v/>
      </c>
      <c r="B258">
        <f>IF(AND(LEN('Dealer pipeline'!A258)&gt;0,ISNUMBER('Dealer pipeline'!M258)),MAX($B$3:B257)+1,"")</f>
        <v/>
      </c>
      <c r="E258">
        <f>IFERROR(MATCH(255,$B$4:$B$1003,0),"")</f>
        <v/>
      </c>
    </row>
    <row r="259">
      <c r="A259">
        <f>IF(AND(LEN('Dealer pipeline'!A259)&gt;0,ISNUMBER('Dealer pipeline'!M259),'Dealer pipeline'!Q259&lt;&gt;"Taken",'Dealer pipeline'!Q259&lt;&gt;"Declined"),'Dealer pipeline'!M259+256/100000,"")</f>
        <v/>
      </c>
      <c r="B259">
        <f>IF(AND(LEN('Dealer pipeline'!A259)&gt;0,ISNUMBER('Dealer pipeline'!M259)),MAX($B$3:B258)+1,"")</f>
        <v/>
      </c>
      <c r="E259">
        <f>IFERROR(MATCH(256,$B$4:$B$1003,0),"")</f>
        <v/>
      </c>
    </row>
    <row r="260">
      <c r="A260">
        <f>IF(AND(LEN('Dealer pipeline'!A260)&gt;0,ISNUMBER('Dealer pipeline'!M260),'Dealer pipeline'!Q260&lt;&gt;"Taken",'Dealer pipeline'!Q260&lt;&gt;"Declined"),'Dealer pipeline'!M260+257/100000,"")</f>
        <v/>
      </c>
      <c r="B260">
        <f>IF(AND(LEN('Dealer pipeline'!A260)&gt;0,ISNUMBER('Dealer pipeline'!M260)),MAX($B$3:B259)+1,"")</f>
        <v/>
      </c>
      <c r="E260">
        <f>IFERROR(MATCH(257,$B$4:$B$1003,0),"")</f>
        <v/>
      </c>
    </row>
    <row r="261">
      <c r="A261">
        <f>IF(AND(LEN('Dealer pipeline'!A261)&gt;0,ISNUMBER('Dealer pipeline'!M261),'Dealer pipeline'!Q261&lt;&gt;"Taken",'Dealer pipeline'!Q261&lt;&gt;"Declined"),'Dealer pipeline'!M261+258/100000,"")</f>
        <v/>
      </c>
      <c r="B261">
        <f>IF(AND(LEN('Dealer pipeline'!A261)&gt;0,ISNUMBER('Dealer pipeline'!M261)),MAX($B$3:B260)+1,"")</f>
        <v/>
      </c>
      <c r="E261">
        <f>IFERROR(MATCH(258,$B$4:$B$1003,0),"")</f>
        <v/>
      </c>
    </row>
    <row r="262">
      <c r="A262">
        <f>IF(AND(LEN('Dealer pipeline'!A262)&gt;0,ISNUMBER('Dealer pipeline'!M262),'Dealer pipeline'!Q262&lt;&gt;"Taken",'Dealer pipeline'!Q262&lt;&gt;"Declined"),'Dealer pipeline'!M262+259/100000,"")</f>
        <v/>
      </c>
      <c r="B262">
        <f>IF(AND(LEN('Dealer pipeline'!A262)&gt;0,ISNUMBER('Dealer pipeline'!M262)),MAX($B$3:B261)+1,"")</f>
        <v/>
      </c>
      <c r="E262">
        <f>IFERROR(MATCH(259,$B$4:$B$1003,0),"")</f>
        <v/>
      </c>
    </row>
    <row r="263">
      <c r="A263">
        <f>IF(AND(LEN('Dealer pipeline'!A263)&gt;0,ISNUMBER('Dealer pipeline'!M263),'Dealer pipeline'!Q263&lt;&gt;"Taken",'Dealer pipeline'!Q263&lt;&gt;"Declined"),'Dealer pipeline'!M263+260/100000,"")</f>
        <v/>
      </c>
      <c r="B263">
        <f>IF(AND(LEN('Dealer pipeline'!A263)&gt;0,ISNUMBER('Dealer pipeline'!M263)),MAX($B$3:B262)+1,"")</f>
        <v/>
      </c>
      <c r="E263">
        <f>IFERROR(MATCH(260,$B$4:$B$1003,0),"")</f>
        <v/>
      </c>
    </row>
    <row r="264">
      <c r="A264">
        <f>IF(AND(LEN('Dealer pipeline'!A264)&gt;0,ISNUMBER('Dealer pipeline'!M264),'Dealer pipeline'!Q264&lt;&gt;"Taken",'Dealer pipeline'!Q264&lt;&gt;"Declined"),'Dealer pipeline'!M264+261/100000,"")</f>
        <v/>
      </c>
      <c r="B264">
        <f>IF(AND(LEN('Dealer pipeline'!A264)&gt;0,ISNUMBER('Dealer pipeline'!M264)),MAX($B$3:B263)+1,"")</f>
        <v/>
      </c>
      <c r="E264">
        <f>IFERROR(MATCH(261,$B$4:$B$1003,0),"")</f>
        <v/>
      </c>
    </row>
    <row r="265">
      <c r="A265">
        <f>IF(AND(LEN('Dealer pipeline'!A265)&gt;0,ISNUMBER('Dealer pipeline'!M265),'Dealer pipeline'!Q265&lt;&gt;"Taken",'Dealer pipeline'!Q265&lt;&gt;"Declined"),'Dealer pipeline'!M265+262/100000,"")</f>
        <v/>
      </c>
      <c r="B265">
        <f>IF(AND(LEN('Dealer pipeline'!A265)&gt;0,ISNUMBER('Dealer pipeline'!M265)),MAX($B$3:B264)+1,"")</f>
        <v/>
      </c>
      <c r="E265">
        <f>IFERROR(MATCH(262,$B$4:$B$1003,0),"")</f>
        <v/>
      </c>
    </row>
    <row r="266">
      <c r="A266">
        <f>IF(AND(LEN('Dealer pipeline'!A266)&gt;0,ISNUMBER('Dealer pipeline'!M266),'Dealer pipeline'!Q266&lt;&gt;"Taken",'Dealer pipeline'!Q266&lt;&gt;"Declined"),'Dealer pipeline'!M266+263/100000,"")</f>
        <v/>
      </c>
      <c r="B266">
        <f>IF(AND(LEN('Dealer pipeline'!A266)&gt;0,ISNUMBER('Dealer pipeline'!M266)),MAX($B$3:B265)+1,"")</f>
        <v/>
      </c>
      <c r="E266">
        <f>IFERROR(MATCH(263,$B$4:$B$1003,0),"")</f>
        <v/>
      </c>
    </row>
    <row r="267">
      <c r="A267">
        <f>IF(AND(LEN('Dealer pipeline'!A267)&gt;0,ISNUMBER('Dealer pipeline'!M267),'Dealer pipeline'!Q267&lt;&gt;"Taken",'Dealer pipeline'!Q267&lt;&gt;"Declined"),'Dealer pipeline'!M267+264/100000,"")</f>
        <v/>
      </c>
      <c r="B267">
        <f>IF(AND(LEN('Dealer pipeline'!A267)&gt;0,ISNUMBER('Dealer pipeline'!M267)),MAX($B$3:B266)+1,"")</f>
        <v/>
      </c>
      <c r="E267">
        <f>IFERROR(MATCH(264,$B$4:$B$1003,0),"")</f>
        <v/>
      </c>
    </row>
    <row r="268">
      <c r="A268">
        <f>IF(AND(LEN('Dealer pipeline'!A268)&gt;0,ISNUMBER('Dealer pipeline'!M268),'Dealer pipeline'!Q268&lt;&gt;"Taken",'Dealer pipeline'!Q268&lt;&gt;"Declined"),'Dealer pipeline'!M268+265/100000,"")</f>
        <v/>
      </c>
      <c r="B268">
        <f>IF(AND(LEN('Dealer pipeline'!A268)&gt;0,ISNUMBER('Dealer pipeline'!M268)),MAX($B$3:B267)+1,"")</f>
        <v/>
      </c>
      <c r="E268">
        <f>IFERROR(MATCH(265,$B$4:$B$1003,0),"")</f>
        <v/>
      </c>
    </row>
    <row r="269">
      <c r="A269">
        <f>IF(AND(LEN('Dealer pipeline'!A269)&gt;0,ISNUMBER('Dealer pipeline'!M269),'Dealer pipeline'!Q269&lt;&gt;"Taken",'Dealer pipeline'!Q269&lt;&gt;"Declined"),'Dealer pipeline'!M269+266/100000,"")</f>
        <v/>
      </c>
      <c r="B269">
        <f>IF(AND(LEN('Dealer pipeline'!A269)&gt;0,ISNUMBER('Dealer pipeline'!M269)),MAX($B$3:B268)+1,"")</f>
        <v/>
      </c>
      <c r="E269">
        <f>IFERROR(MATCH(266,$B$4:$B$1003,0),"")</f>
        <v/>
      </c>
    </row>
    <row r="270">
      <c r="A270">
        <f>IF(AND(LEN('Dealer pipeline'!A270)&gt;0,ISNUMBER('Dealer pipeline'!M270),'Dealer pipeline'!Q270&lt;&gt;"Taken",'Dealer pipeline'!Q270&lt;&gt;"Declined"),'Dealer pipeline'!M270+267/100000,"")</f>
        <v/>
      </c>
      <c r="B270">
        <f>IF(AND(LEN('Dealer pipeline'!A270)&gt;0,ISNUMBER('Dealer pipeline'!M270)),MAX($B$3:B269)+1,"")</f>
        <v/>
      </c>
      <c r="E270">
        <f>IFERROR(MATCH(267,$B$4:$B$1003,0),"")</f>
        <v/>
      </c>
    </row>
    <row r="271">
      <c r="A271">
        <f>IF(AND(LEN('Dealer pipeline'!A271)&gt;0,ISNUMBER('Dealer pipeline'!M271),'Dealer pipeline'!Q271&lt;&gt;"Taken",'Dealer pipeline'!Q271&lt;&gt;"Declined"),'Dealer pipeline'!M271+268/100000,"")</f>
        <v/>
      </c>
      <c r="B271">
        <f>IF(AND(LEN('Dealer pipeline'!A271)&gt;0,ISNUMBER('Dealer pipeline'!M271)),MAX($B$3:B270)+1,"")</f>
        <v/>
      </c>
      <c r="E271">
        <f>IFERROR(MATCH(268,$B$4:$B$1003,0),"")</f>
        <v/>
      </c>
    </row>
    <row r="272">
      <c r="A272">
        <f>IF(AND(LEN('Dealer pipeline'!A272)&gt;0,ISNUMBER('Dealer pipeline'!M272),'Dealer pipeline'!Q272&lt;&gt;"Taken",'Dealer pipeline'!Q272&lt;&gt;"Declined"),'Dealer pipeline'!M272+269/100000,"")</f>
        <v/>
      </c>
      <c r="B272">
        <f>IF(AND(LEN('Dealer pipeline'!A272)&gt;0,ISNUMBER('Dealer pipeline'!M272)),MAX($B$3:B271)+1,"")</f>
        <v/>
      </c>
      <c r="E272">
        <f>IFERROR(MATCH(269,$B$4:$B$1003,0),"")</f>
        <v/>
      </c>
    </row>
    <row r="273">
      <c r="A273">
        <f>IF(AND(LEN('Dealer pipeline'!A273)&gt;0,ISNUMBER('Dealer pipeline'!M273),'Dealer pipeline'!Q273&lt;&gt;"Taken",'Dealer pipeline'!Q273&lt;&gt;"Declined"),'Dealer pipeline'!M273+270/100000,"")</f>
        <v/>
      </c>
      <c r="B273">
        <f>IF(AND(LEN('Dealer pipeline'!A273)&gt;0,ISNUMBER('Dealer pipeline'!M273)),MAX($B$3:B272)+1,"")</f>
        <v/>
      </c>
      <c r="E273">
        <f>IFERROR(MATCH(270,$B$4:$B$1003,0),"")</f>
        <v/>
      </c>
    </row>
    <row r="274">
      <c r="A274">
        <f>IF(AND(LEN('Dealer pipeline'!A274)&gt;0,ISNUMBER('Dealer pipeline'!M274),'Dealer pipeline'!Q274&lt;&gt;"Taken",'Dealer pipeline'!Q274&lt;&gt;"Declined"),'Dealer pipeline'!M274+271/100000,"")</f>
        <v/>
      </c>
      <c r="B274">
        <f>IF(AND(LEN('Dealer pipeline'!A274)&gt;0,ISNUMBER('Dealer pipeline'!M274)),MAX($B$3:B273)+1,"")</f>
        <v/>
      </c>
      <c r="E274">
        <f>IFERROR(MATCH(271,$B$4:$B$1003,0),"")</f>
        <v/>
      </c>
    </row>
    <row r="275">
      <c r="A275">
        <f>IF(AND(LEN('Dealer pipeline'!A275)&gt;0,ISNUMBER('Dealer pipeline'!M275),'Dealer pipeline'!Q275&lt;&gt;"Taken",'Dealer pipeline'!Q275&lt;&gt;"Declined"),'Dealer pipeline'!M275+272/100000,"")</f>
        <v/>
      </c>
      <c r="B275">
        <f>IF(AND(LEN('Dealer pipeline'!A275)&gt;0,ISNUMBER('Dealer pipeline'!M275)),MAX($B$3:B274)+1,"")</f>
        <v/>
      </c>
      <c r="E275">
        <f>IFERROR(MATCH(272,$B$4:$B$1003,0),"")</f>
        <v/>
      </c>
    </row>
    <row r="276">
      <c r="A276">
        <f>IF(AND(LEN('Dealer pipeline'!A276)&gt;0,ISNUMBER('Dealer pipeline'!M276),'Dealer pipeline'!Q276&lt;&gt;"Taken",'Dealer pipeline'!Q276&lt;&gt;"Declined"),'Dealer pipeline'!M276+273/100000,"")</f>
        <v/>
      </c>
      <c r="B276">
        <f>IF(AND(LEN('Dealer pipeline'!A276)&gt;0,ISNUMBER('Dealer pipeline'!M276)),MAX($B$3:B275)+1,"")</f>
        <v/>
      </c>
      <c r="E276">
        <f>IFERROR(MATCH(273,$B$4:$B$1003,0),"")</f>
        <v/>
      </c>
    </row>
    <row r="277">
      <c r="A277">
        <f>IF(AND(LEN('Dealer pipeline'!A277)&gt;0,ISNUMBER('Dealer pipeline'!M277),'Dealer pipeline'!Q277&lt;&gt;"Taken",'Dealer pipeline'!Q277&lt;&gt;"Declined"),'Dealer pipeline'!M277+274/100000,"")</f>
        <v/>
      </c>
      <c r="B277">
        <f>IF(AND(LEN('Dealer pipeline'!A277)&gt;0,ISNUMBER('Dealer pipeline'!M277)),MAX($B$3:B276)+1,"")</f>
        <v/>
      </c>
      <c r="E277">
        <f>IFERROR(MATCH(274,$B$4:$B$1003,0),"")</f>
        <v/>
      </c>
    </row>
    <row r="278">
      <c r="A278">
        <f>IF(AND(LEN('Dealer pipeline'!A278)&gt;0,ISNUMBER('Dealer pipeline'!M278),'Dealer pipeline'!Q278&lt;&gt;"Taken",'Dealer pipeline'!Q278&lt;&gt;"Declined"),'Dealer pipeline'!M278+275/100000,"")</f>
        <v/>
      </c>
      <c r="B278">
        <f>IF(AND(LEN('Dealer pipeline'!A278)&gt;0,ISNUMBER('Dealer pipeline'!M278)),MAX($B$3:B277)+1,"")</f>
        <v/>
      </c>
      <c r="E278">
        <f>IFERROR(MATCH(275,$B$4:$B$1003,0),"")</f>
        <v/>
      </c>
    </row>
    <row r="279">
      <c r="A279">
        <f>IF(AND(LEN('Dealer pipeline'!A279)&gt;0,ISNUMBER('Dealer pipeline'!M279),'Dealer pipeline'!Q279&lt;&gt;"Taken",'Dealer pipeline'!Q279&lt;&gt;"Declined"),'Dealer pipeline'!M279+276/100000,"")</f>
        <v/>
      </c>
      <c r="B279">
        <f>IF(AND(LEN('Dealer pipeline'!A279)&gt;0,ISNUMBER('Dealer pipeline'!M279)),MAX($B$3:B278)+1,"")</f>
        <v/>
      </c>
      <c r="E279">
        <f>IFERROR(MATCH(276,$B$4:$B$1003,0),"")</f>
        <v/>
      </c>
    </row>
    <row r="280">
      <c r="A280">
        <f>IF(AND(LEN('Dealer pipeline'!A280)&gt;0,ISNUMBER('Dealer pipeline'!M280),'Dealer pipeline'!Q280&lt;&gt;"Taken",'Dealer pipeline'!Q280&lt;&gt;"Declined"),'Dealer pipeline'!M280+277/100000,"")</f>
        <v/>
      </c>
      <c r="B280">
        <f>IF(AND(LEN('Dealer pipeline'!A280)&gt;0,ISNUMBER('Dealer pipeline'!M280)),MAX($B$3:B279)+1,"")</f>
        <v/>
      </c>
      <c r="E280">
        <f>IFERROR(MATCH(277,$B$4:$B$1003,0),"")</f>
        <v/>
      </c>
    </row>
    <row r="281">
      <c r="A281">
        <f>IF(AND(LEN('Dealer pipeline'!A281)&gt;0,ISNUMBER('Dealer pipeline'!M281),'Dealer pipeline'!Q281&lt;&gt;"Taken",'Dealer pipeline'!Q281&lt;&gt;"Declined"),'Dealer pipeline'!M281+278/100000,"")</f>
        <v/>
      </c>
      <c r="B281">
        <f>IF(AND(LEN('Dealer pipeline'!A281)&gt;0,ISNUMBER('Dealer pipeline'!M281)),MAX($B$3:B280)+1,"")</f>
        <v/>
      </c>
      <c r="E281">
        <f>IFERROR(MATCH(278,$B$4:$B$1003,0),"")</f>
        <v/>
      </c>
    </row>
    <row r="282">
      <c r="A282">
        <f>IF(AND(LEN('Dealer pipeline'!A282)&gt;0,ISNUMBER('Dealer pipeline'!M282),'Dealer pipeline'!Q282&lt;&gt;"Taken",'Dealer pipeline'!Q282&lt;&gt;"Declined"),'Dealer pipeline'!M282+279/100000,"")</f>
        <v/>
      </c>
      <c r="B282">
        <f>IF(AND(LEN('Dealer pipeline'!A282)&gt;0,ISNUMBER('Dealer pipeline'!M282)),MAX($B$3:B281)+1,"")</f>
        <v/>
      </c>
      <c r="E282">
        <f>IFERROR(MATCH(279,$B$4:$B$1003,0),"")</f>
        <v/>
      </c>
    </row>
    <row r="283">
      <c r="A283">
        <f>IF(AND(LEN('Dealer pipeline'!A283)&gt;0,ISNUMBER('Dealer pipeline'!M283),'Dealer pipeline'!Q283&lt;&gt;"Taken",'Dealer pipeline'!Q283&lt;&gt;"Declined"),'Dealer pipeline'!M283+280/100000,"")</f>
        <v/>
      </c>
      <c r="B283">
        <f>IF(AND(LEN('Dealer pipeline'!A283)&gt;0,ISNUMBER('Dealer pipeline'!M283)),MAX($B$3:B282)+1,"")</f>
        <v/>
      </c>
      <c r="E283">
        <f>IFERROR(MATCH(280,$B$4:$B$1003,0),"")</f>
        <v/>
      </c>
    </row>
    <row r="284">
      <c r="A284">
        <f>IF(AND(LEN('Dealer pipeline'!A284)&gt;0,ISNUMBER('Dealer pipeline'!M284),'Dealer pipeline'!Q284&lt;&gt;"Taken",'Dealer pipeline'!Q284&lt;&gt;"Declined"),'Dealer pipeline'!M284+281/100000,"")</f>
        <v/>
      </c>
      <c r="B284">
        <f>IF(AND(LEN('Dealer pipeline'!A284)&gt;0,ISNUMBER('Dealer pipeline'!M284)),MAX($B$3:B283)+1,"")</f>
        <v/>
      </c>
      <c r="E284">
        <f>IFERROR(MATCH(281,$B$4:$B$1003,0),"")</f>
        <v/>
      </c>
    </row>
    <row r="285">
      <c r="A285">
        <f>IF(AND(LEN('Dealer pipeline'!A285)&gt;0,ISNUMBER('Dealer pipeline'!M285),'Dealer pipeline'!Q285&lt;&gt;"Taken",'Dealer pipeline'!Q285&lt;&gt;"Declined"),'Dealer pipeline'!M285+282/100000,"")</f>
        <v/>
      </c>
      <c r="B285">
        <f>IF(AND(LEN('Dealer pipeline'!A285)&gt;0,ISNUMBER('Dealer pipeline'!M285)),MAX($B$3:B284)+1,"")</f>
        <v/>
      </c>
      <c r="E285">
        <f>IFERROR(MATCH(282,$B$4:$B$1003,0),"")</f>
        <v/>
      </c>
    </row>
    <row r="286">
      <c r="A286">
        <f>IF(AND(LEN('Dealer pipeline'!A286)&gt;0,ISNUMBER('Dealer pipeline'!M286),'Dealer pipeline'!Q286&lt;&gt;"Taken",'Dealer pipeline'!Q286&lt;&gt;"Declined"),'Dealer pipeline'!M286+283/100000,"")</f>
        <v/>
      </c>
      <c r="B286">
        <f>IF(AND(LEN('Dealer pipeline'!A286)&gt;0,ISNUMBER('Dealer pipeline'!M286)),MAX($B$3:B285)+1,"")</f>
        <v/>
      </c>
      <c r="E286">
        <f>IFERROR(MATCH(283,$B$4:$B$1003,0),"")</f>
        <v/>
      </c>
    </row>
    <row r="287">
      <c r="A287">
        <f>IF(AND(LEN('Dealer pipeline'!A287)&gt;0,ISNUMBER('Dealer pipeline'!M287),'Dealer pipeline'!Q287&lt;&gt;"Taken",'Dealer pipeline'!Q287&lt;&gt;"Declined"),'Dealer pipeline'!M287+284/100000,"")</f>
        <v/>
      </c>
      <c r="B287">
        <f>IF(AND(LEN('Dealer pipeline'!A287)&gt;0,ISNUMBER('Dealer pipeline'!M287)),MAX($B$3:B286)+1,"")</f>
        <v/>
      </c>
      <c r="E287">
        <f>IFERROR(MATCH(284,$B$4:$B$1003,0),"")</f>
        <v/>
      </c>
    </row>
    <row r="288">
      <c r="A288">
        <f>IF(AND(LEN('Dealer pipeline'!A288)&gt;0,ISNUMBER('Dealer pipeline'!M288),'Dealer pipeline'!Q288&lt;&gt;"Taken",'Dealer pipeline'!Q288&lt;&gt;"Declined"),'Dealer pipeline'!M288+285/100000,"")</f>
        <v/>
      </c>
      <c r="B288">
        <f>IF(AND(LEN('Dealer pipeline'!A288)&gt;0,ISNUMBER('Dealer pipeline'!M288)),MAX($B$3:B287)+1,"")</f>
        <v/>
      </c>
      <c r="E288">
        <f>IFERROR(MATCH(285,$B$4:$B$1003,0),"")</f>
        <v/>
      </c>
    </row>
    <row r="289">
      <c r="A289">
        <f>IF(AND(LEN('Dealer pipeline'!A289)&gt;0,ISNUMBER('Dealer pipeline'!M289),'Dealer pipeline'!Q289&lt;&gt;"Taken",'Dealer pipeline'!Q289&lt;&gt;"Declined"),'Dealer pipeline'!M289+286/100000,"")</f>
        <v/>
      </c>
      <c r="B289">
        <f>IF(AND(LEN('Dealer pipeline'!A289)&gt;0,ISNUMBER('Dealer pipeline'!M289)),MAX($B$3:B288)+1,"")</f>
        <v/>
      </c>
      <c r="E289">
        <f>IFERROR(MATCH(286,$B$4:$B$1003,0),"")</f>
        <v/>
      </c>
    </row>
    <row r="290">
      <c r="A290">
        <f>IF(AND(LEN('Dealer pipeline'!A290)&gt;0,ISNUMBER('Dealer pipeline'!M290),'Dealer pipeline'!Q290&lt;&gt;"Taken",'Dealer pipeline'!Q290&lt;&gt;"Declined"),'Dealer pipeline'!M290+287/100000,"")</f>
        <v/>
      </c>
      <c r="B290">
        <f>IF(AND(LEN('Dealer pipeline'!A290)&gt;0,ISNUMBER('Dealer pipeline'!M290)),MAX($B$3:B289)+1,"")</f>
        <v/>
      </c>
      <c r="E290">
        <f>IFERROR(MATCH(287,$B$4:$B$1003,0),"")</f>
        <v/>
      </c>
    </row>
    <row r="291">
      <c r="A291">
        <f>IF(AND(LEN('Dealer pipeline'!A291)&gt;0,ISNUMBER('Dealer pipeline'!M291),'Dealer pipeline'!Q291&lt;&gt;"Taken",'Dealer pipeline'!Q291&lt;&gt;"Declined"),'Dealer pipeline'!M291+288/100000,"")</f>
        <v/>
      </c>
      <c r="B291">
        <f>IF(AND(LEN('Dealer pipeline'!A291)&gt;0,ISNUMBER('Dealer pipeline'!M291)),MAX($B$3:B290)+1,"")</f>
        <v/>
      </c>
      <c r="E291">
        <f>IFERROR(MATCH(288,$B$4:$B$1003,0),"")</f>
        <v/>
      </c>
    </row>
    <row r="292">
      <c r="A292">
        <f>IF(AND(LEN('Dealer pipeline'!A292)&gt;0,ISNUMBER('Dealer pipeline'!M292),'Dealer pipeline'!Q292&lt;&gt;"Taken",'Dealer pipeline'!Q292&lt;&gt;"Declined"),'Dealer pipeline'!M292+289/100000,"")</f>
        <v/>
      </c>
      <c r="B292">
        <f>IF(AND(LEN('Dealer pipeline'!A292)&gt;0,ISNUMBER('Dealer pipeline'!M292)),MAX($B$3:B291)+1,"")</f>
        <v/>
      </c>
      <c r="E292">
        <f>IFERROR(MATCH(289,$B$4:$B$1003,0),"")</f>
        <v/>
      </c>
    </row>
    <row r="293">
      <c r="A293">
        <f>IF(AND(LEN('Dealer pipeline'!A293)&gt;0,ISNUMBER('Dealer pipeline'!M293),'Dealer pipeline'!Q293&lt;&gt;"Taken",'Dealer pipeline'!Q293&lt;&gt;"Declined"),'Dealer pipeline'!M293+290/100000,"")</f>
        <v/>
      </c>
      <c r="B293">
        <f>IF(AND(LEN('Dealer pipeline'!A293)&gt;0,ISNUMBER('Dealer pipeline'!M293)),MAX($B$3:B292)+1,"")</f>
        <v/>
      </c>
      <c r="E293">
        <f>IFERROR(MATCH(290,$B$4:$B$1003,0),"")</f>
        <v/>
      </c>
    </row>
    <row r="294">
      <c r="A294">
        <f>IF(AND(LEN('Dealer pipeline'!A294)&gt;0,ISNUMBER('Dealer pipeline'!M294),'Dealer pipeline'!Q294&lt;&gt;"Taken",'Dealer pipeline'!Q294&lt;&gt;"Declined"),'Dealer pipeline'!M294+291/100000,"")</f>
        <v/>
      </c>
      <c r="B294">
        <f>IF(AND(LEN('Dealer pipeline'!A294)&gt;0,ISNUMBER('Dealer pipeline'!M294)),MAX($B$3:B293)+1,"")</f>
        <v/>
      </c>
      <c r="E294">
        <f>IFERROR(MATCH(291,$B$4:$B$1003,0),"")</f>
        <v/>
      </c>
    </row>
    <row r="295">
      <c r="A295">
        <f>IF(AND(LEN('Dealer pipeline'!A295)&gt;0,ISNUMBER('Dealer pipeline'!M295),'Dealer pipeline'!Q295&lt;&gt;"Taken",'Dealer pipeline'!Q295&lt;&gt;"Declined"),'Dealer pipeline'!M295+292/100000,"")</f>
        <v/>
      </c>
      <c r="B295">
        <f>IF(AND(LEN('Dealer pipeline'!A295)&gt;0,ISNUMBER('Dealer pipeline'!M295)),MAX($B$3:B294)+1,"")</f>
        <v/>
      </c>
      <c r="E295">
        <f>IFERROR(MATCH(292,$B$4:$B$1003,0),"")</f>
        <v/>
      </c>
    </row>
    <row r="296">
      <c r="A296">
        <f>IF(AND(LEN('Dealer pipeline'!A296)&gt;0,ISNUMBER('Dealer pipeline'!M296),'Dealer pipeline'!Q296&lt;&gt;"Taken",'Dealer pipeline'!Q296&lt;&gt;"Declined"),'Dealer pipeline'!M296+293/100000,"")</f>
        <v/>
      </c>
      <c r="B296">
        <f>IF(AND(LEN('Dealer pipeline'!A296)&gt;0,ISNUMBER('Dealer pipeline'!M296)),MAX($B$3:B295)+1,"")</f>
        <v/>
      </c>
      <c r="E296">
        <f>IFERROR(MATCH(293,$B$4:$B$1003,0),"")</f>
        <v/>
      </c>
    </row>
    <row r="297">
      <c r="A297">
        <f>IF(AND(LEN('Dealer pipeline'!A297)&gt;0,ISNUMBER('Dealer pipeline'!M297),'Dealer pipeline'!Q297&lt;&gt;"Taken",'Dealer pipeline'!Q297&lt;&gt;"Declined"),'Dealer pipeline'!M297+294/100000,"")</f>
        <v/>
      </c>
      <c r="B297">
        <f>IF(AND(LEN('Dealer pipeline'!A297)&gt;0,ISNUMBER('Dealer pipeline'!M297)),MAX($B$3:B296)+1,"")</f>
        <v/>
      </c>
      <c r="E297">
        <f>IFERROR(MATCH(294,$B$4:$B$1003,0),"")</f>
        <v/>
      </c>
    </row>
    <row r="298">
      <c r="A298">
        <f>IF(AND(LEN('Dealer pipeline'!A298)&gt;0,ISNUMBER('Dealer pipeline'!M298),'Dealer pipeline'!Q298&lt;&gt;"Taken",'Dealer pipeline'!Q298&lt;&gt;"Declined"),'Dealer pipeline'!M298+295/100000,"")</f>
        <v/>
      </c>
      <c r="B298">
        <f>IF(AND(LEN('Dealer pipeline'!A298)&gt;0,ISNUMBER('Dealer pipeline'!M298)),MAX($B$3:B297)+1,"")</f>
        <v/>
      </c>
      <c r="E298">
        <f>IFERROR(MATCH(295,$B$4:$B$1003,0),"")</f>
        <v/>
      </c>
    </row>
    <row r="299">
      <c r="A299">
        <f>IF(AND(LEN('Dealer pipeline'!A299)&gt;0,ISNUMBER('Dealer pipeline'!M299),'Dealer pipeline'!Q299&lt;&gt;"Taken",'Dealer pipeline'!Q299&lt;&gt;"Declined"),'Dealer pipeline'!M299+296/100000,"")</f>
        <v/>
      </c>
      <c r="B299">
        <f>IF(AND(LEN('Dealer pipeline'!A299)&gt;0,ISNUMBER('Dealer pipeline'!M299)),MAX($B$3:B298)+1,"")</f>
        <v/>
      </c>
      <c r="E299">
        <f>IFERROR(MATCH(296,$B$4:$B$1003,0),"")</f>
        <v/>
      </c>
    </row>
    <row r="300">
      <c r="A300">
        <f>IF(AND(LEN('Dealer pipeline'!A300)&gt;0,ISNUMBER('Dealer pipeline'!M300),'Dealer pipeline'!Q300&lt;&gt;"Taken",'Dealer pipeline'!Q300&lt;&gt;"Declined"),'Dealer pipeline'!M300+297/100000,"")</f>
        <v/>
      </c>
      <c r="B300">
        <f>IF(AND(LEN('Dealer pipeline'!A300)&gt;0,ISNUMBER('Dealer pipeline'!M300)),MAX($B$3:B299)+1,"")</f>
        <v/>
      </c>
      <c r="E300">
        <f>IFERROR(MATCH(297,$B$4:$B$1003,0),"")</f>
        <v/>
      </c>
    </row>
    <row r="301">
      <c r="A301">
        <f>IF(AND(LEN('Dealer pipeline'!A301)&gt;0,ISNUMBER('Dealer pipeline'!M301),'Dealer pipeline'!Q301&lt;&gt;"Taken",'Dealer pipeline'!Q301&lt;&gt;"Declined"),'Dealer pipeline'!M301+298/100000,"")</f>
        <v/>
      </c>
      <c r="B301">
        <f>IF(AND(LEN('Dealer pipeline'!A301)&gt;0,ISNUMBER('Dealer pipeline'!M301)),MAX($B$3:B300)+1,"")</f>
        <v/>
      </c>
      <c r="E301">
        <f>IFERROR(MATCH(298,$B$4:$B$1003,0),"")</f>
        <v/>
      </c>
    </row>
    <row r="302">
      <c r="A302">
        <f>IF(AND(LEN('Dealer pipeline'!A302)&gt;0,ISNUMBER('Dealer pipeline'!M302),'Dealer pipeline'!Q302&lt;&gt;"Taken",'Dealer pipeline'!Q302&lt;&gt;"Declined"),'Dealer pipeline'!M302+299/100000,"")</f>
        <v/>
      </c>
      <c r="B302">
        <f>IF(AND(LEN('Dealer pipeline'!A302)&gt;0,ISNUMBER('Dealer pipeline'!M302)),MAX($B$3:B301)+1,"")</f>
        <v/>
      </c>
      <c r="E302">
        <f>IFERROR(MATCH(299,$B$4:$B$1003,0),"")</f>
        <v/>
      </c>
    </row>
    <row r="303">
      <c r="A303">
        <f>IF(AND(LEN('Dealer pipeline'!A303)&gt;0,ISNUMBER('Dealer pipeline'!M303),'Dealer pipeline'!Q303&lt;&gt;"Taken",'Dealer pipeline'!Q303&lt;&gt;"Declined"),'Dealer pipeline'!M303+300/100000,"")</f>
        <v/>
      </c>
      <c r="B303">
        <f>IF(AND(LEN('Dealer pipeline'!A303)&gt;0,ISNUMBER('Dealer pipeline'!M303)),MAX($B$3:B302)+1,"")</f>
        <v/>
      </c>
      <c r="E303">
        <f>IFERROR(MATCH(300,$B$4:$B$1003,0),"")</f>
        <v/>
      </c>
    </row>
    <row r="304">
      <c r="A304">
        <f>IF(AND(LEN('Dealer pipeline'!A304)&gt;0,ISNUMBER('Dealer pipeline'!M304),'Dealer pipeline'!Q304&lt;&gt;"Taken",'Dealer pipeline'!Q304&lt;&gt;"Declined"),'Dealer pipeline'!M304+301/100000,"")</f>
        <v/>
      </c>
      <c r="B304">
        <f>IF(AND(LEN('Dealer pipeline'!A304)&gt;0,ISNUMBER('Dealer pipeline'!M304)),MAX($B$3:B303)+1,"")</f>
        <v/>
      </c>
      <c r="E304">
        <f>IFERROR(MATCH(301,$B$4:$B$1003,0),"")</f>
        <v/>
      </c>
    </row>
    <row r="305">
      <c r="A305">
        <f>IF(AND(LEN('Dealer pipeline'!A305)&gt;0,ISNUMBER('Dealer pipeline'!M305),'Dealer pipeline'!Q305&lt;&gt;"Taken",'Dealer pipeline'!Q305&lt;&gt;"Declined"),'Dealer pipeline'!M305+302/100000,"")</f>
        <v/>
      </c>
      <c r="B305">
        <f>IF(AND(LEN('Dealer pipeline'!A305)&gt;0,ISNUMBER('Dealer pipeline'!M305)),MAX($B$3:B304)+1,"")</f>
        <v/>
      </c>
      <c r="E305">
        <f>IFERROR(MATCH(302,$B$4:$B$1003,0),"")</f>
        <v/>
      </c>
    </row>
    <row r="306">
      <c r="A306">
        <f>IF(AND(LEN('Dealer pipeline'!A306)&gt;0,ISNUMBER('Dealer pipeline'!M306),'Dealer pipeline'!Q306&lt;&gt;"Taken",'Dealer pipeline'!Q306&lt;&gt;"Declined"),'Dealer pipeline'!M306+303/100000,"")</f>
        <v/>
      </c>
      <c r="B306">
        <f>IF(AND(LEN('Dealer pipeline'!A306)&gt;0,ISNUMBER('Dealer pipeline'!M306)),MAX($B$3:B305)+1,"")</f>
        <v/>
      </c>
      <c r="E306">
        <f>IFERROR(MATCH(303,$B$4:$B$1003,0),"")</f>
        <v/>
      </c>
    </row>
    <row r="307">
      <c r="A307">
        <f>IF(AND(LEN('Dealer pipeline'!A307)&gt;0,ISNUMBER('Dealer pipeline'!M307),'Dealer pipeline'!Q307&lt;&gt;"Taken",'Dealer pipeline'!Q307&lt;&gt;"Declined"),'Dealer pipeline'!M307+304/100000,"")</f>
        <v/>
      </c>
      <c r="B307">
        <f>IF(AND(LEN('Dealer pipeline'!A307)&gt;0,ISNUMBER('Dealer pipeline'!M307)),MAX($B$3:B306)+1,"")</f>
        <v/>
      </c>
      <c r="E307">
        <f>IFERROR(MATCH(304,$B$4:$B$1003,0),"")</f>
        <v/>
      </c>
    </row>
    <row r="308">
      <c r="A308">
        <f>IF(AND(LEN('Dealer pipeline'!A308)&gt;0,ISNUMBER('Dealer pipeline'!M308),'Dealer pipeline'!Q308&lt;&gt;"Taken",'Dealer pipeline'!Q308&lt;&gt;"Declined"),'Dealer pipeline'!M308+305/100000,"")</f>
        <v/>
      </c>
      <c r="B308">
        <f>IF(AND(LEN('Dealer pipeline'!A308)&gt;0,ISNUMBER('Dealer pipeline'!M308)),MAX($B$3:B307)+1,"")</f>
        <v/>
      </c>
      <c r="E308">
        <f>IFERROR(MATCH(305,$B$4:$B$1003,0),"")</f>
        <v/>
      </c>
    </row>
    <row r="309">
      <c r="A309">
        <f>IF(AND(LEN('Dealer pipeline'!A309)&gt;0,ISNUMBER('Dealer pipeline'!M309),'Dealer pipeline'!Q309&lt;&gt;"Taken",'Dealer pipeline'!Q309&lt;&gt;"Declined"),'Dealer pipeline'!M309+306/100000,"")</f>
        <v/>
      </c>
      <c r="B309">
        <f>IF(AND(LEN('Dealer pipeline'!A309)&gt;0,ISNUMBER('Dealer pipeline'!M309)),MAX($B$3:B308)+1,"")</f>
        <v/>
      </c>
      <c r="E309">
        <f>IFERROR(MATCH(306,$B$4:$B$1003,0),"")</f>
        <v/>
      </c>
    </row>
    <row r="310">
      <c r="A310">
        <f>IF(AND(LEN('Dealer pipeline'!A310)&gt;0,ISNUMBER('Dealer pipeline'!M310),'Dealer pipeline'!Q310&lt;&gt;"Taken",'Dealer pipeline'!Q310&lt;&gt;"Declined"),'Dealer pipeline'!M310+307/100000,"")</f>
        <v/>
      </c>
      <c r="B310">
        <f>IF(AND(LEN('Dealer pipeline'!A310)&gt;0,ISNUMBER('Dealer pipeline'!M310)),MAX($B$3:B309)+1,"")</f>
        <v/>
      </c>
      <c r="E310">
        <f>IFERROR(MATCH(307,$B$4:$B$1003,0),"")</f>
        <v/>
      </c>
    </row>
    <row r="311">
      <c r="A311">
        <f>IF(AND(LEN('Dealer pipeline'!A311)&gt;0,ISNUMBER('Dealer pipeline'!M311),'Dealer pipeline'!Q311&lt;&gt;"Taken",'Dealer pipeline'!Q311&lt;&gt;"Declined"),'Dealer pipeline'!M311+308/100000,"")</f>
        <v/>
      </c>
      <c r="B311">
        <f>IF(AND(LEN('Dealer pipeline'!A311)&gt;0,ISNUMBER('Dealer pipeline'!M311)),MAX($B$3:B310)+1,"")</f>
        <v/>
      </c>
      <c r="E311">
        <f>IFERROR(MATCH(308,$B$4:$B$1003,0),"")</f>
        <v/>
      </c>
    </row>
    <row r="312">
      <c r="A312">
        <f>IF(AND(LEN('Dealer pipeline'!A312)&gt;0,ISNUMBER('Dealer pipeline'!M312),'Dealer pipeline'!Q312&lt;&gt;"Taken",'Dealer pipeline'!Q312&lt;&gt;"Declined"),'Dealer pipeline'!M312+309/100000,"")</f>
        <v/>
      </c>
      <c r="B312">
        <f>IF(AND(LEN('Dealer pipeline'!A312)&gt;0,ISNUMBER('Dealer pipeline'!M312)),MAX($B$3:B311)+1,"")</f>
        <v/>
      </c>
      <c r="E312">
        <f>IFERROR(MATCH(309,$B$4:$B$1003,0),"")</f>
        <v/>
      </c>
    </row>
    <row r="313">
      <c r="A313">
        <f>IF(AND(LEN('Dealer pipeline'!A313)&gt;0,ISNUMBER('Dealer pipeline'!M313),'Dealer pipeline'!Q313&lt;&gt;"Taken",'Dealer pipeline'!Q313&lt;&gt;"Declined"),'Dealer pipeline'!M313+310/100000,"")</f>
        <v/>
      </c>
      <c r="B313">
        <f>IF(AND(LEN('Dealer pipeline'!A313)&gt;0,ISNUMBER('Dealer pipeline'!M313)),MAX($B$3:B312)+1,"")</f>
        <v/>
      </c>
      <c r="E313">
        <f>IFERROR(MATCH(310,$B$4:$B$1003,0),"")</f>
        <v/>
      </c>
    </row>
    <row r="314">
      <c r="A314">
        <f>IF(AND(LEN('Dealer pipeline'!A314)&gt;0,ISNUMBER('Dealer pipeline'!M314),'Dealer pipeline'!Q314&lt;&gt;"Taken",'Dealer pipeline'!Q314&lt;&gt;"Declined"),'Dealer pipeline'!M314+311/100000,"")</f>
        <v/>
      </c>
      <c r="B314">
        <f>IF(AND(LEN('Dealer pipeline'!A314)&gt;0,ISNUMBER('Dealer pipeline'!M314)),MAX($B$3:B313)+1,"")</f>
        <v/>
      </c>
      <c r="E314">
        <f>IFERROR(MATCH(311,$B$4:$B$1003,0),"")</f>
        <v/>
      </c>
    </row>
    <row r="315">
      <c r="A315">
        <f>IF(AND(LEN('Dealer pipeline'!A315)&gt;0,ISNUMBER('Dealer pipeline'!M315),'Dealer pipeline'!Q315&lt;&gt;"Taken",'Dealer pipeline'!Q315&lt;&gt;"Declined"),'Dealer pipeline'!M315+312/100000,"")</f>
        <v/>
      </c>
      <c r="B315">
        <f>IF(AND(LEN('Dealer pipeline'!A315)&gt;0,ISNUMBER('Dealer pipeline'!M315)),MAX($B$3:B314)+1,"")</f>
        <v/>
      </c>
      <c r="E315">
        <f>IFERROR(MATCH(312,$B$4:$B$1003,0),"")</f>
        <v/>
      </c>
    </row>
    <row r="316">
      <c r="A316">
        <f>IF(AND(LEN('Dealer pipeline'!A316)&gt;0,ISNUMBER('Dealer pipeline'!M316),'Dealer pipeline'!Q316&lt;&gt;"Taken",'Dealer pipeline'!Q316&lt;&gt;"Declined"),'Dealer pipeline'!M316+313/100000,"")</f>
        <v/>
      </c>
      <c r="B316">
        <f>IF(AND(LEN('Dealer pipeline'!A316)&gt;0,ISNUMBER('Dealer pipeline'!M316)),MAX($B$3:B315)+1,"")</f>
        <v/>
      </c>
      <c r="E316">
        <f>IFERROR(MATCH(313,$B$4:$B$1003,0),"")</f>
        <v/>
      </c>
    </row>
    <row r="317">
      <c r="A317">
        <f>IF(AND(LEN('Dealer pipeline'!A317)&gt;0,ISNUMBER('Dealer pipeline'!M317),'Dealer pipeline'!Q317&lt;&gt;"Taken",'Dealer pipeline'!Q317&lt;&gt;"Declined"),'Dealer pipeline'!M317+314/100000,"")</f>
        <v/>
      </c>
      <c r="B317">
        <f>IF(AND(LEN('Dealer pipeline'!A317)&gt;0,ISNUMBER('Dealer pipeline'!M317)),MAX($B$3:B316)+1,"")</f>
        <v/>
      </c>
      <c r="E317">
        <f>IFERROR(MATCH(314,$B$4:$B$1003,0),"")</f>
        <v/>
      </c>
    </row>
    <row r="318">
      <c r="A318">
        <f>IF(AND(LEN('Dealer pipeline'!A318)&gt;0,ISNUMBER('Dealer pipeline'!M318),'Dealer pipeline'!Q318&lt;&gt;"Taken",'Dealer pipeline'!Q318&lt;&gt;"Declined"),'Dealer pipeline'!M318+315/100000,"")</f>
        <v/>
      </c>
      <c r="B318">
        <f>IF(AND(LEN('Dealer pipeline'!A318)&gt;0,ISNUMBER('Dealer pipeline'!M318)),MAX($B$3:B317)+1,"")</f>
        <v/>
      </c>
      <c r="E318">
        <f>IFERROR(MATCH(315,$B$4:$B$1003,0),"")</f>
        <v/>
      </c>
    </row>
    <row r="319">
      <c r="A319">
        <f>IF(AND(LEN('Dealer pipeline'!A319)&gt;0,ISNUMBER('Dealer pipeline'!M319),'Dealer pipeline'!Q319&lt;&gt;"Taken",'Dealer pipeline'!Q319&lt;&gt;"Declined"),'Dealer pipeline'!M319+316/100000,"")</f>
        <v/>
      </c>
      <c r="B319">
        <f>IF(AND(LEN('Dealer pipeline'!A319)&gt;0,ISNUMBER('Dealer pipeline'!M319)),MAX($B$3:B318)+1,"")</f>
        <v/>
      </c>
      <c r="E319">
        <f>IFERROR(MATCH(316,$B$4:$B$1003,0),"")</f>
        <v/>
      </c>
    </row>
    <row r="320">
      <c r="A320">
        <f>IF(AND(LEN('Dealer pipeline'!A320)&gt;0,ISNUMBER('Dealer pipeline'!M320),'Dealer pipeline'!Q320&lt;&gt;"Taken",'Dealer pipeline'!Q320&lt;&gt;"Declined"),'Dealer pipeline'!M320+317/100000,"")</f>
        <v/>
      </c>
      <c r="B320">
        <f>IF(AND(LEN('Dealer pipeline'!A320)&gt;0,ISNUMBER('Dealer pipeline'!M320)),MAX($B$3:B319)+1,"")</f>
        <v/>
      </c>
      <c r="E320">
        <f>IFERROR(MATCH(317,$B$4:$B$1003,0),"")</f>
        <v/>
      </c>
    </row>
    <row r="321">
      <c r="A321">
        <f>IF(AND(LEN('Dealer pipeline'!A321)&gt;0,ISNUMBER('Dealer pipeline'!M321),'Dealer pipeline'!Q321&lt;&gt;"Taken",'Dealer pipeline'!Q321&lt;&gt;"Declined"),'Dealer pipeline'!M321+318/100000,"")</f>
        <v/>
      </c>
      <c r="B321">
        <f>IF(AND(LEN('Dealer pipeline'!A321)&gt;0,ISNUMBER('Dealer pipeline'!M321)),MAX($B$3:B320)+1,"")</f>
        <v/>
      </c>
      <c r="E321">
        <f>IFERROR(MATCH(318,$B$4:$B$1003,0),"")</f>
        <v/>
      </c>
    </row>
    <row r="322">
      <c r="A322">
        <f>IF(AND(LEN('Dealer pipeline'!A322)&gt;0,ISNUMBER('Dealer pipeline'!M322),'Dealer pipeline'!Q322&lt;&gt;"Taken",'Dealer pipeline'!Q322&lt;&gt;"Declined"),'Dealer pipeline'!M322+319/100000,"")</f>
        <v/>
      </c>
      <c r="B322">
        <f>IF(AND(LEN('Dealer pipeline'!A322)&gt;0,ISNUMBER('Dealer pipeline'!M322)),MAX($B$3:B321)+1,"")</f>
        <v/>
      </c>
      <c r="E322">
        <f>IFERROR(MATCH(319,$B$4:$B$1003,0),"")</f>
        <v/>
      </c>
    </row>
    <row r="323">
      <c r="A323">
        <f>IF(AND(LEN('Dealer pipeline'!A323)&gt;0,ISNUMBER('Dealer pipeline'!M323),'Dealer pipeline'!Q323&lt;&gt;"Taken",'Dealer pipeline'!Q323&lt;&gt;"Declined"),'Dealer pipeline'!M323+320/100000,"")</f>
        <v/>
      </c>
      <c r="B323">
        <f>IF(AND(LEN('Dealer pipeline'!A323)&gt;0,ISNUMBER('Dealer pipeline'!M323)),MAX($B$3:B322)+1,"")</f>
        <v/>
      </c>
      <c r="E323">
        <f>IFERROR(MATCH(320,$B$4:$B$1003,0),"")</f>
        <v/>
      </c>
    </row>
    <row r="324">
      <c r="A324">
        <f>IF(AND(LEN('Dealer pipeline'!A324)&gt;0,ISNUMBER('Dealer pipeline'!M324),'Dealer pipeline'!Q324&lt;&gt;"Taken",'Dealer pipeline'!Q324&lt;&gt;"Declined"),'Dealer pipeline'!M324+321/100000,"")</f>
        <v/>
      </c>
      <c r="B324">
        <f>IF(AND(LEN('Dealer pipeline'!A324)&gt;0,ISNUMBER('Dealer pipeline'!M324)),MAX($B$3:B323)+1,"")</f>
        <v/>
      </c>
      <c r="E324">
        <f>IFERROR(MATCH(321,$B$4:$B$1003,0),"")</f>
        <v/>
      </c>
    </row>
    <row r="325">
      <c r="A325">
        <f>IF(AND(LEN('Dealer pipeline'!A325)&gt;0,ISNUMBER('Dealer pipeline'!M325),'Dealer pipeline'!Q325&lt;&gt;"Taken",'Dealer pipeline'!Q325&lt;&gt;"Declined"),'Dealer pipeline'!M325+322/100000,"")</f>
        <v/>
      </c>
      <c r="B325">
        <f>IF(AND(LEN('Dealer pipeline'!A325)&gt;0,ISNUMBER('Dealer pipeline'!M325)),MAX($B$3:B324)+1,"")</f>
        <v/>
      </c>
      <c r="E325">
        <f>IFERROR(MATCH(322,$B$4:$B$1003,0),"")</f>
        <v/>
      </c>
    </row>
    <row r="326">
      <c r="A326">
        <f>IF(AND(LEN('Dealer pipeline'!A326)&gt;0,ISNUMBER('Dealer pipeline'!M326),'Dealer pipeline'!Q326&lt;&gt;"Taken",'Dealer pipeline'!Q326&lt;&gt;"Declined"),'Dealer pipeline'!M326+323/100000,"")</f>
        <v/>
      </c>
      <c r="B326">
        <f>IF(AND(LEN('Dealer pipeline'!A326)&gt;0,ISNUMBER('Dealer pipeline'!M326)),MAX($B$3:B325)+1,"")</f>
        <v/>
      </c>
      <c r="E326">
        <f>IFERROR(MATCH(323,$B$4:$B$1003,0),"")</f>
        <v/>
      </c>
    </row>
    <row r="327">
      <c r="A327">
        <f>IF(AND(LEN('Dealer pipeline'!A327)&gt;0,ISNUMBER('Dealer pipeline'!M327),'Dealer pipeline'!Q327&lt;&gt;"Taken",'Dealer pipeline'!Q327&lt;&gt;"Declined"),'Dealer pipeline'!M327+324/100000,"")</f>
        <v/>
      </c>
      <c r="B327">
        <f>IF(AND(LEN('Dealer pipeline'!A327)&gt;0,ISNUMBER('Dealer pipeline'!M327)),MAX($B$3:B326)+1,"")</f>
        <v/>
      </c>
      <c r="E327">
        <f>IFERROR(MATCH(324,$B$4:$B$1003,0),"")</f>
        <v/>
      </c>
    </row>
    <row r="328">
      <c r="A328">
        <f>IF(AND(LEN('Dealer pipeline'!A328)&gt;0,ISNUMBER('Dealer pipeline'!M328),'Dealer pipeline'!Q328&lt;&gt;"Taken",'Dealer pipeline'!Q328&lt;&gt;"Declined"),'Dealer pipeline'!M328+325/100000,"")</f>
        <v/>
      </c>
      <c r="B328">
        <f>IF(AND(LEN('Dealer pipeline'!A328)&gt;0,ISNUMBER('Dealer pipeline'!M328)),MAX($B$3:B327)+1,"")</f>
        <v/>
      </c>
      <c r="E328">
        <f>IFERROR(MATCH(325,$B$4:$B$1003,0),"")</f>
        <v/>
      </c>
    </row>
    <row r="329">
      <c r="A329">
        <f>IF(AND(LEN('Dealer pipeline'!A329)&gt;0,ISNUMBER('Dealer pipeline'!M329),'Dealer pipeline'!Q329&lt;&gt;"Taken",'Dealer pipeline'!Q329&lt;&gt;"Declined"),'Dealer pipeline'!M329+326/100000,"")</f>
        <v/>
      </c>
      <c r="B329">
        <f>IF(AND(LEN('Dealer pipeline'!A329)&gt;0,ISNUMBER('Dealer pipeline'!M329)),MAX($B$3:B328)+1,"")</f>
        <v/>
      </c>
      <c r="E329">
        <f>IFERROR(MATCH(326,$B$4:$B$1003,0),"")</f>
        <v/>
      </c>
    </row>
    <row r="330">
      <c r="A330">
        <f>IF(AND(LEN('Dealer pipeline'!A330)&gt;0,ISNUMBER('Dealer pipeline'!M330),'Dealer pipeline'!Q330&lt;&gt;"Taken",'Dealer pipeline'!Q330&lt;&gt;"Declined"),'Dealer pipeline'!M330+327/100000,"")</f>
        <v/>
      </c>
      <c r="B330">
        <f>IF(AND(LEN('Dealer pipeline'!A330)&gt;0,ISNUMBER('Dealer pipeline'!M330)),MAX($B$3:B329)+1,"")</f>
        <v/>
      </c>
      <c r="E330">
        <f>IFERROR(MATCH(327,$B$4:$B$1003,0),"")</f>
        <v/>
      </c>
    </row>
    <row r="331">
      <c r="A331">
        <f>IF(AND(LEN('Dealer pipeline'!A331)&gt;0,ISNUMBER('Dealer pipeline'!M331),'Dealer pipeline'!Q331&lt;&gt;"Taken",'Dealer pipeline'!Q331&lt;&gt;"Declined"),'Dealer pipeline'!M331+328/100000,"")</f>
        <v/>
      </c>
      <c r="B331">
        <f>IF(AND(LEN('Dealer pipeline'!A331)&gt;0,ISNUMBER('Dealer pipeline'!M331)),MAX($B$3:B330)+1,"")</f>
        <v/>
      </c>
      <c r="E331">
        <f>IFERROR(MATCH(328,$B$4:$B$1003,0),"")</f>
        <v/>
      </c>
    </row>
    <row r="332">
      <c r="A332">
        <f>IF(AND(LEN('Dealer pipeline'!A332)&gt;0,ISNUMBER('Dealer pipeline'!M332),'Dealer pipeline'!Q332&lt;&gt;"Taken",'Dealer pipeline'!Q332&lt;&gt;"Declined"),'Dealer pipeline'!M332+329/100000,"")</f>
        <v/>
      </c>
      <c r="B332">
        <f>IF(AND(LEN('Dealer pipeline'!A332)&gt;0,ISNUMBER('Dealer pipeline'!M332)),MAX($B$3:B331)+1,"")</f>
        <v/>
      </c>
      <c r="E332">
        <f>IFERROR(MATCH(329,$B$4:$B$1003,0),"")</f>
        <v/>
      </c>
    </row>
    <row r="333">
      <c r="A333">
        <f>IF(AND(LEN('Dealer pipeline'!A333)&gt;0,ISNUMBER('Dealer pipeline'!M333),'Dealer pipeline'!Q333&lt;&gt;"Taken",'Dealer pipeline'!Q333&lt;&gt;"Declined"),'Dealer pipeline'!M333+330/100000,"")</f>
        <v/>
      </c>
      <c r="B333">
        <f>IF(AND(LEN('Dealer pipeline'!A333)&gt;0,ISNUMBER('Dealer pipeline'!M333)),MAX($B$3:B332)+1,"")</f>
        <v/>
      </c>
      <c r="E333">
        <f>IFERROR(MATCH(330,$B$4:$B$1003,0),"")</f>
        <v/>
      </c>
    </row>
    <row r="334">
      <c r="A334">
        <f>IF(AND(LEN('Dealer pipeline'!A334)&gt;0,ISNUMBER('Dealer pipeline'!M334),'Dealer pipeline'!Q334&lt;&gt;"Taken",'Dealer pipeline'!Q334&lt;&gt;"Declined"),'Dealer pipeline'!M334+331/100000,"")</f>
        <v/>
      </c>
      <c r="B334">
        <f>IF(AND(LEN('Dealer pipeline'!A334)&gt;0,ISNUMBER('Dealer pipeline'!M334)),MAX($B$3:B333)+1,"")</f>
        <v/>
      </c>
      <c r="E334">
        <f>IFERROR(MATCH(331,$B$4:$B$1003,0),"")</f>
        <v/>
      </c>
    </row>
    <row r="335">
      <c r="A335">
        <f>IF(AND(LEN('Dealer pipeline'!A335)&gt;0,ISNUMBER('Dealer pipeline'!M335),'Dealer pipeline'!Q335&lt;&gt;"Taken",'Dealer pipeline'!Q335&lt;&gt;"Declined"),'Dealer pipeline'!M335+332/100000,"")</f>
        <v/>
      </c>
      <c r="B335">
        <f>IF(AND(LEN('Dealer pipeline'!A335)&gt;0,ISNUMBER('Dealer pipeline'!M335)),MAX($B$3:B334)+1,"")</f>
        <v/>
      </c>
      <c r="E335">
        <f>IFERROR(MATCH(332,$B$4:$B$1003,0),"")</f>
        <v/>
      </c>
    </row>
    <row r="336">
      <c r="A336">
        <f>IF(AND(LEN('Dealer pipeline'!A336)&gt;0,ISNUMBER('Dealer pipeline'!M336),'Dealer pipeline'!Q336&lt;&gt;"Taken",'Dealer pipeline'!Q336&lt;&gt;"Declined"),'Dealer pipeline'!M336+333/100000,"")</f>
        <v/>
      </c>
      <c r="B336">
        <f>IF(AND(LEN('Dealer pipeline'!A336)&gt;0,ISNUMBER('Dealer pipeline'!M336)),MAX($B$3:B335)+1,"")</f>
        <v/>
      </c>
      <c r="E336">
        <f>IFERROR(MATCH(333,$B$4:$B$1003,0),"")</f>
        <v/>
      </c>
    </row>
    <row r="337">
      <c r="A337">
        <f>IF(AND(LEN('Dealer pipeline'!A337)&gt;0,ISNUMBER('Dealer pipeline'!M337),'Dealer pipeline'!Q337&lt;&gt;"Taken",'Dealer pipeline'!Q337&lt;&gt;"Declined"),'Dealer pipeline'!M337+334/100000,"")</f>
        <v/>
      </c>
      <c r="B337">
        <f>IF(AND(LEN('Dealer pipeline'!A337)&gt;0,ISNUMBER('Dealer pipeline'!M337)),MAX($B$3:B336)+1,"")</f>
        <v/>
      </c>
      <c r="E337">
        <f>IFERROR(MATCH(334,$B$4:$B$1003,0),"")</f>
        <v/>
      </c>
    </row>
    <row r="338">
      <c r="A338">
        <f>IF(AND(LEN('Dealer pipeline'!A338)&gt;0,ISNUMBER('Dealer pipeline'!M338),'Dealer pipeline'!Q338&lt;&gt;"Taken",'Dealer pipeline'!Q338&lt;&gt;"Declined"),'Dealer pipeline'!M338+335/100000,"")</f>
        <v/>
      </c>
      <c r="B338">
        <f>IF(AND(LEN('Dealer pipeline'!A338)&gt;0,ISNUMBER('Dealer pipeline'!M338)),MAX($B$3:B337)+1,"")</f>
        <v/>
      </c>
      <c r="E338">
        <f>IFERROR(MATCH(335,$B$4:$B$1003,0),"")</f>
        <v/>
      </c>
    </row>
    <row r="339">
      <c r="A339">
        <f>IF(AND(LEN('Dealer pipeline'!A339)&gt;0,ISNUMBER('Dealer pipeline'!M339),'Dealer pipeline'!Q339&lt;&gt;"Taken",'Dealer pipeline'!Q339&lt;&gt;"Declined"),'Dealer pipeline'!M339+336/100000,"")</f>
        <v/>
      </c>
      <c r="B339">
        <f>IF(AND(LEN('Dealer pipeline'!A339)&gt;0,ISNUMBER('Dealer pipeline'!M339)),MAX($B$3:B338)+1,"")</f>
        <v/>
      </c>
      <c r="E339">
        <f>IFERROR(MATCH(336,$B$4:$B$1003,0),"")</f>
        <v/>
      </c>
    </row>
    <row r="340">
      <c r="A340">
        <f>IF(AND(LEN('Dealer pipeline'!A340)&gt;0,ISNUMBER('Dealer pipeline'!M340),'Dealer pipeline'!Q340&lt;&gt;"Taken",'Dealer pipeline'!Q340&lt;&gt;"Declined"),'Dealer pipeline'!M340+337/100000,"")</f>
        <v/>
      </c>
      <c r="B340">
        <f>IF(AND(LEN('Dealer pipeline'!A340)&gt;0,ISNUMBER('Dealer pipeline'!M340)),MAX($B$3:B339)+1,"")</f>
        <v/>
      </c>
      <c r="E340">
        <f>IFERROR(MATCH(337,$B$4:$B$1003,0),"")</f>
        <v/>
      </c>
    </row>
    <row r="341">
      <c r="A341">
        <f>IF(AND(LEN('Dealer pipeline'!A341)&gt;0,ISNUMBER('Dealer pipeline'!M341),'Dealer pipeline'!Q341&lt;&gt;"Taken",'Dealer pipeline'!Q341&lt;&gt;"Declined"),'Dealer pipeline'!M341+338/100000,"")</f>
        <v/>
      </c>
      <c r="B341">
        <f>IF(AND(LEN('Dealer pipeline'!A341)&gt;0,ISNUMBER('Dealer pipeline'!M341)),MAX($B$3:B340)+1,"")</f>
        <v/>
      </c>
      <c r="E341">
        <f>IFERROR(MATCH(338,$B$4:$B$1003,0),"")</f>
        <v/>
      </c>
    </row>
    <row r="342">
      <c r="A342">
        <f>IF(AND(LEN('Dealer pipeline'!A342)&gt;0,ISNUMBER('Dealer pipeline'!M342),'Dealer pipeline'!Q342&lt;&gt;"Taken",'Dealer pipeline'!Q342&lt;&gt;"Declined"),'Dealer pipeline'!M342+339/100000,"")</f>
        <v/>
      </c>
      <c r="B342">
        <f>IF(AND(LEN('Dealer pipeline'!A342)&gt;0,ISNUMBER('Dealer pipeline'!M342)),MAX($B$3:B341)+1,"")</f>
        <v/>
      </c>
      <c r="E342">
        <f>IFERROR(MATCH(339,$B$4:$B$1003,0),"")</f>
        <v/>
      </c>
    </row>
    <row r="343">
      <c r="A343">
        <f>IF(AND(LEN('Dealer pipeline'!A343)&gt;0,ISNUMBER('Dealer pipeline'!M343),'Dealer pipeline'!Q343&lt;&gt;"Taken",'Dealer pipeline'!Q343&lt;&gt;"Declined"),'Dealer pipeline'!M343+340/100000,"")</f>
        <v/>
      </c>
      <c r="B343">
        <f>IF(AND(LEN('Dealer pipeline'!A343)&gt;0,ISNUMBER('Dealer pipeline'!M343)),MAX($B$3:B342)+1,"")</f>
        <v/>
      </c>
      <c r="E343">
        <f>IFERROR(MATCH(340,$B$4:$B$1003,0),"")</f>
        <v/>
      </c>
    </row>
    <row r="344">
      <c r="A344">
        <f>IF(AND(LEN('Dealer pipeline'!A344)&gt;0,ISNUMBER('Dealer pipeline'!M344),'Dealer pipeline'!Q344&lt;&gt;"Taken",'Dealer pipeline'!Q344&lt;&gt;"Declined"),'Dealer pipeline'!M344+341/100000,"")</f>
        <v/>
      </c>
      <c r="B344">
        <f>IF(AND(LEN('Dealer pipeline'!A344)&gt;0,ISNUMBER('Dealer pipeline'!M344)),MAX($B$3:B343)+1,"")</f>
        <v/>
      </c>
      <c r="E344">
        <f>IFERROR(MATCH(341,$B$4:$B$1003,0),"")</f>
        <v/>
      </c>
    </row>
    <row r="345">
      <c r="A345">
        <f>IF(AND(LEN('Dealer pipeline'!A345)&gt;0,ISNUMBER('Dealer pipeline'!M345),'Dealer pipeline'!Q345&lt;&gt;"Taken",'Dealer pipeline'!Q345&lt;&gt;"Declined"),'Dealer pipeline'!M345+342/100000,"")</f>
        <v/>
      </c>
      <c r="B345">
        <f>IF(AND(LEN('Dealer pipeline'!A345)&gt;0,ISNUMBER('Dealer pipeline'!M345)),MAX($B$3:B344)+1,"")</f>
        <v/>
      </c>
      <c r="E345">
        <f>IFERROR(MATCH(342,$B$4:$B$1003,0),"")</f>
        <v/>
      </c>
    </row>
    <row r="346">
      <c r="A346">
        <f>IF(AND(LEN('Dealer pipeline'!A346)&gt;0,ISNUMBER('Dealer pipeline'!M346),'Dealer pipeline'!Q346&lt;&gt;"Taken",'Dealer pipeline'!Q346&lt;&gt;"Declined"),'Dealer pipeline'!M346+343/100000,"")</f>
        <v/>
      </c>
      <c r="B346">
        <f>IF(AND(LEN('Dealer pipeline'!A346)&gt;0,ISNUMBER('Dealer pipeline'!M346)),MAX($B$3:B345)+1,"")</f>
        <v/>
      </c>
      <c r="E346">
        <f>IFERROR(MATCH(343,$B$4:$B$1003,0),"")</f>
        <v/>
      </c>
    </row>
    <row r="347">
      <c r="A347">
        <f>IF(AND(LEN('Dealer pipeline'!A347)&gt;0,ISNUMBER('Dealer pipeline'!M347),'Dealer pipeline'!Q347&lt;&gt;"Taken",'Dealer pipeline'!Q347&lt;&gt;"Declined"),'Dealer pipeline'!M347+344/100000,"")</f>
        <v/>
      </c>
      <c r="B347">
        <f>IF(AND(LEN('Dealer pipeline'!A347)&gt;0,ISNUMBER('Dealer pipeline'!M347)),MAX($B$3:B346)+1,"")</f>
        <v/>
      </c>
      <c r="E347">
        <f>IFERROR(MATCH(344,$B$4:$B$1003,0),"")</f>
        <v/>
      </c>
    </row>
    <row r="348">
      <c r="A348">
        <f>IF(AND(LEN('Dealer pipeline'!A348)&gt;0,ISNUMBER('Dealer pipeline'!M348),'Dealer pipeline'!Q348&lt;&gt;"Taken",'Dealer pipeline'!Q348&lt;&gt;"Declined"),'Dealer pipeline'!M348+345/100000,"")</f>
        <v/>
      </c>
      <c r="B348">
        <f>IF(AND(LEN('Dealer pipeline'!A348)&gt;0,ISNUMBER('Dealer pipeline'!M348)),MAX($B$3:B347)+1,"")</f>
        <v/>
      </c>
      <c r="E348">
        <f>IFERROR(MATCH(345,$B$4:$B$1003,0),"")</f>
        <v/>
      </c>
    </row>
    <row r="349">
      <c r="A349">
        <f>IF(AND(LEN('Dealer pipeline'!A349)&gt;0,ISNUMBER('Dealer pipeline'!M349),'Dealer pipeline'!Q349&lt;&gt;"Taken",'Dealer pipeline'!Q349&lt;&gt;"Declined"),'Dealer pipeline'!M349+346/100000,"")</f>
        <v/>
      </c>
      <c r="B349">
        <f>IF(AND(LEN('Dealer pipeline'!A349)&gt;0,ISNUMBER('Dealer pipeline'!M349)),MAX($B$3:B348)+1,"")</f>
        <v/>
      </c>
      <c r="E349">
        <f>IFERROR(MATCH(346,$B$4:$B$1003,0),"")</f>
        <v/>
      </c>
    </row>
    <row r="350">
      <c r="A350">
        <f>IF(AND(LEN('Dealer pipeline'!A350)&gt;0,ISNUMBER('Dealer pipeline'!M350),'Dealer pipeline'!Q350&lt;&gt;"Taken",'Dealer pipeline'!Q350&lt;&gt;"Declined"),'Dealer pipeline'!M350+347/100000,"")</f>
        <v/>
      </c>
      <c r="B350">
        <f>IF(AND(LEN('Dealer pipeline'!A350)&gt;0,ISNUMBER('Dealer pipeline'!M350)),MAX($B$3:B349)+1,"")</f>
        <v/>
      </c>
      <c r="E350">
        <f>IFERROR(MATCH(347,$B$4:$B$1003,0),"")</f>
        <v/>
      </c>
    </row>
    <row r="351">
      <c r="A351">
        <f>IF(AND(LEN('Dealer pipeline'!A351)&gt;0,ISNUMBER('Dealer pipeline'!M351),'Dealer pipeline'!Q351&lt;&gt;"Taken",'Dealer pipeline'!Q351&lt;&gt;"Declined"),'Dealer pipeline'!M351+348/100000,"")</f>
        <v/>
      </c>
      <c r="B351">
        <f>IF(AND(LEN('Dealer pipeline'!A351)&gt;0,ISNUMBER('Dealer pipeline'!M351)),MAX($B$3:B350)+1,"")</f>
        <v/>
      </c>
      <c r="E351">
        <f>IFERROR(MATCH(348,$B$4:$B$1003,0),"")</f>
        <v/>
      </c>
    </row>
    <row r="352">
      <c r="A352">
        <f>IF(AND(LEN('Dealer pipeline'!A352)&gt;0,ISNUMBER('Dealer pipeline'!M352),'Dealer pipeline'!Q352&lt;&gt;"Taken",'Dealer pipeline'!Q352&lt;&gt;"Declined"),'Dealer pipeline'!M352+349/100000,"")</f>
        <v/>
      </c>
      <c r="B352">
        <f>IF(AND(LEN('Dealer pipeline'!A352)&gt;0,ISNUMBER('Dealer pipeline'!M352)),MAX($B$3:B351)+1,"")</f>
        <v/>
      </c>
      <c r="E352">
        <f>IFERROR(MATCH(349,$B$4:$B$1003,0),"")</f>
        <v/>
      </c>
    </row>
    <row r="353">
      <c r="A353">
        <f>IF(AND(LEN('Dealer pipeline'!A353)&gt;0,ISNUMBER('Dealer pipeline'!M353),'Dealer pipeline'!Q353&lt;&gt;"Taken",'Dealer pipeline'!Q353&lt;&gt;"Declined"),'Dealer pipeline'!M353+350/100000,"")</f>
        <v/>
      </c>
      <c r="B353">
        <f>IF(AND(LEN('Dealer pipeline'!A353)&gt;0,ISNUMBER('Dealer pipeline'!M353)),MAX($B$3:B352)+1,"")</f>
        <v/>
      </c>
      <c r="E353">
        <f>IFERROR(MATCH(350,$B$4:$B$1003,0),"")</f>
        <v/>
      </c>
    </row>
    <row r="354">
      <c r="A354">
        <f>IF(AND(LEN('Dealer pipeline'!A354)&gt;0,ISNUMBER('Dealer pipeline'!M354),'Dealer pipeline'!Q354&lt;&gt;"Taken",'Dealer pipeline'!Q354&lt;&gt;"Declined"),'Dealer pipeline'!M354+351/100000,"")</f>
        <v/>
      </c>
      <c r="B354">
        <f>IF(AND(LEN('Dealer pipeline'!A354)&gt;0,ISNUMBER('Dealer pipeline'!M354)),MAX($B$3:B353)+1,"")</f>
        <v/>
      </c>
      <c r="E354">
        <f>IFERROR(MATCH(351,$B$4:$B$1003,0),"")</f>
        <v/>
      </c>
    </row>
    <row r="355">
      <c r="A355">
        <f>IF(AND(LEN('Dealer pipeline'!A355)&gt;0,ISNUMBER('Dealer pipeline'!M355),'Dealer pipeline'!Q355&lt;&gt;"Taken",'Dealer pipeline'!Q355&lt;&gt;"Declined"),'Dealer pipeline'!M355+352/100000,"")</f>
        <v/>
      </c>
      <c r="B355">
        <f>IF(AND(LEN('Dealer pipeline'!A355)&gt;0,ISNUMBER('Dealer pipeline'!M355)),MAX($B$3:B354)+1,"")</f>
        <v/>
      </c>
      <c r="E355">
        <f>IFERROR(MATCH(352,$B$4:$B$1003,0),"")</f>
        <v/>
      </c>
    </row>
    <row r="356">
      <c r="A356">
        <f>IF(AND(LEN('Dealer pipeline'!A356)&gt;0,ISNUMBER('Dealer pipeline'!M356),'Dealer pipeline'!Q356&lt;&gt;"Taken",'Dealer pipeline'!Q356&lt;&gt;"Declined"),'Dealer pipeline'!M356+353/100000,"")</f>
        <v/>
      </c>
      <c r="B356">
        <f>IF(AND(LEN('Dealer pipeline'!A356)&gt;0,ISNUMBER('Dealer pipeline'!M356)),MAX($B$3:B355)+1,"")</f>
        <v/>
      </c>
      <c r="E356">
        <f>IFERROR(MATCH(353,$B$4:$B$1003,0),"")</f>
        <v/>
      </c>
    </row>
    <row r="357">
      <c r="A357">
        <f>IF(AND(LEN('Dealer pipeline'!A357)&gt;0,ISNUMBER('Dealer pipeline'!M357),'Dealer pipeline'!Q357&lt;&gt;"Taken",'Dealer pipeline'!Q357&lt;&gt;"Declined"),'Dealer pipeline'!M357+354/100000,"")</f>
        <v/>
      </c>
      <c r="B357">
        <f>IF(AND(LEN('Dealer pipeline'!A357)&gt;0,ISNUMBER('Dealer pipeline'!M357)),MAX($B$3:B356)+1,"")</f>
        <v/>
      </c>
      <c r="E357">
        <f>IFERROR(MATCH(354,$B$4:$B$1003,0),"")</f>
        <v/>
      </c>
    </row>
    <row r="358">
      <c r="A358">
        <f>IF(AND(LEN('Dealer pipeline'!A358)&gt;0,ISNUMBER('Dealer pipeline'!M358),'Dealer pipeline'!Q358&lt;&gt;"Taken",'Dealer pipeline'!Q358&lt;&gt;"Declined"),'Dealer pipeline'!M358+355/100000,"")</f>
        <v/>
      </c>
      <c r="B358">
        <f>IF(AND(LEN('Dealer pipeline'!A358)&gt;0,ISNUMBER('Dealer pipeline'!M358)),MAX($B$3:B357)+1,"")</f>
        <v/>
      </c>
      <c r="E358">
        <f>IFERROR(MATCH(355,$B$4:$B$1003,0),"")</f>
        <v/>
      </c>
    </row>
    <row r="359">
      <c r="A359">
        <f>IF(AND(LEN('Dealer pipeline'!A359)&gt;0,ISNUMBER('Dealer pipeline'!M359),'Dealer pipeline'!Q359&lt;&gt;"Taken",'Dealer pipeline'!Q359&lt;&gt;"Declined"),'Dealer pipeline'!M359+356/100000,"")</f>
        <v/>
      </c>
      <c r="B359">
        <f>IF(AND(LEN('Dealer pipeline'!A359)&gt;0,ISNUMBER('Dealer pipeline'!M359)),MAX($B$3:B358)+1,"")</f>
        <v/>
      </c>
      <c r="E359">
        <f>IFERROR(MATCH(356,$B$4:$B$1003,0),"")</f>
        <v/>
      </c>
    </row>
    <row r="360">
      <c r="A360">
        <f>IF(AND(LEN('Dealer pipeline'!A360)&gt;0,ISNUMBER('Dealer pipeline'!M360),'Dealer pipeline'!Q360&lt;&gt;"Taken",'Dealer pipeline'!Q360&lt;&gt;"Declined"),'Dealer pipeline'!M360+357/100000,"")</f>
        <v/>
      </c>
      <c r="B360">
        <f>IF(AND(LEN('Dealer pipeline'!A360)&gt;0,ISNUMBER('Dealer pipeline'!M360)),MAX($B$3:B359)+1,"")</f>
        <v/>
      </c>
      <c r="E360">
        <f>IFERROR(MATCH(357,$B$4:$B$1003,0),"")</f>
        <v/>
      </c>
    </row>
    <row r="361">
      <c r="A361">
        <f>IF(AND(LEN('Dealer pipeline'!A361)&gt;0,ISNUMBER('Dealer pipeline'!M361),'Dealer pipeline'!Q361&lt;&gt;"Taken",'Dealer pipeline'!Q361&lt;&gt;"Declined"),'Dealer pipeline'!M361+358/100000,"")</f>
        <v/>
      </c>
      <c r="B361">
        <f>IF(AND(LEN('Dealer pipeline'!A361)&gt;0,ISNUMBER('Dealer pipeline'!M361)),MAX($B$3:B360)+1,"")</f>
        <v/>
      </c>
      <c r="E361">
        <f>IFERROR(MATCH(358,$B$4:$B$1003,0),"")</f>
        <v/>
      </c>
    </row>
    <row r="362">
      <c r="A362">
        <f>IF(AND(LEN('Dealer pipeline'!A362)&gt;0,ISNUMBER('Dealer pipeline'!M362),'Dealer pipeline'!Q362&lt;&gt;"Taken",'Dealer pipeline'!Q362&lt;&gt;"Declined"),'Dealer pipeline'!M362+359/100000,"")</f>
        <v/>
      </c>
      <c r="B362">
        <f>IF(AND(LEN('Dealer pipeline'!A362)&gt;0,ISNUMBER('Dealer pipeline'!M362)),MAX($B$3:B361)+1,"")</f>
        <v/>
      </c>
      <c r="E362">
        <f>IFERROR(MATCH(359,$B$4:$B$1003,0),"")</f>
        <v/>
      </c>
    </row>
    <row r="363">
      <c r="A363">
        <f>IF(AND(LEN('Dealer pipeline'!A363)&gt;0,ISNUMBER('Dealer pipeline'!M363),'Dealer pipeline'!Q363&lt;&gt;"Taken",'Dealer pipeline'!Q363&lt;&gt;"Declined"),'Dealer pipeline'!M363+360/100000,"")</f>
        <v/>
      </c>
      <c r="B363">
        <f>IF(AND(LEN('Dealer pipeline'!A363)&gt;0,ISNUMBER('Dealer pipeline'!M363)),MAX($B$3:B362)+1,"")</f>
        <v/>
      </c>
      <c r="E363">
        <f>IFERROR(MATCH(360,$B$4:$B$1003,0),"")</f>
        <v/>
      </c>
    </row>
    <row r="364">
      <c r="A364">
        <f>IF(AND(LEN('Dealer pipeline'!A364)&gt;0,ISNUMBER('Dealer pipeline'!M364),'Dealer pipeline'!Q364&lt;&gt;"Taken",'Dealer pipeline'!Q364&lt;&gt;"Declined"),'Dealer pipeline'!M364+361/100000,"")</f>
        <v/>
      </c>
      <c r="B364">
        <f>IF(AND(LEN('Dealer pipeline'!A364)&gt;0,ISNUMBER('Dealer pipeline'!M364)),MAX($B$3:B363)+1,"")</f>
        <v/>
      </c>
      <c r="E364">
        <f>IFERROR(MATCH(361,$B$4:$B$1003,0),"")</f>
        <v/>
      </c>
    </row>
    <row r="365">
      <c r="A365">
        <f>IF(AND(LEN('Dealer pipeline'!A365)&gt;0,ISNUMBER('Dealer pipeline'!M365),'Dealer pipeline'!Q365&lt;&gt;"Taken",'Dealer pipeline'!Q365&lt;&gt;"Declined"),'Dealer pipeline'!M365+362/100000,"")</f>
        <v/>
      </c>
      <c r="B365">
        <f>IF(AND(LEN('Dealer pipeline'!A365)&gt;0,ISNUMBER('Dealer pipeline'!M365)),MAX($B$3:B364)+1,"")</f>
        <v/>
      </c>
      <c r="E365">
        <f>IFERROR(MATCH(362,$B$4:$B$1003,0),"")</f>
        <v/>
      </c>
    </row>
    <row r="366">
      <c r="A366">
        <f>IF(AND(LEN('Dealer pipeline'!A366)&gt;0,ISNUMBER('Dealer pipeline'!M366),'Dealer pipeline'!Q366&lt;&gt;"Taken",'Dealer pipeline'!Q366&lt;&gt;"Declined"),'Dealer pipeline'!M366+363/100000,"")</f>
        <v/>
      </c>
      <c r="B366">
        <f>IF(AND(LEN('Dealer pipeline'!A366)&gt;0,ISNUMBER('Dealer pipeline'!M366)),MAX($B$3:B365)+1,"")</f>
        <v/>
      </c>
      <c r="E366">
        <f>IFERROR(MATCH(363,$B$4:$B$1003,0),"")</f>
        <v/>
      </c>
    </row>
    <row r="367">
      <c r="A367">
        <f>IF(AND(LEN('Dealer pipeline'!A367)&gt;0,ISNUMBER('Dealer pipeline'!M367),'Dealer pipeline'!Q367&lt;&gt;"Taken",'Dealer pipeline'!Q367&lt;&gt;"Declined"),'Dealer pipeline'!M367+364/100000,"")</f>
        <v/>
      </c>
      <c r="B367">
        <f>IF(AND(LEN('Dealer pipeline'!A367)&gt;0,ISNUMBER('Dealer pipeline'!M367)),MAX($B$3:B366)+1,"")</f>
        <v/>
      </c>
      <c r="E367">
        <f>IFERROR(MATCH(364,$B$4:$B$1003,0),"")</f>
        <v/>
      </c>
    </row>
    <row r="368">
      <c r="A368">
        <f>IF(AND(LEN('Dealer pipeline'!A368)&gt;0,ISNUMBER('Dealer pipeline'!M368),'Dealer pipeline'!Q368&lt;&gt;"Taken",'Dealer pipeline'!Q368&lt;&gt;"Declined"),'Dealer pipeline'!M368+365/100000,"")</f>
        <v/>
      </c>
      <c r="B368">
        <f>IF(AND(LEN('Dealer pipeline'!A368)&gt;0,ISNUMBER('Dealer pipeline'!M368)),MAX($B$3:B367)+1,"")</f>
        <v/>
      </c>
      <c r="E368">
        <f>IFERROR(MATCH(365,$B$4:$B$1003,0),"")</f>
        <v/>
      </c>
    </row>
    <row r="369">
      <c r="A369">
        <f>IF(AND(LEN('Dealer pipeline'!A369)&gt;0,ISNUMBER('Dealer pipeline'!M369),'Dealer pipeline'!Q369&lt;&gt;"Taken",'Dealer pipeline'!Q369&lt;&gt;"Declined"),'Dealer pipeline'!M369+366/100000,"")</f>
        <v/>
      </c>
      <c r="B369">
        <f>IF(AND(LEN('Dealer pipeline'!A369)&gt;0,ISNUMBER('Dealer pipeline'!M369)),MAX($B$3:B368)+1,"")</f>
        <v/>
      </c>
      <c r="E369">
        <f>IFERROR(MATCH(366,$B$4:$B$1003,0),"")</f>
        <v/>
      </c>
    </row>
    <row r="370">
      <c r="A370">
        <f>IF(AND(LEN('Dealer pipeline'!A370)&gt;0,ISNUMBER('Dealer pipeline'!M370),'Dealer pipeline'!Q370&lt;&gt;"Taken",'Dealer pipeline'!Q370&lt;&gt;"Declined"),'Dealer pipeline'!M370+367/100000,"")</f>
        <v/>
      </c>
      <c r="B370">
        <f>IF(AND(LEN('Dealer pipeline'!A370)&gt;0,ISNUMBER('Dealer pipeline'!M370)),MAX($B$3:B369)+1,"")</f>
        <v/>
      </c>
      <c r="E370">
        <f>IFERROR(MATCH(367,$B$4:$B$1003,0),"")</f>
        <v/>
      </c>
    </row>
    <row r="371">
      <c r="A371">
        <f>IF(AND(LEN('Dealer pipeline'!A371)&gt;0,ISNUMBER('Dealer pipeline'!M371),'Dealer pipeline'!Q371&lt;&gt;"Taken",'Dealer pipeline'!Q371&lt;&gt;"Declined"),'Dealer pipeline'!M371+368/100000,"")</f>
        <v/>
      </c>
      <c r="B371">
        <f>IF(AND(LEN('Dealer pipeline'!A371)&gt;0,ISNUMBER('Dealer pipeline'!M371)),MAX($B$3:B370)+1,"")</f>
        <v/>
      </c>
      <c r="E371">
        <f>IFERROR(MATCH(368,$B$4:$B$1003,0),"")</f>
        <v/>
      </c>
    </row>
    <row r="372">
      <c r="A372">
        <f>IF(AND(LEN('Dealer pipeline'!A372)&gt;0,ISNUMBER('Dealer pipeline'!M372),'Dealer pipeline'!Q372&lt;&gt;"Taken",'Dealer pipeline'!Q372&lt;&gt;"Declined"),'Dealer pipeline'!M372+369/100000,"")</f>
        <v/>
      </c>
      <c r="B372">
        <f>IF(AND(LEN('Dealer pipeline'!A372)&gt;0,ISNUMBER('Dealer pipeline'!M372)),MAX($B$3:B371)+1,"")</f>
        <v/>
      </c>
      <c r="E372">
        <f>IFERROR(MATCH(369,$B$4:$B$1003,0),"")</f>
        <v/>
      </c>
    </row>
    <row r="373">
      <c r="A373">
        <f>IF(AND(LEN('Dealer pipeline'!A373)&gt;0,ISNUMBER('Dealer pipeline'!M373),'Dealer pipeline'!Q373&lt;&gt;"Taken",'Dealer pipeline'!Q373&lt;&gt;"Declined"),'Dealer pipeline'!M373+370/100000,"")</f>
        <v/>
      </c>
      <c r="B373">
        <f>IF(AND(LEN('Dealer pipeline'!A373)&gt;0,ISNUMBER('Dealer pipeline'!M373)),MAX($B$3:B372)+1,"")</f>
        <v/>
      </c>
      <c r="E373">
        <f>IFERROR(MATCH(370,$B$4:$B$1003,0),"")</f>
        <v/>
      </c>
    </row>
    <row r="374">
      <c r="A374">
        <f>IF(AND(LEN('Dealer pipeline'!A374)&gt;0,ISNUMBER('Dealer pipeline'!M374),'Dealer pipeline'!Q374&lt;&gt;"Taken",'Dealer pipeline'!Q374&lt;&gt;"Declined"),'Dealer pipeline'!M374+371/100000,"")</f>
        <v/>
      </c>
      <c r="B374">
        <f>IF(AND(LEN('Dealer pipeline'!A374)&gt;0,ISNUMBER('Dealer pipeline'!M374)),MAX($B$3:B373)+1,"")</f>
        <v/>
      </c>
      <c r="E374">
        <f>IFERROR(MATCH(371,$B$4:$B$1003,0),"")</f>
        <v/>
      </c>
    </row>
    <row r="375">
      <c r="A375">
        <f>IF(AND(LEN('Dealer pipeline'!A375)&gt;0,ISNUMBER('Dealer pipeline'!M375),'Dealer pipeline'!Q375&lt;&gt;"Taken",'Dealer pipeline'!Q375&lt;&gt;"Declined"),'Dealer pipeline'!M375+372/100000,"")</f>
        <v/>
      </c>
      <c r="B375">
        <f>IF(AND(LEN('Dealer pipeline'!A375)&gt;0,ISNUMBER('Dealer pipeline'!M375)),MAX($B$3:B374)+1,"")</f>
        <v/>
      </c>
      <c r="E375">
        <f>IFERROR(MATCH(372,$B$4:$B$1003,0),"")</f>
        <v/>
      </c>
    </row>
    <row r="376">
      <c r="A376">
        <f>IF(AND(LEN('Dealer pipeline'!A376)&gt;0,ISNUMBER('Dealer pipeline'!M376),'Dealer pipeline'!Q376&lt;&gt;"Taken",'Dealer pipeline'!Q376&lt;&gt;"Declined"),'Dealer pipeline'!M376+373/100000,"")</f>
        <v/>
      </c>
      <c r="B376">
        <f>IF(AND(LEN('Dealer pipeline'!A376)&gt;0,ISNUMBER('Dealer pipeline'!M376)),MAX($B$3:B375)+1,"")</f>
        <v/>
      </c>
      <c r="E376">
        <f>IFERROR(MATCH(373,$B$4:$B$1003,0),"")</f>
        <v/>
      </c>
    </row>
    <row r="377">
      <c r="A377">
        <f>IF(AND(LEN('Dealer pipeline'!A377)&gt;0,ISNUMBER('Dealer pipeline'!M377),'Dealer pipeline'!Q377&lt;&gt;"Taken",'Dealer pipeline'!Q377&lt;&gt;"Declined"),'Dealer pipeline'!M377+374/100000,"")</f>
        <v/>
      </c>
      <c r="B377">
        <f>IF(AND(LEN('Dealer pipeline'!A377)&gt;0,ISNUMBER('Dealer pipeline'!M377)),MAX($B$3:B376)+1,"")</f>
        <v/>
      </c>
      <c r="E377">
        <f>IFERROR(MATCH(374,$B$4:$B$1003,0),"")</f>
        <v/>
      </c>
    </row>
    <row r="378">
      <c r="A378">
        <f>IF(AND(LEN('Dealer pipeline'!A378)&gt;0,ISNUMBER('Dealer pipeline'!M378),'Dealer pipeline'!Q378&lt;&gt;"Taken",'Dealer pipeline'!Q378&lt;&gt;"Declined"),'Dealer pipeline'!M378+375/100000,"")</f>
        <v/>
      </c>
      <c r="B378">
        <f>IF(AND(LEN('Dealer pipeline'!A378)&gt;0,ISNUMBER('Dealer pipeline'!M378)),MAX($B$3:B377)+1,"")</f>
        <v/>
      </c>
      <c r="E378">
        <f>IFERROR(MATCH(375,$B$4:$B$1003,0),"")</f>
        <v/>
      </c>
    </row>
    <row r="379">
      <c r="A379">
        <f>IF(AND(LEN('Dealer pipeline'!A379)&gt;0,ISNUMBER('Dealer pipeline'!M379),'Dealer pipeline'!Q379&lt;&gt;"Taken",'Dealer pipeline'!Q379&lt;&gt;"Declined"),'Dealer pipeline'!M379+376/100000,"")</f>
        <v/>
      </c>
      <c r="B379">
        <f>IF(AND(LEN('Dealer pipeline'!A379)&gt;0,ISNUMBER('Dealer pipeline'!M379)),MAX($B$3:B378)+1,"")</f>
        <v/>
      </c>
      <c r="E379">
        <f>IFERROR(MATCH(376,$B$4:$B$1003,0),"")</f>
        <v/>
      </c>
    </row>
    <row r="380">
      <c r="A380">
        <f>IF(AND(LEN('Dealer pipeline'!A380)&gt;0,ISNUMBER('Dealer pipeline'!M380),'Dealer pipeline'!Q380&lt;&gt;"Taken",'Dealer pipeline'!Q380&lt;&gt;"Declined"),'Dealer pipeline'!M380+377/100000,"")</f>
        <v/>
      </c>
      <c r="B380">
        <f>IF(AND(LEN('Dealer pipeline'!A380)&gt;0,ISNUMBER('Dealer pipeline'!M380)),MAX($B$3:B379)+1,"")</f>
        <v/>
      </c>
      <c r="E380">
        <f>IFERROR(MATCH(377,$B$4:$B$1003,0),"")</f>
        <v/>
      </c>
    </row>
    <row r="381">
      <c r="A381">
        <f>IF(AND(LEN('Dealer pipeline'!A381)&gt;0,ISNUMBER('Dealer pipeline'!M381),'Dealer pipeline'!Q381&lt;&gt;"Taken",'Dealer pipeline'!Q381&lt;&gt;"Declined"),'Dealer pipeline'!M381+378/100000,"")</f>
        <v/>
      </c>
      <c r="B381">
        <f>IF(AND(LEN('Dealer pipeline'!A381)&gt;0,ISNUMBER('Dealer pipeline'!M381)),MAX($B$3:B380)+1,"")</f>
        <v/>
      </c>
      <c r="E381">
        <f>IFERROR(MATCH(378,$B$4:$B$1003,0),"")</f>
        <v/>
      </c>
    </row>
    <row r="382">
      <c r="A382">
        <f>IF(AND(LEN('Dealer pipeline'!A382)&gt;0,ISNUMBER('Dealer pipeline'!M382),'Dealer pipeline'!Q382&lt;&gt;"Taken",'Dealer pipeline'!Q382&lt;&gt;"Declined"),'Dealer pipeline'!M382+379/100000,"")</f>
        <v/>
      </c>
      <c r="B382">
        <f>IF(AND(LEN('Dealer pipeline'!A382)&gt;0,ISNUMBER('Dealer pipeline'!M382)),MAX($B$3:B381)+1,"")</f>
        <v/>
      </c>
      <c r="E382">
        <f>IFERROR(MATCH(379,$B$4:$B$1003,0),"")</f>
        <v/>
      </c>
    </row>
    <row r="383">
      <c r="A383">
        <f>IF(AND(LEN('Dealer pipeline'!A383)&gt;0,ISNUMBER('Dealer pipeline'!M383),'Dealer pipeline'!Q383&lt;&gt;"Taken",'Dealer pipeline'!Q383&lt;&gt;"Declined"),'Dealer pipeline'!M383+380/100000,"")</f>
        <v/>
      </c>
      <c r="B383">
        <f>IF(AND(LEN('Dealer pipeline'!A383)&gt;0,ISNUMBER('Dealer pipeline'!M383)),MAX($B$3:B382)+1,"")</f>
        <v/>
      </c>
      <c r="E383">
        <f>IFERROR(MATCH(380,$B$4:$B$1003,0),"")</f>
        <v/>
      </c>
    </row>
    <row r="384">
      <c r="A384">
        <f>IF(AND(LEN('Dealer pipeline'!A384)&gt;0,ISNUMBER('Dealer pipeline'!M384),'Dealer pipeline'!Q384&lt;&gt;"Taken",'Dealer pipeline'!Q384&lt;&gt;"Declined"),'Dealer pipeline'!M384+381/100000,"")</f>
        <v/>
      </c>
      <c r="B384">
        <f>IF(AND(LEN('Dealer pipeline'!A384)&gt;0,ISNUMBER('Dealer pipeline'!M384)),MAX($B$3:B383)+1,"")</f>
        <v/>
      </c>
      <c r="E384">
        <f>IFERROR(MATCH(381,$B$4:$B$1003,0),"")</f>
        <v/>
      </c>
    </row>
    <row r="385">
      <c r="A385">
        <f>IF(AND(LEN('Dealer pipeline'!A385)&gt;0,ISNUMBER('Dealer pipeline'!M385),'Dealer pipeline'!Q385&lt;&gt;"Taken",'Dealer pipeline'!Q385&lt;&gt;"Declined"),'Dealer pipeline'!M385+382/100000,"")</f>
        <v/>
      </c>
      <c r="B385">
        <f>IF(AND(LEN('Dealer pipeline'!A385)&gt;0,ISNUMBER('Dealer pipeline'!M385)),MAX($B$3:B384)+1,"")</f>
        <v/>
      </c>
      <c r="E385">
        <f>IFERROR(MATCH(382,$B$4:$B$1003,0),"")</f>
        <v/>
      </c>
    </row>
    <row r="386">
      <c r="A386">
        <f>IF(AND(LEN('Dealer pipeline'!A386)&gt;0,ISNUMBER('Dealer pipeline'!M386),'Dealer pipeline'!Q386&lt;&gt;"Taken",'Dealer pipeline'!Q386&lt;&gt;"Declined"),'Dealer pipeline'!M386+383/100000,"")</f>
        <v/>
      </c>
      <c r="B386">
        <f>IF(AND(LEN('Dealer pipeline'!A386)&gt;0,ISNUMBER('Dealer pipeline'!M386)),MAX($B$3:B385)+1,"")</f>
        <v/>
      </c>
      <c r="E386">
        <f>IFERROR(MATCH(383,$B$4:$B$1003,0),"")</f>
        <v/>
      </c>
    </row>
    <row r="387">
      <c r="A387">
        <f>IF(AND(LEN('Dealer pipeline'!A387)&gt;0,ISNUMBER('Dealer pipeline'!M387),'Dealer pipeline'!Q387&lt;&gt;"Taken",'Dealer pipeline'!Q387&lt;&gt;"Declined"),'Dealer pipeline'!M387+384/100000,"")</f>
        <v/>
      </c>
      <c r="B387">
        <f>IF(AND(LEN('Dealer pipeline'!A387)&gt;0,ISNUMBER('Dealer pipeline'!M387)),MAX($B$3:B386)+1,"")</f>
        <v/>
      </c>
      <c r="E387">
        <f>IFERROR(MATCH(384,$B$4:$B$1003,0),"")</f>
        <v/>
      </c>
    </row>
    <row r="388">
      <c r="A388">
        <f>IF(AND(LEN('Dealer pipeline'!A388)&gt;0,ISNUMBER('Dealer pipeline'!M388),'Dealer pipeline'!Q388&lt;&gt;"Taken",'Dealer pipeline'!Q388&lt;&gt;"Declined"),'Dealer pipeline'!M388+385/100000,"")</f>
        <v/>
      </c>
      <c r="B388">
        <f>IF(AND(LEN('Dealer pipeline'!A388)&gt;0,ISNUMBER('Dealer pipeline'!M388)),MAX($B$3:B387)+1,"")</f>
        <v/>
      </c>
      <c r="E388">
        <f>IFERROR(MATCH(385,$B$4:$B$1003,0),"")</f>
        <v/>
      </c>
    </row>
    <row r="389">
      <c r="A389">
        <f>IF(AND(LEN('Dealer pipeline'!A389)&gt;0,ISNUMBER('Dealer pipeline'!M389),'Dealer pipeline'!Q389&lt;&gt;"Taken",'Dealer pipeline'!Q389&lt;&gt;"Declined"),'Dealer pipeline'!M389+386/100000,"")</f>
        <v/>
      </c>
      <c r="B389">
        <f>IF(AND(LEN('Dealer pipeline'!A389)&gt;0,ISNUMBER('Dealer pipeline'!M389)),MAX($B$3:B388)+1,"")</f>
        <v/>
      </c>
      <c r="E389">
        <f>IFERROR(MATCH(386,$B$4:$B$1003,0),"")</f>
        <v/>
      </c>
    </row>
    <row r="390">
      <c r="A390">
        <f>IF(AND(LEN('Dealer pipeline'!A390)&gt;0,ISNUMBER('Dealer pipeline'!M390),'Dealer pipeline'!Q390&lt;&gt;"Taken",'Dealer pipeline'!Q390&lt;&gt;"Declined"),'Dealer pipeline'!M390+387/100000,"")</f>
        <v/>
      </c>
      <c r="B390">
        <f>IF(AND(LEN('Dealer pipeline'!A390)&gt;0,ISNUMBER('Dealer pipeline'!M390)),MAX($B$3:B389)+1,"")</f>
        <v/>
      </c>
      <c r="E390">
        <f>IFERROR(MATCH(387,$B$4:$B$1003,0),"")</f>
        <v/>
      </c>
    </row>
    <row r="391">
      <c r="A391">
        <f>IF(AND(LEN('Dealer pipeline'!A391)&gt;0,ISNUMBER('Dealer pipeline'!M391),'Dealer pipeline'!Q391&lt;&gt;"Taken",'Dealer pipeline'!Q391&lt;&gt;"Declined"),'Dealer pipeline'!M391+388/100000,"")</f>
        <v/>
      </c>
      <c r="B391">
        <f>IF(AND(LEN('Dealer pipeline'!A391)&gt;0,ISNUMBER('Dealer pipeline'!M391)),MAX($B$3:B390)+1,"")</f>
        <v/>
      </c>
      <c r="E391">
        <f>IFERROR(MATCH(388,$B$4:$B$1003,0),"")</f>
        <v/>
      </c>
    </row>
    <row r="392">
      <c r="A392">
        <f>IF(AND(LEN('Dealer pipeline'!A392)&gt;0,ISNUMBER('Dealer pipeline'!M392),'Dealer pipeline'!Q392&lt;&gt;"Taken",'Dealer pipeline'!Q392&lt;&gt;"Declined"),'Dealer pipeline'!M392+389/100000,"")</f>
        <v/>
      </c>
      <c r="B392">
        <f>IF(AND(LEN('Dealer pipeline'!A392)&gt;0,ISNUMBER('Dealer pipeline'!M392)),MAX($B$3:B391)+1,"")</f>
        <v/>
      </c>
      <c r="E392">
        <f>IFERROR(MATCH(389,$B$4:$B$1003,0),"")</f>
        <v/>
      </c>
    </row>
    <row r="393">
      <c r="A393">
        <f>IF(AND(LEN('Dealer pipeline'!A393)&gt;0,ISNUMBER('Dealer pipeline'!M393),'Dealer pipeline'!Q393&lt;&gt;"Taken",'Dealer pipeline'!Q393&lt;&gt;"Declined"),'Dealer pipeline'!M393+390/100000,"")</f>
        <v/>
      </c>
      <c r="B393">
        <f>IF(AND(LEN('Dealer pipeline'!A393)&gt;0,ISNUMBER('Dealer pipeline'!M393)),MAX($B$3:B392)+1,"")</f>
        <v/>
      </c>
      <c r="E393">
        <f>IFERROR(MATCH(390,$B$4:$B$1003,0),"")</f>
        <v/>
      </c>
    </row>
    <row r="394">
      <c r="A394">
        <f>IF(AND(LEN('Dealer pipeline'!A394)&gt;0,ISNUMBER('Dealer pipeline'!M394),'Dealer pipeline'!Q394&lt;&gt;"Taken",'Dealer pipeline'!Q394&lt;&gt;"Declined"),'Dealer pipeline'!M394+391/100000,"")</f>
        <v/>
      </c>
      <c r="B394">
        <f>IF(AND(LEN('Dealer pipeline'!A394)&gt;0,ISNUMBER('Dealer pipeline'!M394)),MAX($B$3:B393)+1,"")</f>
        <v/>
      </c>
      <c r="E394">
        <f>IFERROR(MATCH(391,$B$4:$B$1003,0),"")</f>
        <v/>
      </c>
    </row>
    <row r="395">
      <c r="A395">
        <f>IF(AND(LEN('Dealer pipeline'!A395)&gt;0,ISNUMBER('Dealer pipeline'!M395),'Dealer pipeline'!Q395&lt;&gt;"Taken",'Dealer pipeline'!Q395&lt;&gt;"Declined"),'Dealer pipeline'!M395+392/100000,"")</f>
        <v/>
      </c>
      <c r="B395">
        <f>IF(AND(LEN('Dealer pipeline'!A395)&gt;0,ISNUMBER('Dealer pipeline'!M395)),MAX($B$3:B394)+1,"")</f>
        <v/>
      </c>
      <c r="E395">
        <f>IFERROR(MATCH(392,$B$4:$B$1003,0),"")</f>
        <v/>
      </c>
    </row>
    <row r="396">
      <c r="A396">
        <f>IF(AND(LEN('Dealer pipeline'!A396)&gt;0,ISNUMBER('Dealer pipeline'!M396),'Dealer pipeline'!Q396&lt;&gt;"Taken",'Dealer pipeline'!Q396&lt;&gt;"Declined"),'Dealer pipeline'!M396+393/100000,"")</f>
        <v/>
      </c>
      <c r="B396">
        <f>IF(AND(LEN('Dealer pipeline'!A396)&gt;0,ISNUMBER('Dealer pipeline'!M396)),MAX($B$3:B395)+1,"")</f>
        <v/>
      </c>
      <c r="E396">
        <f>IFERROR(MATCH(393,$B$4:$B$1003,0),"")</f>
        <v/>
      </c>
    </row>
    <row r="397">
      <c r="A397">
        <f>IF(AND(LEN('Dealer pipeline'!A397)&gt;0,ISNUMBER('Dealer pipeline'!M397),'Dealer pipeline'!Q397&lt;&gt;"Taken",'Dealer pipeline'!Q397&lt;&gt;"Declined"),'Dealer pipeline'!M397+394/100000,"")</f>
        <v/>
      </c>
      <c r="B397">
        <f>IF(AND(LEN('Dealer pipeline'!A397)&gt;0,ISNUMBER('Dealer pipeline'!M397)),MAX($B$3:B396)+1,"")</f>
        <v/>
      </c>
      <c r="E397">
        <f>IFERROR(MATCH(394,$B$4:$B$1003,0),"")</f>
        <v/>
      </c>
    </row>
    <row r="398">
      <c r="A398">
        <f>IF(AND(LEN('Dealer pipeline'!A398)&gt;0,ISNUMBER('Dealer pipeline'!M398),'Dealer pipeline'!Q398&lt;&gt;"Taken",'Dealer pipeline'!Q398&lt;&gt;"Declined"),'Dealer pipeline'!M398+395/100000,"")</f>
        <v/>
      </c>
      <c r="B398">
        <f>IF(AND(LEN('Dealer pipeline'!A398)&gt;0,ISNUMBER('Dealer pipeline'!M398)),MAX($B$3:B397)+1,"")</f>
        <v/>
      </c>
      <c r="E398">
        <f>IFERROR(MATCH(395,$B$4:$B$1003,0),"")</f>
        <v/>
      </c>
    </row>
    <row r="399">
      <c r="A399">
        <f>IF(AND(LEN('Dealer pipeline'!A399)&gt;0,ISNUMBER('Dealer pipeline'!M399),'Dealer pipeline'!Q399&lt;&gt;"Taken",'Dealer pipeline'!Q399&lt;&gt;"Declined"),'Dealer pipeline'!M399+396/100000,"")</f>
        <v/>
      </c>
      <c r="B399">
        <f>IF(AND(LEN('Dealer pipeline'!A399)&gt;0,ISNUMBER('Dealer pipeline'!M399)),MAX($B$3:B398)+1,"")</f>
        <v/>
      </c>
      <c r="E399">
        <f>IFERROR(MATCH(396,$B$4:$B$1003,0),"")</f>
        <v/>
      </c>
    </row>
    <row r="400">
      <c r="A400">
        <f>IF(AND(LEN('Dealer pipeline'!A400)&gt;0,ISNUMBER('Dealer pipeline'!M400),'Dealer pipeline'!Q400&lt;&gt;"Taken",'Dealer pipeline'!Q400&lt;&gt;"Declined"),'Dealer pipeline'!M400+397/100000,"")</f>
        <v/>
      </c>
      <c r="B400">
        <f>IF(AND(LEN('Dealer pipeline'!A400)&gt;0,ISNUMBER('Dealer pipeline'!M400)),MAX($B$3:B399)+1,"")</f>
        <v/>
      </c>
      <c r="E400">
        <f>IFERROR(MATCH(397,$B$4:$B$1003,0),"")</f>
        <v/>
      </c>
    </row>
    <row r="401">
      <c r="A401">
        <f>IF(AND(LEN('Dealer pipeline'!A401)&gt;0,ISNUMBER('Dealer pipeline'!M401),'Dealer pipeline'!Q401&lt;&gt;"Taken",'Dealer pipeline'!Q401&lt;&gt;"Declined"),'Dealer pipeline'!M401+398/100000,"")</f>
        <v/>
      </c>
      <c r="B401">
        <f>IF(AND(LEN('Dealer pipeline'!A401)&gt;0,ISNUMBER('Dealer pipeline'!M401)),MAX($B$3:B400)+1,"")</f>
        <v/>
      </c>
      <c r="E401">
        <f>IFERROR(MATCH(398,$B$4:$B$1003,0),"")</f>
        <v/>
      </c>
    </row>
    <row r="402">
      <c r="A402">
        <f>IF(AND(LEN('Dealer pipeline'!A402)&gt;0,ISNUMBER('Dealer pipeline'!M402),'Dealer pipeline'!Q402&lt;&gt;"Taken",'Dealer pipeline'!Q402&lt;&gt;"Declined"),'Dealer pipeline'!M402+399/100000,"")</f>
        <v/>
      </c>
      <c r="B402">
        <f>IF(AND(LEN('Dealer pipeline'!A402)&gt;0,ISNUMBER('Dealer pipeline'!M402)),MAX($B$3:B401)+1,"")</f>
        <v/>
      </c>
      <c r="E402">
        <f>IFERROR(MATCH(399,$B$4:$B$1003,0),"")</f>
        <v/>
      </c>
    </row>
    <row r="403">
      <c r="A403">
        <f>IF(AND(LEN('Dealer pipeline'!A403)&gt;0,ISNUMBER('Dealer pipeline'!M403),'Dealer pipeline'!Q403&lt;&gt;"Taken",'Dealer pipeline'!Q403&lt;&gt;"Declined"),'Dealer pipeline'!M403+400/100000,"")</f>
        <v/>
      </c>
      <c r="B403">
        <f>IF(AND(LEN('Dealer pipeline'!A403)&gt;0,ISNUMBER('Dealer pipeline'!M403)),MAX($B$3:B402)+1,"")</f>
        <v/>
      </c>
      <c r="E403">
        <f>IFERROR(MATCH(400,$B$4:$B$1003,0),"")</f>
        <v/>
      </c>
    </row>
    <row r="404">
      <c r="A404">
        <f>IF(AND(LEN('Dealer pipeline'!A404)&gt;0,ISNUMBER('Dealer pipeline'!M404),'Dealer pipeline'!Q404&lt;&gt;"Taken",'Dealer pipeline'!Q404&lt;&gt;"Declined"),'Dealer pipeline'!M404+401/100000,"")</f>
        <v/>
      </c>
      <c r="B404">
        <f>IF(AND(LEN('Dealer pipeline'!A404)&gt;0,ISNUMBER('Dealer pipeline'!M404)),MAX($B$3:B403)+1,"")</f>
        <v/>
      </c>
      <c r="E404">
        <f>IFERROR(MATCH(401,$B$4:$B$1003,0),"")</f>
        <v/>
      </c>
    </row>
    <row r="405">
      <c r="A405">
        <f>IF(AND(LEN('Dealer pipeline'!A405)&gt;0,ISNUMBER('Dealer pipeline'!M405),'Dealer pipeline'!Q405&lt;&gt;"Taken",'Dealer pipeline'!Q405&lt;&gt;"Declined"),'Dealer pipeline'!M405+402/100000,"")</f>
        <v/>
      </c>
      <c r="B405">
        <f>IF(AND(LEN('Dealer pipeline'!A405)&gt;0,ISNUMBER('Dealer pipeline'!M405)),MAX($B$3:B404)+1,"")</f>
        <v/>
      </c>
      <c r="E405">
        <f>IFERROR(MATCH(402,$B$4:$B$1003,0),"")</f>
        <v/>
      </c>
    </row>
    <row r="406">
      <c r="A406">
        <f>IF(AND(LEN('Dealer pipeline'!A406)&gt;0,ISNUMBER('Dealer pipeline'!M406),'Dealer pipeline'!Q406&lt;&gt;"Taken",'Dealer pipeline'!Q406&lt;&gt;"Declined"),'Dealer pipeline'!M406+403/100000,"")</f>
        <v/>
      </c>
      <c r="B406">
        <f>IF(AND(LEN('Dealer pipeline'!A406)&gt;0,ISNUMBER('Dealer pipeline'!M406)),MAX($B$3:B405)+1,"")</f>
        <v/>
      </c>
      <c r="E406">
        <f>IFERROR(MATCH(403,$B$4:$B$1003,0),"")</f>
        <v/>
      </c>
    </row>
    <row r="407">
      <c r="A407">
        <f>IF(AND(LEN('Dealer pipeline'!A407)&gt;0,ISNUMBER('Dealer pipeline'!M407),'Dealer pipeline'!Q407&lt;&gt;"Taken",'Dealer pipeline'!Q407&lt;&gt;"Declined"),'Dealer pipeline'!M407+404/100000,"")</f>
        <v/>
      </c>
      <c r="B407">
        <f>IF(AND(LEN('Dealer pipeline'!A407)&gt;0,ISNUMBER('Dealer pipeline'!M407)),MAX($B$3:B406)+1,"")</f>
        <v/>
      </c>
      <c r="E407">
        <f>IFERROR(MATCH(404,$B$4:$B$1003,0),"")</f>
        <v/>
      </c>
    </row>
    <row r="408">
      <c r="A408">
        <f>IF(AND(LEN('Dealer pipeline'!A408)&gt;0,ISNUMBER('Dealer pipeline'!M408),'Dealer pipeline'!Q408&lt;&gt;"Taken",'Dealer pipeline'!Q408&lt;&gt;"Declined"),'Dealer pipeline'!M408+405/100000,"")</f>
        <v/>
      </c>
      <c r="B408">
        <f>IF(AND(LEN('Dealer pipeline'!A408)&gt;0,ISNUMBER('Dealer pipeline'!M408)),MAX($B$3:B407)+1,"")</f>
        <v/>
      </c>
      <c r="E408">
        <f>IFERROR(MATCH(405,$B$4:$B$1003,0),"")</f>
        <v/>
      </c>
    </row>
    <row r="409">
      <c r="A409">
        <f>IF(AND(LEN('Dealer pipeline'!A409)&gt;0,ISNUMBER('Dealer pipeline'!M409),'Dealer pipeline'!Q409&lt;&gt;"Taken",'Dealer pipeline'!Q409&lt;&gt;"Declined"),'Dealer pipeline'!M409+406/100000,"")</f>
        <v/>
      </c>
      <c r="B409">
        <f>IF(AND(LEN('Dealer pipeline'!A409)&gt;0,ISNUMBER('Dealer pipeline'!M409)),MAX($B$3:B408)+1,"")</f>
        <v/>
      </c>
      <c r="E409">
        <f>IFERROR(MATCH(406,$B$4:$B$1003,0),"")</f>
        <v/>
      </c>
    </row>
    <row r="410">
      <c r="A410">
        <f>IF(AND(LEN('Dealer pipeline'!A410)&gt;0,ISNUMBER('Dealer pipeline'!M410),'Dealer pipeline'!Q410&lt;&gt;"Taken",'Dealer pipeline'!Q410&lt;&gt;"Declined"),'Dealer pipeline'!M410+407/100000,"")</f>
        <v/>
      </c>
      <c r="B410">
        <f>IF(AND(LEN('Dealer pipeline'!A410)&gt;0,ISNUMBER('Dealer pipeline'!M410)),MAX($B$3:B409)+1,"")</f>
        <v/>
      </c>
      <c r="E410">
        <f>IFERROR(MATCH(407,$B$4:$B$1003,0),"")</f>
        <v/>
      </c>
    </row>
    <row r="411">
      <c r="A411">
        <f>IF(AND(LEN('Dealer pipeline'!A411)&gt;0,ISNUMBER('Dealer pipeline'!M411),'Dealer pipeline'!Q411&lt;&gt;"Taken",'Dealer pipeline'!Q411&lt;&gt;"Declined"),'Dealer pipeline'!M411+408/100000,"")</f>
        <v/>
      </c>
      <c r="B411">
        <f>IF(AND(LEN('Dealer pipeline'!A411)&gt;0,ISNUMBER('Dealer pipeline'!M411)),MAX($B$3:B410)+1,"")</f>
        <v/>
      </c>
      <c r="E411">
        <f>IFERROR(MATCH(408,$B$4:$B$1003,0),"")</f>
        <v/>
      </c>
    </row>
    <row r="412">
      <c r="A412">
        <f>IF(AND(LEN('Dealer pipeline'!A412)&gt;0,ISNUMBER('Dealer pipeline'!M412),'Dealer pipeline'!Q412&lt;&gt;"Taken",'Dealer pipeline'!Q412&lt;&gt;"Declined"),'Dealer pipeline'!M412+409/100000,"")</f>
        <v/>
      </c>
      <c r="B412">
        <f>IF(AND(LEN('Dealer pipeline'!A412)&gt;0,ISNUMBER('Dealer pipeline'!M412)),MAX($B$3:B411)+1,"")</f>
        <v/>
      </c>
      <c r="E412">
        <f>IFERROR(MATCH(409,$B$4:$B$1003,0),"")</f>
        <v/>
      </c>
    </row>
    <row r="413">
      <c r="A413">
        <f>IF(AND(LEN('Dealer pipeline'!A413)&gt;0,ISNUMBER('Dealer pipeline'!M413),'Dealer pipeline'!Q413&lt;&gt;"Taken",'Dealer pipeline'!Q413&lt;&gt;"Declined"),'Dealer pipeline'!M413+410/100000,"")</f>
        <v/>
      </c>
      <c r="B413">
        <f>IF(AND(LEN('Dealer pipeline'!A413)&gt;0,ISNUMBER('Dealer pipeline'!M413)),MAX($B$3:B412)+1,"")</f>
        <v/>
      </c>
      <c r="E413">
        <f>IFERROR(MATCH(410,$B$4:$B$1003,0),"")</f>
        <v/>
      </c>
    </row>
    <row r="414">
      <c r="A414">
        <f>IF(AND(LEN('Dealer pipeline'!A414)&gt;0,ISNUMBER('Dealer pipeline'!M414),'Dealer pipeline'!Q414&lt;&gt;"Taken",'Dealer pipeline'!Q414&lt;&gt;"Declined"),'Dealer pipeline'!M414+411/100000,"")</f>
        <v/>
      </c>
      <c r="B414">
        <f>IF(AND(LEN('Dealer pipeline'!A414)&gt;0,ISNUMBER('Dealer pipeline'!M414)),MAX($B$3:B413)+1,"")</f>
        <v/>
      </c>
      <c r="E414">
        <f>IFERROR(MATCH(411,$B$4:$B$1003,0),"")</f>
        <v/>
      </c>
    </row>
    <row r="415">
      <c r="A415">
        <f>IF(AND(LEN('Dealer pipeline'!A415)&gt;0,ISNUMBER('Dealer pipeline'!M415),'Dealer pipeline'!Q415&lt;&gt;"Taken",'Dealer pipeline'!Q415&lt;&gt;"Declined"),'Dealer pipeline'!M415+412/100000,"")</f>
        <v/>
      </c>
      <c r="B415">
        <f>IF(AND(LEN('Dealer pipeline'!A415)&gt;0,ISNUMBER('Dealer pipeline'!M415)),MAX($B$3:B414)+1,"")</f>
        <v/>
      </c>
      <c r="E415">
        <f>IFERROR(MATCH(412,$B$4:$B$1003,0),"")</f>
        <v/>
      </c>
    </row>
    <row r="416">
      <c r="A416">
        <f>IF(AND(LEN('Dealer pipeline'!A416)&gt;0,ISNUMBER('Dealer pipeline'!M416),'Dealer pipeline'!Q416&lt;&gt;"Taken",'Dealer pipeline'!Q416&lt;&gt;"Declined"),'Dealer pipeline'!M416+413/100000,"")</f>
        <v/>
      </c>
      <c r="B416">
        <f>IF(AND(LEN('Dealer pipeline'!A416)&gt;0,ISNUMBER('Dealer pipeline'!M416)),MAX($B$3:B415)+1,"")</f>
        <v/>
      </c>
      <c r="E416">
        <f>IFERROR(MATCH(413,$B$4:$B$1003,0),"")</f>
        <v/>
      </c>
    </row>
    <row r="417">
      <c r="A417">
        <f>IF(AND(LEN('Dealer pipeline'!A417)&gt;0,ISNUMBER('Dealer pipeline'!M417),'Dealer pipeline'!Q417&lt;&gt;"Taken",'Dealer pipeline'!Q417&lt;&gt;"Declined"),'Dealer pipeline'!M417+414/100000,"")</f>
        <v/>
      </c>
      <c r="B417">
        <f>IF(AND(LEN('Dealer pipeline'!A417)&gt;0,ISNUMBER('Dealer pipeline'!M417)),MAX($B$3:B416)+1,"")</f>
        <v/>
      </c>
      <c r="E417">
        <f>IFERROR(MATCH(414,$B$4:$B$1003,0),"")</f>
        <v/>
      </c>
    </row>
    <row r="418">
      <c r="A418">
        <f>IF(AND(LEN('Dealer pipeline'!A418)&gt;0,ISNUMBER('Dealer pipeline'!M418),'Dealer pipeline'!Q418&lt;&gt;"Taken",'Dealer pipeline'!Q418&lt;&gt;"Declined"),'Dealer pipeline'!M418+415/100000,"")</f>
        <v/>
      </c>
      <c r="B418">
        <f>IF(AND(LEN('Dealer pipeline'!A418)&gt;0,ISNUMBER('Dealer pipeline'!M418)),MAX($B$3:B417)+1,"")</f>
        <v/>
      </c>
      <c r="E418">
        <f>IFERROR(MATCH(415,$B$4:$B$1003,0),"")</f>
        <v/>
      </c>
    </row>
    <row r="419">
      <c r="A419">
        <f>IF(AND(LEN('Dealer pipeline'!A419)&gt;0,ISNUMBER('Dealer pipeline'!M419),'Dealer pipeline'!Q419&lt;&gt;"Taken",'Dealer pipeline'!Q419&lt;&gt;"Declined"),'Dealer pipeline'!M419+416/100000,"")</f>
        <v/>
      </c>
      <c r="B419">
        <f>IF(AND(LEN('Dealer pipeline'!A419)&gt;0,ISNUMBER('Dealer pipeline'!M419)),MAX($B$3:B418)+1,"")</f>
        <v/>
      </c>
      <c r="E419">
        <f>IFERROR(MATCH(416,$B$4:$B$1003,0),"")</f>
        <v/>
      </c>
    </row>
    <row r="420">
      <c r="A420">
        <f>IF(AND(LEN('Dealer pipeline'!A420)&gt;0,ISNUMBER('Dealer pipeline'!M420),'Dealer pipeline'!Q420&lt;&gt;"Taken",'Dealer pipeline'!Q420&lt;&gt;"Declined"),'Dealer pipeline'!M420+417/100000,"")</f>
        <v/>
      </c>
      <c r="B420">
        <f>IF(AND(LEN('Dealer pipeline'!A420)&gt;0,ISNUMBER('Dealer pipeline'!M420)),MAX($B$3:B419)+1,"")</f>
        <v/>
      </c>
      <c r="E420">
        <f>IFERROR(MATCH(417,$B$4:$B$1003,0),"")</f>
        <v/>
      </c>
    </row>
    <row r="421">
      <c r="A421">
        <f>IF(AND(LEN('Dealer pipeline'!A421)&gt;0,ISNUMBER('Dealer pipeline'!M421),'Dealer pipeline'!Q421&lt;&gt;"Taken",'Dealer pipeline'!Q421&lt;&gt;"Declined"),'Dealer pipeline'!M421+418/100000,"")</f>
        <v/>
      </c>
      <c r="B421">
        <f>IF(AND(LEN('Dealer pipeline'!A421)&gt;0,ISNUMBER('Dealer pipeline'!M421)),MAX($B$3:B420)+1,"")</f>
        <v/>
      </c>
      <c r="E421">
        <f>IFERROR(MATCH(418,$B$4:$B$1003,0),"")</f>
        <v/>
      </c>
    </row>
    <row r="422">
      <c r="A422">
        <f>IF(AND(LEN('Dealer pipeline'!A422)&gt;0,ISNUMBER('Dealer pipeline'!M422),'Dealer pipeline'!Q422&lt;&gt;"Taken",'Dealer pipeline'!Q422&lt;&gt;"Declined"),'Dealer pipeline'!M422+419/100000,"")</f>
        <v/>
      </c>
      <c r="B422">
        <f>IF(AND(LEN('Dealer pipeline'!A422)&gt;0,ISNUMBER('Dealer pipeline'!M422)),MAX($B$3:B421)+1,"")</f>
        <v/>
      </c>
      <c r="E422">
        <f>IFERROR(MATCH(419,$B$4:$B$1003,0),"")</f>
        <v/>
      </c>
    </row>
    <row r="423">
      <c r="A423">
        <f>IF(AND(LEN('Dealer pipeline'!A423)&gt;0,ISNUMBER('Dealer pipeline'!M423),'Dealer pipeline'!Q423&lt;&gt;"Taken",'Dealer pipeline'!Q423&lt;&gt;"Declined"),'Dealer pipeline'!M423+420/100000,"")</f>
        <v/>
      </c>
      <c r="B423">
        <f>IF(AND(LEN('Dealer pipeline'!A423)&gt;0,ISNUMBER('Dealer pipeline'!M423)),MAX($B$3:B422)+1,"")</f>
        <v/>
      </c>
      <c r="E423">
        <f>IFERROR(MATCH(420,$B$4:$B$1003,0),"")</f>
        <v/>
      </c>
    </row>
    <row r="424">
      <c r="A424">
        <f>IF(AND(LEN('Dealer pipeline'!A424)&gt;0,ISNUMBER('Dealer pipeline'!M424),'Dealer pipeline'!Q424&lt;&gt;"Taken",'Dealer pipeline'!Q424&lt;&gt;"Declined"),'Dealer pipeline'!M424+421/100000,"")</f>
        <v/>
      </c>
      <c r="B424">
        <f>IF(AND(LEN('Dealer pipeline'!A424)&gt;0,ISNUMBER('Dealer pipeline'!M424)),MAX($B$3:B423)+1,"")</f>
        <v/>
      </c>
      <c r="E424">
        <f>IFERROR(MATCH(421,$B$4:$B$1003,0),"")</f>
        <v/>
      </c>
    </row>
    <row r="425">
      <c r="A425">
        <f>IF(AND(LEN('Dealer pipeline'!A425)&gt;0,ISNUMBER('Dealer pipeline'!M425),'Dealer pipeline'!Q425&lt;&gt;"Taken",'Dealer pipeline'!Q425&lt;&gt;"Declined"),'Dealer pipeline'!M425+422/100000,"")</f>
        <v/>
      </c>
      <c r="B425">
        <f>IF(AND(LEN('Dealer pipeline'!A425)&gt;0,ISNUMBER('Dealer pipeline'!M425)),MAX($B$3:B424)+1,"")</f>
        <v/>
      </c>
      <c r="E425">
        <f>IFERROR(MATCH(422,$B$4:$B$1003,0),"")</f>
        <v/>
      </c>
    </row>
    <row r="426">
      <c r="A426">
        <f>IF(AND(LEN('Dealer pipeline'!A426)&gt;0,ISNUMBER('Dealer pipeline'!M426),'Dealer pipeline'!Q426&lt;&gt;"Taken",'Dealer pipeline'!Q426&lt;&gt;"Declined"),'Dealer pipeline'!M426+423/100000,"")</f>
        <v/>
      </c>
      <c r="B426">
        <f>IF(AND(LEN('Dealer pipeline'!A426)&gt;0,ISNUMBER('Dealer pipeline'!M426)),MAX($B$3:B425)+1,"")</f>
        <v/>
      </c>
      <c r="E426">
        <f>IFERROR(MATCH(423,$B$4:$B$1003,0),"")</f>
        <v/>
      </c>
    </row>
    <row r="427">
      <c r="A427">
        <f>IF(AND(LEN('Dealer pipeline'!A427)&gt;0,ISNUMBER('Dealer pipeline'!M427),'Dealer pipeline'!Q427&lt;&gt;"Taken",'Dealer pipeline'!Q427&lt;&gt;"Declined"),'Dealer pipeline'!M427+424/100000,"")</f>
        <v/>
      </c>
      <c r="B427">
        <f>IF(AND(LEN('Dealer pipeline'!A427)&gt;0,ISNUMBER('Dealer pipeline'!M427)),MAX($B$3:B426)+1,"")</f>
        <v/>
      </c>
      <c r="E427">
        <f>IFERROR(MATCH(424,$B$4:$B$1003,0),"")</f>
        <v/>
      </c>
    </row>
    <row r="428">
      <c r="A428">
        <f>IF(AND(LEN('Dealer pipeline'!A428)&gt;0,ISNUMBER('Dealer pipeline'!M428),'Dealer pipeline'!Q428&lt;&gt;"Taken",'Dealer pipeline'!Q428&lt;&gt;"Declined"),'Dealer pipeline'!M428+425/100000,"")</f>
        <v/>
      </c>
      <c r="B428">
        <f>IF(AND(LEN('Dealer pipeline'!A428)&gt;0,ISNUMBER('Dealer pipeline'!M428)),MAX($B$3:B427)+1,"")</f>
        <v/>
      </c>
      <c r="E428">
        <f>IFERROR(MATCH(425,$B$4:$B$1003,0),"")</f>
        <v/>
      </c>
    </row>
    <row r="429">
      <c r="A429">
        <f>IF(AND(LEN('Dealer pipeline'!A429)&gt;0,ISNUMBER('Dealer pipeline'!M429),'Dealer pipeline'!Q429&lt;&gt;"Taken",'Dealer pipeline'!Q429&lt;&gt;"Declined"),'Dealer pipeline'!M429+426/100000,"")</f>
        <v/>
      </c>
      <c r="B429">
        <f>IF(AND(LEN('Dealer pipeline'!A429)&gt;0,ISNUMBER('Dealer pipeline'!M429)),MAX($B$3:B428)+1,"")</f>
        <v/>
      </c>
      <c r="E429">
        <f>IFERROR(MATCH(426,$B$4:$B$1003,0),"")</f>
        <v/>
      </c>
    </row>
    <row r="430">
      <c r="A430">
        <f>IF(AND(LEN('Dealer pipeline'!A430)&gt;0,ISNUMBER('Dealer pipeline'!M430),'Dealer pipeline'!Q430&lt;&gt;"Taken",'Dealer pipeline'!Q430&lt;&gt;"Declined"),'Dealer pipeline'!M430+427/100000,"")</f>
        <v/>
      </c>
      <c r="B430">
        <f>IF(AND(LEN('Dealer pipeline'!A430)&gt;0,ISNUMBER('Dealer pipeline'!M430)),MAX($B$3:B429)+1,"")</f>
        <v/>
      </c>
      <c r="E430">
        <f>IFERROR(MATCH(427,$B$4:$B$1003,0),"")</f>
        <v/>
      </c>
    </row>
    <row r="431">
      <c r="A431">
        <f>IF(AND(LEN('Dealer pipeline'!A431)&gt;0,ISNUMBER('Dealer pipeline'!M431),'Dealer pipeline'!Q431&lt;&gt;"Taken",'Dealer pipeline'!Q431&lt;&gt;"Declined"),'Dealer pipeline'!M431+428/100000,"")</f>
        <v/>
      </c>
      <c r="B431">
        <f>IF(AND(LEN('Dealer pipeline'!A431)&gt;0,ISNUMBER('Dealer pipeline'!M431)),MAX($B$3:B430)+1,"")</f>
        <v/>
      </c>
      <c r="E431">
        <f>IFERROR(MATCH(428,$B$4:$B$1003,0),"")</f>
        <v/>
      </c>
    </row>
    <row r="432">
      <c r="A432">
        <f>IF(AND(LEN('Dealer pipeline'!A432)&gt;0,ISNUMBER('Dealer pipeline'!M432),'Dealer pipeline'!Q432&lt;&gt;"Taken",'Dealer pipeline'!Q432&lt;&gt;"Declined"),'Dealer pipeline'!M432+429/100000,"")</f>
        <v/>
      </c>
      <c r="B432">
        <f>IF(AND(LEN('Dealer pipeline'!A432)&gt;0,ISNUMBER('Dealer pipeline'!M432)),MAX($B$3:B431)+1,"")</f>
        <v/>
      </c>
      <c r="E432">
        <f>IFERROR(MATCH(429,$B$4:$B$1003,0),"")</f>
        <v/>
      </c>
    </row>
    <row r="433">
      <c r="A433">
        <f>IF(AND(LEN('Dealer pipeline'!A433)&gt;0,ISNUMBER('Dealer pipeline'!M433),'Dealer pipeline'!Q433&lt;&gt;"Taken",'Dealer pipeline'!Q433&lt;&gt;"Declined"),'Dealer pipeline'!M433+430/100000,"")</f>
        <v/>
      </c>
      <c r="B433">
        <f>IF(AND(LEN('Dealer pipeline'!A433)&gt;0,ISNUMBER('Dealer pipeline'!M433)),MAX($B$3:B432)+1,"")</f>
        <v/>
      </c>
      <c r="E433">
        <f>IFERROR(MATCH(430,$B$4:$B$1003,0),"")</f>
        <v/>
      </c>
    </row>
    <row r="434">
      <c r="A434">
        <f>IF(AND(LEN('Dealer pipeline'!A434)&gt;0,ISNUMBER('Dealer pipeline'!M434),'Dealer pipeline'!Q434&lt;&gt;"Taken",'Dealer pipeline'!Q434&lt;&gt;"Declined"),'Dealer pipeline'!M434+431/100000,"")</f>
        <v/>
      </c>
      <c r="B434">
        <f>IF(AND(LEN('Dealer pipeline'!A434)&gt;0,ISNUMBER('Dealer pipeline'!M434)),MAX($B$3:B433)+1,"")</f>
        <v/>
      </c>
      <c r="E434">
        <f>IFERROR(MATCH(431,$B$4:$B$1003,0),"")</f>
        <v/>
      </c>
    </row>
    <row r="435">
      <c r="A435">
        <f>IF(AND(LEN('Dealer pipeline'!A435)&gt;0,ISNUMBER('Dealer pipeline'!M435),'Dealer pipeline'!Q435&lt;&gt;"Taken",'Dealer pipeline'!Q435&lt;&gt;"Declined"),'Dealer pipeline'!M435+432/100000,"")</f>
        <v/>
      </c>
      <c r="B435">
        <f>IF(AND(LEN('Dealer pipeline'!A435)&gt;0,ISNUMBER('Dealer pipeline'!M435)),MAX($B$3:B434)+1,"")</f>
        <v/>
      </c>
      <c r="E435">
        <f>IFERROR(MATCH(432,$B$4:$B$1003,0),"")</f>
        <v/>
      </c>
    </row>
    <row r="436">
      <c r="A436">
        <f>IF(AND(LEN('Dealer pipeline'!A436)&gt;0,ISNUMBER('Dealer pipeline'!M436),'Dealer pipeline'!Q436&lt;&gt;"Taken",'Dealer pipeline'!Q436&lt;&gt;"Declined"),'Dealer pipeline'!M436+433/100000,"")</f>
        <v/>
      </c>
      <c r="B436">
        <f>IF(AND(LEN('Dealer pipeline'!A436)&gt;0,ISNUMBER('Dealer pipeline'!M436)),MAX($B$3:B435)+1,"")</f>
        <v/>
      </c>
      <c r="E436">
        <f>IFERROR(MATCH(433,$B$4:$B$1003,0),"")</f>
        <v/>
      </c>
    </row>
    <row r="437">
      <c r="A437">
        <f>IF(AND(LEN('Dealer pipeline'!A437)&gt;0,ISNUMBER('Dealer pipeline'!M437),'Dealer pipeline'!Q437&lt;&gt;"Taken",'Dealer pipeline'!Q437&lt;&gt;"Declined"),'Dealer pipeline'!M437+434/100000,"")</f>
        <v/>
      </c>
      <c r="B437">
        <f>IF(AND(LEN('Dealer pipeline'!A437)&gt;0,ISNUMBER('Dealer pipeline'!M437)),MAX($B$3:B436)+1,"")</f>
        <v/>
      </c>
      <c r="E437">
        <f>IFERROR(MATCH(434,$B$4:$B$1003,0),"")</f>
        <v/>
      </c>
    </row>
    <row r="438">
      <c r="A438">
        <f>IF(AND(LEN('Dealer pipeline'!A438)&gt;0,ISNUMBER('Dealer pipeline'!M438),'Dealer pipeline'!Q438&lt;&gt;"Taken",'Dealer pipeline'!Q438&lt;&gt;"Declined"),'Dealer pipeline'!M438+435/100000,"")</f>
        <v/>
      </c>
      <c r="B438">
        <f>IF(AND(LEN('Dealer pipeline'!A438)&gt;0,ISNUMBER('Dealer pipeline'!M438)),MAX($B$3:B437)+1,"")</f>
        <v/>
      </c>
      <c r="E438">
        <f>IFERROR(MATCH(435,$B$4:$B$1003,0),"")</f>
        <v/>
      </c>
    </row>
    <row r="439">
      <c r="A439">
        <f>IF(AND(LEN('Dealer pipeline'!A439)&gt;0,ISNUMBER('Dealer pipeline'!M439),'Dealer pipeline'!Q439&lt;&gt;"Taken",'Dealer pipeline'!Q439&lt;&gt;"Declined"),'Dealer pipeline'!M439+436/100000,"")</f>
        <v/>
      </c>
      <c r="B439">
        <f>IF(AND(LEN('Dealer pipeline'!A439)&gt;0,ISNUMBER('Dealer pipeline'!M439)),MAX($B$3:B438)+1,"")</f>
        <v/>
      </c>
      <c r="E439">
        <f>IFERROR(MATCH(436,$B$4:$B$1003,0),"")</f>
        <v/>
      </c>
    </row>
    <row r="440">
      <c r="A440">
        <f>IF(AND(LEN('Dealer pipeline'!A440)&gt;0,ISNUMBER('Dealer pipeline'!M440),'Dealer pipeline'!Q440&lt;&gt;"Taken",'Dealer pipeline'!Q440&lt;&gt;"Declined"),'Dealer pipeline'!M440+437/100000,"")</f>
        <v/>
      </c>
      <c r="B440">
        <f>IF(AND(LEN('Dealer pipeline'!A440)&gt;0,ISNUMBER('Dealer pipeline'!M440)),MAX($B$3:B439)+1,"")</f>
        <v/>
      </c>
      <c r="E440">
        <f>IFERROR(MATCH(437,$B$4:$B$1003,0),"")</f>
        <v/>
      </c>
    </row>
    <row r="441">
      <c r="A441">
        <f>IF(AND(LEN('Dealer pipeline'!A441)&gt;0,ISNUMBER('Dealer pipeline'!M441),'Dealer pipeline'!Q441&lt;&gt;"Taken",'Dealer pipeline'!Q441&lt;&gt;"Declined"),'Dealer pipeline'!M441+438/100000,"")</f>
        <v/>
      </c>
      <c r="B441">
        <f>IF(AND(LEN('Dealer pipeline'!A441)&gt;0,ISNUMBER('Dealer pipeline'!M441)),MAX($B$3:B440)+1,"")</f>
        <v/>
      </c>
      <c r="E441">
        <f>IFERROR(MATCH(438,$B$4:$B$1003,0),"")</f>
        <v/>
      </c>
    </row>
    <row r="442">
      <c r="A442">
        <f>IF(AND(LEN('Dealer pipeline'!A442)&gt;0,ISNUMBER('Dealer pipeline'!M442),'Dealer pipeline'!Q442&lt;&gt;"Taken",'Dealer pipeline'!Q442&lt;&gt;"Declined"),'Dealer pipeline'!M442+439/100000,"")</f>
        <v/>
      </c>
      <c r="B442">
        <f>IF(AND(LEN('Dealer pipeline'!A442)&gt;0,ISNUMBER('Dealer pipeline'!M442)),MAX($B$3:B441)+1,"")</f>
        <v/>
      </c>
      <c r="E442">
        <f>IFERROR(MATCH(439,$B$4:$B$1003,0),"")</f>
        <v/>
      </c>
    </row>
    <row r="443">
      <c r="A443">
        <f>IF(AND(LEN('Dealer pipeline'!A443)&gt;0,ISNUMBER('Dealer pipeline'!M443),'Dealer pipeline'!Q443&lt;&gt;"Taken",'Dealer pipeline'!Q443&lt;&gt;"Declined"),'Dealer pipeline'!M443+440/100000,"")</f>
        <v/>
      </c>
      <c r="B443">
        <f>IF(AND(LEN('Dealer pipeline'!A443)&gt;0,ISNUMBER('Dealer pipeline'!M443)),MAX($B$3:B442)+1,"")</f>
        <v/>
      </c>
      <c r="E443">
        <f>IFERROR(MATCH(440,$B$4:$B$1003,0),"")</f>
        <v/>
      </c>
    </row>
    <row r="444">
      <c r="A444">
        <f>IF(AND(LEN('Dealer pipeline'!A444)&gt;0,ISNUMBER('Dealer pipeline'!M444),'Dealer pipeline'!Q444&lt;&gt;"Taken",'Dealer pipeline'!Q444&lt;&gt;"Declined"),'Dealer pipeline'!M444+441/100000,"")</f>
        <v/>
      </c>
      <c r="B444">
        <f>IF(AND(LEN('Dealer pipeline'!A444)&gt;0,ISNUMBER('Dealer pipeline'!M444)),MAX($B$3:B443)+1,"")</f>
        <v/>
      </c>
      <c r="E444">
        <f>IFERROR(MATCH(441,$B$4:$B$1003,0),"")</f>
        <v/>
      </c>
    </row>
    <row r="445">
      <c r="A445">
        <f>IF(AND(LEN('Dealer pipeline'!A445)&gt;0,ISNUMBER('Dealer pipeline'!M445),'Dealer pipeline'!Q445&lt;&gt;"Taken",'Dealer pipeline'!Q445&lt;&gt;"Declined"),'Dealer pipeline'!M445+442/100000,"")</f>
        <v/>
      </c>
      <c r="B445">
        <f>IF(AND(LEN('Dealer pipeline'!A445)&gt;0,ISNUMBER('Dealer pipeline'!M445)),MAX($B$3:B444)+1,"")</f>
        <v/>
      </c>
      <c r="E445">
        <f>IFERROR(MATCH(442,$B$4:$B$1003,0),"")</f>
        <v/>
      </c>
    </row>
    <row r="446">
      <c r="A446">
        <f>IF(AND(LEN('Dealer pipeline'!A446)&gt;0,ISNUMBER('Dealer pipeline'!M446),'Dealer pipeline'!Q446&lt;&gt;"Taken",'Dealer pipeline'!Q446&lt;&gt;"Declined"),'Dealer pipeline'!M446+443/100000,"")</f>
        <v/>
      </c>
      <c r="B446">
        <f>IF(AND(LEN('Dealer pipeline'!A446)&gt;0,ISNUMBER('Dealer pipeline'!M446)),MAX($B$3:B445)+1,"")</f>
        <v/>
      </c>
      <c r="E446">
        <f>IFERROR(MATCH(443,$B$4:$B$1003,0),"")</f>
        <v/>
      </c>
    </row>
    <row r="447">
      <c r="A447">
        <f>IF(AND(LEN('Dealer pipeline'!A447)&gt;0,ISNUMBER('Dealer pipeline'!M447),'Dealer pipeline'!Q447&lt;&gt;"Taken",'Dealer pipeline'!Q447&lt;&gt;"Declined"),'Dealer pipeline'!M447+444/100000,"")</f>
        <v/>
      </c>
      <c r="B447">
        <f>IF(AND(LEN('Dealer pipeline'!A447)&gt;0,ISNUMBER('Dealer pipeline'!M447)),MAX($B$3:B446)+1,"")</f>
        <v/>
      </c>
      <c r="E447">
        <f>IFERROR(MATCH(444,$B$4:$B$1003,0),"")</f>
        <v/>
      </c>
    </row>
    <row r="448">
      <c r="A448">
        <f>IF(AND(LEN('Dealer pipeline'!A448)&gt;0,ISNUMBER('Dealer pipeline'!M448),'Dealer pipeline'!Q448&lt;&gt;"Taken",'Dealer pipeline'!Q448&lt;&gt;"Declined"),'Dealer pipeline'!M448+445/100000,"")</f>
        <v/>
      </c>
      <c r="B448">
        <f>IF(AND(LEN('Dealer pipeline'!A448)&gt;0,ISNUMBER('Dealer pipeline'!M448)),MAX($B$3:B447)+1,"")</f>
        <v/>
      </c>
      <c r="E448">
        <f>IFERROR(MATCH(445,$B$4:$B$1003,0),"")</f>
        <v/>
      </c>
    </row>
    <row r="449">
      <c r="A449">
        <f>IF(AND(LEN('Dealer pipeline'!A449)&gt;0,ISNUMBER('Dealer pipeline'!M449),'Dealer pipeline'!Q449&lt;&gt;"Taken",'Dealer pipeline'!Q449&lt;&gt;"Declined"),'Dealer pipeline'!M449+446/100000,"")</f>
        <v/>
      </c>
      <c r="B449">
        <f>IF(AND(LEN('Dealer pipeline'!A449)&gt;0,ISNUMBER('Dealer pipeline'!M449)),MAX($B$3:B448)+1,"")</f>
        <v/>
      </c>
      <c r="E449">
        <f>IFERROR(MATCH(446,$B$4:$B$1003,0),"")</f>
        <v/>
      </c>
    </row>
    <row r="450">
      <c r="A450">
        <f>IF(AND(LEN('Dealer pipeline'!A450)&gt;0,ISNUMBER('Dealer pipeline'!M450),'Dealer pipeline'!Q450&lt;&gt;"Taken",'Dealer pipeline'!Q450&lt;&gt;"Declined"),'Dealer pipeline'!M450+447/100000,"")</f>
        <v/>
      </c>
      <c r="B450">
        <f>IF(AND(LEN('Dealer pipeline'!A450)&gt;0,ISNUMBER('Dealer pipeline'!M450)),MAX($B$3:B449)+1,"")</f>
        <v/>
      </c>
      <c r="E450">
        <f>IFERROR(MATCH(447,$B$4:$B$1003,0),"")</f>
        <v/>
      </c>
    </row>
    <row r="451">
      <c r="A451">
        <f>IF(AND(LEN('Dealer pipeline'!A451)&gt;0,ISNUMBER('Dealer pipeline'!M451),'Dealer pipeline'!Q451&lt;&gt;"Taken",'Dealer pipeline'!Q451&lt;&gt;"Declined"),'Dealer pipeline'!M451+448/100000,"")</f>
        <v/>
      </c>
      <c r="B451">
        <f>IF(AND(LEN('Dealer pipeline'!A451)&gt;0,ISNUMBER('Dealer pipeline'!M451)),MAX($B$3:B450)+1,"")</f>
        <v/>
      </c>
      <c r="E451">
        <f>IFERROR(MATCH(448,$B$4:$B$1003,0),"")</f>
        <v/>
      </c>
    </row>
    <row r="452">
      <c r="A452">
        <f>IF(AND(LEN('Dealer pipeline'!A452)&gt;0,ISNUMBER('Dealer pipeline'!M452),'Dealer pipeline'!Q452&lt;&gt;"Taken",'Dealer pipeline'!Q452&lt;&gt;"Declined"),'Dealer pipeline'!M452+449/100000,"")</f>
        <v/>
      </c>
      <c r="B452">
        <f>IF(AND(LEN('Dealer pipeline'!A452)&gt;0,ISNUMBER('Dealer pipeline'!M452)),MAX($B$3:B451)+1,"")</f>
        <v/>
      </c>
      <c r="E452">
        <f>IFERROR(MATCH(449,$B$4:$B$1003,0),"")</f>
        <v/>
      </c>
    </row>
    <row r="453">
      <c r="A453">
        <f>IF(AND(LEN('Dealer pipeline'!A453)&gt;0,ISNUMBER('Dealer pipeline'!M453),'Dealer pipeline'!Q453&lt;&gt;"Taken",'Dealer pipeline'!Q453&lt;&gt;"Declined"),'Dealer pipeline'!M453+450/100000,"")</f>
        <v/>
      </c>
      <c r="B453">
        <f>IF(AND(LEN('Dealer pipeline'!A453)&gt;0,ISNUMBER('Dealer pipeline'!M453)),MAX($B$3:B452)+1,"")</f>
        <v/>
      </c>
      <c r="E453">
        <f>IFERROR(MATCH(450,$B$4:$B$1003,0),"")</f>
        <v/>
      </c>
    </row>
    <row r="454">
      <c r="A454">
        <f>IF(AND(LEN('Dealer pipeline'!A454)&gt;0,ISNUMBER('Dealer pipeline'!M454),'Dealer pipeline'!Q454&lt;&gt;"Taken",'Dealer pipeline'!Q454&lt;&gt;"Declined"),'Dealer pipeline'!M454+451/100000,"")</f>
        <v/>
      </c>
      <c r="B454">
        <f>IF(AND(LEN('Dealer pipeline'!A454)&gt;0,ISNUMBER('Dealer pipeline'!M454)),MAX($B$3:B453)+1,"")</f>
        <v/>
      </c>
      <c r="E454">
        <f>IFERROR(MATCH(451,$B$4:$B$1003,0),"")</f>
        <v/>
      </c>
    </row>
    <row r="455">
      <c r="A455">
        <f>IF(AND(LEN('Dealer pipeline'!A455)&gt;0,ISNUMBER('Dealer pipeline'!M455),'Dealer pipeline'!Q455&lt;&gt;"Taken",'Dealer pipeline'!Q455&lt;&gt;"Declined"),'Dealer pipeline'!M455+452/100000,"")</f>
        <v/>
      </c>
      <c r="B455">
        <f>IF(AND(LEN('Dealer pipeline'!A455)&gt;0,ISNUMBER('Dealer pipeline'!M455)),MAX($B$3:B454)+1,"")</f>
        <v/>
      </c>
      <c r="E455">
        <f>IFERROR(MATCH(452,$B$4:$B$1003,0),"")</f>
        <v/>
      </c>
    </row>
    <row r="456">
      <c r="A456">
        <f>IF(AND(LEN('Dealer pipeline'!A456)&gt;0,ISNUMBER('Dealer pipeline'!M456),'Dealer pipeline'!Q456&lt;&gt;"Taken",'Dealer pipeline'!Q456&lt;&gt;"Declined"),'Dealer pipeline'!M456+453/100000,"")</f>
        <v/>
      </c>
      <c r="B456">
        <f>IF(AND(LEN('Dealer pipeline'!A456)&gt;0,ISNUMBER('Dealer pipeline'!M456)),MAX($B$3:B455)+1,"")</f>
        <v/>
      </c>
      <c r="E456">
        <f>IFERROR(MATCH(453,$B$4:$B$1003,0),"")</f>
        <v/>
      </c>
    </row>
    <row r="457">
      <c r="A457">
        <f>IF(AND(LEN('Dealer pipeline'!A457)&gt;0,ISNUMBER('Dealer pipeline'!M457),'Dealer pipeline'!Q457&lt;&gt;"Taken",'Dealer pipeline'!Q457&lt;&gt;"Declined"),'Dealer pipeline'!M457+454/100000,"")</f>
        <v/>
      </c>
      <c r="B457">
        <f>IF(AND(LEN('Dealer pipeline'!A457)&gt;0,ISNUMBER('Dealer pipeline'!M457)),MAX($B$3:B456)+1,"")</f>
        <v/>
      </c>
      <c r="E457">
        <f>IFERROR(MATCH(454,$B$4:$B$1003,0),"")</f>
        <v/>
      </c>
    </row>
    <row r="458">
      <c r="A458">
        <f>IF(AND(LEN('Dealer pipeline'!A458)&gt;0,ISNUMBER('Dealer pipeline'!M458),'Dealer pipeline'!Q458&lt;&gt;"Taken",'Dealer pipeline'!Q458&lt;&gt;"Declined"),'Dealer pipeline'!M458+455/100000,"")</f>
        <v/>
      </c>
      <c r="B458">
        <f>IF(AND(LEN('Dealer pipeline'!A458)&gt;0,ISNUMBER('Dealer pipeline'!M458)),MAX($B$3:B457)+1,"")</f>
        <v/>
      </c>
      <c r="E458">
        <f>IFERROR(MATCH(455,$B$4:$B$1003,0),"")</f>
        <v/>
      </c>
    </row>
    <row r="459">
      <c r="A459">
        <f>IF(AND(LEN('Dealer pipeline'!A459)&gt;0,ISNUMBER('Dealer pipeline'!M459),'Dealer pipeline'!Q459&lt;&gt;"Taken",'Dealer pipeline'!Q459&lt;&gt;"Declined"),'Dealer pipeline'!M459+456/100000,"")</f>
        <v/>
      </c>
      <c r="B459">
        <f>IF(AND(LEN('Dealer pipeline'!A459)&gt;0,ISNUMBER('Dealer pipeline'!M459)),MAX($B$3:B458)+1,"")</f>
        <v/>
      </c>
      <c r="E459">
        <f>IFERROR(MATCH(456,$B$4:$B$1003,0),"")</f>
        <v/>
      </c>
    </row>
    <row r="460">
      <c r="A460">
        <f>IF(AND(LEN('Dealer pipeline'!A460)&gt;0,ISNUMBER('Dealer pipeline'!M460),'Dealer pipeline'!Q460&lt;&gt;"Taken",'Dealer pipeline'!Q460&lt;&gt;"Declined"),'Dealer pipeline'!M460+457/100000,"")</f>
        <v/>
      </c>
      <c r="B460">
        <f>IF(AND(LEN('Dealer pipeline'!A460)&gt;0,ISNUMBER('Dealer pipeline'!M460)),MAX($B$3:B459)+1,"")</f>
        <v/>
      </c>
      <c r="E460">
        <f>IFERROR(MATCH(457,$B$4:$B$1003,0),"")</f>
        <v/>
      </c>
    </row>
    <row r="461">
      <c r="A461">
        <f>IF(AND(LEN('Dealer pipeline'!A461)&gt;0,ISNUMBER('Dealer pipeline'!M461),'Dealer pipeline'!Q461&lt;&gt;"Taken",'Dealer pipeline'!Q461&lt;&gt;"Declined"),'Dealer pipeline'!M461+458/100000,"")</f>
        <v/>
      </c>
      <c r="B461">
        <f>IF(AND(LEN('Dealer pipeline'!A461)&gt;0,ISNUMBER('Dealer pipeline'!M461)),MAX($B$3:B460)+1,"")</f>
        <v/>
      </c>
      <c r="E461">
        <f>IFERROR(MATCH(458,$B$4:$B$1003,0),"")</f>
        <v/>
      </c>
    </row>
    <row r="462">
      <c r="A462">
        <f>IF(AND(LEN('Dealer pipeline'!A462)&gt;0,ISNUMBER('Dealer pipeline'!M462),'Dealer pipeline'!Q462&lt;&gt;"Taken",'Dealer pipeline'!Q462&lt;&gt;"Declined"),'Dealer pipeline'!M462+459/100000,"")</f>
        <v/>
      </c>
      <c r="B462">
        <f>IF(AND(LEN('Dealer pipeline'!A462)&gt;0,ISNUMBER('Dealer pipeline'!M462)),MAX($B$3:B461)+1,"")</f>
        <v/>
      </c>
      <c r="E462">
        <f>IFERROR(MATCH(459,$B$4:$B$1003,0),"")</f>
        <v/>
      </c>
    </row>
    <row r="463">
      <c r="A463">
        <f>IF(AND(LEN('Dealer pipeline'!A463)&gt;0,ISNUMBER('Dealer pipeline'!M463),'Dealer pipeline'!Q463&lt;&gt;"Taken",'Dealer pipeline'!Q463&lt;&gt;"Declined"),'Dealer pipeline'!M463+460/100000,"")</f>
        <v/>
      </c>
      <c r="B463">
        <f>IF(AND(LEN('Dealer pipeline'!A463)&gt;0,ISNUMBER('Dealer pipeline'!M463)),MAX($B$3:B462)+1,"")</f>
        <v/>
      </c>
      <c r="E463">
        <f>IFERROR(MATCH(460,$B$4:$B$1003,0),"")</f>
        <v/>
      </c>
    </row>
    <row r="464">
      <c r="A464">
        <f>IF(AND(LEN('Dealer pipeline'!A464)&gt;0,ISNUMBER('Dealer pipeline'!M464),'Dealer pipeline'!Q464&lt;&gt;"Taken",'Dealer pipeline'!Q464&lt;&gt;"Declined"),'Dealer pipeline'!M464+461/100000,"")</f>
        <v/>
      </c>
      <c r="B464">
        <f>IF(AND(LEN('Dealer pipeline'!A464)&gt;0,ISNUMBER('Dealer pipeline'!M464)),MAX($B$3:B463)+1,"")</f>
        <v/>
      </c>
      <c r="E464">
        <f>IFERROR(MATCH(461,$B$4:$B$1003,0),"")</f>
        <v/>
      </c>
    </row>
    <row r="465">
      <c r="A465">
        <f>IF(AND(LEN('Dealer pipeline'!A465)&gt;0,ISNUMBER('Dealer pipeline'!M465),'Dealer pipeline'!Q465&lt;&gt;"Taken",'Dealer pipeline'!Q465&lt;&gt;"Declined"),'Dealer pipeline'!M465+462/100000,"")</f>
        <v/>
      </c>
      <c r="B465">
        <f>IF(AND(LEN('Dealer pipeline'!A465)&gt;0,ISNUMBER('Dealer pipeline'!M465)),MAX($B$3:B464)+1,"")</f>
        <v/>
      </c>
      <c r="E465">
        <f>IFERROR(MATCH(462,$B$4:$B$1003,0),"")</f>
        <v/>
      </c>
    </row>
    <row r="466">
      <c r="A466">
        <f>IF(AND(LEN('Dealer pipeline'!A466)&gt;0,ISNUMBER('Dealer pipeline'!M466),'Dealer pipeline'!Q466&lt;&gt;"Taken",'Dealer pipeline'!Q466&lt;&gt;"Declined"),'Dealer pipeline'!M466+463/100000,"")</f>
        <v/>
      </c>
      <c r="B466">
        <f>IF(AND(LEN('Dealer pipeline'!A466)&gt;0,ISNUMBER('Dealer pipeline'!M466)),MAX($B$3:B465)+1,"")</f>
        <v/>
      </c>
      <c r="E466">
        <f>IFERROR(MATCH(463,$B$4:$B$1003,0),"")</f>
        <v/>
      </c>
    </row>
    <row r="467">
      <c r="A467">
        <f>IF(AND(LEN('Dealer pipeline'!A467)&gt;0,ISNUMBER('Dealer pipeline'!M467),'Dealer pipeline'!Q467&lt;&gt;"Taken",'Dealer pipeline'!Q467&lt;&gt;"Declined"),'Dealer pipeline'!M467+464/100000,"")</f>
        <v/>
      </c>
      <c r="B467">
        <f>IF(AND(LEN('Dealer pipeline'!A467)&gt;0,ISNUMBER('Dealer pipeline'!M467)),MAX($B$3:B466)+1,"")</f>
        <v/>
      </c>
      <c r="E467">
        <f>IFERROR(MATCH(464,$B$4:$B$1003,0),"")</f>
        <v/>
      </c>
    </row>
    <row r="468">
      <c r="A468">
        <f>IF(AND(LEN('Dealer pipeline'!A468)&gt;0,ISNUMBER('Dealer pipeline'!M468),'Dealer pipeline'!Q468&lt;&gt;"Taken",'Dealer pipeline'!Q468&lt;&gt;"Declined"),'Dealer pipeline'!M468+465/100000,"")</f>
        <v/>
      </c>
      <c r="B468">
        <f>IF(AND(LEN('Dealer pipeline'!A468)&gt;0,ISNUMBER('Dealer pipeline'!M468)),MAX($B$3:B467)+1,"")</f>
        <v/>
      </c>
      <c r="E468">
        <f>IFERROR(MATCH(465,$B$4:$B$1003,0),"")</f>
        <v/>
      </c>
    </row>
    <row r="469">
      <c r="A469">
        <f>IF(AND(LEN('Dealer pipeline'!A469)&gt;0,ISNUMBER('Dealer pipeline'!M469),'Dealer pipeline'!Q469&lt;&gt;"Taken",'Dealer pipeline'!Q469&lt;&gt;"Declined"),'Dealer pipeline'!M469+466/100000,"")</f>
        <v/>
      </c>
      <c r="B469">
        <f>IF(AND(LEN('Dealer pipeline'!A469)&gt;0,ISNUMBER('Dealer pipeline'!M469)),MAX($B$3:B468)+1,"")</f>
        <v/>
      </c>
      <c r="E469">
        <f>IFERROR(MATCH(466,$B$4:$B$1003,0),"")</f>
        <v/>
      </c>
    </row>
    <row r="470">
      <c r="A470">
        <f>IF(AND(LEN('Dealer pipeline'!A470)&gt;0,ISNUMBER('Dealer pipeline'!M470),'Dealer pipeline'!Q470&lt;&gt;"Taken",'Dealer pipeline'!Q470&lt;&gt;"Declined"),'Dealer pipeline'!M470+467/100000,"")</f>
        <v/>
      </c>
      <c r="B470">
        <f>IF(AND(LEN('Dealer pipeline'!A470)&gt;0,ISNUMBER('Dealer pipeline'!M470)),MAX($B$3:B469)+1,"")</f>
        <v/>
      </c>
      <c r="E470">
        <f>IFERROR(MATCH(467,$B$4:$B$1003,0),"")</f>
        <v/>
      </c>
    </row>
    <row r="471">
      <c r="A471">
        <f>IF(AND(LEN('Dealer pipeline'!A471)&gt;0,ISNUMBER('Dealer pipeline'!M471),'Dealer pipeline'!Q471&lt;&gt;"Taken",'Dealer pipeline'!Q471&lt;&gt;"Declined"),'Dealer pipeline'!M471+468/100000,"")</f>
        <v/>
      </c>
      <c r="B471">
        <f>IF(AND(LEN('Dealer pipeline'!A471)&gt;0,ISNUMBER('Dealer pipeline'!M471)),MAX($B$3:B470)+1,"")</f>
        <v/>
      </c>
      <c r="E471">
        <f>IFERROR(MATCH(468,$B$4:$B$1003,0),"")</f>
        <v/>
      </c>
    </row>
    <row r="472">
      <c r="A472">
        <f>IF(AND(LEN('Dealer pipeline'!A472)&gt;0,ISNUMBER('Dealer pipeline'!M472),'Dealer pipeline'!Q472&lt;&gt;"Taken",'Dealer pipeline'!Q472&lt;&gt;"Declined"),'Dealer pipeline'!M472+469/100000,"")</f>
        <v/>
      </c>
      <c r="B472">
        <f>IF(AND(LEN('Dealer pipeline'!A472)&gt;0,ISNUMBER('Dealer pipeline'!M472)),MAX($B$3:B471)+1,"")</f>
        <v/>
      </c>
      <c r="E472">
        <f>IFERROR(MATCH(469,$B$4:$B$1003,0),"")</f>
        <v/>
      </c>
    </row>
    <row r="473">
      <c r="A473">
        <f>IF(AND(LEN('Dealer pipeline'!A473)&gt;0,ISNUMBER('Dealer pipeline'!M473),'Dealer pipeline'!Q473&lt;&gt;"Taken",'Dealer pipeline'!Q473&lt;&gt;"Declined"),'Dealer pipeline'!M473+470/100000,"")</f>
        <v/>
      </c>
      <c r="B473">
        <f>IF(AND(LEN('Dealer pipeline'!A473)&gt;0,ISNUMBER('Dealer pipeline'!M473)),MAX($B$3:B472)+1,"")</f>
        <v/>
      </c>
      <c r="E473">
        <f>IFERROR(MATCH(470,$B$4:$B$1003,0),"")</f>
        <v/>
      </c>
    </row>
    <row r="474">
      <c r="A474">
        <f>IF(AND(LEN('Dealer pipeline'!A474)&gt;0,ISNUMBER('Dealer pipeline'!M474),'Dealer pipeline'!Q474&lt;&gt;"Taken",'Dealer pipeline'!Q474&lt;&gt;"Declined"),'Dealer pipeline'!M474+471/100000,"")</f>
        <v/>
      </c>
      <c r="B474">
        <f>IF(AND(LEN('Dealer pipeline'!A474)&gt;0,ISNUMBER('Dealer pipeline'!M474)),MAX($B$3:B473)+1,"")</f>
        <v/>
      </c>
      <c r="E474">
        <f>IFERROR(MATCH(471,$B$4:$B$1003,0),"")</f>
        <v/>
      </c>
    </row>
    <row r="475">
      <c r="A475">
        <f>IF(AND(LEN('Dealer pipeline'!A475)&gt;0,ISNUMBER('Dealer pipeline'!M475),'Dealer pipeline'!Q475&lt;&gt;"Taken",'Dealer pipeline'!Q475&lt;&gt;"Declined"),'Dealer pipeline'!M475+472/100000,"")</f>
        <v/>
      </c>
      <c r="B475">
        <f>IF(AND(LEN('Dealer pipeline'!A475)&gt;0,ISNUMBER('Dealer pipeline'!M475)),MAX($B$3:B474)+1,"")</f>
        <v/>
      </c>
      <c r="E475">
        <f>IFERROR(MATCH(472,$B$4:$B$1003,0),"")</f>
        <v/>
      </c>
    </row>
    <row r="476">
      <c r="A476">
        <f>IF(AND(LEN('Dealer pipeline'!A476)&gt;0,ISNUMBER('Dealer pipeline'!M476),'Dealer pipeline'!Q476&lt;&gt;"Taken",'Dealer pipeline'!Q476&lt;&gt;"Declined"),'Dealer pipeline'!M476+473/100000,"")</f>
        <v/>
      </c>
      <c r="B476">
        <f>IF(AND(LEN('Dealer pipeline'!A476)&gt;0,ISNUMBER('Dealer pipeline'!M476)),MAX($B$3:B475)+1,"")</f>
        <v/>
      </c>
      <c r="E476">
        <f>IFERROR(MATCH(473,$B$4:$B$1003,0),"")</f>
        <v/>
      </c>
    </row>
    <row r="477">
      <c r="A477">
        <f>IF(AND(LEN('Dealer pipeline'!A477)&gt;0,ISNUMBER('Dealer pipeline'!M477),'Dealer pipeline'!Q477&lt;&gt;"Taken",'Dealer pipeline'!Q477&lt;&gt;"Declined"),'Dealer pipeline'!M477+474/100000,"")</f>
        <v/>
      </c>
      <c r="B477">
        <f>IF(AND(LEN('Dealer pipeline'!A477)&gt;0,ISNUMBER('Dealer pipeline'!M477)),MAX($B$3:B476)+1,"")</f>
        <v/>
      </c>
      <c r="E477">
        <f>IFERROR(MATCH(474,$B$4:$B$1003,0),"")</f>
        <v/>
      </c>
    </row>
    <row r="478">
      <c r="A478">
        <f>IF(AND(LEN('Dealer pipeline'!A478)&gt;0,ISNUMBER('Dealer pipeline'!M478),'Dealer pipeline'!Q478&lt;&gt;"Taken",'Dealer pipeline'!Q478&lt;&gt;"Declined"),'Dealer pipeline'!M478+475/100000,"")</f>
        <v/>
      </c>
      <c r="B478">
        <f>IF(AND(LEN('Dealer pipeline'!A478)&gt;0,ISNUMBER('Dealer pipeline'!M478)),MAX($B$3:B477)+1,"")</f>
        <v/>
      </c>
      <c r="E478">
        <f>IFERROR(MATCH(475,$B$4:$B$1003,0),"")</f>
        <v/>
      </c>
    </row>
    <row r="479">
      <c r="A479">
        <f>IF(AND(LEN('Dealer pipeline'!A479)&gt;0,ISNUMBER('Dealer pipeline'!M479),'Dealer pipeline'!Q479&lt;&gt;"Taken",'Dealer pipeline'!Q479&lt;&gt;"Declined"),'Dealer pipeline'!M479+476/100000,"")</f>
        <v/>
      </c>
      <c r="B479">
        <f>IF(AND(LEN('Dealer pipeline'!A479)&gt;0,ISNUMBER('Dealer pipeline'!M479)),MAX($B$3:B478)+1,"")</f>
        <v/>
      </c>
      <c r="E479">
        <f>IFERROR(MATCH(476,$B$4:$B$1003,0),"")</f>
        <v/>
      </c>
    </row>
    <row r="480">
      <c r="A480">
        <f>IF(AND(LEN('Dealer pipeline'!A480)&gt;0,ISNUMBER('Dealer pipeline'!M480),'Dealer pipeline'!Q480&lt;&gt;"Taken",'Dealer pipeline'!Q480&lt;&gt;"Declined"),'Dealer pipeline'!M480+477/100000,"")</f>
        <v/>
      </c>
      <c r="B480">
        <f>IF(AND(LEN('Dealer pipeline'!A480)&gt;0,ISNUMBER('Dealer pipeline'!M480)),MAX($B$3:B479)+1,"")</f>
        <v/>
      </c>
      <c r="E480">
        <f>IFERROR(MATCH(477,$B$4:$B$1003,0),"")</f>
        <v/>
      </c>
    </row>
    <row r="481">
      <c r="A481">
        <f>IF(AND(LEN('Dealer pipeline'!A481)&gt;0,ISNUMBER('Dealer pipeline'!M481),'Dealer pipeline'!Q481&lt;&gt;"Taken",'Dealer pipeline'!Q481&lt;&gt;"Declined"),'Dealer pipeline'!M481+478/100000,"")</f>
        <v/>
      </c>
      <c r="B481">
        <f>IF(AND(LEN('Dealer pipeline'!A481)&gt;0,ISNUMBER('Dealer pipeline'!M481)),MAX($B$3:B480)+1,"")</f>
        <v/>
      </c>
      <c r="E481">
        <f>IFERROR(MATCH(478,$B$4:$B$1003,0),"")</f>
        <v/>
      </c>
    </row>
    <row r="482">
      <c r="A482">
        <f>IF(AND(LEN('Dealer pipeline'!A482)&gt;0,ISNUMBER('Dealer pipeline'!M482),'Dealer pipeline'!Q482&lt;&gt;"Taken",'Dealer pipeline'!Q482&lt;&gt;"Declined"),'Dealer pipeline'!M482+479/100000,"")</f>
        <v/>
      </c>
      <c r="B482">
        <f>IF(AND(LEN('Dealer pipeline'!A482)&gt;0,ISNUMBER('Dealer pipeline'!M482)),MAX($B$3:B481)+1,"")</f>
        <v/>
      </c>
      <c r="E482">
        <f>IFERROR(MATCH(479,$B$4:$B$1003,0),"")</f>
        <v/>
      </c>
    </row>
    <row r="483">
      <c r="A483">
        <f>IF(AND(LEN('Dealer pipeline'!A483)&gt;0,ISNUMBER('Dealer pipeline'!M483),'Dealer pipeline'!Q483&lt;&gt;"Taken",'Dealer pipeline'!Q483&lt;&gt;"Declined"),'Dealer pipeline'!M483+480/100000,"")</f>
        <v/>
      </c>
      <c r="B483">
        <f>IF(AND(LEN('Dealer pipeline'!A483)&gt;0,ISNUMBER('Dealer pipeline'!M483)),MAX($B$3:B482)+1,"")</f>
        <v/>
      </c>
      <c r="E483">
        <f>IFERROR(MATCH(480,$B$4:$B$1003,0),"")</f>
        <v/>
      </c>
    </row>
    <row r="484">
      <c r="A484">
        <f>IF(AND(LEN('Dealer pipeline'!A484)&gt;0,ISNUMBER('Dealer pipeline'!M484),'Dealer pipeline'!Q484&lt;&gt;"Taken",'Dealer pipeline'!Q484&lt;&gt;"Declined"),'Dealer pipeline'!M484+481/100000,"")</f>
        <v/>
      </c>
      <c r="B484">
        <f>IF(AND(LEN('Dealer pipeline'!A484)&gt;0,ISNUMBER('Dealer pipeline'!M484)),MAX($B$3:B483)+1,"")</f>
        <v/>
      </c>
      <c r="E484">
        <f>IFERROR(MATCH(481,$B$4:$B$1003,0),"")</f>
        <v/>
      </c>
    </row>
    <row r="485">
      <c r="A485">
        <f>IF(AND(LEN('Dealer pipeline'!A485)&gt;0,ISNUMBER('Dealer pipeline'!M485),'Dealer pipeline'!Q485&lt;&gt;"Taken",'Dealer pipeline'!Q485&lt;&gt;"Declined"),'Dealer pipeline'!M485+482/100000,"")</f>
        <v/>
      </c>
      <c r="B485">
        <f>IF(AND(LEN('Dealer pipeline'!A485)&gt;0,ISNUMBER('Dealer pipeline'!M485)),MAX($B$3:B484)+1,"")</f>
        <v/>
      </c>
      <c r="E485">
        <f>IFERROR(MATCH(482,$B$4:$B$1003,0),"")</f>
        <v/>
      </c>
    </row>
    <row r="486">
      <c r="A486">
        <f>IF(AND(LEN('Dealer pipeline'!A486)&gt;0,ISNUMBER('Dealer pipeline'!M486),'Dealer pipeline'!Q486&lt;&gt;"Taken",'Dealer pipeline'!Q486&lt;&gt;"Declined"),'Dealer pipeline'!M486+483/100000,"")</f>
        <v/>
      </c>
      <c r="B486">
        <f>IF(AND(LEN('Dealer pipeline'!A486)&gt;0,ISNUMBER('Dealer pipeline'!M486)),MAX($B$3:B485)+1,"")</f>
        <v/>
      </c>
      <c r="E486">
        <f>IFERROR(MATCH(483,$B$4:$B$1003,0),"")</f>
        <v/>
      </c>
    </row>
    <row r="487">
      <c r="A487">
        <f>IF(AND(LEN('Dealer pipeline'!A487)&gt;0,ISNUMBER('Dealer pipeline'!M487),'Dealer pipeline'!Q487&lt;&gt;"Taken",'Dealer pipeline'!Q487&lt;&gt;"Declined"),'Dealer pipeline'!M487+484/100000,"")</f>
        <v/>
      </c>
      <c r="B487">
        <f>IF(AND(LEN('Dealer pipeline'!A487)&gt;0,ISNUMBER('Dealer pipeline'!M487)),MAX($B$3:B486)+1,"")</f>
        <v/>
      </c>
      <c r="E487">
        <f>IFERROR(MATCH(484,$B$4:$B$1003,0),"")</f>
        <v/>
      </c>
    </row>
    <row r="488">
      <c r="A488">
        <f>IF(AND(LEN('Dealer pipeline'!A488)&gt;0,ISNUMBER('Dealer pipeline'!M488),'Dealer pipeline'!Q488&lt;&gt;"Taken",'Dealer pipeline'!Q488&lt;&gt;"Declined"),'Dealer pipeline'!M488+485/100000,"")</f>
        <v/>
      </c>
      <c r="B488">
        <f>IF(AND(LEN('Dealer pipeline'!A488)&gt;0,ISNUMBER('Dealer pipeline'!M488)),MAX($B$3:B487)+1,"")</f>
        <v/>
      </c>
      <c r="E488">
        <f>IFERROR(MATCH(485,$B$4:$B$1003,0),"")</f>
        <v/>
      </c>
    </row>
    <row r="489">
      <c r="A489">
        <f>IF(AND(LEN('Dealer pipeline'!A489)&gt;0,ISNUMBER('Dealer pipeline'!M489),'Dealer pipeline'!Q489&lt;&gt;"Taken",'Dealer pipeline'!Q489&lt;&gt;"Declined"),'Dealer pipeline'!M489+486/100000,"")</f>
        <v/>
      </c>
      <c r="B489">
        <f>IF(AND(LEN('Dealer pipeline'!A489)&gt;0,ISNUMBER('Dealer pipeline'!M489)),MAX($B$3:B488)+1,"")</f>
        <v/>
      </c>
      <c r="E489">
        <f>IFERROR(MATCH(486,$B$4:$B$1003,0),"")</f>
        <v/>
      </c>
    </row>
    <row r="490">
      <c r="A490">
        <f>IF(AND(LEN('Dealer pipeline'!A490)&gt;0,ISNUMBER('Dealer pipeline'!M490),'Dealer pipeline'!Q490&lt;&gt;"Taken",'Dealer pipeline'!Q490&lt;&gt;"Declined"),'Dealer pipeline'!M490+487/100000,"")</f>
        <v/>
      </c>
      <c r="B490">
        <f>IF(AND(LEN('Dealer pipeline'!A490)&gt;0,ISNUMBER('Dealer pipeline'!M490)),MAX($B$3:B489)+1,"")</f>
        <v/>
      </c>
      <c r="E490">
        <f>IFERROR(MATCH(487,$B$4:$B$1003,0),"")</f>
        <v/>
      </c>
    </row>
    <row r="491">
      <c r="A491">
        <f>IF(AND(LEN('Dealer pipeline'!A491)&gt;0,ISNUMBER('Dealer pipeline'!M491),'Dealer pipeline'!Q491&lt;&gt;"Taken",'Dealer pipeline'!Q491&lt;&gt;"Declined"),'Dealer pipeline'!M491+488/100000,"")</f>
        <v/>
      </c>
      <c r="B491">
        <f>IF(AND(LEN('Dealer pipeline'!A491)&gt;0,ISNUMBER('Dealer pipeline'!M491)),MAX($B$3:B490)+1,"")</f>
        <v/>
      </c>
      <c r="E491">
        <f>IFERROR(MATCH(488,$B$4:$B$1003,0),"")</f>
        <v/>
      </c>
    </row>
    <row r="492">
      <c r="A492">
        <f>IF(AND(LEN('Dealer pipeline'!A492)&gt;0,ISNUMBER('Dealer pipeline'!M492),'Dealer pipeline'!Q492&lt;&gt;"Taken",'Dealer pipeline'!Q492&lt;&gt;"Declined"),'Dealer pipeline'!M492+489/100000,"")</f>
        <v/>
      </c>
      <c r="B492">
        <f>IF(AND(LEN('Dealer pipeline'!A492)&gt;0,ISNUMBER('Dealer pipeline'!M492)),MAX($B$3:B491)+1,"")</f>
        <v/>
      </c>
      <c r="E492">
        <f>IFERROR(MATCH(489,$B$4:$B$1003,0),"")</f>
        <v/>
      </c>
    </row>
    <row r="493">
      <c r="A493">
        <f>IF(AND(LEN('Dealer pipeline'!A493)&gt;0,ISNUMBER('Dealer pipeline'!M493),'Dealer pipeline'!Q493&lt;&gt;"Taken",'Dealer pipeline'!Q493&lt;&gt;"Declined"),'Dealer pipeline'!M493+490/100000,"")</f>
        <v/>
      </c>
      <c r="B493">
        <f>IF(AND(LEN('Dealer pipeline'!A493)&gt;0,ISNUMBER('Dealer pipeline'!M493)),MAX($B$3:B492)+1,"")</f>
        <v/>
      </c>
      <c r="E493">
        <f>IFERROR(MATCH(490,$B$4:$B$1003,0),"")</f>
        <v/>
      </c>
    </row>
    <row r="494">
      <c r="A494">
        <f>IF(AND(LEN('Dealer pipeline'!A494)&gt;0,ISNUMBER('Dealer pipeline'!M494),'Dealer pipeline'!Q494&lt;&gt;"Taken",'Dealer pipeline'!Q494&lt;&gt;"Declined"),'Dealer pipeline'!M494+491/100000,"")</f>
        <v/>
      </c>
      <c r="B494">
        <f>IF(AND(LEN('Dealer pipeline'!A494)&gt;0,ISNUMBER('Dealer pipeline'!M494)),MAX($B$3:B493)+1,"")</f>
        <v/>
      </c>
      <c r="E494">
        <f>IFERROR(MATCH(491,$B$4:$B$1003,0),"")</f>
        <v/>
      </c>
    </row>
    <row r="495">
      <c r="A495">
        <f>IF(AND(LEN('Dealer pipeline'!A495)&gt;0,ISNUMBER('Dealer pipeline'!M495),'Dealer pipeline'!Q495&lt;&gt;"Taken",'Dealer pipeline'!Q495&lt;&gt;"Declined"),'Dealer pipeline'!M495+492/100000,"")</f>
        <v/>
      </c>
      <c r="B495">
        <f>IF(AND(LEN('Dealer pipeline'!A495)&gt;0,ISNUMBER('Dealer pipeline'!M495)),MAX($B$3:B494)+1,"")</f>
        <v/>
      </c>
      <c r="E495">
        <f>IFERROR(MATCH(492,$B$4:$B$1003,0),"")</f>
        <v/>
      </c>
    </row>
    <row r="496">
      <c r="A496">
        <f>IF(AND(LEN('Dealer pipeline'!A496)&gt;0,ISNUMBER('Dealer pipeline'!M496),'Dealer pipeline'!Q496&lt;&gt;"Taken",'Dealer pipeline'!Q496&lt;&gt;"Declined"),'Dealer pipeline'!M496+493/100000,"")</f>
        <v/>
      </c>
      <c r="B496">
        <f>IF(AND(LEN('Dealer pipeline'!A496)&gt;0,ISNUMBER('Dealer pipeline'!M496)),MAX($B$3:B495)+1,"")</f>
        <v/>
      </c>
      <c r="E496">
        <f>IFERROR(MATCH(493,$B$4:$B$1003,0),"")</f>
        <v/>
      </c>
    </row>
    <row r="497">
      <c r="A497">
        <f>IF(AND(LEN('Dealer pipeline'!A497)&gt;0,ISNUMBER('Dealer pipeline'!M497),'Dealer pipeline'!Q497&lt;&gt;"Taken",'Dealer pipeline'!Q497&lt;&gt;"Declined"),'Dealer pipeline'!M497+494/100000,"")</f>
        <v/>
      </c>
      <c r="B497">
        <f>IF(AND(LEN('Dealer pipeline'!A497)&gt;0,ISNUMBER('Dealer pipeline'!M497)),MAX($B$3:B496)+1,"")</f>
        <v/>
      </c>
      <c r="E497">
        <f>IFERROR(MATCH(494,$B$4:$B$1003,0),"")</f>
        <v/>
      </c>
    </row>
    <row r="498">
      <c r="A498">
        <f>IF(AND(LEN('Dealer pipeline'!A498)&gt;0,ISNUMBER('Dealer pipeline'!M498),'Dealer pipeline'!Q498&lt;&gt;"Taken",'Dealer pipeline'!Q498&lt;&gt;"Declined"),'Dealer pipeline'!M498+495/100000,"")</f>
        <v/>
      </c>
      <c r="B498">
        <f>IF(AND(LEN('Dealer pipeline'!A498)&gt;0,ISNUMBER('Dealer pipeline'!M498)),MAX($B$3:B497)+1,"")</f>
        <v/>
      </c>
      <c r="E498">
        <f>IFERROR(MATCH(495,$B$4:$B$1003,0),"")</f>
        <v/>
      </c>
    </row>
    <row r="499">
      <c r="A499">
        <f>IF(AND(LEN('Dealer pipeline'!A499)&gt;0,ISNUMBER('Dealer pipeline'!M499),'Dealer pipeline'!Q499&lt;&gt;"Taken",'Dealer pipeline'!Q499&lt;&gt;"Declined"),'Dealer pipeline'!M499+496/100000,"")</f>
        <v/>
      </c>
      <c r="B499">
        <f>IF(AND(LEN('Dealer pipeline'!A499)&gt;0,ISNUMBER('Dealer pipeline'!M499)),MAX($B$3:B498)+1,"")</f>
        <v/>
      </c>
      <c r="E499">
        <f>IFERROR(MATCH(496,$B$4:$B$1003,0),"")</f>
        <v/>
      </c>
    </row>
    <row r="500">
      <c r="A500">
        <f>IF(AND(LEN('Dealer pipeline'!A500)&gt;0,ISNUMBER('Dealer pipeline'!M500),'Dealer pipeline'!Q500&lt;&gt;"Taken",'Dealer pipeline'!Q500&lt;&gt;"Declined"),'Dealer pipeline'!M500+497/100000,"")</f>
        <v/>
      </c>
      <c r="B500">
        <f>IF(AND(LEN('Dealer pipeline'!A500)&gt;0,ISNUMBER('Dealer pipeline'!M500)),MAX($B$3:B499)+1,"")</f>
        <v/>
      </c>
      <c r="E500">
        <f>IFERROR(MATCH(497,$B$4:$B$1003,0),"")</f>
        <v/>
      </c>
    </row>
    <row r="501">
      <c r="A501">
        <f>IF(AND(LEN('Dealer pipeline'!A501)&gt;0,ISNUMBER('Dealer pipeline'!M501),'Dealer pipeline'!Q501&lt;&gt;"Taken",'Dealer pipeline'!Q501&lt;&gt;"Declined"),'Dealer pipeline'!M501+498/100000,"")</f>
        <v/>
      </c>
      <c r="B501">
        <f>IF(AND(LEN('Dealer pipeline'!A501)&gt;0,ISNUMBER('Dealer pipeline'!M501)),MAX($B$3:B500)+1,"")</f>
        <v/>
      </c>
      <c r="E501">
        <f>IFERROR(MATCH(498,$B$4:$B$1003,0),"")</f>
        <v/>
      </c>
    </row>
    <row r="502">
      <c r="A502">
        <f>IF(AND(LEN('Dealer pipeline'!A502)&gt;0,ISNUMBER('Dealer pipeline'!M502),'Dealer pipeline'!Q502&lt;&gt;"Taken",'Dealer pipeline'!Q502&lt;&gt;"Declined"),'Dealer pipeline'!M502+499/100000,"")</f>
        <v/>
      </c>
      <c r="B502">
        <f>IF(AND(LEN('Dealer pipeline'!A502)&gt;0,ISNUMBER('Dealer pipeline'!M502)),MAX($B$3:B501)+1,"")</f>
        <v/>
      </c>
      <c r="E502">
        <f>IFERROR(MATCH(499,$B$4:$B$1003,0),"")</f>
        <v/>
      </c>
    </row>
    <row r="503">
      <c r="A503">
        <f>IF(AND(LEN('Dealer pipeline'!A503)&gt;0,ISNUMBER('Dealer pipeline'!M503),'Dealer pipeline'!Q503&lt;&gt;"Taken",'Dealer pipeline'!Q503&lt;&gt;"Declined"),'Dealer pipeline'!M503+500/100000,"")</f>
        <v/>
      </c>
      <c r="B503">
        <f>IF(AND(LEN('Dealer pipeline'!A503)&gt;0,ISNUMBER('Dealer pipeline'!M503)),MAX($B$3:B502)+1,"")</f>
        <v/>
      </c>
      <c r="E503">
        <f>IFERROR(MATCH(500,$B$4:$B$1003,0),"")</f>
        <v/>
      </c>
    </row>
    <row r="504">
      <c r="A504">
        <f>IF(AND(LEN('My equipment'!A4)&gt;0,ISNUMBER('My equipment'!M4),'My equipment'!Q4&lt;&gt;"Claim settled",'My equipment'!Q4&lt;&gt;"No claim needed",'My equipment'!Q4&lt;&gt;"Cover extended"),'My equipment'!M4+501/100000,"")</f>
        <v/>
      </c>
      <c r="B504">
        <f>IF(AND(LEN('My equipment'!A4)&gt;0,ISNUMBER('My equipment'!M4)),MAX($B$3:B503)+1,"")</f>
        <v/>
      </c>
      <c r="E504">
        <f>IFERROR(MATCH(501,$B$4:$B$1003,0),"")</f>
        <v/>
      </c>
    </row>
    <row r="505">
      <c r="A505">
        <f>IF(AND(LEN('My equipment'!A5)&gt;0,ISNUMBER('My equipment'!M5),'My equipment'!Q5&lt;&gt;"Claim settled",'My equipment'!Q5&lt;&gt;"No claim needed",'My equipment'!Q5&lt;&gt;"Cover extended"),'My equipment'!M5+502/100000,"")</f>
        <v/>
      </c>
      <c r="B505">
        <f>IF(AND(LEN('My equipment'!A5)&gt;0,ISNUMBER('My equipment'!M5)),MAX($B$3:B504)+1,"")</f>
        <v/>
      </c>
      <c r="E505">
        <f>IFERROR(MATCH(502,$B$4:$B$1003,0),"")</f>
        <v/>
      </c>
    </row>
    <row r="506">
      <c r="A506">
        <f>IF(AND(LEN('My equipment'!A6)&gt;0,ISNUMBER('My equipment'!M6),'My equipment'!Q6&lt;&gt;"Claim settled",'My equipment'!Q6&lt;&gt;"No claim needed",'My equipment'!Q6&lt;&gt;"Cover extended"),'My equipment'!M6+503/100000,"")</f>
        <v/>
      </c>
      <c r="B506">
        <f>IF(AND(LEN('My equipment'!A6)&gt;0,ISNUMBER('My equipment'!M6)),MAX($B$3:B505)+1,"")</f>
        <v/>
      </c>
      <c r="E506">
        <f>IFERROR(MATCH(503,$B$4:$B$1003,0),"")</f>
        <v/>
      </c>
    </row>
    <row r="507">
      <c r="A507">
        <f>IF(AND(LEN('My equipment'!A7)&gt;0,ISNUMBER('My equipment'!M7),'My equipment'!Q7&lt;&gt;"Claim settled",'My equipment'!Q7&lt;&gt;"No claim needed",'My equipment'!Q7&lt;&gt;"Cover extended"),'My equipment'!M7+504/100000,"")</f>
        <v/>
      </c>
      <c r="B507">
        <f>IF(AND(LEN('My equipment'!A7)&gt;0,ISNUMBER('My equipment'!M7)),MAX($B$3:B506)+1,"")</f>
        <v/>
      </c>
      <c r="E507">
        <f>IFERROR(MATCH(504,$B$4:$B$1003,0),"")</f>
        <v/>
      </c>
    </row>
    <row r="508">
      <c r="A508">
        <f>IF(AND(LEN('My equipment'!A8)&gt;0,ISNUMBER('My equipment'!M8),'My equipment'!Q8&lt;&gt;"Claim settled",'My equipment'!Q8&lt;&gt;"No claim needed",'My equipment'!Q8&lt;&gt;"Cover extended"),'My equipment'!M8+505/100000,"")</f>
        <v/>
      </c>
      <c r="B508">
        <f>IF(AND(LEN('My equipment'!A8)&gt;0,ISNUMBER('My equipment'!M8)),MAX($B$3:B507)+1,"")</f>
        <v/>
      </c>
      <c r="E508">
        <f>IFERROR(MATCH(505,$B$4:$B$1003,0),"")</f>
        <v/>
      </c>
    </row>
    <row r="509">
      <c r="A509">
        <f>IF(AND(LEN('My equipment'!A9)&gt;0,ISNUMBER('My equipment'!M9),'My equipment'!Q9&lt;&gt;"Claim settled",'My equipment'!Q9&lt;&gt;"No claim needed",'My equipment'!Q9&lt;&gt;"Cover extended"),'My equipment'!M9+506/100000,"")</f>
        <v/>
      </c>
      <c r="B509">
        <f>IF(AND(LEN('My equipment'!A9)&gt;0,ISNUMBER('My equipment'!M9)),MAX($B$3:B508)+1,"")</f>
        <v/>
      </c>
      <c r="E509">
        <f>IFERROR(MATCH(506,$B$4:$B$1003,0),"")</f>
        <v/>
      </c>
    </row>
    <row r="510">
      <c r="A510">
        <f>IF(AND(LEN('My equipment'!A10)&gt;0,ISNUMBER('My equipment'!M10),'My equipment'!Q10&lt;&gt;"Claim settled",'My equipment'!Q10&lt;&gt;"No claim needed",'My equipment'!Q10&lt;&gt;"Cover extended"),'My equipment'!M10+507/100000,"")</f>
        <v/>
      </c>
      <c r="B510">
        <f>IF(AND(LEN('My equipment'!A10)&gt;0,ISNUMBER('My equipment'!M10)),MAX($B$3:B509)+1,"")</f>
        <v/>
      </c>
      <c r="E510">
        <f>IFERROR(MATCH(507,$B$4:$B$1003,0),"")</f>
        <v/>
      </c>
    </row>
    <row r="511">
      <c r="A511">
        <f>IF(AND(LEN('My equipment'!A11)&gt;0,ISNUMBER('My equipment'!M11),'My equipment'!Q11&lt;&gt;"Claim settled",'My equipment'!Q11&lt;&gt;"No claim needed",'My equipment'!Q11&lt;&gt;"Cover extended"),'My equipment'!M11+508/100000,"")</f>
        <v/>
      </c>
      <c r="B511">
        <f>IF(AND(LEN('My equipment'!A11)&gt;0,ISNUMBER('My equipment'!M11)),MAX($B$3:B510)+1,"")</f>
        <v/>
      </c>
      <c r="E511">
        <f>IFERROR(MATCH(508,$B$4:$B$1003,0),"")</f>
        <v/>
      </c>
    </row>
    <row r="512">
      <c r="A512">
        <f>IF(AND(LEN('My equipment'!A12)&gt;0,ISNUMBER('My equipment'!M12),'My equipment'!Q12&lt;&gt;"Claim settled",'My equipment'!Q12&lt;&gt;"No claim needed",'My equipment'!Q12&lt;&gt;"Cover extended"),'My equipment'!M12+509/100000,"")</f>
        <v/>
      </c>
      <c r="B512">
        <f>IF(AND(LEN('My equipment'!A12)&gt;0,ISNUMBER('My equipment'!M12)),MAX($B$3:B511)+1,"")</f>
        <v/>
      </c>
      <c r="E512">
        <f>IFERROR(MATCH(509,$B$4:$B$1003,0),"")</f>
        <v/>
      </c>
    </row>
    <row r="513">
      <c r="A513">
        <f>IF(AND(LEN('My equipment'!A13)&gt;0,ISNUMBER('My equipment'!M13),'My equipment'!Q13&lt;&gt;"Claim settled",'My equipment'!Q13&lt;&gt;"No claim needed",'My equipment'!Q13&lt;&gt;"Cover extended"),'My equipment'!M13+510/100000,"")</f>
        <v/>
      </c>
      <c r="B513">
        <f>IF(AND(LEN('My equipment'!A13)&gt;0,ISNUMBER('My equipment'!M13)),MAX($B$3:B512)+1,"")</f>
        <v/>
      </c>
      <c r="E513">
        <f>IFERROR(MATCH(510,$B$4:$B$1003,0),"")</f>
        <v/>
      </c>
    </row>
    <row r="514">
      <c r="A514">
        <f>IF(AND(LEN('My equipment'!A14)&gt;0,ISNUMBER('My equipment'!M14),'My equipment'!Q14&lt;&gt;"Claim settled",'My equipment'!Q14&lt;&gt;"No claim needed",'My equipment'!Q14&lt;&gt;"Cover extended"),'My equipment'!M14+511/100000,"")</f>
        <v/>
      </c>
      <c r="B514">
        <f>IF(AND(LEN('My equipment'!A14)&gt;0,ISNUMBER('My equipment'!M14)),MAX($B$3:B513)+1,"")</f>
        <v/>
      </c>
      <c r="E514">
        <f>IFERROR(MATCH(511,$B$4:$B$1003,0),"")</f>
        <v/>
      </c>
    </row>
    <row r="515">
      <c r="A515">
        <f>IF(AND(LEN('My equipment'!A15)&gt;0,ISNUMBER('My equipment'!M15),'My equipment'!Q15&lt;&gt;"Claim settled",'My equipment'!Q15&lt;&gt;"No claim needed",'My equipment'!Q15&lt;&gt;"Cover extended"),'My equipment'!M15+512/100000,"")</f>
        <v/>
      </c>
      <c r="B515">
        <f>IF(AND(LEN('My equipment'!A15)&gt;0,ISNUMBER('My equipment'!M15)),MAX($B$3:B514)+1,"")</f>
        <v/>
      </c>
      <c r="E515">
        <f>IFERROR(MATCH(512,$B$4:$B$1003,0),"")</f>
        <v/>
      </c>
    </row>
    <row r="516">
      <c r="A516">
        <f>IF(AND(LEN('My equipment'!A16)&gt;0,ISNUMBER('My equipment'!M16),'My equipment'!Q16&lt;&gt;"Claim settled",'My equipment'!Q16&lt;&gt;"No claim needed",'My equipment'!Q16&lt;&gt;"Cover extended"),'My equipment'!M16+513/100000,"")</f>
        <v/>
      </c>
      <c r="B516">
        <f>IF(AND(LEN('My equipment'!A16)&gt;0,ISNUMBER('My equipment'!M16)),MAX($B$3:B515)+1,"")</f>
        <v/>
      </c>
      <c r="E516">
        <f>IFERROR(MATCH(513,$B$4:$B$1003,0),"")</f>
        <v/>
      </c>
    </row>
    <row r="517">
      <c r="A517">
        <f>IF(AND(LEN('My equipment'!A17)&gt;0,ISNUMBER('My equipment'!M17),'My equipment'!Q17&lt;&gt;"Claim settled",'My equipment'!Q17&lt;&gt;"No claim needed",'My equipment'!Q17&lt;&gt;"Cover extended"),'My equipment'!M17+514/100000,"")</f>
        <v/>
      </c>
      <c r="B517">
        <f>IF(AND(LEN('My equipment'!A17)&gt;0,ISNUMBER('My equipment'!M17)),MAX($B$3:B516)+1,"")</f>
        <v/>
      </c>
      <c r="E517">
        <f>IFERROR(MATCH(514,$B$4:$B$1003,0),"")</f>
        <v/>
      </c>
    </row>
    <row r="518">
      <c r="A518">
        <f>IF(AND(LEN('My equipment'!A18)&gt;0,ISNUMBER('My equipment'!M18),'My equipment'!Q18&lt;&gt;"Claim settled",'My equipment'!Q18&lt;&gt;"No claim needed",'My equipment'!Q18&lt;&gt;"Cover extended"),'My equipment'!M18+515/100000,"")</f>
        <v/>
      </c>
      <c r="B518">
        <f>IF(AND(LEN('My equipment'!A18)&gt;0,ISNUMBER('My equipment'!M18)),MAX($B$3:B517)+1,"")</f>
        <v/>
      </c>
      <c r="E518">
        <f>IFERROR(MATCH(515,$B$4:$B$1003,0),"")</f>
        <v/>
      </c>
    </row>
    <row r="519">
      <c r="A519">
        <f>IF(AND(LEN('My equipment'!A19)&gt;0,ISNUMBER('My equipment'!M19),'My equipment'!Q19&lt;&gt;"Claim settled",'My equipment'!Q19&lt;&gt;"No claim needed",'My equipment'!Q19&lt;&gt;"Cover extended"),'My equipment'!M19+516/100000,"")</f>
        <v/>
      </c>
      <c r="B519">
        <f>IF(AND(LEN('My equipment'!A19)&gt;0,ISNUMBER('My equipment'!M19)),MAX($B$3:B518)+1,"")</f>
        <v/>
      </c>
      <c r="E519">
        <f>IFERROR(MATCH(516,$B$4:$B$1003,0),"")</f>
        <v/>
      </c>
    </row>
    <row r="520">
      <c r="A520">
        <f>IF(AND(LEN('My equipment'!A20)&gt;0,ISNUMBER('My equipment'!M20),'My equipment'!Q20&lt;&gt;"Claim settled",'My equipment'!Q20&lt;&gt;"No claim needed",'My equipment'!Q20&lt;&gt;"Cover extended"),'My equipment'!M20+517/100000,"")</f>
        <v/>
      </c>
      <c r="B520">
        <f>IF(AND(LEN('My equipment'!A20)&gt;0,ISNUMBER('My equipment'!M20)),MAX($B$3:B519)+1,"")</f>
        <v/>
      </c>
      <c r="E520">
        <f>IFERROR(MATCH(517,$B$4:$B$1003,0),"")</f>
        <v/>
      </c>
    </row>
    <row r="521">
      <c r="A521">
        <f>IF(AND(LEN('My equipment'!A21)&gt;0,ISNUMBER('My equipment'!M21),'My equipment'!Q21&lt;&gt;"Claim settled",'My equipment'!Q21&lt;&gt;"No claim needed",'My equipment'!Q21&lt;&gt;"Cover extended"),'My equipment'!M21+518/100000,"")</f>
        <v/>
      </c>
      <c r="B521">
        <f>IF(AND(LEN('My equipment'!A21)&gt;0,ISNUMBER('My equipment'!M21)),MAX($B$3:B520)+1,"")</f>
        <v/>
      </c>
      <c r="E521">
        <f>IFERROR(MATCH(518,$B$4:$B$1003,0),"")</f>
        <v/>
      </c>
    </row>
    <row r="522">
      <c r="A522">
        <f>IF(AND(LEN('My equipment'!A22)&gt;0,ISNUMBER('My equipment'!M22),'My equipment'!Q22&lt;&gt;"Claim settled",'My equipment'!Q22&lt;&gt;"No claim needed",'My equipment'!Q22&lt;&gt;"Cover extended"),'My equipment'!M22+519/100000,"")</f>
        <v/>
      </c>
      <c r="B522">
        <f>IF(AND(LEN('My equipment'!A22)&gt;0,ISNUMBER('My equipment'!M22)),MAX($B$3:B521)+1,"")</f>
        <v/>
      </c>
      <c r="E522">
        <f>IFERROR(MATCH(519,$B$4:$B$1003,0),"")</f>
        <v/>
      </c>
    </row>
    <row r="523">
      <c r="A523">
        <f>IF(AND(LEN('My equipment'!A23)&gt;0,ISNUMBER('My equipment'!M23),'My equipment'!Q23&lt;&gt;"Claim settled",'My equipment'!Q23&lt;&gt;"No claim needed",'My equipment'!Q23&lt;&gt;"Cover extended"),'My equipment'!M23+520/100000,"")</f>
        <v/>
      </c>
      <c r="B523">
        <f>IF(AND(LEN('My equipment'!A23)&gt;0,ISNUMBER('My equipment'!M23)),MAX($B$3:B522)+1,"")</f>
        <v/>
      </c>
      <c r="E523">
        <f>IFERROR(MATCH(520,$B$4:$B$1003,0),"")</f>
        <v/>
      </c>
    </row>
    <row r="524">
      <c r="A524">
        <f>IF(AND(LEN('My equipment'!A24)&gt;0,ISNUMBER('My equipment'!M24),'My equipment'!Q24&lt;&gt;"Claim settled",'My equipment'!Q24&lt;&gt;"No claim needed",'My equipment'!Q24&lt;&gt;"Cover extended"),'My equipment'!M24+521/100000,"")</f>
        <v/>
      </c>
      <c r="B524">
        <f>IF(AND(LEN('My equipment'!A24)&gt;0,ISNUMBER('My equipment'!M24)),MAX($B$3:B523)+1,"")</f>
        <v/>
      </c>
      <c r="E524">
        <f>IFERROR(MATCH(521,$B$4:$B$1003,0),"")</f>
        <v/>
      </c>
    </row>
    <row r="525">
      <c r="A525">
        <f>IF(AND(LEN('My equipment'!A25)&gt;0,ISNUMBER('My equipment'!M25),'My equipment'!Q25&lt;&gt;"Claim settled",'My equipment'!Q25&lt;&gt;"No claim needed",'My equipment'!Q25&lt;&gt;"Cover extended"),'My equipment'!M25+522/100000,"")</f>
        <v/>
      </c>
      <c r="B525">
        <f>IF(AND(LEN('My equipment'!A25)&gt;0,ISNUMBER('My equipment'!M25)),MAX($B$3:B524)+1,"")</f>
        <v/>
      </c>
      <c r="E525">
        <f>IFERROR(MATCH(522,$B$4:$B$1003,0),"")</f>
        <v/>
      </c>
    </row>
    <row r="526">
      <c r="A526">
        <f>IF(AND(LEN('My equipment'!A26)&gt;0,ISNUMBER('My equipment'!M26),'My equipment'!Q26&lt;&gt;"Claim settled",'My equipment'!Q26&lt;&gt;"No claim needed",'My equipment'!Q26&lt;&gt;"Cover extended"),'My equipment'!M26+523/100000,"")</f>
        <v/>
      </c>
      <c r="B526">
        <f>IF(AND(LEN('My equipment'!A26)&gt;0,ISNUMBER('My equipment'!M26)),MAX($B$3:B525)+1,"")</f>
        <v/>
      </c>
      <c r="E526">
        <f>IFERROR(MATCH(523,$B$4:$B$1003,0),"")</f>
        <v/>
      </c>
    </row>
    <row r="527">
      <c r="A527">
        <f>IF(AND(LEN('My equipment'!A27)&gt;0,ISNUMBER('My equipment'!M27),'My equipment'!Q27&lt;&gt;"Claim settled",'My equipment'!Q27&lt;&gt;"No claim needed",'My equipment'!Q27&lt;&gt;"Cover extended"),'My equipment'!M27+524/100000,"")</f>
        <v/>
      </c>
      <c r="B527">
        <f>IF(AND(LEN('My equipment'!A27)&gt;0,ISNUMBER('My equipment'!M27)),MAX($B$3:B526)+1,"")</f>
        <v/>
      </c>
      <c r="E527">
        <f>IFERROR(MATCH(524,$B$4:$B$1003,0),"")</f>
        <v/>
      </c>
    </row>
    <row r="528">
      <c r="A528">
        <f>IF(AND(LEN('My equipment'!A28)&gt;0,ISNUMBER('My equipment'!M28),'My equipment'!Q28&lt;&gt;"Claim settled",'My equipment'!Q28&lt;&gt;"No claim needed",'My equipment'!Q28&lt;&gt;"Cover extended"),'My equipment'!M28+525/100000,"")</f>
        <v/>
      </c>
      <c r="B528">
        <f>IF(AND(LEN('My equipment'!A28)&gt;0,ISNUMBER('My equipment'!M28)),MAX($B$3:B527)+1,"")</f>
        <v/>
      </c>
      <c r="E528">
        <f>IFERROR(MATCH(525,$B$4:$B$1003,0),"")</f>
        <v/>
      </c>
    </row>
    <row r="529">
      <c r="A529">
        <f>IF(AND(LEN('My equipment'!A29)&gt;0,ISNUMBER('My equipment'!M29),'My equipment'!Q29&lt;&gt;"Claim settled",'My equipment'!Q29&lt;&gt;"No claim needed",'My equipment'!Q29&lt;&gt;"Cover extended"),'My equipment'!M29+526/100000,"")</f>
        <v/>
      </c>
      <c r="B529">
        <f>IF(AND(LEN('My equipment'!A29)&gt;0,ISNUMBER('My equipment'!M29)),MAX($B$3:B528)+1,"")</f>
        <v/>
      </c>
      <c r="E529">
        <f>IFERROR(MATCH(526,$B$4:$B$1003,0),"")</f>
        <v/>
      </c>
    </row>
    <row r="530">
      <c r="A530">
        <f>IF(AND(LEN('My equipment'!A30)&gt;0,ISNUMBER('My equipment'!M30),'My equipment'!Q30&lt;&gt;"Claim settled",'My equipment'!Q30&lt;&gt;"No claim needed",'My equipment'!Q30&lt;&gt;"Cover extended"),'My equipment'!M30+527/100000,"")</f>
        <v/>
      </c>
      <c r="B530">
        <f>IF(AND(LEN('My equipment'!A30)&gt;0,ISNUMBER('My equipment'!M30)),MAX($B$3:B529)+1,"")</f>
        <v/>
      </c>
      <c r="E530">
        <f>IFERROR(MATCH(527,$B$4:$B$1003,0),"")</f>
        <v/>
      </c>
    </row>
    <row r="531">
      <c r="A531">
        <f>IF(AND(LEN('My equipment'!A31)&gt;0,ISNUMBER('My equipment'!M31),'My equipment'!Q31&lt;&gt;"Claim settled",'My equipment'!Q31&lt;&gt;"No claim needed",'My equipment'!Q31&lt;&gt;"Cover extended"),'My equipment'!M31+528/100000,"")</f>
        <v/>
      </c>
      <c r="B531">
        <f>IF(AND(LEN('My equipment'!A31)&gt;0,ISNUMBER('My equipment'!M31)),MAX($B$3:B530)+1,"")</f>
        <v/>
      </c>
      <c r="E531">
        <f>IFERROR(MATCH(528,$B$4:$B$1003,0),"")</f>
        <v/>
      </c>
    </row>
    <row r="532">
      <c r="A532">
        <f>IF(AND(LEN('My equipment'!A32)&gt;0,ISNUMBER('My equipment'!M32),'My equipment'!Q32&lt;&gt;"Claim settled",'My equipment'!Q32&lt;&gt;"No claim needed",'My equipment'!Q32&lt;&gt;"Cover extended"),'My equipment'!M32+529/100000,"")</f>
        <v/>
      </c>
      <c r="B532">
        <f>IF(AND(LEN('My equipment'!A32)&gt;0,ISNUMBER('My equipment'!M32)),MAX($B$3:B531)+1,"")</f>
        <v/>
      </c>
      <c r="E532">
        <f>IFERROR(MATCH(529,$B$4:$B$1003,0),"")</f>
        <v/>
      </c>
    </row>
    <row r="533">
      <c r="A533">
        <f>IF(AND(LEN('My equipment'!A33)&gt;0,ISNUMBER('My equipment'!M33),'My equipment'!Q33&lt;&gt;"Claim settled",'My equipment'!Q33&lt;&gt;"No claim needed",'My equipment'!Q33&lt;&gt;"Cover extended"),'My equipment'!M33+530/100000,"")</f>
        <v/>
      </c>
      <c r="B533">
        <f>IF(AND(LEN('My equipment'!A33)&gt;0,ISNUMBER('My equipment'!M33)),MAX($B$3:B532)+1,"")</f>
        <v/>
      </c>
      <c r="E533">
        <f>IFERROR(MATCH(530,$B$4:$B$1003,0),"")</f>
        <v/>
      </c>
    </row>
    <row r="534">
      <c r="A534">
        <f>IF(AND(LEN('My equipment'!A34)&gt;0,ISNUMBER('My equipment'!M34),'My equipment'!Q34&lt;&gt;"Claim settled",'My equipment'!Q34&lt;&gt;"No claim needed",'My equipment'!Q34&lt;&gt;"Cover extended"),'My equipment'!M34+531/100000,"")</f>
        <v/>
      </c>
      <c r="B534">
        <f>IF(AND(LEN('My equipment'!A34)&gt;0,ISNUMBER('My equipment'!M34)),MAX($B$3:B533)+1,"")</f>
        <v/>
      </c>
      <c r="E534">
        <f>IFERROR(MATCH(531,$B$4:$B$1003,0),"")</f>
        <v/>
      </c>
    </row>
    <row r="535">
      <c r="A535">
        <f>IF(AND(LEN('My equipment'!A35)&gt;0,ISNUMBER('My equipment'!M35),'My equipment'!Q35&lt;&gt;"Claim settled",'My equipment'!Q35&lt;&gt;"No claim needed",'My equipment'!Q35&lt;&gt;"Cover extended"),'My equipment'!M35+532/100000,"")</f>
        <v/>
      </c>
      <c r="B535">
        <f>IF(AND(LEN('My equipment'!A35)&gt;0,ISNUMBER('My equipment'!M35)),MAX($B$3:B534)+1,"")</f>
        <v/>
      </c>
      <c r="E535">
        <f>IFERROR(MATCH(532,$B$4:$B$1003,0),"")</f>
        <v/>
      </c>
    </row>
    <row r="536">
      <c r="A536">
        <f>IF(AND(LEN('My equipment'!A36)&gt;0,ISNUMBER('My equipment'!M36),'My equipment'!Q36&lt;&gt;"Claim settled",'My equipment'!Q36&lt;&gt;"No claim needed",'My equipment'!Q36&lt;&gt;"Cover extended"),'My equipment'!M36+533/100000,"")</f>
        <v/>
      </c>
      <c r="B536">
        <f>IF(AND(LEN('My equipment'!A36)&gt;0,ISNUMBER('My equipment'!M36)),MAX($B$3:B535)+1,"")</f>
        <v/>
      </c>
      <c r="E536">
        <f>IFERROR(MATCH(533,$B$4:$B$1003,0),"")</f>
        <v/>
      </c>
    </row>
    <row r="537">
      <c r="A537">
        <f>IF(AND(LEN('My equipment'!A37)&gt;0,ISNUMBER('My equipment'!M37),'My equipment'!Q37&lt;&gt;"Claim settled",'My equipment'!Q37&lt;&gt;"No claim needed",'My equipment'!Q37&lt;&gt;"Cover extended"),'My equipment'!M37+534/100000,"")</f>
        <v/>
      </c>
      <c r="B537">
        <f>IF(AND(LEN('My equipment'!A37)&gt;0,ISNUMBER('My equipment'!M37)),MAX($B$3:B536)+1,"")</f>
        <v/>
      </c>
      <c r="E537">
        <f>IFERROR(MATCH(534,$B$4:$B$1003,0),"")</f>
        <v/>
      </c>
    </row>
    <row r="538">
      <c r="A538">
        <f>IF(AND(LEN('My equipment'!A38)&gt;0,ISNUMBER('My equipment'!M38),'My equipment'!Q38&lt;&gt;"Claim settled",'My equipment'!Q38&lt;&gt;"No claim needed",'My equipment'!Q38&lt;&gt;"Cover extended"),'My equipment'!M38+535/100000,"")</f>
        <v/>
      </c>
      <c r="B538">
        <f>IF(AND(LEN('My equipment'!A38)&gt;0,ISNUMBER('My equipment'!M38)),MAX($B$3:B537)+1,"")</f>
        <v/>
      </c>
      <c r="E538">
        <f>IFERROR(MATCH(535,$B$4:$B$1003,0),"")</f>
        <v/>
      </c>
    </row>
    <row r="539">
      <c r="A539">
        <f>IF(AND(LEN('My equipment'!A39)&gt;0,ISNUMBER('My equipment'!M39),'My equipment'!Q39&lt;&gt;"Claim settled",'My equipment'!Q39&lt;&gt;"No claim needed",'My equipment'!Q39&lt;&gt;"Cover extended"),'My equipment'!M39+536/100000,"")</f>
        <v/>
      </c>
      <c r="B539">
        <f>IF(AND(LEN('My equipment'!A39)&gt;0,ISNUMBER('My equipment'!M39)),MAX($B$3:B538)+1,"")</f>
        <v/>
      </c>
      <c r="E539">
        <f>IFERROR(MATCH(536,$B$4:$B$1003,0),"")</f>
        <v/>
      </c>
    </row>
    <row r="540">
      <c r="A540">
        <f>IF(AND(LEN('My equipment'!A40)&gt;0,ISNUMBER('My equipment'!M40),'My equipment'!Q40&lt;&gt;"Claim settled",'My equipment'!Q40&lt;&gt;"No claim needed",'My equipment'!Q40&lt;&gt;"Cover extended"),'My equipment'!M40+537/100000,"")</f>
        <v/>
      </c>
      <c r="B540">
        <f>IF(AND(LEN('My equipment'!A40)&gt;0,ISNUMBER('My equipment'!M40)),MAX($B$3:B539)+1,"")</f>
        <v/>
      </c>
      <c r="E540">
        <f>IFERROR(MATCH(537,$B$4:$B$1003,0),"")</f>
        <v/>
      </c>
    </row>
    <row r="541">
      <c r="A541">
        <f>IF(AND(LEN('My equipment'!A41)&gt;0,ISNUMBER('My equipment'!M41),'My equipment'!Q41&lt;&gt;"Claim settled",'My equipment'!Q41&lt;&gt;"No claim needed",'My equipment'!Q41&lt;&gt;"Cover extended"),'My equipment'!M41+538/100000,"")</f>
        <v/>
      </c>
      <c r="B541">
        <f>IF(AND(LEN('My equipment'!A41)&gt;0,ISNUMBER('My equipment'!M41)),MAX($B$3:B540)+1,"")</f>
        <v/>
      </c>
      <c r="E541">
        <f>IFERROR(MATCH(538,$B$4:$B$1003,0),"")</f>
        <v/>
      </c>
    </row>
    <row r="542">
      <c r="A542">
        <f>IF(AND(LEN('My equipment'!A42)&gt;0,ISNUMBER('My equipment'!M42),'My equipment'!Q42&lt;&gt;"Claim settled",'My equipment'!Q42&lt;&gt;"No claim needed",'My equipment'!Q42&lt;&gt;"Cover extended"),'My equipment'!M42+539/100000,"")</f>
        <v/>
      </c>
      <c r="B542">
        <f>IF(AND(LEN('My equipment'!A42)&gt;0,ISNUMBER('My equipment'!M42)),MAX($B$3:B541)+1,"")</f>
        <v/>
      </c>
      <c r="E542">
        <f>IFERROR(MATCH(539,$B$4:$B$1003,0),"")</f>
        <v/>
      </c>
    </row>
    <row r="543">
      <c r="A543">
        <f>IF(AND(LEN('My equipment'!A43)&gt;0,ISNUMBER('My equipment'!M43),'My equipment'!Q43&lt;&gt;"Claim settled",'My equipment'!Q43&lt;&gt;"No claim needed",'My equipment'!Q43&lt;&gt;"Cover extended"),'My equipment'!M43+540/100000,"")</f>
        <v/>
      </c>
      <c r="B543">
        <f>IF(AND(LEN('My equipment'!A43)&gt;0,ISNUMBER('My equipment'!M43)),MAX($B$3:B542)+1,"")</f>
        <v/>
      </c>
      <c r="E543">
        <f>IFERROR(MATCH(540,$B$4:$B$1003,0),"")</f>
        <v/>
      </c>
    </row>
    <row r="544">
      <c r="A544">
        <f>IF(AND(LEN('My equipment'!A44)&gt;0,ISNUMBER('My equipment'!M44),'My equipment'!Q44&lt;&gt;"Claim settled",'My equipment'!Q44&lt;&gt;"No claim needed",'My equipment'!Q44&lt;&gt;"Cover extended"),'My equipment'!M44+541/100000,"")</f>
        <v/>
      </c>
      <c r="B544">
        <f>IF(AND(LEN('My equipment'!A44)&gt;0,ISNUMBER('My equipment'!M44)),MAX($B$3:B543)+1,"")</f>
        <v/>
      </c>
      <c r="E544">
        <f>IFERROR(MATCH(541,$B$4:$B$1003,0),"")</f>
        <v/>
      </c>
    </row>
    <row r="545">
      <c r="A545">
        <f>IF(AND(LEN('My equipment'!A45)&gt;0,ISNUMBER('My equipment'!M45),'My equipment'!Q45&lt;&gt;"Claim settled",'My equipment'!Q45&lt;&gt;"No claim needed",'My equipment'!Q45&lt;&gt;"Cover extended"),'My equipment'!M45+542/100000,"")</f>
        <v/>
      </c>
      <c r="B545">
        <f>IF(AND(LEN('My equipment'!A45)&gt;0,ISNUMBER('My equipment'!M45)),MAX($B$3:B544)+1,"")</f>
        <v/>
      </c>
      <c r="E545">
        <f>IFERROR(MATCH(542,$B$4:$B$1003,0),"")</f>
        <v/>
      </c>
    </row>
    <row r="546">
      <c r="A546">
        <f>IF(AND(LEN('My equipment'!A46)&gt;0,ISNUMBER('My equipment'!M46),'My equipment'!Q46&lt;&gt;"Claim settled",'My equipment'!Q46&lt;&gt;"No claim needed",'My equipment'!Q46&lt;&gt;"Cover extended"),'My equipment'!M46+543/100000,"")</f>
        <v/>
      </c>
      <c r="B546">
        <f>IF(AND(LEN('My equipment'!A46)&gt;0,ISNUMBER('My equipment'!M46)),MAX($B$3:B545)+1,"")</f>
        <v/>
      </c>
      <c r="E546">
        <f>IFERROR(MATCH(543,$B$4:$B$1003,0),"")</f>
        <v/>
      </c>
    </row>
    <row r="547">
      <c r="A547">
        <f>IF(AND(LEN('My equipment'!A47)&gt;0,ISNUMBER('My equipment'!M47),'My equipment'!Q47&lt;&gt;"Claim settled",'My equipment'!Q47&lt;&gt;"No claim needed",'My equipment'!Q47&lt;&gt;"Cover extended"),'My equipment'!M47+544/100000,"")</f>
        <v/>
      </c>
      <c r="B547">
        <f>IF(AND(LEN('My equipment'!A47)&gt;0,ISNUMBER('My equipment'!M47)),MAX($B$3:B546)+1,"")</f>
        <v/>
      </c>
      <c r="E547">
        <f>IFERROR(MATCH(544,$B$4:$B$1003,0),"")</f>
        <v/>
      </c>
    </row>
    <row r="548">
      <c r="A548">
        <f>IF(AND(LEN('My equipment'!A48)&gt;0,ISNUMBER('My equipment'!M48),'My equipment'!Q48&lt;&gt;"Claim settled",'My equipment'!Q48&lt;&gt;"No claim needed",'My equipment'!Q48&lt;&gt;"Cover extended"),'My equipment'!M48+545/100000,"")</f>
        <v/>
      </c>
      <c r="B548">
        <f>IF(AND(LEN('My equipment'!A48)&gt;0,ISNUMBER('My equipment'!M48)),MAX($B$3:B547)+1,"")</f>
        <v/>
      </c>
      <c r="E548">
        <f>IFERROR(MATCH(545,$B$4:$B$1003,0),"")</f>
        <v/>
      </c>
    </row>
    <row r="549">
      <c r="A549">
        <f>IF(AND(LEN('My equipment'!A49)&gt;0,ISNUMBER('My equipment'!M49),'My equipment'!Q49&lt;&gt;"Claim settled",'My equipment'!Q49&lt;&gt;"No claim needed",'My equipment'!Q49&lt;&gt;"Cover extended"),'My equipment'!M49+546/100000,"")</f>
        <v/>
      </c>
      <c r="B549">
        <f>IF(AND(LEN('My equipment'!A49)&gt;0,ISNUMBER('My equipment'!M49)),MAX($B$3:B548)+1,"")</f>
        <v/>
      </c>
      <c r="E549">
        <f>IFERROR(MATCH(546,$B$4:$B$1003,0),"")</f>
        <v/>
      </c>
    </row>
    <row r="550">
      <c r="A550">
        <f>IF(AND(LEN('My equipment'!A50)&gt;0,ISNUMBER('My equipment'!M50),'My equipment'!Q50&lt;&gt;"Claim settled",'My equipment'!Q50&lt;&gt;"No claim needed",'My equipment'!Q50&lt;&gt;"Cover extended"),'My equipment'!M50+547/100000,"")</f>
        <v/>
      </c>
      <c r="B550">
        <f>IF(AND(LEN('My equipment'!A50)&gt;0,ISNUMBER('My equipment'!M50)),MAX($B$3:B549)+1,"")</f>
        <v/>
      </c>
      <c r="E550">
        <f>IFERROR(MATCH(547,$B$4:$B$1003,0),"")</f>
        <v/>
      </c>
    </row>
    <row r="551">
      <c r="A551">
        <f>IF(AND(LEN('My equipment'!A51)&gt;0,ISNUMBER('My equipment'!M51),'My equipment'!Q51&lt;&gt;"Claim settled",'My equipment'!Q51&lt;&gt;"No claim needed",'My equipment'!Q51&lt;&gt;"Cover extended"),'My equipment'!M51+548/100000,"")</f>
        <v/>
      </c>
      <c r="B551">
        <f>IF(AND(LEN('My equipment'!A51)&gt;0,ISNUMBER('My equipment'!M51)),MAX($B$3:B550)+1,"")</f>
        <v/>
      </c>
      <c r="E551">
        <f>IFERROR(MATCH(548,$B$4:$B$1003,0),"")</f>
        <v/>
      </c>
    </row>
    <row r="552">
      <c r="A552">
        <f>IF(AND(LEN('My equipment'!A52)&gt;0,ISNUMBER('My equipment'!M52),'My equipment'!Q52&lt;&gt;"Claim settled",'My equipment'!Q52&lt;&gt;"No claim needed",'My equipment'!Q52&lt;&gt;"Cover extended"),'My equipment'!M52+549/100000,"")</f>
        <v/>
      </c>
      <c r="B552">
        <f>IF(AND(LEN('My equipment'!A52)&gt;0,ISNUMBER('My equipment'!M52)),MAX($B$3:B551)+1,"")</f>
        <v/>
      </c>
      <c r="E552">
        <f>IFERROR(MATCH(549,$B$4:$B$1003,0),"")</f>
        <v/>
      </c>
    </row>
    <row r="553">
      <c r="A553">
        <f>IF(AND(LEN('My equipment'!A53)&gt;0,ISNUMBER('My equipment'!M53),'My equipment'!Q53&lt;&gt;"Claim settled",'My equipment'!Q53&lt;&gt;"No claim needed",'My equipment'!Q53&lt;&gt;"Cover extended"),'My equipment'!M53+550/100000,"")</f>
        <v/>
      </c>
      <c r="B553">
        <f>IF(AND(LEN('My equipment'!A53)&gt;0,ISNUMBER('My equipment'!M53)),MAX($B$3:B552)+1,"")</f>
        <v/>
      </c>
      <c r="E553">
        <f>IFERROR(MATCH(550,$B$4:$B$1003,0),"")</f>
        <v/>
      </c>
    </row>
    <row r="554">
      <c r="A554">
        <f>IF(AND(LEN('My equipment'!A54)&gt;0,ISNUMBER('My equipment'!M54),'My equipment'!Q54&lt;&gt;"Claim settled",'My equipment'!Q54&lt;&gt;"No claim needed",'My equipment'!Q54&lt;&gt;"Cover extended"),'My equipment'!M54+551/100000,"")</f>
        <v/>
      </c>
      <c r="B554">
        <f>IF(AND(LEN('My equipment'!A54)&gt;0,ISNUMBER('My equipment'!M54)),MAX($B$3:B553)+1,"")</f>
        <v/>
      </c>
      <c r="E554">
        <f>IFERROR(MATCH(551,$B$4:$B$1003,0),"")</f>
        <v/>
      </c>
    </row>
    <row r="555">
      <c r="A555">
        <f>IF(AND(LEN('My equipment'!A55)&gt;0,ISNUMBER('My equipment'!M55),'My equipment'!Q55&lt;&gt;"Claim settled",'My equipment'!Q55&lt;&gt;"No claim needed",'My equipment'!Q55&lt;&gt;"Cover extended"),'My equipment'!M55+552/100000,"")</f>
        <v/>
      </c>
      <c r="B555">
        <f>IF(AND(LEN('My equipment'!A55)&gt;0,ISNUMBER('My equipment'!M55)),MAX($B$3:B554)+1,"")</f>
        <v/>
      </c>
      <c r="E555">
        <f>IFERROR(MATCH(552,$B$4:$B$1003,0),"")</f>
        <v/>
      </c>
    </row>
    <row r="556">
      <c r="A556">
        <f>IF(AND(LEN('My equipment'!A56)&gt;0,ISNUMBER('My equipment'!M56),'My equipment'!Q56&lt;&gt;"Claim settled",'My equipment'!Q56&lt;&gt;"No claim needed",'My equipment'!Q56&lt;&gt;"Cover extended"),'My equipment'!M56+553/100000,"")</f>
        <v/>
      </c>
      <c r="B556">
        <f>IF(AND(LEN('My equipment'!A56)&gt;0,ISNUMBER('My equipment'!M56)),MAX($B$3:B555)+1,"")</f>
        <v/>
      </c>
      <c r="E556">
        <f>IFERROR(MATCH(553,$B$4:$B$1003,0),"")</f>
        <v/>
      </c>
    </row>
    <row r="557">
      <c r="A557">
        <f>IF(AND(LEN('My equipment'!A57)&gt;0,ISNUMBER('My equipment'!M57),'My equipment'!Q57&lt;&gt;"Claim settled",'My equipment'!Q57&lt;&gt;"No claim needed",'My equipment'!Q57&lt;&gt;"Cover extended"),'My equipment'!M57+554/100000,"")</f>
        <v/>
      </c>
      <c r="B557">
        <f>IF(AND(LEN('My equipment'!A57)&gt;0,ISNUMBER('My equipment'!M57)),MAX($B$3:B556)+1,"")</f>
        <v/>
      </c>
      <c r="E557">
        <f>IFERROR(MATCH(554,$B$4:$B$1003,0),"")</f>
        <v/>
      </c>
    </row>
    <row r="558">
      <c r="A558">
        <f>IF(AND(LEN('My equipment'!A58)&gt;0,ISNUMBER('My equipment'!M58),'My equipment'!Q58&lt;&gt;"Claim settled",'My equipment'!Q58&lt;&gt;"No claim needed",'My equipment'!Q58&lt;&gt;"Cover extended"),'My equipment'!M58+555/100000,"")</f>
        <v/>
      </c>
      <c r="B558">
        <f>IF(AND(LEN('My equipment'!A58)&gt;0,ISNUMBER('My equipment'!M58)),MAX($B$3:B557)+1,"")</f>
        <v/>
      </c>
      <c r="E558">
        <f>IFERROR(MATCH(555,$B$4:$B$1003,0),"")</f>
        <v/>
      </c>
    </row>
    <row r="559">
      <c r="A559">
        <f>IF(AND(LEN('My equipment'!A59)&gt;0,ISNUMBER('My equipment'!M59),'My equipment'!Q59&lt;&gt;"Claim settled",'My equipment'!Q59&lt;&gt;"No claim needed",'My equipment'!Q59&lt;&gt;"Cover extended"),'My equipment'!M59+556/100000,"")</f>
        <v/>
      </c>
      <c r="B559">
        <f>IF(AND(LEN('My equipment'!A59)&gt;0,ISNUMBER('My equipment'!M59)),MAX($B$3:B558)+1,"")</f>
        <v/>
      </c>
      <c r="E559">
        <f>IFERROR(MATCH(556,$B$4:$B$1003,0),"")</f>
        <v/>
      </c>
    </row>
    <row r="560">
      <c r="A560">
        <f>IF(AND(LEN('My equipment'!A60)&gt;0,ISNUMBER('My equipment'!M60),'My equipment'!Q60&lt;&gt;"Claim settled",'My equipment'!Q60&lt;&gt;"No claim needed",'My equipment'!Q60&lt;&gt;"Cover extended"),'My equipment'!M60+557/100000,"")</f>
        <v/>
      </c>
      <c r="B560">
        <f>IF(AND(LEN('My equipment'!A60)&gt;0,ISNUMBER('My equipment'!M60)),MAX($B$3:B559)+1,"")</f>
        <v/>
      </c>
      <c r="E560">
        <f>IFERROR(MATCH(557,$B$4:$B$1003,0),"")</f>
        <v/>
      </c>
    </row>
    <row r="561">
      <c r="A561">
        <f>IF(AND(LEN('My equipment'!A61)&gt;0,ISNUMBER('My equipment'!M61),'My equipment'!Q61&lt;&gt;"Claim settled",'My equipment'!Q61&lt;&gt;"No claim needed",'My equipment'!Q61&lt;&gt;"Cover extended"),'My equipment'!M61+558/100000,"")</f>
        <v/>
      </c>
      <c r="B561">
        <f>IF(AND(LEN('My equipment'!A61)&gt;0,ISNUMBER('My equipment'!M61)),MAX($B$3:B560)+1,"")</f>
        <v/>
      </c>
      <c r="E561">
        <f>IFERROR(MATCH(558,$B$4:$B$1003,0),"")</f>
        <v/>
      </c>
    </row>
    <row r="562">
      <c r="A562">
        <f>IF(AND(LEN('My equipment'!A62)&gt;0,ISNUMBER('My equipment'!M62),'My equipment'!Q62&lt;&gt;"Claim settled",'My equipment'!Q62&lt;&gt;"No claim needed",'My equipment'!Q62&lt;&gt;"Cover extended"),'My equipment'!M62+559/100000,"")</f>
        <v/>
      </c>
      <c r="B562">
        <f>IF(AND(LEN('My equipment'!A62)&gt;0,ISNUMBER('My equipment'!M62)),MAX($B$3:B561)+1,"")</f>
        <v/>
      </c>
      <c r="E562">
        <f>IFERROR(MATCH(559,$B$4:$B$1003,0),"")</f>
        <v/>
      </c>
    </row>
    <row r="563">
      <c r="A563">
        <f>IF(AND(LEN('My equipment'!A63)&gt;0,ISNUMBER('My equipment'!M63),'My equipment'!Q63&lt;&gt;"Claim settled",'My equipment'!Q63&lt;&gt;"No claim needed",'My equipment'!Q63&lt;&gt;"Cover extended"),'My equipment'!M63+560/100000,"")</f>
        <v/>
      </c>
      <c r="B563">
        <f>IF(AND(LEN('My equipment'!A63)&gt;0,ISNUMBER('My equipment'!M63)),MAX($B$3:B562)+1,"")</f>
        <v/>
      </c>
      <c r="E563">
        <f>IFERROR(MATCH(560,$B$4:$B$1003,0),"")</f>
        <v/>
      </c>
    </row>
    <row r="564">
      <c r="A564">
        <f>IF(AND(LEN('My equipment'!A64)&gt;0,ISNUMBER('My equipment'!M64),'My equipment'!Q64&lt;&gt;"Claim settled",'My equipment'!Q64&lt;&gt;"No claim needed",'My equipment'!Q64&lt;&gt;"Cover extended"),'My equipment'!M64+561/100000,"")</f>
        <v/>
      </c>
      <c r="B564">
        <f>IF(AND(LEN('My equipment'!A64)&gt;0,ISNUMBER('My equipment'!M64)),MAX($B$3:B563)+1,"")</f>
        <v/>
      </c>
      <c r="E564">
        <f>IFERROR(MATCH(561,$B$4:$B$1003,0),"")</f>
        <v/>
      </c>
    </row>
    <row r="565">
      <c r="A565">
        <f>IF(AND(LEN('My equipment'!A65)&gt;0,ISNUMBER('My equipment'!M65),'My equipment'!Q65&lt;&gt;"Claim settled",'My equipment'!Q65&lt;&gt;"No claim needed",'My equipment'!Q65&lt;&gt;"Cover extended"),'My equipment'!M65+562/100000,"")</f>
        <v/>
      </c>
      <c r="B565">
        <f>IF(AND(LEN('My equipment'!A65)&gt;0,ISNUMBER('My equipment'!M65)),MAX($B$3:B564)+1,"")</f>
        <v/>
      </c>
      <c r="E565">
        <f>IFERROR(MATCH(562,$B$4:$B$1003,0),"")</f>
        <v/>
      </c>
    </row>
    <row r="566">
      <c r="A566">
        <f>IF(AND(LEN('My equipment'!A66)&gt;0,ISNUMBER('My equipment'!M66),'My equipment'!Q66&lt;&gt;"Claim settled",'My equipment'!Q66&lt;&gt;"No claim needed",'My equipment'!Q66&lt;&gt;"Cover extended"),'My equipment'!M66+563/100000,"")</f>
        <v/>
      </c>
      <c r="B566">
        <f>IF(AND(LEN('My equipment'!A66)&gt;0,ISNUMBER('My equipment'!M66)),MAX($B$3:B565)+1,"")</f>
        <v/>
      </c>
      <c r="E566">
        <f>IFERROR(MATCH(563,$B$4:$B$1003,0),"")</f>
        <v/>
      </c>
    </row>
    <row r="567">
      <c r="A567">
        <f>IF(AND(LEN('My equipment'!A67)&gt;0,ISNUMBER('My equipment'!M67),'My equipment'!Q67&lt;&gt;"Claim settled",'My equipment'!Q67&lt;&gt;"No claim needed",'My equipment'!Q67&lt;&gt;"Cover extended"),'My equipment'!M67+564/100000,"")</f>
        <v/>
      </c>
      <c r="B567">
        <f>IF(AND(LEN('My equipment'!A67)&gt;0,ISNUMBER('My equipment'!M67)),MAX($B$3:B566)+1,"")</f>
        <v/>
      </c>
      <c r="E567">
        <f>IFERROR(MATCH(564,$B$4:$B$1003,0),"")</f>
        <v/>
      </c>
    </row>
    <row r="568">
      <c r="A568">
        <f>IF(AND(LEN('My equipment'!A68)&gt;0,ISNUMBER('My equipment'!M68),'My equipment'!Q68&lt;&gt;"Claim settled",'My equipment'!Q68&lt;&gt;"No claim needed",'My equipment'!Q68&lt;&gt;"Cover extended"),'My equipment'!M68+565/100000,"")</f>
        <v/>
      </c>
      <c r="B568">
        <f>IF(AND(LEN('My equipment'!A68)&gt;0,ISNUMBER('My equipment'!M68)),MAX($B$3:B567)+1,"")</f>
        <v/>
      </c>
      <c r="E568">
        <f>IFERROR(MATCH(565,$B$4:$B$1003,0),"")</f>
        <v/>
      </c>
    </row>
    <row r="569">
      <c r="A569">
        <f>IF(AND(LEN('My equipment'!A69)&gt;0,ISNUMBER('My equipment'!M69),'My equipment'!Q69&lt;&gt;"Claim settled",'My equipment'!Q69&lt;&gt;"No claim needed",'My equipment'!Q69&lt;&gt;"Cover extended"),'My equipment'!M69+566/100000,"")</f>
        <v/>
      </c>
      <c r="B569">
        <f>IF(AND(LEN('My equipment'!A69)&gt;0,ISNUMBER('My equipment'!M69)),MAX($B$3:B568)+1,"")</f>
        <v/>
      </c>
      <c r="E569">
        <f>IFERROR(MATCH(566,$B$4:$B$1003,0),"")</f>
        <v/>
      </c>
    </row>
    <row r="570">
      <c r="A570">
        <f>IF(AND(LEN('My equipment'!A70)&gt;0,ISNUMBER('My equipment'!M70),'My equipment'!Q70&lt;&gt;"Claim settled",'My equipment'!Q70&lt;&gt;"No claim needed",'My equipment'!Q70&lt;&gt;"Cover extended"),'My equipment'!M70+567/100000,"")</f>
        <v/>
      </c>
      <c r="B570">
        <f>IF(AND(LEN('My equipment'!A70)&gt;0,ISNUMBER('My equipment'!M70)),MAX($B$3:B569)+1,"")</f>
        <v/>
      </c>
      <c r="E570">
        <f>IFERROR(MATCH(567,$B$4:$B$1003,0),"")</f>
        <v/>
      </c>
    </row>
    <row r="571">
      <c r="A571">
        <f>IF(AND(LEN('My equipment'!A71)&gt;0,ISNUMBER('My equipment'!M71),'My equipment'!Q71&lt;&gt;"Claim settled",'My equipment'!Q71&lt;&gt;"No claim needed",'My equipment'!Q71&lt;&gt;"Cover extended"),'My equipment'!M71+568/100000,"")</f>
        <v/>
      </c>
      <c r="B571">
        <f>IF(AND(LEN('My equipment'!A71)&gt;0,ISNUMBER('My equipment'!M71)),MAX($B$3:B570)+1,"")</f>
        <v/>
      </c>
      <c r="E571">
        <f>IFERROR(MATCH(568,$B$4:$B$1003,0),"")</f>
        <v/>
      </c>
    </row>
    <row r="572">
      <c r="A572">
        <f>IF(AND(LEN('My equipment'!A72)&gt;0,ISNUMBER('My equipment'!M72),'My equipment'!Q72&lt;&gt;"Claim settled",'My equipment'!Q72&lt;&gt;"No claim needed",'My equipment'!Q72&lt;&gt;"Cover extended"),'My equipment'!M72+569/100000,"")</f>
        <v/>
      </c>
      <c r="B572">
        <f>IF(AND(LEN('My equipment'!A72)&gt;0,ISNUMBER('My equipment'!M72)),MAX($B$3:B571)+1,"")</f>
        <v/>
      </c>
      <c r="E572">
        <f>IFERROR(MATCH(569,$B$4:$B$1003,0),"")</f>
        <v/>
      </c>
    </row>
    <row r="573">
      <c r="A573">
        <f>IF(AND(LEN('My equipment'!A73)&gt;0,ISNUMBER('My equipment'!M73),'My equipment'!Q73&lt;&gt;"Claim settled",'My equipment'!Q73&lt;&gt;"No claim needed",'My equipment'!Q73&lt;&gt;"Cover extended"),'My equipment'!M73+570/100000,"")</f>
        <v/>
      </c>
      <c r="B573">
        <f>IF(AND(LEN('My equipment'!A73)&gt;0,ISNUMBER('My equipment'!M73)),MAX($B$3:B572)+1,"")</f>
        <v/>
      </c>
      <c r="E573">
        <f>IFERROR(MATCH(570,$B$4:$B$1003,0),"")</f>
        <v/>
      </c>
    </row>
    <row r="574">
      <c r="A574">
        <f>IF(AND(LEN('My equipment'!A74)&gt;0,ISNUMBER('My equipment'!M74),'My equipment'!Q74&lt;&gt;"Claim settled",'My equipment'!Q74&lt;&gt;"No claim needed",'My equipment'!Q74&lt;&gt;"Cover extended"),'My equipment'!M74+571/100000,"")</f>
        <v/>
      </c>
      <c r="B574">
        <f>IF(AND(LEN('My equipment'!A74)&gt;0,ISNUMBER('My equipment'!M74)),MAX($B$3:B573)+1,"")</f>
        <v/>
      </c>
      <c r="E574">
        <f>IFERROR(MATCH(571,$B$4:$B$1003,0),"")</f>
        <v/>
      </c>
    </row>
    <row r="575">
      <c r="A575">
        <f>IF(AND(LEN('My equipment'!A75)&gt;0,ISNUMBER('My equipment'!M75),'My equipment'!Q75&lt;&gt;"Claim settled",'My equipment'!Q75&lt;&gt;"No claim needed",'My equipment'!Q75&lt;&gt;"Cover extended"),'My equipment'!M75+572/100000,"")</f>
        <v/>
      </c>
      <c r="B575">
        <f>IF(AND(LEN('My equipment'!A75)&gt;0,ISNUMBER('My equipment'!M75)),MAX($B$3:B574)+1,"")</f>
        <v/>
      </c>
      <c r="E575">
        <f>IFERROR(MATCH(572,$B$4:$B$1003,0),"")</f>
        <v/>
      </c>
    </row>
    <row r="576">
      <c r="A576">
        <f>IF(AND(LEN('My equipment'!A76)&gt;0,ISNUMBER('My equipment'!M76),'My equipment'!Q76&lt;&gt;"Claim settled",'My equipment'!Q76&lt;&gt;"No claim needed",'My equipment'!Q76&lt;&gt;"Cover extended"),'My equipment'!M76+573/100000,"")</f>
        <v/>
      </c>
      <c r="B576">
        <f>IF(AND(LEN('My equipment'!A76)&gt;0,ISNUMBER('My equipment'!M76)),MAX($B$3:B575)+1,"")</f>
        <v/>
      </c>
      <c r="E576">
        <f>IFERROR(MATCH(573,$B$4:$B$1003,0),"")</f>
        <v/>
      </c>
    </row>
    <row r="577">
      <c r="A577">
        <f>IF(AND(LEN('My equipment'!A77)&gt;0,ISNUMBER('My equipment'!M77),'My equipment'!Q77&lt;&gt;"Claim settled",'My equipment'!Q77&lt;&gt;"No claim needed",'My equipment'!Q77&lt;&gt;"Cover extended"),'My equipment'!M77+574/100000,"")</f>
        <v/>
      </c>
      <c r="B577">
        <f>IF(AND(LEN('My equipment'!A77)&gt;0,ISNUMBER('My equipment'!M77)),MAX($B$3:B576)+1,"")</f>
        <v/>
      </c>
      <c r="E577">
        <f>IFERROR(MATCH(574,$B$4:$B$1003,0),"")</f>
        <v/>
      </c>
    </row>
    <row r="578">
      <c r="A578">
        <f>IF(AND(LEN('My equipment'!A78)&gt;0,ISNUMBER('My equipment'!M78),'My equipment'!Q78&lt;&gt;"Claim settled",'My equipment'!Q78&lt;&gt;"No claim needed",'My equipment'!Q78&lt;&gt;"Cover extended"),'My equipment'!M78+575/100000,"")</f>
        <v/>
      </c>
      <c r="B578">
        <f>IF(AND(LEN('My equipment'!A78)&gt;0,ISNUMBER('My equipment'!M78)),MAX($B$3:B577)+1,"")</f>
        <v/>
      </c>
      <c r="E578">
        <f>IFERROR(MATCH(575,$B$4:$B$1003,0),"")</f>
        <v/>
      </c>
    </row>
    <row r="579">
      <c r="A579">
        <f>IF(AND(LEN('My equipment'!A79)&gt;0,ISNUMBER('My equipment'!M79),'My equipment'!Q79&lt;&gt;"Claim settled",'My equipment'!Q79&lt;&gt;"No claim needed",'My equipment'!Q79&lt;&gt;"Cover extended"),'My equipment'!M79+576/100000,"")</f>
        <v/>
      </c>
      <c r="B579">
        <f>IF(AND(LEN('My equipment'!A79)&gt;0,ISNUMBER('My equipment'!M79)),MAX($B$3:B578)+1,"")</f>
        <v/>
      </c>
      <c r="E579">
        <f>IFERROR(MATCH(576,$B$4:$B$1003,0),"")</f>
        <v/>
      </c>
    </row>
    <row r="580">
      <c r="A580">
        <f>IF(AND(LEN('My equipment'!A80)&gt;0,ISNUMBER('My equipment'!M80),'My equipment'!Q80&lt;&gt;"Claim settled",'My equipment'!Q80&lt;&gt;"No claim needed",'My equipment'!Q80&lt;&gt;"Cover extended"),'My equipment'!M80+577/100000,"")</f>
        <v/>
      </c>
      <c r="B580">
        <f>IF(AND(LEN('My equipment'!A80)&gt;0,ISNUMBER('My equipment'!M80)),MAX($B$3:B579)+1,"")</f>
        <v/>
      </c>
      <c r="E580">
        <f>IFERROR(MATCH(577,$B$4:$B$1003,0),"")</f>
        <v/>
      </c>
    </row>
    <row r="581">
      <c r="A581">
        <f>IF(AND(LEN('My equipment'!A81)&gt;0,ISNUMBER('My equipment'!M81),'My equipment'!Q81&lt;&gt;"Claim settled",'My equipment'!Q81&lt;&gt;"No claim needed",'My equipment'!Q81&lt;&gt;"Cover extended"),'My equipment'!M81+578/100000,"")</f>
        <v/>
      </c>
      <c r="B581">
        <f>IF(AND(LEN('My equipment'!A81)&gt;0,ISNUMBER('My equipment'!M81)),MAX($B$3:B580)+1,"")</f>
        <v/>
      </c>
      <c r="E581">
        <f>IFERROR(MATCH(578,$B$4:$B$1003,0),"")</f>
        <v/>
      </c>
    </row>
    <row r="582">
      <c r="A582">
        <f>IF(AND(LEN('My equipment'!A82)&gt;0,ISNUMBER('My equipment'!M82),'My equipment'!Q82&lt;&gt;"Claim settled",'My equipment'!Q82&lt;&gt;"No claim needed",'My equipment'!Q82&lt;&gt;"Cover extended"),'My equipment'!M82+579/100000,"")</f>
        <v/>
      </c>
      <c r="B582">
        <f>IF(AND(LEN('My equipment'!A82)&gt;0,ISNUMBER('My equipment'!M82)),MAX($B$3:B581)+1,"")</f>
        <v/>
      </c>
      <c r="E582">
        <f>IFERROR(MATCH(579,$B$4:$B$1003,0),"")</f>
        <v/>
      </c>
    </row>
    <row r="583">
      <c r="A583">
        <f>IF(AND(LEN('My equipment'!A83)&gt;0,ISNUMBER('My equipment'!M83),'My equipment'!Q83&lt;&gt;"Claim settled",'My equipment'!Q83&lt;&gt;"No claim needed",'My equipment'!Q83&lt;&gt;"Cover extended"),'My equipment'!M83+580/100000,"")</f>
        <v/>
      </c>
      <c r="B583">
        <f>IF(AND(LEN('My equipment'!A83)&gt;0,ISNUMBER('My equipment'!M83)),MAX($B$3:B582)+1,"")</f>
        <v/>
      </c>
      <c r="E583">
        <f>IFERROR(MATCH(580,$B$4:$B$1003,0),"")</f>
        <v/>
      </c>
    </row>
    <row r="584">
      <c r="A584">
        <f>IF(AND(LEN('My equipment'!A84)&gt;0,ISNUMBER('My equipment'!M84),'My equipment'!Q84&lt;&gt;"Claim settled",'My equipment'!Q84&lt;&gt;"No claim needed",'My equipment'!Q84&lt;&gt;"Cover extended"),'My equipment'!M84+581/100000,"")</f>
        <v/>
      </c>
      <c r="B584">
        <f>IF(AND(LEN('My equipment'!A84)&gt;0,ISNUMBER('My equipment'!M84)),MAX($B$3:B583)+1,"")</f>
        <v/>
      </c>
      <c r="E584">
        <f>IFERROR(MATCH(581,$B$4:$B$1003,0),"")</f>
        <v/>
      </c>
    </row>
    <row r="585">
      <c r="A585">
        <f>IF(AND(LEN('My equipment'!A85)&gt;0,ISNUMBER('My equipment'!M85),'My equipment'!Q85&lt;&gt;"Claim settled",'My equipment'!Q85&lt;&gt;"No claim needed",'My equipment'!Q85&lt;&gt;"Cover extended"),'My equipment'!M85+582/100000,"")</f>
        <v/>
      </c>
      <c r="B585">
        <f>IF(AND(LEN('My equipment'!A85)&gt;0,ISNUMBER('My equipment'!M85)),MAX($B$3:B584)+1,"")</f>
        <v/>
      </c>
      <c r="E585">
        <f>IFERROR(MATCH(582,$B$4:$B$1003,0),"")</f>
        <v/>
      </c>
    </row>
    <row r="586">
      <c r="A586">
        <f>IF(AND(LEN('My equipment'!A86)&gt;0,ISNUMBER('My equipment'!M86),'My equipment'!Q86&lt;&gt;"Claim settled",'My equipment'!Q86&lt;&gt;"No claim needed",'My equipment'!Q86&lt;&gt;"Cover extended"),'My equipment'!M86+583/100000,"")</f>
        <v/>
      </c>
      <c r="B586">
        <f>IF(AND(LEN('My equipment'!A86)&gt;0,ISNUMBER('My equipment'!M86)),MAX($B$3:B585)+1,"")</f>
        <v/>
      </c>
      <c r="E586">
        <f>IFERROR(MATCH(583,$B$4:$B$1003,0),"")</f>
        <v/>
      </c>
    </row>
    <row r="587">
      <c r="A587">
        <f>IF(AND(LEN('My equipment'!A87)&gt;0,ISNUMBER('My equipment'!M87),'My equipment'!Q87&lt;&gt;"Claim settled",'My equipment'!Q87&lt;&gt;"No claim needed",'My equipment'!Q87&lt;&gt;"Cover extended"),'My equipment'!M87+584/100000,"")</f>
        <v/>
      </c>
      <c r="B587">
        <f>IF(AND(LEN('My equipment'!A87)&gt;0,ISNUMBER('My equipment'!M87)),MAX($B$3:B586)+1,"")</f>
        <v/>
      </c>
      <c r="E587">
        <f>IFERROR(MATCH(584,$B$4:$B$1003,0),"")</f>
        <v/>
      </c>
    </row>
    <row r="588">
      <c r="A588">
        <f>IF(AND(LEN('My equipment'!A88)&gt;0,ISNUMBER('My equipment'!M88),'My equipment'!Q88&lt;&gt;"Claim settled",'My equipment'!Q88&lt;&gt;"No claim needed",'My equipment'!Q88&lt;&gt;"Cover extended"),'My equipment'!M88+585/100000,"")</f>
        <v/>
      </c>
      <c r="B588">
        <f>IF(AND(LEN('My equipment'!A88)&gt;0,ISNUMBER('My equipment'!M88)),MAX($B$3:B587)+1,"")</f>
        <v/>
      </c>
      <c r="E588">
        <f>IFERROR(MATCH(585,$B$4:$B$1003,0),"")</f>
        <v/>
      </c>
    </row>
    <row r="589">
      <c r="A589">
        <f>IF(AND(LEN('My equipment'!A89)&gt;0,ISNUMBER('My equipment'!M89),'My equipment'!Q89&lt;&gt;"Claim settled",'My equipment'!Q89&lt;&gt;"No claim needed",'My equipment'!Q89&lt;&gt;"Cover extended"),'My equipment'!M89+586/100000,"")</f>
        <v/>
      </c>
      <c r="B589">
        <f>IF(AND(LEN('My equipment'!A89)&gt;0,ISNUMBER('My equipment'!M89)),MAX($B$3:B588)+1,"")</f>
        <v/>
      </c>
      <c r="E589">
        <f>IFERROR(MATCH(586,$B$4:$B$1003,0),"")</f>
        <v/>
      </c>
    </row>
    <row r="590">
      <c r="A590">
        <f>IF(AND(LEN('My equipment'!A90)&gt;0,ISNUMBER('My equipment'!M90),'My equipment'!Q90&lt;&gt;"Claim settled",'My equipment'!Q90&lt;&gt;"No claim needed",'My equipment'!Q90&lt;&gt;"Cover extended"),'My equipment'!M90+587/100000,"")</f>
        <v/>
      </c>
      <c r="B590">
        <f>IF(AND(LEN('My equipment'!A90)&gt;0,ISNUMBER('My equipment'!M90)),MAX($B$3:B589)+1,"")</f>
        <v/>
      </c>
      <c r="E590">
        <f>IFERROR(MATCH(587,$B$4:$B$1003,0),"")</f>
        <v/>
      </c>
    </row>
    <row r="591">
      <c r="A591">
        <f>IF(AND(LEN('My equipment'!A91)&gt;0,ISNUMBER('My equipment'!M91),'My equipment'!Q91&lt;&gt;"Claim settled",'My equipment'!Q91&lt;&gt;"No claim needed",'My equipment'!Q91&lt;&gt;"Cover extended"),'My equipment'!M91+588/100000,"")</f>
        <v/>
      </c>
      <c r="B591">
        <f>IF(AND(LEN('My equipment'!A91)&gt;0,ISNUMBER('My equipment'!M91)),MAX($B$3:B590)+1,"")</f>
        <v/>
      </c>
      <c r="E591">
        <f>IFERROR(MATCH(588,$B$4:$B$1003,0),"")</f>
        <v/>
      </c>
    </row>
    <row r="592">
      <c r="A592">
        <f>IF(AND(LEN('My equipment'!A92)&gt;0,ISNUMBER('My equipment'!M92),'My equipment'!Q92&lt;&gt;"Claim settled",'My equipment'!Q92&lt;&gt;"No claim needed",'My equipment'!Q92&lt;&gt;"Cover extended"),'My equipment'!M92+589/100000,"")</f>
        <v/>
      </c>
      <c r="B592">
        <f>IF(AND(LEN('My equipment'!A92)&gt;0,ISNUMBER('My equipment'!M92)),MAX($B$3:B591)+1,"")</f>
        <v/>
      </c>
      <c r="E592">
        <f>IFERROR(MATCH(589,$B$4:$B$1003,0),"")</f>
        <v/>
      </c>
    </row>
    <row r="593">
      <c r="A593">
        <f>IF(AND(LEN('My equipment'!A93)&gt;0,ISNUMBER('My equipment'!M93),'My equipment'!Q93&lt;&gt;"Claim settled",'My equipment'!Q93&lt;&gt;"No claim needed",'My equipment'!Q93&lt;&gt;"Cover extended"),'My equipment'!M93+590/100000,"")</f>
        <v/>
      </c>
      <c r="B593">
        <f>IF(AND(LEN('My equipment'!A93)&gt;0,ISNUMBER('My equipment'!M93)),MAX($B$3:B592)+1,"")</f>
        <v/>
      </c>
      <c r="E593">
        <f>IFERROR(MATCH(590,$B$4:$B$1003,0),"")</f>
        <v/>
      </c>
    </row>
    <row r="594">
      <c r="A594">
        <f>IF(AND(LEN('My equipment'!A94)&gt;0,ISNUMBER('My equipment'!M94),'My equipment'!Q94&lt;&gt;"Claim settled",'My equipment'!Q94&lt;&gt;"No claim needed",'My equipment'!Q94&lt;&gt;"Cover extended"),'My equipment'!M94+591/100000,"")</f>
        <v/>
      </c>
      <c r="B594">
        <f>IF(AND(LEN('My equipment'!A94)&gt;0,ISNUMBER('My equipment'!M94)),MAX($B$3:B593)+1,"")</f>
        <v/>
      </c>
      <c r="E594">
        <f>IFERROR(MATCH(591,$B$4:$B$1003,0),"")</f>
        <v/>
      </c>
    </row>
    <row r="595">
      <c r="A595">
        <f>IF(AND(LEN('My equipment'!A95)&gt;0,ISNUMBER('My equipment'!M95),'My equipment'!Q95&lt;&gt;"Claim settled",'My equipment'!Q95&lt;&gt;"No claim needed",'My equipment'!Q95&lt;&gt;"Cover extended"),'My equipment'!M95+592/100000,"")</f>
        <v/>
      </c>
      <c r="B595">
        <f>IF(AND(LEN('My equipment'!A95)&gt;0,ISNUMBER('My equipment'!M95)),MAX($B$3:B594)+1,"")</f>
        <v/>
      </c>
      <c r="E595">
        <f>IFERROR(MATCH(592,$B$4:$B$1003,0),"")</f>
        <v/>
      </c>
    </row>
    <row r="596">
      <c r="A596">
        <f>IF(AND(LEN('My equipment'!A96)&gt;0,ISNUMBER('My equipment'!M96),'My equipment'!Q96&lt;&gt;"Claim settled",'My equipment'!Q96&lt;&gt;"No claim needed",'My equipment'!Q96&lt;&gt;"Cover extended"),'My equipment'!M96+593/100000,"")</f>
        <v/>
      </c>
      <c r="B596">
        <f>IF(AND(LEN('My equipment'!A96)&gt;0,ISNUMBER('My equipment'!M96)),MAX($B$3:B595)+1,"")</f>
        <v/>
      </c>
      <c r="E596">
        <f>IFERROR(MATCH(593,$B$4:$B$1003,0),"")</f>
        <v/>
      </c>
    </row>
    <row r="597">
      <c r="A597">
        <f>IF(AND(LEN('My equipment'!A97)&gt;0,ISNUMBER('My equipment'!M97),'My equipment'!Q97&lt;&gt;"Claim settled",'My equipment'!Q97&lt;&gt;"No claim needed",'My equipment'!Q97&lt;&gt;"Cover extended"),'My equipment'!M97+594/100000,"")</f>
        <v/>
      </c>
      <c r="B597">
        <f>IF(AND(LEN('My equipment'!A97)&gt;0,ISNUMBER('My equipment'!M97)),MAX($B$3:B596)+1,"")</f>
        <v/>
      </c>
      <c r="E597">
        <f>IFERROR(MATCH(594,$B$4:$B$1003,0),"")</f>
        <v/>
      </c>
    </row>
    <row r="598">
      <c r="A598">
        <f>IF(AND(LEN('My equipment'!A98)&gt;0,ISNUMBER('My equipment'!M98),'My equipment'!Q98&lt;&gt;"Claim settled",'My equipment'!Q98&lt;&gt;"No claim needed",'My equipment'!Q98&lt;&gt;"Cover extended"),'My equipment'!M98+595/100000,"")</f>
        <v/>
      </c>
      <c r="B598">
        <f>IF(AND(LEN('My equipment'!A98)&gt;0,ISNUMBER('My equipment'!M98)),MAX($B$3:B597)+1,"")</f>
        <v/>
      </c>
      <c r="E598">
        <f>IFERROR(MATCH(595,$B$4:$B$1003,0),"")</f>
        <v/>
      </c>
    </row>
    <row r="599">
      <c r="A599">
        <f>IF(AND(LEN('My equipment'!A99)&gt;0,ISNUMBER('My equipment'!M99),'My equipment'!Q99&lt;&gt;"Claim settled",'My equipment'!Q99&lt;&gt;"No claim needed",'My equipment'!Q99&lt;&gt;"Cover extended"),'My equipment'!M99+596/100000,"")</f>
        <v/>
      </c>
      <c r="B599">
        <f>IF(AND(LEN('My equipment'!A99)&gt;0,ISNUMBER('My equipment'!M99)),MAX($B$3:B598)+1,"")</f>
        <v/>
      </c>
      <c r="E599">
        <f>IFERROR(MATCH(596,$B$4:$B$1003,0),"")</f>
        <v/>
      </c>
    </row>
    <row r="600">
      <c r="A600">
        <f>IF(AND(LEN('My equipment'!A100)&gt;0,ISNUMBER('My equipment'!M100),'My equipment'!Q100&lt;&gt;"Claim settled",'My equipment'!Q100&lt;&gt;"No claim needed",'My equipment'!Q100&lt;&gt;"Cover extended"),'My equipment'!M100+597/100000,"")</f>
        <v/>
      </c>
      <c r="B600">
        <f>IF(AND(LEN('My equipment'!A100)&gt;0,ISNUMBER('My equipment'!M100)),MAX($B$3:B599)+1,"")</f>
        <v/>
      </c>
      <c r="E600">
        <f>IFERROR(MATCH(597,$B$4:$B$1003,0),"")</f>
        <v/>
      </c>
    </row>
    <row r="601">
      <c r="A601">
        <f>IF(AND(LEN('My equipment'!A101)&gt;0,ISNUMBER('My equipment'!M101),'My equipment'!Q101&lt;&gt;"Claim settled",'My equipment'!Q101&lt;&gt;"No claim needed",'My equipment'!Q101&lt;&gt;"Cover extended"),'My equipment'!M101+598/100000,"")</f>
        <v/>
      </c>
      <c r="B601">
        <f>IF(AND(LEN('My equipment'!A101)&gt;0,ISNUMBER('My equipment'!M101)),MAX($B$3:B600)+1,"")</f>
        <v/>
      </c>
      <c r="E601">
        <f>IFERROR(MATCH(598,$B$4:$B$1003,0),"")</f>
        <v/>
      </c>
    </row>
    <row r="602">
      <c r="A602">
        <f>IF(AND(LEN('My equipment'!A102)&gt;0,ISNUMBER('My equipment'!M102),'My equipment'!Q102&lt;&gt;"Claim settled",'My equipment'!Q102&lt;&gt;"No claim needed",'My equipment'!Q102&lt;&gt;"Cover extended"),'My equipment'!M102+599/100000,"")</f>
        <v/>
      </c>
      <c r="B602">
        <f>IF(AND(LEN('My equipment'!A102)&gt;0,ISNUMBER('My equipment'!M102)),MAX($B$3:B601)+1,"")</f>
        <v/>
      </c>
      <c r="E602">
        <f>IFERROR(MATCH(599,$B$4:$B$1003,0),"")</f>
        <v/>
      </c>
    </row>
    <row r="603">
      <c r="A603">
        <f>IF(AND(LEN('My equipment'!A103)&gt;0,ISNUMBER('My equipment'!M103),'My equipment'!Q103&lt;&gt;"Claim settled",'My equipment'!Q103&lt;&gt;"No claim needed",'My equipment'!Q103&lt;&gt;"Cover extended"),'My equipment'!M103+600/100000,"")</f>
        <v/>
      </c>
      <c r="B603">
        <f>IF(AND(LEN('My equipment'!A103)&gt;0,ISNUMBER('My equipment'!M103)),MAX($B$3:B602)+1,"")</f>
        <v/>
      </c>
      <c r="E603">
        <f>IFERROR(MATCH(600,$B$4:$B$1003,0),"")</f>
        <v/>
      </c>
    </row>
    <row r="604">
      <c r="A604">
        <f>IF(AND(LEN('My equipment'!A104)&gt;0,ISNUMBER('My equipment'!M104),'My equipment'!Q104&lt;&gt;"Claim settled",'My equipment'!Q104&lt;&gt;"No claim needed",'My equipment'!Q104&lt;&gt;"Cover extended"),'My equipment'!M104+601/100000,"")</f>
        <v/>
      </c>
      <c r="B604">
        <f>IF(AND(LEN('My equipment'!A104)&gt;0,ISNUMBER('My equipment'!M104)),MAX($B$3:B603)+1,"")</f>
        <v/>
      </c>
      <c r="E604">
        <f>IFERROR(MATCH(601,$B$4:$B$1003,0),"")</f>
        <v/>
      </c>
    </row>
    <row r="605">
      <c r="A605">
        <f>IF(AND(LEN('My equipment'!A105)&gt;0,ISNUMBER('My equipment'!M105),'My equipment'!Q105&lt;&gt;"Claim settled",'My equipment'!Q105&lt;&gt;"No claim needed",'My equipment'!Q105&lt;&gt;"Cover extended"),'My equipment'!M105+602/100000,"")</f>
        <v/>
      </c>
      <c r="B605">
        <f>IF(AND(LEN('My equipment'!A105)&gt;0,ISNUMBER('My equipment'!M105)),MAX($B$3:B604)+1,"")</f>
        <v/>
      </c>
      <c r="E605">
        <f>IFERROR(MATCH(602,$B$4:$B$1003,0),"")</f>
        <v/>
      </c>
    </row>
    <row r="606">
      <c r="A606">
        <f>IF(AND(LEN('My equipment'!A106)&gt;0,ISNUMBER('My equipment'!M106),'My equipment'!Q106&lt;&gt;"Claim settled",'My equipment'!Q106&lt;&gt;"No claim needed",'My equipment'!Q106&lt;&gt;"Cover extended"),'My equipment'!M106+603/100000,"")</f>
        <v/>
      </c>
      <c r="B606">
        <f>IF(AND(LEN('My equipment'!A106)&gt;0,ISNUMBER('My equipment'!M106)),MAX($B$3:B605)+1,"")</f>
        <v/>
      </c>
      <c r="E606">
        <f>IFERROR(MATCH(603,$B$4:$B$1003,0),"")</f>
        <v/>
      </c>
    </row>
    <row r="607">
      <c r="A607">
        <f>IF(AND(LEN('My equipment'!A107)&gt;0,ISNUMBER('My equipment'!M107),'My equipment'!Q107&lt;&gt;"Claim settled",'My equipment'!Q107&lt;&gt;"No claim needed",'My equipment'!Q107&lt;&gt;"Cover extended"),'My equipment'!M107+604/100000,"")</f>
        <v/>
      </c>
      <c r="B607">
        <f>IF(AND(LEN('My equipment'!A107)&gt;0,ISNUMBER('My equipment'!M107)),MAX($B$3:B606)+1,"")</f>
        <v/>
      </c>
      <c r="E607">
        <f>IFERROR(MATCH(604,$B$4:$B$1003,0),"")</f>
        <v/>
      </c>
    </row>
    <row r="608">
      <c r="A608">
        <f>IF(AND(LEN('My equipment'!A108)&gt;0,ISNUMBER('My equipment'!M108),'My equipment'!Q108&lt;&gt;"Claim settled",'My equipment'!Q108&lt;&gt;"No claim needed",'My equipment'!Q108&lt;&gt;"Cover extended"),'My equipment'!M108+605/100000,"")</f>
        <v/>
      </c>
      <c r="B608">
        <f>IF(AND(LEN('My equipment'!A108)&gt;0,ISNUMBER('My equipment'!M108)),MAX($B$3:B607)+1,"")</f>
        <v/>
      </c>
      <c r="E608">
        <f>IFERROR(MATCH(605,$B$4:$B$1003,0),"")</f>
        <v/>
      </c>
    </row>
    <row r="609">
      <c r="A609">
        <f>IF(AND(LEN('My equipment'!A109)&gt;0,ISNUMBER('My equipment'!M109),'My equipment'!Q109&lt;&gt;"Claim settled",'My equipment'!Q109&lt;&gt;"No claim needed",'My equipment'!Q109&lt;&gt;"Cover extended"),'My equipment'!M109+606/100000,"")</f>
        <v/>
      </c>
      <c r="B609">
        <f>IF(AND(LEN('My equipment'!A109)&gt;0,ISNUMBER('My equipment'!M109)),MAX($B$3:B608)+1,"")</f>
        <v/>
      </c>
      <c r="E609">
        <f>IFERROR(MATCH(606,$B$4:$B$1003,0),"")</f>
        <v/>
      </c>
    </row>
    <row r="610">
      <c r="A610">
        <f>IF(AND(LEN('My equipment'!A110)&gt;0,ISNUMBER('My equipment'!M110),'My equipment'!Q110&lt;&gt;"Claim settled",'My equipment'!Q110&lt;&gt;"No claim needed",'My equipment'!Q110&lt;&gt;"Cover extended"),'My equipment'!M110+607/100000,"")</f>
        <v/>
      </c>
      <c r="B610">
        <f>IF(AND(LEN('My equipment'!A110)&gt;0,ISNUMBER('My equipment'!M110)),MAX($B$3:B609)+1,"")</f>
        <v/>
      </c>
      <c r="E610">
        <f>IFERROR(MATCH(607,$B$4:$B$1003,0),"")</f>
        <v/>
      </c>
    </row>
    <row r="611">
      <c r="A611">
        <f>IF(AND(LEN('My equipment'!A111)&gt;0,ISNUMBER('My equipment'!M111),'My equipment'!Q111&lt;&gt;"Claim settled",'My equipment'!Q111&lt;&gt;"No claim needed",'My equipment'!Q111&lt;&gt;"Cover extended"),'My equipment'!M111+608/100000,"")</f>
        <v/>
      </c>
      <c r="B611">
        <f>IF(AND(LEN('My equipment'!A111)&gt;0,ISNUMBER('My equipment'!M111)),MAX($B$3:B610)+1,"")</f>
        <v/>
      </c>
      <c r="E611">
        <f>IFERROR(MATCH(608,$B$4:$B$1003,0),"")</f>
        <v/>
      </c>
    </row>
    <row r="612">
      <c r="A612">
        <f>IF(AND(LEN('My equipment'!A112)&gt;0,ISNUMBER('My equipment'!M112),'My equipment'!Q112&lt;&gt;"Claim settled",'My equipment'!Q112&lt;&gt;"No claim needed",'My equipment'!Q112&lt;&gt;"Cover extended"),'My equipment'!M112+609/100000,"")</f>
        <v/>
      </c>
      <c r="B612">
        <f>IF(AND(LEN('My equipment'!A112)&gt;0,ISNUMBER('My equipment'!M112)),MAX($B$3:B611)+1,"")</f>
        <v/>
      </c>
      <c r="E612">
        <f>IFERROR(MATCH(609,$B$4:$B$1003,0),"")</f>
        <v/>
      </c>
    </row>
    <row r="613">
      <c r="A613">
        <f>IF(AND(LEN('My equipment'!A113)&gt;0,ISNUMBER('My equipment'!M113),'My equipment'!Q113&lt;&gt;"Claim settled",'My equipment'!Q113&lt;&gt;"No claim needed",'My equipment'!Q113&lt;&gt;"Cover extended"),'My equipment'!M113+610/100000,"")</f>
        <v/>
      </c>
      <c r="B613">
        <f>IF(AND(LEN('My equipment'!A113)&gt;0,ISNUMBER('My equipment'!M113)),MAX($B$3:B612)+1,"")</f>
        <v/>
      </c>
      <c r="E613">
        <f>IFERROR(MATCH(610,$B$4:$B$1003,0),"")</f>
        <v/>
      </c>
    </row>
    <row r="614">
      <c r="A614">
        <f>IF(AND(LEN('My equipment'!A114)&gt;0,ISNUMBER('My equipment'!M114),'My equipment'!Q114&lt;&gt;"Claim settled",'My equipment'!Q114&lt;&gt;"No claim needed",'My equipment'!Q114&lt;&gt;"Cover extended"),'My equipment'!M114+611/100000,"")</f>
        <v/>
      </c>
      <c r="B614">
        <f>IF(AND(LEN('My equipment'!A114)&gt;0,ISNUMBER('My equipment'!M114)),MAX($B$3:B613)+1,"")</f>
        <v/>
      </c>
      <c r="E614">
        <f>IFERROR(MATCH(611,$B$4:$B$1003,0),"")</f>
        <v/>
      </c>
    </row>
    <row r="615">
      <c r="A615">
        <f>IF(AND(LEN('My equipment'!A115)&gt;0,ISNUMBER('My equipment'!M115),'My equipment'!Q115&lt;&gt;"Claim settled",'My equipment'!Q115&lt;&gt;"No claim needed",'My equipment'!Q115&lt;&gt;"Cover extended"),'My equipment'!M115+612/100000,"")</f>
        <v/>
      </c>
      <c r="B615">
        <f>IF(AND(LEN('My equipment'!A115)&gt;0,ISNUMBER('My equipment'!M115)),MAX($B$3:B614)+1,"")</f>
        <v/>
      </c>
      <c r="E615">
        <f>IFERROR(MATCH(612,$B$4:$B$1003,0),"")</f>
        <v/>
      </c>
    </row>
    <row r="616">
      <c r="A616">
        <f>IF(AND(LEN('My equipment'!A116)&gt;0,ISNUMBER('My equipment'!M116),'My equipment'!Q116&lt;&gt;"Claim settled",'My equipment'!Q116&lt;&gt;"No claim needed",'My equipment'!Q116&lt;&gt;"Cover extended"),'My equipment'!M116+613/100000,"")</f>
        <v/>
      </c>
      <c r="B616">
        <f>IF(AND(LEN('My equipment'!A116)&gt;0,ISNUMBER('My equipment'!M116)),MAX($B$3:B615)+1,"")</f>
        <v/>
      </c>
      <c r="E616">
        <f>IFERROR(MATCH(613,$B$4:$B$1003,0),"")</f>
        <v/>
      </c>
    </row>
    <row r="617">
      <c r="A617">
        <f>IF(AND(LEN('My equipment'!A117)&gt;0,ISNUMBER('My equipment'!M117),'My equipment'!Q117&lt;&gt;"Claim settled",'My equipment'!Q117&lt;&gt;"No claim needed",'My equipment'!Q117&lt;&gt;"Cover extended"),'My equipment'!M117+614/100000,"")</f>
        <v/>
      </c>
      <c r="B617">
        <f>IF(AND(LEN('My equipment'!A117)&gt;0,ISNUMBER('My equipment'!M117)),MAX($B$3:B616)+1,"")</f>
        <v/>
      </c>
      <c r="E617">
        <f>IFERROR(MATCH(614,$B$4:$B$1003,0),"")</f>
        <v/>
      </c>
    </row>
    <row r="618">
      <c r="A618">
        <f>IF(AND(LEN('My equipment'!A118)&gt;0,ISNUMBER('My equipment'!M118),'My equipment'!Q118&lt;&gt;"Claim settled",'My equipment'!Q118&lt;&gt;"No claim needed",'My equipment'!Q118&lt;&gt;"Cover extended"),'My equipment'!M118+615/100000,"")</f>
        <v/>
      </c>
      <c r="B618">
        <f>IF(AND(LEN('My equipment'!A118)&gt;0,ISNUMBER('My equipment'!M118)),MAX($B$3:B617)+1,"")</f>
        <v/>
      </c>
      <c r="E618">
        <f>IFERROR(MATCH(615,$B$4:$B$1003,0),"")</f>
        <v/>
      </c>
    </row>
    <row r="619">
      <c r="A619">
        <f>IF(AND(LEN('My equipment'!A119)&gt;0,ISNUMBER('My equipment'!M119),'My equipment'!Q119&lt;&gt;"Claim settled",'My equipment'!Q119&lt;&gt;"No claim needed",'My equipment'!Q119&lt;&gt;"Cover extended"),'My equipment'!M119+616/100000,"")</f>
        <v/>
      </c>
      <c r="B619">
        <f>IF(AND(LEN('My equipment'!A119)&gt;0,ISNUMBER('My equipment'!M119)),MAX($B$3:B618)+1,"")</f>
        <v/>
      </c>
      <c r="E619">
        <f>IFERROR(MATCH(616,$B$4:$B$1003,0),"")</f>
        <v/>
      </c>
    </row>
    <row r="620">
      <c r="A620">
        <f>IF(AND(LEN('My equipment'!A120)&gt;0,ISNUMBER('My equipment'!M120),'My equipment'!Q120&lt;&gt;"Claim settled",'My equipment'!Q120&lt;&gt;"No claim needed",'My equipment'!Q120&lt;&gt;"Cover extended"),'My equipment'!M120+617/100000,"")</f>
        <v/>
      </c>
      <c r="B620">
        <f>IF(AND(LEN('My equipment'!A120)&gt;0,ISNUMBER('My equipment'!M120)),MAX($B$3:B619)+1,"")</f>
        <v/>
      </c>
      <c r="E620">
        <f>IFERROR(MATCH(617,$B$4:$B$1003,0),"")</f>
        <v/>
      </c>
    </row>
    <row r="621">
      <c r="A621">
        <f>IF(AND(LEN('My equipment'!A121)&gt;0,ISNUMBER('My equipment'!M121),'My equipment'!Q121&lt;&gt;"Claim settled",'My equipment'!Q121&lt;&gt;"No claim needed",'My equipment'!Q121&lt;&gt;"Cover extended"),'My equipment'!M121+618/100000,"")</f>
        <v/>
      </c>
      <c r="B621">
        <f>IF(AND(LEN('My equipment'!A121)&gt;0,ISNUMBER('My equipment'!M121)),MAX($B$3:B620)+1,"")</f>
        <v/>
      </c>
      <c r="E621">
        <f>IFERROR(MATCH(618,$B$4:$B$1003,0),"")</f>
        <v/>
      </c>
    </row>
    <row r="622">
      <c r="A622">
        <f>IF(AND(LEN('My equipment'!A122)&gt;0,ISNUMBER('My equipment'!M122),'My equipment'!Q122&lt;&gt;"Claim settled",'My equipment'!Q122&lt;&gt;"No claim needed",'My equipment'!Q122&lt;&gt;"Cover extended"),'My equipment'!M122+619/100000,"")</f>
        <v/>
      </c>
      <c r="B622">
        <f>IF(AND(LEN('My equipment'!A122)&gt;0,ISNUMBER('My equipment'!M122)),MAX($B$3:B621)+1,"")</f>
        <v/>
      </c>
      <c r="E622">
        <f>IFERROR(MATCH(619,$B$4:$B$1003,0),"")</f>
        <v/>
      </c>
    </row>
    <row r="623">
      <c r="A623">
        <f>IF(AND(LEN('My equipment'!A123)&gt;0,ISNUMBER('My equipment'!M123),'My equipment'!Q123&lt;&gt;"Claim settled",'My equipment'!Q123&lt;&gt;"No claim needed",'My equipment'!Q123&lt;&gt;"Cover extended"),'My equipment'!M123+620/100000,"")</f>
        <v/>
      </c>
      <c r="B623">
        <f>IF(AND(LEN('My equipment'!A123)&gt;0,ISNUMBER('My equipment'!M123)),MAX($B$3:B622)+1,"")</f>
        <v/>
      </c>
      <c r="E623">
        <f>IFERROR(MATCH(620,$B$4:$B$1003,0),"")</f>
        <v/>
      </c>
    </row>
    <row r="624">
      <c r="A624">
        <f>IF(AND(LEN('My equipment'!A124)&gt;0,ISNUMBER('My equipment'!M124),'My equipment'!Q124&lt;&gt;"Claim settled",'My equipment'!Q124&lt;&gt;"No claim needed",'My equipment'!Q124&lt;&gt;"Cover extended"),'My equipment'!M124+621/100000,"")</f>
        <v/>
      </c>
      <c r="B624">
        <f>IF(AND(LEN('My equipment'!A124)&gt;0,ISNUMBER('My equipment'!M124)),MAX($B$3:B623)+1,"")</f>
        <v/>
      </c>
      <c r="E624">
        <f>IFERROR(MATCH(621,$B$4:$B$1003,0),"")</f>
        <v/>
      </c>
    </row>
    <row r="625">
      <c r="A625">
        <f>IF(AND(LEN('My equipment'!A125)&gt;0,ISNUMBER('My equipment'!M125),'My equipment'!Q125&lt;&gt;"Claim settled",'My equipment'!Q125&lt;&gt;"No claim needed",'My equipment'!Q125&lt;&gt;"Cover extended"),'My equipment'!M125+622/100000,"")</f>
        <v/>
      </c>
      <c r="B625">
        <f>IF(AND(LEN('My equipment'!A125)&gt;0,ISNUMBER('My equipment'!M125)),MAX($B$3:B624)+1,"")</f>
        <v/>
      </c>
      <c r="E625">
        <f>IFERROR(MATCH(622,$B$4:$B$1003,0),"")</f>
        <v/>
      </c>
    </row>
    <row r="626">
      <c r="A626">
        <f>IF(AND(LEN('My equipment'!A126)&gt;0,ISNUMBER('My equipment'!M126),'My equipment'!Q126&lt;&gt;"Claim settled",'My equipment'!Q126&lt;&gt;"No claim needed",'My equipment'!Q126&lt;&gt;"Cover extended"),'My equipment'!M126+623/100000,"")</f>
        <v/>
      </c>
      <c r="B626">
        <f>IF(AND(LEN('My equipment'!A126)&gt;0,ISNUMBER('My equipment'!M126)),MAX($B$3:B625)+1,"")</f>
        <v/>
      </c>
      <c r="E626">
        <f>IFERROR(MATCH(623,$B$4:$B$1003,0),"")</f>
        <v/>
      </c>
    </row>
    <row r="627">
      <c r="A627">
        <f>IF(AND(LEN('My equipment'!A127)&gt;0,ISNUMBER('My equipment'!M127),'My equipment'!Q127&lt;&gt;"Claim settled",'My equipment'!Q127&lt;&gt;"No claim needed",'My equipment'!Q127&lt;&gt;"Cover extended"),'My equipment'!M127+624/100000,"")</f>
        <v/>
      </c>
      <c r="B627">
        <f>IF(AND(LEN('My equipment'!A127)&gt;0,ISNUMBER('My equipment'!M127)),MAX($B$3:B626)+1,"")</f>
        <v/>
      </c>
      <c r="E627">
        <f>IFERROR(MATCH(624,$B$4:$B$1003,0),"")</f>
        <v/>
      </c>
    </row>
    <row r="628">
      <c r="A628">
        <f>IF(AND(LEN('My equipment'!A128)&gt;0,ISNUMBER('My equipment'!M128),'My equipment'!Q128&lt;&gt;"Claim settled",'My equipment'!Q128&lt;&gt;"No claim needed",'My equipment'!Q128&lt;&gt;"Cover extended"),'My equipment'!M128+625/100000,"")</f>
        <v/>
      </c>
      <c r="B628">
        <f>IF(AND(LEN('My equipment'!A128)&gt;0,ISNUMBER('My equipment'!M128)),MAX($B$3:B627)+1,"")</f>
        <v/>
      </c>
      <c r="E628">
        <f>IFERROR(MATCH(625,$B$4:$B$1003,0),"")</f>
        <v/>
      </c>
    </row>
    <row r="629">
      <c r="A629">
        <f>IF(AND(LEN('My equipment'!A129)&gt;0,ISNUMBER('My equipment'!M129),'My equipment'!Q129&lt;&gt;"Claim settled",'My equipment'!Q129&lt;&gt;"No claim needed",'My equipment'!Q129&lt;&gt;"Cover extended"),'My equipment'!M129+626/100000,"")</f>
        <v/>
      </c>
      <c r="B629">
        <f>IF(AND(LEN('My equipment'!A129)&gt;0,ISNUMBER('My equipment'!M129)),MAX($B$3:B628)+1,"")</f>
        <v/>
      </c>
      <c r="E629">
        <f>IFERROR(MATCH(626,$B$4:$B$1003,0),"")</f>
        <v/>
      </c>
    </row>
    <row r="630">
      <c r="A630">
        <f>IF(AND(LEN('My equipment'!A130)&gt;0,ISNUMBER('My equipment'!M130),'My equipment'!Q130&lt;&gt;"Claim settled",'My equipment'!Q130&lt;&gt;"No claim needed",'My equipment'!Q130&lt;&gt;"Cover extended"),'My equipment'!M130+627/100000,"")</f>
        <v/>
      </c>
      <c r="B630">
        <f>IF(AND(LEN('My equipment'!A130)&gt;0,ISNUMBER('My equipment'!M130)),MAX($B$3:B629)+1,"")</f>
        <v/>
      </c>
      <c r="E630">
        <f>IFERROR(MATCH(627,$B$4:$B$1003,0),"")</f>
        <v/>
      </c>
    </row>
    <row r="631">
      <c r="A631">
        <f>IF(AND(LEN('My equipment'!A131)&gt;0,ISNUMBER('My equipment'!M131),'My equipment'!Q131&lt;&gt;"Claim settled",'My equipment'!Q131&lt;&gt;"No claim needed",'My equipment'!Q131&lt;&gt;"Cover extended"),'My equipment'!M131+628/100000,"")</f>
        <v/>
      </c>
      <c r="B631">
        <f>IF(AND(LEN('My equipment'!A131)&gt;0,ISNUMBER('My equipment'!M131)),MAX($B$3:B630)+1,"")</f>
        <v/>
      </c>
      <c r="E631">
        <f>IFERROR(MATCH(628,$B$4:$B$1003,0),"")</f>
        <v/>
      </c>
    </row>
    <row r="632">
      <c r="A632">
        <f>IF(AND(LEN('My equipment'!A132)&gt;0,ISNUMBER('My equipment'!M132),'My equipment'!Q132&lt;&gt;"Claim settled",'My equipment'!Q132&lt;&gt;"No claim needed",'My equipment'!Q132&lt;&gt;"Cover extended"),'My equipment'!M132+629/100000,"")</f>
        <v/>
      </c>
      <c r="B632">
        <f>IF(AND(LEN('My equipment'!A132)&gt;0,ISNUMBER('My equipment'!M132)),MAX($B$3:B631)+1,"")</f>
        <v/>
      </c>
      <c r="E632">
        <f>IFERROR(MATCH(629,$B$4:$B$1003,0),"")</f>
        <v/>
      </c>
    </row>
    <row r="633">
      <c r="A633">
        <f>IF(AND(LEN('My equipment'!A133)&gt;0,ISNUMBER('My equipment'!M133),'My equipment'!Q133&lt;&gt;"Claim settled",'My equipment'!Q133&lt;&gt;"No claim needed",'My equipment'!Q133&lt;&gt;"Cover extended"),'My equipment'!M133+630/100000,"")</f>
        <v/>
      </c>
      <c r="B633">
        <f>IF(AND(LEN('My equipment'!A133)&gt;0,ISNUMBER('My equipment'!M133)),MAX($B$3:B632)+1,"")</f>
        <v/>
      </c>
      <c r="E633">
        <f>IFERROR(MATCH(630,$B$4:$B$1003,0),"")</f>
        <v/>
      </c>
    </row>
    <row r="634">
      <c r="A634">
        <f>IF(AND(LEN('My equipment'!A134)&gt;0,ISNUMBER('My equipment'!M134),'My equipment'!Q134&lt;&gt;"Claim settled",'My equipment'!Q134&lt;&gt;"No claim needed",'My equipment'!Q134&lt;&gt;"Cover extended"),'My equipment'!M134+631/100000,"")</f>
        <v/>
      </c>
      <c r="B634">
        <f>IF(AND(LEN('My equipment'!A134)&gt;0,ISNUMBER('My equipment'!M134)),MAX($B$3:B633)+1,"")</f>
        <v/>
      </c>
      <c r="E634">
        <f>IFERROR(MATCH(631,$B$4:$B$1003,0),"")</f>
        <v/>
      </c>
    </row>
    <row r="635">
      <c r="A635">
        <f>IF(AND(LEN('My equipment'!A135)&gt;0,ISNUMBER('My equipment'!M135),'My equipment'!Q135&lt;&gt;"Claim settled",'My equipment'!Q135&lt;&gt;"No claim needed",'My equipment'!Q135&lt;&gt;"Cover extended"),'My equipment'!M135+632/100000,"")</f>
        <v/>
      </c>
      <c r="B635">
        <f>IF(AND(LEN('My equipment'!A135)&gt;0,ISNUMBER('My equipment'!M135)),MAX($B$3:B634)+1,"")</f>
        <v/>
      </c>
      <c r="E635">
        <f>IFERROR(MATCH(632,$B$4:$B$1003,0),"")</f>
        <v/>
      </c>
    </row>
    <row r="636">
      <c r="A636">
        <f>IF(AND(LEN('My equipment'!A136)&gt;0,ISNUMBER('My equipment'!M136),'My equipment'!Q136&lt;&gt;"Claim settled",'My equipment'!Q136&lt;&gt;"No claim needed",'My equipment'!Q136&lt;&gt;"Cover extended"),'My equipment'!M136+633/100000,"")</f>
        <v/>
      </c>
      <c r="B636">
        <f>IF(AND(LEN('My equipment'!A136)&gt;0,ISNUMBER('My equipment'!M136)),MAX($B$3:B635)+1,"")</f>
        <v/>
      </c>
      <c r="E636">
        <f>IFERROR(MATCH(633,$B$4:$B$1003,0),"")</f>
        <v/>
      </c>
    </row>
    <row r="637">
      <c r="A637">
        <f>IF(AND(LEN('My equipment'!A137)&gt;0,ISNUMBER('My equipment'!M137),'My equipment'!Q137&lt;&gt;"Claim settled",'My equipment'!Q137&lt;&gt;"No claim needed",'My equipment'!Q137&lt;&gt;"Cover extended"),'My equipment'!M137+634/100000,"")</f>
        <v/>
      </c>
      <c r="B637">
        <f>IF(AND(LEN('My equipment'!A137)&gt;0,ISNUMBER('My equipment'!M137)),MAX($B$3:B636)+1,"")</f>
        <v/>
      </c>
      <c r="E637">
        <f>IFERROR(MATCH(634,$B$4:$B$1003,0),"")</f>
        <v/>
      </c>
    </row>
    <row r="638">
      <c r="A638">
        <f>IF(AND(LEN('My equipment'!A138)&gt;0,ISNUMBER('My equipment'!M138),'My equipment'!Q138&lt;&gt;"Claim settled",'My equipment'!Q138&lt;&gt;"No claim needed",'My equipment'!Q138&lt;&gt;"Cover extended"),'My equipment'!M138+635/100000,"")</f>
        <v/>
      </c>
      <c r="B638">
        <f>IF(AND(LEN('My equipment'!A138)&gt;0,ISNUMBER('My equipment'!M138)),MAX($B$3:B637)+1,"")</f>
        <v/>
      </c>
      <c r="E638">
        <f>IFERROR(MATCH(635,$B$4:$B$1003,0),"")</f>
        <v/>
      </c>
    </row>
    <row r="639">
      <c r="A639">
        <f>IF(AND(LEN('My equipment'!A139)&gt;0,ISNUMBER('My equipment'!M139),'My equipment'!Q139&lt;&gt;"Claim settled",'My equipment'!Q139&lt;&gt;"No claim needed",'My equipment'!Q139&lt;&gt;"Cover extended"),'My equipment'!M139+636/100000,"")</f>
        <v/>
      </c>
      <c r="B639">
        <f>IF(AND(LEN('My equipment'!A139)&gt;0,ISNUMBER('My equipment'!M139)),MAX($B$3:B638)+1,"")</f>
        <v/>
      </c>
      <c r="E639">
        <f>IFERROR(MATCH(636,$B$4:$B$1003,0),"")</f>
        <v/>
      </c>
    </row>
    <row r="640">
      <c r="A640">
        <f>IF(AND(LEN('My equipment'!A140)&gt;0,ISNUMBER('My equipment'!M140),'My equipment'!Q140&lt;&gt;"Claim settled",'My equipment'!Q140&lt;&gt;"No claim needed",'My equipment'!Q140&lt;&gt;"Cover extended"),'My equipment'!M140+637/100000,"")</f>
        <v/>
      </c>
      <c r="B640">
        <f>IF(AND(LEN('My equipment'!A140)&gt;0,ISNUMBER('My equipment'!M140)),MAX($B$3:B639)+1,"")</f>
        <v/>
      </c>
      <c r="E640">
        <f>IFERROR(MATCH(637,$B$4:$B$1003,0),"")</f>
        <v/>
      </c>
    </row>
    <row r="641">
      <c r="A641">
        <f>IF(AND(LEN('My equipment'!A141)&gt;0,ISNUMBER('My equipment'!M141),'My equipment'!Q141&lt;&gt;"Claim settled",'My equipment'!Q141&lt;&gt;"No claim needed",'My equipment'!Q141&lt;&gt;"Cover extended"),'My equipment'!M141+638/100000,"")</f>
        <v/>
      </c>
      <c r="B641">
        <f>IF(AND(LEN('My equipment'!A141)&gt;0,ISNUMBER('My equipment'!M141)),MAX($B$3:B640)+1,"")</f>
        <v/>
      </c>
      <c r="E641">
        <f>IFERROR(MATCH(638,$B$4:$B$1003,0),"")</f>
        <v/>
      </c>
    </row>
    <row r="642">
      <c r="A642">
        <f>IF(AND(LEN('My equipment'!A142)&gt;0,ISNUMBER('My equipment'!M142),'My equipment'!Q142&lt;&gt;"Claim settled",'My equipment'!Q142&lt;&gt;"No claim needed",'My equipment'!Q142&lt;&gt;"Cover extended"),'My equipment'!M142+639/100000,"")</f>
        <v/>
      </c>
      <c r="B642">
        <f>IF(AND(LEN('My equipment'!A142)&gt;0,ISNUMBER('My equipment'!M142)),MAX($B$3:B641)+1,"")</f>
        <v/>
      </c>
      <c r="E642">
        <f>IFERROR(MATCH(639,$B$4:$B$1003,0),"")</f>
        <v/>
      </c>
    </row>
    <row r="643">
      <c r="A643">
        <f>IF(AND(LEN('My equipment'!A143)&gt;0,ISNUMBER('My equipment'!M143),'My equipment'!Q143&lt;&gt;"Claim settled",'My equipment'!Q143&lt;&gt;"No claim needed",'My equipment'!Q143&lt;&gt;"Cover extended"),'My equipment'!M143+640/100000,"")</f>
        <v/>
      </c>
      <c r="B643">
        <f>IF(AND(LEN('My equipment'!A143)&gt;0,ISNUMBER('My equipment'!M143)),MAX($B$3:B642)+1,"")</f>
        <v/>
      </c>
      <c r="E643">
        <f>IFERROR(MATCH(640,$B$4:$B$1003,0),"")</f>
        <v/>
      </c>
    </row>
    <row r="644">
      <c r="A644">
        <f>IF(AND(LEN('My equipment'!A144)&gt;0,ISNUMBER('My equipment'!M144),'My equipment'!Q144&lt;&gt;"Claim settled",'My equipment'!Q144&lt;&gt;"No claim needed",'My equipment'!Q144&lt;&gt;"Cover extended"),'My equipment'!M144+641/100000,"")</f>
        <v/>
      </c>
      <c r="B644">
        <f>IF(AND(LEN('My equipment'!A144)&gt;0,ISNUMBER('My equipment'!M144)),MAX($B$3:B643)+1,"")</f>
        <v/>
      </c>
      <c r="E644">
        <f>IFERROR(MATCH(641,$B$4:$B$1003,0),"")</f>
        <v/>
      </c>
    </row>
    <row r="645">
      <c r="A645">
        <f>IF(AND(LEN('My equipment'!A145)&gt;0,ISNUMBER('My equipment'!M145),'My equipment'!Q145&lt;&gt;"Claim settled",'My equipment'!Q145&lt;&gt;"No claim needed",'My equipment'!Q145&lt;&gt;"Cover extended"),'My equipment'!M145+642/100000,"")</f>
        <v/>
      </c>
      <c r="B645">
        <f>IF(AND(LEN('My equipment'!A145)&gt;0,ISNUMBER('My equipment'!M145)),MAX($B$3:B644)+1,"")</f>
        <v/>
      </c>
      <c r="E645">
        <f>IFERROR(MATCH(642,$B$4:$B$1003,0),"")</f>
        <v/>
      </c>
    </row>
    <row r="646">
      <c r="A646">
        <f>IF(AND(LEN('My equipment'!A146)&gt;0,ISNUMBER('My equipment'!M146),'My equipment'!Q146&lt;&gt;"Claim settled",'My equipment'!Q146&lt;&gt;"No claim needed",'My equipment'!Q146&lt;&gt;"Cover extended"),'My equipment'!M146+643/100000,"")</f>
        <v/>
      </c>
      <c r="B646">
        <f>IF(AND(LEN('My equipment'!A146)&gt;0,ISNUMBER('My equipment'!M146)),MAX($B$3:B645)+1,"")</f>
        <v/>
      </c>
      <c r="E646">
        <f>IFERROR(MATCH(643,$B$4:$B$1003,0),"")</f>
        <v/>
      </c>
    </row>
    <row r="647">
      <c r="A647">
        <f>IF(AND(LEN('My equipment'!A147)&gt;0,ISNUMBER('My equipment'!M147),'My equipment'!Q147&lt;&gt;"Claim settled",'My equipment'!Q147&lt;&gt;"No claim needed",'My equipment'!Q147&lt;&gt;"Cover extended"),'My equipment'!M147+644/100000,"")</f>
        <v/>
      </c>
      <c r="B647">
        <f>IF(AND(LEN('My equipment'!A147)&gt;0,ISNUMBER('My equipment'!M147)),MAX($B$3:B646)+1,"")</f>
        <v/>
      </c>
      <c r="E647">
        <f>IFERROR(MATCH(644,$B$4:$B$1003,0),"")</f>
        <v/>
      </c>
    </row>
    <row r="648">
      <c r="A648">
        <f>IF(AND(LEN('My equipment'!A148)&gt;0,ISNUMBER('My equipment'!M148),'My equipment'!Q148&lt;&gt;"Claim settled",'My equipment'!Q148&lt;&gt;"No claim needed",'My equipment'!Q148&lt;&gt;"Cover extended"),'My equipment'!M148+645/100000,"")</f>
        <v/>
      </c>
      <c r="B648">
        <f>IF(AND(LEN('My equipment'!A148)&gt;0,ISNUMBER('My equipment'!M148)),MAX($B$3:B647)+1,"")</f>
        <v/>
      </c>
      <c r="E648">
        <f>IFERROR(MATCH(645,$B$4:$B$1003,0),"")</f>
        <v/>
      </c>
    </row>
    <row r="649">
      <c r="A649">
        <f>IF(AND(LEN('My equipment'!A149)&gt;0,ISNUMBER('My equipment'!M149),'My equipment'!Q149&lt;&gt;"Claim settled",'My equipment'!Q149&lt;&gt;"No claim needed",'My equipment'!Q149&lt;&gt;"Cover extended"),'My equipment'!M149+646/100000,"")</f>
        <v/>
      </c>
      <c r="B649">
        <f>IF(AND(LEN('My equipment'!A149)&gt;0,ISNUMBER('My equipment'!M149)),MAX($B$3:B648)+1,"")</f>
        <v/>
      </c>
      <c r="E649">
        <f>IFERROR(MATCH(646,$B$4:$B$1003,0),"")</f>
        <v/>
      </c>
    </row>
    <row r="650">
      <c r="A650">
        <f>IF(AND(LEN('My equipment'!A150)&gt;0,ISNUMBER('My equipment'!M150),'My equipment'!Q150&lt;&gt;"Claim settled",'My equipment'!Q150&lt;&gt;"No claim needed",'My equipment'!Q150&lt;&gt;"Cover extended"),'My equipment'!M150+647/100000,"")</f>
        <v/>
      </c>
      <c r="B650">
        <f>IF(AND(LEN('My equipment'!A150)&gt;0,ISNUMBER('My equipment'!M150)),MAX($B$3:B649)+1,"")</f>
        <v/>
      </c>
      <c r="E650">
        <f>IFERROR(MATCH(647,$B$4:$B$1003,0),"")</f>
        <v/>
      </c>
    </row>
    <row r="651">
      <c r="A651">
        <f>IF(AND(LEN('My equipment'!A151)&gt;0,ISNUMBER('My equipment'!M151),'My equipment'!Q151&lt;&gt;"Claim settled",'My equipment'!Q151&lt;&gt;"No claim needed",'My equipment'!Q151&lt;&gt;"Cover extended"),'My equipment'!M151+648/100000,"")</f>
        <v/>
      </c>
      <c r="B651">
        <f>IF(AND(LEN('My equipment'!A151)&gt;0,ISNUMBER('My equipment'!M151)),MAX($B$3:B650)+1,"")</f>
        <v/>
      </c>
      <c r="E651">
        <f>IFERROR(MATCH(648,$B$4:$B$1003,0),"")</f>
        <v/>
      </c>
    </row>
    <row r="652">
      <c r="A652">
        <f>IF(AND(LEN('My equipment'!A152)&gt;0,ISNUMBER('My equipment'!M152),'My equipment'!Q152&lt;&gt;"Claim settled",'My equipment'!Q152&lt;&gt;"No claim needed",'My equipment'!Q152&lt;&gt;"Cover extended"),'My equipment'!M152+649/100000,"")</f>
        <v/>
      </c>
      <c r="B652">
        <f>IF(AND(LEN('My equipment'!A152)&gt;0,ISNUMBER('My equipment'!M152)),MAX($B$3:B651)+1,"")</f>
        <v/>
      </c>
      <c r="E652">
        <f>IFERROR(MATCH(649,$B$4:$B$1003,0),"")</f>
        <v/>
      </c>
    </row>
    <row r="653">
      <c r="A653">
        <f>IF(AND(LEN('My equipment'!A153)&gt;0,ISNUMBER('My equipment'!M153),'My equipment'!Q153&lt;&gt;"Claim settled",'My equipment'!Q153&lt;&gt;"No claim needed",'My equipment'!Q153&lt;&gt;"Cover extended"),'My equipment'!M153+650/100000,"")</f>
        <v/>
      </c>
      <c r="B653">
        <f>IF(AND(LEN('My equipment'!A153)&gt;0,ISNUMBER('My equipment'!M153)),MAX($B$3:B652)+1,"")</f>
        <v/>
      </c>
      <c r="E653">
        <f>IFERROR(MATCH(650,$B$4:$B$1003,0),"")</f>
        <v/>
      </c>
    </row>
    <row r="654">
      <c r="A654">
        <f>IF(AND(LEN('My equipment'!A154)&gt;0,ISNUMBER('My equipment'!M154),'My equipment'!Q154&lt;&gt;"Claim settled",'My equipment'!Q154&lt;&gt;"No claim needed",'My equipment'!Q154&lt;&gt;"Cover extended"),'My equipment'!M154+651/100000,"")</f>
        <v/>
      </c>
      <c r="B654">
        <f>IF(AND(LEN('My equipment'!A154)&gt;0,ISNUMBER('My equipment'!M154)),MAX($B$3:B653)+1,"")</f>
        <v/>
      </c>
      <c r="E654">
        <f>IFERROR(MATCH(651,$B$4:$B$1003,0),"")</f>
        <v/>
      </c>
    </row>
    <row r="655">
      <c r="A655">
        <f>IF(AND(LEN('My equipment'!A155)&gt;0,ISNUMBER('My equipment'!M155),'My equipment'!Q155&lt;&gt;"Claim settled",'My equipment'!Q155&lt;&gt;"No claim needed",'My equipment'!Q155&lt;&gt;"Cover extended"),'My equipment'!M155+652/100000,"")</f>
        <v/>
      </c>
      <c r="B655">
        <f>IF(AND(LEN('My equipment'!A155)&gt;0,ISNUMBER('My equipment'!M155)),MAX($B$3:B654)+1,"")</f>
        <v/>
      </c>
      <c r="E655">
        <f>IFERROR(MATCH(652,$B$4:$B$1003,0),"")</f>
        <v/>
      </c>
    </row>
    <row r="656">
      <c r="A656">
        <f>IF(AND(LEN('My equipment'!A156)&gt;0,ISNUMBER('My equipment'!M156),'My equipment'!Q156&lt;&gt;"Claim settled",'My equipment'!Q156&lt;&gt;"No claim needed",'My equipment'!Q156&lt;&gt;"Cover extended"),'My equipment'!M156+653/100000,"")</f>
        <v/>
      </c>
      <c r="B656">
        <f>IF(AND(LEN('My equipment'!A156)&gt;0,ISNUMBER('My equipment'!M156)),MAX($B$3:B655)+1,"")</f>
        <v/>
      </c>
      <c r="E656">
        <f>IFERROR(MATCH(653,$B$4:$B$1003,0),"")</f>
        <v/>
      </c>
    </row>
    <row r="657">
      <c r="A657">
        <f>IF(AND(LEN('My equipment'!A157)&gt;0,ISNUMBER('My equipment'!M157),'My equipment'!Q157&lt;&gt;"Claim settled",'My equipment'!Q157&lt;&gt;"No claim needed",'My equipment'!Q157&lt;&gt;"Cover extended"),'My equipment'!M157+654/100000,"")</f>
        <v/>
      </c>
      <c r="B657">
        <f>IF(AND(LEN('My equipment'!A157)&gt;0,ISNUMBER('My equipment'!M157)),MAX($B$3:B656)+1,"")</f>
        <v/>
      </c>
      <c r="E657">
        <f>IFERROR(MATCH(654,$B$4:$B$1003,0),"")</f>
        <v/>
      </c>
    </row>
    <row r="658">
      <c r="A658">
        <f>IF(AND(LEN('My equipment'!A158)&gt;0,ISNUMBER('My equipment'!M158),'My equipment'!Q158&lt;&gt;"Claim settled",'My equipment'!Q158&lt;&gt;"No claim needed",'My equipment'!Q158&lt;&gt;"Cover extended"),'My equipment'!M158+655/100000,"")</f>
        <v/>
      </c>
      <c r="B658">
        <f>IF(AND(LEN('My equipment'!A158)&gt;0,ISNUMBER('My equipment'!M158)),MAX($B$3:B657)+1,"")</f>
        <v/>
      </c>
      <c r="E658">
        <f>IFERROR(MATCH(655,$B$4:$B$1003,0),"")</f>
        <v/>
      </c>
    </row>
    <row r="659">
      <c r="A659">
        <f>IF(AND(LEN('My equipment'!A159)&gt;0,ISNUMBER('My equipment'!M159),'My equipment'!Q159&lt;&gt;"Claim settled",'My equipment'!Q159&lt;&gt;"No claim needed",'My equipment'!Q159&lt;&gt;"Cover extended"),'My equipment'!M159+656/100000,"")</f>
        <v/>
      </c>
      <c r="B659">
        <f>IF(AND(LEN('My equipment'!A159)&gt;0,ISNUMBER('My equipment'!M159)),MAX($B$3:B658)+1,"")</f>
        <v/>
      </c>
      <c r="E659">
        <f>IFERROR(MATCH(656,$B$4:$B$1003,0),"")</f>
        <v/>
      </c>
    </row>
    <row r="660">
      <c r="A660">
        <f>IF(AND(LEN('My equipment'!A160)&gt;0,ISNUMBER('My equipment'!M160),'My equipment'!Q160&lt;&gt;"Claim settled",'My equipment'!Q160&lt;&gt;"No claim needed",'My equipment'!Q160&lt;&gt;"Cover extended"),'My equipment'!M160+657/100000,"")</f>
        <v/>
      </c>
      <c r="B660">
        <f>IF(AND(LEN('My equipment'!A160)&gt;0,ISNUMBER('My equipment'!M160)),MAX($B$3:B659)+1,"")</f>
        <v/>
      </c>
      <c r="E660">
        <f>IFERROR(MATCH(657,$B$4:$B$1003,0),"")</f>
        <v/>
      </c>
    </row>
    <row r="661">
      <c r="A661">
        <f>IF(AND(LEN('My equipment'!A161)&gt;0,ISNUMBER('My equipment'!M161),'My equipment'!Q161&lt;&gt;"Claim settled",'My equipment'!Q161&lt;&gt;"No claim needed",'My equipment'!Q161&lt;&gt;"Cover extended"),'My equipment'!M161+658/100000,"")</f>
        <v/>
      </c>
      <c r="B661">
        <f>IF(AND(LEN('My equipment'!A161)&gt;0,ISNUMBER('My equipment'!M161)),MAX($B$3:B660)+1,"")</f>
        <v/>
      </c>
      <c r="E661">
        <f>IFERROR(MATCH(658,$B$4:$B$1003,0),"")</f>
        <v/>
      </c>
    </row>
    <row r="662">
      <c r="A662">
        <f>IF(AND(LEN('My equipment'!A162)&gt;0,ISNUMBER('My equipment'!M162),'My equipment'!Q162&lt;&gt;"Claim settled",'My equipment'!Q162&lt;&gt;"No claim needed",'My equipment'!Q162&lt;&gt;"Cover extended"),'My equipment'!M162+659/100000,"")</f>
        <v/>
      </c>
      <c r="B662">
        <f>IF(AND(LEN('My equipment'!A162)&gt;0,ISNUMBER('My equipment'!M162)),MAX($B$3:B661)+1,"")</f>
        <v/>
      </c>
      <c r="E662">
        <f>IFERROR(MATCH(659,$B$4:$B$1003,0),"")</f>
        <v/>
      </c>
    </row>
    <row r="663">
      <c r="A663">
        <f>IF(AND(LEN('My equipment'!A163)&gt;0,ISNUMBER('My equipment'!M163),'My equipment'!Q163&lt;&gt;"Claim settled",'My equipment'!Q163&lt;&gt;"No claim needed",'My equipment'!Q163&lt;&gt;"Cover extended"),'My equipment'!M163+660/100000,"")</f>
        <v/>
      </c>
      <c r="B663">
        <f>IF(AND(LEN('My equipment'!A163)&gt;0,ISNUMBER('My equipment'!M163)),MAX($B$3:B662)+1,"")</f>
        <v/>
      </c>
      <c r="E663">
        <f>IFERROR(MATCH(660,$B$4:$B$1003,0),"")</f>
        <v/>
      </c>
    </row>
    <row r="664">
      <c r="A664">
        <f>IF(AND(LEN('My equipment'!A164)&gt;0,ISNUMBER('My equipment'!M164),'My equipment'!Q164&lt;&gt;"Claim settled",'My equipment'!Q164&lt;&gt;"No claim needed",'My equipment'!Q164&lt;&gt;"Cover extended"),'My equipment'!M164+661/100000,"")</f>
        <v/>
      </c>
      <c r="B664">
        <f>IF(AND(LEN('My equipment'!A164)&gt;0,ISNUMBER('My equipment'!M164)),MAX($B$3:B663)+1,"")</f>
        <v/>
      </c>
      <c r="E664">
        <f>IFERROR(MATCH(661,$B$4:$B$1003,0),"")</f>
        <v/>
      </c>
    </row>
    <row r="665">
      <c r="A665">
        <f>IF(AND(LEN('My equipment'!A165)&gt;0,ISNUMBER('My equipment'!M165),'My equipment'!Q165&lt;&gt;"Claim settled",'My equipment'!Q165&lt;&gt;"No claim needed",'My equipment'!Q165&lt;&gt;"Cover extended"),'My equipment'!M165+662/100000,"")</f>
        <v/>
      </c>
      <c r="B665">
        <f>IF(AND(LEN('My equipment'!A165)&gt;0,ISNUMBER('My equipment'!M165)),MAX($B$3:B664)+1,"")</f>
        <v/>
      </c>
      <c r="E665">
        <f>IFERROR(MATCH(662,$B$4:$B$1003,0),"")</f>
        <v/>
      </c>
    </row>
    <row r="666">
      <c r="A666">
        <f>IF(AND(LEN('My equipment'!A166)&gt;0,ISNUMBER('My equipment'!M166),'My equipment'!Q166&lt;&gt;"Claim settled",'My equipment'!Q166&lt;&gt;"No claim needed",'My equipment'!Q166&lt;&gt;"Cover extended"),'My equipment'!M166+663/100000,"")</f>
        <v/>
      </c>
      <c r="B666">
        <f>IF(AND(LEN('My equipment'!A166)&gt;0,ISNUMBER('My equipment'!M166)),MAX($B$3:B665)+1,"")</f>
        <v/>
      </c>
      <c r="E666">
        <f>IFERROR(MATCH(663,$B$4:$B$1003,0),"")</f>
        <v/>
      </c>
    </row>
    <row r="667">
      <c r="A667">
        <f>IF(AND(LEN('My equipment'!A167)&gt;0,ISNUMBER('My equipment'!M167),'My equipment'!Q167&lt;&gt;"Claim settled",'My equipment'!Q167&lt;&gt;"No claim needed",'My equipment'!Q167&lt;&gt;"Cover extended"),'My equipment'!M167+664/100000,"")</f>
        <v/>
      </c>
      <c r="B667">
        <f>IF(AND(LEN('My equipment'!A167)&gt;0,ISNUMBER('My equipment'!M167)),MAX($B$3:B666)+1,"")</f>
        <v/>
      </c>
      <c r="E667">
        <f>IFERROR(MATCH(664,$B$4:$B$1003,0),"")</f>
        <v/>
      </c>
    </row>
    <row r="668">
      <c r="A668">
        <f>IF(AND(LEN('My equipment'!A168)&gt;0,ISNUMBER('My equipment'!M168),'My equipment'!Q168&lt;&gt;"Claim settled",'My equipment'!Q168&lt;&gt;"No claim needed",'My equipment'!Q168&lt;&gt;"Cover extended"),'My equipment'!M168+665/100000,"")</f>
        <v/>
      </c>
      <c r="B668">
        <f>IF(AND(LEN('My equipment'!A168)&gt;0,ISNUMBER('My equipment'!M168)),MAX($B$3:B667)+1,"")</f>
        <v/>
      </c>
      <c r="E668">
        <f>IFERROR(MATCH(665,$B$4:$B$1003,0),"")</f>
        <v/>
      </c>
    </row>
    <row r="669">
      <c r="A669">
        <f>IF(AND(LEN('My equipment'!A169)&gt;0,ISNUMBER('My equipment'!M169),'My equipment'!Q169&lt;&gt;"Claim settled",'My equipment'!Q169&lt;&gt;"No claim needed",'My equipment'!Q169&lt;&gt;"Cover extended"),'My equipment'!M169+666/100000,"")</f>
        <v/>
      </c>
      <c r="B669">
        <f>IF(AND(LEN('My equipment'!A169)&gt;0,ISNUMBER('My equipment'!M169)),MAX($B$3:B668)+1,"")</f>
        <v/>
      </c>
      <c r="E669">
        <f>IFERROR(MATCH(666,$B$4:$B$1003,0),"")</f>
        <v/>
      </c>
    </row>
    <row r="670">
      <c r="A670">
        <f>IF(AND(LEN('My equipment'!A170)&gt;0,ISNUMBER('My equipment'!M170),'My equipment'!Q170&lt;&gt;"Claim settled",'My equipment'!Q170&lt;&gt;"No claim needed",'My equipment'!Q170&lt;&gt;"Cover extended"),'My equipment'!M170+667/100000,"")</f>
        <v/>
      </c>
      <c r="B670">
        <f>IF(AND(LEN('My equipment'!A170)&gt;0,ISNUMBER('My equipment'!M170)),MAX($B$3:B669)+1,"")</f>
        <v/>
      </c>
      <c r="E670">
        <f>IFERROR(MATCH(667,$B$4:$B$1003,0),"")</f>
        <v/>
      </c>
    </row>
    <row r="671">
      <c r="A671">
        <f>IF(AND(LEN('My equipment'!A171)&gt;0,ISNUMBER('My equipment'!M171),'My equipment'!Q171&lt;&gt;"Claim settled",'My equipment'!Q171&lt;&gt;"No claim needed",'My equipment'!Q171&lt;&gt;"Cover extended"),'My equipment'!M171+668/100000,"")</f>
        <v/>
      </c>
      <c r="B671">
        <f>IF(AND(LEN('My equipment'!A171)&gt;0,ISNUMBER('My equipment'!M171)),MAX($B$3:B670)+1,"")</f>
        <v/>
      </c>
      <c r="E671">
        <f>IFERROR(MATCH(668,$B$4:$B$1003,0),"")</f>
        <v/>
      </c>
    </row>
    <row r="672">
      <c r="A672">
        <f>IF(AND(LEN('My equipment'!A172)&gt;0,ISNUMBER('My equipment'!M172),'My equipment'!Q172&lt;&gt;"Claim settled",'My equipment'!Q172&lt;&gt;"No claim needed",'My equipment'!Q172&lt;&gt;"Cover extended"),'My equipment'!M172+669/100000,"")</f>
        <v/>
      </c>
      <c r="B672">
        <f>IF(AND(LEN('My equipment'!A172)&gt;0,ISNUMBER('My equipment'!M172)),MAX($B$3:B671)+1,"")</f>
        <v/>
      </c>
      <c r="E672">
        <f>IFERROR(MATCH(669,$B$4:$B$1003,0),"")</f>
        <v/>
      </c>
    </row>
    <row r="673">
      <c r="A673">
        <f>IF(AND(LEN('My equipment'!A173)&gt;0,ISNUMBER('My equipment'!M173),'My equipment'!Q173&lt;&gt;"Claim settled",'My equipment'!Q173&lt;&gt;"No claim needed",'My equipment'!Q173&lt;&gt;"Cover extended"),'My equipment'!M173+670/100000,"")</f>
        <v/>
      </c>
      <c r="B673">
        <f>IF(AND(LEN('My equipment'!A173)&gt;0,ISNUMBER('My equipment'!M173)),MAX($B$3:B672)+1,"")</f>
        <v/>
      </c>
      <c r="E673">
        <f>IFERROR(MATCH(670,$B$4:$B$1003,0),"")</f>
        <v/>
      </c>
    </row>
    <row r="674">
      <c r="A674">
        <f>IF(AND(LEN('My equipment'!A174)&gt;0,ISNUMBER('My equipment'!M174),'My equipment'!Q174&lt;&gt;"Claim settled",'My equipment'!Q174&lt;&gt;"No claim needed",'My equipment'!Q174&lt;&gt;"Cover extended"),'My equipment'!M174+671/100000,"")</f>
        <v/>
      </c>
      <c r="B674">
        <f>IF(AND(LEN('My equipment'!A174)&gt;0,ISNUMBER('My equipment'!M174)),MAX($B$3:B673)+1,"")</f>
        <v/>
      </c>
      <c r="E674">
        <f>IFERROR(MATCH(671,$B$4:$B$1003,0),"")</f>
        <v/>
      </c>
    </row>
    <row r="675">
      <c r="A675">
        <f>IF(AND(LEN('My equipment'!A175)&gt;0,ISNUMBER('My equipment'!M175),'My equipment'!Q175&lt;&gt;"Claim settled",'My equipment'!Q175&lt;&gt;"No claim needed",'My equipment'!Q175&lt;&gt;"Cover extended"),'My equipment'!M175+672/100000,"")</f>
        <v/>
      </c>
      <c r="B675">
        <f>IF(AND(LEN('My equipment'!A175)&gt;0,ISNUMBER('My equipment'!M175)),MAX($B$3:B674)+1,"")</f>
        <v/>
      </c>
      <c r="E675">
        <f>IFERROR(MATCH(672,$B$4:$B$1003,0),"")</f>
        <v/>
      </c>
    </row>
    <row r="676">
      <c r="A676">
        <f>IF(AND(LEN('My equipment'!A176)&gt;0,ISNUMBER('My equipment'!M176),'My equipment'!Q176&lt;&gt;"Claim settled",'My equipment'!Q176&lt;&gt;"No claim needed",'My equipment'!Q176&lt;&gt;"Cover extended"),'My equipment'!M176+673/100000,"")</f>
        <v/>
      </c>
      <c r="B676">
        <f>IF(AND(LEN('My equipment'!A176)&gt;0,ISNUMBER('My equipment'!M176)),MAX($B$3:B675)+1,"")</f>
        <v/>
      </c>
      <c r="E676">
        <f>IFERROR(MATCH(673,$B$4:$B$1003,0),"")</f>
        <v/>
      </c>
    </row>
    <row r="677">
      <c r="A677">
        <f>IF(AND(LEN('My equipment'!A177)&gt;0,ISNUMBER('My equipment'!M177),'My equipment'!Q177&lt;&gt;"Claim settled",'My equipment'!Q177&lt;&gt;"No claim needed",'My equipment'!Q177&lt;&gt;"Cover extended"),'My equipment'!M177+674/100000,"")</f>
        <v/>
      </c>
      <c r="B677">
        <f>IF(AND(LEN('My equipment'!A177)&gt;0,ISNUMBER('My equipment'!M177)),MAX($B$3:B676)+1,"")</f>
        <v/>
      </c>
      <c r="E677">
        <f>IFERROR(MATCH(674,$B$4:$B$1003,0),"")</f>
        <v/>
      </c>
    </row>
    <row r="678">
      <c r="A678">
        <f>IF(AND(LEN('My equipment'!A178)&gt;0,ISNUMBER('My equipment'!M178),'My equipment'!Q178&lt;&gt;"Claim settled",'My equipment'!Q178&lt;&gt;"No claim needed",'My equipment'!Q178&lt;&gt;"Cover extended"),'My equipment'!M178+675/100000,"")</f>
        <v/>
      </c>
      <c r="B678">
        <f>IF(AND(LEN('My equipment'!A178)&gt;0,ISNUMBER('My equipment'!M178)),MAX($B$3:B677)+1,"")</f>
        <v/>
      </c>
      <c r="E678">
        <f>IFERROR(MATCH(675,$B$4:$B$1003,0),"")</f>
        <v/>
      </c>
    </row>
    <row r="679">
      <c r="A679">
        <f>IF(AND(LEN('My equipment'!A179)&gt;0,ISNUMBER('My equipment'!M179),'My equipment'!Q179&lt;&gt;"Claim settled",'My equipment'!Q179&lt;&gt;"No claim needed",'My equipment'!Q179&lt;&gt;"Cover extended"),'My equipment'!M179+676/100000,"")</f>
        <v/>
      </c>
      <c r="B679">
        <f>IF(AND(LEN('My equipment'!A179)&gt;0,ISNUMBER('My equipment'!M179)),MAX($B$3:B678)+1,"")</f>
        <v/>
      </c>
      <c r="E679">
        <f>IFERROR(MATCH(676,$B$4:$B$1003,0),"")</f>
        <v/>
      </c>
    </row>
    <row r="680">
      <c r="A680">
        <f>IF(AND(LEN('My equipment'!A180)&gt;0,ISNUMBER('My equipment'!M180),'My equipment'!Q180&lt;&gt;"Claim settled",'My equipment'!Q180&lt;&gt;"No claim needed",'My equipment'!Q180&lt;&gt;"Cover extended"),'My equipment'!M180+677/100000,"")</f>
        <v/>
      </c>
      <c r="B680">
        <f>IF(AND(LEN('My equipment'!A180)&gt;0,ISNUMBER('My equipment'!M180)),MAX($B$3:B679)+1,"")</f>
        <v/>
      </c>
      <c r="E680">
        <f>IFERROR(MATCH(677,$B$4:$B$1003,0),"")</f>
        <v/>
      </c>
    </row>
    <row r="681">
      <c r="A681">
        <f>IF(AND(LEN('My equipment'!A181)&gt;0,ISNUMBER('My equipment'!M181),'My equipment'!Q181&lt;&gt;"Claim settled",'My equipment'!Q181&lt;&gt;"No claim needed",'My equipment'!Q181&lt;&gt;"Cover extended"),'My equipment'!M181+678/100000,"")</f>
        <v/>
      </c>
      <c r="B681">
        <f>IF(AND(LEN('My equipment'!A181)&gt;0,ISNUMBER('My equipment'!M181)),MAX($B$3:B680)+1,"")</f>
        <v/>
      </c>
      <c r="E681">
        <f>IFERROR(MATCH(678,$B$4:$B$1003,0),"")</f>
        <v/>
      </c>
    </row>
    <row r="682">
      <c r="A682">
        <f>IF(AND(LEN('My equipment'!A182)&gt;0,ISNUMBER('My equipment'!M182),'My equipment'!Q182&lt;&gt;"Claim settled",'My equipment'!Q182&lt;&gt;"No claim needed",'My equipment'!Q182&lt;&gt;"Cover extended"),'My equipment'!M182+679/100000,"")</f>
        <v/>
      </c>
      <c r="B682">
        <f>IF(AND(LEN('My equipment'!A182)&gt;0,ISNUMBER('My equipment'!M182)),MAX($B$3:B681)+1,"")</f>
        <v/>
      </c>
      <c r="E682">
        <f>IFERROR(MATCH(679,$B$4:$B$1003,0),"")</f>
        <v/>
      </c>
    </row>
    <row r="683">
      <c r="A683">
        <f>IF(AND(LEN('My equipment'!A183)&gt;0,ISNUMBER('My equipment'!M183),'My equipment'!Q183&lt;&gt;"Claim settled",'My equipment'!Q183&lt;&gt;"No claim needed",'My equipment'!Q183&lt;&gt;"Cover extended"),'My equipment'!M183+680/100000,"")</f>
        <v/>
      </c>
      <c r="B683">
        <f>IF(AND(LEN('My equipment'!A183)&gt;0,ISNUMBER('My equipment'!M183)),MAX($B$3:B682)+1,"")</f>
        <v/>
      </c>
      <c r="E683">
        <f>IFERROR(MATCH(680,$B$4:$B$1003,0),"")</f>
        <v/>
      </c>
    </row>
    <row r="684">
      <c r="A684">
        <f>IF(AND(LEN('My equipment'!A184)&gt;0,ISNUMBER('My equipment'!M184),'My equipment'!Q184&lt;&gt;"Claim settled",'My equipment'!Q184&lt;&gt;"No claim needed",'My equipment'!Q184&lt;&gt;"Cover extended"),'My equipment'!M184+681/100000,"")</f>
        <v/>
      </c>
      <c r="B684">
        <f>IF(AND(LEN('My equipment'!A184)&gt;0,ISNUMBER('My equipment'!M184)),MAX($B$3:B683)+1,"")</f>
        <v/>
      </c>
      <c r="E684">
        <f>IFERROR(MATCH(681,$B$4:$B$1003,0),"")</f>
        <v/>
      </c>
    </row>
    <row r="685">
      <c r="A685">
        <f>IF(AND(LEN('My equipment'!A185)&gt;0,ISNUMBER('My equipment'!M185),'My equipment'!Q185&lt;&gt;"Claim settled",'My equipment'!Q185&lt;&gt;"No claim needed",'My equipment'!Q185&lt;&gt;"Cover extended"),'My equipment'!M185+682/100000,"")</f>
        <v/>
      </c>
      <c r="B685">
        <f>IF(AND(LEN('My equipment'!A185)&gt;0,ISNUMBER('My equipment'!M185)),MAX($B$3:B684)+1,"")</f>
        <v/>
      </c>
      <c r="E685">
        <f>IFERROR(MATCH(682,$B$4:$B$1003,0),"")</f>
        <v/>
      </c>
    </row>
    <row r="686">
      <c r="A686">
        <f>IF(AND(LEN('My equipment'!A186)&gt;0,ISNUMBER('My equipment'!M186),'My equipment'!Q186&lt;&gt;"Claim settled",'My equipment'!Q186&lt;&gt;"No claim needed",'My equipment'!Q186&lt;&gt;"Cover extended"),'My equipment'!M186+683/100000,"")</f>
        <v/>
      </c>
      <c r="B686">
        <f>IF(AND(LEN('My equipment'!A186)&gt;0,ISNUMBER('My equipment'!M186)),MAX($B$3:B685)+1,"")</f>
        <v/>
      </c>
      <c r="E686">
        <f>IFERROR(MATCH(683,$B$4:$B$1003,0),"")</f>
        <v/>
      </c>
    </row>
    <row r="687">
      <c r="A687">
        <f>IF(AND(LEN('My equipment'!A187)&gt;0,ISNUMBER('My equipment'!M187),'My equipment'!Q187&lt;&gt;"Claim settled",'My equipment'!Q187&lt;&gt;"No claim needed",'My equipment'!Q187&lt;&gt;"Cover extended"),'My equipment'!M187+684/100000,"")</f>
        <v/>
      </c>
      <c r="B687">
        <f>IF(AND(LEN('My equipment'!A187)&gt;0,ISNUMBER('My equipment'!M187)),MAX($B$3:B686)+1,"")</f>
        <v/>
      </c>
      <c r="E687">
        <f>IFERROR(MATCH(684,$B$4:$B$1003,0),"")</f>
        <v/>
      </c>
    </row>
    <row r="688">
      <c r="A688">
        <f>IF(AND(LEN('My equipment'!A188)&gt;0,ISNUMBER('My equipment'!M188),'My equipment'!Q188&lt;&gt;"Claim settled",'My equipment'!Q188&lt;&gt;"No claim needed",'My equipment'!Q188&lt;&gt;"Cover extended"),'My equipment'!M188+685/100000,"")</f>
        <v/>
      </c>
      <c r="B688">
        <f>IF(AND(LEN('My equipment'!A188)&gt;0,ISNUMBER('My equipment'!M188)),MAX($B$3:B687)+1,"")</f>
        <v/>
      </c>
      <c r="E688">
        <f>IFERROR(MATCH(685,$B$4:$B$1003,0),"")</f>
        <v/>
      </c>
    </row>
    <row r="689">
      <c r="A689">
        <f>IF(AND(LEN('My equipment'!A189)&gt;0,ISNUMBER('My equipment'!M189),'My equipment'!Q189&lt;&gt;"Claim settled",'My equipment'!Q189&lt;&gt;"No claim needed",'My equipment'!Q189&lt;&gt;"Cover extended"),'My equipment'!M189+686/100000,"")</f>
        <v/>
      </c>
      <c r="B689">
        <f>IF(AND(LEN('My equipment'!A189)&gt;0,ISNUMBER('My equipment'!M189)),MAX($B$3:B688)+1,"")</f>
        <v/>
      </c>
      <c r="E689">
        <f>IFERROR(MATCH(686,$B$4:$B$1003,0),"")</f>
        <v/>
      </c>
    </row>
    <row r="690">
      <c r="A690">
        <f>IF(AND(LEN('My equipment'!A190)&gt;0,ISNUMBER('My equipment'!M190),'My equipment'!Q190&lt;&gt;"Claim settled",'My equipment'!Q190&lt;&gt;"No claim needed",'My equipment'!Q190&lt;&gt;"Cover extended"),'My equipment'!M190+687/100000,"")</f>
        <v/>
      </c>
      <c r="B690">
        <f>IF(AND(LEN('My equipment'!A190)&gt;0,ISNUMBER('My equipment'!M190)),MAX($B$3:B689)+1,"")</f>
        <v/>
      </c>
      <c r="E690">
        <f>IFERROR(MATCH(687,$B$4:$B$1003,0),"")</f>
        <v/>
      </c>
    </row>
    <row r="691">
      <c r="A691">
        <f>IF(AND(LEN('My equipment'!A191)&gt;0,ISNUMBER('My equipment'!M191),'My equipment'!Q191&lt;&gt;"Claim settled",'My equipment'!Q191&lt;&gt;"No claim needed",'My equipment'!Q191&lt;&gt;"Cover extended"),'My equipment'!M191+688/100000,"")</f>
        <v/>
      </c>
      <c r="B691">
        <f>IF(AND(LEN('My equipment'!A191)&gt;0,ISNUMBER('My equipment'!M191)),MAX($B$3:B690)+1,"")</f>
        <v/>
      </c>
      <c r="E691">
        <f>IFERROR(MATCH(688,$B$4:$B$1003,0),"")</f>
        <v/>
      </c>
    </row>
    <row r="692">
      <c r="A692">
        <f>IF(AND(LEN('My equipment'!A192)&gt;0,ISNUMBER('My equipment'!M192),'My equipment'!Q192&lt;&gt;"Claim settled",'My equipment'!Q192&lt;&gt;"No claim needed",'My equipment'!Q192&lt;&gt;"Cover extended"),'My equipment'!M192+689/100000,"")</f>
        <v/>
      </c>
      <c r="B692">
        <f>IF(AND(LEN('My equipment'!A192)&gt;0,ISNUMBER('My equipment'!M192)),MAX($B$3:B691)+1,"")</f>
        <v/>
      </c>
      <c r="E692">
        <f>IFERROR(MATCH(689,$B$4:$B$1003,0),"")</f>
        <v/>
      </c>
    </row>
    <row r="693">
      <c r="A693">
        <f>IF(AND(LEN('My equipment'!A193)&gt;0,ISNUMBER('My equipment'!M193),'My equipment'!Q193&lt;&gt;"Claim settled",'My equipment'!Q193&lt;&gt;"No claim needed",'My equipment'!Q193&lt;&gt;"Cover extended"),'My equipment'!M193+690/100000,"")</f>
        <v/>
      </c>
      <c r="B693">
        <f>IF(AND(LEN('My equipment'!A193)&gt;0,ISNUMBER('My equipment'!M193)),MAX($B$3:B692)+1,"")</f>
        <v/>
      </c>
      <c r="E693">
        <f>IFERROR(MATCH(690,$B$4:$B$1003,0),"")</f>
        <v/>
      </c>
    </row>
    <row r="694">
      <c r="A694">
        <f>IF(AND(LEN('My equipment'!A194)&gt;0,ISNUMBER('My equipment'!M194),'My equipment'!Q194&lt;&gt;"Claim settled",'My equipment'!Q194&lt;&gt;"No claim needed",'My equipment'!Q194&lt;&gt;"Cover extended"),'My equipment'!M194+691/100000,"")</f>
        <v/>
      </c>
      <c r="B694">
        <f>IF(AND(LEN('My equipment'!A194)&gt;0,ISNUMBER('My equipment'!M194)),MAX($B$3:B693)+1,"")</f>
        <v/>
      </c>
      <c r="E694">
        <f>IFERROR(MATCH(691,$B$4:$B$1003,0),"")</f>
        <v/>
      </c>
    </row>
    <row r="695">
      <c r="A695">
        <f>IF(AND(LEN('My equipment'!A195)&gt;0,ISNUMBER('My equipment'!M195),'My equipment'!Q195&lt;&gt;"Claim settled",'My equipment'!Q195&lt;&gt;"No claim needed",'My equipment'!Q195&lt;&gt;"Cover extended"),'My equipment'!M195+692/100000,"")</f>
        <v/>
      </c>
      <c r="B695">
        <f>IF(AND(LEN('My equipment'!A195)&gt;0,ISNUMBER('My equipment'!M195)),MAX($B$3:B694)+1,"")</f>
        <v/>
      </c>
      <c r="E695">
        <f>IFERROR(MATCH(692,$B$4:$B$1003,0),"")</f>
        <v/>
      </c>
    </row>
    <row r="696">
      <c r="A696">
        <f>IF(AND(LEN('My equipment'!A196)&gt;0,ISNUMBER('My equipment'!M196),'My equipment'!Q196&lt;&gt;"Claim settled",'My equipment'!Q196&lt;&gt;"No claim needed",'My equipment'!Q196&lt;&gt;"Cover extended"),'My equipment'!M196+693/100000,"")</f>
        <v/>
      </c>
      <c r="B696">
        <f>IF(AND(LEN('My equipment'!A196)&gt;0,ISNUMBER('My equipment'!M196)),MAX($B$3:B695)+1,"")</f>
        <v/>
      </c>
      <c r="E696">
        <f>IFERROR(MATCH(693,$B$4:$B$1003,0),"")</f>
        <v/>
      </c>
    </row>
    <row r="697">
      <c r="A697">
        <f>IF(AND(LEN('My equipment'!A197)&gt;0,ISNUMBER('My equipment'!M197),'My equipment'!Q197&lt;&gt;"Claim settled",'My equipment'!Q197&lt;&gt;"No claim needed",'My equipment'!Q197&lt;&gt;"Cover extended"),'My equipment'!M197+694/100000,"")</f>
        <v/>
      </c>
      <c r="B697">
        <f>IF(AND(LEN('My equipment'!A197)&gt;0,ISNUMBER('My equipment'!M197)),MAX($B$3:B696)+1,"")</f>
        <v/>
      </c>
      <c r="E697">
        <f>IFERROR(MATCH(694,$B$4:$B$1003,0),"")</f>
        <v/>
      </c>
    </row>
    <row r="698">
      <c r="A698">
        <f>IF(AND(LEN('My equipment'!A198)&gt;0,ISNUMBER('My equipment'!M198),'My equipment'!Q198&lt;&gt;"Claim settled",'My equipment'!Q198&lt;&gt;"No claim needed",'My equipment'!Q198&lt;&gt;"Cover extended"),'My equipment'!M198+695/100000,"")</f>
        <v/>
      </c>
      <c r="B698">
        <f>IF(AND(LEN('My equipment'!A198)&gt;0,ISNUMBER('My equipment'!M198)),MAX($B$3:B697)+1,"")</f>
        <v/>
      </c>
      <c r="E698">
        <f>IFERROR(MATCH(695,$B$4:$B$1003,0),"")</f>
        <v/>
      </c>
    </row>
    <row r="699">
      <c r="A699">
        <f>IF(AND(LEN('My equipment'!A199)&gt;0,ISNUMBER('My equipment'!M199),'My equipment'!Q199&lt;&gt;"Claim settled",'My equipment'!Q199&lt;&gt;"No claim needed",'My equipment'!Q199&lt;&gt;"Cover extended"),'My equipment'!M199+696/100000,"")</f>
        <v/>
      </c>
      <c r="B699">
        <f>IF(AND(LEN('My equipment'!A199)&gt;0,ISNUMBER('My equipment'!M199)),MAX($B$3:B698)+1,"")</f>
        <v/>
      </c>
      <c r="E699">
        <f>IFERROR(MATCH(696,$B$4:$B$1003,0),"")</f>
        <v/>
      </c>
    </row>
    <row r="700">
      <c r="A700">
        <f>IF(AND(LEN('My equipment'!A200)&gt;0,ISNUMBER('My equipment'!M200),'My equipment'!Q200&lt;&gt;"Claim settled",'My equipment'!Q200&lt;&gt;"No claim needed",'My equipment'!Q200&lt;&gt;"Cover extended"),'My equipment'!M200+697/100000,"")</f>
        <v/>
      </c>
      <c r="B700">
        <f>IF(AND(LEN('My equipment'!A200)&gt;0,ISNUMBER('My equipment'!M200)),MAX($B$3:B699)+1,"")</f>
        <v/>
      </c>
      <c r="E700">
        <f>IFERROR(MATCH(697,$B$4:$B$1003,0),"")</f>
        <v/>
      </c>
    </row>
    <row r="701">
      <c r="A701">
        <f>IF(AND(LEN('My equipment'!A201)&gt;0,ISNUMBER('My equipment'!M201),'My equipment'!Q201&lt;&gt;"Claim settled",'My equipment'!Q201&lt;&gt;"No claim needed",'My equipment'!Q201&lt;&gt;"Cover extended"),'My equipment'!M201+698/100000,"")</f>
        <v/>
      </c>
      <c r="B701">
        <f>IF(AND(LEN('My equipment'!A201)&gt;0,ISNUMBER('My equipment'!M201)),MAX($B$3:B700)+1,"")</f>
        <v/>
      </c>
      <c r="E701">
        <f>IFERROR(MATCH(698,$B$4:$B$1003,0),"")</f>
        <v/>
      </c>
    </row>
    <row r="702">
      <c r="A702">
        <f>IF(AND(LEN('My equipment'!A202)&gt;0,ISNUMBER('My equipment'!M202),'My equipment'!Q202&lt;&gt;"Claim settled",'My equipment'!Q202&lt;&gt;"No claim needed",'My equipment'!Q202&lt;&gt;"Cover extended"),'My equipment'!M202+699/100000,"")</f>
        <v/>
      </c>
      <c r="B702">
        <f>IF(AND(LEN('My equipment'!A202)&gt;0,ISNUMBER('My equipment'!M202)),MAX($B$3:B701)+1,"")</f>
        <v/>
      </c>
      <c r="E702">
        <f>IFERROR(MATCH(699,$B$4:$B$1003,0),"")</f>
        <v/>
      </c>
    </row>
    <row r="703">
      <c r="A703">
        <f>IF(AND(LEN('My equipment'!A203)&gt;0,ISNUMBER('My equipment'!M203),'My equipment'!Q203&lt;&gt;"Claim settled",'My equipment'!Q203&lt;&gt;"No claim needed",'My equipment'!Q203&lt;&gt;"Cover extended"),'My equipment'!M203+700/100000,"")</f>
        <v/>
      </c>
      <c r="B703">
        <f>IF(AND(LEN('My equipment'!A203)&gt;0,ISNUMBER('My equipment'!M203)),MAX($B$3:B702)+1,"")</f>
        <v/>
      </c>
      <c r="E703">
        <f>IFERROR(MATCH(700,$B$4:$B$1003,0),"")</f>
        <v/>
      </c>
    </row>
    <row r="704">
      <c r="A704">
        <f>IF(AND(LEN('My equipment'!A204)&gt;0,ISNUMBER('My equipment'!M204),'My equipment'!Q204&lt;&gt;"Claim settled",'My equipment'!Q204&lt;&gt;"No claim needed",'My equipment'!Q204&lt;&gt;"Cover extended"),'My equipment'!M204+701/100000,"")</f>
        <v/>
      </c>
      <c r="B704">
        <f>IF(AND(LEN('My equipment'!A204)&gt;0,ISNUMBER('My equipment'!M204)),MAX($B$3:B703)+1,"")</f>
        <v/>
      </c>
      <c r="E704">
        <f>IFERROR(MATCH(701,$B$4:$B$1003,0),"")</f>
        <v/>
      </c>
    </row>
    <row r="705">
      <c r="A705">
        <f>IF(AND(LEN('My equipment'!A205)&gt;0,ISNUMBER('My equipment'!M205),'My equipment'!Q205&lt;&gt;"Claim settled",'My equipment'!Q205&lt;&gt;"No claim needed",'My equipment'!Q205&lt;&gt;"Cover extended"),'My equipment'!M205+702/100000,"")</f>
        <v/>
      </c>
      <c r="B705">
        <f>IF(AND(LEN('My equipment'!A205)&gt;0,ISNUMBER('My equipment'!M205)),MAX($B$3:B704)+1,"")</f>
        <v/>
      </c>
      <c r="E705">
        <f>IFERROR(MATCH(702,$B$4:$B$1003,0),"")</f>
        <v/>
      </c>
    </row>
    <row r="706">
      <c r="A706">
        <f>IF(AND(LEN('My equipment'!A206)&gt;0,ISNUMBER('My equipment'!M206),'My equipment'!Q206&lt;&gt;"Claim settled",'My equipment'!Q206&lt;&gt;"No claim needed",'My equipment'!Q206&lt;&gt;"Cover extended"),'My equipment'!M206+703/100000,"")</f>
        <v/>
      </c>
      <c r="B706">
        <f>IF(AND(LEN('My equipment'!A206)&gt;0,ISNUMBER('My equipment'!M206)),MAX($B$3:B705)+1,"")</f>
        <v/>
      </c>
      <c r="E706">
        <f>IFERROR(MATCH(703,$B$4:$B$1003,0),"")</f>
        <v/>
      </c>
    </row>
    <row r="707">
      <c r="A707">
        <f>IF(AND(LEN('My equipment'!A207)&gt;0,ISNUMBER('My equipment'!M207),'My equipment'!Q207&lt;&gt;"Claim settled",'My equipment'!Q207&lt;&gt;"No claim needed",'My equipment'!Q207&lt;&gt;"Cover extended"),'My equipment'!M207+704/100000,"")</f>
        <v/>
      </c>
      <c r="B707">
        <f>IF(AND(LEN('My equipment'!A207)&gt;0,ISNUMBER('My equipment'!M207)),MAX($B$3:B706)+1,"")</f>
        <v/>
      </c>
      <c r="E707">
        <f>IFERROR(MATCH(704,$B$4:$B$1003,0),"")</f>
        <v/>
      </c>
    </row>
    <row r="708">
      <c r="A708">
        <f>IF(AND(LEN('My equipment'!A208)&gt;0,ISNUMBER('My equipment'!M208),'My equipment'!Q208&lt;&gt;"Claim settled",'My equipment'!Q208&lt;&gt;"No claim needed",'My equipment'!Q208&lt;&gt;"Cover extended"),'My equipment'!M208+705/100000,"")</f>
        <v/>
      </c>
      <c r="B708">
        <f>IF(AND(LEN('My equipment'!A208)&gt;0,ISNUMBER('My equipment'!M208)),MAX($B$3:B707)+1,"")</f>
        <v/>
      </c>
      <c r="E708">
        <f>IFERROR(MATCH(705,$B$4:$B$1003,0),"")</f>
        <v/>
      </c>
    </row>
    <row r="709">
      <c r="A709">
        <f>IF(AND(LEN('My equipment'!A209)&gt;0,ISNUMBER('My equipment'!M209),'My equipment'!Q209&lt;&gt;"Claim settled",'My equipment'!Q209&lt;&gt;"No claim needed",'My equipment'!Q209&lt;&gt;"Cover extended"),'My equipment'!M209+706/100000,"")</f>
        <v/>
      </c>
      <c r="B709">
        <f>IF(AND(LEN('My equipment'!A209)&gt;0,ISNUMBER('My equipment'!M209)),MAX($B$3:B708)+1,"")</f>
        <v/>
      </c>
      <c r="E709">
        <f>IFERROR(MATCH(706,$B$4:$B$1003,0),"")</f>
        <v/>
      </c>
    </row>
    <row r="710">
      <c r="A710">
        <f>IF(AND(LEN('My equipment'!A210)&gt;0,ISNUMBER('My equipment'!M210),'My equipment'!Q210&lt;&gt;"Claim settled",'My equipment'!Q210&lt;&gt;"No claim needed",'My equipment'!Q210&lt;&gt;"Cover extended"),'My equipment'!M210+707/100000,"")</f>
        <v/>
      </c>
      <c r="B710">
        <f>IF(AND(LEN('My equipment'!A210)&gt;0,ISNUMBER('My equipment'!M210)),MAX($B$3:B709)+1,"")</f>
        <v/>
      </c>
      <c r="E710">
        <f>IFERROR(MATCH(707,$B$4:$B$1003,0),"")</f>
        <v/>
      </c>
    </row>
    <row r="711">
      <c r="A711">
        <f>IF(AND(LEN('My equipment'!A211)&gt;0,ISNUMBER('My equipment'!M211),'My equipment'!Q211&lt;&gt;"Claim settled",'My equipment'!Q211&lt;&gt;"No claim needed",'My equipment'!Q211&lt;&gt;"Cover extended"),'My equipment'!M211+708/100000,"")</f>
        <v/>
      </c>
      <c r="B711">
        <f>IF(AND(LEN('My equipment'!A211)&gt;0,ISNUMBER('My equipment'!M211)),MAX($B$3:B710)+1,"")</f>
        <v/>
      </c>
      <c r="E711">
        <f>IFERROR(MATCH(708,$B$4:$B$1003,0),"")</f>
        <v/>
      </c>
    </row>
    <row r="712">
      <c r="A712">
        <f>IF(AND(LEN('My equipment'!A212)&gt;0,ISNUMBER('My equipment'!M212),'My equipment'!Q212&lt;&gt;"Claim settled",'My equipment'!Q212&lt;&gt;"No claim needed",'My equipment'!Q212&lt;&gt;"Cover extended"),'My equipment'!M212+709/100000,"")</f>
        <v/>
      </c>
      <c r="B712">
        <f>IF(AND(LEN('My equipment'!A212)&gt;0,ISNUMBER('My equipment'!M212)),MAX($B$3:B711)+1,"")</f>
        <v/>
      </c>
      <c r="E712">
        <f>IFERROR(MATCH(709,$B$4:$B$1003,0),"")</f>
        <v/>
      </c>
    </row>
    <row r="713">
      <c r="A713">
        <f>IF(AND(LEN('My equipment'!A213)&gt;0,ISNUMBER('My equipment'!M213),'My equipment'!Q213&lt;&gt;"Claim settled",'My equipment'!Q213&lt;&gt;"No claim needed",'My equipment'!Q213&lt;&gt;"Cover extended"),'My equipment'!M213+710/100000,"")</f>
        <v/>
      </c>
      <c r="B713">
        <f>IF(AND(LEN('My equipment'!A213)&gt;0,ISNUMBER('My equipment'!M213)),MAX($B$3:B712)+1,"")</f>
        <v/>
      </c>
      <c r="E713">
        <f>IFERROR(MATCH(710,$B$4:$B$1003,0),"")</f>
        <v/>
      </c>
    </row>
    <row r="714">
      <c r="A714">
        <f>IF(AND(LEN('My equipment'!A214)&gt;0,ISNUMBER('My equipment'!M214),'My equipment'!Q214&lt;&gt;"Claim settled",'My equipment'!Q214&lt;&gt;"No claim needed",'My equipment'!Q214&lt;&gt;"Cover extended"),'My equipment'!M214+711/100000,"")</f>
        <v/>
      </c>
      <c r="B714">
        <f>IF(AND(LEN('My equipment'!A214)&gt;0,ISNUMBER('My equipment'!M214)),MAX($B$3:B713)+1,"")</f>
        <v/>
      </c>
      <c r="E714">
        <f>IFERROR(MATCH(711,$B$4:$B$1003,0),"")</f>
        <v/>
      </c>
    </row>
    <row r="715">
      <c r="A715">
        <f>IF(AND(LEN('My equipment'!A215)&gt;0,ISNUMBER('My equipment'!M215),'My equipment'!Q215&lt;&gt;"Claim settled",'My equipment'!Q215&lt;&gt;"No claim needed",'My equipment'!Q215&lt;&gt;"Cover extended"),'My equipment'!M215+712/100000,"")</f>
        <v/>
      </c>
      <c r="B715">
        <f>IF(AND(LEN('My equipment'!A215)&gt;0,ISNUMBER('My equipment'!M215)),MAX($B$3:B714)+1,"")</f>
        <v/>
      </c>
      <c r="E715">
        <f>IFERROR(MATCH(712,$B$4:$B$1003,0),"")</f>
        <v/>
      </c>
    </row>
    <row r="716">
      <c r="A716">
        <f>IF(AND(LEN('My equipment'!A216)&gt;0,ISNUMBER('My equipment'!M216),'My equipment'!Q216&lt;&gt;"Claim settled",'My equipment'!Q216&lt;&gt;"No claim needed",'My equipment'!Q216&lt;&gt;"Cover extended"),'My equipment'!M216+713/100000,"")</f>
        <v/>
      </c>
      <c r="B716">
        <f>IF(AND(LEN('My equipment'!A216)&gt;0,ISNUMBER('My equipment'!M216)),MAX($B$3:B715)+1,"")</f>
        <v/>
      </c>
      <c r="E716">
        <f>IFERROR(MATCH(713,$B$4:$B$1003,0),"")</f>
        <v/>
      </c>
    </row>
    <row r="717">
      <c r="A717">
        <f>IF(AND(LEN('My equipment'!A217)&gt;0,ISNUMBER('My equipment'!M217),'My equipment'!Q217&lt;&gt;"Claim settled",'My equipment'!Q217&lt;&gt;"No claim needed",'My equipment'!Q217&lt;&gt;"Cover extended"),'My equipment'!M217+714/100000,"")</f>
        <v/>
      </c>
      <c r="B717">
        <f>IF(AND(LEN('My equipment'!A217)&gt;0,ISNUMBER('My equipment'!M217)),MAX($B$3:B716)+1,"")</f>
        <v/>
      </c>
      <c r="E717">
        <f>IFERROR(MATCH(714,$B$4:$B$1003,0),"")</f>
        <v/>
      </c>
    </row>
    <row r="718">
      <c r="A718">
        <f>IF(AND(LEN('My equipment'!A218)&gt;0,ISNUMBER('My equipment'!M218),'My equipment'!Q218&lt;&gt;"Claim settled",'My equipment'!Q218&lt;&gt;"No claim needed",'My equipment'!Q218&lt;&gt;"Cover extended"),'My equipment'!M218+715/100000,"")</f>
        <v/>
      </c>
      <c r="B718">
        <f>IF(AND(LEN('My equipment'!A218)&gt;0,ISNUMBER('My equipment'!M218)),MAX($B$3:B717)+1,"")</f>
        <v/>
      </c>
      <c r="E718">
        <f>IFERROR(MATCH(715,$B$4:$B$1003,0),"")</f>
        <v/>
      </c>
    </row>
    <row r="719">
      <c r="A719">
        <f>IF(AND(LEN('My equipment'!A219)&gt;0,ISNUMBER('My equipment'!M219),'My equipment'!Q219&lt;&gt;"Claim settled",'My equipment'!Q219&lt;&gt;"No claim needed",'My equipment'!Q219&lt;&gt;"Cover extended"),'My equipment'!M219+716/100000,"")</f>
        <v/>
      </c>
      <c r="B719">
        <f>IF(AND(LEN('My equipment'!A219)&gt;0,ISNUMBER('My equipment'!M219)),MAX($B$3:B718)+1,"")</f>
        <v/>
      </c>
      <c r="E719">
        <f>IFERROR(MATCH(716,$B$4:$B$1003,0),"")</f>
        <v/>
      </c>
    </row>
    <row r="720">
      <c r="A720">
        <f>IF(AND(LEN('My equipment'!A220)&gt;0,ISNUMBER('My equipment'!M220),'My equipment'!Q220&lt;&gt;"Claim settled",'My equipment'!Q220&lt;&gt;"No claim needed",'My equipment'!Q220&lt;&gt;"Cover extended"),'My equipment'!M220+717/100000,"")</f>
        <v/>
      </c>
      <c r="B720">
        <f>IF(AND(LEN('My equipment'!A220)&gt;0,ISNUMBER('My equipment'!M220)),MAX($B$3:B719)+1,"")</f>
        <v/>
      </c>
      <c r="E720">
        <f>IFERROR(MATCH(717,$B$4:$B$1003,0),"")</f>
        <v/>
      </c>
    </row>
    <row r="721">
      <c r="A721">
        <f>IF(AND(LEN('My equipment'!A221)&gt;0,ISNUMBER('My equipment'!M221),'My equipment'!Q221&lt;&gt;"Claim settled",'My equipment'!Q221&lt;&gt;"No claim needed",'My equipment'!Q221&lt;&gt;"Cover extended"),'My equipment'!M221+718/100000,"")</f>
        <v/>
      </c>
      <c r="B721">
        <f>IF(AND(LEN('My equipment'!A221)&gt;0,ISNUMBER('My equipment'!M221)),MAX($B$3:B720)+1,"")</f>
        <v/>
      </c>
      <c r="E721">
        <f>IFERROR(MATCH(718,$B$4:$B$1003,0),"")</f>
        <v/>
      </c>
    </row>
    <row r="722">
      <c r="A722">
        <f>IF(AND(LEN('My equipment'!A222)&gt;0,ISNUMBER('My equipment'!M222),'My equipment'!Q222&lt;&gt;"Claim settled",'My equipment'!Q222&lt;&gt;"No claim needed",'My equipment'!Q222&lt;&gt;"Cover extended"),'My equipment'!M222+719/100000,"")</f>
        <v/>
      </c>
      <c r="B722">
        <f>IF(AND(LEN('My equipment'!A222)&gt;0,ISNUMBER('My equipment'!M222)),MAX($B$3:B721)+1,"")</f>
        <v/>
      </c>
      <c r="E722">
        <f>IFERROR(MATCH(719,$B$4:$B$1003,0),"")</f>
        <v/>
      </c>
    </row>
    <row r="723">
      <c r="A723">
        <f>IF(AND(LEN('My equipment'!A223)&gt;0,ISNUMBER('My equipment'!M223),'My equipment'!Q223&lt;&gt;"Claim settled",'My equipment'!Q223&lt;&gt;"No claim needed",'My equipment'!Q223&lt;&gt;"Cover extended"),'My equipment'!M223+720/100000,"")</f>
        <v/>
      </c>
      <c r="B723">
        <f>IF(AND(LEN('My equipment'!A223)&gt;0,ISNUMBER('My equipment'!M223)),MAX($B$3:B722)+1,"")</f>
        <v/>
      </c>
      <c r="E723">
        <f>IFERROR(MATCH(720,$B$4:$B$1003,0),"")</f>
        <v/>
      </c>
    </row>
    <row r="724">
      <c r="A724">
        <f>IF(AND(LEN('My equipment'!A224)&gt;0,ISNUMBER('My equipment'!M224),'My equipment'!Q224&lt;&gt;"Claim settled",'My equipment'!Q224&lt;&gt;"No claim needed",'My equipment'!Q224&lt;&gt;"Cover extended"),'My equipment'!M224+721/100000,"")</f>
        <v/>
      </c>
      <c r="B724">
        <f>IF(AND(LEN('My equipment'!A224)&gt;0,ISNUMBER('My equipment'!M224)),MAX($B$3:B723)+1,"")</f>
        <v/>
      </c>
      <c r="E724">
        <f>IFERROR(MATCH(721,$B$4:$B$1003,0),"")</f>
        <v/>
      </c>
    </row>
    <row r="725">
      <c r="A725">
        <f>IF(AND(LEN('My equipment'!A225)&gt;0,ISNUMBER('My equipment'!M225),'My equipment'!Q225&lt;&gt;"Claim settled",'My equipment'!Q225&lt;&gt;"No claim needed",'My equipment'!Q225&lt;&gt;"Cover extended"),'My equipment'!M225+722/100000,"")</f>
        <v/>
      </c>
      <c r="B725">
        <f>IF(AND(LEN('My equipment'!A225)&gt;0,ISNUMBER('My equipment'!M225)),MAX($B$3:B724)+1,"")</f>
        <v/>
      </c>
      <c r="E725">
        <f>IFERROR(MATCH(722,$B$4:$B$1003,0),"")</f>
        <v/>
      </c>
    </row>
    <row r="726">
      <c r="A726">
        <f>IF(AND(LEN('My equipment'!A226)&gt;0,ISNUMBER('My equipment'!M226),'My equipment'!Q226&lt;&gt;"Claim settled",'My equipment'!Q226&lt;&gt;"No claim needed",'My equipment'!Q226&lt;&gt;"Cover extended"),'My equipment'!M226+723/100000,"")</f>
        <v/>
      </c>
      <c r="B726">
        <f>IF(AND(LEN('My equipment'!A226)&gt;0,ISNUMBER('My equipment'!M226)),MAX($B$3:B725)+1,"")</f>
        <v/>
      </c>
      <c r="E726">
        <f>IFERROR(MATCH(723,$B$4:$B$1003,0),"")</f>
        <v/>
      </c>
    </row>
    <row r="727">
      <c r="A727">
        <f>IF(AND(LEN('My equipment'!A227)&gt;0,ISNUMBER('My equipment'!M227),'My equipment'!Q227&lt;&gt;"Claim settled",'My equipment'!Q227&lt;&gt;"No claim needed",'My equipment'!Q227&lt;&gt;"Cover extended"),'My equipment'!M227+724/100000,"")</f>
        <v/>
      </c>
      <c r="B727">
        <f>IF(AND(LEN('My equipment'!A227)&gt;0,ISNUMBER('My equipment'!M227)),MAX($B$3:B726)+1,"")</f>
        <v/>
      </c>
      <c r="E727">
        <f>IFERROR(MATCH(724,$B$4:$B$1003,0),"")</f>
        <v/>
      </c>
    </row>
    <row r="728">
      <c r="A728">
        <f>IF(AND(LEN('My equipment'!A228)&gt;0,ISNUMBER('My equipment'!M228),'My equipment'!Q228&lt;&gt;"Claim settled",'My equipment'!Q228&lt;&gt;"No claim needed",'My equipment'!Q228&lt;&gt;"Cover extended"),'My equipment'!M228+725/100000,"")</f>
        <v/>
      </c>
      <c r="B728">
        <f>IF(AND(LEN('My equipment'!A228)&gt;0,ISNUMBER('My equipment'!M228)),MAX($B$3:B727)+1,"")</f>
        <v/>
      </c>
      <c r="E728">
        <f>IFERROR(MATCH(725,$B$4:$B$1003,0),"")</f>
        <v/>
      </c>
    </row>
    <row r="729">
      <c r="A729">
        <f>IF(AND(LEN('My equipment'!A229)&gt;0,ISNUMBER('My equipment'!M229),'My equipment'!Q229&lt;&gt;"Claim settled",'My equipment'!Q229&lt;&gt;"No claim needed",'My equipment'!Q229&lt;&gt;"Cover extended"),'My equipment'!M229+726/100000,"")</f>
        <v/>
      </c>
      <c r="B729">
        <f>IF(AND(LEN('My equipment'!A229)&gt;0,ISNUMBER('My equipment'!M229)),MAX($B$3:B728)+1,"")</f>
        <v/>
      </c>
      <c r="E729">
        <f>IFERROR(MATCH(726,$B$4:$B$1003,0),"")</f>
        <v/>
      </c>
    </row>
    <row r="730">
      <c r="A730">
        <f>IF(AND(LEN('My equipment'!A230)&gt;0,ISNUMBER('My equipment'!M230),'My equipment'!Q230&lt;&gt;"Claim settled",'My equipment'!Q230&lt;&gt;"No claim needed",'My equipment'!Q230&lt;&gt;"Cover extended"),'My equipment'!M230+727/100000,"")</f>
        <v/>
      </c>
      <c r="B730">
        <f>IF(AND(LEN('My equipment'!A230)&gt;0,ISNUMBER('My equipment'!M230)),MAX($B$3:B729)+1,"")</f>
        <v/>
      </c>
      <c r="E730">
        <f>IFERROR(MATCH(727,$B$4:$B$1003,0),"")</f>
        <v/>
      </c>
    </row>
    <row r="731">
      <c r="A731">
        <f>IF(AND(LEN('My equipment'!A231)&gt;0,ISNUMBER('My equipment'!M231),'My equipment'!Q231&lt;&gt;"Claim settled",'My equipment'!Q231&lt;&gt;"No claim needed",'My equipment'!Q231&lt;&gt;"Cover extended"),'My equipment'!M231+728/100000,"")</f>
        <v/>
      </c>
      <c r="B731">
        <f>IF(AND(LEN('My equipment'!A231)&gt;0,ISNUMBER('My equipment'!M231)),MAX($B$3:B730)+1,"")</f>
        <v/>
      </c>
      <c r="E731">
        <f>IFERROR(MATCH(728,$B$4:$B$1003,0),"")</f>
        <v/>
      </c>
    </row>
    <row r="732">
      <c r="A732">
        <f>IF(AND(LEN('My equipment'!A232)&gt;0,ISNUMBER('My equipment'!M232),'My equipment'!Q232&lt;&gt;"Claim settled",'My equipment'!Q232&lt;&gt;"No claim needed",'My equipment'!Q232&lt;&gt;"Cover extended"),'My equipment'!M232+729/100000,"")</f>
        <v/>
      </c>
      <c r="B732">
        <f>IF(AND(LEN('My equipment'!A232)&gt;0,ISNUMBER('My equipment'!M232)),MAX($B$3:B731)+1,"")</f>
        <v/>
      </c>
      <c r="E732">
        <f>IFERROR(MATCH(729,$B$4:$B$1003,0),"")</f>
        <v/>
      </c>
    </row>
    <row r="733">
      <c r="A733">
        <f>IF(AND(LEN('My equipment'!A233)&gt;0,ISNUMBER('My equipment'!M233),'My equipment'!Q233&lt;&gt;"Claim settled",'My equipment'!Q233&lt;&gt;"No claim needed",'My equipment'!Q233&lt;&gt;"Cover extended"),'My equipment'!M233+730/100000,"")</f>
        <v/>
      </c>
      <c r="B733">
        <f>IF(AND(LEN('My equipment'!A233)&gt;0,ISNUMBER('My equipment'!M233)),MAX($B$3:B732)+1,"")</f>
        <v/>
      </c>
      <c r="E733">
        <f>IFERROR(MATCH(730,$B$4:$B$1003,0),"")</f>
        <v/>
      </c>
    </row>
    <row r="734">
      <c r="A734">
        <f>IF(AND(LEN('My equipment'!A234)&gt;0,ISNUMBER('My equipment'!M234),'My equipment'!Q234&lt;&gt;"Claim settled",'My equipment'!Q234&lt;&gt;"No claim needed",'My equipment'!Q234&lt;&gt;"Cover extended"),'My equipment'!M234+731/100000,"")</f>
        <v/>
      </c>
      <c r="B734">
        <f>IF(AND(LEN('My equipment'!A234)&gt;0,ISNUMBER('My equipment'!M234)),MAX($B$3:B733)+1,"")</f>
        <v/>
      </c>
      <c r="E734">
        <f>IFERROR(MATCH(731,$B$4:$B$1003,0),"")</f>
        <v/>
      </c>
    </row>
    <row r="735">
      <c r="A735">
        <f>IF(AND(LEN('My equipment'!A235)&gt;0,ISNUMBER('My equipment'!M235),'My equipment'!Q235&lt;&gt;"Claim settled",'My equipment'!Q235&lt;&gt;"No claim needed",'My equipment'!Q235&lt;&gt;"Cover extended"),'My equipment'!M235+732/100000,"")</f>
        <v/>
      </c>
      <c r="B735">
        <f>IF(AND(LEN('My equipment'!A235)&gt;0,ISNUMBER('My equipment'!M235)),MAX($B$3:B734)+1,"")</f>
        <v/>
      </c>
      <c r="E735">
        <f>IFERROR(MATCH(732,$B$4:$B$1003,0),"")</f>
        <v/>
      </c>
    </row>
    <row r="736">
      <c r="A736">
        <f>IF(AND(LEN('My equipment'!A236)&gt;0,ISNUMBER('My equipment'!M236),'My equipment'!Q236&lt;&gt;"Claim settled",'My equipment'!Q236&lt;&gt;"No claim needed",'My equipment'!Q236&lt;&gt;"Cover extended"),'My equipment'!M236+733/100000,"")</f>
        <v/>
      </c>
      <c r="B736">
        <f>IF(AND(LEN('My equipment'!A236)&gt;0,ISNUMBER('My equipment'!M236)),MAX($B$3:B735)+1,"")</f>
        <v/>
      </c>
      <c r="E736">
        <f>IFERROR(MATCH(733,$B$4:$B$1003,0),"")</f>
        <v/>
      </c>
    </row>
    <row r="737">
      <c r="A737">
        <f>IF(AND(LEN('My equipment'!A237)&gt;0,ISNUMBER('My equipment'!M237),'My equipment'!Q237&lt;&gt;"Claim settled",'My equipment'!Q237&lt;&gt;"No claim needed",'My equipment'!Q237&lt;&gt;"Cover extended"),'My equipment'!M237+734/100000,"")</f>
        <v/>
      </c>
      <c r="B737">
        <f>IF(AND(LEN('My equipment'!A237)&gt;0,ISNUMBER('My equipment'!M237)),MAX($B$3:B736)+1,"")</f>
        <v/>
      </c>
      <c r="E737">
        <f>IFERROR(MATCH(734,$B$4:$B$1003,0),"")</f>
        <v/>
      </c>
    </row>
    <row r="738">
      <c r="A738">
        <f>IF(AND(LEN('My equipment'!A238)&gt;0,ISNUMBER('My equipment'!M238),'My equipment'!Q238&lt;&gt;"Claim settled",'My equipment'!Q238&lt;&gt;"No claim needed",'My equipment'!Q238&lt;&gt;"Cover extended"),'My equipment'!M238+735/100000,"")</f>
        <v/>
      </c>
      <c r="B738">
        <f>IF(AND(LEN('My equipment'!A238)&gt;0,ISNUMBER('My equipment'!M238)),MAX($B$3:B737)+1,"")</f>
        <v/>
      </c>
      <c r="E738">
        <f>IFERROR(MATCH(735,$B$4:$B$1003,0),"")</f>
        <v/>
      </c>
    </row>
    <row r="739">
      <c r="A739">
        <f>IF(AND(LEN('My equipment'!A239)&gt;0,ISNUMBER('My equipment'!M239),'My equipment'!Q239&lt;&gt;"Claim settled",'My equipment'!Q239&lt;&gt;"No claim needed",'My equipment'!Q239&lt;&gt;"Cover extended"),'My equipment'!M239+736/100000,"")</f>
        <v/>
      </c>
      <c r="B739">
        <f>IF(AND(LEN('My equipment'!A239)&gt;0,ISNUMBER('My equipment'!M239)),MAX($B$3:B738)+1,"")</f>
        <v/>
      </c>
      <c r="E739">
        <f>IFERROR(MATCH(736,$B$4:$B$1003,0),"")</f>
        <v/>
      </c>
    </row>
    <row r="740">
      <c r="A740">
        <f>IF(AND(LEN('My equipment'!A240)&gt;0,ISNUMBER('My equipment'!M240),'My equipment'!Q240&lt;&gt;"Claim settled",'My equipment'!Q240&lt;&gt;"No claim needed",'My equipment'!Q240&lt;&gt;"Cover extended"),'My equipment'!M240+737/100000,"")</f>
        <v/>
      </c>
      <c r="B740">
        <f>IF(AND(LEN('My equipment'!A240)&gt;0,ISNUMBER('My equipment'!M240)),MAX($B$3:B739)+1,"")</f>
        <v/>
      </c>
      <c r="E740">
        <f>IFERROR(MATCH(737,$B$4:$B$1003,0),"")</f>
        <v/>
      </c>
    </row>
    <row r="741">
      <c r="A741">
        <f>IF(AND(LEN('My equipment'!A241)&gt;0,ISNUMBER('My equipment'!M241),'My equipment'!Q241&lt;&gt;"Claim settled",'My equipment'!Q241&lt;&gt;"No claim needed",'My equipment'!Q241&lt;&gt;"Cover extended"),'My equipment'!M241+738/100000,"")</f>
        <v/>
      </c>
      <c r="B741">
        <f>IF(AND(LEN('My equipment'!A241)&gt;0,ISNUMBER('My equipment'!M241)),MAX($B$3:B740)+1,"")</f>
        <v/>
      </c>
      <c r="E741">
        <f>IFERROR(MATCH(738,$B$4:$B$1003,0),"")</f>
        <v/>
      </c>
    </row>
    <row r="742">
      <c r="A742">
        <f>IF(AND(LEN('My equipment'!A242)&gt;0,ISNUMBER('My equipment'!M242),'My equipment'!Q242&lt;&gt;"Claim settled",'My equipment'!Q242&lt;&gt;"No claim needed",'My equipment'!Q242&lt;&gt;"Cover extended"),'My equipment'!M242+739/100000,"")</f>
        <v/>
      </c>
      <c r="B742">
        <f>IF(AND(LEN('My equipment'!A242)&gt;0,ISNUMBER('My equipment'!M242)),MAX($B$3:B741)+1,"")</f>
        <v/>
      </c>
      <c r="E742">
        <f>IFERROR(MATCH(739,$B$4:$B$1003,0),"")</f>
        <v/>
      </c>
    </row>
    <row r="743">
      <c r="A743">
        <f>IF(AND(LEN('My equipment'!A243)&gt;0,ISNUMBER('My equipment'!M243),'My equipment'!Q243&lt;&gt;"Claim settled",'My equipment'!Q243&lt;&gt;"No claim needed",'My equipment'!Q243&lt;&gt;"Cover extended"),'My equipment'!M243+740/100000,"")</f>
        <v/>
      </c>
      <c r="B743">
        <f>IF(AND(LEN('My equipment'!A243)&gt;0,ISNUMBER('My equipment'!M243)),MAX($B$3:B742)+1,"")</f>
        <v/>
      </c>
      <c r="E743">
        <f>IFERROR(MATCH(740,$B$4:$B$1003,0),"")</f>
        <v/>
      </c>
    </row>
    <row r="744">
      <c r="A744">
        <f>IF(AND(LEN('My equipment'!A244)&gt;0,ISNUMBER('My equipment'!M244),'My equipment'!Q244&lt;&gt;"Claim settled",'My equipment'!Q244&lt;&gt;"No claim needed",'My equipment'!Q244&lt;&gt;"Cover extended"),'My equipment'!M244+741/100000,"")</f>
        <v/>
      </c>
      <c r="B744">
        <f>IF(AND(LEN('My equipment'!A244)&gt;0,ISNUMBER('My equipment'!M244)),MAX($B$3:B743)+1,"")</f>
        <v/>
      </c>
      <c r="E744">
        <f>IFERROR(MATCH(741,$B$4:$B$1003,0),"")</f>
        <v/>
      </c>
    </row>
    <row r="745">
      <c r="A745">
        <f>IF(AND(LEN('My equipment'!A245)&gt;0,ISNUMBER('My equipment'!M245),'My equipment'!Q245&lt;&gt;"Claim settled",'My equipment'!Q245&lt;&gt;"No claim needed",'My equipment'!Q245&lt;&gt;"Cover extended"),'My equipment'!M245+742/100000,"")</f>
        <v/>
      </c>
      <c r="B745">
        <f>IF(AND(LEN('My equipment'!A245)&gt;0,ISNUMBER('My equipment'!M245)),MAX($B$3:B744)+1,"")</f>
        <v/>
      </c>
      <c r="E745">
        <f>IFERROR(MATCH(742,$B$4:$B$1003,0),"")</f>
        <v/>
      </c>
    </row>
    <row r="746">
      <c r="A746">
        <f>IF(AND(LEN('My equipment'!A246)&gt;0,ISNUMBER('My equipment'!M246),'My equipment'!Q246&lt;&gt;"Claim settled",'My equipment'!Q246&lt;&gt;"No claim needed",'My equipment'!Q246&lt;&gt;"Cover extended"),'My equipment'!M246+743/100000,"")</f>
        <v/>
      </c>
      <c r="B746">
        <f>IF(AND(LEN('My equipment'!A246)&gt;0,ISNUMBER('My equipment'!M246)),MAX($B$3:B745)+1,"")</f>
        <v/>
      </c>
      <c r="E746">
        <f>IFERROR(MATCH(743,$B$4:$B$1003,0),"")</f>
        <v/>
      </c>
    </row>
    <row r="747">
      <c r="A747">
        <f>IF(AND(LEN('My equipment'!A247)&gt;0,ISNUMBER('My equipment'!M247),'My equipment'!Q247&lt;&gt;"Claim settled",'My equipment'!Q247&lt;&gt;"No claim needed",'My equipment'!Q247&lt;&gt;"Cover extended"),'My equipment'!M247+744/100000,"")</f>
        <v/>
      </c>
      <c r="B747">
        <f>IF(AND(LEN('My equipment'!A247)&gt;0,ISNUMBER('My equipment'!M247)),MAX($B$3:B746)+1,"")</f>
        <v/>
      </c>
      <c r="E747">
        <f>IFERROR(MATCH(744,$B$4:$B$1003,0),"")</f>
        <v/>
      </c>
    </row>
    <row r="748">
      <c r="A748">
        <f>IF(AND(LEN('My equipment'!A248)&gt;0,ISNUMBER('My equipment'!M248),'My equipment'!Q248&lt;&gt;"Claim settled",'My equipment'!Q248&lt;&gt;"No claim needed",'My equipment'!Q248&lt;&gt;"Cover extended"),'My equipment'!M248+745/100000,"")</f>
        <v/>
      </c>
      <c r="B748">
        <f>IF(AND(LEN('My equipment'!A248)&gt;0,ISNUMBER('My equipment'!M248)),MAX($B$3:B747)+1,"")</f>
        <v/>
      </c>
      <c r="E748">
        <f>IFERROR(MATCH(745,$B$4:$B$1003,0),"")</f>
        <v/>
      </c>
    </row>
    <row r="749">
      <c r="A749">
        <f>IF(AND(LEN('My equipment'!A249)&gt;0,ISNUMBER('My equipment'!M249),'My equipment'!Q249&lt;&gt;"Claim settled",'My equipment'!Q249&lt;&gt;"No claim needed",'My equipment'!Q249&lt;&gt;"Cover extended"),'My equipment'!M249+746/100000,"")</f>
        <v/>
      </c>
      <c r="B749">
        <f>IF(AND(LEN('My equipment'!A249)&gt;0,ISNUMBER('My equipment'!M249)),MAX($B$3:B748)+1,"")</f>
        <v/>
      </c>
      <c r="E749">
        <f>IFERROR(MATCH(746,$B$4:$B$1003,0),"")</f>
        <v/>
      </c>
    </row>
    <row r="750">
      <c r="A750">
        <f>IF(AND(LEN('My equipment'!A250)&gt;0,ISNUMBER('My equipment'!M250),'My equipment'!Q250&lt;&gt;"Claim settled",'My equipment'!Q250&lt;&gt;"No claim needed",'My equipment'!Q250&lt;&gt;"Cover extended"),'My equipment'!M250+747/100000,"")</f>
        <v/>
      </c>
      <c r="B750">
        <f>IF(AND(LEN('My equipment'!A250)&gt;0,ISNUMBER('My equipment'!M250)),MAX($B$3:B749)+1,"")</f>
        <v/>
      </c>
      <c r="E750">
        <f>IFERROR(MATCH(747,$B$4:$B$1003,0),"")</f>
        <v/>
      </c>
    </row>
    <row r="751">
      <c r="A751">
        <f>IF(AND(LEN('My equipment'!A251)&gt;0,ISNUMBER('My equipment'!M251),'My equipment'!Q251&lt;&gt;"Claim settled",'My equipment'!Q251&lt;&gt;"No claim needed",'My equipment'!Q251&lt;&gt;"Cover extended"),'My equipment'!M251+748/100000,"")</f>
        <v/>
      </c>
      <c r="B751">
        <f>IF(AND(LEN('My equipment'!A251)&gt;0,ISNUMBER('My equipment'!M251)),MAX($B$3:B750)+1,"")</f>
        <v/>
      </c>
      <c r="E751">
        <f>IFERROR(MATCH(748,$B$4:$B$1003,0),"")</f>
        <v/>
      </c>
    </row>
    <row r="752">
      <c r="A752">
        <f>IF(AND(LEN('My equipment'!A252)&gt;0,ISNUMBER('My equipment'!M252),'My equipment'!Q252&lt;&gt;"Claim settled",'My equipment'!Q252&lt;&gt;"No claim needed",'My equipment'!Q252&lt;&gt;"Cover extended"),'My equipment'!M252+749/100000,"")</f>
        <v/>
      </c>
      <c r="B752">
        <f>IF(AND(LEN('My equipment'!A252)&gt;0,ISNUMBER('My equipment'!M252)),MAX($B$3:B751)+1,"")</f>
        <v/>
      </c>
      <c r="E752">
        <f>IFERROR(MATCH(749,$B$4:$B$1003,0),"")</f>
        <v/>
      </c>
    </row>
    <row r="753">
      <c r="A753">
        <f>IF(AND(LEN('My equipment'!A253)&gt;0,ISNUMBER('My equipment'!M253),'My equipment'!Q253&lt;&gt;"Claim settled",'My equipment'!Q253&lt;&gt;"No claim needed",'My equipment'!Q253&lt;&gt;"Cover extended"),'My equipment'!M253+750/100000,"")</f>
        <v/>
      </c>
      <c r="B753">
        <f>IF(AND(LEN('My equipment'!A253)&gt;0,ISNUMBER('My equipment'!M253)),MAX($B$3:B752)+1,"")</f>
        <v/>
      </c>
      <c r="E753">
        <f>IFERROR(MATCH(750,$B$4:$B$1003,0),"")</f>
        <v/>
      </c>
    </row>
    <row r="754">
      <c r="A754">
        <f>IF(AND(LEN('My equipment'!A254)&gt;0,ISNUMBER('My equipment'!M254),'My equipment'!Q254&lt;&gt;"Claim settled",'My equipment'!Q254&lt;&gt;"No claim needed",'My equipment'!Q254&lt;&gt;"Cover extended"),'My equipment'!M254+751/100000,"")</f>
        <v/>
      </c>
      <c r="B754">
        <f>IF(AND(LEN('My equipment'!A254)&gt;0,ISNUMBER('My equipment'!M254)),MAX($B$3:B753)+1,"")</f>
        <v/>
      </c>
      <c r="E754">
        <f>IFERROR(MATCH(751,$B$4:$B$1003,0),"")</f>
        <v/>
      </c>
    </row>
    <row r="755">
      <c r="A755">
        <f>IF(AND(LEN('My equipment'!A255)&gt;0,ISNUMBER('My equipment'!M255),'My equipment'!Q255&lt;&gt;"Claim settled",'My equipment'!Q255&lt;&gt;"No claim needed",'My equipment'!Q255&lt;&gt;"Cover extended"),'My equipment'!M255+752/100000,"")</f>
        <v/>
      </c>
      <c r="B755">
        <f>IF(AND(LEN('My equipment'!A255)&gt;0,ISNUMBER('My equipment'!M255)),MAX($B$3:B754)+1,"")</f>
        <v/>
      </c>
      <c r="E755">
        <f>IFERROR(MATCH(752,$B$4:$B$1003,0),"")</f>
        <v/>
      </c>
    </row>
    <row r="756">
      <c r="A756">
        <f>IF(AND(LEN('My equipment'!A256)&gt;0,ISNUMBER('My equipment'!M256),'My equipment'!Q256&lt;&gt;"Claim settled",'My equipment'!Q256&lt;&gt;"No claim needed",'My equipment'!Q256&lt;&gt;"Cover extended"),'My equipment'!M256+753/100000,"")</f>
        <v/>
      </c>
      <c r="B756">
        <f>IF(AND(LEN('My equipment'!A256)&gt;0,ISNUMBER('My equipment'!M256)),MAX($B$3:B755)+1,"")</f>
        <v/>
      </c>
      <c r="E756">
        <f>IFERROR(MATCH(753,$B$4:$B$1003,0),"")</f>
        <v/>
      </c>
    </row>
    <row r="757">
      <c r="A757">
        <f>IF(AND(LEN('My equipment'!A257)&gt;0,ISNUMBER('My equipment'!M257),'My equipment'!Q257&lt;&gt;"Claim settled",'My equipment'!Q257&lt;&gt;"No claim needed",'My equipment'!Q257&lt;&gt;"Cover extended"),'My equipment'!M257+754/100000,"")</f>
        <v/>
      </c>
      <c r="B757">
        <f>IF(AND(LEN('My equipment'!A257)&gt;0,ISNUMBER('My equipment'!M257)),MAX($B$3:B756)+1,"")</f>
        <v/>
      </c>
      <c r="E757">
        <f>IFERROR(MATCH(754,$B$4:$B$1003,0),"")</f>
        <v/>
      </c>
    </row>
    <row r="758">
      <c r="A758">
        <f>IF(AND(LEN('My equipment'!A258)&gt;0,ISNUMBER('My equipment'!M258),'My equipment'!Q258&lt;&gt;"Claim settled",'My equipment'!Q258&lt;&gt;"No claim needed",'My equipment'!Q258&lt;&gt;"Cover extended"),'My equipment'!M258+755/100000,"")</f>
        <v/>
      </c>
      <c r="B758">
        <f>IF(AND(LEN('My equipment'!A258)&gt;0,ISNUMBER('My equipment'!M258)),MAX($B$3:B757)+1,"")</f>
        <v/>
      </c>
      <c r="E758">
        <f>IFERROR(MATCH(755,$B$4:$B$1003,0),"")</f>
        <v/>
      </c>
    </row>
    <row r="759">
      <c r="A759">
        <f>IF(AND(LEN('My equipment'!A259)&gt;0,ISNUMBER('My equipment'!M259),'My equipment'!Q259&lt;&gt;"Claim settled",'My equipment'!Q259&lt;&gt;"No claim needed",'My equipment'!Q259&lt;&gt;"Cover extended"),'My equipment'!M259+756/100000,"")</f>
        <v/>
      </c>
      <c r="B759">
        <f>IF(AND(LEN('My equipment'!A259)&gt;0,ISNUMBER('My equipment'!M259)),MAX($B$3:B758)+1,"")</f>
        <v/>
      </c>
      <c r="E759">
        <f>IFERROR(MATCH(756,$B$4:$B$1003,0),"")</f>
        <v/>
      </c>
    </row>
    <row r="760">
      <c r="A760">
        <f>IF(AND(LEN('My equipment'!A260)&gt;0,ISNUMBER('My equipment'!M260),'My equipment'!Q260&lt;&gt;"Claim settled",'My equipment'!Q260&lt;&gt;"No claim needed",'My equipment'!Q260&lt;&gt;"Cover extended"),'My equipment'!M260+757/100000,"")</f>
        <v/>
      </c>
      <c r="B760">
        <f>IF(AND(LEN('My equipment'!A260)&gt;0,ISNUMBER('My equipment'!M260)),MAX($B$3:B759)+1,"")</f>
        <v/>
      </c>
      <c r="E760">
        <f>IFERROR(MATCH(757,$B$4:$B$1003,0),"")</f>
        <v/>
      </c>
    </row>
    <row r="761">
      <c r="A761">
        <f>IF(AND(LEN('My equipment'!A261)&gt;0,ISNUMBER('My equipment'!M261),'My equipment'!Q261&lt;&gt;"Claim settled",'My equipment'!Q261&lt;&gt;"No claim needed",'My equipment'!Q261&lt;&gt;"Cover extended"),'My equipment'!M261+758/100000,"")</f>
        <v/>
      </c>
      <c r="B761">
        <f>IF(AND(LEN('My equipment'!A261)&gt;0,ISNUMBER('My equipment'!M261)),MAX($B$3:B760)+1,"")</f>
        <v/>
      </c>
      <c r="E761">
        <f>IFERROR(MATCH(758,$B$4:$B$1003,0),"")</f>
        <v/>
      </c>
    </row>
    <row r="762">
      <c r="A762">
        <f>IF(AND(LEN('My equipment'!A262)&gt;0,ISNUMBER('My equipment'!M262),'My equipment'!Q262&lt;&gt;"Claim settled",'My equipment'!Q262&lt;&gt;"No claim needed",'My equipment'!Q262&lt;&gt;"Cover extended"),'My equipment'!M262+759/100000,"")</f>
        <v/>
      </c>
      <c r="B762">
        <f>IF(AND(LEN('My equipment'!A262)&gt;0,ISNUMBER('My equipment'!M262)),MAX($B$3:B761)+1,"")</f>
        <v/>
      </c>
      <c r="E762">
        <f>IFERROR(MATCH(759,$B$4:$B$1003,0),"")</f>
        <v/>
      </c>
    </row>
    <row r="763">
      <c r="A763">
        <f>IF(AND(LEN('My equipment'!A263)&gt;0,ISNUMBER('My equipment'!M263),'My equipment'!Q263&lt;&gt;"Claim settled",'My equipment'!Q263&lt;&gt;"No claim needed",'My equipment'!Q263&lt;&gt;"Cover extended"),'My equipment'!M263+760/100000,"")</f>
        <v/>
      </c>
      <c r="B763">
        <f>IF(AND(LEN('My equipment'!A263)&gt;0,ISNUMBER('My equipment'!M263)),MAX($B$3:B762)+1,"")</f>
        <v/>
      </c>
      <c r="E763">
        <f>IFERROR(MATCH(760,$B$4:$B$1003,0),"")</f>
        <v/>
      </c>
    </row>
    <row r="764">
      <c r="A764">
        <f>IF(AND(LEN('My equipment'!A264)&gt;0,ISNUMBER('My equipment'!M264),'My equipment'!Q264&lt;&gt;"Claim settled",'My equipment'!Q264&lt;&gt;"No claim needed",'My equipment'!Q264&lt;&gt;"Cover extended"),'My equipment'!M264+761/100000,"")</f>
        <v/>
      </c>
      <c r="B764">
        <f>IF(AND(LEN('My equipment'!A264)&gt;0,ISNUMBER('My equipment'!M264)),MAX($B$3:B763)+1,"")</f>
        <v/>
      </c>
      <c r="E764">
        <f>IFERROR(MATCH(761,$B$4:$B$1003,0),"")</f>
        <v/>
      </c>
    </row>
    <row r="765">
      <c r="A765">
        <f>IF(AND(LEN('My equipment'!A265)&gt;0,ISNUMBER('My equipment'!M265),'My equipment'!Q265&lt;&gt;"Claim settled",'My equipment'!Q265&lt;&gt;"No claim needed",'My equipment'!Q265&lt;&gt;"Cover extended"),'My equipment'!M265+762/100000,"")</f>
        <v/>
      </c>
      <c r="B765">
        <f>IF(AND(LEN('My equipment'!A265)&gt;0,ISNUMBER('My equipment'!M265)),MAX($B$3:B764)+1,"")</f>
        <v/>
      </c>
      <c r="E765">
        <f>IFERROR(MATCH(762,$B$4:$B$1003,0),"")</f>
        <v/>
      </c>
    </row>
    <row r="766">
      <c r="A766">
        <f>IF(AND(LEN('My equipment'!A266)&gt;0,ISNUMBER('My equipment'!M266),'My equipment'!Q266&lt;&gt;"Claim settled",'My equipment'!Q266&lt;&gt;"No claim needed",'My equipment'!Q266&lt;&gt;"Cover extended"),'My equipment'!M266+763/100000,"")</f>
        <v/>
      </c>
      <c r="B766">
        <f>IF(AND(LEN('My equipment'!A266)&gt;0,ISNUMBER('My equipment'!M266)),MAX($B$3:B765)+1,"")</f>
        <v/>
      </c>
      <c r="E766">
        <f>IFERROR(MATCH(763,$B$4:$B$1003,0),"")</f>
        <v/>
      </c>
    </row>
    <row r="767">
      <c r="A767">
        <f>IF(AND(LEN('My equipment'!A267)&gt;0,ISNUMBER('My equipment'!M267),'My equipment'!Q267&lt;&gt;"Claim settled",'My equipment'!Q267&lt;&gt;"No claim needed",'My equipment'!Q267&lt;&gt;"Cover extended"),'My equipment'!M267+764/100000,"")</f>
        <v/>
      </c>
      <c r="B767">
        <f>IF(AND(LEN('My equipment'!A267)&gt;0,ISNUMBER('My equipment'!M267)),MAX($B$3:B766)+1,"")</f>
        <v/>
      </c>
      <c r="E767">
        <f>IFERROR(MATCH(764,$B$4:$B$1003,0),"")</f>
        <v/>
      </c>
    </row>
    <row r="768">
      <c r="A768">
        <f>IF(AND(LEN('My equipment'!A268)&gt;0,ISNUMBER('My equipment'!M268),'My equipment'!Q268&lt;&gt;"Claim settled",'My equipment'!Q268&lt;&gt;"No claim needed",'My equipment'!Q268&lt;&gt;"Cover extended"),'My equipment'!M268+765/100000,"")</f>
        <v/>
      </c>
      <c r="B768">
        <f>IF(AND(LEN('My equipment'!A268)&gt;0,ISNUMBER('My equipment'!M268)),MAX($B$3:B767)+1,"")</f>
        <v/>
      </c>
      <c r="E768">
        <f>IFERROR(MATCH(765,$B$4:$B$1003,0),"")</f>
        <v/>
      </c>
    </row>
    <row r="769">
      <c r="A769">
        <f>IF(AND(LEN('My equipment'!A269)&gt;0,ISNUMBER('My equipment'!M269),'My equipment'!Q269&lt;&gt;"Claim settled",'My equipment'!Q269&lt;&gt;"No claim needed",'My equipment'!Q269&lt;&gt;"Cover extended"),'My equipment'!M269+766/100000,"")</f>
        <v/>
      </c>
      <c r="B769">
        <f>IF(AND(LEN('My equipment'!A269)&gt;0,ISNUMBER('My equipment'!M269)),MAX($B$3:B768)+1,"")</f>
        <v/>
      </c>
      <c r="E769">
        <f>IFERROR(MATCH(766,$B$4:$B$1003,0),"")</f>
        <v/>
      </c>
    </row>
    <row r="770">
      <c r="A770">
        <f>IF(AND(LEN('My equipment'!A270)&gt;0,ISNUMBER('My equipment'!M270),'My equipment'!Q270&lt;&gt;"Claim settled",'My equipment'!Q270&lt;&gt;"No claim needed",'My equipment'!Q270&lt;&gt;"Cover extended"),'My equipment'!M270+767/100000,"")</f>
        <v/>
      </c>
      <c r="B770">
        <f>IF(AND(LEN('My equipment'!A270)&gt;0,ISNUMBER('My equipment'!M270)),MAX($B$3:B769)+1,"")</f>
        <v/>
      </c>
      <c r="E770">
        <f>IFERROR(MATCH(767,$B$4:$B$1003,0),"")</f>
        <v/>
      </c>
    </row>
    <row r="771">
      <c r="A771">
        <f>IF(AND(LEN('My equipment'!A271)&gt;0,ISNUMBER('My equipment'!M271),'My equipment'!Q271&lt;&gt;"Claim settled",'My equipment'!Q271&lt;&gt;"No claim needed",'My equipment'!Q271&lt;&gt;"Cover extended"),'My equipment'!M271+768/100000,"")</f>
        <v/>
      </c>
      <c r="B771">
        <f>IF(AND(LEN('My equipment'!A271)&gt;0,ISNUMBER('My equipment'!M271)),MAX($B$3:B770)+1,"")</f>
        <v/>
      </c>
      <c r="E771">
        <f>IFERROR(MATCH(768,$B$4:$B$1003,0),"")</f>
        <v/>
      </c>
    </row>
    <row r="772">
      <c r="A772">
        <f>IF(AND(LEN('My equipment'!A272)&gt;0,ISNUMBER('My equipment'!M272),'My equipment'!Q272&lt;&gt;"Claim settled",'My equipment'!Q272&lt;&gt;"No claim needed",'My equipment'!Q272&lt;&gt;"Cover extended"),'My equipment'!M272+769/100000,"")</f>
        <v/>
      </c>
      <c r="B772">
        <f>IF(AND(LEN('My equipment'!A272)&gt;0,ISNUMBER('My equipment'!M272)),MAX($B$3:B771)+1,"")</f>
        <v/>
      </c>
      <c r="E772">
        <f>IFERROR(MATCH(769,$B$4:$B$1003,0),"")</f>
        <v/>
      </c>
    </row>
    <row r="773">
      <c r="A773">
        <f>IF(AND(LEN('My equipment'!A273)&gt;0,ISNUMBER('My equipment'!M273),'My equipment'!Q273&lt;&gt;"Claim settled",'My equipment'!Q273&lt;&gt;"No claim needed",'My equipment'!Q273&lt;&gt;"Cover extended"),'My equipment'!M273+770/100000,"")</f>
        <v/>
      </c>
      <c r="B773">
        <f>IF(AND(LEN('My equipment'!A273)&gt;0,ISNUMBER('My equipment'!M273)),MAX($B$3:B772)+1,"")</f>
        <v/>
      </c>
      <c r="E773">
        <f>IFERROR(MATCH(770,$B$4:$B$1003,0),"")</f>
        <v/>
      </c>
    </row>
    <row r="774">
      <c r="A774">
        <f>IF(AND(LEN('My equipment'!A274)&gt;0,ISNUMBER('My equipment'!M274),'My equipment'!Q274&lt;&gt;"Claim settled",'My equipment'!Q274&lt;&gt;"No claim needed",'My equipment'!Q274&lt;&gt;"Cover extended"),'My equipment'!M274+771/100000,"")</f>
        <v/>
      </c>
      <c r="B774">
        <f>IF(AND(LEN('My equipment'!A274)&gt;0,ISNUMBER('My equipment'!M274)),MAX($B$3:B773)+1,"")</f>
        <v/>
      </c>
      <c r="E774">
        <f>IFERROR(MATCH(771,$B$4:$B$1003,0),"")</f>
        <v/>
      </c>
    </row>
    <row r="775">
      <c r="A775">
        <f>IF(AND(LEN('My equipment'!A275)&gt;0,ISNUMBER('My equipment'!M275),'My equipment'!Q275&lt;&gt;"Claim settled",'My equipment'!Q275&lt;&gt;"No claim needed",'My equipment'!Q275&lt;&gt;"Cover extended"),'My equipment'!M275+772/100000,"")</f>
        <v/>
      </c>
      <c r="B775">
        <f>IF(AND(LEN('My equipment'!A275)&gt;0,ISNUMBER('My equipment'!M275)),MAX($B$3:B774)+1,"")</f>
        <v/>
      </c>
      <c r="E775">
        <f>IFERROR(MATCH(772,$B$4:$B$1003,0),"")</f>
        <v/>
      </c>
    </row>
    <row r="776">
      <c r="A776">
        <f>IF(AND(LEN('My equipment'!A276)&gt;0,ISNUMBER('My equipment'!M276),'My equipment'!Q276&lt;&gt;"Claim settled",'My equipment'!Q276&lt;&gt;"No claim needed",'My equipment'!Q276&lt;&gt;"Cover extended"),'My equipment'!M276+773/100000,"")</f>
        <v/>
      </c>
      <c r="B776">
        <f>IF(AND(LEN('My equipment'!A276)&gt;0,ISNUMBER('My equipment'!M276)),MAX($B$3:B775)+1,"")</f>
        <v/>
      </c>
      <c r="E776">
        <f>IFERROR(MATCH(773,$B$4:$B$1003,0),"")</f>
        <v/>
      </c>
    </row>
    <row r="777">
      <c r="A777">
        <f>IF(AND(LEN('My equipment'!A277)&gt;0,ISNUMBER('My equipment'!M277),'My equipment'!Q277&lt;&gt;"Claim settled",'My equipment'!Q277&lt;&gt;"No claim needed",'My equipment'!Q277&lt;&gt;"Cover extended"),'My equipment'!M277+774/100000,"")</f>
        <v/>
      </c>
      <c r="B777">
        <f>IF(AND(LEN('My equipment'!A277)&gt;0,ISNUMBER('My equipment'!M277)),MAX($B$3:B776)+1,"")</f>
        <v/>
      </c>
      <c r="E777">
        <f>IFERROR(MATCH(774,$B$4:$B$1003,0),"")</f>
        <v/>
      </c>
    </row>
    <row r="778">
      <c r="A778">
        <f>IF(AND(LEN('My equipment'!A278)&gt;0,ISNUMBER('My equipment'!M278),'My equipment'!Q278&lt;&gt;"Claim settled",'My equipment'!Q278&lt;&gt;"No claim needed",'My equipment'!Q278&lt;&gt;"Cover extended"),'My equipment'!M278+775/100000,"")</f>
        <v/>
      </c>
      <c r="B778">
        <f>IF(AND(LEN('My equipment'!A278)&gt;0,ISNUMBER('My equipment'!M278)),MAX($B$3:B777)+1,"")</f>
        <v/>
      </c>
      <c r="E778">
        <f>IFERROR(MATCH(775,$B$4:$B$1003,0),"")</f>
        <v/>
      </c>
    </row>
    <row r="779">
      <c r="A779">
        <f>IF(AND(LEN('My equipment'!A279)&gt;0,ISNUMBER('My equipment'!M279),'My equipment'!Q279&lt;&gt;"Claim settled",'My equipment'!Q279&lt;&gt;"No claim needed",'My equipment'!Q279&lt;&gt;"Cover extended"),'My equipment'!M279+776/100000,"")</f>
        <v/>
      </c>
      <c r="B779">
        <f>IF(AND(LEN('My equipment'!A279)&gt;0,ISNUMBER('My equipment'!M279)),MAX($B$3:B778)+1,"")</f>
        <v/>
      </c>
      <c r="E779">
        <f>IFERROR(MATCH(776,$B$4:$B$1003,0),"")</f>
        <v/>
      </c>
    </row>
    <row r="780">
      <c r="A780">
        <f>IF(AND(LEN('My equipment'!A280)&gt;0,ISNUMBER('My equipment'!M280),'My equipment'!Q280&lt;&gt;"Claim settled",'My equipment'!Q280&lt;&gt;"No claim needed",'My equipment'!Q280&lt;&gt;"Cover extended"),'My equipment'!M280+777/100000,"")</f>
        <v/>
      </c>
      <c r="B780">
        <f>IF(AND(LEN('My equipment'!A280)&gt;0,ISNUMBER('My equipment'!M280)),MAX($B$3:B779)+1,"")</f>
        <v/>
      </c>
      <c r="E780">
        <f>IFERROR(MATCH(777,$B$4:$B$1003,0),"")</f>
        <v/>
      </c>
    </row>
    <row r="781">
      <c r="A781">
        <f>IF(AND(LEN('My equipment'!A281)&gt;0,ISNUMBER('My equipment'!M281),'My equipment'!Q281&lt;&gt;"Claim settled",'My equipment'!Q281&lt;&gt;"No claim needed",'My equipment'!Q281&lt;&gt;"Cover extended"),'My equipment'!M281+778/100000,"")</f>
        <v/>
      </c>
      <c r="B781">
        <f>IF(AND(LEN('My equipment'!A281)&gt;0,ISNUMBER('My equipment'!M281)),MAX($B$3:B780)+1,"")</f>
        <v/>
      </c>
      <c r="E781">
        <f>IFERROR(MATCH(778,$B$4:$B$1003,0),"")</f>
        <v/>
      </c>
    </row>
    <row r="782">
      <c r="A782">
        <f>IF(AND(LEN('My equipment'!A282)&gt;0,ISNUMBER('My equipment'!M282),'My equipment'!Q282&lt;&gt;"Claim settled",'My equipment'!Q282&lt;&gt;"No claim needed",'My equipment'!Q282&lt;&gt;"Cover extended"),'My equipment'!M282+779/100000,"")</f>
        <v/>
      </c>
      <c r="B782">
        <f>IF(AND(LEN('My equipment'!A282)&gt;0,ISNUMBER('My equipment'!M282)),MAX($B$3:B781)+1,"")</f>
        <v/>
      </c>
      <c r="E782">
        <f>IFERROR(MATCH(779,$B$4:$B$1003,0),"")</f>
        <v/>
      </c>
    </row>
    <row r="783">
      <c r="A783">
        <f>IF(AND(LEN('My equipment'!A283)&gt;0,ISNUMBER('My equipment'!M283),'My equipment'!Q283&lt;&gt;"Claim settled",'My equipment'!Q283&lt;&gt;"No claim needed",'My equipment'!Q283&lt;&gt;"Cover extended"),'My equipment'!M283+780/100000,"")</f>
        <v/>
      </c>
      <c r="B783">
        <f>IF(AND(LEN('My equipment'!A283)&gt;0,ISNUMBER('My equipment'!M283)),MAX($B$3:B782)+1,"")</f>
        <v/>
      </c>
      <c r="E783">
        <f>IFERROR(MATCH(780,$B$4:$B$1003,0),"")</f>
        <v/>
      </c>
    </row>
    <row r="784">
      <c r="A784">
        <f>IF(AND(LEN('My equipment'!A284)&gt;0,ISNUMBER('My equipment'!M284),'My equipment'!Q284&lt;&gt;"Claim settled",'My equipment'!Q284&lt;&gt;"No claim needed",'My equipment'!Q284&lt;&gt;"Cover extended"),'My equipment'!M284+781/100000,"")</f>
        <v/>
      </c>
      <c r="B784">
        <f>IF(AND(LEN('My equipment'!A284)&gt;0,ISNUMBER('My equipment'!M284)),MAX($B$3:B783)+1,"")</f>
        <v/>
      </c>
      <c r="E784">
        <f>IFERROR(MATCH(781,$B$4:$B$1003,0),"")</f>
        <v/>
      </c>
    </row>
    <row r="785">
      <c r="A785">
        <f>IF(AND(LEN('My equipment'!A285)&gt;0,ISNUMBER('My equipment'!M285),'My equipment'!Q285&lt;&gt;"Claim settled",'My equipment'!Q285&lt;&gt;"No claim needed",'My equipment'!Q285&lt;&gt;"Cover extended"),'My equipment'!M285+782/100000,"")</f>
        <v/>
      </c>
      <c r="B785">
        <f>IF(AND(LEN('My equipment'!A285)&gt;0,ISNUMBER('My equipment'!M285)),MAX($B$3:B784)+1,"")</f>
        <v/>
      </c>
      <c r="E785">
        <f>IFERROR(MATCH(782,$B$4:$B$1003,0),"")</f>
        <v/>
      </c>
    </row>
    <row r="786">
      <c r="A786">
        <f>IF(AND(LEN('My equipment'!A286)&gt;0,ISNUMBER('My equipment'!M286),'My equipment'!Q286&lt;&gt;"Claim settled",'My equipment'!Q286&lt;&gt;"No claim needed",'My equipment'!Q286&lt;&gt;"Cover extended"),'My equipment'!M286+783/100000,"")</f>
        <v/>
      </c>
      <c r="B786">
        <f>IF(AND(LEN('My equipment'!A286)&gt;0,ISNUMBER('My equipment'!M286)),MAX($B$3:B785)+1,"")</f>
        <v/>
      </c>
      <c r="E786">
        <f>IFERROR(MATCH(783,$B$4:$B$1003,0),"")</f>
        <v/>
      </c>
    </row>
    <row r="787">
      <c r="A787">
        <f>IF(AND(LEN('My equipment'!A287)&gt;0,ISNUMBER('My equipment'!M287),'My equipment'!Q287&lt;&gt;"Claim settled",'My equipment'!Q287&lt;&gt;"No claim needed",'My equipment'!Q287&lt;&gt;"Cover extended"),'My equipment'!M287+784/100000,"")</f>
        <v/>
      </c>
      <c r="B787">
        <f>IF(AND(LEN('My equipment'!A287)&gt;0,ISNUMBER('My equipment'!M287)),MAX($B$3:B786)+1,"")</f>
        <v/>
      </c>
      <c r="E787">
        <f>IFERROR(MATCH(784,$B$4:$B$1003,0),"")</f>
        <v/>
      </c>
    </row>
    <row r="788">
      <c r="A788">
        <f>IF(AND(LEN('My equipment'!A288)&gt;0,ISNUMBER('My equipment'!M288),'My equipment'!Q288&lt;&gt;"Claim settled",'My equipment'!Q288&lt;&gt;"No claim needed",'My equipment'!Q288&lt;&gt;"Cover extended"),'My equipment'!M288+785/100000,"")</f>
        <v/>
      </c>
      <c r="B788">
        <f>IF(AND(LEN('My equipment'!A288)&gt;0,ISNUMBER('My equipment'!M288)),MAX($B$3:B787)+1,"")</f>
        <v/>
      </c>
      <c r="E788">
        <f>IFERROR(MATCH(785,$B$4:$B$1003,0),"")</f>
        <v/>
      </c>
    </row>
    <row r="789">
      <c r="A789">
        <f>IF(AND(LEN('My equipment'!A289)&gt;0,ISNUMBER('My equipment'!M289),'My equipment'!Q289&lt;&gt;"Claim settled",'My equipment'!Q289&lt;&gt;"No claim needed",'My equipment'!Q289&lt;&gt;"Cover extended"),'My equipment'!M289+786/100000,"")</f>
        <v/>
      </c>
      <c r="B789">
        <f>IF(AND(LEN('My equipment'!A289)&gt;0,ISNUMBER('My equipment'!M289)),MAX($B$3:B788)+1,"")</f>
        <v/>
      </c>
      <c r="E789">
        <f>IFERROR(MATCH(786,$B$4:$B$1003,0),"")</f>
        <v/>
      </c>
    </row>
    <row r="790">
      <c r="A790">
        <f>IF(AND(LEN('My equipment'!A290)&gt;0,ISNUMBER('My equipment'!M290),'My equipment'!Q290&lt;&gt;"Claim settled",'My equipment'!Q290&lt;&gt;"No claim needed",'My equipment'!Q290&lt;&gt;"Cover extended"),'My equipment'!M290+787/100000,"")</f>
        <v/>
      </c>
      <c r="B790">
        <f>IF(AND(LEN('My equipment'!A290)&gt;0,ISNUMBER('My equipment'!M290)),MAX($B$3:B789)+1,"")</f>
        <v/>
      </c>
      <c r="E790">
        <f>IFERROR(MATCH(787,$B$4:$B$1003,0),"")</f>
        <v/>
      </c>
    </row>
    <row r="791">
      <c r="A791">
        <f>IF(AND(LEN('My equipment'!A291)&gt;0,ISNUMBER('My equipment'!M291),'My equipment'!Q291&lt;&gt;"Claim settled",'My equipment'!Q291&lt;&gt;"No claim needed",'My equipment'!Q291&lt;&gt;"Cover extended"),'My equipment'!M291+788/100000,"")</f>
        <v/>
      </c>
      <c r="B791">
        <f>IF(AND(LEN('My equipment'!A291)&gt;0,ISNUMBER('My equipment'!M291)),MAX($B$3:B790)+1,"")</f>
        <v/>
      </c>
      <c r="E791">
        <f>IFERROR(MATCH(788,$B$4:$B$1003,0),"")</f>
        <v/>
      </c>
    </row>
    <row r="792">
      <c r="A792">
        <f>IF(AND(LEN('My equipment'!A292)&gt;0,ISNUMBER('My equipment'!M292),'My equipment'!Q292&lt;&gt;"Claim settled",'My equipment'!Q292&lt;&gt;"No claim needed",'My equipment'!Q292&lt;&gt;"Cover extended"),'My equipment'!M292+789/100000,"")</f>
        <v/>
      </c>
      <c r="B792">
        <f>IF(AND(LEN('My equipment'!A292)&gt;0,ISNUMBER('My equipment'!M292)),MAX($B$3:B791)+1,"")</f>
        <v/>
      </c>
      <c r="E792">
        <f>IFERROR(MATCH(789,$B$4:$B$1003,0),"")</f>
        <v/>
      </c>
    </row>
    <row r="793">
      <c r="A793">
        <f>IF(AND(LEN('My equipment'!A293)&gt;0,ISNUMBER('My equipment'!M293),'My equipment'!Q293&lt;&gt;"Claim settled",'My equipment'!Q293&lt;&gt;"No claim needed",'My equipment'!Q293&lt;&gt;"Cover extended"),'My equipment'!M293+790/100000,"")</f>
        <v/>
      </c>
      <c r="B793">
        <f>IF(AND(LEN('My equipment'!A293)&gt;0,ISNUMBER('My equipment'!M293)),MAX($B$3:B792)+1,"")</f>
        <v/>
      </c>
      <c r="E793">
        <f>IFERROR(MATCH(790,$B$4:$B$1003,0),"")</f>
        <v/>
      </c>
    </row>
    <row r="794">
      <c r="A794">
        <f>IF(AND(LEN('My equipment'!A294)&gt;0,ISNUMBER('My equipment'!M294),'My equipment'!Q294&lt;&gt;"Claim settled",'My equipment'!Q294&lt;&gt;"No claim needed",'My equipment'!Q294&lt;&gt;"Cover extended"),'My equipment'!M294+791/100000,"")</f>
        <v/>
      </c>
      <c r="B794">
        <f>IF(AND(LEN('My equipment'!A294)&gt;0,ISNUMBER('My equipment'!M294)),MAX($B$3:B793)+1,"")</f>
        <v/>
      </c>
      <c r="E794">
        <f>IFERROR(MATCH(791,$B$4:$B$1003,0),"")</f>
        <v/>
      </c>
    </row>
    <row r="795">
      <c r="A795">
        <f>IF(AND(LEN('My equipment'!A295)&gt;0,ISNUMBER('My equipment'!M295),'My equipment'!Q295&lt;&gt;"Claim settled",'My equipment'!Q295&lt;&gt;"No claim needed",'My equipment'!Q295&lt;&gt;"Cover extended"),'My equipment'!M295+792/100000,"")</f>
        <v/>
      </c>
      <c r="B795">
        <f>IF(AND(LEN('My equipment'!A295)&gt;0,ISNUMBER('My equipment'!M295)),MAX($B$3:B794)+1,"")</f>
        <v/>
      </c>
      <c r="E795">
        <f>IFERROR(MATCH(792,$B$4:$B$1003,0),"")</f>
        <v/>
      </c>
    </row>
    <row r="796">
      <c r="A796">
        <f>IF(AND(LEN('My equipment'!A296)&gt;0,ISNUMBER('My equipment'!M296),'My equipment'!Q296&lt;&gt;"Claim settled",'My equipment'!Q296&lt;&gt;"No claim needed",'My equipment'!Q296&lt;&gt;"Cover extended"),'My equipment'!M296+793/100000,"")</f>
        <v/>
      </c>
      <c r="B796">
        <f>IF(AND(LEN('My equipment'!A296)&gt;0,ISNUMBER('My equipment'!M296)),MAX($B$3:B795)+1,"")</f>
        <v/>
      </c>
      <c r="E796">
        <f>IFERROR(MATCH(793,$B$4:$B$1003,0),"")</f>
        <v/>
      </c>
    </row>
    <row r="797">
      <c r="A797">
        <f>IF(AND(LEN('My equipment'!A297)&gt;0,ISNUMBER('My equipment'!M297),'My equipment'!Q297&lt;&gt;"Claim settled",'My equipment'!Q297&lt;&gt;"No claim needed",'My equipment'!Q297&lt;&gt;"Cover extended"),'My equipment'!M297+794/100000,"")</f>
        <v/>
      </c>
      <c r="B797">
        <f>IF(AND(LEN('My equipment'!A297)&gt;0,ISNUMBER('My equipment'!M297)),MAX($B$3:B796)+1,"")</f>
        <v/>
      </c>
      <c r="E797">
        <f>IFERROR(MATCH(794,$B$4:$B$1003,0),"")</f>
        <v/>
      </c>
    </row>
    <row r="798">
      <c r="A798">
        <f>IF(AND(LEN('My equipment'!A298)&gt;0,ISNUMBER('My equipment'!M298),'My equipment'!Q298&lt;&gt;"Claim settled",'My equipment'!Q298&lt;&gt;"No claim needed",'My equipment'!Q298&lt;&gt;"Cover extended"),'My equipment'!M298+795/100000,"")</f>
        <v/>
      </c>
      <c r="B798">
        <f>IF(AND(LEN('My equipment'!A298)&gt;0,ISNUMBER('My equipment'!M298)),MAX($B$3:B797)+1,"")</f>
        <v/>
      </c>
      <c r="E798">
        <f>IFERROR(MATCH(795,$B$4:$B$1003,0),"")</f>
        <v/>
      </c>
    </row>
    <row r="799">
      <c r="A799">
        <f>IF(AND(LEN('My equipment'!A299)&gt;0,ISNUMBER('My equipment'!M299),'My equipment'!Q299&lt;&gt;"Claim settled",'My equipment'!Q299&lt;&gt;"No claim needed",'My equipment'!Q299&lt;&gt;"Cover extended"),'My equipment'!M299+796/100000,"")</f>
        <v/>
      </c>
      <c r="B799">
        <f>IF(AND(LEN('My equipment'!A299)&gt;0,ISNUMBER('My equipment'!M299)),MAX($B$3:B798)+1,"")</f>
        <v/>
      </c>
      <c r="E799">
        <f>IFERROR(MATCH(796,$B$4:$B$1003,0),"")</f>
        <v/>
      </c>
    </row>
    <row r="800">
      <c r="A800">
        <f>IF(AND(LEN('My equipment'!A300)&gt;0,ISNUMBER('My equipment'!M300),'My equipment'!Q300&lt;&gt;"Claim settled",'My equipment'!Q300&lt;&gt;"No claim needed",'My equipment'!Q300&lt;&gt;"Cover extended"),'My equipment'!M300+797/100000,"")</f>
        <v/>
      </c>
      <c r="B800">
        <f>IF(AND(LEN('My equipment'!A300)&gt;0,ISNUMBER('My equipment'!M300)),MAX($B$3:B799)+1,"")</f>
        <v/>
      </c>
      <c r="E800">
        <f>IFERROR(MATCH(797,$B$4:$B$1003,0),"")</f>
        <v/>
      </c>
    </row>
    <row r="801">
      <c r="A801">
        <f>IF(AND(LEN('My equipment'!A301)&gt;0,ISNUMBER('My equipment'!M301),'My equipment'!Q301&lt;&gt;"Claim settled",'My equipment'!Q301&lt;&gt;"No claim needed",'My equipment'!Q301&lt;&gt;"Cover extended"),'My equipment'!M301+798/100000,"")</f>
        <v/>
      </c>
      <c r="B801">
        <f>IF(AND(LEN('My equipment'!A301)&gt;0,ISNUMBER('My equipment'!M301)),MAX($B$3:B800)+1,"")</f>
        <v/>
      </c>
      <c r="E801">
        <f>IFERROR(MATCH(798,$B$4:$B$1003,0),"")</f>
        <v/>
      </c>
    </row>
    <row r="802">
      <c r="A802">
        <f>IF(AND(LEN('My equipment'!A302)&gt;0,ISNUMBER('My equipment'!M302),'My equipment'!Q302&lt;&gt;"Claim settled",'My equipment'!Q302&lt;&gt;"No claim needed",'My equipment'!Q302&lt;&gt;"Cover extended"),'My equipment'!M302+799/100000,"")</f>
        <v/>
      </c>
      <c r="B802">
        <f>IF(AND(LEN('My equipment'!A302)&gt;0,ISNUMBER('My equipment'!M302)),MAX($B$3:B801)+1,"")</f>
        <v/>
      </c>
      <c r="E802">
        <f>IFERROR(MATCH(799,$B$4:$B$1003,0),"")</f>
        <v/>
      </c>
    </row>
    <row r="803">
      <c r="A803">
        <f>IF(AND(LEN('My equipment'!A303)&gt;0,ISNUMBER('My equipment'!M303),'My equipment'!Q303&lt;&gt;"Claim settled",'My equipment'!Q303&lt;&gt;"No claim needed",'My equipment'!Q303&lt;&gt;"Cover extended"),'My equipment'!M303+800/100000,"")</f>
        <v/>
      </c>
      <c r="B803">
        <f>IF(AND(LEN('My equipment'!A303)&gt;0,ISNUMBER('My equipment'!M303)),MAX($B$3:B802)+1,"")</f>
        <v/>
      </c>
      <c r="E803">
        <f>IFERROR(MATCH(800,$B$4:$B$1003,0),"")</f>
        <v/>
      </c>
    </row>
    <row r="804">
      <c r="A804">
        <f>IF(AND(LEN('My equipment'!A304)&gt;0,ISNUMBER('My equipment'!M304),'My equipment'!Q304&lt;&gt;"Claim settled",'My equipment'!Q304&lt;&gt;"No claim needed",'My equipment'!Q304&lt;&gt;"Cover extended"),'My equipment'!M304+801/100000,"")</f>
        <v/>
      </c>
      <c r="B804">
        <f>IF(AND(LEN('My equipment'!A304)&gt;0,ISNUMBER('My equipment'!M304)),MAX($B$3:B803)+1,"")</f>
        <v/>
      </c>
      <c r="E804">
        <f>IFERROR(MATCH(801,$B$4:$B$1003,0),"")</f>
        <v/>
      </c>
    </row>
    <row r="805">
      <c r="A805">
        <f>IF(AND(LEN('My equipment'!A305)&gt;0,ISNUMBER('My equipment'!M305),'My equipment'!Q305&lt;&gt;"Claim settled",'My equipment'!Q305&lt;&gt;"No claim needed",'My equipment'!Q305&lt;&gt;"Cover extended"),'My equipment'!M305+802/100000,"")</f>
        <v/>
      </c>
      <c r="B805">
        <f>IF(AND(LEN('My equipment'!A305)&gt;0,ISNUMBER('My equipment'!M305)),MAX($B$3:B804)+1,"")</f>
        <v/>
      </c>
      <c r="E805">
        <f>IFERROR(MATCH(802,$B$4:$B$1003,0),"")</f>
        <v/>
      </c>
    </row>
    <row r="806">
      <c r="A806">
        <f>IF(AND(LEN('My equipment'!A306)&gt;0,ISNUMBER('My equipment'!M306),'My equipment'!Q306&lt;&gt;"Claim settled",'My equipment'!Q306&lt;&gt;"No claim needed",'My equipment'!Q306&lt;&gt;"Cover extended"),'My equipment'!M306+803/100000,"")</f>
        <v/>
      </c>
      <c r="B806">
        <f>IF(AND(LEN('My equipment'!A306)&gt;0,ISNUMBER('My equipment'!M306)),MAX($B$3:B805)+1,"")</f>
        <v/>
      </c>
      <c r="E806">
        <f>IFERROR(MATCH(803,$B$4:$B$1003,0),"")</f>
        <v/>
      </c>
    </row>
    <row r="807">
      <c r="A807">
        <f>IF(AND(LEN('My equipment'!A307)&gt;0,ISNUMBER('My equipment'!M307),'My equipment'!Q307&lt;&gt;"Claim settled",'My equipment'!Q307&lt;&gt;"No claim needed",'My equipment'!Q307&lt;&gt;"Cover extended"),'My equipment'!M307+804/100000,"")</f>
        <v/>
      </c>
      <c r="B807">
        <f>IF(AND(LEN('My equipment'!A307)&gt;0,ISNUMBER('My equipment'!M307)),MAX($B$3:B806)+1,"")</f>
        <v/>
      </c>
      <c r="E807">
        <f>IFERROR(MATCH(804,$B$4:$B$1003,0),"")</f>
        <v/>
      </c>
    </row>
    <row r="808">
      <c r="A808">
        <f>IF(AND(LEN('My equipment'!A308)&gt;0,ISNUMBER('My equipment'!M308),'My equipment'!Q308&lt;&gt;"Claim settled",'My equipment'!Q308&lt;&gt;"No claim needed",'My equipment'!Q308&lt;&gt;"Cover extended"),'My equipment'!M308+805/100000,"")</f>
        <v/>
      </c>
      <c r="B808">
        <f>IF(AND(LEN('My equipment'!A308)&gt;0,ISNUMBER('My equipment'!M308)),MAX($B$3:B807)+1,"")</f>
        <v/>
      </c>
      <c r="E808">
        <f>IFERROR(MATCH(805,$B$4:$B$1003,0),"")</f>
        <v/>
      </c>
    </row>
    <row r="809">
      <c r="A809">
        <f>IF(AND(LEN('My equipment'!A309)&gt;0,ISNUMBER('My equipment'!M309),'My equipment'!Q309&lt;&gt;"Claim settled",'My equipment'!Q309&lt;&gt;"No claim needed",'My equipment'!Q309&lt;&gt;"Cover extended"),'My equipment'!M309+806/100000,"")</f>
        <v/>
      </c>
      <c r="B809">
        <f>IF(AND(LEN('My equipment'!A309)&gt;0,ISNUMBER('My equipment'!M309)),MAX($B$3:B808)+1,"")</f>
        <v/>
      </c>
      <c r="E809">
        <f>IFERROR(MATCH(806,$B$4:$B$1003,0),"")</f>
        <v/>
      </c>
    </row>
    <row r="810">
      <c r="A810">
        <f>IF(AND(LEN('My equipment'!A310)&gt;0,ISNUMBER('My equipment'!M310),'My equipment'!Q310&lt;&gt;"Claim settled",'My equipment'!Q310&lt;&gt;"No claim needed",'My equipment'!Q310&lt;&gt;"Cover extended"),'My equipment'!M310+807/100000,"")</f>
        <v/>
      </c>
      <c r="B810">
        <f>IF(AND(LEN('My equipment'!A310)&gt;0,ISNUMBER('My equipment'!M310)),MAX($B$3:B809)+1,"")</f>
        <v/>
      </c>
      <c r="E810">
        <f>IFERROR(MATCH(807,$B$4:$B$1003,0),"")</f>
        <v/>
      </c>
    </row>
    <row r="811">
      <c r="A811">
        <f>IF(AND(LEN('My equipment'!A311)&gt;0,ISNUMBER('My equipment'!M311),'My equipment'!Q311&lt;&gt;"Claim settled",'My equipment'!Q311&lt;&gt;"No claim needed",'My equipment'!Q311&lt;&gt;"Cover extended"),'My equipment'!M311+808/100000,"")</f>
        <v/>
      </c>
      <c r="B811">
        <f>IF(AND(LEN('My equipment'!A311)&gt;0,ISNUMBER('My equipment'!M311)),MAX($B$3:B810)+1,"")</f>
        <v/>
      </c>
      <c r="E811">
        <f>IFERROR(MATCH(808,$B$4:$B$1003,0),"")</f>
        <v/>
      </c>
    </row>
    <row r="812">
      <c r="A812">
        <f>IF(AND(LEN('My equipment'!A312)&gt;0,ISNUMBER('My equipment'!M312),'My equipment'!Q312&lt;&gt;"Claim settled",'My equipment'!Q312&lt;&gt;"No claim needed",'My equipment'!Q312&lt;&gt;"Cover extended"),'My equipment'!M312+809/100000,"")</f>
        <v/>
      </c>
      <c r="B812">
        <f>IF(AND(LEN('My equipment'!A312)&gt;0,ISNUMBER('My equipment'!M312)),MAX($B$3:B811)+1,"")</f>
        <v/>
      </c>
      <c r="E812">
        <f>IFERROR(MATCH(809,$B$4:$B$1003,0),"")</f>
        <v/>
      </c>
    </row>
    <row r="813">
      <c r="A813">
        <f>IF(AND(LEN('My equipment'!A313)&gt;0,ISNUMBER('My equipment'!M313),'My equipment'!Q313&lt;&gt;"Claim settled",'My equipment'!Q313&lt;&gt;"No claim needed",'My equipment'!Q313&lt;&gt;"Cover extended"),'My equipment'!M313+810/100000,"")</f>
        <v/>
      </c>
      <c r="B813">
        <f>IF(AND(LEN('My equipment'!A313)&gt;0,ISNUMBER('My equipment'!M313)),MAX($B$3:B812)+1,"")</f>
        <v/>
      </c>
      <c r="E813">
        <f>IFERROR(MATCH(810,$B$4:$B$1003,0),"")</f>
        <v/>
      </c>
    </row>
    <row r="814">
      <c r="A814">
        <f>IF(AND(LEN('My equipment'!A314)&gt;0,ISNUMBER('My equipment'!M314),'My equipment'!Q314&lt;&gt;"Claim settled",'My equipment'!Q314&lt;&gt;"No claim needed",'My equipment'!Q314&lt;&gt;"Cover extended"),'My equipment'!M314+811/100000,"")</f>
        <v/>
      </c>
      <c r="B814">
        <f>IF(AND(LEN('My equipment'!A314)&gt;0,ISNUMBER('My equipment'!M314)),MAX($B$3:B813)+1,"")</f>
        <v/>
      </c>
      <c r="E814">
        <f>IFERROR(MATCH(811,$B$4:$B$1003,0),"")</f>
        <v/>
      </c>
    </row>
    <row r="815">
      <c r="A815">
        <f>IF(AND(LEN('My equipment'!A315)&gt;0,ISNUMBER('My equipment'!M315),'My equipment'!Q315&lt;&gt;"Claim settled",'My equipment'!Q315&lt;&gt;"No claim needed",'My equipment'!Q315&lt;&gt;"Cover extended"),'My equipment'!M315+812/100000,"")</f>
        <v/>
      </c>
      <c r="B815">
        <f>IF(AND(LEN('My equipment'!A315)&gt;0,ISNUMBER('My equipment'!M315)),MAX($B$3:B814)+1,"")</f>
        <v/>
      </c>
      <c r="E815">
        <f>IFERROR(MATCH(812,$B$4:$B$1003,0),"")</f>
        <v/>
      </c>
    </row>
    <row r="816">
      <c r="A816">
        <f>IF(AND(LEN('My equipment'!A316)&gt;0,ISNUMBER('My equipment'!M316),'My equipment'!Q316&lt;&gt;"Claim settled",'My equipment'!Q316&lt;&gt;"No claim needed",'My equipment'!Q316&lt;&gt;"Cover extended"),'My equipment'!M316+813/100000,"")</f>
        <v/>
      </c>
      <c r="B816">
        <f>IF(AND(LEN('My equipment'!A316)&gt;0,ISNUMBER('My equipment'!M316)),MAX($B$3:B815)+1,"")</f>
        <v/>
      </c>
      <c r="E816">
        <f>IFERROR(MATCH(813,$B$4:$B$1003,0),"")</f>
        <v/>
      </c>
    </row>
    <row r="817">
      <c r="A817">
        <f>IF(AND(LEN('My equipment'!A317)&gt;0,ISNUMBER('My equipment'!M317),'My equipment'!Q317&lt;&gt;"Claim settled",'My equipment'!Q317&lt;&gt;"No claim needed",'My equipment'!Q317&lt;&gt;"Cover extended"),'My equipment'!M317+814/100000,"")</f>
        <v/>
      </c>
      <c r="B817">
        <f>IF(AND(LEN('My equipment'!A317)&gt;0,ISNUMBER('My equipment'!M317)),MAX($B$3:B816)+1,"")</f>
        <v/>
      </c>
      <c r="E817">
        <f>IFERROR(MATCH(814,$B$4:$B$1003,0),"")</f>
        <v/>
      </c>
    </row>
    <row r="818">
      <c r="A818">
        <f>IF(AND(LEN('My equipment'!A318)&gt;0,ISNUMBER('My equipment'!M318),'My equipment'!Q318&lt;&gt;"Claim settled",'My equipment'!Q318&lt;&gt;"No claim needed",'My equipment'!Q318&lt;&gt;"Cover extended"),'My equipment'!M318+815/100000,"")</f>
        <v/>
      </c>
      <c r="B818">
        <f>IF(AND(LEN('My equipment'!A318)&gt;0,ISNUMBER('My equipment'!M318)),MAX($B$3:B817)+1,"")</f>
        <v/>
      </c>
      <c r="E818">
        <f>IFERROR(MATCH(815,$B$4:$B$1003,0),"")</f>
        <v/>
      </c>
    </row>
    <row r="819">
      <c r="A819">
        <f>IF(AND(LEN('My equipment'!A319)&gt;0,ISNUMBER('My equipment'!M319),'My equipment'!Q319&lt;&gt;"Claim settled",'My equipment'!Q319&lt;&gt;"No claim needed",'My equipment'!Q319&lt;&gt;"Cover extended"),'My equipment'!M319+816/100000,"")</f>
        <v/>
      </c>
      <c r="B819">
        <f>IF(AND(LEN('My equipment'!A319)&gt;0,ISNUMBER('My equipment'!M319)),MAX($B$3:B818)+1,"")</f>
        <v/>
      </c>
      <c r="E819">
        <f>IFERROR(MATCH(816,$B$4:$B$1003,0),"")</f>
        <v/>
      </c>
    </row>
    <row r="820">
      <c r="A820">
        <f>IF(AND(LEN('My equipment'!A320)&gt;0,ISNUMBER('My equipment'!M320),'My equipment'!Q320&lt;&gt;"Claim settled",'My equipment'!Q320&lt;&gt;"No claim needed",'My equipment'!Q320&lt;&gt;"Cover extended"),'My equipment'!M320+817/100000,"")</f>
        <v/>
      </c>
      <c r="B820">
        <f>IF(AND(LEN('My equipment'!A320)&gt;0,ISNUMBER('My equipment'!M320)),MAX($B$3:B819)+1,"")</f>
        <v/>
      </c>
      <c r="E820">
        <f>IFERROR(MATCH(817,$B$4:$B$1003,0),"")</f>
        <v/>
      </c>
    </row>
    <row r="821">
      <c r="A821">
        <f>IF(AND(LEN('My equipment'!A321)&gt;0,ISNUMBER('My equipment'!M321),'My equipment'!Q321&lt;&gt;"Claim settled",'My equipment'!Q321&lt;&gt;"No claim needed",'My equipment'!Q321&lt;&gt;"Cover extended"),'My equipment'!M321+818/100000,"")</f>
        <v/>
      </c>
      <c r="B821">
        <f>IF(AND(LEN('My equipment'!A321)&gt;0,ISNUMBER('My equipment'!M321)),MAX($B$3:B820)+1,"")</f>
        <v/>
      </c>
      <c r="E821">
        <f>IFERROR(MATCH(818,$B$4:$B$1003,0),"")</f>
        <v/>
      </c>
    </row>
    <row r="822">
      <c r="A822">
        <f>IF(AND(LEN('My equipment'!A322)&gt;0,ISNUMBER('My equipment'!M322),'My equipment'!Q322&lt;&gt;"Claim settled",'My equipment'!Q322&lt;&gt;"No claim needed",'My equipment'!Q322&lt;&gt;"Cover extended"),'My equipment'!M322+819/100000,"")</f>
        <v/>
      </c>
      <c r="B822">
        <f>IF(AND(LEN('My equipment'!A322)&gt;0,ISNUMBER('My equipment'!M322)),MAX($B$3:B821)+1,"")</f>
        <v/>
      </c>
      <c r="E822">
        <f>IFERROR(MATCH(819,$B$4:$B$1003,0),"")</f>
        <v/>
      </c>
    </row>
    <row r="823">
      <c r="A823">
        <f>IF(AND(LEN('My equipment'!A323)&gt;0,ISNUMBER('My equipment'!M323),'My equipment'!Q323&lt;&gt;"Claim settled",'My equipment'!Q323&lt;&gt;"No claim needed",'My equipment'!Q323&lt;&gt;"Cover extended"),'My equipment'!M323+820/100000,"")</f>
        <v/>
      </c>
      <c r="B823">
        <f>IF(AND(LEN('My equipment'!A323)&gt;0,ISNUMBER('My equipment'!M323)),MAX($B$3:B822)+1,"")</f>
        <v/>
      </c>
      <c r="E823">
        <f>IFERROR(MATCH(820,$B$4:$B$1003,0),"")</f>
        <v/>
      </c>
    </row>
    <row r="824">
      <c r="A824">
        <f>IF(AND(LEN('My equipment'!A324)&gt;0,ISNUMBER('My equipment'!M324),'My equipment'!Q324&lt;&gt;"Claim settled",'My equipment'!Q324&lt;&gt;"No claim needed",'My equipment'!Q324&lt;&gt;"Cover extended"),'My equipment'!M324+821/100000,"")</f>
        <v/>
      </c>
      <c r="B824">
        <f>IF(AND(LEN('My equipment'!A324)&gt;0,ISNUMBER('My equipment'!M324)),MAX($B$3:B823)+1,"")</f>
        <v/>
      </c>
      <c r="E824">
        <f>IFERROR(MATCH(821,$B$4:$B$1003,0),"")</f>
        <v/>
      </c>
    </row>
    <row r="825">
      <c r="A825">
        <f>IF(AND(LEN('My equipment'!A325)&gt;0,ISNUMBER('My equipment'!M325),'My equipment'!Q325&lt;&gt;"Claim settled",'My equipment'!Q325&lt;&gt;"No claim needed",'My equipment'!Q325&lt;&gt;"Cover extended"),'My equipment'!M325+822/100000,"")</f>
        <v/>
      </c>
      <c r="B825">
        <f>IF(AND(LEN('My equipment'!A325)&gt;0,ISNUMBER('My equipment'!M325)),MAX($B$3:B824)+1,"")</f>
        <v/>
      </c>
      <c r="E825">
        <f>IFERROR(MATCH(822,$B$4:$B$1003,0),"")</f>
        <v/>
      </c>
    </row>
    <row r="826">
      <c r="A826">
        <f>IF(AND(LEN('My equipment'!A326)&gt;0,ISNUMBER('My equipment'!M326),'My equipment'!Q326&lt;&gt;"Claim settled",'My equipment'!Q326&lt;&gt;"No claim needed",'My equipment'!Q326&lt;&gt;"Cover extended"),'My equipment'!M326+823/100000,"")</f>
        <v/>
      </c>
      <c r="B826">
        <f>IF(AND(LEN('My equipment'!A326)&gt;0,ISNUMBER('My equipment'!M326)),MAX($B$3:B825)+1,"")</f>
        <v/>
      </c>
      <c r="E826">
        <f>IFERROR(MATCH(823,$B$4:$B$1003,0),"")</f>
        <v/>
      </c>
    </row>
    <row r="827">
      <c r="A827">
        <f>IF(AND(LEN('My equipment'!A327)&gt;0,ISNUMBER('My equipment'!M327),'My equipment'!Q327&lt;&gt;"Claim settled",'My equipment'!Q327&lt;&gt;"No claim needed",'My equipment'!Q327&lt;&gt;"Cover extended"),'My equipment'!M327+824/100000,"")</f>
        <v/>
      </c>
      <c r="B827">
        <f>IF(AND(LEN('My equipment'!A327)&gt;0,ISNUMBER('My equipment'!M327)),MAX($B$3:B826)+1,"")</f>
        <v/>
      </c>
      <c r="E827">
        <f>IFERROR(MATCH(824,$B$4:$B$1003,0),"")</f>
        <v/>
      </c>
    </row>
    <row r="828">
      <c r="A828">
        <f>IF(AND(LEN('My equipment'!A328)&gt;0,ISNUMBER('My equipment'!M328),'My equipment'!Q328&lt;&gt;"Claim settled",'My equipment'!Q328&lt;&gt;"No claim needed",'My equipment'!Q328&lt;&gt;"Cover extended"),'My equipment'!M328+825/100000,"")</f>
        <v/>
      </c>
      <c r="B828">
        <f>IF(AND(LEN('My equipment'!A328)&gt;0,ISNUMBER('My equipment'!M328)),MAX($B$3:B827)+1,"")</f>
        <v/>
      </c>
      <c r="E828">
        <f>IFERROR(MATCH(825,$B$4:$B$1003,0),"")</f>
        <v/>
      </c>
    </row>
    <row r="829">
      <c r="A829">
        <f>IF(AND(LEN('My equipment'!A329)&gt;0,ISNUMBER('My equipment'!M329),'My equipment'!Q329&lt;&gt;"Claim settled",'My equipment'!Q329&lt;&gt;"No claim needed",'My equipment'!Q329&lt;&gt;"Cover extended"),'My equipment'!M329+826/100000,"")</f>
        <v/>
      </c>
      <c r="B829">
        <f>IF(AND(LEN('My equipment'!A329)&gt;0,ISNUMBER('My equipment'!M329)),MAX($B$3:B828)+1,"")</f>
        <v/>
      </c>
      <c r="E829">
        <f>IFERROR(MATCH(826,$B$4:$B$1003,0),"")</f>
        <v/>
      </c>
    </row>
    <row r="830">
      <c r="A830">
        <f>IF(AND(LEN('My equipment'!A330)&gt;0,ISNUMBER('My equipment'!M330),'My equipment'!Q330&lt;&gt;"Claim settled",'My equipment'!Q330&lt;&gt;"No claim needed",'My equipment'!Q330&lt;&gt;"Cover extended"),'My equipment'!M330+827/100000,"")</f>
        <v/>
      </c>
      <c r="B830">
        <f>IF(AND(LEN('My equipment'!A330)&gt;0,ISNUMBER('My equipment'!M330)),MAX($B$3:B829)+1,"")</f>
        <v/>
      </c>
      <c r="E830">
        <f>IFERROR(MATCH(827,$B$4:$B$1003,0),"")</f>
        <v/>
      </c>
    </row>
    <row r="831">
      <c r="A831">
        <f>IF(AND(LEN('My equipment'!A331)&gt;0,ISNUMBER('My equipment'!M331),'My equipment'!Q331&lt;&gt;"Claim settled",'My equipment'!Q331&lt;&gt;"No claim needed",'My equipment'!Q331&lt;&gt;"Cover extended"),'My equipment'!M331+828/100000,"")</f>
        <v/>
      </c>
      <c r="B831">
        <f>IF(AND(LEN('My equipment'!A331)&gt;0,ISNUMBER('My equipment'!M331)),MAX($B$3:B830)+1,"")</f>
        <v/>
      </c>
      <c r="E831">
        <f>IFERROR(MATCH(828,$B$4:$B$1003,0),"")</f>
        <v/>
      </c>
    </row>
    <row r="832">
      <c r="A832">
        <f>IF(AND(LEN('My equipment'!A332)&gt;0,ISNUMBER('My equipment'!M332),'My equipment'!Q332&lt;&gt;"Claim settled",'My equipment'!Q332&lt;&gt;"No claim needed",'My equipment'!Q332&lt;&gt;"Cover extended"),'My equipment'!M332+829/100000,"")</f>
        <v/>
      </c>
      <c r="B832">
        <f>IF(AND(LEN('My equipment'!A332)&gt;0,ISNUMBER('My equipment'!M332)),MAX($B$3:B831)+1,"")</f>
        <v/>
      </c>
      <c r="E832">
        <f>IFERROR(MATCH(829,$B$4:$B$1003,0),"")</f>
        <v/>
      </c>
    </row>
    <row r="833">
      <c r="A833">
        <f>IF(AND(LEN('My equipment'!A333)&gt;0,ISNUMBER('My equipment'!M333),'My equipment'!Q333&lt;&gt;"Claim settled",'My equipment'!Q333&lt;&gt;"No claim needed",'My equipment'!Q333&lt;&gt;"Cover extended"),'My equipment'!M333+830/100000,"")</f>
        <v/>
      </c>
      <c r="B833">
        <f>IF(AND(LEN('My equipment'!A333)&gt;0,ISNUMBER('My equipment'!M333)),MAX($B$3:B832)+1,"")</f>
        <v/>
      </c>
      <c r="E833">
        <f>IFERROR(MATCH(830,$B$4:$B$1003,0),"")</f>
        <v/>
      </c>
    </row>
    <row r="834">
      <c r="A834">
        <f>IF(AND(LEN('My equipment'!A334)&gt;0,ISNUMBER('My equipment'!M334),'My equipment'!Q334&lt;&gt;"Claim settled",'My equipment'!Q334&lt;&gt;"No claim needed",'My equipment'!Q334&lt;&gt;"Cover extended"),'My equipment'!M334+831/100000,"")</f>
        <v/>
      </c>
      <c r="B834">
        <f>IF(AND(LEN('My equipment'!A334)&gt;0,ISNUMBER('My equipment'!M334)),MAX($B$3:B833)+1,"")</f>
        <v/>
      </c>
      <c r="E834">
        <f>IFERROR(MATCH(831,$B$4:$B$1003,0),"")</f>
        <v/>
      </c>
    </row>
    <row r="835">
      <c r="A835">
        <f>IF(AND(LEN('My equipment'!A335)&gt;0,ISNUMBER('My equipment'!M335),'My equipment'!Q335&lt;&gt;"Claim settled",'My equipment'!Q335&lt;&gt;"No claim needed",'My equipment'!Q335&lt;&gt;"Cover extended"),'My equipment'!M335+832/100000,"")</f>
        <v/>
      </c>
      <c r="B835">
        <f>IF(AND(LEN('My equipment'!A335)&gt;0,ISNUMBER('My equipment'!M335)),MAX($B$3:B834)+1,"")</f>
        <v/>
      </c>
      <c r="E835">
        <f>IFERROR(MATCH(832,$B$4:$B$1003,0),"")</f>
        <v/>
      </c>
    </row>
    <row r="836">
      <c r="A836">
        <f>IF(AND(LEN('My equipment'!A336)&gt;0,ISNUMBER('My equipment'!M336),'My equipment'!Q336&lt;&gt;"Claim settled",'My equipment'!Q336&lt;&gt;"No claim needed",'My equipment'!Q336&lt;&gt;"Cover extended"),'My equipment'!M336+833/100000,"")</f>
        <v/>
      </c>
      <c r="B836">
        <f>IF(AND(LEN('My equipment'!A336)&gt;0,ISNUMBER('My equipment'!M336)),MAX($B$3:B835)+1,"")</f>
        <v/>
      </c>
      <c r="E836">
        <f>IFERROR(MATCH(833,$B$4:$B$1003,0),"")</f>
        <v/>
      </c>
    </row>
    <row r="837">
      <c r="A837">
        <f>IF(AND(LEN('My equipment'!A337)&gt;0,ISNUMBER('My equipment'!M337),'My equipment'!Q337&lt;&gt;"Claim settled",'My equipment'!Q337&lt;&gt;"No claim needed",'My equipment'!Q337&lt;&gt;"Cover extended"),'My equipment'!M337+834/100000,"")</f>
        <v/>
      </c>
      <c r="B837">
        <f>IF(AND(LEN('My equipment'!A337)&gt;0,ISNUMBER('My equipment'!M337)),MAX($B$3:B836)+1,"")</f>
        <v/>
      </c>
      <c r="E837">
        <f>IFERROR(MATCH(834,$B$4:$B$1003,0),"")</f>
        <v/>
      </c>
    </row>
    <row r="838">
      <c r="A838">
        <f>IF(AND(LEN('My equipment'!A338)&gt;0,ISNUMBER('My equipment'!M338),'My equipment'!Q338&lt;&gt;"Claim settled",'My equipment'!Q338&lt;&gt;"No claim needed",'My equipment'!Q338&lt;&gt;"Cover extended"),'My equipment'!M338+835/100000,"")</f>
        <v/>
      </c>
      <c r="B838">
        <f>IF(AND(LEN('My equipment'!A338)&gt;0,ISNUMBER('My equipment'!M338)),MAX($B$3:B837)+1,"")</f>
        <v/>
      </c>
      <c r="E838">
        <f>IFERROR(MATCH(835,$B$4:$B$1003,0),"")</f>
        <v/>
      </c>
    </row>
    <row r="839">
      <c r="A839">
        <f>IF(AND(LEN('My equipment'!A339)&gt;0,ISNUMBER('My equipment'!M339),'My equipment'!Q339&lt;&gt;"Claim settled",'My equipment'!Q339&lt;&gt;"No claim needed",'My equipment'!Q339&lt;&gt;"Cover extended"),'My equipment'!M339+836/100000,"")</f>
        <v/>
      </c>
      <c r="B839">
        <f>IF(AND(LEN('My equipment'!A339)&gt;0,ISNUMBER('My equipment'!M339)),MAX($B$3:B838)+1,"")</f>
        <v/>
      </c>
      <c r="E839">
        <f>IFERROR(MATCH(836,$B$4:$B$1003,0),"")</f>
        <v/>
      </c>
    </row>
    <row r="840">
      <c r="A840">
        <f>IF(AND(LEN('My equipment'!A340)&gt;0,ISNUMBER('My equipment'!M340),'My equipment'!Q340&lt;&gt;"Claim settled",'My equipment'!Q340&lt;&gt;"No claim needed",'My equipment'!Q340&lt;&gt;"Cover extended"),'My equipment'!M340+837/100000,"")</f>
        <v/>
      </c>
      <c r="B840">
        <f>IF(AND(LEN('My equipment'!A340)&gt;0,ISNUMBER('My equipment'!M340)),MAX($B$3:B839)+1,"")</f>
        <v/>
      </c>
      <c r="E840">
        <f>IFERROR(MATCH(837,$B$4:$B$1003,0),"")</f>
        <v/>
      </c>
    </row>
    <row r="841">
      <c r="A841">
        <f>IF(AND(LEN('My equipment'!A341)&gt;0,ISNUMBER('My equipment'!M341),'My equipment'!Q341&lt;&gt;"Claim settled",'My equipment'!Q341&lt;&gt;"No claim needed",'My equipment'!Q341&lt;&gt;"Cover extended"),'My equipment'!M341+838/100000,"")</f>
        <v/>
      </c>
      <c r="B841">
        <f>IF(AND(LEN('My equipment'!A341)&gt;0,ISNUMBER('My equipment'!M341)),MAX($B$3:B840)+1,"")</f>
        <v/>
      </c>
      <c r="E841">
        <f>IFERROR(MATCH(838,$B$4:$B$1003,0),"")</f>
        <v/>
      </c>
    </row>
    <row r="842">
      <c r="A842">
        <f>IF(AND(LEN('My equipment'!A342)&gt;0,ISNUMBER('My equipment'!M342),'My equipment'!Q342&lt;&gt;"Claim settled",'My equipment'!Q342&lt;&gt;"No claim needed",'My equipment'!Q342&lt;&gt;"Cover extended"),'My equipment'!M342+839/100000,"")</f>
        <v/>
      </c>
      <c r="B842">
        <f>IF(AND(LEN('My equipment'!A342)&gt;0,ISNUMBER('My equipment'!M342)),MAX($B$3:B841)+1,"")</f>
        <v/>
      </c>
      <c r="E842">
        <f>IFERROR(MATCH(839,$B$4:$B$1003,0),"")</f>
        <v/>
      </c>
    </row>
    <row r="843">
      <c r="A843">
        <f>IF(AND(LEN('My equipment'!A343)&gt;0,ISNUMBER('My equipment'!M343),'My equipment'!Q343&lt;&gt;"Claim settled",'My equipment'!Q343&lt;&gt;"No claim needed",'My equipment'!Q343&lt;&gt;"Cover extended"),'My equipment'!M343+840/100000,"")</f>
        <v/>
      </c>
      <c r="B843">
        <f>IF(AND(LEN('My equipment'!A343)&gt;0,ISNUMBER('My equipment'!M343)),MAX($B$3:B842)+1,"")</f>
        <v/>
      </c>
      <c r="E843">
        <f>IFERROR(MATCH(840,$B$4:$B$1003,0),"")</f>
        <v/>
      </c>
    </row>
    <row r="844">
      <c r="A844">
        <f>IF(AND(LEN('My equipment'!A344)&gt;0,ISNUMBER('My equipment'!M344),'My equipment'!Q344&lt;&gt;"Claim settled",'My equipment'!Q344&lt;&gt;"No claim needed",'My equipment'!Q344&lt;&gt;"Cover extended"),'My equipment'!M344+841/100000,"")</f>
        <v/>
      </c>
      <c r="B844">
        <f>IF(AND(LEN('My equipment'!A344)&gt;0,ISNUMBER('My equipment'!M344)),MAX($B$3:B843)+1,"")</f>
        <v/>
      </c>
      <c r="E844">
        <f>IFERROR(MATCH(841,$B$4:$B$1003,0),"")</f>
        <v/>
      </c>
    </row>
    <row r="845">
      <c r="A845">
        <f>IF(AND(LEN('My equipment'!A345)&gt;0,ISNUMBER('My equipment'!M345),'My equipment'!Q345&lt;&gt;"Claim settled",'My equipment'!Q345&lt;&gt;"No claim needed",'My equipment'!Q345&lt;&gt;"Cover extended"),'My equipment'!M345+842/100000,"")</f>
        <v/>
      </c>
      <c r="B845">
        <f>IF(AND(LEN('My equipment'!A345)&gt;0,ISNUMBER('My equipment'!M345)),MAX($B$3:B844)+1,"")</f>
        <v/>
      </c>
      <c r="E845">
        <f>IFERROR(MATCH(842,$B$4:$B$1003,0),"")</f>
        <v/>
      </c>
    </row>
    <row r="846">
      <c r="A846">
        <f>IF(AND(LEN('My equipment'!A346)&gt;0,ISNUMBER('My equipment'!M346),'My equipment'!Q346&lt;&gt;"Claim settled",'My equipment'!Q346&lt;&gt;"No claim needed",'My equipment'!Q346&lt;&gt;"Cover extended"),'My equipment'!M346+843/100000,"")</f>
        <v/>
      </c>
      <c r="B846">
        <f>IF(AND(LEN('My equipment'!A346)&gt;0,ISNUMBER('My equipment'!M346)),MAX($B$3:B845)+1,"")</f>
        <v/>
      </c>
      <c r="E846">
        <f>IFERROR(MATCH(843,$B$4:$B$1003,0),"")</f>
        <v/>
      </c>
    </row>
    <row r="847">
      <c r="A847">
        <f>IF(AND(LEN('My equipment'!A347)&gt;0,ISNUMBER('My equipment'!M347),'My equipment'!Q347&lt;&gt;"Claim settled",'My equipment'!Q347&lt;&gt;"No claim needed",'My equipment'!Q347&lt;&gt;"Cover extended"),'My equipment'!M347+844/100000,"")</f>
        <v/>
      </c>
      <c r="B847">
        <f>IF(AND(LEN('My equipment'!A347)&gt;0,ISNUMBER('My equipment'!M347)),MAX($B$3:B846)+1,"")</f>
        <v/>
      </c>
      <c r="E847">
        <f>IFERROR(MATCH(844,$B$4:$B$1003,0),"")</f>
        <v/>
      </c>
    </row>
    <row r="848">
      <c r="A848">
        <f>IF(AND(LEN('My equipment'!A348)&gt;0,ISNUMBER('My equipment'!M348),'My equipment'!Q348&lt;&gt;"Claim settled",'My equipment'!Q348&lt;&gt;"No claim needed",'My equipment'!Q348&lt;&gt;"Cover extended"),'My equipment'!M348+845/100000,"")</f>
        <v/>
      </c>
      <c r="B848">
        <f>IF(AND(LEN('My equipment'!A348)&gt;0,ISNUMBER('My equipment'!M348)),MAX($B$3:B847)+1,"")</f>
        <v/>
      </c>
      <c r="E848">
        <f>IFERROR(MATCH(845,$B$4:$B$1003,0),"")</f>
        <v/>
      </c>
    </row>
    <row r="849">
      <c r="A849">
        <f>IF(AND(LEN('My equipment'!A349)&gt;0,ISNUMBER('My equipment'!M349),'My equipment'!Q349&lt;&gt;"Claim settled",'My equipment'!Q349&lt;&gt;"No claim needed",'My equipment'!Q349&lt;&gt;"Cover extended"),'My equipment'!M349+846/100000,"")</f>
        <v/>
      </c>
      <c r="B849">
        <f>IF(AND(LEN('My equipment'!A349)&gt;0,ISNUMBER('My equipment'!M349)),MAX($B$3:B848)+1,"")</f>
        <v/>
      </c>
      <c r="E849">
        <f>IFERROR(MATCH(846,$B$4:$B$1003,0),"")</f>
        <v/>
      </c>
    </row>
    <row r="850">
      <c r="A850">
        <f>IF(AND(LEN('My equipment'!A350)&gt;0,ISNUMBER('My equipment'!M350),'My equipment'!Q350&lt;&gt;"Claim settled",'My equipment'!Q350&lt;&gt;"No claim needed",'My equipment'!Q350&lt;&gt;"Cover extended"),'My equipment'!M350+847/100000,"")</f>
        <v/>
      </c>
      <c r="B850">
        <f>IF(AND(LEN('My equipment'!A350)&gt;0,ISNUMBER('My equipment'!M350)),MAX($B$3:B849)+1,"")</f>
        <v/>
      </c>
      <c r="E850">
        <f>IFERROR(MATCH(847,$B$4:$B$1003,0),"")</f>
        <v/>
      </c>
    </row>
    <row r="851">
      <c r="A851">
        <f>IF(AND(LEN('My equipment'!A351)&gt;0,ISNUMBER('My equipment'!M351),'My equipment'!Q351&lt;&gt;"Claim settled",'My equipment'!Q351&lt;&gt;"No claim needed",'My equipment'!Q351&lt;&gt;"Cover extended"),'My equipment'!M351+848/100000,"")</f>
        <v/>
      </c>
      <c r="B851">
        <f>IF(AND(LEN('My equipment'!A351)&gt;0,ISNUMBER('My equipment'!M351)),MAX($B$3:B850)+1,"")</f>
        <v/>
      </c>
      <c r="E851">
        <f>IFERROR(MATCH(848,$B$4:$B$1003,0),"")</f>
        <v/>
      </c>
    </row>
    <row r="852">
      <c r="A852">
        <f>IF(AND(LEN('My equipment'!A352)&gt;0,ISNUMBER('My equipment'!M352),'My equipment'!Q352&lt;&gt;"Claim settled",'My equipment'!Q352&lt;&gt;"No claim needed",'My equipment'!Q352&lt;&gt;"Cover extended"),'My equipment'!M352+849/100000,"")</f>
        <v/>
      </c>
      <c r="B852">
        <f>IF(AND(LEN('My equipment'!A352)&gt;0,ISNUMBER('My equipment'!M352)),MAX($B$3:B851)+1,"")</f>
        <v/>
      </c>
      <c r="E852">
        <f>IFERROR(MATCH(849,$B$4:$B$1003,0),"")</f>
        <v/>
      </c>
    </row>
    <row r="853">
      <c r="A853">
        <f>IF(AND(LEN('My equipment'!A353)&gt;0,ISNUMBER('My equipment'!M353),'My equipment'!Q353&lt;&gt;"Claim settled",'My equipment'!Q353&lt;&gt;"No claim needed",'My equipment'!Q353&lt;&gt;"Cover extended"),'My equipment'!M353+850/100000,"")</f>
        <v/>
      </c>
      <c r="B853">
        <f>IF(AND(LEN('My equipment'!A353)&gt;0,ISNUMBER('My equipment'!M353)),MAX($B$3:B852)+1,"")</f>
        <v/>
      </c>
      <c r="E853">
        <f>IFERROR(MATCH(850,$B$4:$B$1003,0),"")</f>
        <v/>
      </c>
    </row>
    <row r="854">
      <c r="A854">
        <f>IF(AND(LEN('My equipment'!A354)&gt;0,ISNUMBER('My equipment'!M354),'My equipment'!Q354&lt;&gt;"Claim settled",'My equipment'!Q354&lt;&gt;"No claim needed",'My equipment'!Q354&lt;&gt;"Cover extended"),'My equipment'!M354+851/100000,"")</f>
        <v/>
      </c>
      <c r="B854">
        <f>IF(AND(LEN('My equipment'!A354)&gt;0,ISNUMBER('My equipment'!M354)),MAX($B$3:B853)+1,"")</f>
        <v/>
      </c>
      <c r="E854">
        <f>IFERROR(MATCH(851,$B$4:$B$1003,0),"")</f>
        <v/>
      </c>
    </row>
    <row r="855">
      <c r="A855">
        <f>IF(AND(LEN('My equipment'!A355)&gt;0,ISNUMBER('My equipment'!M355),'My equipment'!Q355&lt;&gt;"Claim settled",'My equipment'!Q355&lt;&gt;"No claim needed",'My equipment'!Q355&lt;&gt;"Cover extended"),'My equipment'!M355+852/100000,"")</f>
        <v/>
      </c>
      <c r="B855">
        <f>IF(AND(LEN('My equipment'!A355)&gt;0,ISNUMBER('My equipment'!M355)),MAX($B$3:B854)+1,"")</f>
        <v/>
      </c>
      <c r="E855">
        <f>IFERROR(MATCH(852,$B$4:$B$1003,0),"")</f>
        <v/>
      </c>
    </row>
    <row r="856">
      <c r="A856">
        <f>IF(AND(LEN('My equipment'!A356)&gt;0,ISNUMBER('My equipment'!M356),'My equipment'!Q356&lt;&gt;"Claim settled",'My equipment'!Q356&lt;&gt;"No claim needed",'My equipment'!Q356&lt;&gt;"Cover extended"),'My equipment'!M356+853/100000,"")</f>
        <v/>
      </c>
      <c r="B856">
        <f>IF(AND(LEN('My equipment'!A356)&gt;0,ISNUMBER('My equipment'!M356)),MAX($B$3:B855)+1,"")</f>
        <v/>
      </c>
      <c r="E856">
        <f>IFERROR(MATCH(853,$B$4:$B$1003,0),"")</f>
        <v/>
      </c>
    </row>
    <row r="857">
      <c r="A857">
        <f>IF(AND(LEN('My equipment'!A357)&gt;0,ISNUMBER('My equipment'!M357),'My equipment'!Q357&lt;&gt;"Claim settled",'My equipment'!Q357&lt;&gt;"No claim needed",'My equipment'!Q357&lt;&gt;"Cover extended"),'My equipment'!M357+854/100000,"")</f>
        <v/>
      </c>
      <c r="B857">
        <f>IF(AND(LEN('My equipment'!A357)&gt;0,ISNUMBER('My equipment'!M357)),MAX($B$3:B856)+1,"")</f>
        <v/>
      </c>
      <c r="E857">
        <f>IFERROR(MATCH(854,$B$4:$B$1003,0),"")</f>
        <v/>
      </c>
    </row>
    <row r="858">
      <c r="A858">
        <f>IF(AND(LEN('My equipment'!A358)&gt;0,ISNUMBER('My equipment'!M358),'My equipment'!Q358&lt;&gt;"Claim settled",'My equipment'!Q358&lt;&gt;"No claim needed",'My equipment'!Q358&lt;&gt;"Cover extended"),'My equipment'!M358+855/100000,"")</f>
        <v/>
      </c>
      <c r="B858">
        <f>IF(AND(LEN('My equipment'!A358)&gt;0,ISNUMBER('My equipment'!M358)),MAX($B$3:B857)+1,"")</f>
        <v/>
      </c>
      <c r="E858">
        <f>IFERROR(MATCH(855,$B$4:$B$1003,0),"")</f>
        <v/>
      </c>
    </row>
    <row r="859">
      <c r="A859">
        <f>IF(AND(LEN('My equipment'!A359)&gt;0,ISNUMBER('My equipment'!M359),'My equipment'!Q359&lt;&gt;"Claim settled",'My equipment'!Q359&lt;&gt;"No claim needed",'My equipment'!Q359&lt;&gt;"Cover extended"),'My equipment'!M359+856/100000,"")</f>
        <v/>
      </c>
      <c r="B859">
        <f>IF(AND(LEN('My equipment'!A359)&gt;0,ISNUMBER('My equipment'!M359)),MAX($B$3:B858)+1,"")</f>
        <v/>
      </c>
      <c r="E859">
        <f>IFERROR(MATCH(856,$B$4:$B$1003,0),"")</f>
        <v/>
      </c>
    </row>
    <row r="860">
      <c r="A860">
        <f>IF(AND(LEN('My equipment'!A360)&gt;0,ISNUMBER('My equipment'!M360),'My equipment'!Q360&lt;&gt;"Claim settled",'My equipment'!Q360&lt;&gt;"No claim needed",'My equipment'!Q360&lt;&gt;"Cover extended"),'My equipment'!M360+857/100000,"")</f>
        <v/>
      </c>
      <c r="B860">
        <f>IF(AND(LEN('My equipment'!A360)&gt;0,ISNUMBER('My equipment'!M360)),MAX($B$3:B859)+1,"")</f>
        <v/>
      </c>
      <c r="E860">
        <f>IFERROR(MATCH(857,$B$4:$B$1003,0),"")</f>
        <v/>
      </c>
    </row>
    <row r="861">
      <c r="A861">
        <f>IF(AND(LEN('My equipment'!A361)&gt;0,ISNUMBER('My equipment'!M361),'My equipment'!Q361&lt;&gt;"Claim settled",'My equipment'!Q361&lt;&gt;"No claim needed",'My equipment'!Q361&lt;&gt;"Cover extended"),'My equipment'!M361+858/100000,"")</f>
        <v/>
      </c>
      <c r="B861">
        <f>IF(AND(LEN('My equipment'!A361)&gt;0,ISNUMBER('My equipment'!M361)),MAX($B$3:B860)+1,"")</f>
        <v/>
      </c>
      <c r="E861">
        <f>IFERROR(MATCH(858,$B$4:$B$1003,0),"")</f>
        <v/>
      </c>
    </row>
    <row r="862">
      <c r="A862">
        <f>IF(AND(LEN('My equipment'!A362)&gt;0,ISNUMBER('My equipment'!M362),'My equipment'!Q362&lt;&gt;"Claim settled",'My equipment'!Q362&lt;&gt;"No claim needed",'My equipment'!Q362&lt;&gt;"Cover extended"),'My equipment'!M362+859/100000,"")</f>
        <v/>
      </c>
      <c r="B862">
        <f>IF(AND(LEN('My equipment'!A362)&gt;0,ISNUMBER('My equipment'!M362)),MAX($B$3:B861)+1,"")</f>
        <v/>
      </c>
      <c r="E862">
        <f>IFERROR(MATCH(859,$B$4:$B$1003,0),"")</f>
        <v/>
      </c>
    </row>
    <row r="863">
      <c r="A863">
        <f>IF(AND(LEN('My equipment'!A363)&gt;0,ISNUMBER('My equipment'!M363),'My equipment'!Q363&lt;&gt;"Claim settled",'My equipment'!Q363&lt;&gt;"No claim needed",'My equipment'!Q363&lt;&gt;"Cover extended"),'My equipment'!M363+860/100000,"")</f>
        <v/>
      </c>
      <c r="B863">
        <f>IF(AND(LEN('My equipment'!A363)&gt;0,ISNUMBER('My equipment'!M363)),MAX($B$3:B862)+1,"")</f>
        <v/>
      </c>
      <c r="E863">
        <f>IFERROR(MATCH(860,$B$4:$B$1003,0),"")</f>
        <v/>
      </c>
    </row>
    <row r="864">
      <c r="A864">
        <f>IF(AND(LEN('My equipment'!A364)&gt;0,ISNUMBER('My equipment'!M364),'My equipment'!Q364&lt;&gt;"Claim settled",'My equipment'!Q364&lt;&gt;"No claim needed",'My equipment'!Q364&lt;&gt;"Cover extended"),'My equipment'!M364+861/100000,"")</f>
        <v/>
      </c>
      <c r="B864">
        <f>IF(AND(LEN('My equipment'!A364)&gt;0,ISNUMBER('My equipment'!M364)),MAX($B$3:B863)+1,"")</f>
        <v/>
      </c>
      <c r="E864">
        <f>IFERROR(MATCH(861,$B$4:$B$1003,0),"")</f>
        <v/>
      </c>
    </row>
    <row r="865">
      <c r="A865">
        <f>IF(AND(LEN('My equipment'!A365)&gt;0,ISNUMBER('My equipment'!M365),'My equipment'!Q365&lt;&gt;"Claim settled",'My equipment'!Q365&lt;&gt;"No claim needed",'My equipment'!Q365&lt;&gt;"Cover extended"),'My equipment'!M365+862/100000,"")</f>
        <v/>
      </c>
      <c r="B865">
        <f>IF(AND(LEN('My equipment'!A365)&gt;0,ISNUMBER('My equipment'!M365)),MAX($B$3:B864)+1,"")</f>
        <v/>
      </c>
      <c r="E865">
        <f>IFERROR(MATCH(862,$B$4:$B$1003,0),"")</f>
        <v/>
      </c>
    </row>
    <row r="866">
      <c r="A866">
        <f>IF(AND(LEN('My equipment'!A366)&gt;0,ISNUMBER('My equipment'!M366),'My equipment'!Q366&lt;&gt;"Claim settled",'My equipment'!Q366&lt;&gt;"No claim needed",'My equipment'!Q366&lt;&gt;"Cover extended"),'My equipment'!M366+863/100000,"")</f>
        <v/>
      </c>
      <c r="B866">
        <f>IF(AND(LEN('My equipment'!A366)&gt;0,ISNUMBER('My equipment'!M366)),MAX($B$3:B865)+1,"")</f>
        <v/>
      </c>
      <c r="E866">
        <f>IFERROR(MATCH(863,$B$4:$B$1003,0),"")</f>
        <v/>
      </c>
    </row>
    <row r="867">
      <c r="A867">
        <f>IF(AND(LEN('My equipment'!A367)&gt;0,ISNUMBER('My equipment'!M367),'My equipment'!Q367&lt;&gt;"Claim settled",'My equipment'!Q367&lt;&gt;"No claim needed",'My equipment'!Q367&lt;&gt;"Cover extended"),'My equipment'!M367+864/100000,"")</f>
        <v/>
      </c>
      <c r="B867">
        <f>IF(AND(LEN('My equipment'!A367)&gt;0,ISNUMBER('My equipment'!M367)),MAX($B$3:B866)+1,"")</f>
        <v/>
      </c>
      <c r="E867">
        <f>IFERROR(MATCH(864,$B$4:$B$1003,0),"")</f>
        <v/>
      </c>
    </row>
    <row r="868">
      <c r="A868">
        <f>IF(AND(LEN('My equipment'!A368)&gt;0,ISNUMBER('My equipment'!M368),'My equipment'!Q368&lt;&gt;"Claim settled",'My equipment'!Q368&lt;&gt;"No claim needed",'My equipment'!Q368&lt;&gt;"Cover extended"),'My equipment'!M368+865/100000,"")</f>
        <v/>
      </c>
      <c r="B868">
        <f>IF(AND(LEN('My equipment'!A368)&gt;0,ISNUMBER('My equipment'!M368)),MAX($B$3:B867)+1,"")</f>
        <v/>
      </c>
      <c r="E868">
        <f>IFERROR(MATCH(865,$B$4:$B$1003,0),"")</f>
        <v/>
      </c>
    </row>
    <row r="869">
      <c r="A869">
        <f>IF(AND(LEN('My equipment'!A369)&gt;0,ISNUMBER('My equipment'!M369),'My equipment'!Q369&lt;&gt;"Claim settled",'My equipment'!Q369&lt;&gt;"No claim needed",'My equipment'!Q369&lt;&gt;"Cover extended"),'My equipment'!M369+866/100000,"")</f>
        <v/>
      </c>
      <c r="B869">
        <f>IF(AND(LEN('My equipment'!A369)&gt;0,ISNUMBER('My equipment'!M369)),MAX($B$3:B868)+1,"")</f>
        <v/>
      </c>
      <c r="E869">
        <f>IFERROR(MATCH(866,$B$4:$B$1003,0),"")</f>
        <v/>
      </c>
    </row>
    <row r="870">
      <c r="A870">
        <f>IF(AND(LEN('My equipment'!A370)&gt;0,ISNUMBER('My equipment'!M370),'My equipment'!Q370&lt;&gt;"Claim settled",'My equipment'!Q370&lt;&gt;"No claim needed",'My equipment'!Q370&lt;&gt;"Cover extended"),'My equipment'!M370+867/100000,"")</f>
        <v/>
      </c>
      <c r="B870">
        <f>IF(AND(LEN('My equipment'!A370)&gt;0,ISNUMBER('My equipment'!M370)),MAX($B$3:B869)+1,"")</f>
        <v/>
      </c>
      <c r="E870">
        <f>IFERROR(MATCH(867,$B$4:$B$1003,0),"")</f>
        <v/>
      </c>
    </row>
    <row r="871">
      <c r="A871">
        <f>IF(AND(LEN('My equipment'!A371)&gt;0,ISNUMBER('My equipment'!M371),'My equipment'!Q371&lt;&gt;"Claim settled",'My equipment'!Q371&lt;&gt;"No claim needed",'My equipment'!Q371&lt;&gt;"Cover extended"),'My equipment'!M371+868/100000,"")</f>
        <v/>
      </c>
      <c r="B871">
        <f>IF(AND(LEN('My equipment'!A371)&gt;0,ISNUMBER('My equipment'!M371)),MAX($B$3:B870)+1,"")</f>
        <v/>
      </c>
      <c r="E871">
        <f>IFERROR(MATCH(868,$B$4:$B$1003,0),"")</f>
        <v/>
      </c>
    </row>
    <row r="872">
      <c r="A872">
        <f>IF(AND(LEN('My equipment'!A372)&gt;0,ISNUMBER('My equipment'!M372),'My equipment'!Q372&lt;&gt;"Claim settled",'My equipment'!Q372&lt;&gt;"No claim needed",'My equipment'!Q372&lt;&gt;"Cover extended"),'My equipment'!M372+869/100000,"")</f>
        <v/>
      </c>
      <c r="B872">
        <f>IF(AND(LEN('My equipment'!A372)&gt;0,ISNUMBER('My equipment'!M372)),MAX($B$3:B871)+1,"")</f>
        <v/>
      </c>
      <c r="E872">
        <f>IFERROR(MATCH(869,$B$4:$B$1003,0),"")</f>
        <v/>
      </c>
    </row>
    <row r="873">
      <c r="A873">
        <f>IF(AND(LEN('My equipment'!A373)&gt;0,ISNUMBER('My equipment'!M373),'My equipment'!Q373&lt;&gt;"Claim settled",'My equipment'!Q373&lt;&gt;"No claim needed",'My equipment'!Q373&lt;&gt;"Cover extended"),'My equipment'!M373+870/100000,"")</f>
        <v/>
      </c>
      <c r="B873">
        <f>IF(AND(LEN('My equipment'!A373)&gt;0,ISNUMBER('My equipment'!M373)),MAX($B$3:B872)+1,"")</f>
        <v/>
      </c>
      <c r="E873">
        <f>IFERROR(MATCH(870,$B$4:$B$1003,0),"")</f>
        <v/>
      </c>
    </row>
    <row r="874">
      <c r="A874">
        <f>IF(AND(LEN('My equipment'!A374)&gt;0,ISNUMBER('My equipment'!M374),'My equipment'!Q374&lt;&gt;"Claim settled",'My equipment'!Q374&lt;&gt;"No claim needed",'My equipment'!Q374&lt;&gt;"Cover extended"),'My equipment'!M374+871/100000,"")</f>
        <v/>
      </c>
      <c r="B874">
        <f>IF(AND(LEN('My equipment'!A374)&gt;0,ISNUMBER('My equipment'!M374)),MAX($B$3:B873)+1,"")</f>
        <v/>
      </c>
      <c r="E874">
        <f>IFERROR(MATCH(871,$B$4:$B$1003,0),"")</f>
        <v/>
      </c>
    </row>
    <row r="875">
      <c r="A875">
        <f>IF(AND(LEN('My equipment'!A375)&gt;0,ISNUMBER('My equipment'!M375),'My equipment'!Q375&lt;&gt;"Claim settled",'My equipment'!Q375&lt;&gt;"No claim needed",'My equipment'!Q375&lt;&gt;"Cover extended"),'My equipment'!M375+872/100000,"")</f>
        <v/>
      </c>
      <c r="B875">
        <f>IF(AND(LEN('My equipment'!A375)&gt;0,ISNUMBER('My equipment'!M375)),MAX($B$3:B874)+1,"")</f>
        <v/>
      </c>
      <c r="E875">
        <f>IFERROR(MATCH(872,$B$4:$B$1003,0),"")</f>
        <v/>
      </c>
    </row>
    <row r="876">
      <c r="A876">
        <f>IF(AND(LEN('My equipment'!A376)&gt;0,ISNUMBER('My equipment'!M376),'My equipment'!Q376&lt;&gt;"Claim settled",'My equipment'!Q376&lt;&gt;"No claim needed",'My equipment'!Q376&lt;&gt;"Cover extended"),'My equipment'!M376+873/100000,"")</f>
        <v/>
      </c>
      <c r="B876">
        <f>IF(AND(LEN('My equipment'!A376)&gt;0,ISNUMBER('My equipment'!M376)),MAX($B$3:B875)+1,"")</f>
        <v/>
      </c>
      <c r="E876">
        <f>IFERROR(MATCH(873,$B$4:$B$1003,0),"")</f>
        <v/>
      </c>
    </row>
    <row r="877">
      <c r="A877">
        <f>IF(AND(LEN('My equipment'!A377)&gt;0,ISNUMBER('My equipment'!M377),'My equipment'!Q377&lt;&gt;"Claim settled",'My equipment'!Q377&lt;&gt;"No claim needed",'My equipment'!Q377&lt;&gt;"Cover extended"),'My equipment'!M377+874/100000,"")</f>
        <v/>
      </c>
      <c r="B877">
        <f>IF(AND(LEN('My equipment'!A377)&gt;0,ISNUMBER('My equipment'!M377)),MAX($B$3:B876)+1,"")</f>
        <v/>
      </c>
      <c r="E877">
        <f>IFERROR(MATCH(874,$B$4:$B$1003,0),"")</f>
        <v/>
      </c>
    </row>
    <row r="878">
      <c r="A878">
        <f>IF(AND(LEN('My equipment'!A378)&gt;0,ISNUMBER('My equipment'!M378),'My equipment'!Q378&lt;&gt;"Claim settled",'My equipment'!Q378&lt;&gt;"No claim needed",'My equipment'!Q378&lt;&gt;"Cover extended"),'My equipment'!M378+875/100000,"")</f>
        <v/>
      </c>
      <c r="B878">
        <f>IF(AND(LEN('My equipment'!A378)&gt;0,ISNUMBER('My equipment'!M378)),MAX($B$3:B877)+1,"")</f>
        <v/>
      </c>
      <c r="E878">
        <f>IFERROR(MATCH(875,$B$4:$B$1003,0),"")</f>
        <v/>
      </c>
    </row>
    <row r="879">
      <c r="A879">
        <f>IF(AND(LEN('My equipment'!A379)&gt;0,ISNUMBER('My equipment'!M379),'My equipment'!Q379&lt;&gt;"Claim settled",'My equipment'!Q379&lt;&gt;"No claim needed",'My equipment'!Q379&lt;&gt;"Cover extended"),'My equipment'!M379+876/100000,"")</f>
        <v/>
      </c>
      <c r="B879">
        <f>IF(AND(LEN('My equipment'!A379)&gt;0,ISNUMBER('My equipment'!M379)),MAX($B$3:B878)+1,"")</f>
        <v/>
      </c>
      <c r="E879">
        <f>IFERROR(MATCH(876,$B$4:$B$1003,0),"")</f>
        <v/>
      </c>
    </row>
    <row r="880">
      <c r="A880">
        <f>IF(AND(LEN('My equipment'!A380)&gt;0,ISNUMBER('My equipment'!M380),'My equipment'!Q380&lt;&gt;"Claim settled",'My equipment'!Q380&lt;&gt;"No claim needed",'My equipment'!Q380&lt;&gt;"Cover extended"),'My equipment'!M380+877/100000,"")</f>
        <v/>
      </c>
      <c r="B880">
        <f>IF(AND(LEN('My equipment'!A380)&gt;0,ISNUMBER('My equipment'!M380)),MAX($B$3:B879)+1,"")</f>
        <v/>
      </c>
      <c r="E880">
        <f>IFERROR(MATCH(877,$B$4:$B$1003,0),"")</f>
        <v/>
      </c>
    </row>
    <row r="881">
      <c r="A881">
        <f>IF(AND(LEN('My equipment'!A381)&gt;0,ISNUMBER('My equipment'!M381),'My equipment'!Q381&lt;&gt;"Claim settled",'My equipment'!Q381&lt;&gt;"No claim needed",'My equipment'!Q381&lt;&gt;"Cover extended"),'My equipment'!M381+878/100000,"")</f>
        <v/>
      </c>
      <c r="B881">
        <f>IF(AND(LEN('My equipment'!A381)&gt;0,ISNUMBER('My equipment'!M381)),MAX($B$3:B880)+1,"")</f>
        <v/>
      </c>
      <c r="E881">
        <f>IFERROR(MATCH(878,$B$4:$B$1003,0),"")</f>
        <v/>
      </c>
    </row>
    <row r="882">
      <c r="A882">
        <f>IF(AND(LEN('My equipment'!A382)&gt;0,ISNUMBER('My equipment'!M382),'My equipment'!Q382&lt;&gt;"Claim settled",'My equipment'!Q382&lt;&gt;"No claim needed",'My equipment'!Q382&lt;&gt;"Cover extended"),'My equipment'!M382+879/100000,"")</f>
        <v/>
      </c>
      <c r="B882">
        <f>IF(AND(LEN('My equipment'!A382)&gt;0,ISNUMBER('My equipment'!M382)),MAX($B$3:B881)+1,"")</f>
        <v/>
      </c>
      <c r="E882">
        <f>IFERROR(MATCH(879,$B$4:$B$1003,0),"")</f>
        <v/>
      </c>
    </row>
    <row r="883">
      <c r="A883">
        <f>IF(AND(LEN('My equipment'!A383)&gt;0,ISNUMBER('My equipment'!M383),'My equipment'!Q383&lt;&gt;"Claim settled",'My equipment'!Q383&lt;&gt;"No claim needed",'My equipment'!Q383&lt;&gt;"Cover extended"),'My equipment'!M383+880/100000,"")</f>
        <v/>
      </c>
      <c r="B883">
        <f>IF(AND(LEN('My equipment'!A383)&gt;0,ISNUMBER('My equipment'!M383)),MAX($B$3:B882)+1,"")</f>
        <v/>
      </c>
      <c r="E883">
        <f>IFERROR(MATCH(880,$B$4:$B$1003,0),"")</f>
        <v/>
      </c>
    </row>
    <row r="884">
      <c r="A884">
        <f>IF(AND(LEN('My equipment'!A384)&gt;0,ISNUMBER('My equipment'!M384),'My equipment'!Q384&lt;&gt;"Claim settled",'My equipment'!Q384&lt;&gt;"No claim needed",'My equipment'!Q384&lt;&gt;"Cover extended"),'My equipment'!M384+881/100000,"")</f>
        <v/>
      </c>
      <c r="B884">
        <f>IF(AND(LEN('My equipment'!A384)&gt;0,ISNUMBER('My equipment'!M384)),MAX($B$3:B883)+1,"")</f>
        <v/>
      </c>
      <c r="E884">
        <f>IFERROR(MATCH(881,$B$4:$B$1003,0),"")</f>
        <v/>
      </c>
    </row>
    <row r="885">
      <c r="A885">
        <f>IF(AND(LEN('My equipment'!A385)&gt;0,ISNUMBER('My equipment'!M385),'My equipment'!Q385&lt;&gt;"Claim settled",'My equipment'!Q385&lt;&gt;"No claim needed",'My equipment'!Q385&lt;&gt;"Cover extended"),'My equipment'!M385+882/100000,"")</f>
        <v/>
      </c>
      <c r="B885">
        <f>IF(AND(LEN('My equipment'!A385)&gt;0,ISNUMBER('My equipment'!M385)),MAX($B$3:B884)+1,"")</f>
        <v/>
      </c>
      <c r="E885">
        <f>IFERROR(MATCH(882,$B$4:$B$1003,0),"")</f>
        <v/>
      </c>
    </row>
    <row r="886">
      <c r="A886">
        <f>IF(AND(LEN('My equipment'!A386)&gt;0,ISNUMBER('My equipment'!M386),'My equipment'!Q386&lt;&gt;"Claim settled",'My equipment'!Q386&lt;&gt;"No claim needed",'My equipment'!Q386&lt;&gt;"Cover extended"),'My equipment'!M386+883/100000,"")</f>
        <v/>
      </c>
      <c r="B886">
        <f>IF(AND(LEN('My equipment'!A386)&gt;0,ISNUMBER('My equipment'!M386)),MAX($B$3:B885)+1,"")</f>
        <v/>
      </c>
      <c r="E886">
        <f>IFERROR(MATCH(883,$B$4:$B$1003,0),"")</f>
        <v/>
      </c>
    </row>
    <row r="887">
      <c r="A887">
        <f>IF(AND(LEN('My equipment'!A387)&gt;0,ISNUMBER('My equipment'!M387),'My equipment'!Q387&lt;&gt;"Claim settled",'My equipment'!Q387&lt;&gt;"No claim needed",'My equipment'!Q387&lt;&gt;"Cover extended"),'My equipment'!M387+884/100000,"")</f>
        <v/>
      </c>
      <c r="B887">
        <f>IF(AND(LEN('My equipment'!A387)&gt;0,ISNUMBER('My equipment'!M387)),MAX($B$3:B886)+1,"")</f>
        <v/>
      </c>
      <c r="E887">
        <f>IFERROR(MATCH(884,$B$4:$B$1003,0),"")</f>
        <v/>
      </c>
    </row>
    <row r="888">
      <c r="A888">
        <f>IF(AND(LEN('My equipment'!A388)&gt;0,ISNUMBER('My equipment'!M388),'My equipment'!Q388&lt;&gt;"Claim settled",'My equipment'!Q388&lt;&gt;"No claim needed",'My equipment'!Q388&lt;&gt;"Cover extended"),'My equipment'!M388+885/100000,"")</f>
        <v/>
      </c>
      <c r="B888">
        <f>IF(AND(LEN('My equipment'!A388)&gt;0,ISNUMBER('My equipment'!M388)),MAX($B$3:B887)+1,"")</f>
        <v/>
      </c>
      <c r="E888">
        <f>IFERROR(MATCH(885,$B$4:$B$1003,0),"")</f>
        <v/>
      </c>
    </row>
    <row r="889">
      <c r="A889">
        <f>IF(AND(LEN('My equipment'!A389)&gt;0,ISNUMBER('My equipment'!M389),'My equipment'!Q389&lt;&gt;"Claim settled",'My equipment'!Q389&lt;&gt;"No claim needed",'My equipment'!Q389&lt;&gt;"Cover extended"),'My equipment'!M389+886/100000,"")</f>
        <v/>
      </c>
      <c r="B889">
        <f>IF(AND(LEN('My equipment'!A389)&gt;0,ISNUMBER('My equipment'!M389)),MAX($B$3:B888)+1,"")</f>
        <v/>
      </c>
      <c r="E889">
        <f>IFERROR(MATCH(886,$B$4:$B$1003,0),"")</f>
        <v/>
      </c>
    </row>
    <row r="890">
      <c r="A890">
        <f>IF(AND(LEN('My equipment'!A390)&gt;0,ISNUMBER('My equipment'!M390),'My equipment'!Q390&lt;&gt;"Claim settled",'My equipment'!Q390&lt;&gt;"No claim needed",'My equipment'!Q390&lt;&gt;"Cover extended"),'My equipment'!M390+887/100000,"")</f>
        <v/>
      </c>
      <c r="B890">
        <f>IF(AND(LEN('My equipment'!A390)&gt;0,ISNUMBER('My equipment'!M390)),MAX($B$3:B889)+1,"")</f>
        <v/>
      </c>
      <c r="E890">
        <f>IFERROR(MATCH(887,$B$4:$B$1003,0),"")</f>
        <v/>
      </c>
    </row>
    <row r="891">
      <c r="A891">
        <f>IF(AND(LEN('My equipment'!A391)&gt;0,ISNUMBER('My equipment'!M391),'My equipment'!Q391&lt;&gt;"Claim settled",'My equipment'!Q391&lt;&gt;"No claim needed",'My equipment'!Q391&lt;&gt;"Cover extended"),'My equipment'!M391+888/100000,"")</f>
        <v/>
      </c>
      <c r="B891">
        <f>IF(AND(LEN('My equipment'!A391)&gt;0,ISNUMBER('My equipment'!M391)),MAX($B$3:B890)+1,"")</f>
        <v/>
      </c>
      <c r="E891">
        <f>IFERROR(MATCH(888,$B$4:$B$1003,0),"")</f>
        <v/>
      </c>
    </row>
    <row r="892">
      <c r="A892">
        <f>IF(AND(LEN('My equipment'!A392)&gt;0,ISNUMBER('My equipment'!M392),'My equipment'!Q392&lt;&gt;"Claim settled",'My equipment'!Q392&lt;&gt;"No claim needed",'My equipment'!Q392&lt;&gt;"Cover extended"),'My equipment'!M392+889/100000,"")</f>
        <v/>
      </c>
      <c r="B892">
        <f>IF(AND(LEN('My equipment'!A392)&gt;0,ISNUMBER('My equipment'!M392)),MAX($B$3:B891)+1,"")</f>
        <v/>
      </c>
      <c r="E892">
        <f>IFERROR(MATCH(889,$B$4:$B$1003,0),"")</f>
        <v/>
      </c>
    </row>
    <row r="893">
      <c r="A893">
        <f>IF(AND(LEN('My equipment'!A393)&gt;0,ISNUMBER('My equipment'!M393),'My equipment'!Q393&lt;&gt;"Claim settled",'My equipment'!Q393&lt;&gt;"No claim needed",'My equipment'!Q393&lt;&gt;"Cover extended"),'My equipment'!M393+890/100000,"")</f>
        <v/>
      </c>
      <c r="B893">
        <f>IF(AND(LEN('My equipment'!A393)&gt;0,ISNUMBER('My equipment'!M393)),MAX($B$3:B892)+1,"")</f>
        <v/>
      </c>
      <c r="E893">
        <f>IFERROR(MATCH(890,$B$4:$B$1003,0),"")</f>
        <v/>
      </c>
    </row>
    <row r="894">
      <c r="A894">
        <f>IF(AND(LEN('My equipment'!A394)&gt;0,ISNUMBER('My equipment'!M394),'My equipment'!Q394&lt;&gt;"Claim settled",'My equipment'!Q394&lt;&gt;"No claim needed",'My equipment'!Q394&lt;&gt;"Cover extended"),'My equipment'!M394+891/100000,"")</f>
        <v/>
      </c>
      <c r="B894">
        <f>IF(AND(LEN('My equipment'!A394)&gt;0,ISNUMBER('My equipment'!M394)),MAX($B$3:B893)+1,"")</f>
        <v/>
      </c>
      <c r="E894">
        <f>IFERROR(MATCH(891,$B$4:$B$1003,0),"")</f>
        <v/>
      </c>
    </row>
    <row r="895">
      <c r="A895">
        <f>IF(AND(LEN('My equipment'!A395)&gt;0,ISNUMBER('My equipment'!M395),'My equipment'!Q395&lt;&gt;"Claim settled",'My equipment'!Q395&lt;&gt;"No claim needed",'My equipment'!Q395&lt;&gt;"Cover extended"),'My equipment'!M395+892/100000,"")</f>
        <v/>
      </c>
      <c r="B895">
        <f>IF(AND(LEN('My equipment'!A395)&gt;0,ISNUMBER('My equipment'!M395)),MAX($B$3:B894)+1,"")</f>
        <v/>
      </c>
      <c r="E895">
        <f>IFERROR(MATCH(892,$B$4:$B$1003,0),"")</f>
        <v/>
      </c>
    </row>
    <row r="896">
      <c r="A896">
        <f>IF(AND(LEN('My equipment'!A396)&gt;0,ISNUMBER('My equipment'!M396),'My equipment'!Q396&lt;&gt;"Claim settled",'My equipment'!Q396&lt;&gt;"No claim needed",'My equipment'!Q396&lt;&gt;"Cover extended"),'My equipment'!M396+893/100000,"")</f>
        <v/>
      </c>
      <c r="B896">
        <f>IF(AND(LEN('My equipment'!A396)&gt;0,ISNUMBER('My equipment'!M396)),MAX($B$3:B895)+1,"")</f>
        <v/>
      </c>
      <c r="E896">
        <f>IFERROR(MATCH(893,$B$4:$B$1003,0),"")</f>
        <v/>
      </c>
    </row>
    <row r="897">
      <c r="A897">
        <f>IF(AND(LEN('My equipment'!A397)&gt;0,ISNUMBER('My equipment'!M397),'My equipment'!Q397&lt;&gt;"Claim settled",'My equipment'!Q397&lt;&gt;"No claim needed",'My equipment'!Q397&lt;&gt;"Cover extended"),'My equipment'!M397+894/100000,"")</f>
        <v/>
      </c>
      <c r="B897">
        <f>IF(AND(LEN('My equipment'!A397)&gt;0,ISNUMBER('My equipment'!M397)),MAX($B$3:B896)+1,"")</f>
        <v/>
      </c>
      <c r="E897">
        <f>IFERROR(MATCH(894,$B$4:$B$1003,0),"")</f>
        <v/>
      </c>
    </row>
    <row r="898">
      <c r="A898">
        <f>IF(AND(LEN('My equipment'!A398)&gt;0,ISNUMBER('My equipment'!M398),'My equipment'!Q398&lt;&gt;"Claim settled",'My equipment'!Q398&lt;&gt;"No claim needed",'My equipment'!Q398&lt;&gt;"Cover extended"),'My equipment'!M398+895/100000,"")</f>
        <v/>
      </c>
      <c r="B898">
        <f>IF(AND(LEN('My equipment'!A398)&gt;0,ISNUMBER('My equipment'!M398)),MAX($B$3:B897)+1,"")</f>
        <v/>
      </c>
      <c r="E898">
        <f>IFERROR(MATCH(895,$B$4:$B$1003,0),"")</f>
        <v/>
      </c>
    </row>
    <row r="899">
      <c r="A899">
        <f>IF(AND(LEN('My equipment'!A399)&gt;0,ISNUMBER('My equipment'!M399),'My equipment'!Q399&lt;&gt;"Claim settled",'My equipment'!Q399&lt;&gt;"No claim needed",'My equipment'!Q399&lt;&gt;"Cover extended"),'My equipment'!M399+896/100000,"")</f>
        <v/>
      </c>
      <c r="B899">
        <f>IF(AND(LEN('My equipment'!A399)&gt;0,ISNUMBER('My equipment'!M399)),MAX($B$3:B898)+1,"")</f>
        <v/>
      </c>
      <c r="E899">
        <f>IFERROR(MATCH(896,$B$4:$B$1003,0),"")</f>
        <v/>
      </c>
    </row>
    <row r="900">
      <c r="A900">
        <f>IF(AND(LEN('My equipment'!A400)&gt;0,ISNUMBER('My equipment'!M400),'My equipment'!Q400&lt;&gt;"Claim settled",'My equipment'!Q400&lt;&gt;"No claim needed",'My equipment'!Q400&lt;&gt;"Cover extended"),'My equipment'!M400+897/100000,"")</f>
        <v/>
      </c>
      <c r="B900">
        <f>IF(AND(LEN('My equipment'!A400)&gt;0,ISNUMBER('My equipment'!M400)),MAX($B$3:B899)+1,"")</f>
        <v/>
      </c>
      <c r="E900">
        <f>IFERROR(MATCH(897,$B$4:$B$1003,0),"")</f>
        <v/>
      </c>
    </row>
    <row r="901">
      <c r="A901">
        <f>IF(AND(LEN('My equipment'!A401)&gt;0,ISNUMBER('My equipment'!M401),'My equipment'!Q401&lt;&gt;"Claim settled",'My equipment'!Q401&lt;&gt;"No claim needed",'My equipment'!Q401&lt;&gt;"Cover extended"),'My equipment'!M401+898/100000,"")</f>
        <v/>
      </c>
      <c r="B901">
        <f>IF(AND(LEN('My equipment'!A401)&gt;0,ISNUMBER('My equipment'!M401)),MAX($B$3:B900)+1,"")</f>
        <v/>
      </c>
      <c r="E901">
        <f>IFERROR(MATCH(898,$B$4:$B$1003,0),"")</f>
        <v/>
      </c>
    </row>
    <row r="902">
      <c r="A902">
        <f>IF(AND(LEN('My equipment'!A402)&gt;0,ISNUMBER('My equipment'!M402),'My equipment'!Q402&lt;&gt;"Claim settled",'My equipment'!Q402&lt;&gt;"No claim needed",'My equipment'!Q402&lt;&gt;"Cover extended"),'My equipment'!M402+899/100000,"")</f>
        <v/>
      </c>
      <c r="B902">
        <f>IF(AND(LEN('My equipment'!A402)&gt;0,ISNUMBER('My equipment'!M402)),MAX($B$3:B901)+1,"")</f>
        <v/>
      </c>
      <c r="E902">
        <f>IFERROR(MATCH(899,$B$4:$B$1003,0),"")</f>
        <v/>
      </c>
    </row>
    <row r="903">
      <c r="A903">
        <f>IF(AND(LEN('My equipment'!A403)&gt;0,ISNUMBER('My equipment'!M403),'My equipment'!Q403&lt;&gt;"Claim settled",'My equipment'!Q403&lt;&gt;"No claim needed",'My equipment'!Q403&lt;&gt;"Cover extended"),'My equipment'!M403+900/100000,"")</f>
        <v/>
      </c>
      <c r="B903">
        <f>IF(AND(LEN('My equipment'!A403)&gt;0,ISNUMBER('My equipment'!M403)),MAX($B$3:B902)+1,"")</f>
        <v/>
      </c>
      <c r="E903">
        <f>IFERROR(MATCH(900,$B$4:$B$1003,0),"")</f>
        <v/>
      </c>
    </row>
    <row r="904">
      <c r="A904">
        <f>IF(AND(LEN('My equipment'!A404)&gt;0,ISNUMBER('My equipment'!M404),'My equipment'!Q404&lt;&gt;"Claim settled",'My equipment'!Q404&lt;&gt;"No claim needed",'My equipment'!Q404&lt;&gt;"Cover extended"),'My equipment'!M404+901/100000,"")</f>
        <v/>
      </c>
      <c r="B904">
        <f>IF(AND(LEN('My equipment'!A404)&gt;0,ISNUMBER('My equipment'!M404)),MAX($B$3:B903)+1,"")</f>
        <v/>
      </c>
      <c r="E904">
        <f>IFERROR(MATCH(901,$B$4:$B$1003,0),"")</f>
        <v/>
      </c>
    </row>
    <row r="905">
      <c r="A905">
        <f>IF(AND(LEN('My equipment'!A405)&gt;0,ISNUMBER('My equipment'!M405),'My equipment'!Q405&lt;&gt;"Claim settled",'My equipment'!Q405&lt;&gt;"No claim needed",'My equipment'!Q405&lt;&gt;"Cover extended"),'My equipment'!M405+902/100000,"")</f>
        <v/>
      </c>
      <c r="B905">
        <f>IF(AND(LEN('My equipment'!A405)&gt;0,ISNUMBER('My equipment'!M405)),MAX($B$3:B904)+1,"")</f>
        <v/>
      </c>
      <c r="E905">
        <f>IFERROR(MATCH(902,$B$4:$B$1003,0),"")</f>
        <v/>
      </c>
    </row>
    <row r="906">
      <c r="A906">
        <f>IF(AND(LEN('My equipment'!A406)&gt;0,ISNUMBER('My equipment'!M406),'My equipment'!Q406&lt;&gt;"Claim settled",'My equipment'!Q406&lt;&gt;"No claim needed",'My equipment'!Q406&lt;&gt;"Cover extended"),'My equipment'!M406+903/100000,"")</f>
        <v/>
      </c>
      <c r="B906">
        <f>IF(AND(LEN('My equipment'!A406)&gt;0,ISNUMBER('My equipment'!M406)),MAX($B$3:B905)+1,"")</f>
        <v/>
      </c>
      <c r="E906">
        <f>IFERROR(MATCH(903,$B$4:$B$1003,0),"")</f>
        <v/>
      </c>
    </row>
    <row r="907">
      <c r="A907">
        <f>IF(AND(LEN('My equipment'!A407)&gt;0,ISNUMBER('My equipment'!M407),'My equipment'!Q407&lt;&gt;"Claim settled",'My equipment'!Q407&lt;&gt;"No claim needed",'My equipment'!Q407&lt;&gt;"Cover extended"),'My equipment'!M407+904/100000,"")</f>
        <v/>
      </c>
      <c r="B907">
        <f>IF(AND(LEN('My equipment'!A407)&gt;0,ISNUMBER('My equipment'!M407)),MAX($B$3:B906)+1,"")</f>
        <v/>
      </c>
      <c r="E907">
        <f>IFERROR(MATCH(904,$B$4:$B$1003,0),"")</f>
        <v/>
      </c>
    </row>
    <row r="908">
      <c r="A908">
        <f>IF(AND(LEN('My equipment'!A408)&gt;0,ISNUMBER('My equipment'!M408),'My equipment'!Q408&lt;&gt;"Claim settled",'My equipment'!Q408&lt;&gt;"No claim needed",'My equipment'!Q408&lt;&gt;"Cover extended"),'My equipment'!M408+905/100000,"")</f>
        <v/>
      </c>
      <c r="B908">
        <f>IF(AND(LEN('My equipment'!A408)&gt;0,ISNUMBER('My equipment'!M408)),MAX($B$3:B907)+1,"")</f>
        <v/>
      </c>
      <c r="E908">
        <f>IFERROR(MATCH(905,$B$4:$B$1003,0),"")</f>
        <v/>
      </c>
    </row>
    <row r="909">
      <c r="A909">
        <f>IF(AND(LEN('My equipment'!A409)&gt;0,ISNUMBER('My equipment'!M409),'My equipment'!Q409&lt;&gt;"Claim settled",'My equipment'!Q409&lt;&gt;"No claim needed",'My equipment'!Q409&lt;&gt;"Cover extended"),'My equipment'!M409+906/100000,"")</f>
        <v/>
      </c>
      <c r="B909">
        <f>IF(AND(LEN('My equipment'!A409)&gt;0,ISNUMBER('My equipment'!M409)),MAX($B$3:B908)+1,"")</f>
        <v/>
      </c>
      <c r="E909">
        <f>IFERROR(MATCH(906,$B$4:$B$1003,0),"")</f>
        <v/>
      </c>
    </row>
    <row r="910">
      <c r="A910">
        <f>IF(AND(LEN('My equipment'!A410)&gt;0,ISNUMBER('My equipment'!M410),'My equipment'!Q410&lt;&gt;"Claim settled",'My equipment'!Q410&lt;&gt;"No claim needed",'My equipment'!Q410&lt;&gt;"Cover extended"),'My equipment'!M410+907/100000,"")</f>
        <v/>
      </c>
      <c r="B910">
        <f>IF(AND(LEN('My equipment'!A410)&gt;0,ISNUMBER('My equipment'!M410)),MAX($B$3:B909)+1,"")</f>
        <v/>
      </c>
      <c r="E910">
        <f>IFERROR(MATCH(907,$B$4:$B$1003,0),"")</f>
        <v/>
      </c>
    </row>
    <row r="911">
      <c r="A911">
        <f>IF(AND(LEN('My equipment'!A411)&gt;0,ISNUMBER('My equipment'!M411),'My equipment'!Q411&lt;&gt;"Claim settled",'My equipment'!Q411&lt;&gt;"No claim needed",'My equipment'!Q411&lt;&gt;"Cover extended"),'My equipment'!M411+908/100000,"")</f>
        <v/>
      </c>
      <c r="B911">
        <f>IF(AND(LEN('My equipment'!A411)&gt;0,ISNUMBER('My equipment'!M411)),MAX($B$3:B910)+1,"")</f>
        <v/>
      </c>
      <c r="E911">
        <f>IFERROR(MATCH(908,$B$4:$B$1003,0),"")</f>
        <v/>
      </c>
    </row>
    <row r="912">
      <c r="A912">
        <f>IF(AND(LEN('My equipment'!A412)&gt;0,ISNUMBER('My equipment'!M412),'My equipment'!Q412&lt;&gt;"Claim settled",'My equipment'!Q412&lt;&gt;"No claim needed",'My equipment'!Q412&lt;&gt;"Cover extended"),'My equipment'!M412+909/100000,"")</f>
        <v/>
      </c>
      <c r="B912">
        <f>IF(AND(LEN('My equipment'!A412)&gt;0,ISNUMBER('My equipment'!M412)),MAX($B$3:B911)+1,"")</f>
        <v/>
      </c>
      <c r="E912">
        <f>IFERROR(MATCH(909,$B$4:$B$1003,0),"")</f>
        <v/>
      </c>
    </row>
    <row r="913">
      <c r="A913">
        <f>IF(AND(LEN('My equipment'!A413)&gt;0,ISNUMBER('My equipment'!M413),'My equipment'!Q413&lt;&gt;"Claim settled",'My equipment'!Q413&lt;&gt;"No claim needed",'My equipment'!Q413&lt;&gt;"Cover extended"),'My equipment'!M413+910/100000,"")</f>
        <v/>
      </c>
      <c r="B913">
        <f>IF(AND(LEN('My equipment'!A413)&gt;0,ISNUMBER('My equipment'!M413)),MAX($B$3:B912)+1,"")</f>
        <v/>
      </c>
      <c r="E913">
        <f>IFERROR(MATCH(910,$B$4:$B$1003,0),"")</f>
        <v/>
      </c>
    </row>
    <row r="914">
      <c r="A914">
        <f>IF(AND(LEN('My equipment'!A414)&gt;0,ISNUMBER('My equipment'!M414),'My equipment'!Q414&lt;&gt;"Claim settled",'My equipment'!Q414&lt;&gt;"No claim needed",'My equipment'!Q414&lt;&gt;"Cover extended"),'My equipment'!M414+911/100000,"")</f>
        <v/>
      </c>
      <c r="B914">
        <f>IF(AND(LEN('My equipment'!A414)&gt;0,ISNUMBER('My equipment'!M414)),MAX($B$3:B913)+1,"")</f>
        <v/>
      </c>
      <c r="E914">
        <f>IFERROR(MATCH(911,$B$4:$B$1003,0),"")</f>
        <v/>
      </c>
    </row>
    <row r="915">
      <c r="A915">
        <f>IF(AND(LEN('My equipment'!A415)&gt;0,ISNUMBER('My equipment'!M415),'My equipment'!Q415&lt;&gt;"Claim settled",'My equipment'!Q415&lt;&gt;"No claim needed",'My equipment'!Q415&lt;&gt;"Cover extended"),'My equipment'!M415+912/100000,"")</f>
        <v/>
      </c>
      <c r="B915">
        <f>IF(AND(LEN('My equipment'!A415)&gt;0,ISNUMBER('My equipment'!M415)),MAX($B$3:B914)+1,"")</f>
        <v/>
      </c>
      <c r="E915">
        <f>IFERROR(MATCH(912,$B$4:$B$1003,0),"")</f>
        <v/>
      </c>
    </row>
    <row r="916">
      <c r="A916">
        <f>IF(AND(LEN('My equipment'!A416)&gt;0,ISNUMBER('My equipment'!M416),'My equipment'!Q416&lt;&gt;"Claim settled",'My equipment'!Q416&lt;&gt;"No claim needed",'My equipment'!Q416&lt;&gt;"Cover extended"),'My equipment'!M416+913/100000,"")</f>
        <v/>
      </c>
      <c r="B916">
        <f>IF(AND(LEN('My equipment'!A416)&gt;0,ISNUMBER('My equipment'!M416)),MAX($B$3:B915)+1,"")</f>
        <v/>
      </c>
      <c r="E916">
        <f>IFERROR(MATCH(913,$B$4:$B$1003,0),"")</f>
        <v/>
      </c>
    </row>
    <row r="917">
      <c r="A917">
        <f>IF(AND(LEN('My equipment'!A417)&gt;0,ISNUMBER('My equipment'!M417),'My equipment'!Q417&lt;&gt;"Claim settled",'My equipment'!Q417&lt;&gt;"No claim needed",'My equipment'!Q417&lt;&gt;"Cover extended"),'My equipment'!M417+914/100000,"")</f>
        <v/>
      </c>
      <c r="B917">
        <f>IF(AND(LEN('My equipment'!A417)&gt;0,ISNUMBER('My equipment'!M417)),MAX($B$3:B916)+1,"")</f>
        <v/>
      </c>
      <c r="E917">
        <f>IFERROR(MATCH(914,$B$4:$B$1003,0),"")</f>
        <v/>
      </c>
    </row>
    <row r="918">
      <c r="A918">
        <f>IF(AND(LEN('My equipment'!A418)&gt;0,ISNUMBER('My equipment'!M418),'My equipment'!Q418&lt;&gt;"Claim settled",'My equipment'!Q418&lt;&gt;"No claim needed",'My equipment'!Q418&lt;&gt;"Cover extended"),'My equipment'!M418+915/100000,"")</f>
        <v/>
      </c>
      <c r="B918">
        <f>IF(AND(LEN('My equipment'!A418)&gt;0,ISNUMBER('My equipment'!M418)),MAX($B$3:B917)+1,"")</f>
        <v/>
      </c>
      <c r="E918">
        <f>IFERROR(MATCH(915,$B$4:$B$1003,0),"")</f>
        <v/>
      </c>
    </row>
    <row r="919">
      <c r="A919">
        <f>IF(AND(LEN('My equipment'!A419)&gt;0,ISNUMBER('My equipment'!M419),'My equipment'!Q419&lt;&gt;"Claim settled",'My equipment'!Q419&lt;&gt;"No claim needed",'My equipment'!Q419&lt;&gt;"Cover extended"),'My equipment'!M419+916/100000,"")</f>
        <v/>
      </c>
      <c r="B919">
        <f>IF(AND(LEN('My equipment'!A419)&gt;0,ISNUMBER('My equipment'!M419)),MAX($B$3:B918)+1,"")</f>
        <v/>
      </c>
      <c r="E919">
        <f>IFERROR(MATCH(916,$B$4:$B$1003,0),"")</f>
        <v/>
      </c>
    </row>
    <row r="920">
      <c r="A920">
        <f>IF(AND(LEN('My equipment'!A420)&gt;0,ISNUMBER('My equipment'!M420),'My equipment'!Q420&lt;&gt;"Claim settled",'My equipment'!Q420&lt;&gt;"No claim needed",'My equipment'!Q420&lt;&gt;"Cover extended"),'My equipment'!M420+917/100000,"")</f>
        <v/>
      </c>
      <c r="B920">
        <f>IF(AND(LEN('My equipment'!A420)&gt;0,ISNUMBER('My equipment'!M420)),MAX($B$3:B919)+1,"")</f>
        <v/>
      </c>
      <c r="E920">
        <f>IFERROR(MATCH(917,$B$4:$B$1003,0),"")</f>
        <v/>
      </c>
    </row>
    <row r="921">
      <c r="A921">
        <f>IF(AND(LEN('My equipment'!A421)&gt;0,ISNUMBER('My equipment'!M421),'My equipment'!Q421&lt;&gt;"Claim settled",'My equipment'!Q421&lt;&gt;"No claim needed",'My equipment'!Q421&lt;&gt;"Cover extended"),'My equipment'!M421+918/100000,"")</f>
        <v/>
      </c>
      <c r="B921">
        <f>IF(AND(LEN('My equipment'!A421)&gt;0,ISNUMBER('My equipment'!M421)),MAX($B$3:B920)+1,"")</f>
        <v/>
      </c>
      <c r="E921">
        <f>IFERROR(MATCH(918,$B$4:$B$1003,0),"")</f>
        <v/>
      </c>
    </row>
    <row r="922">
      <c r="A922">
        <f>IF(AND(LEN('My equipment'!A422)&gt;0,ISNUMBER('My equipment'!M422),'My equipment'!Q422&lt;&gt;"Claim settled",'My equipment'!Q422&lt;&gt;"No claim needed",'My equipment'!Q422&lt;&gt;"Cover extended"),'My equipment'!M422+919/100000,"")</f>
        <v/>
      </c>
      <c r="B922">
        <f>IF(AND(LEN('My equipment'!A422)&gt;0,ISNUMBER('My equipment'!M422)),MAX($B$3:B921)+1,"")</f>
        <v/>
      </c>
      <c r="E922">
        <f>IFERROR(MATCH(919,$B$4:$B$1003,0),"")</f>
        <v/>
      </c>
    </row>
    <row r="923">
      <c r="A923">
        <f>IF(AND(LEN('My equipment'!A423)&gt;0,ISNUMBER('My equipment'!M423),'My equipment'!Q423&lt;&gt;"Claim settled",'My equipment'!Q423&lt;&gt;"No claim needed",'My equipment'!Q423&lt;&gt;"Cover extended"),'My equipment'!M423+920/100000,"")</f>
        <v/>
      </c>
      <c r="B923">
        <f>IF(AND(LEN('My equipment'!A423)&gt;0,ISNUMBER('My equipment'!M423)),MAX($B$3:B922)+1,"")</f>
        <v/>
      </c>
      <c r="E923">
        <f>IFERROR(MATCH(920,$B$4:$B$1003,0),"")</f>
        <v/>
      </c>
    </row>
    <row r="924">
      <c r="A924">
        <f>IF(AND(LEN('My equipment'!A424)&gt;0,ISNUMBER('My equipment'!M424),'My equipment'!Q424&lt;&gt;"Claim settled",'My equipment'!Q424&lt;&gt;"No claim needed",'My equipment'!Q424&lt;&gt;"Cover extended"),'My equipment'!M424+921/100000,"")</f>
        <v/>
      </c>
      <c r="B924">
        <f>IF(AND(LEN('My equipment'!A424)&gt;0,ISNUMBER('My equipment'!M424)),MAX($B$3:B923)+1,"")</f>
        <v/>
      </c>
      <c r="E924">
        <f>IFERROR(MATCH(921,$B$4:$B$1003,0),"")</f>
        <v/>
      </c>
    </row>
    <row r="925">
      <c r="A925">
        <f>IF(AND(LEN('My equipment'!A425)&gt;0,ISNUMBER('My equipment'!M425),'My equipment'!Q425&lt;&gt;"Claim settled",'My equipment'!Q425&lt;&gt;"No claim needed",'My equipment'!Q425&lt;&gt;"Cover extended"),'My equipment'!M425+922/100000,"")</f>
        <v/>
      </c>
      <c r="B925">
        <f>IF(AND(LEN('My equipment'!A425)&gt;0,ISNUMBER('My equipment'!M425)),MAX($B$3:B924)+1,"")</f>
        <v/>
      </c>
      <c r="E925">
        <f>IFERROR(MATCH(922,$B$4:$B$1003,0),"")</f>
        <v/>
      </c>
    </row>
    <row r="926">
      <c r="A926">
        <f>IF(AND(LEN('My equipment'!A426)&gt;0,ISNUMBER('My equipment'!M426),'My equipment'!Q426&lt;&gt;"Claim settled",'My equipment'!Q426&lt;&gt;"No claim needed",'My equipment'!Q426&lt;&gt;"Cover extended"),'My equipment'!M426+923/100000,"")</f>
        <v/>
      </c>
      <c r="B926">
        <f>IF(AND(LEN('My equipment'!A426)&gt;0,ISNUMBER('My equipment'!M426)),MAX($B$3:B925)+1,"")</f>
        <v/>
      </c>
      <c r="E926">
        <f>IFERROR(MATCH(923,$B$4:$B$1003,0),"")</f>
        <v/>
      </c>
    </row>
    <row r="927">
      <c r="A927">
        <f>IF(AND(LEN('My equipment'!A427)&gt;0,ISNUMBER('My equipment'!M427),'My equipment'!Q427&lt;&gt;"Claim settled",'My equipment'!Q427&lt;&gt;"No claim needed",'My equipment'!Q427&lt;&gt;"Cover extended"),'My equipment'!M427+924/100000,"")</f>
        <v/>
      </c>
      <c r="B927">
        <f>IF(AND(LEN('My equipment'!A427)&gt;0,ISNUMBER('My equipment'!M427)),MAX($B$3:B926)+1,"")</f>
        <v/>
      </c>
      <c r="E927">
        <f>IFERROR(MATCH(924,$B$4:$B$1003,0),"")</f>
        <v/>
      </c>
    </row>
    <row r="928">
      <c r="A928">
        <f>IF(AND(LEN('My equipment'!A428)&gt;0,ISNUMBER('My equipment'!M428),'My equipment'!Q428&lt;&gt;"Claim settled",'My equipment'!Q428&lt;&gt;"No claim needed",'My equipment'!Q428&lt;&gt;"Cover extended"),'My equipment'!M428+925/100000,"")</f>
        <v/>
      </c>
      <c r="B928">
        <f>IF(AND(LEN('My equipment'!A428)&gt;0,ISNUMBER('My equipment'!M428)),MAX($B$3:B927)+1,"")</f>
        <v/>
      </c>
      <c r="E928">
        <f>IFERROR(MATCH(925,$B$4:$B$1003,0),"")</f>
        <v/>
      </c>
    </row>
    <row r="929">
      <c r="A929">
        <f>IF(AND(LEN('My equipment'!A429)&gt;0,ISNUMBER('My equipment'!M429),'My equipment'!Q429&lt;&gt;"Claim settled",'My equipment'!Q429&lt;&gt;"No claim needed",'My equipment'!Q429&lt;&gt;"Cover extended"),'My equipment'!M429+926/100000,"")</f>
        <v/>
      </c>
      <c r="B929">
        <f>IF(AND(LEN('My equipment'!A429)&gt;0,ISNUMBER('My equipment'!M429)),MAX($B$3:B928)+1,"")</f>
        <v/>
      </c>
      <c r="E929">
        <f>IFERROR(MATCH(926,$B$4:$B$1003,0),"")</f>
        <v/>
      </c>
    </row>
    <row r="930">
      <c r="A930">
        <f>IF(AND(LEN('My equipment'!A430)&gt;0,ISNUMBER('My equipment'!M430),'My equipment'!Q430&lt;&gt;"Claim settled",'My equipment'!Q430&lt;&gt;"No claim needed",'My equipment'!Q430&lt;&gt;"Cover extended"),'My equipment'!M430+927/100000,"")</f>
        <v/>
      </c>
      <c r="B930">
        <f>IF(AND(LEN('My equipment'!A430)&gt;0,ISNUMBER('My equipment'!M430)),MAX($B$3:B929)+1,"")</f>
        <v/>
      </c>
      <c r="E930">
        <f>IFERROR(MATCH(927,$B$4:$B$1003,0),"")</f>
        <v/>
      </c>
    </row>
    <row r="931">
      <c r="A931">
        <f>IF(AND(LEN('My equipment'!A431)&gt;0,ISNUMBER('My equipment'!M431),'My equipment'!Q431&lt;&gt;"Claim settled",'My equipment'!Q431&lt;&gt;"No claim needed",'My equipment'!Q431&lt;&gt;"Cover extended"),'My equipment'!M431+928/100000,"")</f>
        <v/>
      </c>
      <c r="B931">
        <f>IF(AND(LEN('My equipment'!A431)&gt;0,ISNUMBER('My equipment'!M431)),MAX($B$3:B930)+1,"")</f>
        <v/>
      </c>
      <c r="E931">
        <f>IFERROR(MATCH(928,$B$4:$B$1003,0),"")</f>
        <v/>
      </c>
    </row>
    <row r="932">
      <c r="A932">
        <f>IF(AND(LEN('My equipment'!A432)&gt;0,ISNUMBER('My equipment'!M432),'My equipment'!Q432&lt;&gt;"Claim settled",'My equipment'!Q432&lt;&gt;"No claim needed",'My equipment'!Q432&lt;&gt;"Cover extended"),'My equipment'!M432+929/100000,"")</f>
        <v/>
      </c>
      <c r="B932">
        <f>IF(AND(LEN('My equipment'!A432)&gt;0,ISNUMBER('My equipment'!M432)),MAX($B$3:B931)+1,"")</f>
        <v/>
      </c>
      <c r="E932">
        <f>IFERROR(MATCH(929,$B$4:$B$1003,0),"")</f>
        <v/>
      </c>
    </row>
    <row r="933">
      <c r="A933">
        <f>IF(AND(LEN('My equipment'!A433)&gt;0,ISNUMBER('My equipment'!M433),'My equipment'!Q433&lt;&gt;"Claim settled",'My equipment'!Q433&lt;&gt;"No claim needed",'My equipment'!Q433&lt;&gt;"Cover extended"),'My equipment'!M433+930/100000,"")</f>
        <v/>
      </c>
      <c r="B933">
        <f>IF(AND(LEN('My equipment'!A433)&gt;0,ISNUMBER('My equipment'!M433)),MAX($B$3:B932)+1,"")</f>
        <v/>
      </c>
      <c r="E933">
        <f>IFERROR(MATCH(930,$B$4:$B$1003,0),"")</f>
        <v/>
      </c>
    </row>
    <row r="934">
      <c r="A934">
        <f>IF(AND(LEN('My equipment'!A434)&gt;0,ISNUMBER('My equipment'!M434),'My equipment'!Q434&lt;&gt;"Claim settled",'My equipment'!Q434&lt;&gt;"No claim needed",'My equipment'!Q434&lt;&gt;"Cover extended"),'My equipment'!M434+931/100000,"")</f>
        <v/>
      </c>
      <c r="B934">
        <f>IF(AND(LEN('My equipment'!A434)&gt;0,ISNUMBER('My equipment'!M434)),MAX($B$3:B933)+1,"")</f>
        <v/>
      </c>
      <c r="E934">
        <f>IFERROR(MATCH(931,$B$4:$B$1003,0),"")</f>
        <v/>
      </c>
    </row>
    <row r="935">
      <c r="A935">
        <f>IF(AND(LEN('My equipment'!A435)&gt;0,ISNUMBER('My equipment'!M435),'My equipment'!Q435&lt;&gt;"Claim settled",'My equipment'!Q435&lt;&gt;"No claim needed",'My equipment'!Q435&lt;&gt;"Cover extended"),'My equipment'!M435+932/100000,"")</f>
        <v/>
      </c>
      <c r="B935">
        <f>IF(AND(LEN('My equipment'!A435)&gt;0,ISNUMBER('My equipment'!M435)),MAX($B$3:B934)+1,"")</f>
        <v/>
      </c>
      <c r="E935">
        <f>IFERROR(MATCH(932,$B$4:$B$1003,0),"")</f>
        <v/>
      </c>
    </row>
    <row r="936">
      <c r="A936">
        <f>IF(AND(LEN('My equipment'!A436)&gt;0,ISNUMBER('My equipment'!M436),'My equipment'!Q436&lt;&gt;"Claim settled",'My equipment'!Q436&lt;&gt;"No claim needed",'My equipment'!Q436&lt;&gt;"Cover extended"),'My equipment'!M436+933/100000,"")</f>
        <v/>
      </c>
      <c r="B936">
        <f>IF(AND(LEN('My equipment'!A436)&gt;0,ISNUMBER('My equipment'!M436)),MAX($B$3:B935)+1,"")</f>
        <v/>
      </c>
      <c r="E936">
        <f>IFERROR(MATCH(933,$B$4:$B$1003,0),"")</f>
        <v/>
      </c>
    </row>
    <row r="937">
      <c r="A937">
        <f>IF(AND(LEN('My equipment'!A437)&gt;0,ISNUMBER('My equipment'!M437),'My equipment'!Q437&lt;&gt;"Claim settled",'My equipment'!Q437&lt;&gt;"No claim needed",'My equipment'!Q437&lt;&gt;"Cover extended"),'My equipment'!M437+934/100000,"")</f>
        <v/>
      </c>
      <c r="B937">
        <f>IF(AND(LEN('My equipment'!A437)&gt;0,ISNUMBER('My equipment'!M437)),MAX($B$3:B936)+1,"")</f>
        <v/>
      </c>
      <c r="E937">
        <f>IFERROR(MATCH(934,$B$4:$B$1003,0),"")</f>
        <v/>
      </c>
    </row>
    <row r="938">
      <c r="A938">
        <f>IF(AND(LEN('My equipment'!A438)&gt;0,ISNUMBER('My equipment'!M438),'My equipment'!Q438&lt;&gt;"Claim settled",'My equipment'!Q438&lt;&gt;"No claim needed",'My equipment'!Q438&lt;&gt;"Cover extended"),'My equipment'!M438+935/100000,"")</f>
        <v/>
      </c>
      <c r="B938">
        <f>IF(AND(LEN('My equipment'!A438)&gt;0,ISNUMBER('My equipment'!M438)),MAX($B$3:B937)+1,"")</f>
        <v/>
      </c>
      <c r="E938">
        <f>IFERROR(MATCH(935,$B$4:$B$1003,0),"")</f>
        <v/>
      </c>
    </row>
    <row r="939">
      <c r="A939">
        <f>IF(AND(LEN('My equipment'!A439)&gt;0,ISNUMBER('My equipment'!M439),'My equipment'!Q439&lt;&gt;"Claim settled",'My equipment'!Q439&lt;&gt;"No claim needed",'My equipment'!Q439&lt;&gt;"Cover extended"),'My equipment'!M439+936/100000,"")</f>
        <v/>
      </c>
      <c r="B939">
        <f>IF(AND(LEN('My equipment'!A439)&gt;0,ISNUMBER('My equipment'!M439)),MAX($B$3:B938)+1,"")</f>
        <v/>
      </c>
      <c r="E939">
        <f>IFERROR(MATCH(936,$B$4:$B$1003,0),"")</f>
        <v/>
      </c>
    </row>
    <row r="940">
      <c r="A940">
        <f>IF(AND(LEN('My equipment'!A440)&gt;0,ISNUMBER('My equipment'!M440),'My equipment'!Q440&lt;&gt;"Claim settled",'My equipment'!Q440&lt;&gt;"No claim needed",'My equipment'!Q440&lt;&gt;"Cover extended"),'My equipment'!M440+937/100000,"")</f>
        <v/>
      </c>
      <c r="B940">
        <f>IF(AND(LEN('My equipment'!A440)&gt;0,ISNUMBER('My equipment'!M440)),MAX($B$3:B939)+1,"")</f>
        <v/>
      </c>
      <c r="E940">
        <f>IFERROR(MATCH(937,$B$4:$B$1003,0),"")</f>
        <v/>
      </c>
    </row>
    <row r="941">
      <c r="A941">
        <f>IF(AND(LEN('My equipment'!A441)&gt;0,ISNUMBER('My equipment'!M441),'My equipment'!Q441&lt;&gt;"Claim settled",'My equipment'!Q441&lt;&gt;"No claim needed",'My equipment'!Q441&lt;&gt;"Cover extended"),'My equipment'!M441+938/100000,"")</f>
        <v/>
      </c>
      <c r="B941">
        <f>IF(AND(LEN('My equipment'!A441)&gt;0,ISNUMBER('My equipment'!M441)),MAX($B$3:B940)+1,"")</f>
        <v/>
      </c>
      <c r="E941">
        <f>IFERROR(MATCH(938,$B$4:$B$1003,0),"")</f>
        <v/>
      </c>
    </row>
    <row r="942">
      <c r="A942">
        <f>IF(AND(LEN('My equipment'!A442)&gt;0,ISNUMBER('My equipment'!M442),'My equipment'!Q442&lt;&gt;"Claim settled",'My equipment'!Q442&lt;&gt;"No claim needed",'My equipment'!Q442&lt;&gt;"Cover extended"),'My equipment'!M442+939/100000,"")</f>
        <v/>
      </c>
      <c r="B942">
        <f>IF(AND(LEN('My equipment'!A442)&gt;0,ISNUMBER('My equipment'!M442)),MAX($B$3:B941)+1,"")</f>
        <v/>
      </c>
      <c r="E942">
        <f>IFERROR(MATCH(939,$B$4:$B$1003,0),"")</f>
        <v/>
      </c>
    </row>
    <row r="943">
      <c r="A943">
        <f>IF(AND(LEN('My equipment'!A443)&gt;0,ISNUMBER('My equipment'!M443),'My equipment'!Q443&lt;&gt;"Claim settled",'My equipment'!Q443&lt;&gt;"No claim needed",'My equipment'!Q443&lt;&gt;"Cover extended"),'My equipment'!M443+940/100000,"")</f>
        <v/>
      </c>
      <c r="B943">
        <f>IF(AND(LEN('My equipment'!A443)&gt;0,ISNUMBER('My equipment'!M443)),MAX($B$3:B942)+1,"")</f>
        <v/>
      </c>
      <c r="E943">
        <f>IFERROR(MATCH(940,$B$4:$B$1003,0),"")</f>
        <v/>
      </c>
    </row>
    <row r="944">
      <c r="A944">
        <f>IF(AND(LEN('My equipment'!A444)&gt;0,ISNUMBER('My equipment'!M444),'My equipment'!Q444&lt;&gt;"Claim settled",'My equipment'!Q444&lt;&gt;"No claim needed",'My equipment'!Q444&lt;&gt;"Cover extended"),'My equipment'!M444+941/100000,"")</f>
        <v/>
      </c>
      <c r="B944">
        <f>IF(AND(LEN('My equipment'!A444)&gt;0,ISNUMBER('My equipment'!M444)),MAX($B$3:B943)+1,"")</f>
        <v/>
      </c>
      <c r="E944">
        <f>IFERROR(MATCH(941,$B$4:$B$1003,0),"")</f>
        <v/>
      </c>
    </row>
    <row r="945">
      <c r="A945">
        <f>IF(AND(LEN('My equipment'!A445)&gt;0,ISNUMBER('My equipment'!M445),'My equipment'!Q445&lt;&gt;"Claim settled",'My equipment'!Q445&lt;&gt;"No claim needed",'My equipment'!Q445&lt;&gt;"Cover extended"),'My equipment'!M445+942/100000,"")</f>
        <v/>
      </c>
      <c r="B945">
        <f>IF(AND(LEN('My equipment'!A445)&gt;0,ISNUMBER('My equipment'!M445)),MAX($B$3:B944)+1,"")</f>
        <v/>
      </c>
      <c r="E945">
        <f>IFERROR(MATCH(942,$B$4:$B$1003,0),"")</f>
        <v/>
      </c>
    </row>
    <row r="946">
      <c r="A946">
        <f>IF(AND(LEN('My equipment'!A446)&gt;0,ISNUMBER('My equipment'!M446),'My equipment'!Q446&lt;&gt;"Claim settled",'My equipment'!Q446&lt;&gt;"No claim needed",'My equipment'!Q446&lt;&gt;"Cover extended"),'My equipment'!M446+943/100000,"")</f>
        <v/>
      </c>
      <c r="B946">
        <f>IF(AND(LEN('My equipment'!A446)&gt;0,ISNUMBER('My equipment'!M446)),MAX($B$3:B945)+1,"")</f>
        <v/>
      </c>
      <c r="E946">
        <f>IFERROR(MATCH(943,$B$4:$B$1003,0),"")</f>
        <v/>
      </c>
    </row>
    <row r="947">
      <c r="A947">
        <f>IF(AND(LEN('My equipment'!A447)&gt;0,ISNUMBER('My equipment'!M447),'My equipment'!Q447&lt;&gt;"Claim settled",'My equipment'!Q447&lt;&gt;"No claim needed",'My equipment'!Q447&lt;&gt;"Cover extended"),'My equipment'!M447+944/100000,"")</f>
        <v/>
      </c>
      <c r="B947">
        <f>IF(AND(LEN('My equipment'!A447)&gt;0,ISNUMBER('My equipment'!M447)),MAX($B$3:B946)+1,"")</f>
        <v/>
      </c>
      <c r="E947">
        <f>IFERROR(MATCH(944,$B$4:$B$1003,0),"")</f>
        <v/>
      </c>
    </row>
    <row r="948">
      <c r="A948">
        <f>IF(AND(LEN('My equipment'!A448)&gt;0,ISNUMBER('My equipment'!M448),'My equipment'!Q448&lt;&gt;"Claim settled",'My equipment'!Q448&lt;&gt;"No claim needed",'My equipment'!Q448&lt;&gt;"Cover extended"),'My equipment'!M448+945/100000,"")</f>
        <v/>
      </c>
      <c r="B948">
        <f>IF(AND(LEN('My equipment'!A448)&gt;0,ISNUMBER('My equipment'!M448)),MAX($B$3:B947)+1,"")</f>
        <v/>
      </c>
      <c r="E948">
        <f>IFERROR(MATCH(945,$B$4:$B$1003,0),"")</f>
        <v/>
      </c>
    </row>
    <row r="949">
      <c r="A949">
        <f>IF(AND(LEN('My equipment'!A449)&gt;0,ISNUMBER('My equipment'!M449),'My equipment'!Q449&lt;&gt;"Claim settled",'My equipment'!Q449&lt;&gt;"No claim needed",'My equipment'!Q449&lt;&gt;"Cover extended"),'My equipment'!M449+946/100000,"")</f>
        <v/>
      </c>
      <c r="B949">
        <f>IF(AND(LEN('My equipment'!A449)&gt;0,ISNUMBER('My equipment'!M449)),MAX($B$3:B948)+1,"")</f>
        <v/>
      </c>
      <c r="E949">
        <f>IFERROR(MATCH(946,$B$4:$B$1003,0),"")</f>
        <v/>
      </c>
    </row>
    <row r="950">
      <c r="A950">
        <f>IF(AND(LEN('My equipment'!A450)&gt;0,ISNUMBER('My equipment'!M450),'My equipment'!Q450&lt;&gt;"Claim settled",'My equipment'!Q450&lt;&gt;"No claim needed",'My equipment'!Q450&lt;&gt;"Cover extended"),'My equipment'!M450+947/100000,"")</f>
        <v/>
      </c>
      <c r="B950">
        <f>IF(AND(LEN('My equipment'!A450)&gt;0,ISNUMBER('My equipment'!M450)),MAX($B$3:B949)+1,"")</f>
        <v/>
      </c>
      <c r="E950">
        <f>IFERROR(MATCH(947,$B$4:$B$1003,0),"")</f>
        <v/>
      </c>
    </row>
    <row r="951">
      <c r="A951">
        <f>IF(AND(LEN('My equipment'!A451)&gt;0,ISNUMBER('My equipment'!M451),'My equipment'!Q451&lt;&gt;"Claim settled",'My equipment'!Q451&lt;&gt;"No claim needed",'My equipment'!Q451&lt;&gt;"Cover extended"),'My equipment'!M451+948/100000,"")</f>
        <v/>
      </c>
      <c r="B951">
        <f>IF(AND(LEN('My equipment'!A451)&gt;0,ISNUMBER('My equipment'!M451)),MAX($B$3:B950)+1,"")</f>
        <v/>
      </c>
      <c r="E951">
        <f>IFERROR(MATCH(948,$B$4:$B$1003,0),"")</f>
        <v/>
      </c>
    </row>
    <row r="952">
      <c r="A952">
        <f>IF(AND(LEN('My equipment'!A452)&gt;0,ISNUMBER('My equipment'!M452),'My equipment'!Q452&lt;&gt;"Claim settled",'My equipment'!Q452&lt;&gt;"No claim needed",'My equipment'!Q452&lt;&gt;"Cover extended"),'My equipment'!M452+949/100000,"")</f>
        <v/>
      </c>
      <c r="B952">
        <f>IF(AND(LEN('My equipment'!A452)&gt;0,ISNUMBER('My equipment'!M452)),MAX($B$3:B951)+1,"")</f>
        <v/>
      </c>
      <c r="E952">
        <f>IFERROR(MATCH(949,$B$4:$B$1003,0),"")</f>
        <v/>
      </c>
    </row>
    <row r="953">
      <c r="A953">
        <f>IF(AND(LEN('My equipment'!A453)&gt;0,ISNUMBER('My equipment'!M453),'My equipment'!Q453&lt;&gt;"Claim settled",'My equipment'!Q453&lt;&gt;"No claim needed",'My equipment'!Q453&lt;&gt;"Cover extended"),'My equipment'!M453+950/100000,"")</f>
        <v/>
      </c>
      <c r="B953">
        <f>IF(AND(LEN('My equipment'!A453)&gt;0,ISNUMBER('My equipment'!M453)),MAX($B$3:B952)+1,"")</f>
        <v/>
      </c>
      <c r="E953">
        <f>IFERROR(MATCH(950,$B$4:$B$1003,0),"")</f>
        <v/>
      </c>
    </row>
    <row r="954">
      <c r="A954">
        <f>IF(AND(LEN('My equipment'!A454)&gt;0,ISNUMBER('My equipment'!M454),'My equipment'!Q454&lt;&gt;"Claim settled",'My equipment'!Q454&lt;&gt;"No claim needed",'My equipment'!Q454&lt;&gt;"Cover extended"),'My equipment'!M454+951/100000,"")</f>
        <v/>
      </c>
      <c r="B954">
        <f>IF(AND(LEN('My equipment'!A454)&gt;0,ISNUMBER('My equipment'!M454)),MAX($B$3:B953)+1,"")</f>
        <v/>
      </c>
      <c r="E954">
        <f>IFERROR(MATCH(951,$B$4:$B$1003,0),"")</f>
        <v/>
      </c>
    </row>
    <row r="955">
      <c r="A955">
        <f>IF(AND(LEN('My equipment'!A455)&gt;0,ISNUMBER('My equipment'!M455),'My equipment'!Q455&lt;&gt;"Claim settled",'My equipment'!Q455&lt;&gt;"No claim needed",'My equipment'!Q455&lt;&gt;"Cover extended"),'My equipment'!M455+952/100000,"")</f>
        <v/>
      </c>
      <c r="B955">
        <f>IF(AND(LEN('My equipment'!A455)&gt;0,ISNUMBER('My equipment'!M455)),MAX($B$3:B954)+1,"")</f>
        <v/>
      </c>
      <c r="E955">
        <f>IFERROR(MATCH(952,$B$4:$B$1003,0),"")</f>
        <v/>
      </c>
    </row>
    <row r="956">
      <c r="A956">
        <f>IF(AND(LEN('My equipment'!A456)&gt;0,ISNUMBER('My equipment'!M456),'My equipment'!Q456&lt;&gt;"Claim settled",'My equipment'!Q456&lt;&gt;"No claim needed",'My equipment'!Q456&lt;&gt;"Cover extended"),'My equipment'!M456+953/100000,"")</f>
        <v/>
      </c>
      <c r="B956">
        <f>IF(AND(LEN('My equipment'!A456)&gt;0,ISNUMBER('My equipment'!M456)),MAX($B$3:B955)+1,"")</f>
        <v/>
      </c>
      <c r="E956">
        <f>IFERROR(MATCH(953,$B$4:$B$1003,0),"")</f>
        <v/>
      </c>
    </row>
    <row r="957">
      <c r="A957">
        <f>IF(AND(LEN('My equipment'!A457)&gt;0,ISNUMBER('My equipment'!M457),'My equipment'!Q457&lt;&gt;"Claim settled",'My equipment'!Q457&lt;&gt;"No claim needed",'My equipment'!Q457&lt;&gt;"Cover extended"),'My equipment'!M457+954/100000,"")</f>
        <v/>
      </c>
      <c r="B957">
        <f>IF(AND(LEN('My equipment'!A457)&gt;0,ISNUMBER('My equipment'!M457)),MAX($B$3:B956)+1,"")</f>
        <v/>
      </c>
      <c r="E957">
        <f>IFERROR(MATCH(954,$B$4:$B$1003,0),"")</f>
        <v/>
      </c>
    </row>
    <row r="958">
      <c r="A958">
        <f>IF(AND(LEN('My equipment'!A458)&gt;0,ISNUMBER('My equipment'!M458),'My equipment'!Q458&lt;&gt;"Claim settled",'My equipment'!Q458&lt;&gt;"No claim needed",'My equipment'!Q458&lt;&gt;"Cover extended"),'My equipment'!M458+955/100000,"")</f>
        <v/>
      </c>
      <c r="B958">
        <f>IF(AND(LEN('My equipment'!A458)&gt;0,ISNUMBER('My equipment'!M458)),MAX($B$3:B957)+1,"")</f>
        <v/>
      </c>
      <c r="E958">
        <f>IFERROR(MATCH(955,$B$4:$B$1003,0),"")</f>
        <v/>
      </c>
    </row>
    <row r="959">
      <c r="A959">
        <f>IF(AND(LEN('My equipment'!A459)&gt;0,ISNUMBER('My equipment'!M459),'My equipment'!Q459&lt;&gt;"Claim settled",'My equipment'!Q459&lt;&gt;"No claim needed",'My equipment'!Q459&lt;&gt;"Cover extended"),'My equipment'!M459+956/100000,"")</f>
        <v/>
      </c>
      <c r="B959">
        <f>IF(AND(LEN('My equipment'!A459)&gt;0,ISNUMBER('My equipment'!M459)),MAX($B$3:B958)+1,"")</f>
        <v/>
      </c>
      <c r="E959">
        <f>IFERROR(MATCH(956,$B$4:$B$1003,0),"")</f>
        <v/>
      </c>
    </row>
    <row r="960">
      <c r="A960">
        <f>IF(AND(LEN('My equipment'!A460)&gt;0,ISNUMBER('My equipment'!M460),'My equipment'!Q460&lt;&gt;"Claim settled",'My equipment'!Q460&lt;&gt;"No claim needed",'My equipment'!Q460&lt;&gt;"Cover extended"),'My equipment'!M460+957/100000,"")</f>
        <v/>
      </c>
      <c r="B960">
        <f>IF(AND(LEN('My equipment'!A460)&gt;0,ISNUMBER('My equipment'!M460)),MAX($B$3:B959)+1,"")</f>
        <v/>
      </c>
      <c r="E960">
        <f>IFERROR(MATCH(957,$B$4:$B$1003,0),"")</f>
        <v/>
      </c>
    </row>
    <row r="961">
      <c r="A961">
        <f>IF(AND(LEN('My equipment'!A461)&gt;0,ISNUMBER('My equipment'!M461),'My equipment'!Q461&lt;&gt;"Claim settled",'My equipment'!Q461&lt;&gt;"No claim needed",'My equipment'!Q461&lt;&gt;"Cover extended"),'My equipment'!M461+958/100000,"")</f>
        <v/>
      </c>
      <c r="B961">
        <f>IF(AND(LEN('My equipment'!A461)&gt;0,ISNUMBER('My equipment'!M461)),MAX($B$3:B960)+1,"")</f>
        <v/>
      </c>
      <c r="E961">
        <f>IFERROR(MATCH(958,$B$4:$B$1003,0),"")</f>
        <v/>
      </c>
    </row>
    <row r="962">
      <c r="A962">
        <f>IF(AND(LEN('My equipment'!A462)&gt;0,ISNUMBER('My equipment'!M462),'My equipment'!Q462&lt;&gt;"Claim settled",'My equipment'!Q462&lt;&gt;"No claim needed",'My equipment'!Q462&lt;&gt;"Cover extended"),'My equipment'!M462+959/100000,"")</f>
        <v/>
      </c>
      <c r="B962">
        <f>IF(AND(LEN('My equipment'!A462)&gt;0,ISNUMBER('My equipment'!M462)),MAX($B$3:B961)+1,"")</f>
        <v/>
      </c>
      <c r="E962">
        <f>IFERROR(MATCH(959,$B$4:$B$1003,0),"")</f>
        <v/>
      </c>
    </row>
    <row r="963">
      <c r="A963">
        <f>IF(AND(LEN('My equipment'!A463)&gt;0,ISNUMBER('My equipment'!M463),'My equipment'!Q463&lt;&gt;"Claim settled",'My equipment'!Q463&lt;&gt;"No claim needed",'My equipment'!Q463&lt;&gt;"Cover extended"),'My equipment'!M463+960/100000,"")</f>
        <v/>
      </c>
      <c r="B963">
        <f>IF(AND(LEN('My equipment'!A463)&gt;0,ISNUMBER('My equipment'!M463)),MAX($B$3:B962)+1,"")</f>
        <v/>
      </c>
      <c r="E963">
        <f>IFERROR(MATCH(960,$B$4:$B$1003,0),"")</f>
        <v/>
      </c>
    </row>
    <row r="964">
      <c r="A964">
        <f>IF(AND(LEN('My equipment'!A464)&gt;0,ISNUMBER('My equipment'!M464),'My equipment'!Q464&lt;&gt;"Claim settled",'My equipment'!Q464&lt;&gt;"No claim needed",'My equipment'!Q464&lt;&gt;"Cover extended"),'My equipment'!M464+961/100000,"")</f>
        <v/>
      </c>
      <c r="B964">
        <f>IF(AND(LEN('My equipment'!A464)&gt;0,ISNUMBER('My equipment'!M464)),MAX($B$3:B963)+1,"")</f>
        <v/>
      </c>
      <c r="E964">
        <f>IFERROR(MATCH(961,$B$4:$B$1003,0),"")</f>
        <v/>
      </c>
    </row>
    <row r="965">
      <c r="A965">
        <f>IF(AND(LEN('My equipment'!A465)&gt;0,ISNUMBER('My equipment'!M465),'My equipment'!Q465&lt;&gt;"Claim settled",'My equipment'!Q465&lt;&gt;"No claim needed",'My equipment'!Q465&lt;&gt;"Cover extended"),'My equipment'!M465+962/100000,"")</f>
        <v/>
      </c>
      <c r="B965">
        <f>IF(AND(LEN('My equipment'!A465)&gt;0,ISNUMBER('My equipment'!M465)),MAX($B$3:B964)+1,"")</f>
        <v/>
      </c>
      <c r="E965">
        <f>IFERROR(MATCH(962,$B$4:$B$1003,0),"")</f>
        <v/>
      </c>
    </row>
    <row r="966">
      <c r="A966">
        <f>IF(AND(LEN('My equipment'!A466)&gt;0,ISNUMBER('My equipment'!M466),'My equipment'!Q466&lt;&gt;"Claim settled",'My equipment'!Q466&lt;&gt;"No claim needed",'My equipment'!Q466&lt;&gt;"Cover extended"),'My equipment'!M466+963/100000,"")</f>
        <v/>
      </c>
      <c r="B966">
        <f>IF(AND(LEN('My equipment'!A466)&gt;0,ISNUMBER('My equipment'!M466)),MAX($B$3:B965)+1,"")</f>
        <v/>
      </c>
      <c r="E966">
        <f>IFERROR(MATCH(963,$B$4:$B$1003,0),"")</f>
        <v/>
      </c>
    </row>
    <row r="967">
      <c r="A967">
        <f>IF(AND(LEN('My equipment'!A467)&gt;0,ISNUMBER('My equipment'!M467),'My equipment'!Q467&lt;&gt;"Claim settled",'My equipment'!Q467&lt;&gt;"No claim needed",'My equipment'!Q467&lt;&gt;"Cover extended"),'My equipment'!M467+964/100000,"")</f>
        <v/>
      </c>
      <c r="B967">
        <f>IF(AND(LEN('My equipment'!A467)&gt;0,ISNUMBER('My equipment'!M467)),MAX($B$3:B966)+1,"")</f>
        <v/>
      </c>
      <c r="E967">
        <f>IFERROR(MATCH(964,$B$4:$B$1003,0),"")</f>
        <v/>
      </c>
    </row>
    <row r="968">
      <c r="A968">
        <f>IF(AND(LEN('My equipment'!A468)&gt;0,ISNUMBER('My equipment'!M468),'My equipment'!Q468&lt;&gt;"Claim settled",'My equipment'!Q468&lt;&gt;"No claim needed",'My equipment'!Q468&lt;&gt;"Cover extended"),'My equipment'!M468+965/100000,"")</f>
        <v/>
      </c>
      <c r="B968">
        <f>IF(AND(LEN('My equipment'!A468)&gt;0,ISNUMBER('My equipment'!M468)),MAX($B$3:B967)+1,"")</f>
        <v/>
      </c>
      <c r="E968">
        <f>IFERROR(MATCH(965,$B$4:$B$1003,0),"")</f>
        <v/>
      </c>
    </row>
    <row r="969">
      <c r="A969">
        <f>IF(AND(LEN('My equipment'!A469)&gt;0,ISNUMBER('My equipment'!M469),'My equipment'!Q469&lt;&gt;"Claim settled",'My equipment'!Q469&lt;&gt;"No claim needed",'My equipment'!Q469&lt;&gt;"Cover extended"),'My equipment'!M469+966/100000,"")</f>
        <v/>
      </c>
      <c r="B969">
        <f>IF(AND(LEN('My equipment'!A469)&gt;0,ISNUMBER('My equipment'!M469)),MAX($B$3:B968)+1,"")</f>
        <v/>
      </c>
      <c r="E969">
        <f>IFERROR(MATCH(966,$B$4:$B$1003,0),"")</f>
        <v/>
      </c>
    </row>
    <row r="970">
      <c r="A970">
        <f>IF(AND(LEN('My equipment'!A470)&gt;0,ISNUMBER('My equipment'!M470),'My equipment'!Q470&lt;&gt;"Claim settled",'My equipment'!Q470&lt;&gt;"No claim needed",'My equipment'!Q470&lt;&gt;"Cover extended"),'My equipment'!M470+967/100000,"")</f>
        <v/>
      </c>
      <c r="B970">
        <f>IF(AND(LEN('My equipment'!A470)&gt;0,ISNUMBER('My equipment'!M470)),MAX($B$3:B969)+1,"")</f>
        <v/>
      </c>
      <c r="E970">
        <f>IFERROR(MATCH(967,$B$4:$B$1003,0),"")</f>
        <v/>
      </c>
    </row>
    <row r="971">
      <c r="A971">
        <f>IF(AND(LEN('My equipment'!A471)&gt;0,ISNUMBER('My equipment'!M471),'My equipment'!Q471&lt;&gt;"Claim settled",'My equipment'!Q471&lt;&gt;"No claim needed",'My equipment'!Q471&lt;&gt;"Cover extended"),'My equipment'!M471+968/100000,"")</f>
        <v/>
      </c>
      <c r="B971">
        <f>IF(AND(LEN('My equipment'!A471)&gt;0,ISNUMBER('My equipment'!M471)),MAX($B$3:B970)+1,"")</f>
        <v/>
      </c>
      <c r="E971">
        <f>IFERROR(MATCH(968,$B$4:$B$1003,0),"")</f>
        <v/>
      </c>
    </row>
    <row r="972">
      <c r="A972">
        <f>IF(AND(LEN('My equipment'!A472)&gt;0,ISNUMBER('My equipment'!M472),'My equipment'!Q472&lt;&gt;"Claim settled",'My equipment'!Q472&lt;&gt;"No claim needed",'My equipment'!Q472&lt;&gt;"Cover extended"),'My equipment'!M472+969/100000,"")</f>
        <v/>
      </c>
      <c r="B972">
        <f>IF(AND(LEN('My equipment'!A472)&gt;0,ISNUMBER('My equipment'!M472)),MAX($B$3:B971)+1,"")</f>
        <v/>
      </c>
      <c r="E972">
        <f>IFERROR(MATCH(969,$B$4:$B$1003,0),"")</f>
        <v/>
      </c>
    </row>
    <row r="973">
      <c r="A973">
        <f>IF(AND(LEN('My equipment'!A473)&gt;0,ISNUMBER('My equipment'!M473),'My equipment'!Q473&lt;&gt;"Claim settled",'My equipment'!Q473&lt;&gt;"No claim needed",'My equipment'!Q473&lt;&gt;"Cover extended"),'My equipment'!M473+970/100000,"")</f>
        <v/>
      </c>
      <c r="B973">
        <f>IF(AND(LEN('My equipment'!A473)&gt;0,ISNUMBER('My equipment'!M473)),MAX($B$3:B972)+1,"")</f>
        <v/>
      </c>
      <c r="E973">
        <f>IFERROR(MATCH(970,$B$4:$B$1003,0),"")</f>
        <v/>
      </c>
    </row>
    <row r="974">
      <c r="A974">
        <f>IF(AND(LEN('My equipment'!A474)&gt;0,ISNUMBER('My equipment'!M474),'My equipment'!Q474&lt;&gt;"Claim settled",'My equipment'!Q474&lt;&gt;"No claim needed",'My equipment'!Q474&lt;&gt;"Cover extended"),'My equipment'!M474+971/100000,"")</f>
        <v/>
      </c>
      <c r="B974">
        <f>IF(AND(LEN('My equipment'!A474)&gt;0,ISNUMBER('My equipment'!M474)),MAX($B$3:B973)+1,"")</f>
        <v/>
      </c>
      <c r="E974">
        <f>IFERROR(MATCH(971,$B$4:$B$1003,0),"")</f>
        <v/>
      </c>
    </row>
    <row r="975">
      <c r="A975">
        <f>IF(AND(LEN('My equipment'!A475)&gt;0,ISNUMBER('My equipment'!M475),'My equipment'!Q475&lt;&gt;"Claim settled",'My equipment'!Q475&lt;&gt;"No claim needed",'My equipment'!Q475&lt;&gt;"Cover extended"),'My equipment'!M475+972/100000,"")</f>
        <v/>
      </c>
      <c r="B975">
        <f>IF(AND(LEN('My equipment'!A475)&gt;0,ISNUMBER('My equipment'!M475)),MAX($B$3:B974)+1,"")</f>
        <v/>
      </c>
      <c r="E975">
        <f>IFERROR(MATCH(972,$B$4:$B$1003,0),"")</f>
        <v/>
      </c>
    </row>
    <row r="976">
      <c r="A976">
        <f>IF(AND(LEN('My equipment'!A476)&gt;0,ISNUMBER('My equipment'!M476),'My equipment'!Q476&lt;&gt;"Claim settled",'My equipment'!Q476&lt;&gt;"No claim needed",'My equipment'!Q476&lt;&gt;"Cover extended"),'My equipment'!M476+973/100000,"")</f>
        <v/>
      </c>
      <c r="B976">
        <f>IF(AND(LEN('My equipment'!A476)&gt;0,ISNUMBER('My equipment'!M476)),MAX($B$3:B975)+1,"")</f>
        <v/>
      </c>
      <c r="E976">
        <f>IFERROR(MATCH(973,$B$4:$B$1003,0),"")</f>
        <v/>
      </c>
    </row>
    <row r="977">
      <c r="A977">
        <f>IF(AND(LEN('My equipment'!A477)&gt;0,ISNUMBER('My equipment'!M477),'My equipment'!Q477&lt;&gt;"Claim settled",'My equipment'!Q477&lt;&gt;"No claim needed",'My equipment'!Q477&lt;&gt;"Cover extended"),'My equipment'!M477+974/100000,"")</f>
        <v/>
      </c>
      <c r="B977">
        <f>IF(AND(LEN('My equipment'!A477)&gt;0,ISNUMBER('My equipment'!M477)),MAX($B$3:B976)+1,"")</f>
        <v/>
      </c>
      <c r="E977">
        <f>IFERROR(MATCH(974,$B$4:$B$1003,0),"")</f>
        <v/>
      </c>
    </row>
    <row r="978">
      <c r="A978">
        <f>IF(AND(LEN('My equipment'!A478)&gt;0,ISNUMBER('My equipment'!M478),'My equipment'!Q478&lt;&gt;"Claim settled",'My equipment'!Q478&lt;&gt;"No claim needed",'My equipment'!Q478&lt;&gt;"Cover extended"),'My equipment'!M478+975/100000,"")</f>
        <v/>
      </c>
      <c r="B978">
        <f>IF(AND(LEN('My equipment'!A478)&gt;0,ISNUMBER('My equipment'!M478)),MAX($B$3:B977)+1,"")</f>
        <v/>
      </c>
      <c r="E978">
        <f>IFERROR(MATCH(975,$B$4:$B$1003,0),"")</f>
        <v/>
      </c>
    </row>
    <row r="979">
      <c r="A979">
        <f>IF(AND(LEN('My equipment'!A479)&gt;0,ISNUMBER('My equipment'!M479),'My equipment'!Q479&lt;&gt;"Claim settled",'My equipment'!Q479&lt;&gt;"No claim needed",'My equipment'!Q479&lt;&gt;"Cover extended"),'My equipment'!M479+976/100000,"")</f>
        <v/>
      </c>
      <c r="B979">
        <f>IF(AND(LEN('My equipment'!A479)&gt;0,ISNUMBER('My equipment'!M479)),MAX($B$3:B978)+1,"")</f>
        <v/>
      </c>
      <c r="E979">
        <f>IFERROR(MATCH(976,$B$4:$B$1003,0),"")</f>
        <v/>
      </c>
    </row>
    <row r="980">
      <c r="A980">
        <f>IF(AND(LEN('My equipment'!A480)&gt;0,ISNUMBER('My equipment'!M480),'My equipment'!Q480&lt;&gt;"Claim settled",'My equipment'!Q480&lt;&gt;"No claim needed",'My equipment'!Q480&lt;&gt;"Cover extended"),'My equipment'!M480+977/100000,"")</f>
        <v/>
      </c>
      <c r="B980">
        <f>IF(AND(LEN('My equipment'!A480)&gt;0,ISNUMBER('My equipment'!M480)),MAX($B$3:B979)+1,"")</f>
        <v/>
      </c>
      <c r="E980">
        <f>IFERROR(MATCH(977,$B$4:$B$1003,0),"")</f>
        <v/>
      </c>
    </row>
    <row r="981">
      <c r="A981">
        <f>IF(AND(LEN('My equipment'!A481)&gt;0,ISNUMBER('My equipment'!M481),'My equipment'!Q481&lt;&gt;"Claim settled",'My equipment'!Q481&lt;&gt;"No claim needed",'My equipment'!Q481&lt;&gt;"Cover extended"),'My equipment'!M481+978/100000,"")</f>
        <v/>
      </c>
      <c r="B981">
        <f>IF(AND(LEN('My equipment'!A481)&gt;0,ISNUMBER('My equipment'!M481)),MAX($B$3:B980)+1,"")</f>
        <v/>
      </c>
      <c r="E981">
        <f>IFERROR(MATCH(978,$B$4:$B$1003,0),"")</f>
        <v/>
      </c>
    </row>
    <row r="982">
      <c r="A982">
        <f>IF(AND(LEN('My equipment'!A482)&gt;0,ISNUMBER('My equipment'!M482),'My equipment'!Q482&lt;&gt;"Claim settled",'My equipment'!Q482&lt;&gt;"No claim needed",'My equipment'!Q482&lt;&gt;"Cover extended"),'My equipment'!M482+979/100000,"")</f>
        <v/>
      </c>
      <c r="B982">
        <f>IF(AND(LEN('My equipment'!A482)&gt;0,ISNUMBER('My equipment'!M482)),MAX($B$3:B981)+1,"")</f>
        <v/>
      </c>
      <c r="E982">
        <f>IFERROR(MATCH(979,$B$4:$B$1003,0),"")</f>
        <v/>
      </c>
    </row>
    <row r="983">
      <c r="A983">
        <f>IF(AND(LEN('My equipment'!A483)&gt;0,ISNUMBER('My equipment'!M483),'My equipment'!Q483&lt;&gt;"Claim settled",'My equipment'!Q483&lt;&gt;"No claim needed",'My equipment'!Q483&lt;&gt;"Cover extended"),'My equipment'!M483+980/100000,"")</f>
        <v/>
      </c>
      <c r="B983">
        <f>IF(AND(LEN('My equipment'!A483)&gt;0,ISNUMBER('My equipment'!M483)),MAX($B$3:B982)+1,"")</f>
        <v/>
      </c>
      <c r="E983">
        <f>IFERROR(MATCH(980,$B$4:$B$1003,0),"")</f>
        <v/>
      </c>
    </row>
    <row r="984">
      <c r="A984">
        <f>IF(AND(LEN('My equipment'!A484)&gt;0,ISNUMBER('My equipment'!M484),'My equipment'!Q484&lt;&gt;"Claim settled",'My equipment'!Q484&lt;&gt;"No claim needed",'My equipment'!Q484&lt;&gt;"Cover extended"),'My equipment'!M484+981/100000,"")</f>
        <v/>
      </c>
      <c r="B984">
        <f>IF(AND(LEN('My equipment'!A484)&gt;0,ISNUMBER('My equipment'!M484)),MAX($B$3:B983)+1,"")</f>
        <v/>
      </c>
      <c r="E984">
        <f>IFERROR(MATCH(981,$B$4:$B$1003,0),"")</f>
        <v/>
      </c>
    </row>
    <row r="985">
      <c r="A985">
        <f>IF(AND(LEN('My equipment'!A485)&gt;0,ISNUMBER('My equipment'!M485),'My equipment'!Q485&lt;&gt;"Claim settled",'My equipment'!Q485&lt;&gt;"No claim needed",'My equipment'!Q485&lt;&gt;"Cover extended"),'My equipment'!M485+982/100000,"")</f>
        <v/>
      </c>
      <c r="B985">
        <f>IF(AND(LEN('My equipment'!A485)&gt;0,ISNUMBER('My equipment'!M485)),MAX($B$3:B984)+1,"")</f>
        <v/>
      </c>
      <c r="E985">
        <f>IFERROR(MATCH(982,$B$4:$B$1003,0),"")</f>
        <v/>
      </c>
    </row>
    <row r="986">
      <c r="A986">
        <f>IF(AND(LEN('My equipment'!A486)&gt;0,ISNUMBER('My equipment'!M486),'My equipment'!Q486&lt;&gt;"Claim settled",'My equipment'!Q486&lt;&gt;"No claim needed",'My equipment'!Q486&lt;&gt;"Cover extended"),'My equipment'!M486+983/100000,"")</f>
        <v/>
      </c>
      <c r="B986">
        <f>IF(AND(LEN('My equipment'!A486)&gt;0,ISNUMBER('My equipment'!M486)),MAX($B$3:B985)+1,"")</f>
        <v/>
      </c>
      <c r="E986">
        <f>IFERROR(MATCH(983,$B$4:$B$1003,0),"")</f>
        <v/>
      </c>
    </row>
    <row r="987">
      <c r="A987">
        <f>IF(AND(LEN('My equipment'!A487)&gt;0,ISNUMBER('My equipment'!M487),'My equipment'!Q487&lt;&gt;"Claim settled",'My equipment'!Q487&lt;&gt;"No claim needed",'My equipment'!Q487&lt;&gt;"Cover extended"),'My equipment'!M487+984/100000,"")</f>
        <v/>
      </c>
      <c r="B987">
        <f>IF(AND(LEN('My equipment'!A487)&gt;0,ISNUMBER('My equipment'!M487)),MAX($B$3:B986)+1,"")</f>
        <v/>
      </c>
      <c r="E987">
        <f>IFERROR(MATCH(984,$B$4:$B$1003,0),"")</f>
        <v/>
      </c>
    </row>
    <row r="988">
      <c r="A988">
        <f>IF(AND(LEN('My equipment'!A488)&gt;0,ISNUMBER('My equipment'!M488),'My equipment'!Q488&lt;&gt;"Claim settled",'My equipment'!Q488&lt;&gt;"No claim needed",'My equipment'!Q488&lt;&gt;"Cover extended"),'My equipment'!M488+985/100000,"")</f>
        <v/>
      </c>
      <c r="B988">
        <f>IF(AND(LEN('My equipment'!A488)&gt;0,ISNUMBER('My equipment'!M488)),MAX($B$3:B987)+1,"")</f>
        <v/>
      </c>
      <c r="E988">
        <f>IFERROR(MATCH(985,$B$4:$B$1003,0),"")</f>
        <v/>
      </c>
    </row>
    <row r="989">
      <c r="A989">
        <f>IF(AND(LEN('My equipment'!A489)&gt;0,ISNUMBER('My equipment'!M489),'My equipment'!Q489&lt;&gt;"Claim settled",'My equipment'!Q489&lt;&gt;"No claim needed",'My equipment'!Q489&lt;&gt;"Cover extended"),'My equipment'!M489+986/100000,"")</f>
        <v/>
      </c>
      <c r="B989">
        <f>IF(AND(LEN('My equipment'!A489)&gt;0,ISNUMBER('My equipment'!M489)),MAX($B$3:B988)+1,"")</f>
        <v/>
      </c>
      <c r="E989">
        <f>IFERROR(MATCH(986,$B$4:$B$1003,0),"")</f>
        <v/>
      </c>
    </row>
    <row r="990">
      <c r="A990">
        <f>IF(AND(LEN('My equipment'!A490)&gt;0,ISNUMBER('My equipment'!M490),'My equipment'!Q490&lt;&gt;"Claim settled",'My equipment'!Q490&lt;&gt;"No claim needed",'My equipment'!Q490&lt;&gt;"Cover extended"),'My equipment'!M490+987/100000,"")</f>
        <v/>
      </c>
      <c r="B990">
        <f>IF(AND(LEN('My equipment'!A490)&gt;0,ISNUMBER('My equipment'!M490)),MAX($B$3:B989)+1,"")</f>
        <v/>
      </c>
      <c r="E990">
        <f>IFERROR(MATCH(987,$B$4:$B$1003,0),"")</f>
        <v/>
      </c>
    </row>
    <row r="991">
      <c r="A991">
        <f>IF(AND(LEN('My equipment'!A491)&gt;0,ISNUMBER('My equipment'!M491),'My equipment'!Q491&lt;&gt;"Claim settled",'My equipment'!Q491&lt;&gt;"No claim needed",'My equipment'!Q491&lt;&gt;"Cover extended"),'My equipment'!M491+988/100000,"")</f>
        <v/>
      </c>
      <c r="B991">
        <f>IF(AND(LEN('My equipment'!A491)&gt;0,ISNUMBER('My equipment'!M491)),MAX($B$3:B990)+1,"")</f>
        <v/>
      </c>
      <c r="E991">
        <f>IFERROR(MATCH(988,$B$4:$B$1003,0),"")</f>
        <v/>
      </c>
    </row>
    <row r="992">
      <c r="A992">
        <f>IF(AND(LEN('My equipment'!A492)&gt;0,ISNUMBER('My equipment'!M492),'My equipment'!Q492&lt;&gt;"Claim settled",'My equipment'!Q492&lt;&gt;"No claim needed",'My equipment'!Q492&lt;&gt;"Cover extended"),'My equipment'!M492+989/100000,"")</f>
        <v/>
      </c>
      <c r="B992">
        <f>IF(AND(LEN('My equipment'!A492)&gt;0,ISNUMBER('My equipment'!M492)),MAX($B$3:B991)+1,"")</f>
        <v/>
      </c>
      <c r="E992">
        <f>IFERROR(MATCH(989,$B$4:$B$1003,0),"")</f>
        <v/>
      </c>
    </row>
    <row r="993">
      <c r="A993">
        <f>IF(AND(LEN('My equipment'!A493)&gt;0,ISNUMBER('My equipment'!M493),'My equipment'!Q493&lt;&gt;"Claim settled",'My equipment'!Q493&lt;&gt;"No claim needed",'My equipment'!Q493&lt;&gt;"Cover extended"),'My equipment'!M493+990/100000,"")</f>
        <v/>
      </c>
      <c r="B993">
        <f>IF(AND(LEN('My equipment'!A493)&gt;0,ISNUMBER('My equipment'!M493)),MAX($B$3:B992)+1,"")</f>
        <v/>
      </c>
      <c r="E993">
        <f>IFERROR(MATCH(990,$B$4:$B$1003,0),"")</f>
        <v/>
      </c>
    </row>
    <row r="994">
      <c r="A994">
        <f>IF(AND(LEN('My equipment'!A494)&gt;0,ISNUMBER('My equipment'!M494),'My equipment'!Q494&lt;&gt;"Claim settled",'My equipment'!Q494&lt;&gt;"No claim needed",'My equipment'!Q494&lt;&gt;"Cover extended"),'My equipment'!M494+991/100000,"")</f>
        <v/>
      </c>
      <c r="B994">
        <f>IF(AND(LEN('My equipment'!A494)&gt;0,ISNUMBER('My equipment'!M494)),MAX($B$3:B993)+1,"")</f>
        <v/>
      </c>
      <c r="E994">
        <f>IFERROR(MATCH(991,$B$4:$B$1003,0),"")</f>
        <v/>
      </c>
    </row>
    <row r="995">
      <c r="A995">
        <f>IF(AND(LEN('My equipment'!A495)&gt;0,ISNUMBER('My equipment'!M495),'My equipment'!Q495&lt;&gt;"Claim settled",'My equipment'!Q495&lt;&gt;"No claim needed",'My equipment'!Q495&lt;&gt;"Cover extended"),'My equipment'!M495+992/100000,"")</f>
        <v/>
      </c>
      <c r="B995">
        <f>IF(AND(LEN('My equipment'!A495)&gt;0,ISNUMBER('My equipment'!M495)),MAX($B$3:B994)+1,"")</f>
        <v/>
      </c>
      <c r="E995">
        <f>IFERROR(MATCH(992,$B$4:$B$1003,0),"")</f>
        <v/>
      </c>
    </row>
    <row r="996">
      <c r="A996">
        <f>IF(AND(LEN('My equipment'!A496)&gt;0,ISNUMBER('My equipment'!M496),'My equipment'!Q496&lt;&gt;"Claim settled",'My equipment'!Q496&lt;&gt;"No claim needed",'My equipment'!Q496&lt;&gt;"Cover extended"),'My equipment'!M496+993/100000,"")</f>
        <v/>
      </c>
      <c r="B996">
        <f>IF(AND(LEN('My equipment'!A496)&gt;0,ISNUMBER('My equipment'!M496)),MAX($B$3:B995)+1,"")</f>
        <v/>
      </c>
      <c r="E996">
        <f>IFERROR(MATCH(993,$B$4:$B$1003,0),"")</f>
        <v/>
      </c>
    </row>
    <row r="997">
      <c r="A997">
        <f>IF(AND(LEN('My equipment'!A497)&gt;0,ISNUMBER('My equipment'!M497),'My equipment'!Q497&lt;&gt;"Claim settled",'My equipment'!Q497&lt;&gt;"No claim needed",'My equipment'!Q497&lt;&gt;"Cover extended"),'My equipment'!M497+994/100000,"")</f>
        <v/>
      </c>
      <c r="B997">
        <f>IF(AND(LEN('My equipment'!A497)&gt;0,ISNUMBER('My equipment'!M497)),MAX($B$3:B996)+1,"")</f>
        <v/>
      </c>
      <c r="E997">
        <f>IFERROR(MATCH(994,$B$4:$B$1003,0),"")</f>
        <v/>
      </c>
    </row>
    <row r="998">
      <c r="A998">
        <f>IF(AND(LEN('My equipment'!A498)&gt;0,ISNUMBER('My equipment'!M498),'My equipment'!Q498&lt;&gt;"Claim settled",'My equipment'!Q498&lt;&gt;"No claim needed",'My equipment'!Q498&lt;&gt;"Cover extended"),'My equipment'!M498+995/100000,"")</f>
        <v/>
      </c>
      <c r="B998">
        <f>IF(AND(LEN('My equipment'!A498)&gt;0,ISNUMBER('My equipment'!M498)),MAX($B$3:B997)+1,"")</f>
        <v/>
      </c>
      <c r="E998">
        <f>IFERROR(MATCH(995,$B$4:$B$1003,0),"")</f>
        <v/>
      </c>
    </row>
    <row r="999">
      <c r="A999">
        <f>IF(AND(LEN('My equipment'!A499)&gt;0,ISNUMBER('My equipment'!M499),'My equipment'!Q499&lt;&gt;"Claim settled",'My equipment'!Q499&lt;&gt;"No claim needed",'My equipment'!Q499&lt;&gt;"Cover extended"),'My equipment'!M499+996/100000,"")</f>
        <v/>
      </c>
      <c r="B999">
        <f>IF(AND(LEN('My equipment'!A499)&gt;0,ISNUMBER('My equipment'!M499)),MAX($B$3:B998)+1,"")</f>
        <v/>
      </c>
      <c r="E999">
        <f>IFERROR(MATCH(996,$B$4:$B$1003,0),"")</f>
        <v/>
      </c>
    </row>
    <row r="1000">
      <c r="A1000">
        <f>IF(AND(LEN('My equipment'!A500)&gt;0,ISNUMBER('My equipment'!M500),'My equipment'!Q500&lt;&gt;"Claim settled",'My equipment'!Q500&lt;&gt;"No claim needed",'My equipment'!Q500&lt;&gt;"Cover extended"),'My equipment'!M500+997/100000,"")</f>
        <v/>
      </c>
      <c r="B1000">
        <f>IF(AND(LEN('My equipment'!A500)&gt;0,ISNUMBER('My equipment'!M500)),MAX($B$3:B999)+1,"")</f>
        <v/>
      </c>
      <c r="E1000">
        <f>IFERROR(MATCH(997,$B$4:$B$1003,0),"")</f>
        <v/>
      </c>
    </row>
    <row r="1001">
      <c r="A1001">
        <f>IF(AND(LEN('My equipment'!A501)&gt;0,ISNUMBER('My equipment'!M501),'My equipment'!Q501&lt;&gt;"Claim settled",'My equipment'!Q501&lt;&gt;"No claim needed",'My equipment'!Q501&lt;&gt;"Cover extended"),'My equipment'!M501+998/100000,"")</f>
        <v/>
      </c>
      <c r="B1001">
        <f>IF(AND(LEN('My equipment'!A501)&gt;0,ISNUMBER('My equipment'!M501)),MAX($B$3:B1000)+1,"")</f>
        <v/>
      </c>
      <c r="E1001">
        <f>IFERROR(MATCH(998,$B$4:$B$1003,0),"")</f>
        <v/>
      </c>
    </row>
    <row r="1002">
      <c r="A1002">
        <f>IF(AND(LEN('My equipment'!A502)&gt;0,ISNUMBER('My equipment'!M502),'My equipment'!Q502&lt;&gt;"Claim settled",'My equipment'!Q502&lt;&gt;"No claim needed",'My equipment'!Q502&lt;&gt;"Cover extended"),'My equipment'!M502+999/100000,"")</f>
        <v/>
      </c>
      <c r="B1002">
        <f>IF(AND(LEN('My equipment'!A502)&gt;0,ISNUMBER('My equipment'!M502)),MAX($B$3:B1001)+1,"")</f>
        <v/>
      </c>
      <c r="E1002">
        <f>IFERROR(MATCH(999,$B$4:$B$1003,0),"")</f>
        <v/>
      </c>
    </row>
    <row r="1003">
      <c r="A1003">
        <f>IF(AND(LEN('My equipment'!A503)&gt;0,ISNUMBER('My equipment'!M503),'My equipment'!Q503&lt;&gt;"Claim settled",'My equipment'!Q503&lt;&gt;"No claim needed",'My equipment'!Q503&lt;&gt;"Cover extended"),'My equipment'!M503+1000/100000,"")</f>
        <v/>
      </c>
      <c r="B1003">
        <f>IF(AND(LEN('My equipment'!A503)&gt;0,ISNUMBER('My equipment'!M503)),MAX($B$3:B1002)+1,"")</f>
        <v/>
      </c>
      <c r="E1003">
        <f>IFERROR(MATCH(1000,$B$4:$B$1003,0),"")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Company>ExpiryEdge</Company>
</Properties>
</file>

<file path=docProps/core.xml><?xml version="1.0" encoding="utf-8"?>
<cp:coreProperties xmlns:cp="http://schemas.openxmlformats.org/package/2006/metadata/core-properties">
  <dc:creator xmlns:dc="http://purl.org/dc/elements/1.1/">ExpiryEdge</dc:creator>
  <dc:title xmlns:dc="http://purl.org/dc/elements/1.1/">Warranty &amp; service contract tracker (free template)</dc:title>
  <dc:description xmlns:dc="http://purl.org/dc/elements/1.1/">Free template from expiryedge.com/templates/. October 2026 edition.</dc:description>
  <dc:subject xmlns:dc="http://purl.org/dc/elements/1.1/">Warranty end dates per serial number, with a 90/60/30/7 renewal pipeline for dealers and a claim list for owners.</dc:subject>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ExpiryEdge</cp:lastModifiedBy>
  <cp:keywords>expiry tracker, renewal tracker, template, ExpiryEdge</cp:keywords>
</cp:coreProperties>
</file>